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media/image1.bin" ContentType="image/unknown"/>
  <Override PartName="/xl/media/image2.bin" ContentType="image/unknown"/>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mc:AlternateContent xmlns:mc="http://schemas.openxmlformats.org/markup-compatibility/2006">
    <mc:Choice Requires="x15">
      <x15ac:absPath xmlns:x15ac="http://schemas.microsoft.com/office/spreadsheetml/2010/11/ac" url="N:\JPG\Investor Reporting\Paragon Finance\PM11\"/>
    </mc:Choice>
  </mc:AlternateContent>
  <xr:revisionPtr revIDLastSave="0" documentId="13_ncr:1_{3CE7FD66-39B9-417E-99BB-DCD1DDAD316B}" xr6:coauthVersionLast="45" xr6:coauthVersionMax="45" xr10:uidLastSave="{00000000-0000-0000-0000-000000000000}"/>
  <bookViews>
    <workbookView xWindow="20052" yWindow="-108" windowWidth="20376" windowHeight="12216" firstSheet="49" activeTab="57" xr2:uid="{00000000-000D-0000-FFFF-FFFF00000000}"/>
  </bookViews>
  <sheets>
    <sheet name="June 06" sheetId="1" r:id="rId1"/>
    <sheet name="Sept 06" sheetId="2" r:id="rId2"/>
    <sheet name="Dec 06" sheetId="3" r:id="rId3"/>
    <sheet name="March 07" sheetId="4" r:id="rId4"/>
    <sheet name="June 07" sheetId="5" r:id="rId5"/>
    <sheet name="September 07" sheetId="6" r:id="rId6"/>
    <sheet name="Dec 07" sheetId="7" r:id="rId7"/>
    <sheet name="March 08" sheetId="8" r:id="rId8"/>
    <sheet name="June 08" sheetId="9" r:id="rId9"/>
    <sheet name="September 08" sheetId="10" r:id="rId10"/>
    <sheet name="Dec 08" sheetId="11" r:id="rId11"/>
    <sheet name="March 09" sheetId="13" r:id="rId12"/>
    <sheet name="June 09" sheetId="14" r:id="rId13"/>
    <sheet name="September 09" sheetId="15" r:id="rId14"/>
    <sheet name="Dec 09" sheetId="16" r:id="rId15"/>
    <sheet name="March 10" sheetId="17" r:id="rId16"/>
    <sheet name="June 10" sheetId="18" r:id="rId17"/>
    <sheet name="September 10" sheetId="19" r:id="rId18"/>
    <sheet name="Dec 10" sheetId="20" r:id="rId19"/>
    <sheet name="March 11" sheetId="21" r:id="rId20"/>
    <sheet name="June 11" sheetId="22" r:id="rId21"/>
    <sheet name="Sept 11" sheetId="23" r:id="rId22"/>
    <sheet name="Dec 11" sheetId="24" r:id="rId23"/>
    <sheet name="March 12" sheetId="25" r:id="rId24"/>
    <sheet name="June 12" sheetId="26" r:id="rId25"/>
    <sheet name="Sept 12" sheetId="27" r:id="rId26"/>
    <sheet name="Dec 12" sheetId="28" r:id="rId27"/>
    <sheet name="March 13" sheetId="29" r:id="rId28"/>
    <sheet name="June 13" sheetId="30" r:id="rId29"/>
    <sheet name="Sept 13" sheetId="31" r:id="rId30"/>
    <sheet name="Dec 13" sheetId="32" r:id="rId31"/>
    <sheet name="March 14" sheetId="33" r:id="rId32"/>
    <sheet name="June 14" sheetId="34" r:id="rId33"/>
    <sheet name="Sept 14" sheetId="35" r:id="rId34"/>
    <sheet name="Dec 14" sheetId="36" r:id="rId35"/>
    <sheet name="March 15" sheetId="37" r:id="rId36"/>
    <sheet name="June 15" sheetId="38" r:id="rId37"/>
    <sheet name="Sept 15" sheetId="39" r:id="rId38"/>
    <sheet name="Dec 15" sheetId="40" r:id="rId39"/>
    <sheet name="March 16" sheetId="41" r:id="rId40"/>
    <sheet name="June 16" sheetId="42" r:id="rId41"/>
    <sheet name="Sept 16" sheetId="43" r:id="rId42"/>
    <sheet name="Dec 16" sheetId="44" r:id="rId43"/>
    <sheet name="March 17" sheetId="45" r:id="rId44"/>
    <sheet name="June 17" sheetId="46" r:id="rId45"/>
    <sheet name="Sept 17" sheetId="47" r:id="rId46"/>
    <sheet name="Dec 17" sheetId="48" r:id="rId47"/>
    <sheet name="March 18" sheetId="49" r:id="rId48"/>
    <sheet name="June 18" sheetId="50" r:id="rId49"/>
    <sheet name="Sept 18" sheetId="51" r:id="rId50"/>
    <sheet name="Dec 18" sheetId="52" r:id="rId51"/>
    <sheet name="March 19" sheetId="53" r:id="rId52"/>
    <sheet name="June 19" sheetId="54" r:id="rId53"/>
    <sheet name="Sept 19" sheetId="55" r:id="rId54"/>
    <sheet name="Dec 19" sheetId="56" r:id="rId55"/>
    <sheet name="Mar 20" sheetId="57" r:id="rId56"/>
    <sheet name="June 20" sheetId="58" r:id="rId57"/>
    <sheet name="Sept 20" sheetId="59" r:id="rId58"/>
  </sheets>
  <definedNames>
    <definedName name="_100PAGE_4" localSheetId="26">'Dec 12'!$A$193:$U$287</definedName>
    <definedName name="_101PAGE_4" localSheetId="30">'Dec 13'!$A$194:$U$288</definedName>
    <definedName name="_101PAGE_4" localSheetId="34">'Dec 14'!$A$194:$U$288</definedName>
    <definedName name="_101PAGE_4" localSheetId="38">'Dec 15'!$A$194:$U$288</definedName>
    <definedName name="_101PAGE_4" localSheetId="42">'Dec 16'!$A$194:$U$288</definedName>
    <definedName name="_101PAGE_4" localSheetId="46">'Dec 17'!$A$193:$U$292</definedName>
    <definedName name="_101PAGE_4" localSheetId="50">'Dec 18'!$A$193:$U$292</definedName>
    <definedName name="_101PAGE_4" localSheetId="54">'Dec 19'!$A$196:$U$295</definedName>
    <definedName name="_101PAGE_4" localSheetId="32">'June 14'!$A$194:$U$288</definedName>
    <definedName name="_101PAGE_4" localSheetId="36">'June 15'!$A$194:$U$288</definedName>
    <definedName name="_101PAGE_4" localSheetId="40">'June 16'!$A$194:$U$288</definedName>
    <definedName name="_101PAGE_4" localSheetId="44">'June 17'!$A$193:$U$292</definedName>
    <definedName name="_101PAGE_4" localSheetId="48">'June 18'!$A$193:$U$292</definedName>
    <definedName name="_101PAGE_4" localSheetId="52">'June 19'!$A$193:$U$292</definedName>
    <definedName name="_101PAGE_4" localSheetId="56">'June 20'!$A$196:$U$321</definedName>
    <definedName name="_101PAGE_4" localSheetId="55">'Mar 20'!$A$196:$U$309</definedName>
    <definedName name="_101PAGE_4" localSheetId="31">'March 14'!$A$194:$U$288</definedName>
    <definedName name="_101PAGE_4" localSheetId="35">'March 15'!$A$194:$U$288</definedName>
    <definedName name="_101PAGE_4" localSheetId="39">'March 16'!$A$194:$U$288</definedName>
    <definedName name="_101PAGE_4" localSheetId="43">'March 17'!$A$193:$U$292</definedName>
    <definedName name="_101PAGE_4" localSheetId="47">'March 18'!$A$193:$U$292</definedName>
    <definedName name="_101PAGE_4" localSheetId="51">'March 19'!$A$193:$U$292</definedName>
    <definedName name="_101PAGE_4" localSheetId="33">'Sept 14'!$A$194:$U$288</definedName>
    <definedName name="_101PAGE_4" localSheetId="37">'Sept 15'!$A$194:$U$288</definedName>
    <definedName name="_101PAGE_4" localSheetId="41">'Sept 16'!$A$194:$U$288</definedName>
    <definedName name="_101PAGE_4" localSheetId="45">'Sept 17'!$A$193:$U$292</definedName>
    <definedName name="_101PAGE_4" localSheetId="49">'Sept 18'!$A$193:$U$292</definedName>
    <definedName name="_101PAGE_4" localSheetId="53">'Sept 19'!$A$196:$U$295</definedName>
    <definedName name="_101PAGE_4" localSheetId="57">'Sept 20'!$A$197:$U$322</definedName>
    <definedName name="_102PAGE_4" localSheetId="4">'June 07'!$A$192:$U$274</definedName>
    <definedName name="_103PAGE_4" localSheetId="8">'June 08'!$A$193:$U$275</definedName>
    <definedName name="_104PAGE_4" localSheetId="12">'June 09'!$A$193:$U$275</definedName>
    <definedName name="_105PAGE_4" localSheetId="16">'June 10'!$A$193:$U$287</definedName>
    <definedName name="_106PAGE_4" localSheetId="20">'June 11'!$A$193:$U$287</definedName>
    <definedName name="_107PAGE_4" localSheetId="24">'June 12'!$A$193:$U$287</definedName>
    <definedName name="_108PAGE_4" localSheetId="28">'June 13'!$A$194:$U$288</definedName>
    <definedName name="_109PAGE_4" localSheetId="3">'March 07'!$A$192:$U$275</definedName>
    <definedName name="_10PAGE_1" localSheetId="8">'June 08'!$A$1:$U$64</definedName>
    <definedName name="_110PAGE_4" localSheetId="7">'March 08'!$A$193:$U$275</definedName>
    <definedName name="_111PAGE_4" localSheetId="11">'March 09'!$A$193:$U$275</definedName>
    <definedName name="_112PAGE_4" localSheetId="15">'March 10'!$A$194:$U$276</definedName>
    <definedName name="_113PAGE_4" localSheetId="19">'March 11'!$A$193:$U$287</definedName>
    <definedName name="_114PAGE_4" localSheetId="23">'March 12'!$A$193:$U$287</definedName>
    <definedName name="_115PAGE_4" localSheetId="27">'March 13'!$A$194:$U$288</definedName>
    <definedName name="_116PAGE_4" localSheetId="1">'Sept 06'!$A$191:$U$274</definedName>
    <definedName name="_117PAGE_4" localSheetId="21">'Sept 11'!$A$193:$U$287</definedName>
    <definedName name="_118PAGE_4" localSheetId="25">'Sept 12'!$A$193:$U$287</definedName>
    <definedName name="_119PAGE_4" localSheetId="29">'Sept 13'!$A$194:$U$288</definedName>
    <definedName name="_11PAGE_1" localSheetId="12">'June 09'!$A$1:$U$64</definedName>
    <definedName name="_120PAGE_4" localSheetId="5">'September 07'!$A$192:$U$274</definedName>
    <definedName name="_121PAGE_4" localSheetId="9">'September 08'!$A$193:$U$275</definedName>
    <definedName name="_122PAGE_4" localSheetId="13">'September 09'!$A$193:$U$275</definedName>
    <definedName name="_123PAGE_4" localSheetId="17">'September 10'!$A$193:$U$287</definedName>
    <definedName name="_124PAGE_4">'June 06'!$A$191:$U$274</definedName>
    <definedName name="_12PAGE_1" localSheetId="16">'June 10'!$A$1:$U$64</definedName>
    <definedName name="_13PAGE_1" localSheetId="20">'June 11'!$A$1:$U$64</definedName>
    <definedName name="_14PAGE_1" localSheetId="24">'June 12'!$A$1:$U$64</definedName>
    <definedName name="_15PAGE_1" localSheetId="28">'June 13'!$A$1:$U$64</definedName>
    <definedName name="_16PAGE_1" localSheetId="3">'March 07'!$A$1:$U$64</definedName>
    <definedName name="_17PAGE_1" localSheetId="7">'March 08'!$A$1:$U$64</definedName>
    <definedName name="_18PAGE_1" localSheetId="11">'March 09'!$A$1:$U$64</definedName>
    <definedName name="_19PAGE_1" localSheetId="15">'March 10'!$A$1:$U$64</definedName>
    <definedName name="_1PAGE_1" localSheetId="2">'Dec 06'!$A$1:$U$64</definedName>
    <definedName name="_20PAGE_1" localSheetId="19">'March 11'!$A$1:$U$64</definedName>
    <definedName name="_21PAGE_1" localSheetId="23">'March 12'!$A$1:$U$64</definedName>
    <definedName name="_22PAGE_1" localSheetId="27">'March 13'!$A$1:$U$64</definedName>
    <definedName name="_23PAGE_1" localSheetId="1">'Sept 06'!$A$1:$U$64</definedName>
    <definedName name="_24PAGE_1" localSheetId="21">'Sept 11'!$A$1:$U$64</definedName>
    <definedName name="_25PAGE_1" localSheetId="25">'Sept 12'!$A$1:$U$64</definedName>
    <definedName name="_26PAGE_1" localSheetId="29">'Sept 13'!$A$1:$U$64</definedName>
    <definedName name="_27PAGE_1" localSheetId="5">'September 07'!$A$1:$U$64</definedName>
    <definedName name="_28PAGE_1" localSheetId="9">'September 08'!$A$1:$U$64</definedName>
    <definedName name="_29PAGE_1" localSheetId="13">'September 09'!$A$1:$U$64</definedName>
    <definedName name="_2PAGE_1" localSheetId="6">'Dec 07'!$A$1:$U$64</definedName>
    <definedName name="_30PAGE_1" localSheetId="17">'September 10'!$A$1:$U$64</definedName>
    <definedName name="_31PAGE_1">'June 06'!$A$1:$U$64</definedName>
    <definedName name="_32PAGE_2" localSheetId="2">'Dec 06'!$A$65:$U$132</definedName>
    <definedName name="_33PAGE_2" localSheetId="6">'Dec 07'!$A$65:$U$133</definedName>
    <definedName name="_34PAGE_2" localSheetId="10">'Dec 08'!$A$65:$U$133</definedName>
    <definedName name="_35PAGE_2" localSheetId="14">'Dec 09'!$A$65:$U$133</definedName>
    <definedName name="_36PAGE_2" localSheetId="18">'Dec 10'!$A$65:$U$132</definedName>
    <definedName name="_37PAGE_2" localSheetId="22">'Dec 11'!$A$65:$U$132</definedName>
    <definedName name="_38PAGE_2" localSheetId="26">'Dec 12'!$A$65:$U$132</definedName>
    <definedName name="_39PAGE_2" localSheetId="30">'Dec 13'!$A$65:$U$133</definedName>
    <definedName name="_39PAGE_2" localSheetId="34">'Dec 14'!$A$65:$U$133</definedName>
    <definedName name="_39PAGE_2" localSheetId="38">'Dec 15'!$A$65:$U$133</definedName>
    <definedName name="_39PAGE_2" localSheetId="42">'Dec 16'!$A$65:$U$133</definedName>
    <definedName name="_39PAGE_2" localSheetId="46">'Dec 17'!$A$64:$U$132</definedName>
    <definedName name="_39PAGE_2" localSheetId="50">'Dec 18'!$A$64:$U$132</definedName>
    <definedName name="_39PAGE_2" localSheetId="54">'Dec 19'!$A$64:$U$135</definedName>
    <definedName name="_39PAGE_2" localSheetId="32">'June 14'!$A$65:$U$133</definedName>
    <definedName name="_39PAGE_2" localSheetId="36">'June 15'!$A$65:$U$133</definedName>
    <definedName name="_39PAGE_2" localSheetId="40">'June 16'!$A$65:$U$133</definedName>
    <definedName name="_39PAGE_2" localSheetId="44">'June 17'!$A$64:$U$132</definedName>
    <definedName name="_39PAGE_2" localSheetId="48">'June 18'!$A$64:$U$132</definedName>
    <definedName name="_39PAGE_2" localSheetId="52">'June 19'!$A$64:$U$132</definedName>
    <definedName name="_39PAGE_2" localSheetId="56">'June 20'!$A$64:$U$135</definedName>
    <definedName name="_39PAGE_2" localSheetId="55">'Mar 20'!$A$64:$U$135</definedName>
    <definedName name="_39PAGE_2" localSheetId="31">'March 14'!$A$65:$U$133</definedName>
    <definedName name="_39PAGE_2" localSheetId="35">'March 15'!$A$65:$U$133</definedName>
    <definedName name="_39PAGE_2" localSheetId="39">'March 16'!$A$65:$U$133</definedName>
    <definedName name="_39PAGE_2" localSheetId="43">'March 17'!$A$64:$U$132</definedName>
    <definedName name="_39PAGE_2" localSheetId="47">'March 18'!$A$64:$U$132</definedName>
    <definedName name="_39PAGE_2" localSheetId="51">'March 19'!$A$64:$U$132</definedName>
    <definedName name="_39PAGE_2" localSheetId="33">'Sept 14'!$A$65:$U$133</definedName>
    <definedName name="_39PAGE_2" localSheetId="37">'Sept 15'!$A$65:$U$133</definedName>
    <definedName name="_39PAGE_2" localSheetId="41">'Sept 16'!$A$65:$U$133</definedName>
    <definedName name="_39PAGE_2" localSheetId="45">'Sept 17'!$A$64:$U$132</definedName>
    <definedName name="_39PAGE_2" localSheetId="49">'Sept 18'!$A$64:$U$132</definedName>
    <definedName name="_39PAGE_2" localSheetId="53">'Sept 19'!$A$64:$U$135</definedName>
    <definedName name="_39PAGE_2" localSheetId="57">'Sept 20'!$A$64:$U$136</definedName>
    <definedName name="_3PAGE_1" localSheetId="10">'Dec 08'!$A$1:$U$64</definedName>
    <definedName name="_40PAGE_2" localSheetId="4">'June 07'!$A$65:$U$132</definedName>
    <definedName name="_41PAGE_2" localSheetId="8">'June 08'!$A$65:$U$133</definedName>
    <definedName name="_42PAGE_2" localSheetId="12">'June 09'!$A$65:$U$133</definedName>
    <definedName name="_43PAGE_2" localSheetId="16">'June 10'!$A$65:$U$132</definedName>
    <definedName name="_44PAGE_2" localSheetId="20">'June 11'!$A$65:$U$132</definedName>
    <definedName name="_45PAGE_2" localSheetId="24">'June 12'!$A$65:$U$132</definedName>
    <definedName name="_46PAGE_2" localSheetId="28">'June 13'!$A$65:$U$133</definedName>
    <definedName name="_47PAGE_2" localSheetId="3">'March 07'!$A$65:$U$132</definedName>
    <definedName name="_48PAGE_2" localSheetId="7">'March 08'!$A$65:$U$133</definedName>
    <definedName name="_49PAGE_2" localSheetId="11">'March 09'!$A$65:$U$133</definedName>
    <definedName name="_4PAGE_1" localSheetId="14">'Dec 09'!$A$1:$U$64</definedName>
    <definedName name="_50PAGE_2" localSheetId="15">'March 10'!$A$65:$U$133</definedName>
    <definedName name="_51PAGE_2" localSheetId="19">'March 11'!$A$65:$U$132</definedName>
    <definedName name="_52PAGE_2" localSheetId="23">'March 12'!$A$65:$U$132</definedName>
    <definedName name="_53PAGE_2" localSheetId="27">'March 13'!$A$65:$U$133</definedName>
    <definedName name="_54PAGE_2" localSheetId="1">'Sept 06'!$A$65:$U$131</definedName>
    <definedName name="_55PAGE_2" localSheetId="21">'Sept 11'!$A$65:$U$132</definedName>
    <definedName name="_56PAGE_2" localSheetId="25">'Sept 12'!$A$65:$U$132</definedName>
    <definedName name="_57PAGE_2" localSheetId="29">'Sept 13'!$A$65:$U$133</definedName>
    <definedName name="_58PAGE_2" localSheetId="5">'September 07'!$A$65:$U$132</definedName>
    <definedName name="_59PAGE_2" localSheetId="9">'September 08'!$A$65:$U$133</definedName>
    <definedName name="_5PAGE_1" localSheetId="18">'Dec 10'!$A$1:$U$64</definedName>
    <definedName name="_60PAGE_2" localSheetId="13">'September 09'!$A$65:$U$133</definedName>
    <definedName name="_61PAGE_2" localSheetId="17">'September 10'!$A$65:$U$132</definedName>
    <definedName name="_62PAGE_2">'June 06'!$A$65:$U$131</definedName>
    <definedName name="_63PAGE_3" localSheetId="2">'Dec 06'!$A$133:$U$191</definedName>
    <definedName name="_64PAGE_3" localSheetId="6">'Dec 07'!$A$134:$U$192</definedName>
    <definedName name="_65PAGE_3" localSheetId="10">'Dec 08'!$A$134:$U$192</definedName>
    <definedName name="_66PAGE_3" localSheetId="14">'Dec 09'!$A$134:$U$193</definedName>
    <definedName name="_67PAGE_3" localSheetId="18">'Dec 10'!$A$133:$U$192</definedName>
    <definedName name="_68PAGE_3" localSheetId="22">'Dec 11'!$A$133:$U$192</definedName>
    <definedName name="_69PAGE_3" localSheetId="26">'Dec 12'!$A$133:$U$192</definedName>
    <definedName name="_6PAGE_1" localSheetId="22">'Dec 11'!$A$1:$U$64</definedName>
    <definedName name="_70PAGE_3" localSheetId="30">'Dec 13'!$A$134:$U$193</definedName>
    <definedName name="_70PAGE_3" localSheetId="34">'Dec 14'!$A$134:$U$193</definedName>
    <definedName name="_70PAGE_3" localSheetId="38">'Dec 15'!$A$134:$U$193</definedName>
    <definedName name="_70PAGE_3" localSheetId="42">'Dec 16'!$A$134:$U$193</definedName>
    <definedName name="_70PAGE_3" localSheetId="46">'Dec 17'!$A$133:$U$192</definedName>
    <definedName name="_70PAGE_3" localSheetId="50">'Dec 18'!$A$133:$U$192</definedName>
    <definedName name="_70PAGE_3" localSheetId="54">'Dec 19'!$A$136:$U$195</definedName>
    <definedName name="_70PAGE_3" localSheetId="32">'June 14'!$A$134:$U$193</definedName>
    <definedName name="_70PAGE_3" localSheetId="36">'June 15'!$A$134:$U$193</definedName>
    <definedName name="_70PAGE_3" localSheetId="40">'June 16'!$A$134:$U$193</definedName>
    <definedName name="_70PAGE_3" localSheetId="44">'June 17'!$A$133:$U$192</definedName>
    <definedName name="_70PAGE_3" localSheetId="48">'June 18'!$A$133:$U$192</definedName>
    <definedName name="_70PAGE_3" localSheetId="52">'June 19'!$A$133:$U$192</definedName>
    <definedName name="_70PAGE_3" localSheetId="56">'June 20'!$A$136:$U$195</definedName>
    <definedName name="_70PAGE_3" localSheetId="55">'Mar 20'!$A$136:$U$195</definedName>
    <definedName name="_70PAGE_3" localSheetId="31">'March 14'!$A$134:$U$193</definedName>
    <definedName name="_70PAGE_3" localSheetId="35">'March 15'!$A$134:$U$193</definedName>
    <definedName name="_70PAGE_3" localSheetId="39">'March 16'!$A$134:$U$193</definedName>
    <definedName name="_70PAGE_3" localSheetId="43">'March 17'!$A$133:$U$192</definedName>
    <definedName name="_70PAGE_3" localSheetId="47">'March 18'!$A$133:$U$192</definedName>
    <definedName name="_70PAGE_3" localSheetId="51">'March 19'!$A$133:$U$192</definedName>
    <definedName name="_70PAGE_3" localSheetId="33">'Sept 14'!$A$134:$U$193</definedName>
    <definedName name="_70PAGE_3" localSheetId="37">'Sept 15'!$A$134:$U$193</definedName>
    <definedName name="_70PAGE_3" localSheetId="41">'Sept 16'!$A$134:$U$193</definedName>
    <definedName name="_70PAGE_3" localSheetId="45">'Sept 17'!$A$133:$U$192</definedName>
    <definedName name="_70PAGE_3" localSheetId="49">'Sept 18'!$A$133:$U$192</definedName>
    <definedName name="_70PAGE_3" localSheetId="53">'Sept 19'!$A$136:$U$195</definedName>
    <definedName name="_70PAGE_3" localSheetId="57">'Sept 20'!$A$137:$U$196</definedName>
    <definedName name="_71PAGE_3" localSheetId="4">'June 07'!$A$133:$U$191</definedName>
    <definedName name="_72PAGE_3" localSheetId="8">'June 08'!$A$134:$U$192</definedName>
    <definedName name="_73PAGE_3" localSheetId="12">'June 09'!$A$134:$U$192</definedName>
    <definedName name="_74PAGE_3" localSheetId="16">'June 10'!$A$133:$U$192</definedName>
    <definedName name="_75PAGE_3" localSheetId="20">'June 11'!$A$133:$U$192</definedName>
    <definedName name="_76PAGE_3" localSheetId="24">'June 12'!$A$133:$U$192</definedName>
    <definedName name="_77PAGE_3" localSheetId="28">'June 13'!$A$134:$U$193</definedName>
    <definedName name="_78PAGE_3" localSheetId="3">'March 07'!$A$133:$U$191</definedName>
    <definedName name="_79PAGE_3" localSheetId="7">'March 08'!$A$134:$U$192</definedName>
    <definedName name="_7PAGE_1" localSheetId="26">'Dec 12'!$A$1:$U$64</definedName>
    <definedName name="_80PAGE_3" localSheetId="11">'March 09'!$A$134:$U$192</definedName>
    <definedName name="_81PAGE_3" localSheetId="15">'March 10'!$A$134:$U$193</definedName>
    <definedName name="_82PAGE_3" localSheetId="19">'March 11'!$A$133:$U$192</definedName>
    <definedName name="_83PAGE_3" localSheetId="23">'March 12'!$A$133:$U$192</definedName>
    <definedName name="_84PAGE_3" localSheetId="27">'March 13'!$A$134:$U$193</definedName>
    <definedName name="_85PAGE_3" localSheetId="1">'Sept 06'!$A$132:$U$190</definedName>
    <definedName name="_86PAGE_3" localSheetId="21">'Sept 11'!$A$133:$U$192</definedName>
    <definedName name="_87PAGE_3" localSheetId="25">'Sept 12'!$A$133:$U$192</definedName>
    <definedName name="_88PAGE_3" localSheetId="29">'Sept 13'!$A$134:$U$193</definedName>
    <definedName name="_89PAGE_3" localSheetId="5">'September 07'!$A$133:$U$191</definedName>
    <definedName name="_8PAGE_1" localSheetId="30">'Dec 13'!$A$1:$U$64</definedName>
    <definedName name="_8PAGE_1" localSheetId="34">'Dec 14'!$A$1:$U$64</definedName>
    <definedName name="_8PAGE_1" localSheetId="38">'Dec 15'!$A$1:$U$64</definedName>
    <definedName name="_8PAGE_1" localSheetId="42">'Dec 16'!$A$1:$U$64</definedName>
    <definedName name="_8PAGE_1" localSheetId="46">'Dec 17'!$A$1:$U$63</definedName>
    <definedName name="_8PAGE_1" localSheetId="50">'Dec 18'!$A$1:$U$63</definedName>
    <definedName name="_8PAGE_1" localSheetId="54">'Dec 19'!$A$1:$U$63</definedName>
    <definedName name="_8PAGE_1" localSheetId="32">'June 14'!$A$1:$U$64</definedName>
    <definedName name="_8PAGE_1" localSheetId="36">'June 15'!$A$1:$U$64</definedName>
    <definedName name="_8PAGE_1" localSheetId="40">'June 16'!$A$1:$U$64</definedName>
    <definedName name="_8PAGE_1" localSheetId="44">'June 17'!$A$1:$U$63</definedName>
    <definedName name="_8PAGE_1" localSheetId="48">'June 18'!$A$1:$U$63</definedName>
    <definedName name="_8PAGE_1" localSheetId="52">'June 19'!$A$1:$U$63</definedName>
    <definedName name="_8PAGE_1" localSheetId="56">'June 20'!$A$1:$U$63</definedName>
    <definedName name="_8PAGE_1" localSheetId="55">'Mar 20'!$A$1:$U$63</definedName>
    <definedName name="_8PAGE_1" localSheetId="31">'March 14'!$A$1:$U$64</definedName>
    <definedName name="_8PAGE_1" localSheetId="35">'March 15'!$A$1:$U$64</definedName>
    <definedName name="_8PAGE_1" localSheetId="39">'March 16'!$A$1:$U$64</definedName>
    <definedName name="_8PAGE_1" localSheetId="43">'March 17'!$A$1:$U$63</definedName>
    <definedName name="_8PAGE_1" localSheetId="47">'March 18'!$A$1:$U$63</definedName>
    <definedName name="_8PAGE_1" localSheetId="51">'March 19'!$A$1:$U$63</definedName>
    <definedName name="_8PAGE_1" localSheetId="33">'Sept 14'!$A$1:$U$64</definedName>
    <definedName name="_8PAGE_1" localSheetId="37">'Sept 15'!$A$1:$U$64</definedName>
    <definedName name="_8PAGE_1" localSheetId="41">'Sept 16'!$A$1:$U$64</definedName>
    <definedName name="_8PAGE_1" localSheetId="45">'Sept 17'!$A$1:$U$63</definedName>
    <definedName name="_8PAGE_1" localSheetId="49">'Sept 18'!$A$1:$U$63</definedName>
    <definedName name="_8PAGE_1" localSheetId="53">'Sept 19'!$A$1:$U$63</definedName>
    <definedName name="_8PAGE_1" localSheetId="57">'Sept 20'!$A$1:$U$63</definedName>
    <definedName name="_90PAGE_3" localSheetId="9">'September 08'!$A$134:$U$192</definedName>
    <definedName name="_91PAGE_3" localSheetId="13">'September 09'!$A$134:$U$192</definedName>
    <definedName name="_92PAGE_3" localSheetId="17">'September 10'!$A$133:$U$192</definedName>
    <definedName name="_93PAGE_3">'June 06'!$A$132:$U$190</definedName>
    <definedName name="_94PAGE_4" localSheetId="2">'Dec 06'!$A$192:$U$275</definedName>
    <definedName name="_95PAGE_4" localSheetId="6">'Dec 07'!$A$193:$U$275</definedName>
    <definedName name="_96PAGE_4" localSheetId="10">'Dec 08'!$A$193:$U$275</definedName>
    <definedName name="_97PAGE_4" localSheetId="14">'Dec 09'!$A$194:$U$276</definedName>
    <definedName name="_98PAGE_4" localSheetId="18">'Dec 10'!$A$193:$U$287</definedName>
    <definedName name="_99PAGE_4" localSheetId="22">'Dec 11'!$A$193:$U$287</definedName>
    <definedName name="_9PAGE_1" localSheetId="4">'June 07'!$A$1:$U$64</definedName>
    <definedName name="_xlnm.Print_Area" localSheetId="2">'Dec 06'!$A$1:$V$276</definedName>
    <definedName name="_xlnm.Print_Area" localSheetId="6">'Dec 07'!$A$1:$V$276</definedName>
    <definedName name="_xlnm.Print_Area" localSheetId="10">'Dec 08'!$A$1:$V$276</definedName>
    <definedName name="_xlnm.Print_Area" localSheetId="14">'Dec 09'!$A$1:$V$277</definedName>
    <definedName name="_xlnm.Print_Area" localSheetId="18">'Dec 10'!$A$1:$V$288</definedName>
    <definedName name="_xlnm.Print_Area" localSheetId="22">'Dec 11'!$A$1:$V$288</definedName>
    <definedName name="_xlnm.Print_Area" localSheetId="26">'Dec 12'!$A$1:$V$288</definedName>
    <definedName name="_xlnm.Print_Area" localSheetId="30">'Dec 13'!$A$1:$U$289</definedName>
    <definedName name="_xlnm.Print_Area" localSheetId="34">'Dec 14'!$A$1:$U$289</definedName>
    <definedName name="_xlnm.Print_Area" localSheetId="38">'Dec 15'!$A$1:$U$289</definedName>
    <definedName name="_xlnm.Print_Area" localSheetId="42">'Dec 16'!$A$1:$U$289</definedName>
    <definedName name="_xlnm.Print_Area" localSheetId="46">'Dec 17'!$A$1:$U$293</definedName>
    <definedName name="_xlnm.Print_Area" localSheetId="50">'Dec 18'!$A$1:$U$293</definedName>
    <definedName name="_xlnm.Print_Area" localSheetId="54">'Dec 19'!$A$1:$U$296</definedName>
    <definedName name="_xlnm.Print_Area" localSheetId="0">'June 06'!$A$1:$V$275</definedName>
    <definedName name="_xlnm.Print_Area" localSheetId="4">'June 07'!$A$1:$V$275</definedName>
    <definedName name="_xlnm.Print_Area" localSheetId="8">'June 08'!$A$1:$V$276</definedName>
    <definedName name="_xlnm.Print_Area" localSheetId="12">'June 09'!$A$1:$V$276</definedName>
    <definedName name="_xlnm.Print_Area" localSheetId="16">'June 10'!$A$1:$V$288</definedName>
    <definedName name="_xlnm.Print_Area" localSheetId="20">'June 11'!$A$1:$V$288</definedName>
    <definedName name="_xlnm.Print_Area" localSheetId="24">'June 12'!$A$1:$V$288</definedName>
    <definedName name="_xlnm.Print_Area" localSheetId="28">'June 13'!$A$1:$U$289</definedName>
    <definedName name="_xlnm.Print_Area" localSheetId="32">'June 14'!$A$1:$U$289</definedName>
    <definedName name="_xlnm.Print_Area" localSheetId="36">'June 15'!$A$1:$U$289</definedName>
    <definedName name="_xlnm.Print_Area" localSheetId="40">'June 16'!$A$1:$U$289</definedName>
    <definedName name="_xlnm.Print_Area" localSheetId="44">'June 17'!$A$1:$U$293</definedName>
    <definedName name="_xlnm.Print_Area" localSheetId="48">'June 18'!$A$1:$U$293</definedName>
    <definedName name="_xlnm.Print_Area" localSheetId="52">'June 19'!$A$1:$U$293</definedName>
    <definedName name="_xlnm.Print_Area" localSheetId="56">'June 20'!$A$1:$U$322</definedName>
    <definedName name="_xlnm.Print_Area" localSheetId="55">'Mar 20'!$A$1:$U$310</definedName>
    <definedName name="_xlnm.Print_Area" localSheetId="3">'March 07'!$A$1:$V$276</definedName>
    <definedName name="_xlnm.Print_Area" localSheetId="7">'March 08'!$A$1:$V$276</definedName>
    <definedName name="_xlnm.Print_Area" localSheetId="11">'March 09'!$A$1:$V$276</definedName>
    <definedName name="_xlnm.Print_Area" localSheetId="15">'March 10'!$A$1:$V$277</definedName>
    <definedName name="_xlnm.Print_Area" localSheetId="19">'March 11'!$A$1:$V$288</definedName>
    <definedName name="_xlnm.Print_Area" localSheetId="23">'March 12'!$A$1:$V$288</definedName>
    <definedName name="_xlnm.Print_Area" localSheetId="27">'March 13'!$A$1:$U$289</definedName>
    <definedName name="_xlnm.Print_Area" localSheetId="31">'March 14'!$A$1:$U$289</definedName>
    <definedName name="_xlnm.Print_Area" localSheetId="35">'March 15'!$A$1:$U$289</definedName>
    <definedName name="_xlnm.Print_Area" localSheetId="39">'March 16'!$A$1:$U$289</definedName>
    <definedName name="_xlnm.Print_Area" localSheetId="43">'March 17'!$A$1:$U$293</definedName>
    <definedName name="_xlnm.Print_Area" localSheetId="47">'March 18'!$A$1:$U$293</definedName>
    <definedName name="_xlnm.Print_Area" localSheetId="51">'March 19'!$A$1:$U$293</definedName>
    <definedName name="_xlnm.Print_Area" localSheetId="1">'Sept 06'!$A$1:$V$275</definedName>
    <definedName name="_xlnm.Print_Area" localSheetId="21">'Sept 11'!$A$1:$V$288</definedName>
    <definedName name="_xlnm.Print_Area" localSheetId="25">'Sept 12'!$A$1:$V$288</definedName>
    <definedName name="_xlnm.Print_Area" localSheetId="29">'Sept 13'!$A$1:$U$289</definedName>
    <definedName name="_xlnm.Print_Area" localSheetId="33">'Sept 14'!$A$1:$U$289</definedName>
    <definedName name="_xlnm.Print_Area" localSheetId="37">'Sept 15'!$A$1:$U$289</definedName>
    <definedName name="_xlnm.Print_Area" localSheetId="41">'Sept 16'!$A$1:$U$289</definedName>
    <definedName name="_xlnm.Print_Area" localSheetId="45">'Sept 17'!$A$1:$U$293</definedName>
    <definedName name="_xlnm.Print_Area" localSheetId="49">'Sept 18'!$A$1:$U$293</definedName>
    <definedName name="_xlnm.Print_Area" localSheetId="53">'Sept 19'!$A$1:$U$296</definedName>
    <definedName name="_xlnm.Print_Area" localSheetId="57">'Sept 20'!$A$1:$U$323</definedName>
    <definedName name="_xlnm.Print_Area" localSheetId="5">'September 07'!$A$1:$V$275</definedName>
    <definedName name="_xlnm.Print_Area" localSheetId="9">'September 08'!$A$1:$V$276</definedName>
    <definedName name="_xlnm.Print_Area" localSheetId="13">'September 09'!$A$1:$V$276</definedName>
    <definedName name="_xlnm.Print_Area" localSheetId="17">'September 10'!$A$1:$V$288</definedName>
    <definedName name="_xlnm.Print_Area">'June 06'!$A$1:$U$64</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36" i="59" l="1"/>
  <c r="T104" i="59" l="1"/>
  <c r="T90" i="59"/>
  <c r="T89" i="59"/>
  <c r="T106" i="59"/>
  <c r="R88" i="59"/>
  <c r="J44" i="59"/>
  <c r="F44" i="59"/>
  <c r="D44" i="59"/>
  <c r="T95" i="59" l="1"/>
  <c r="R180" i="59" l="1"/>
  <c r="R182" i="59" s="1"/>
  <c r="Q180" i="59"/>
  <c r="R304" i="59"/>
  <c r="P304" i="59"/>
  <c r="S290" i="59"/>
  <c r="R290" i="59"/>
  <c r="R292" i="59" s="1"/>
  <c r="Q290" i="59"/>
  <c r="P290" i="59"/>
  <c r="R278" i="59"/>
  <c r="P278" i="59"/>
  <c r="R268" i="59"/>
  <c r="P268" i="59"/>
  <c r="R256" i="59"/>
  <c r="P256" i="59"/>
  <c r="R242" i="59"/>
  <c r="P242" i="59"/>
  <c r="R241" i="59"/>
  <c r="P241" i="59"/>
  <c r="R240" i="59"/>
  <c r="P240" i="59"/>
  <c r="R239" i="59"/>
  <c r="P239" i="59"/>
  <c r="R238" i="59"/>
  <c r="P238" i="59"/>
  <c r="R237" i="59"/>
  <c r="P237" i="59"/>
  <c r="R236" i="59"/>
  <c r="P236" i="59"/>
  <c r="R235" i="59"/>
  <c r="P235" i="59"/>
  <c r="R217" i="59"/>
  <c r="Q217" i="59"/>
  <c r="R201" i="59"/>
  <c r="T181" i="59"/>
  <c r="T167" i="59"/>
  <c r="T149" i="59"/>
  <c r="B136" i="59"/>
  <c r="B196" i="59" s="1"/>
  <c r="B322" i="59" s="1"/>
  <c r="R125" i="59"/>
  <c r="R123" i="59"/>
  <c r="R132" i="59" s="1"/>
  <c r="R113" i="59"/>
  <c r="T165" i="59" s="1"/>
  <c r="T166" i="59" s="1"/>
  <c r="T168" i="59" s="1"/>
  <c r="A112" i="59"/>
  <c r="A113" i="59" s="1"/>
  <c r="A114" i="59" s="1"/>
  <c r="A115" i="59" s="1"/>
  <c r="A116" i="59" s="1"/>
  <c r="A117" i="59" s="1"/>
  <c r="A118" i="59" s="1"/>
  <c r="A119" i="59" s="1"/>
  <c r="A120" i="59" s="1"/>
  <c r="A121" i="59" s="1"/>
  <c r="A103" i="59"/>
  <c r="A104" i="59" s="1"/>
  <c r="R98" i="59"/>
  <c r="T97" i="59"/>
  <c r="R96" i="59"/>
  <c r="R100" i="59" s="1"/>
  <c r="L86" i="59"/>
  <c r="T81" i="59"/>
  <c r="T80" i="59"/>
  <c r="R70" i="59"/>
  <c r="P70" i="59"/>
  <c r="N70" i="59"/>
  <c r="L70" i="59"/>
  <c r="L83" i="59" s="1"/>
  <c r="J70" i="59"/>
  <c r="J83" i="59" s="1"/>
  <c r="T67" i="59"/>
  <c r="T70" i="59" s="1"/>
  <c r="P57" i="59"/>
  <c r="P56" i="59"/>
  <c r="T50" i="59"/>
  <c r="J43" i="59"/>
  <c r="F43" i="59"/>
  <c r="D43" i="59"/>
  <c r="N36" i="59"/>
  <c r="L36" i="59"/>
  <c r="J36" i="59"/>
  <c r="H36" i="59"/>
  <c r="F36" i="59"/>
  <c r="D36" i="59"/>
  <c r="N35" i="59"/>
  <c r="L35" i="59"/>
  <c r="J35" i="59"/>
  <c r="H35" i="59"/>
  <c r="F35" i="59"/>
  <c r="D35" i="59"/>
  <c r="T34" i="59"/>
  <c r="T52" i="59" s="1"/>
  <c r="N33" i="59"/>
  <c r="L33" i="59"/>
  <c r="J33" i="59"/>
  <c r="H33" i="59"/>
  <c r="F33" i="59"/>
  <c r="D33" i="59"/>
  <c r="N32" i="59"/>
  <c r="L32" i="59"/>
  <c r="J32" i="59"/>
  <c r="H32" i="59"/>
  <c r="F32" i="59"/>
  <c r="D32" i="59"/>
  <c r="T35" i="59" l="1"/>
  <c r="T43" i="59" s="1"/>
  <c r="R244" i="59"/>
  <c r="R216" i="59"/>
  <c r="P244" i="59"/>
  <c r="Q216" i="59"/>
  <c r="Q278" i="59"/>
  <c r="T96" i="59"/>
  <c r="T100" i="59" s="1"/>
  <c r="S256" i="59"/>
  <c r="T140" i="59"/>
  <c r="P292" i="59"/>
  <c r="T180" i="59"/>
  <c r="T174" i="59"/>
  <c r="T83" i="59"/>
  <c r="T175" i="59" s="1"/>
  <c r="R133" i="59"/>
  <c r="Q182" i="59"/>
  <c r="R221" i="59"/>
  <c r="R222" i="59" s="1"/>
  <c r="P293" i="57"/>
  <c r="Q256" i="59" l="1"/>
  <c r="S268" i="59"/>
  <c r="Q268" i="59"/>
  <c r="S278" i="59"/>
  <c r="Q304" i="59"/>
  <c r="S304" i="59"/>
  <c r="T121" i="59"/>
  <c r="T132" i="59" s="1"/>
  <c r="T133" i="59" s="1"/>
  <c r="Q183" i="59"/>
  <c r="T182" i="59"/>
  <c r="T105" i="58"/>
  <c r="T103" i="58"/>
  <c r="T90" i="58"/>
  <c r="T89" i="58"/>
  <c r="R88" i="58"/>
  <c r="S244" i="59" l="1"/>
  <c r="Q244" i="59"/>
  <c r="R303" i="58"/>
  <c r="S306" i="58" s="1"/>
  <c r="S305" i="58" l="1"/>
  <c r="R277" i="58" l="1"/>
  <c r="S275" i="58" s="1"/>
  <c r="P277" i="58"/>
  <c r="Q274" i="58" s="1"/>
  <c r="S301" i="58"/>
  <c r="P303" i="58"/>
  <c r="S289" i="58"/>
  <c r="R289" i="58"/>
  <c r="Q289" i="58"/>
  <c r="P289" i="58"/>
  <c r="Q216" i="58" s="1"/>
  <c r="R267" i="58"/>
  <c r="S264" i="58" s="1"/>
  <c r="P267" i="58"/>
  <c r="Q265" i="58" s="1"/>
  <c r="R255" i="58"/>
  <c r="S252" i="58" s="1"/>
  <c r="P255" i="58"/>
  <c r="Q253" i="58" s="1"/>
  <c r="R241" i="58"/>
  <c r="P241" i="58"/>
  <c r="R240" i="58"/>
  <c r="P240" i="58"/>
  <c r="R239" i="58"/>
  <c r="P239" i="58"/>
  <c r="R238" i="58"/>
  <c r="P238" i="58"/>
  <c r="R237" i="58"/>
  <c r="P237" i="58"/>
  <c r="R236" i="58"/>
  <c r="P236" i="58"/>
  <c r="R235" i="58"/>
  <c r="P235" i="58"/>
  <c r="R234" i="58"/>
  <c r="P234" i="58"/>
  <c r="R210" i="58"/>
  <c r="R200" i="58"/>
  <c r="T180" i="58"/>
  <c r="T166" i="58"/>
  <c r="T148" i="58"/>
  <c r="B135" i="58"/>
  <c r="B195" i="58" s="1"/>
  <c r="B321" i="58" s="1"/>
  <c r="R124" i="58"/>
  <c r="R122" i="58"/>
  <c r="R112" i="58"/>
  <c r="T164" i="58" s="1"/>
  <c r="R220" i="58" s="1"/>
  <c r="A111" i="58"/>
  <c r="A112" i="58" s="1"/>
  <c r="A113" i="58" s="1"/>
  <c r="A114" i="58" s="1"/>
  <c r="A115" i="58" s="1"/>
  <c r="A116" i="58" s="1"/>
  <c r="A117" i="58" s="1"/>
  <c r="A118" i="58" s="1"/>
  <c r="A119" i="58" s="1"/>
  <c r="A120" i="58" s="1"/>
  <c r="A102" i="58"/>
  <c r="A103" i="58" s="1"/>
  <c r="R97" i="58"/>
  <c r="T96" i="58"/>
  <c r="R95" i="58"/>
  <c r="T95" i="58"/>
  <c r="L86" i="58"/>
  <c r="T81" i="58"/>
  <c r="T80" i="58"/>
  <c r="R70" i="58"/>
  <c r="P70" i="58"/>
  <c r="N70" i="58"/>
  <c r="L70" i="58"/>
  <c r="L83" i="58" s="1"/>
  <c r="J70" i="58"/>
  <c r="J83" i="58" s="1"/>
  <c r="T67" i="58"/>
  <c r="T70" i="58" s="1"/>
  <c r="P57" i="58"/>
  <c r="P56" i="58"/>
  <c r="T50" i="58"/>
  <c r="J43" i="58"/>
  <c r="F43" i="58"/>
  <c r="D43" i="58"/>
  <c r="N36" i="58"/>
  <c r="L36" i="58"/>
  <c r="J36" i="58"/>
  <c r="H36" i="58"/>
  <c r="F36" i="58"/>
  <c r="D36" i="58"/>
  <c r="N35" i="58"/>
  <c r="L35" i="58"/>
  <c r="J35" i="58"/>
  <c r="H35" i="58"/>
  <c r="F35" i="58"/>
  <c r="D35" i="58"/>
  <c r="T34" i="58"/>
  <c r="T139" i="58" s="1"/>
  <c r="N33" i="58"/>
  <c r="L33" i="58"/>
  <c r="J33" i="58"/>
  <c r="H33" i="58"/>
  <c r="F33" i="58"/>
  <c r="D33" i="58"/>
  <c r="N32" i="58"/>
  <c r="L32" i="58"/>
  <c r="J32" i="58"/>
  <c r="H32" i="58"/>
  <c r="F32" i="58"/>
  <c r="D32" i="58"/>
  <c r="Q306" i="58" l="1"/>
  <c r="T99" i="58"/>
  <c r="T120" i="58" s="1"/>
  <c r="T131" i="58" s="1"/>
  <c r="T132" i="58" s="1"/>
  <c r="Q300" i="58"/>
  <c r="Q305" i="58"/>
  <c r="R131" i="58"/>
  <c r="T36" i="58"/>
  <c r="S271" i="58"/>
  <c r="S272" i="58"/>
  <c r="S274" i="58"/>
  <c r="S270" i="58"/>
  <c r="Q272" i="58"/>
  <c r="Q270" i="58"/>
  <c r="Q295" i="58"/>
  <c r="Q296" i="58"/>
  <c r="Q298" i="58"/>
  <c r="Q294" i="58"/>
  <c r="Q299" i="58"/>
  <c r="S263" i="58"/>
  <c r="R215" i="58"/>
  <c r="S259" i="58"/>
  <c r="Q258" i="58"/>
  <c r="Q262" i="58"/>
  <c r="R243" i="58"/>
  <c r="S235" i="58" s="1"/>
  <c r="R291" i="58"/>
  <c r="S304" i="58" s="1"/>
  <c r="S251" i="58"/>
  <c r="S253" i="58"/>
  <c r="S249" i="58"/>
  <c r="S247" i="58"/>
  <c r="Q271" i="58"/>
  <c r="Q273" i="58"/>
  <c r="Q275" i="58"/>
  <c r="S273" i="58"/>
  <c r="S300" i="58"/>
  <c r="Q248" i="58"/>
  <c r="S298" i="58"/>
  <c r="Q301" i="58"/>
  <c r="T51" i="58"/>
  <c r="R99" i="58"/>
  <c r="R216" i="58"/>
  <c r="Q260" i="58"/>
  <c r="Q264" i="58"/>
  <c r="P291" i="58"/>
  <c r="Q304" i="58" s="1"/>
  <c r="S296" i="58"/>
  <c r="T35" i="58"/>
  <c r="T43" i="58" s="1"/>
  <c r="R202" i="58" s="1"/>
  <c r="R203" i="58" s="1"/>
  <c r="P243" i="58"/>
  <c r="Q241" i="58" s="1"/>
  <c r="Q246" i="58"/>
  <c r="Q250" i="58"/>
  <c r="S261" i="58"/>
  <c r="S265" i="58"/>
  <c r="S294" i="58"/>
  <c r="Q297" i="58"/>
  <c r="T173" i="58"/>
  <c r="T83" i="58"/>
  <c r="T174" i="58" s="1"/>
  <c r="T186" i="58"/>
  <c r="S238" i="58"/>
  <c r="Q252" i="58"/>
  <c r="T52" i="58"/>
  <c r="S246" i="58"/>
  <c r="S248" i="58"/>
  <c r="S250" i="58"/>
  <c r="S258" i="58"/>
  <c r="S260" i="58"/>
  <c r="S262" i="58"/>
  <c r="S295" i="58"/>
  <c r="S297" i="58"/>
  <c r="S299" i="58"/>
  <c r="T165" i="58"/>
  <c r="T167" i="58" s="1"/>
  <c r="Q215" i="58"/>
  <c r="Q247" i="58"/>
  <c r="Q249" i="58"/>
  <c r="Q251" i="58"/>
  <c r="Q259" i="58"/>
  <c r="Q261" i="58"/>
  <c r="Q263" i="58"/>
  <c r="R204" i="58" l="1"/>
  <c r="T190" i="58"/>
  <c r="T188" i="58"/>
  <c r="S234" i="58"/>
  <c r="S237" i="58"/>
  <c r="R132" i="58"/>
  <c r="S239" i="58"/>
  <c r="S277" i="58"/>
  <c r="Q277" i="58"/>
  <c r="Q303" i="58"/>
  <c r="S236" i="58"/>
  <c r="S240" i="58"/>
  <c r="S241" i="58"/>
  <c r="Q239" i="58"/>
  <c r="Q236" i="58"/>
  <c r="Q237" i="58"/>
  <c r="Q238" i="58"/>
  <c r="Q255" i="58"/>
  <c r="Q234" i="58"/>
  <c r="Q235" i="58"/>
  <c r="Q267" i="58"/>
  <c r="S303" i="58"/>
  <c r="Q240" i="58"/>
  <c r="S255" i="58"/>
  <c r="S267" i="58"/>
  <c r="T105" i="57"/>
  <c r="T103" i="57"/>
  <c r="T90" i="57"/>
  <c r="T89" i="57"/>
  <c r="R88" i="57"/>
  <c r="S243" i="58" l="1"/>
  <c r="Q243" i="58"/>
  <c r="J44" i="57"/>
  <c r="F44" i="57"/>
  <c r="D44" i="57"/>
  <c r="R293" i="57" l="1"/>
  <c r="S285" i="57"/>
  <c r="S286" i="57"/>
  <c r="S288" i="57"/>
  <c r="S289" i="57"/>
  <c r="S290" i="57"/>
  <c r="S291" i="57"/>
  <c r="S284" i="57"/>
  <c r="Q286" i="57"/>
  <c r="Q287" i="57"/>
  <c r="Q288" i="57"/>
  <c r="Q289" i="57"/>
  <c r="Q290" i="57"/>
  <c r="Q291" i="57"/>
  <c r="Q285" i="57"/>
  <c r="Q284" i="57"/>
  <c r="Q293" i="57" s="1"/>
  <c r="S287" i="57" l="1"/>
  <c r="S293" i="57" s="1"/>
  <c r="S279" i="57"/>
  <c r="R279" i="57"/>
  <c r="R216" i="57" s="1"/>
  <c r="Q279" i="57"/>
  <c r="P279" i="57"/>
  <c r="R267" i="57"/>
  <c r="S262" i="57" s="1"/>
  <c r="P267" i="57"/>
  <c r="Q265" i="57" s="1"/>
  <c r="R255" i="57"/>
  <c r="S252" i="57" s="1"/>
  <c r="P255" i="57"/>
  <c r="Q253" i="57" s="1"/>
  <c r="R241" i="57"/>
  <c r="P241" i="57"/>
  <c r="R240" i="57"/>
  <c r="P240" i="57"/>
  <c r="R239" i="57"/>
  <c r="P239" i="57"/>
  <c r="R238" i="57"/>
  <c r="P238" i="57"/>
  <c r="R237" i="57"/>
  <c r="P237" i="57"/>
  <c r="R236" i="57"/>
  <c r="P236" i="57"/>
  <c r="R235" i="57"/>
  <c r="P235" i="57"/>
  <c r="R234" i="57"/>
  <c r="P234" i="57"/>
  <c r="Q216" i="57"/>
  <c r="R210" i="57"/>
  <c r="R200" i="57"/>
  <c r="T180" i="57"/>
  <c r="T166" i="57"/>
  <c r="T164" i="57"/>
  <c r="R220" i="57" s="1"/>
  <c r="T148" i="57"/>
  <c r="B135" i="57"/>
  <c r="B195" i="57" s="1"/>
  <c r="B309" i="57" s="1"/>
  <c r="R124" i="57"/>
  <c r="R122" i="57"/>
  <c r="R131" i="57" s="1"/>
  <c r="R112" i="57"/>
  <c r="A111" i="57"/>
  <c r="A112" i="57" s="1"/>
  <c r="A113" i="57" s="1"/>
  <c r="A114" i="57" s="1"/>
  <c r="A115" i="57" s="1"/>
  <c r="A116" i="57" s="1"/>
  <c r="A117" i="57" s="1"/>
  <c r="A118" i="57" s="1"/>
  <c r="A119" i="57" s="1"/>
  <c r="A120" i="57" s="1"/>
  <c r="A103" i="57"/>
  <c r="A102" i="57"/>
  <c r="R97" i="57"/>
  <c r="T96" i="57"/>
  <c r="T95" i="57"/>
  <c r="T99" i="57" s="1"/>
  <c r="R95" i="57"/>
  <c r="L86" i="57"/>
  <c r="T81" i="57"/>
  <c r="T80" i="57"/>
  <c r="R70" i="57"/>
  <c r="P70" i="57"/>
  <c r="N70" i="57"/>
  <c r="L70" i="57"/>
  <c r="L83" i="57" s="1"/>
  <c r="J70" i="57"/>
  <c r="J83" i="57" s="1"/>
  <c r="T67" i="57"/>
  <c r="T70" i="57" s="1"/>
  <c r="P57" i="57"/>
  <c r="P56" i="57"/>
  <c r="T50" i="57"/>
  <c r="J43" i="57"/>
  <c r="F43" i="57"/>
  <c r="D43" i="57"/>
  <c r="N36" i="57"/>
  <c r="L36" i="57"/>
  <c r="J36" i="57"/>
  <c r="H36" i="57"/>
  <c r="F36" i="57"/>
  <c r="D36" i="57"/>
  <c r="N35" i="57"/>
  <c r="L35" i="57"/>
  <c r="J35" i="57"/>
  <c r="H35" i="57"/>
  <c r="F35" i="57"/>
  <c r="D35" i="57"/>
  <c r="T34" i="57"/>
  <c r="T139" i="57" s="1"/>
  <c r="N33" i="57"/>
  <c r="L33" i="57"/>
  <c r="J33" i="57"/>
  <c r="H33" i="57"/>
  <c r="F33" i="57"/>
  <c r="D33" i="57"/>
  <c r="N32" i="57"/>
  <c r="L32" i="57"/>
  <c r="J32" i="57"/>
  <c r="H32" i="57"/>
  <c r="F32" i="57"/>
  <c r="D32" i="57"/>
  <c r="T35" i="57" l="1"/>
  <c r="T43" i="57" s="1"/>
  <c r="R202" i="57" s="1"/>
  <c r="R203" i="57" s="1"/>
  <c r="R99" i="57"/>
  <c r="R132" i="57"/>
  <c r="T51" i="57"/>
  <c r="T36" i="57"/>
  <c r="S261" i="57"/>
  <c r="S265" i="57"/>
  <c r="S259" i="57"/>
  <c r="S263" i="57"/>
  <c r="S260" i="57"/>
  <c r="S264" i="57"/>
  <c r="R215" i="57"/>
  <c r="S258" i="57"/>
  <c r="Q264" i="57"/>
  <c r="Q258" i="57"/>
  <c r="Q262" i="57"/>
  <c r="Q260" i="57"/>
  <c r="S249" i="57"/>
  <c r="S253" i="57"/>
  <c r="S247" i="57"/>
  <c r="R243" i="57"/>
  <c r="S238" i="57" s="1"/>
  <c r="S251" i="57"/>
  <c r="S246" i="57"/>
  <c r="S250" i="57"/>
  <c r="S248" i="57"/>
  <c r="R281" i="57"/>
  <c r="R294" i="57" s="1"/>
  <c r="Q248" i="57"/>
  <c r="P281" i="57"/>
  <c r="P294" i="57" s="1"/>
  <c r="Q246" i="57"/>
  <c r="Q252" i="57"/>
  <c r="Q250" i="57"/>
  <c r="T188" i="57"/>
  <c r="R204" i="57"/>
  <c r="T190" i="57"/>
  <c r="T186" i="57"/>
  <c r="T120" i="57"/>
  <c r="T131" i="57" s="1"/>
  <c r="T132" i="57" s="1"/>
  <c r="T83" i="57"/>
  <c r="T174" i="57" s="1"/>
  <c r="T173" i="57"/>
  <c r="T52" i="57"/>
  <c r="T165" i="57"/>
  <c r="T167" i="57" s="1"/>
  <c r="P243" i="57"/>
  <c r="Q239" i="57" s="1"/>
  <c r="Q215" i="57"/>
  <c r="Q247" i="57"/>
  <c r="Q249" i="57"/>
  <c r="Q251" i="57"/>
  <c r="Q259" i="57"/>
  <c r="Q261" i="57"/>
  <c r="Q263" i="57"/>
  <c r="T106" i="56"/>
  <c r="T105" i="56"/>
  <c r="T103" i="56"/>
  <c r="T90" i="56"/>
  <c r="T89" i="56"/>
  <c r="R88" i="56"/>
  <c r="J44" i="56"/>
  <c r="F44" i="56"/>
  <c r="D44" i="56"/>
  <c r="Q267" i="57" l="1"/>
  <c r="S267" i="57"/>
  <c r="S234" i="57"/>
  <c r="S240" i="57"/>
  <c r="S235" i="57"/>
  <c r="S241" i="57"/>
  <c r="S255" i="57"/>
  <c r="S239" i="57"/>
  <c r="S237" i="57"/>
  <c r="S236" i="57"/>
  <c r="Q255" i="57"/>
  <c r="Q234" i="57"/>
  <c r="Q237" i="57"/>
  <c r="Q240" i="57"/>
  <c r="Q238" i="57"/>
  <c r="Q241" i="57"/>
  <c r="Q235" i="57"/>
  <c r="Q236" i="57"/>
  <c r="S279" i="56"/>
  <c r="R279" i="56"/>
  <c r="R216" i="56" s="1"/>
  <c r="Q279" i="56"/>
  <c r="P279" i="56"/>
  <c r="R267" i="56"/>
  <c r="S262" i="56" s="1"/>
  <c r="P267" i="56"/>
  <c r="Q265" i="56" s="1"/>
  <c r="R255" i="56"/>
  <c r="S253" i="56" s="1"/>
  <c r="P255" i="56"/>
  <c r="Q253" i="56" s="1"/>
  <c r="R241" i="56"/>
  <c r="P241" i="56"/>
  <c r="R240" i="56"/>
  <c r="P240" i="56"/>
  <c r="R239" i="56"/>
  <c r="P239" i="56"/>
  <c r="R238" i="56"/>
  <c r="P238" i="56"/>
  <c r="R237" i="56"/>
  <c r="P237" i="56"/>
  <c r="R236" i="56"/>
  <c r="P236" i="56"/>
  <c r="R235" i="56"/>
  <c r="P235" i="56"/>
  <c r="R234" i="56"/>
  <c r="P234" i="56"/>
  <c r="Q216" i="56"/>
  <c r="R210" i="56"/>
  <c r="R200" i="56"/>
  <c r="T180" i="56"/>
  <c r="T166" i="56"/>
  <c r="T148" i="56"/>
  <c r="B135" i="56"/>
  <c r="B195" i="56" s="1"/>
  <c r="B295" i="56" s="1"/>
  <c r="R124" i="56"/>
  <c r="R131" i="56" s="1"/>
  <c r="R122" i="56"/>
  <c r="R112" i="56"/>
  <c r="T164" i="56" s="1"/>
  <c r="A111" i="56"/>
  <c r="A112" i="56" s="1"/>
  <c r="A113" i="56" s="1"/>
  <c r="A114" i="56" s="1"/>
  <c r="A115" i="56" s="1"/>
  <c r="A116" i="56" s="1"/>
  <c r="A117" i="56" s="1"/>
  <c r="A118" i="56" s="1"/>
  <c r="A119" i="56" s="1"/>
  <c r="A120" i="56" s="1"/>
  <c r="A102" i="56"/>
  <c r="A103" i="56" s="1"/>
  <c r="R97" i="56"/>
  <c r="T96" i="56"/>
  <c r="T95" i="56"/>
  <c r="T99" i="56" s="1"/>
  <c r="R95" i="56"/>
  <c r="R99" i="56" s="1"/>
  <c r="L86" i="56"/>
  <c r="T81" i="56"/>
  <c r="T80" i="56"/>
  <c r="R70" i="56"/>
  <c r="P70" i="56"/>
  <c r="L70" i="56"/>
  <c r="L83" i="56" s="1"/>
  <c r="J70" i="56"/>
  <c r="J83" i="56" s="1"/>
  <c r="T67" i="56"/>
  <c r="T70" i="56" s="1"/>
  <c r="N70" i="56"/>
  <c r="P57" i="56"/>
  <c r="P56" i="56"/>
  <c r="T50" i="56"/>
  <c r="J43" i="56"/>
  <c r="F43" i="56"/>
  <c r="D43" i="56"/>
  <c r="N36" i="56"/>
  <c r="L36" i="56"/>
  <c r="J36" i="56"/>
  <c r="H36" i="56"/>
  <c r="F36" i="56"/>
  <c r="D36" i="56"/>
  <c r="N35" i="56"/>
  <c r="L35" i="56"/>
  <c r="J35" i="56"/>
  <c r="H35" i="56"/>
  <c r="F35" i="56"/>
  <c r="D35" i="56"/>
  <c r="T34" i="56"/>
  <c r="T139" i="56" s="1"/>
  <c r="N33" i="56"/>
  <c r="L33" i="56"/>
  <c r="J33" i="56"/>
  <c r="H33" i="56"/>
  <c r="F33" i="56"/>
  <c r="D33" i="56"/>
  <c r="N32" i="56"/>
  <c r="L32" i="56"/>
  <c r="J32" i="56"/>
  <c r="H32" i="56"/>
  <c r="F32" i="56"/>
  <c r="D32" i="56"/>
  <c r="T35" i="56" l="1"/>
  <c r="S243" i="57"/>
  <c r="Q243" i="57"/>
  <c r="R132" i="56"/>
  <c r="T43" i="56"/>
  <c r="R202" i="56" s="1"/>
  <c r="R203" i="56" s="1"/>
  <c r="T36" i="56"/>
  <c r="T51" i="56"/>
  <c r="S259" i="56"/>
  <c r="S263" i="56"/>
  <c r="S260" i="56"/>
  <c r="S264" i="56"/>
  <c r="S261" i="56"/>
  <c r="S265" i="56"/>
  <c r="R215" i="56"/>
  <c r="S258" i="56"/>
  <c r="Q258" i="56"/>
  <c r="Q264" i="56"/>
  <c r="Q262" i="56"/>
  <c r="Q260" i="56"/>
  <c r="R281" i="56"/>
  <c r="S246" i="56"/>
  <c r="R243" i="56"/>
  <c r="S239" i="56" s="1"/>
  <c r="S250" i="56"/>
  <c r="S247" i="56"/>
  <c r="S251" i="56"/>
  <c r="S252" i="56"/>
  <c r="S248" i="56"/>
  <c r="S249" i="56"/>
  <c r="Q252" i="56"/>
  <c r="P281" i="56"/>
  <c r="Q250" i="56"/>
  <c r="Q246" i="56"/>
  <c r="Q248" i="56"/>
  <c r="R220" i="56"/>
  <c r="T165" i="56"/>
  <c r="T167" i="56" s="1"/>
  <c r="T83" i="56"/>
  <c r="T174" i="56" s="1"/>
  <c r="T173" i="56"/>
  <c r="T188" i="56"/>
  <c r="T186" i="56"/>
  <c r="R204" i="56"/>
  <c r="T120" i="56"/>
  <c r="T131" i="56" s="1"/>
  <c r="T132" i="56" s="1"/>
  <c r="T190" i="56"/>
  <c r="T52" i="56"/>
  <c r="P243" i="56"/>
  <c r="Q235" i="56" s="1"/>
  <c r="Q215" i="56"/>
  <c r="Q247" i="56"/>
  <c r="Q249" i="56"/>
  <c r="Q251" i="56"/>
  <c r="Q259" i="56"/>
  <c r="Q261" i="56"/>
  <c r="Q263" i="56"/>
  <c r="S267" i="56" l="1"/>
  <c r="S241" i="56"/>
  <c r="Q267" i="56"/>
  <c r="S236" i="56"/>
  <c r="S237" i="56"/>
  <c r="S234" i="56"/>
  <c r="S238" i="56"/>
  <c r="S235" i="56"/>
  <c r="S240" i="56"/>
  <c r="S255" i="56"/>
  <c r="Q255" i="56"/>
  <c r="Q240" i="56"/>
  <c r="Q236" i="56"/>
  <c r="Q234" i="56"/>
  <c r="Q241" i="56"/>
  <c r="Q239" i="56"/>
  <c r="Q237" i="56"/>
  <c r="Q238" i="56"/>
  <c r="T168" i="55"/>
  <c r="S243" i="56" l="1"/>
  <c r="Q243" i="56"/>
  <c r="T105" i="55"/>
  <c r="T103" i="55"/>
  <c r="T90" i="55"/>
  <c r="T89" i="55"/>
  <c r="R88" i="55"/>
  <c r="N67" i="55"/>
  <c r="J44" i="55" l="1"/>
  <c r="F44" i="55"/>
  <c r="D44" i="55"/>
  <c r="S279" i="55" l="1"/>
  <c r="R279" i="55"/>
  <c r="R216" i="55" s="1"/>
  <c r="Q279" i="55"/>
  <c r="P279" i="55"/>
  <c r="R267" i="55"/>
  <c r="S264" i="55" s="1"/>
  <c r="P267" i="55"/>
  <c r="Q265" i="55" s="1"/>
  <c r="R255" i="55"/>
  <c r="S252" i="55" s="1"/>
  <c r="P255" i="55"/>
  <c r="Q253" i="55" s="1"/>
  <c r="R241" i="55"/>
  <c r="P241" i="55"/>
  <c r="R240" i="55"/>
  <c r="P240" i="55"/>
  <c r="R239" i="55"/>
  <c r="P239" i="55"/>
  <c r="R238" i="55"/>
  <c r="P238" i="55"/>
  <c r="R237" i="55"/>
  <c r="P237" i="55"/>
  <c r="R236" i="55"/>
  <c r="P236" i="55"/>
  <c r="R235" i="55"/>
  <c r="P235" i="55"/>
  <c r="R234" i="55"/>
  <c r="P234" i="55"/>
  <c r="Q216" i="55"/>
  <c r="R200" i="55"/>
  <c r="T180" i="55"/>
  <c r="T166" i="55"/>
  <c r="T148" i="55"/>
  <c r="B135" i="55"/>
  <c r="B195" i="55" s="1"/>
  <c r="B295" i="55" s="1"/>
  <c r="R124" i="55"/>
  <c r="R122" i="55"/>
  <c r="R112" i="55"/>
  <c r="T164" i="55" s="1"/>
  <c r="A111" i="55"/>
  <c r="A112" i="55" s="1"/>
  <c r="A113" i="55" s="1"/>
  <c r="A114" i="55" s="1"/>
  <c r="A115" i="55" s="1"/>
  <c r="A116" i="55" s="1"/>
  <c r="A117" i="55" s="1"/>
  <c r="A118" i="55" s="1"/>
  <c r="A119" i="55" s="1"/>
  <c r="A120" i="55" s="1"/>
  <c r="A102" i="55"/>
  <c r="A103" i="55" s="1"/>
  <c r="R97" i="55"/>
  <c r="T96" i="55"/>
  <c r="T95" i="55"/>
  <c r="R95" i="55"/>
  <c r="L86" i="55"/>
  <c r="T81" i="55"/>
  <c r="T80" i="55"/>
  <c r="R70" i="55"/>
  <c r="P70" i="55"/>
  <c r="L70" i="55"/>
  <c r="L83" i="55" s="1"/>
  <c r="J70" i="55"/>
  <c r="J83" i="55" s="1"/>
  <c r="T67" i="55"/>
  <c r="T70" i="55" s="1"/>
  <c r="N70" i="55"/>
  <c r="P57" i="55"/>
  <c r="P56" i="55"/>
  <c r="T50" i="55"/>
  <c r="J43" i="55"/>
  <c r="F43" i="55"/>
  <c r="D43" i="55"/>
  <c r="N36" i="55"/>
  <c r="L36" i="55"/>
  <c r="J36" i="55"/>
  <c r="H36" i="55"/>
  <c r="F36" i="55"/>
  <c r="D36" i="55"/>
  <c r="N35" i="55"/>
  <c r="L35" i="55"/>
  <c r="J35" i="55"/>
  <c r="H35" i="55"/>
  <c r="F35" i="55"/>
  <c r="D35" i="55"/>
  <c r="T34" i="55"/>
  <c r="T139" i="55" s="1"/>
  <c r="N33" i="55"/>
  <c r="L33" i="55"/>
  <c r="J33" i="55"/>
  <c r="H33" i="55"/>
  <c r="F33" i="55"/>
  <c r="D33" i="55"/>
  <c r="N32" i="55"/>
  <c r="L32" i="55"/>
  <c r="J32" i="55"/>
  <c r="H32" i="55"/>
  <c r="F32" i="55"/>
  <c r="D32" i="55"/>
  <c r="T36" i="55" l="1"/>
  <c r="R99" i="55"/>
  <c r="R131" i="55"/>
  <c r="T35" i="55"/>
  <c r="T43" i="55" s="1"/>
  <c r="R202" i="55" s="1"/>
  <c r="R203" i="55" s="1"/>
  <c r="T99" i="55"/>
  <c r="T120" i="55" s="1"/>
  <c r="T131" i="55" s="1"/>
  <c r="T51" i="55"/>
  <c r="S261" i="55"/>
  <c r="S263" i="55"/>
  <c r="S265" i="55"/>
  <c r="R215" i="55"/>
  <c r="S259" i="55"/>
  <c r="Q215" i="55"/>
  <c r="Q258" i="55"/>
  <c r="Q262" i="55"/>
  <c r="Q264" i="55"/>
  <c r="Q260" i="55"/>
  <c r="R243" i="55"/>
  <c r="S239" i="55" s="1"/>
  <c r="S253" i="55"/>
  <c r="S247" i="55"/>
  <c r="S249" i="55"/>
  <c r="S251" i="55"/>
  <c r="R281" i="55"/>
  <c r="Q248" i="55"/>
  <c r="Q246" i="55"/>
  <c r="Q250" i="55"/>
  <c r="Q252" i="55"/>
  <c r="P281" i="55"/>
  <c r="R220" i="55"/>
  <c r="T165" i="55"/>
  <c r="T167" i="55" s="1"/>
  <c r="T83" i="55"/>
  <c r="T174" i="55" s="1"/>
  <c r="T173" i="55"/>
  <c r="T188" i="55"/>
  <c r="T186" i="55"/>
  <c r="R204" i="55"/>
  <c r="T190" i="55"/>
  <c r="T132" i="55"/>
  <c r="P243" i="55"/>
  <c r="Q236" i="55" s="1"/>
  <c r="T52" i="55"/>
  <c r="R210" i="55"/>
  <c r="S246" i="55"/>
  <c r="S248" i="55"/>
  <c r="S250" i="55"/>
  <c r="S258" i="55"/>
  <c r="S260" i="55"/>
  <c r="S262" i="55"/>
  <c r="Q247" i="55"/>
  <c r="Q249" i="55"/>
  <c r="Q251" i="55"/>
  <c r="Q259" i="55"/>
  <c r="Q261" i="55"/>
  <c r="Q263" i="55"/>
  <c r="T105" i="54"/>
  <c r="T103" i="54"/>
  <c r="T90" i="54"/>
  <c r="T89" i="54"/>
  <c r="R88" i="54"/>
  <c r="N67" i="54"/>
  <c r="R132" i="55" l="1"/>
  <c r="Q267" i="55"/>
  <c r="S236" i="55"/>
  <c r="S238" i="55"/>
  <c r="S240" i="55"/>
  <c r="S234" i="55"/>
  <c r="S237" i="55"/>
  <c r="S241" i="55"/>
  <c r="S235" i="55"/>
  <c r="Q255" i="55"/>
  <c r="Q241" i="55"/>
  <c r="S255" i="55"/>
  <c r="Q239" i="55"/>
  <c r="Q234" i="55"/>
  <c r="Q240" i="55"/>
  <c r="S267" i="55"/>
  <c r="Q237" i="55"/>
  <c r="Q238" i="55"/>
  <c r="Q235" i="55"/>
  <c r="J44" i="54"/>
  <c r="F44" i="54"/>
  <c r="D44" i="54"/>
  <c r="S243" i="55" l="1"/>
  <c r="Q243" i="55"/>
  <c r="S276" i="54"/>
  <c r="R276" i="54"/>
  <c r="R213" i="54" s="1"/>
  <c r="Q276" i="54"/>
  <c r="P276" i="54"/>
  <c r="R264" i="54"/>
  <c r="S259" i="54" s="1"/>
  <c r="P264" i="54"/>
  <c r="Q262" i="54" s="1"/>
  <c r="R252" i="54"/>
  <c r="S249" i="54" s="1"/>
  <c r="P252" i="54"/>
  <c r="Q250" i="54" s="1"/>
  <c r="R238" i="54"/>
  <c r="P238" i="54"/>
  <c r="R237" i="54"/>
  <c r="P237" i="54"/>
  <c r="R236" i="54"/>
  <c r="P236" i="54"/>
  <c r="R235" i="54"/>
  <c r="P235" i="54"/>
  <c r="R234" i="54"/>
  <c r="P234" i="54"/>
  <c r="R233" i="54"/>
  <c r="P233" i="54"/>
  <c r="R232" i="54"/>
  <c r="P232" i="54"/>
  <c r="R231" i="54"/>
  <c r="P231" i="54"/>
  <c r="Q213" i="54"/>
  <c r="R197" i="54"/>
  <c r="T177" i="54"/>
  <c r="T163" i="54"/>
  <c r="T145" i="54"/>
  <c r="B132" i="54"/>
  <c r="B192" i="54" s="1"/>
  <c r="B292" i="54" s="1"/>
  <c r="R121" i="54"/>
  <c r="R119" i="54"/>
  <c r="R128" i="54" s="1"/>
  <c r="R112" i="54"/>
  <c r="T161" i="54" s="1"/>
  <c r="A111" i="54"/>
  <c r="A112" i="54" s="1"/>
  <c r="A113" i="54" s="1"/>
  <c r="A114" i="54" s="1"/>
  <c r="A115" i="54" s="1"/>
  <c r="A116" i="54" s="1"/>
  <c r="A117" i="54" s="1"/>
  <c r="A102" i="54"/>
  <c r="A103" i="54" s="1"/>
  <c r="R97" i="54"/>
  <c r="T96" i="54"/>
  <c r="T95" i="54"/>
  <c r="T99" i="54" s="1"/>
  <c r="R95" i="54"/>
  <c r="L86" i="54"/>
  <c r="T81" i="54"/>
  <c r="T80" i="54"/>
  <c r="R70" i="54"/>
  <c r="P70" i="54"/>
  <c r="L70" i="54"/>
  <c r="L83" i="54" s="1"/>
  <c r="J70" i="54"/>
  <c r="J83" i="54" s="1"/>
  <c r="T67" i="54"/>
  <c r="T70" i="54" s="1"/>
  <c r="R207" i="54"/>
  <c r="P57" i="54"/>
  <c r="P56" i="54"/>
  <c r="T50" i="54"/>
  <c r="J43" i="54"/>
  <c r="F43" i="54"/>
  <c r="D43" i="54"/>
  <c r="N36" i="54"/>
  <c r="L36" i="54"/>
  <c r="J36" i="54"/>
  <c r="H36" i="54"/>
  <c r="F36" i="54"/>
  <c r="D36" i="54"/>
  <c r="N35" i="54"/>
  <c r="L35" i="54"/>
  <c r="J35" i="54"/>
  <c r="H35" i="54"/>
  <c r="F35" i="54"/>
  <c r="D35" i="54"/>
  <c r="T34" i="54"/>
  <c r="T52" i="54" s="1"/>
  <c r="N33" i="54"/>
  <c r="L33" i="54"/>
  <c r="J33" i="54"/>
  <c r="H33" i="54"/>
  <c r="F33" i="54"/>
  <c r="D33" i="54"/>
  <c r="N32" i="54"/>
  <c r="L32" i="54"/>
  <c r="J32" i="54"/>
  <c r="H32" i="54"/>
  <c r="F32" i="54"/>
  <c r="D32" i="54"/>
  <c r="R99" i="54" l="1"/>
  <c r="R129" i="54" s="1"/>
  <c r="T35" i="54"/>
  <c r="T43" i="54" s="1"/>
  <c r="R199" i="54" s="1"/>
  <c r="R200" i="54" s="1"/>
  <c r="T51" i="54"/>
  <c r="T36" i="54"/>
  <c r="S256" i="54"/>
  <c r="S257" i="54"/>
  <c r="S261" i="54"/>
  <c r="S258" i="54"/>
  <c r="S262" i="54"/>
  <c r="S260" i="54"/>
  <c r="R212" i="54"/>
  <c r="S255" i="54"/>
  <c r="Q212" i="54"/>
  <c r="Q255" i="54"/>
  <c r="Q261" i="54"/>
  <c r="Q259" i="54"/>
  <c r="Q257" i="54"/>
  <c r="S244" i="54"/>
  <c r="R240" i="54"/>
  <c r="S238" i="54" s="1"/>
  <c r="S250" i="54"/>
  <c r="S246" i="54"/>
  <c r="S247" i="54"/>
  <c r="S243" i="54"/>
  <c r="S248" i="54"/>
  <c r="S245" i="54"/>
  <c r="R278" i="54"/>
  <c r="Q243" i="54"/>
  <c r="Q245" i="54"/>
  <c r="P278" i="54"/>
  <c r="Q249" i="54"/>
  <c r="Q247" i="54"/>
  <c r="T185" i="54"/>
  <c r="T183" i="54"/>
  <c r="T187" i="54"/>
  <c r="R201" i="54"/>
  <c r="T117" i="54"/>
  <c r="T128" i="54" s="1"/>
  <c r="T129" i="54" s="1"/>
  <c r="T170" i="54"/>
  <c r="T83" i="54"/>
  <c r="T171" i="54" s="1"/>
  <c r="R217" i="54"/>
  <c r="T162" i="54"/>
  <c r="T164" i="54" s="1"/>
  <c r="T136" i="54"/>
  <c r="P240" i="54"/>
  <c r="Q234" i="54" s="1"/>
  <c r="N70" i="54"/>
  <c r="Q244" i="54"/>
  <c r="Q246" i="54"/>
  <c r="Q248" i="54"/>
  <c r="Q256" i="54"/>
  <c r="Q258" i="54"/>
  <c r="Q260" i="54"/>
  <c r="T105" i="53"/>
  <c r="T103" i="53"/>
  <c r="T90" i="53"/>
  <c r="T89" i="53"/>
  <c r="R88" i="53"/>
  <c r="N67" i="53"/>
  <c r="S264" i="54" l="1"/>
  <c r="S232" i="54"/>
  <c r="S231" i="54"/>
  <c r="S233" i="54"/>
  <c r="S235" i="54"/>
  <c r="S236" i="54"/>
  <c r="S237" i="54"/>
  <c r="S234" i="54"/>
  <c r="Q264" i="54"/>
  <c r="S252" i="54"/>
  <c r="Q238" i="54"/>
  <c r="Q237" i="54"/>
  <c r="Q233" i="54"/>
  <c r="Q232" i="54"/>
  <c r="Q252" i="54"/>
  <c r="Q235" i="54"/>
  <c r="Q231" i="54"/>
  <c r="Q236" i="54"/>
  <c r="T165" i="53"/>
  <c r="S240" i="54" l="1"/>
  <c r="Q240" i="54"/>
  <c r="S276" i="53"/>
  <c r="R276" i="53"/>
  <c r="Q276" i="53"/>
  <c r="P276" i="53"/>
  <c r="R264" i="53"/>
  <c r="S262" i="53" s="1"/>
  <c r="P264" i="53"/>
  <c r="Q262" i="53" s="1"/>
  <c r="R252" i="53"/>
  <c r="S250" i="53" s="1"/>
  <c r="P252" i="53"/>
  <c r="Q249" i="53" s="1"/>
  <c r="R238" i="53"/>
  <c r="P238" i="53"/>
  <c r="R237" i="53"/>
  <c r="P237" i="53"/>
  <c r="R236" i="53"/>
  <c r="P236" i="53"/>
  <c r="R235" i="53"/>
  <c r="P235" i="53"/>
  <c r="R234" i="53"/>
  <c r="P234" i="53"/>
  <c r="R233" i="53"/>
  <c r="P233" i="53"/>
  <c r="R232" i="53"/>
  <c r="P232" i="53"/>
  <c r="R231" i="53"/>
  <c r="P231" i="53"/>
  <c r="Q213" i="53"/>
  <c r="R197" i="53"/>
  <c r="T177" i="53"/>
  <c r="T163" i="53"/>
  <c r="T145" i="53"/>
  <c r="B132" i="53"/>
  <c r="B192" i="53" s="1"/>
  <c r="B292" i="53" s="1"/>
  <c r="R121" i="53"/>
  <c r="R119" i="53"/>
  <c r="R112" i="53"/>
  <c r="T161" i="53" s="1"/>
  <c r="A111" i="53"/>
  <c r="A112" i="53" s="1"/>
  <c r="A113" i="53" s="1"/>
  <c r="A114" i="53" s="1"/>
  <c r="A115" i="53" s="1"/>
  <c r="A116" i="53" s="1"/>
  <c r="A117" i="53" s="1"/>
  <c r="A102" i="53"/>
  <c r="A103" i="53" s="1"/>
  <c r="R97" i="53"/>
  <c r="T96" i="53"/>
  <c r="R95" i="53"/>
  <c r="R99" i="53" s="1"/>
  <c r="L86" i="53"/>
  <c r="T81" i="53"/>
  <c r="T80" i="53"/>
  <c r="R70" i="53"/>
  <c r="P70" i="53"/>
  <c r="N70" i="53"/>
  <c r="L70" i="53"/>
  <c r="L83" i="53" s="1"/>
  <c r="J70" i="53"/>
  <c r="J83" i="53" s="1"/>
  <c r="P57" i="53"/>
  <c r="P56" i="53"/>
  <c r="T50" i="53"/>
  <c r="J43" i="53"/>
  <c r="F43" i="53"/>
  <c r="D43" i="53"/>
  <c r="N36" i="53"/>
  <c r="L36" i="53"/>
  <c r="J36" i="53"/>
  <c r="H36" i="53"/>
  <c r="F36" i="53"/>
  <c r="D36" i="53"/>
  <c r="N35" i="53"/>
  <c r="L35" i="53"/>
  <c r="J35" i="53"/>
  <c r="H35" i="53"/>
  <c r="F35" i="53"/>
  <c r="D35" i="53"/>
  <c r="T34" i="53"/>
  <c r="T136" i="53" s="1"/>
  <c r="N33" i="53"/>
  <c r="L33" i="53"/>
  <c r="J33" i="53"/>
  <c r="H33" i="53"/>
  <c r="F33" i="53"/>
  <c r="D33" i="53"/>
  <c r="N32" i="53"/>
  <c r="L32" i="53"/>
  <c r="J32" i="53"/>
  <c r="H32" i="53"/>
  <c r="F32" i="53"/>
  <c r="D32" i="53"/>
  <c r="Q212" i="53" l="1"/>
  <c r="R278" i="53"/>
  <c r="Q244" i="53"/>
  <c r="Q246" i="53"/>
  <c r="Q248" i="53"/>
  <c r="Q243" i="53"/>
  <c r="Q250" i="53"/>
  <c r="Q247" i="53"/>
  <c r="Q245" i="53"/>
  <c r="Q255" i="53"/>
  <c r="Q259" i="53"/>
  <c r="T35" i="53"/>
  <c r="T43" i="53" s="1"/>
  <c r="R199" i="53" s="1"/>
  <c r="R200" i="53" s="1"/>
  <c r="T95" i="53"/>
  <c r="T99" i="53" s="1"/>
  <c r="T117" i="53" s="1"/>
  <c r="T128" i="53" s="1"/>
  <c r="T129" i="53" s="1"/>
  <c r="Q256" i="53"/>
  <c r="Q260" i="53"/>
  <c r="T51" i="53"/>
  <c r="Q257" i="53"/>
  <c r="Q261" i="53"/>
  <c r="P278" i="53"/>
  <c r="R128" i="53"/>
  <c r="R129" i="53" s="1"/>
  <c r="Q258" i="53"/>
  <c r="R217" i="53"/>
  <c r="T162" i="53"/>
  <c r="T164" i="53" s="1"/>
  <c r="T36" i="53"/>
  <c r="R207" i="53"/>
  <c r="T67" i="53"/>
  <c r="T70" i="53" s="1"/>
  <c r="P240" i="53"/>
  <c r="Q232" i="53" s="1"/>
  <c r="R240" i="53"/>
  <c r="S231" i="53" s="1"/>
  <c r="T52" i="53"/>
  <c r="R212" i="53"/>
  <c r="R213" i="53"/>
  <c r="S243" i="53"/>
  <c r="S244" i="53"/>
  <c r="S245" i="53"/>
  <c r="S246" i="53"/>
  <c r="S247" i="53"/>
  <c r="S248" i="53"/>
  <c r="S249" i="53"/>
  <c r="S255" i="53"/>
  <c r="S256" i="53"/>
  <c r="S257" i="53"/>
  <c r="S258" i="53"/>
  <c r="S259" i="53"/>
  <c r="S260" i="53"/>
  <c r="S261" i="53"/>
  <c r="N36" i="52"/>
  <c r="Q252" i="53" l="1"/>
  <c r="T183" i="53"/>
  <c r="Q231" i="53"/>
  <c r="Q237" i="53"/>
  <c r="T185" i="53"/>
  <c r="Q235" i="53"/>
  <c r="R201" i="53"/>
  <c r="T187" i="53"/>
  <c r="Q233" i="53"/>
  <c r="Q264" i="53"/>
  <c r="S264" i="53"/>
  <c r="S238" i="53"/>
  <c r="S236" i="53"/>
  <c r="S234" i="53"/>
  <c r="S232" i="53"/>
  <c r="T170" i="53"/>
  <c r="T83" i="53"/>
  <c r="T171" i="53" s="1"/>
  <c r="S252" i="53"/>
  <c r="S237" i="53"/>
  <c r="S235" i="53"/>
  <c r="S233" i="53"/>
  <c r="Q238" i="53"/>
  <c r="Q236" i="53"/>
  <c r="Q234" i="53"/>
  <c r="R88" i="52"/>
  <c r="N67" i="52"/>
  <c r="S240" i="53" l="1"/>
  <c r="Q240" i="53"/>
  <c r="T105" i="52"/>
  <c r="T103" i="52"/>
  <c r="T90" i="52"/>
  <c r="T89" i="52"/>
  <c r="J44" i="52"/>
  <c r="F44" i="52"/>
  <c r="D44" i="52"/>
  <c r="S276" i="52" l="1"/>
  <c r="R276" i="52"/>
  <c r="R213" i="52" s="1"/>
  <c r="Q276" i="52"/>
  <c r="P276" i="52"/>
  <c r="Q213" i="52" s="1"/>
  <c r="R264" i="52"/>
  <c r="P264" i="52"/>
  <c r="S262" i="52"/>
  <c r="Q262" i="52"/>
  <c r="S261" i="52"/>
  <c r="Q261" i="52"/>
  <c r="S260" i="52"/>
  <c r="Q260" i="52"/>
  <c r="S259" i="52"/>
  <c r="Q259" i="52"/>
  <c r="S258" i="52"/>
  <c r="Q258" i="52"/>
  <c r="S257" i="52"/>
  <c r="Q257" i="52"/>
  <c r="S256" i="52"/>
  <c r="Q256" i="52"/>
  <c r="S255" i="52"/>
  <c r="Q255" i="52"/>
  <c r="R252" i="52"/>
  <c r="P252" i="52"/>
  <c r="Q250" i="52" s="1"/>
  <c r="R238" i="52"/>
  <c r="P238" i="52"/>
  <c r="R237" i="52"/>
  <c r="P237" i="52"/>
  <c r="R236" i="52"/>
  <c r="P236" i="52"/>
  <c r="R235" i="52"/>
  <c r="P235" i="52"/>
  <c r="R234" i="52"/>
  <c r="P234" i="52"/>
  <c r="R233" i="52"/>
  <c r="P233" i="52"/>
  <c r="R232" i="52"/>
  <c r="P232" i="52"/>
  <c r="R231" i="52"/>
  <c r="P231" i="52"/>
  <c r="R212" i="52"/>
  <c r="Q212" i="52"/>
  <c r="R197" i="52"/>
  <c r="T177" i="52"/>
  <c r="T163" i="52"/>
  <c r="T145" i="52"/>
  <c r="B132" i="52"/>
  <c r="B192" i="52" s="1"/>
  <c r="B292" i="52" s="1"/>
  <c r="R121" i="52"/>
  <c r="R119" i="52"/>
  <c r="R112" i="52"/>
  <c r="T161" i="52" s="1"/>
  <c r="A111" i="52"/>
  <c r="A112" i="52" s="1"/>
  <c r="A113" i="52" s="1"/>
  <c r="A114" i="52" s="1"/>
  <c r="A115" i="52" s="1"/>
  <c r="A116" i="52" s="1"/>
  <c r="A117" i="52" s="1"/>
  <c r="A102" i="52"/>
  <c r="A103" i="52" s="1"/>
  <c r="R97" i="52"/>
  <c r="T96" i="52"/>
  <c r="T95" i="52"/>
  <c r="R95" i="52"/>
  <c r="R99" i="52" s="1"/>
  <c r="L86" i="52"/>
  <c r="T81" i="52"/>
  <c r="T80" i="52"/>
  <c r="R70" i="52"/>
  <c r="P70" i="52"/>
  <c r="L70" i="52"/>
  <c r="L83" i="52" s="1"/>
  <c r="J70" i="52"/>
  <c r="J83" i="52" s="1"/>
  <c r="T67" i="52"/>
  <c r="T70" i="52" s="1"/>
  <c r="P57" i="52"/>
  <c r="P56" i="52"/>
  <c r="T50" i="52"/>
  <c r="J43" i="52"/>
  <c r="F43" i="52"/>
  <c r="D43" i="52"/>
  <c r="L36" i="52"/>
  <c r="J36" i="52"/>
  <c r="H36" i="52"/>
  <c r="F36" i="52"/>
  <c r="D36" i="52"/>
  <c r="N35" i="52"/>
  <c r="L35" i="52"/>
  <c r="J35" i="52"/>
  <c r="H35" i="52"/>
  <c r="F35" i="52"/>
  <c r="D35" i="52"/>
  <c r="T34" i="52"/>
  <c r="T52" i="52" s="1"/>
  <c r="N33" i="52"/>
  <c r="L33" i="52"/>
  <c r="J33" i="52"/>
  <c r="H33" i="52"/>
  <c r="F33" i="52"/>
  <c r="D33" i="52"/>
  <c r="N32" i="52"/>
  <c r="L32" i="52"/>
  <c r="J32" i="52"/>
  <c r="H32" i="52"/>
  <c r="F32" i="52"/>
  <c r="D32" i="52"/>
  <c r="R128" i="52" l="1"/>
  <c r="Q245" i="52"/>
  <c r="Q247" i="52"/>
  <c r="Q264" i="52"/>
  <c r="Q243" i="52"/>
  <c r="Q249" i="52"/>
  <c r="S264" i="52"/>
  <c r="T36" i="52"/>
  <c r="T99" i="52"/>
  <c r="T187" i="52" s="1"/>
  <c r="T136" i="52"/>
  <c r="Q244" i="52"/>
  <c r="Q246" i="52"/>
  <c r="Q248" i="52"/>
  <c r="R278" i="52"/>
  <c r="R240" i="52"/>
  <c r="S237" i="52" s="1"/>
  <c r="S243" i="52"/>
  <c r="S244" i="52"/>
  <c r="S245" i="52"/>
  <c r="S246" i="52"/>
  <c r="S247" i="52"/>
  <c r="S248" i="52"/>
  <c r="S249" i="52"/>
  <c r="S250" i="52"/>
  <c r="P240" i="52"/>
  <c r="Q237" i="52" s="1"/>
  <c r="P278" i="52"/>
  <c r="R129" i="52"/>
  <c r="T51" i="52"/>
  <c r="T35" i="52"/>
  <c r="T43" i="52" s="1"/>
  <c r="R199" i="52" s="1"/>
  <c r="R200" i="52" s="1"/>
  <c r="R217" i="52"/>
  <c r="T162" i="52"/>
  <c r="T164" i="52" s="1"/>
  <c r="S238" i="52"/>
  <c r="S236" i="52"/>
  <c r="T170" i="52"/>
  <c r="T83" i="52"/>
  <c r="T171" i="52" s="1"/>
  <c r="T185" i="52"/>
  <c r="N70" i="52"/>
  <c r="R207" i="52"/>
  <c r="T106" i="51"/>
  <c r="T105" i="51"/>
  <c r="T103" i="51"/>
  <c r="T90" i="51"/>
  <c r="T89" i="51"/>
  <c r="R88" i="51"/>
  <c r="N67" i="51"/>
  <c r="J44" i="51"/>
  <c r="F44" i="51"/>
  <c r="D44" i="51"/>
  <c r="Q236" i="52" l="1"/>
  <c r="S231" i="52"/>
  <c r="S232" i="52"/>
  <c r="S233" i="52"/>
  <c r="S235" i="52"/>
  <c r="T117" i="52"/>
  <c r="T128" i="52" s="1"/>
  <c r="T129" i="52" s="1"/>
  <c r="T183" i="52"/>
  <c r="Q252" i="52"/>
  <c r="R201" i="52"/>
  <c r="Q232" i="52"/>
  <c r="S234" i="52"/>
  <c r="Q234" i="52"/>
  <c r="Q238" i="52"/>
  <c r="Q231" i="52"/>
  <c r="Q233" i="52"/>
  <c r="Q235" i="52"/>
  <c r="S252" i="52"/>
  <c r="S276" i="51"/>
  <c r="R276" i="51"/>
  <c r="Q276" i="51"/>
  <c r="P276" i="51"/>
  <c r="R264" i="51"/>
  <c r="S261" i="51" s="1"/>
  <c r="P264" i="51"/>
  <c r="Q262" i="51" s="1"/>
  <c r="R252" i="51"/>
  <c r="S250" i="51" s="1"/>
  <c r="P252" i="51"/>
  <c r="Q250" i="51" s="1"/>
  <c r="Q244" i="51"/>
  <c r="R238" i="51"/>
  <c r="P238" i="51"/>
  <c r="R237" i="51"/>
  <c r="P237" i="51"/>
  <c r="R236" i="51"/>
  <c r="P236" i="51"/>
  <c r="R235" i="51"/>
  <c r="P235" i="51"/>
  <c r="R234" i="51"/>
  <c r="P234" i="51"/>
  <c r="R233" i="51"/>
  <c r="P233" i="51"/>
  <c r="R232" i="51"/>
  <c r="P232" i="51"/>
  <c r="R231" i="51"/>
  <c r="P231" i="51"/>
  <c r="R213" i="51"/>
  <c r="Q213" i="51"/>
  <c r="R207" i="51"/>
  <c r="R197" i="51"/>
  <c r="T177" i="51"/>
  <c r="T163" i="51"/>
  <c r="T145" i="51"/>
  <c r="B132" i="51"/>
  <c r="B192" i="51" s="1"/>
  <c r="B292" i="51" s="1"/>
  <c r="R121" i="51"/>
  <c r="R119" i="51"/>
  <c r="R128" i="51" s="1"/>
  <c r="R112" i="51"/>
  <c r="T161" i="51" s="1"/>
  <c r="A111" i="51"/>
  <c r="A112" i="51" s="1"/>
  <c r="A113" i="51" s="1"/>
  <c r="A114" i="51" s="1"/>
  <c r="A115" i="51" s="1"/>
  <c r="A116" i="51" s="1"/>
  <c r="A117" i="51" s="1"/>
  <c r="A102" i="51"/>
  <c r="A103" i="51" s="1"/>
  <c r="R97" i="51"/>
  <c r="T96" i="51"/>
  <c r="R95" i="51"/>
  <c r="T95" i="51"/>
  <c r="L86" i="51"/>
  <c r="T81" i="51"/>
  <c r="T80" i="51"/>
  <c r="R70" i="51"/>
  <c r="P70" i="51"/>
  <c r="L70" i="51"/>
  <c r="L83" i="51" s="1"/>
  <c r="J70" i="51"/>
  <c r="J83" i="51" s="1"/>
  <c r="T67" i="51"/>
  <c r="T70" i="51" s="1"/>
  <c r="N70" i="51"/>
  <c r="P57" i="51"/>
  <c r="P56" i="51"/>
  <c r="T50" i="51"/>
  <c r="J43" i="51"/>
  <c r="F43" i="51"/>
  <c r="D43" i="51"/>
  <c r="N36" i="51"/>
  <c r="L36" i="51"/>
  <c r="J36" i="51"/>
  <c r="H36" i="51"/>
  <c r="F36" i="51"/>
  <c r="D36" i="51"/>
  <c r="N35" i="51"/>
  <c r="L35" i="51"/>
  <c r="J35" i="51"/>
  <c r="H35" i="51"/>
  <c r="F35" i="51"/>
  <c r="D35" i="51"/>
  <c r="T34" i="51"/>
  <c r="T136" i="51" s="1"/>
  <c r="N33" i="51"/>
  <c r="L33" i="51"/>
  <c r="J33" i="51"/>
  <c r="H33" i="51"/>
  <c r="F33" i="51"/>
  <c r="D33" i="51"/>
  <c r="N32" i="51"/>
  <c r="L32" i="51"/>
  <c r="J32" i="51"/>
  <c r="H32" i="51"/>
  <c r="F32" i="51"/>
  <c r="D32" i="51"/>
  <c r="S243" i="51" l="1"/>
  <c r="S240" i="52"/>
  <c r="Q212" i="51"/>
  <c r="S245" i="51"/>
  <c r="Q240" i="52"/>
  <c r="R212" i="51"/>
  <c r="T35" i="51"/>
  <c r="T43" i="51" s="1"/>
  <c r="R199" i="51" s="1"/>
  <c r="R200" i="51" s="1"/>
  <c r="R99" i="51"/>
  <c r="R129" i="51" s="1"/>
  <c r="Q243" i="51"/>
  <c r="Q247" i="51"/>
  <c r="Q248" i="51"/>
  <c r="Q255" i="51"/>
  <c r="Q257" i="51"/>
  <c r="Q259" i="51"/>
  <c r="Q261" i="51"/>
  <c r="Q256" i="51"/>
  <c r="Q258" i="51"/>
  <c r="Q260" i="51"/>
  <c r="R240" i="51"/>
  <c r="S237" i="51" s="1"/>
  <c r="S247" i="51"/>
  <c r="S249" i="51"/>
  <c r="Q245" i="51"/>
  <c r="Q246" i="51"/>
  <c r="Q249" i="51"/>
  <c r="P278" i="51"/>
  <c r="S256" i="51"/>
  <c r="S258" i="51"/>
  <c r="S260" i="51"/>
  <c r="S262" i="51"/>
  <c r="R278" i="51"/>
  <c r="T99" i="51"/>
  <c r="T185" i="51" s="1"/>
  <c r="S244" i="51"/>
  <c r="S246" i="51"/>
  <c r="S248" i="51"/>
  <c r="P240" i="51"/>
  <c r="Q238" i="51" s="1"/>
  <c r="S255" i="51"/>
  <c r="S257" i="51"/>
  <c r="S259" i="51"/>
  <c r="T51" i="51"/>
  <c r="T36" i="51"/>
  <c r="T83" i="51"/>
  <c r="T171" i="51" s="1"/>
  <c r="T170" i="51"/>
  <c r="R217" i="51"/>
  <c r="T162" i="51"/>
  <c r="T164" i="51" s="1"/>
  <c r="T52" i="51"/>
  <c r="D33" i="50"/>
  <c r="T187" i="51" l="1"/>
  <c r="S236" i="51"/>
  <c r="S238" i="51"/>
  <c r="S232" i="51"/>
  <c r="R201" i="51"/>
  <c r="T117" i="51"/>
  <c r="T128" i="51" s="1"/>
  <c r="T129" i="51" s="1"/>
  <c r="S234" i="51"/>
  <c r="T183" i="51"/>
  <c r="S231" i="51"/>
  <c r="S233" i="51"/>
  <c r="S235" i="51"/>
  <c r="Q264" i="51"/>
  <c r="S264" i="51"/>
  <c r="Q231" i="51"/>
  <c r="Q233" i="51"/>
  <c r="Q235" i="51"/>
  <c r="Q232" i="51"/>
  <c r="Q234" i="51"/>
  <c r="Q237" i="51"/>
  <c r="S252" i="51"/>
  <c r="Q252" i="51"/>
  <c r="Q236" i="51"/>
  <c r="T89" i="50"/>
  <c r="T105" i="50"/>
  <c r="T103" i="50"/>
  <c r="T90" i="50"/>
  <c r="R88" i="50"/>
  <c r="N67" i="50"/>
  <c r="J44" i="50"/>
  <c r="F44" i="50"/>
  <c r="D44" i="50"/>
  <c r="S240" i="51" l="1"/>
  <c r="Q240" i="51"/>
  <c r="S276" i="50"/>
  <c r="R276" i="50"/>
  <c r="R213" i="50" s="1"/>
  <c r="Q276" i="50"/>
  <c r="P276" i="50"/>
  <c r="R264" i="50"/>
  <c r="S262" i="50" s="1"/>
  <c r="P264" i="50"/>
  <c r="Q262" i="50" s="1"/>
  <c r="R252" i="50"/>
  <c r="S249" i="50" s="1"/>
  <c r="P252" i="50"/>
  <c r="Q250" i="50" s="1"/>
  <c r="R238" i="50"/>
  <c r="P238" i="50"/>
  <c r="R237" i="50"/>
  <c r="P237" i="50"/>
  <c r="R236" i="50"/>
  <c r="P236" i="50"/>
  <c r="R235" i="50"/>
  <c r="P235" i="50"/>
  <c r="R234" i="50"/>
  <c r="P234" i="50"/>
  <c r="R233" i="50"/>
  <c r="P233" i="50"/>
  <c r="R232" i="50"/>
  <c r="P232" i="50"/>
  <c r="R231" i="50"/>
  <c r="P231" i="50"/>
  <c r="Q213" i="50"/>
  <c r="R207" i="50"/>
  <c r="R197" i="50"/>
  <c r="T177" i="50"/>
  <c r="T163" i="50"/>
  <c r="T145" i="50"/>
  <c r="B132" i="50"/>
  <c r="B192" i="50" s="1"/>
  <c r="B292" i="50" s="1"/>
  <c r="R121" i="50"/>
  <c r="R119" i="50"/>
  <c r="R112" i="50"/>
  <c r="T161" i="50" s="1"/>
  <c r="A111" i="50"/>
  <c r="A112" i="50" s="1"/>
  <c r="A113" i="50" s="1"/>
  <c r="A114" i="50" s="1"/>
  <c r="A115" i="50" s="1"/>
  <c r="A116" i="50" s="1"/>
  <c r="A117" i="50" s="1"/>
  <c r="A102" i="50"/>
  <c r="A103" i="50" s="1"/>
  <c r="R97" i="50"/>
  <c r="T96" i="50"/>
  <c r="T95" i="50"/>
  <c r="T99" i="50" s="1"/>
  <c r="T117" i="50" s="1"/>
  <c r="R95" i="50"/>
  <c r="L86" i="50"/>
  <c r="T81" i="50"/>
  <c r="T80" i="50"/>
  <c r="R70" i="50"/>
  <c r="P70" i="50"/>
  <c r="N70" i="50"/>
  <c r="L70" i="50"/>
  <c r="L83" i="50" s="1"/>
  <c r="J70" i="50"/>
  <c r="J83" i="50" s="1"/>
  <c r="T67" i="50"/>
  <c r="T70" i="50" s="1"/>
  <c r="P57" i="50"/>
  <c r="P56" i="50"/>
  <c r="T50" i="50"/>
  <c r="J43" i="50"/>
  <c r="F43" i="50"/>
  <c r="D43" i="50"/>
  <c r="N36" i="50"/>
  <c r="L36" i="50"/>
  <c r="J36" i="50"/>
  <c r="H36" i="50"/>
  <c r="F36" i="50"/>
  <c r="D36" i="50"/>
  <c r="N35" i="50"/>
  <c r="L35" i="50"/>
  <c r="J35" i="50"/>
  <c r="H35" i="50"/>
  <c r="F35" i="50"/>
  <c r="D35" i="50"/>
  <c r="T34" i="50"/>
  <c r="T52" i="50" s="1"/>
  <c r="N33" i="50"/>
  <c r="L33" i="50"/>
  <c r="J33" i="50"/>
  <c r="H33" i="50"/>
  <c r="F33" i="50"/>
  <c r="N32" i="50"/>
  <c r="L32" i="50"/>
  <c r="J32" i="50"/>
  <c r="H32" i="50"/>
  <c r="F32" i="50"/>
  <c r="D32" i="50"/>
  <c r="R212" i="50" l="1"/>
  <c r="S256" i="50"/>
  <c r="Q257" i="50"/>
  <c r="S257" i="50"/>
  <c r="S261" i="50"/>
  <c r="Q255" i="50"/>
  <c r="Q259" i="50"/>
  <c r="S255" i="50"/>
  <c r="S258" i="50"/>
  <c r="S259" i="50"/>
  <c r="S260" i="50"/>
  <c r="R99" i="50"/>
  <c r="Q261" i="50"/>
  <c r="T35" i="50"/>
  <c r="T43" i="50" s="1"/>
  <c r="R199" i="50" s="1"/>
  <c r="R200" i="50" s="1"/>
  <c r="Q212" i="50"/>
  <c r="Q256" i="50"/>
  <c r="Q258" i="50"/>
  <c r="Q260" i="50"/>
  <c r="S246" i="50"/>
  <c r="S250" i="50"/>
  <c r="R128" i="50"/>
  <c r="T51" i="50"/>
  <c r="T36" i="50"/>
  <c r="R240" i="50"/>
  <c r="S232" i="50" s="1"/>
  <c r="S244" i="50"/>
  <c r="S248" i="50"/>
  <c r="S243" i="50"/>
  <c r="S245" i="50"/>
  <c r="S247" i="50"/>
  <c r="R278" i="50"/>
  <c r="P240" i="50"/>
  <c r="Q232" i="50" s="1"/>
  <c r="Q243" i="50"/>
  <c r="Q244" i="50"/>
  <c r="Q245" i="50"/>
  <c r="Q246" i="50"/>
  <c r="Q247" i="50"/>
  <c r="Q248" i="50"/>
  <c r="Q249" i="50"/>
  <c r="P278" i="50"/>
  <c r="Q236" i="50"/>
  <c r="R201" i="50"/>
  <c r="T185" i="50"/>
  <c r="T187" i="50"/>
  <c r="T183" i="50"/>
  <c r="T128" i="50"/>
  <c r="T129" i="50" s="1"/>
  <c r="T83" i="50"/>
  <c r="T171" i="50" s="1"/>
  <c r="T170" i="50"/>
  <c r="R217" i="50"/>
  <c r="T162" i="50"/>
  <c r="T164" i="50" s="1"/>
  <c r="T136" i="50"/>
  <c r="Q231" i="50"/>
  <c r="S264" i="50" l="1"/>
  <c r="Q238" i="50"/>
  <c r="S233" i="50"/>
  <c r="S236" i="50"/>
  <c r="Q237" i="50"/>
  <c r="R129" i="50"/>
  <c r="S237" i="50"/>
  <c r="S235" i="50"/>
  <c r="Q264" i="50"/>
  <c r="S231" i="50"/>
  <c r="S238" i="50"/>
  <c r="S234" i="50"/>
  <c r="Q235" i="50"/>
  <c r="Q234" i="50"/>
  <c r="Q233" i="50"/>
  <c r="S252" i="50"/>
  <c r="Q252" i="50"/>
  <c r="T105" i="49"/>
  <c r="T103" i="49"/>
  <c r="T90" i="49"/>
  <c r="T89" i="49"/>
  <c r="R88" i="49"/>
  <c r="J44" i="49"/>
  <c r="F44" i="49"/>
  <c r="D44" i="49"/>
  <c r="Q240" i="50" l="1"/>
  <c r="S240" i="50"/>
  <c r="S276" i="49"/>
  <c r="R276" i="49"/>
  <c r="R213" i="49" s="1"/>
  <c r="Q276" i="49"/>
  <c r="P276" i="49"/>
  <c r="Q213" i="49" s="1"/>
  <c r="R264" i="49"/>
  <c r="S262" i="49" s="1"/>
  <c r="P264" i="49"/>
  <c r="Q262" i="49" s="1"/>
  <c r="R252" i="49"/>
  <c r="P252" i="49"/>
  <c r="Q249" i="49" s="1"/>
  <c r="R238" i="49"/>
  <c r="P238" i="49"/>
  <c r="R237" i="49"/>
  <c r="P237" i="49"/>
  <c r="R236" i="49"/>
  <c r="P236" i="49"/>
  <c r="R235" i="49"/>
  <c r="P235" i="49"/>
  <c r="R234" i="49"/>
  <c r="P234" i="49"/>
  <c r="R233" i="49"/>
  <c r="P233" i="49"/>
  <c r="R232" i="49"/>
  <c r="P232" i="49"/>
  <c r="R231" i="49"/>
  <c r="P231" i="49"/>
  <c r="R197" i="49"/>
  <c r="T177" i="49"/>
  <c r="T163" i="49"/>
  <c r="T145" i="49"/>
  <c r="B132" i="49"/>
  <c r="B192" i="49" s="1"/>
  <c r="B292" i="49" s="1"/>
  <c r="R121" i="49"/>
  <c r="R119" i="49"/>
  <c r="R112" i="49"/>
  <c r="T161" i="49" s="1"/>
  <c r="A111" i="49"/>
  <c r="A112" i="49" s="1"/>
  <c r="A113" i="49" s="1"/>
  <c r="A114" i="49" s="1"/>
  <c r="A115" i="49" s="1"/>
  <c r="A116" i="49" s="1"/>
  <c r="A117" i="49" s="1"/>
  <c r="A102" i="49"/>
  <c r="A103" i="49" s="1"/>
  <c r="R97" i="49"/>
  <c r="T96" i="49"/>
  <c r="R95" i="49"/>
  <c r="T95" i="49"/>
  <c r="L86" i="49"/>
  <c r="T81" i="49"/>
  <c r="T80" i="49"/>
  <c r="R70" i="49"/>
  <c r="P70" i="49"/>
  <c r="L70" i="49"/>
  <c r="L83" i="49" s="1"/>
  <c r="J70" i="49"/>
  <c r="J83" i="49" s="1"/>
  <c r="N70" i="49"/>
  <c r="P57" i="49"/>
  <c r="P56" i="49"/>
  <c r="T50" i="49"/>
  <c r="J43" i="49"/>
  <c r="F43" i="49"/>
  <c r="D43" i="49"/>
  <c r="N36" i="49"/>
  <c r="L36" i="49"/>
  <c r="J36" i="49"/>
  <c r="H36" i="49"/>
  <c r="F36" i="49"/>
  <c r="D36" i="49"/>
  <c r="N35" i="49"/>
  <c r="L35" i="49"/>
  <c r="J35" i="49"/>
  <c r="H35" i="49"/>
  <c r="F35" i="49"/>
  <c r="D35" i="49"/>
  <c r="T34" i="49"/>
  <c r="T52" i="49" s="1"/>
  <c r="N33" i="49"/>
  <c r="L33" i="49"/>
  <c r="J33" i="49"/>
  <c r="H33" i="49"/>
  <c r="F33" i="49"/>
  <c r="D33" i="49"/>
  <c r="N32" i="49"/>
  <c r="L32" i="49"/>
  <c r="J32" i="49"/>
  <c r="H32" i="49"/>
  <c r="F32" i="49"/>
  <c r="D32" i="49"/>
  <c r="R128" i="49" l="1"/>
  <c r="S255" i="49"/>
  <c r="Q243" i="49"/>
  <c r="Q246" i="49"/>
  <c r="T99" i="49"/>
  <c r="T117" i="49" s="1"/>
  <c r="T128" i="49" s="1"/>
  <c r="T129" i="49" s="1"/>
  <c r="Q248" i="49"/>
  <c r="S257" i="49"/>
  <c r="Q244" i="49"/>
  <c r="Q247" i="49"/>
  <c r="Q250" i="49"/>
  <c r="Q212" i="49"/>
  <c r="Q258" i="49"/>
  <c r="Q261" i="49"/>
  <c r="Q256" i="49"/>
  <c r="Q259" i="49"/>
  <c r="S261" i="49"/>
  <c r="Q255" i="49"/>
  <c r="Q260" i="49"/>
  <c r="Q257" i="49"/>
  <c r="S259" i="49"/>
  <c r="R212" i="49"/>
  <c r="R278" i="49"/>
  <c r="S256" i="49"/>
  <c r="S258" i="49"/>
  <c r="S260" i="49"/>
  <c r="R99" i="49"/>
  <c r="R129" i="49" s="1"/>
  <c r="T136" i="49"/>
  <c r="Q245" i="49"/>
  <c r="T51" i="49"/>
  <c r="T36" i="49"/>
  <c r="T35" i="49"/>
  <c r="R240" i="49"/>
  <c r="S238" i="49" s="1"/>
  <c r="S243" i="49"/>
  <c r="S244" i="49"/>
  <c r="S245" i="49"/>
  <c r="S246" i="49"/>
  <c r="S247" i="49"/>
  <c r="S248" i="49"/>
  <c r="S249" i="49"/>
  <c r="S250" i="49"/>
  <c r="P240" i="49"/>
  <c r="Q237" i="49" s="1"/>
  <c r="P278" i="49"/>
  <c r="T187" i="49"/>
  <c r="S231" i="49"/>
  <c r="R217" i="49"/>
  <c r="T162" i="49"/>
  <c r="T164" i="49" s="1"/>
  <c r="T67" i="49"/>
  <c r="T70" i="49" s="1"/>
  <c r="R207" i="49"/>
  <c r="T185" i="49" l="1"/>
  <c r="S235" i="49"/>
  <c r="R201" i="49"/>
  <c r="T183" i="49"/>
  <c r="Q236" i="49"/>
  <c r="Q252" i="49"/>
  <c r="Q264" i="49"/>
  <c r="Q238" i="49"/>
  <c r="Q232" i="49"/>
  <c r="Q234" i="49"/>
  <c r="S264" i="49"/>
  <c r="S232" i="49"/>
  <c r="S236" i="49"/>
  <c r="T43" i="49"/>
  <c r="R199" i="49" s="1"/>
  <c r="R200" i="49" s="1"/>
  <c r="S233" i="49"/>
  <c r="S237" i="49"/>
  <c r="S234" i="49"/>
  <c r="S252" i="49"/>
  <c r="Q231" i="49"/>
  <c r="Q233" i="49"/>
  <c r="Q235" i="49"/>
  <c r="T170" i="49"/>
  <c r="T83" i="49"/>
  <c r="T171" i="49" s="1"/>
  <c r="T105" i="48"/>
  <c r="T103" i="48"/>
  <c r="T90" i="48"/>
  <c r="T89" i="48"/>
  <c r="Q177" i="48"/>
  <c r="R88" i="48"/>
  <c r="P67" i="48"/>
  <c r="N67" i="48"/>
  <c r="J44" i="48"/>
  <c r="F44" i="48"/>
  <c r="D44" i="48"/>
  <c r="Q240" i="49" l="1"/>
  <c r="S240" i="49"/>
  <c r="S276" i="48"/>
  <c r="R276" i="48"/>
  <c r="R213" i="48" s="1"/>
  <c r="Q276" i="48"/>
  <c r="P276" i="48"/>
  <c r="R264" i="48"/>
  <c r="S262" i="48" s="1"/>
  <c r="P264" i="48"/>
  <c r="Q262" i="48" s="1"/>
  <c r="R252" i="48"/>
  <c r="S250" i="48" s="1"/>
  <c r="P252" i="48"/>
  <c r="Q249" i="48" s="1"/>
  <c r="R238" i="48"/>
  <c r="P238" i="48"/>
  <c r="R237" i="48"/>
  <c r="P237" i="48"/>
  <c r="R236" i="48"/>
  <c r="P236" i="48"/>
  <c r="R235" i="48"/>
  <c r="P235" i="48"/>
  <c r="R234" i="48"/>
  <c r="P234" i="48"/>
  <c r="R233" i="48"/>
  <c r="P233" i="48"/>
  <c r="R232" i="48"/>
  <c r="P232" i="48"/>
  <c r="R231" i="48"/>
  <c r="P231" i="48"/>
  <c r="Q213" i="48"/>
  <c r="R212" i="48"/>
  <c r="R197" i="48"/>
  <c r="T177" i="48"/>
  <c r="T165" i="48"/>
  <c r="T163" i="48"/>
  <c r="T145" i="48"/>
  <c r="B132" i="48"/>
  <c r="B192" i="48" s="1"/>
  <c r="B292" i="48" s="1"/>
  <c r="R121" i="48"/>
  <c r="R119" i="48"/>
  <c r="R112" i="48"/>
  <c r="T161" i="48" s="1"/>
  <c r="A111" i="48"/>
  <c r="A112" i="48" s="1"/>
  <c r="A113" i="48" s="1"/>
  <c r="A114" i="48" s="1"/>
  <c r="A115" i="48" s="1"/>
  <c r="A116" i="48" s="1"/>
  <c r="A117" i="48" s="1"/>
  <c r="A102" i="48"/>
  <c r="A103" i="48" s="1"/>
  <c r="R97" i="48"/>
  <c r="T96" i="48"/>
  <c r="R95" i="48"/>
  <c r="T95" i="48"/>
  <c r="L86" i="48"/>
  <c r="T81" i="48"/>
  <c r="T80" i="48"/>
  <c r="R70" i="48"/>
  <c r="P70" i="48"/>
  <c r="L70" i="48"/>
  <c r="L83" i="48" s="1"/>
  <c r="J70" i="48"/>
  <c r="J83" i="48" s="1"/>
  <c r="N70" i="48"/>
  <c r="P57" i="48"/>
  <c r="P56" i="48"/>
  <c r="T50" i="48"/>
  <c r="J43" i="48"/>
  <c r="F43" i="48"/>
  <c r="D43" i="48"/>
  <c r="N36" i="48"/>
  <c r="L36" i="48"/>
  <c r="J36" i="48"/>
  <c r="H36" i="48"/>
  <c r="F36" i="48"/>
  <c r="D36" i="48"/>
  <c r="N35" i="48"/>
  <c r="L35" i="48"/>
  <c r="J35" i="48"/>
  <c r="H35" i="48"/>
  <c r="F35" i="48"/>
  <c r="D35" i="48"/>
  <c r="T34" i="48"/>
  <c r="T52" i="48" s="1"/>
  <c r="N33" i="48"/>
  <c r="L33" i="48"/>
  <c r="J33" i="48"/>
  <c r="H33" i="48"/>
  <c r="F33" i="48"/>
  <c r="D33" i="48"/>
  <c r="N32" i="48"/>
  <c r="L32" i="48"/>
  <c r="J32" i="48"/>
  <c r="H32" i="48"/>
  <c r="F32" i="48"/>
  <c r="D32" i="48"/>
  <c r="S257" i="48" l="1"/>
  <c r="T99" i="48"/>
  <c r="T117" i="48" s="1"/>
  <c r="S258" i="48"/>
  <c r="S259" i="48"/>
  <c r="S264" i="48" s="1"/>
  <c r="R128" i="48"/>
  <c r="S256" i="48"/>
  <c r="S260" i="48"/>
  <c r="Q243" i="48"/>
  <c r="Q212" i="48"/>
  <c r="Q246" i="48"/>
  <c r="Q255" i="48"/>
  <c r="S261" i="48"/>
  <c r="Q248" i="48"/>
  <c r="S255" i="48"/>
  <c r="Q259" i="48"/>
  <c r="Q244" i="48"/>
  <c r="Q247" i="48"/>
  <c r="Q250" i="48"/>
  <c r="Q257" i="48"/>
  <c r="Q261" i="48"/>
  <c r="R99" i="48"/>
  <c r="R129" i="48" s="1"/>
  <c r="Q256" i="48"/>
  <c r="Q258" i="48"/>
  <c r="Q260" i="48"/>
  <c r="T35" i="48"/>
  <c r="T136" i="48"/>
  <c r="R240" i="48"/>
  <c r="S237" i="48" s="1"/>
  <c r="Q245" i="48"/>
  <c r="T43" i="48"/>
  <c r="R199" i="48" s="1"/>
  <c r="R200" i="48" s="1"/>
  <c r="T51" i="48"/>
  <c r="T36" i="48"/>
  <c r="S243" i="48"/>
  <c r="S244" i="48"/>
  <c r="S245" i="48"/>
  <c r="S246" i="48"/>
  <c r="S247" i="48"/>
  <c r="R278" i="48"/>
  <c r="S248" i="48"/>
  <c r="S249" i="48"/>
  <c r="P240" i="48"/>
  <c r="Q238" i="48" s="1"/>
  <c r="P278" i="48"/>
  <c r="R201" i="48"/>
  <c r="T185" i="48"/>
  <c r="T187" i="48"/>
  <c r="T183" i="48"/>
  <c r="T128" i="48"/>
  <c r="T129" i="48" s="1"/>
  <c r="S238" i="48"/>
  <c r="R217" i="48"/>
  <c r="T162" i="48"/>
  <c r="T164" i="48" s="1"/>
  <c r="Q236" i="48"/>
  <c r="Q235" i="48"/>
  <c r="Q234" i="48"/>
  <c r="Q232" i="48"/>
  <c r="Q231" i="48"/>
  <c r="T67" i="48"/>
  <c r="T70" i="48" s="1"/>
  <c r="R207" i="48"/>
  <c r="S234" i="48" l="1"/>
  <c r="Q252" i="48"/>
  <c r="Q233" i="48"/>
  <c r="Q237" i="48"/>
  <c r="Q240" i="48" s="1"/>
  <c r="Q264" i="48"/>
  <c r="S232" i="48"/>
  <c r="S236" i="48"/>
  <c r="S231" i="48"/>
  <c r="S235" i="48"/>
  <c r="S233" i="48"/>
  <c r="S252" i="48"/>
  <c r="T170" i="48"/>
  <c r="T83" i="48"/>
  <c r="T171" i="48" s="1"/>
  <c r="T105" i="47"/>
  <c r="T103" i="47"/>
  <c r="T90" i="47"/>
  <c r="T89" i="47"/>
  <c r="R88" i="47"/>
  <c r="Q177" i="47"/>
  <c r="N67" i="47"/>
  <c r="P67" i="47"/>
  <c r="J44" i="47"/>
  <c r="F44" i="47"/>
  <c r="D44" i="47"/>
  <c r="S240" i="48" l="1"/>
  <c r="S276" i="47"/>
  <c r="R276" i="47"/>
  <c r="R213" i="47" s="1"/>
  <c r="Q276" i="47"/>
  <c r="P276" i="47"/>
  <c r="Q213" i="47" s="1"/>
  <c r="R264" i="47"/>
  <c r="S262" i="47" s="1"/>
  <c r="P264" i="47"/>
  <c r="Q262" i="47" s="1"/>
  <c r="S259" i="47"/>
  <c r="R252" i="47"/>
  <c r="S250" i="47" s="1"/>
  <c r="P252" i="47"/>
  <c r="Q250" i="47" s="1"/>
  <c r="S243" i="47"/>
  <c r="R238" i="47"/>
  <c r="P238" i="47"/>
  <c r="R237" i="47"/>
  <c r="P237" i="47"/>
  <c r="R236" i="47"/>
  <c r="P236" i="47"/>
  <c r="R235" i="47"/>
  <c r="P235" i="47"/>
  <c r="R234" i="47"/>
  <c r="P234" i="47"/>
  <c r="R233" i="47"/>
  <c r="P233" i="47"/>
  <c r="R232" i="47"/>
  <c r="P232" i="47"/>
  <c r="R231" i="47"/>
  <c r="P231" i="47"/>
  <c r="R197" i="47"/>
  <c r="T177" i="47"/>
  <c r="T165" i="47"/>
  <c r="T163" i="47"/>
  <c r="T145" i="47"/>
  <c r="B132" i="47"/>
  <c r="B192" i="47" s="1"/>
  <c r="B292" i="47" s="1"/>
  <c r="R121" i="47"/>
  <c r="R119" i="47"/>
  <c r="R112" i="47"/>
  <c r="T161" i="47" s="1"/>
  <c r="A111" i="47"/>
  <c r="A112" i="47" s="1"/>
  <c r="A113" i="47" s="1"/>
  <c r="A114" i="47" s="1"/>
  <c r="A115" i="47" s="1"/>
  <c r="A116" i="47" s="1"/>
  <c r="A117" i="47" s="1"/>
  <c r="A102" i="47"/>
  <c r="A103" i="47" s="1"/>
  <c r="R97" i="47"/>
  <c r="T96" i="47"/>
  <c r="T95" i="47"/>
  <c r="R95" i="47"/>
  <c r="L86" i="47"/>
  <c r="T81" i="47"/>
  <c r="T80" i="47"/>
  <c r="R70" i="47"/>
  <c r="P70" i="47"/>
  <c r="L70" i="47"/>
  <c r="L83" i="47" s="1"/>
  <c r="J70" i="47"/>
  <c r="J83" i="47" s="1"/>
  <c r="T67" i="47"/>
  <c r="T70" i="47" s="1"/>
  <c r="P57" i="47"/>
  <c r="P56" i="47"/>
  <c r="T50" i="47"/>
  <c r="J43" i="47"/>
  <c r="F43" i="47"/>
  <c r="D43" i="47"/>
  <c r="N36" i="47"/>
  <c r="L36" i="47"/>
  <c r="J36" i="47"/>
  <c r="H36" i="47"/>
  <c r="F36" i="47"/>
  <c r="D36" i="47"/>
  <c r="N35" i="47"/>
  <c r="L35" i="47"/>
  <c r="J35" i="47"/>
  <c r="H35" i="47"/>
  <c r="F35" i="47"/>
  <c r="D35" i="47"/>
  <c r="T34" i="47"/>
  <c r="T136" i="47" s="1"/>
  <c r="N33" i="47"/>
  <c r="L33" i="47"/>
  <c r="J33" i="47"/>
  <c r="H33" i="47"/>
  <c r="F33" i="47"/>
  <c r="D33" i="47"/>
  <c r="N32" i="47"/>
  <c r="L32" i="47"/>
  <c r="J32" i="47"/>
  <c r="H32" i="47"/>
  <c r="F32" i="47"/>
  <c r="D32" i="47"/>
  <c r="R212" i="47" l="1"/>
  <c r="S255" i="47"/>
  <c r="S245" i="47"/>
  <c r="S247" i="47"/>
  <c r="S257" i="47"/>
  <c r="S244" i="47"/>
  <c r="S246" i="47"/>
  <c r="Q255" i="47"/>
  <c r="Q257" i="47"/>
  <c r="Q259" i="47"/>
  <c r="Q261" i="47"/>
  <c r="Q244" i="47"/>
  <c r="Q246" i="47"/>
  <c r="Q248" i="47"/>
  <c r="S261" i="47"/>
  <c r="Q249" i="47"/>
  <c r="T35" i="47"/>
  <c r="Q243" i="47"/>
  <c r="Q245" i="47"/>
  <c r="Q247" i="47"/>
  <c r="Q212" i="47"/>
  <c r="R99" i="47"/>
  <c r="R240" i="47"/>
  <c r="S237" i="47" s="1"/>
  <c r="Q256" i="47"/>
  <c r="Q258" i="47"/>
  <c r="Q260" i="47"/>
  <c r="T99" i="47"/>
  <c r="T185" i="47" s="1"/>
  <c r="R128" i="47"/>
  <c r="S256" i="47"/>
  <c r="S258" i="47"/>
  <c r="S260" i="47"/>
  <c r="T51" i="47"/>
  <c r="T36" i="47"/>
  <c r="T43" i="47"/>
  <c r="R199" i="47" s="1"/>
  <c r="R200" i="47" s="1"/>
  <c r="S248" i="47"/>
  <c r="S249" i="47"/>
  <c r="R278" i="47"/>
  <c r="P240" i="47"/>
  <c r="Q238" i="47" s="1"/>
  <c r="P278" i="47"/>
  <c r="R217" i="47"/>
  <c r="T162" i="47"/>
  <c r="T164" i="47" s="1"/>
  <c r="S236" i="47"/>
  <c r="S234" i="47"/>
  <c r="T170" i="47"/>
  <c r="T83" i="47"/>
  <c r="T171" i="47" s="1"/>
  <c r="R201" i="47"/>
  <c r="N70" i="47"/>
  <c r="R207" i="47"/>
  <c r="T52" i="47"/>
  <c r="N67" i="46"/>
  <c r="R129" i="47" l="1"/>
  <c r="T183" i="47"/>
  <c r="S238" i="47"/>
  <c r="T117" i="47"/>
  <c r="T128" i="47" s="1"/>
  <c r="T129" i="47" s="1"/>
  <c r="S232" i="47"/>
  <c r="Q231" i="47"/>
  <c r="Q264" i="47"/>
  <c r="Q235" i="47"/>
  <c r="Q252" i="47"/>
  <c r="S264" i="47"/>
  <c r="Q233" i="47"/>
  <c r="Q237" i="47"/>
  <c r="T187" i="47"/>
  <c r="S231" i="47"/>
  <c r="S233" i="47"/>
  <c r="S235" i="47"/>
  <c r="Q232" i="47"/>
  <c r="Q236" i="47"/>
  <c r="S252" i="47"/>
  <c r="Q234" i="47"/>
  <c r="T105" i="46"/>
  <c r="T103" i="46"/>
  <c r="T90" i="46"/>
  <c r="T89" i="46"/>
  <c r="R88" i="46"/>
  <c r="J44" i="46"/>
  <c r="F44" i="46"/>
  <c r="D44" i="46"/>
  <c r="S240" i="47" l="1"/>
  <c r="Q240" i="47"/>
  <c r="T165" i="46"/>
  <c r="S276" i="46" l="1"/>
  <c r="R276" i="46"/>
  <c r="Q276" i="46"/>
  <c r="P276" i="46"/>
  <c r="Q213" i="46" s="1"/>
  <c r="R264" i="46"/>
  <c r="S261" i="46" s="1"/>
  <c r="P264" i="46"/>
  <c r="Q262" i="46" s="1"/>
  <c r="Q257" i="46"/>
  <c r="Q255" i="46"/>
  <c r="R252" i="46"/>
  <c r="S250" i="46" s="1"/>
  <c r="P252" i="46"/>
  <c r="Q249" i="46" s="1"/>
  <c r="Q244" i="46"/>
  <c r="R238" i="46"/>
  <c r="P238" i="46"/>
  <c r="R237" i="46"/>
  <c r="P237" i="46"/>
  <c r="R236" i="46"/>
  <c r="P236" i="46"/>
  <c r="R235" i="46"/>
  <c r="P235" i="46"/>
  <c r="R234" i="46"/>
  <c r="P234" i="46"/>
  <c r="R233" i="46"/>
  <c r="P233" i="46"/>
  <c r="R232" i="46"/>
  <c r="P232" i="46"/>
  <c r="R231" i="46"/>
  <c r="P231" i="46"/>
  <c r="R213" i="46"/>
  <c r="R212" i="46"/>
  <c r="Q212" i="46"/>
  <c r="R207" i="46"/>
  <c r="R197" i="46"/>
  <c r="T177" i="46"/>
  <c r="T163" i="46"/>
  <c r="T145" i="46"/>
  <c r="B132" i="46"/>
  <c r="B192" i="46" s="1"/>
  <c r="B292" i="46" s="1"/>
  <c r="R121" i="46"/>
  <c r="R119" i="46"/>
  <c r="R128" i="46" s="1"/>
  <c r="R112" i="46"/>
  <c r="T161" i="46" s="1"/>
  <c r="A111" i="46"/>
  <c r="A112" i="46" s="1"/>
  <c r="A113" i="46" s="1"/>
  <c r="A114" i="46" s="1"/>
  <c r="A115" i="46" s="1"/>
  <c r="A116" i="46" s="1"/>
  <c r="A117" i="46" s="1"/>
  <c r="A102" i="46"/>
  <c r="A103" i="46" s="1"/>
  <c r="R97" i="46"/>
  <c r="T96" i="46"/>
  <c r="R95" i="46"/>
  <c r="T95" i="46"/>
  <c r="L86" i="46"/>
  <c r="T81" i="46"/>
  <c r="T80" i="46"/>
  <c r="R70" i="46"/>
  <c r="P70" i="46"/>
  <c r="L70" i="46"/>
  <c r="L83" i="46" s="1"/>
  <c r="J70" i="46"/>
  <c r="J83" i="46" s="1"/>
  <c r="T67" i="46"/>
  <c r="T70" i="46" s="1"/>
  <c r="N70" i="46"/>
  <c r="P57" i="46"/>
  <c r="P56" i="46"/>
  <c r="T50" i="46"/>
  <c r="J43" i="46"/>
  <c r="F43" i="46"/>
  <c r="D43" i="46"/>
  <c r="N36" i="46"/>
  <c r="L36" i="46"/>
  <c r="J36" i="46"/>
  <c r="H36" i="46"/>
  <c r="F36" i="46"/>
  <c r="D36" i="46"/>
  <c r="N35" i="46"/>
  <c r="L35" i="46"/>
  <c r="J35" i="46"/>
  <c r="H35" i="46"/>
  <c r="F35" i="46"/>
  <c r="D35" i="46"/>
  <c r="T34" i="46"/>
  <c r="T136" i="46" s="1"/>
  <c r="N33" i="46"/>
  <c r="L33" i="46"/>
  <c r="J33" i="46"/>
  <c r="H33" i="46"/>
  <c r="F33" i="46"/>
  <c r="D33" i="46"/>
  <c r="N32" i="46"/>
  <c r="L32" i="46"/>
  <c r="J32" i="46"/>
  <c r="H32" i="46"/>
  <c r="F32" i="46"/>
  <c r="D32" i="46"/>
  <c r="Q246" i="46" l="1"/>
  <c r="Q243" i="46"/>
  <c r="Q245" i="46"/>
  <c r="Q247" i="46"/>
  <c r="Q256" i="46"/>
  <c r="Q259" i="46"/>
  <c r="Q248" i="46"/>
  <c r="Q260" i="46"/>
  <c r="T99" i="46"/>
  <c r="T185" i="46" s="1"/>
  <c r="Q250" i="46"/>
  <c r="Q258" i="46"/>
  <c r="T35" i="46"/>
  <c r="T43" i="46" s="1"/>
  <c r="R199" i="46" s="1"/>
  <c r="R200" i="46" s="1"/>
  <c r="T52" i="46"/>
  <c r="Q261" i="46"/>
  <c r="R99" i="46"/>
  <c r="R129" i="46" s="1"/>
  <c r="T36" i="46"/>
  <c r="T51" i="46"/>
  <c r="R240" i="46"/>
  <c r="S238" i="46" s="1"/>
  <c r="S262" i="46"/>
  <c r="S255" i="46"/>
  <c r="S256" i="46"/>
  <c r="S257" i="46"/>
  <c r="S258" i="46"/>
  <c r="S259" i="46"/>
  <c r="S260" i="46"/>
  <c r="P240" i="46"/>
  <c r="Q238" i="46" s="1"/>
  <c r="R278" i="46"/>
  <c r="S243" i="46"/>
  <c r="S244" i="46"/>
  <c r="S245" i="46"/>
  <c r="S246" i="46"/>
  <c r="S247" i="46"/>
  <c r="S248" i="46"/>
  <c r="S249" i="46"/>
  <c r="P278" i="46"/>
  <c r="R201" i="46"/>
  <c r="T187" i="46"/>
  <c r="T117" i="46"/>
  <c r="S231" i="46"/>
  <c r="T83" i="46"/>
  <c r="T171" i="46" s="1"/>
  <c r="T170" i="46"/>
  <c r="R217" i="46"/>
  <c r="T162" i="46"/>
  <c r="T164" i="46" s="1"/>
  <c r="Q231" i="46"/>
  <c r="Q252" i="46" l="1"/>
  <c r="S233" i="46"/>
  <c r="Q235" i="46"/>
  <c r="S235" i="46"/>
  <c r="Q264" i="46"/>
  <c r="Q233" i="46"/>
  <c r="Q237" i="46"/>
  <c r="S237" i="46"/>
  <c r="Q232" i="46"/>
  <c r="Q234" i="46"/>
  <c r="Q236" i="46"/>
  <c r="S232" i="46"/>
  <c r="S240" i="46" s="1"/>
  <c r="S234" i="46"/>
  <c r="S236" i="46"/>
  <c r="T183" i="46"/>
  <c r="T128" i="46"/>
  <c r="T129" i="46" s="1"/>
  <c r="S264" i="46"/>
  <c r="S252" i="46"/>
  <c r="R88" i="45"/>
  <c r="N67" i="45"/>
  <c r="Q240" i="46" l="1"/>
  <c r="T105" i="45"/>
  <c r="T103" i="45" l="1"/>
  <c r="T90" i="45"/>
  <c r="T89" i="45"/>
  <c r="D43" i="45"/>
  <c r="J44" i="45"/>
  <c r="F44" i="45"/>
  <c r="D33" i="45" l="1"/>
  <c r="D32" i="45"/>
  <c r="S276" i="45" l="1"/>
  <c r="R276" i="45"/>
  <c r="Q276" i="45"/>
  <c r="P276" i="45"/>
  <c r="Q213" i="45" s="1"/>
  <c r="R264" i="45"/>
  <c r="S262" i="45" s="1"/>
  <c r="P264" i="45"/>
  <c r="Q262" i="45" s="1"/>
  <c r="R252" i="45"/>
  <c r="S250" i="45" s="1"/>
  <c r="P252" i="45"/>
  <c r="Q248" i="45" s="1"/>
  <c r="R238" i="45"/>
  <c r="P238" i="45"/>
  <c r="R237" i="45"/>
  <c r="P237" i="45"/>
  <c r="R236" i="45"/>
  <c r="P236" i="45"/>
  <c r="R235" i="45"/>
  <c r="P235" i="45"/>
  <c r="R234" i="45"/>
  <c r="P234" i="45"/>
  <c r="R233" i="45"/>
  <c r="P233" i="45"/>
  <c r="R232" i="45"/>
  <c r="P232" i="45"/>
  <c r="R231" i="45"/>
  <c r="P231" i="45"/>
  <c r="R197" i="45"/>
  <c r="T177" i="45"/>
  <c r="T163" i="45"/>
  <c r="T145" i="45"/>
  <c r="B132" i="45"/>
  <c r="B192" i="45" s="1"/>
  <c r="B292" i="45" s="1"/>
  <c r="R121" i="45"/>
  <c r="R119" i="45"/>
  <c r="R112" i="45"/>
  <c r="T161" i="45" s="1"/>
  <c r="A111" i="45"/>
  <c r="A112" i="45" s="1"/>
  <c r="A113" i="45" s="1"/>
  <c r="A114" i="45" s="1"/>
  <c r="A115" i="45" s="1"/>
  <c r="A116" i="45" s="1"/>
  <c r="A117" i="45" s="1"/>
  <c r="A102" i="45"/>
  <c r="A103" i="45" s="1"/>
  <c r="R97" i="45"/>
  <c r="T96" i="45"/>
  <c r="R95" i="45"/>
  <c r="L86" i="45"/>
  <c r="T81" i="45"/>
  <c r="T80" i="45"/>
  <c r="R70" i="45"/>
  <c r="P70" i="45"/>
  <c r="L70" i="45"/>
  <c r="L83" i="45" s="1"/>
  <c r="J70" i="45"/>
  <c r="J83" i="45" s="1"/>
  <c r="P57" i="45"/>
  <c r="P56" i="45"/>
  <c r="T50" i="45"/>
  <c r="J43" i="45"/>
  <c r="F43" i="45"/>
  <c r="N36" i="45"/>
  <c r="L36" i="45"/>
  <c r="J36" i="45"/>
  <c r="H36" i="45"/>
  <c r="F36" i="45"/>
  <c r="D36" i="45"/>
  <c r="N35" i="45"/>
  <c r="L35" i="45"/>
  <c r="J35" i="45"/>
  <c r="H35" i="45"/>
  <c r="F35" i="45"/>
  <c r="D35" i="45"/>
  <c r="T34" i="45"/>
  <c r="T136" i="45" s="1"/>
  <c r="N33" i="45"/>
  <c r="L33" i="45"/>
  <c r="J33" i="45"/>
  <c r="H33" i="45"/>
  <c r="F33" i="45"/>
  <c r="N32" i="45"/>
  <c r="L32" i="45"/>
  <c r="J32" i="45"/>
  <c r="H32" i="45"/>
  <c r="F32" i="45"/>
  <c r="R99" i="45" l="1"/>
  <c r="T36" i="45"/>
  <c r="T35" i="45"/>
  <c r="T43" i="45" s="1"/>
  <c r="R199" i="45" s="1"/>
  <c r="R200" i="45" s="1"/>
  <c r="Q212" i="45"/>
  <c r="Q255" i="45"/>
  <c r="Q243" i="45"/>
  <c r="Q247" i="45"/>
  <c r="Q245" i="45"/>
  <c r="Q249" i="45"/>
  <c r="Q259" i="45"/>
  <c r="Q246" i="45"/>
  <c r="Q250" i="45"/>
  <c r="Q256" i="45"/>
  <c r="Q260" i="45"/>
  <c r="T95" i="45"/>
  <c r="T99" i="45" s="1"/>
  <c r="T117" i="45" s="1"/>
  <c r="T128" i="45" s="1"/>
  <c r="T129" i="45" s="1"/>
  <c r="Q257" i="45"/>
  <c r="Q261" i="45"/>
  <c r="R128" i="45"/>
  <c r="R129" i="45" s="1"/>
  <c r="Q244" i="45"/>
  <c r="Q258" i="45"/>
  <c r="T51" i="45"/>
  <c r="P278" i="45"/>
  <c r="R278" i="45"/>
  <c r="R207" i="45"/>
  <c r="T67" i="45"/>
  <c r="T70" i="45" s="1"/>
  <c r="R217" i="45"/>
  <c r="T162" i="45"/>
  <c r="T164" i="45" s="1"/>
  <c r="N70" i="45"/>
  <c r="P240" i="45"/>
  <c r="Q232" i="45" s="1"/>
  <c r="R240" i="45"/>
  <c r="S232" i="45" s="1"/>
  <c r="T52" i="45"/>
  <c r="R212" i="45"/>
  <c r="R213" i="45"/>
  <c r="S243" i="45"/>
  <c r="S244" i="45"/>
  <c r="S245" i="45"/>
  <c r="S246" i="45"/>
  <c r="S247" i="45"/>
  <c r="S248" i="45"/>
  <c r="S249" i="45"/>
  <c r="S255" i="45"/>
  <c r="S256" i="45"/>
  <c r="S257" i="45"/>
  <c r="S258" i="45"/>
  <c r="S259" i="45"/>
  <c r="S260" i="45"/>
  <c r="S261" i="45"/>
  <c r="Q252" i="45" l="1"/>
  <c r="T183" i="45"/>
  <c r="T187" i="45"/>
  <c r="R201" i="45"/>
  <c r="T185" i="45"/>
  <c r="Q264" i="45"/>
  <c r="S237" i="45"/>
  <c r="S233" i="45"/>
  <c r="S235" i="45"/>
  <c r="S231" i="45"/>
  <c r="S252" i="45"/>
  <c r="Q237" i="45"/>
  <c r="Q235" i="45"/>
  <c r="Q233" i="45"/>
  <c r="Q231" i="45"/>
  <c r="T170" i="45"/>
  <c r="T83" i="45"/>
  <c r="T171" i="45" s="1"/>
  <c r="S264" i="45"/>
  <c r="S238" i="45"/>
  <c r="S236" i="45"/>
  <c r="S234" i="45"/>
  <c r="Q238" i="45"/>
  <c r="Q236" i="45"/>
  <c r="Q234" i="45"/>
  <c r="T106" i="44"/>
  <c r="T104" i="44"/>
  <c r="T91" i="44"/>
  <c r="T90" i="44"/>
  <c r="R89" i="44"/>
  <c r="N68" i="44"/>
  <c r="J44" i="44"/>
  <c r="F44" i="44"/>
  <c r="S240" i="45" l="1"/>
  <c r="Q240" i="45"/>
  <c r="S277" i="44"/>
  <c r="R277" i="44"/>
  <c r="R214" i="44" s="1"/>
  <c r="Q277" i="44"/>
  <c r="P277" i="44"/>
  <c r="Q214" i="44" s="1"/>
  <c r="R265" i="44"/>
  <c r="R213" i="44" s="1"/>
  <c r="P265" i="44"/>
  <c r="Q263" i="44" s="1"/>
  <c r="R253" i="44"/>
  <c r="S251" i="44" s="1"/>
  <c r="P253" i="44"/>
  <c r="Q250" i="44" s="1"/>
  <c r="Q247" i="44"/>
  <c r="R239" i="44"/>
  <c r="P239" i="44"/>
  <c r="R238" i="44"/>
  <c r="P238" i="44"/>
  <c r="R237" i="44"/>
  <c r="P237" i="44"/>
  <c r="R236" i="44"/>
  <c r="P236" i="44"/>
  <c r="R235" i="44"/>
  <c r="P235" i="44"/>
  <c r="R234" i="44"/>
  <c r="P234" i="44"/>
  <c r="R233" i="44"/>
  <c r="P233" i="44"/>
  <c r="R232" i="44"/>
  <c r="P232" i="44"/>
  <c r="R198" i="44"/>
  <c r="T178" i="44"/>
  <c r="T164" i="44"/>
  <c r="T146" i="44"/>
  <c r="B133" i="44"/>
  <c r="B193" i="44" s="1"/>
  <c r="B288" i="44" s="1"/>
  <c r="R122" i="44"/>
  <c r="R120" i="44"/>
  <c r="R113" i="44"/>
  <c r="T162" i="44" s="1"/>
  <c r="A112" i="44"/>
  <c r="A113" i="44" s="1"/>
  <c r="A114" i="44" s="1"/>
  <c r="A115" i="44" s="1"/>
  <c r="A116" i="44" s="1"/>
  <c r="A117" i="44" s="1"/>
  <c r="A118" i="44" s="1"/>
  <c r="A103" i="44"/>
  <c r="A104" i="44" s="1"/>
  <c r="R98" i="44"/>
  <c r="T97" i="44"/>
  <c r="R96" i="44"/>
  <c r="R100" i="44" s="1"/>
  <c r="T96" i="44"/>
  <c r="L87" i="44"/>
  <c r="T82" i="44"/>
  <c r="T81" i="44"/>
  <c r="R71" i="44"/>
  <c r="P71" i="44"/>
  <c r="L71" i="44"/>
  <c r="L84" i="44" s="1"/>
  <c r="J71" i="44"/>
  <c r="J84" i="44" s="1"/>
  <c r="N71" i="44"/>
  <c r="P58" i="44"/>
  <c r="P57" i="44"/>
  <c r="T50" i="44"/>
  <c r="J43" i="44"/>
  <c r="F43" i="44"/>
  <c r="N36" i="44"/>
  <c r="L36" i="44"/>
  <c r="J36" i="44"/>
  <c r="H36" i="44"/>
  <c r="F36" i="44"/>
  <c r="D36" i="44"/>
  <c r="N35" i="44"/>
  <c r="L35" i="44"/>
  <c r="J35" i="44"/>
  <c r="H35" i="44"/>
  <c r="F35" i="44"/>
  <c r="D35" i="44"/>
  <c r="T34" i="44"/>
  <c r="T52" i="44" s="1"/>
  <c r="N33" i="44"/>
  <c r="L33" i="44"/>
  <c r="J33" i="44"/>
  <c r="H33" i="44"/>
  <c r="F33" i="44"/>
  <c r="D33" i="44"/>
  <c r="N32" i="44"/>
  <c r="L32" i="44"/>
  <c r="J32" i="44"/>
  <c r="H32" i="44"/>
  <c r="F32" i="44"/>
  <c r="D32" i="44"/>
  <c r="Q244" i="44" l="1"/>
  <c r="R129" i="44"/>
  <c r="Q245" i="44"/>
  <c r="S256" i="44"/>
  <c r="S258" i="44"/>
  <c r="S260" i="44"/>
  <c r="Q213" i="44"/>
  <c r="Q258" i="44"/>
  <c r="Q248" i="44"/>
  <c r="Q256" i="44"/>
  <c r="Q261" i="44"/>
  <c r="Q251" i="44"/>
  <c r="Q259" i="44"/>
  <c r="Q262" i="44"/>
  <c r="Q257" i="44"/>
  <c r="Q260" i="44"/>
  <c r="T137" i="44"/>
  <c r="T100" i="44"/>
  <c r="R202" i="44" s="1"/>
  <c r="Q249" i="44"/>
  <c r="T36" i="44"/>
  <c r="Q246" i="44"/>
  <c r="S261" i="44"/>
  <c r="S262" i="44"/>
  <c r="S257" i="44"/>
  <c r="S259" i="44"/>
  <c r="S263" i="44"/>
  <c r="R130" i="44"/>
  <c r="T51" i="44"/>
  <c r="T35" i="44"/>
  <c r="T43" i="44" s="1"/>
  <c r="R200" i="44" s="1"/>
  <c r="R201" i="44" s="1"/>
  <c r="S244" i="44"/>
  <c r="S245" i="44"/>
  <c r="R241" i="44"/>
  <c r="S239" i="44" s="1"/>
  <c r="R279" i="44"/>
  <c r="S246" i="44"/>
  <c r="S247" i="44"/>
  <c r="S248" i="44"/>
  <c r="S249" i="44"/>
  <c r="S250" i="44"/>
  <c r="P241" i="44"/>
  <c r="Q238" i="44" s="1"/>
  <c r="P279" i="44"/>
  <c r="T186" i="44"/>
  <c r="T184" i="44"/>
  <c r="R218" i="44"/>
  <c r="T163" i="44"/>
  <c r="T165" i="44" s="1"/>
  <c r="Q236" i="44"/>
  <c r="Q235" i="44"/>
  <c r="Q232" i="44"/>
  <c r="T68" i="44"/>
  <c r="T71" i="44" s="1"/>
  <c r="R208" i="44"/>
  <c r="T106" i="43"/>
  <c r="T104" i="43"/>
  <c r="T91" i="43"/>
  <c r="T90" i="43"/>
  <c r="Q178" i="43"/>
  <c r="R89" i="43"/>
  <c r="N68" i="43"/>
  <c r="P68" i="43"/>
  <c r="J44" i="43"/>
  <c r="F44" i="43"/>
  <c r="Q233" i="44" l="1"/>
  <c r="Q237" i="44"/>
  <c r="Q234" i="44"/>
  <c r="Q239" i="44"/>
  <c r="S236" i="44"/>
  <c r="T118" i="44"/>
  <c r="T129" i="44" s="1"/>
  <c r="T130" i="44" s="1"/>
  <c r="T188" i="44"/>
  <c r="Q265" i="44"/>
  <c r="Q253" i="44"/>
  <c r="S265" i="44"/>
  <c r="S238" i="44"/>
  <c r="S232" i="44"/>
  <c r="S234" i="44"/>
  <c r="S233" i="44"/>
  <c r="S235" i="44"/>
  <c r="S237" i="44"/>
  <c r="S253" i="44"/>
  <c r="T171" i="44"/>
  <c r="T84" i="44"/>
  <c r="T172" i="44" s="1"/>
  <c r="Q241" i="44"/>
  <c r="T166" i="43"/>
  <c r="S241" i="44" l="1"/>
  <c r="S277" i="43"/>
  <c r="R277" i="43"/>
  <c r="R214" i="43" s="1"/>
  <c r="Q277" i="43"/>
  <c r="P277" i="43"/>
  <c r="Q214" i="43" s="1"/>
  <c r="R265" i="43"/>
  <c r="S262" i="43" s="1"/>
  <c r="P265" i="43"/>
  <c r="Q213" i="43" s="1"/>
  <c r="S263" i="43"/>
  <c r="R253" i="43"/>
  <c r="S250" i="43" s="1"/>
  <c r="P253" i="43"/>
  <c r="Q251" i="43" s="1"/>
  <c r="R239" i="43"/>
  <c r="P239" i="43"/>
  <c r="R238" i="43"/>
  <c r="P238" i="43"/>
  <c r="R237" i="43"/>
  <c r="P237" i="43"/>
  <c r="R236" i="43"/>
  <c r="P236" i="43"/>
  <c r="R235" i="43"/>
  <c r="P235" i="43"/>
  <c r="R234" i="43"/>
  <c r="P234" i="43"/>
  <c r="R233" i="43"/>
  <c r="P233" i="43"/>
  <c r="R232" i="43"/>
  <c r="P232" i="43"/>
  <c r="R213" i="43"/>
  <c r="R208" i="43"/>
  <c r="R198" i="43"/>
  <c r="T178" i="43"/>
  <c r="T164" i="43"/>
  <c r="T146" i="43"/>
  <c r="B133" i="43"/>
  <c r="B193" i="43" s="1"/>
  <c r="B288" i="43" s="1"/>
  <c r="R122" i="43"/>
  <c r="R120" i="43"/>
  <c r="R113" i="43"/>
  <c r="T162" i="43" s="1"/>
  <c r="A112" i="43"/>
  <c r="A113" i="43" s="1"/>
  <c r="A114" i="43" s="1"/>
  <c r="A115" i="43" s="1"/>
  <c r="A116" i="43" s="1"/>
  <c r="A117" i="43" s="1"/>
  <c r="A118" i="43" s="1"/>
  <c r="A103" i="43"/>
  <c r="A104" i="43" s="1"/>
  <c r="R98" i="43"/>
  <c r="T97" i="43"/>
  <c r="R96" i="43"/>
  <c r="T96" i="43"/>
  <c r="L87" i="43"/>
  <c r="T82" i="43"/>
  <c r="T81" i="43"/>
  <c r="R71" i="43"/>
  <c r="P71" i="43"/>
  <c r="L71" i="43"/>
  <c r="L84" i="43" s="1"/>
  <c r="J71" i="43"/>
  <c r="J84" i="43" s="1"/>
  <c r="T68" i="43"/>
  <c r="T71" i="43" s="1"/>
  <c r="N71" i="43"/>
  <c r="P58" i="43"/>
  <c r="P57" i="43"/>
  <c r="T50" i="43"/>
  <c r="J43" i="43"/>
  <c r="F43" i="43"/>
  <c r="N36" i="43"/>
  <c r="L36" i="43"/>
  <c r="J36" i="43"/>
  <c r="H36" i="43"/>
  <c r="F36" i="43"/>
  <c r="D36" i="43"/>
  <c r="N35" i="43"/>
  <c r="L35" i="43"/>
  <c r="J35" i="43"/>
  <c r="H35" i="43"/>
  <c r="F35" i="43"/>
  <c r="D35" i="43"/>
  <c r="T34" i="43"/>
  <c r="T137" i="43" s="1"/>
  <c r="N33" i="43"/>
  <c r="L33" i="43"/>
  <c r="J33" i="43"/>
  <c r="H33" i="43"/>
  <c r="F33" i="43"/>
  <c r="D33" i="43"/>
  <c r="N32" i="43"/>
  <c r="L32" i="43"/>
  <c r="J32" i="43"/>
  <c r="H32" i="43"/>
  <c r="F32" i="43"/>
  <c r="D32" i="43"/>
  <c r="Q257" i="43" l="1"/>
  <c r="Q246" i="43"/>
  <c r="Q259" i="43"/>
  <c r="Q260" i="43"/>
  <c r="Q256" i="43"/>
  <c r="S261" i="43"/>
  <c r="T100" i="43"/>
  <c r="T186" i="43" s="1"/>
  <c r="Q258" i="43"/>
  <c r="Q262" i="43"/>
  <c r="Q249" i="43"/>
  <c r="S256" i="43"/>
  <c r="S257" i="43"/>
  <c r="S258" i="43"/>
  <c r="S259" i="43"/>
  <c r="S260" i="43"/>
  <c r="R100" i="43"/>
  <c r="P241" i="43"/>
  <c r="Q238" i="43" s="1"/>
  <c r="Q248" i="43"/>
  <c r="S248" i="43"/>
  <c r="S244" i="43"/>
  <c r="R241" i="43"/>
  <c r="S238" i="43" s="1"/>
  <c r="R129" i="43"/>
  <c r="Q261" i="43"/>
  <c r="Q263" i="43"/>
  <c r="Q244" i="43"/>
  <c r="Q245" i="43"/>
  <c r="Q247" i="43"/>
  <c r="Q250" i="43"/>
  <c r="R279" i="43"/>
  <c r="S246" i="43"/>
  <c r="S245" i="43"/>
  <c r="S247" i="43"/>
  <c r="S249" i="43"/>
  <c r="S251" i="43"/>
  <c r="T36" i="43"/>
  <c r="T51" i="43"/>
  <c r="T35" i="43"/>
  <c r="T43" i="43" s="1"/>
  <c r="R200" i="43" s="1"/>
  <c r="R201" i="43" s="1"/>
  <c r="P279" i="43"/>
  <c r="T84" i="43"/>
  <c r="T172" i="43" s="1"/>
  <c r="T171" i="43"/>
  <c r="R218" i="43"/>
  <c r="T163" i="43"/>
  <c r="T165" i="43" s="1"/>
  <c r="R202" i="43"/>
  <c r="T118" i="43"/>
  <c r="T129" i="43" s="1"/>
  <c r="T130" i="43" s="1"/>
  <c r="Q239" i="43"/>
  <c r="Q237" i="43"/>
  <c r="Q235" i="43"/>
  <c r="Q233" i="43"/>
  <c r="T52" i="43"/>
  <c r="R130" i="43" l="1"/>
  <c r="T184" i="43"/>
  <c r="T188" i="43"/>
  <c r="S235" i="43"/>
  <c r="S265" i="43"/>
  <c r="Q232" i="43"/>
  <c r="Q234" i="43"/>
  <c r="Q236" i="43"/>
  <c r="S239" i="43"/>
  <c r="Q265" i="43"/>
  <c r="S232" i="43"/>
  <c r="S236" i="43"/>
  <c r="S233" i="43"/>
  <c r="S237" i="43"/>
  <c r="S234" i="43"/>
  <c r="Q253" i="43"/>
  <c r="S253" i="43"/>
  <c r="T106" i="42"/>
  <c r="T104" i="42"/>
  <c r="T91" i="42"/>
  <c r="T90" i="42"/>
  <c r="R89" i="42"/>
  <c r="N68" i="42"/>
  <c r="J44" i="42"/>
  <c r="F44" i="42"/>
  <c r="Q241" i="43" l="1"/>
  <c r="S241" i="43"/>
  <c r="S277" i="42"/>
  <c r="R277" i="42"/>
  <c r="Q277" i="42"/>
  <c r="P277" i="42"/>
  <c r="Q214" i="42" s="1"/>
  <c r="R265" i="42"/>
  <c r="S263" i="42" s="1"/>
  <c r="P265" i="42"/>
  <c r="Q263" i="42" s="1"/>
  <c r="S261" i="42"/>
  <c r="S259" i="42"/>
  <c r="S258" i="42"/>
  <c r="S256" i="42"/>
  <c r="R253" i="42"/>
  <c r="P253" i="42"/>
  <c r="Q251" i="42" s="1"/>
  <c r="R239" i="42"/>
  <c r="P239" i="42"/>
  <c r="R238" i="42"/>
  <c r="P238" i="42"/>
  <c r="R237" i="42"/>
  <c r="P237" i="42"/>
  <c r="R236" i="42"/>
  <c r="P236" i="42"/>
  <c r="R235" i="42"/>
  <c r="P235" i="42"/>
  <c r="R234" i="42"/>
  <c r="P234" i="42"/>
  <c r="R233" i="42"/>
  <c r="P233" i="42"/>
  <c r="R232" i="42"/>
  <c r="P232" i="42"/>
  <c r="R214" i="42"/>
  <c r="R198" i="42"/>
  <c r="T178" i="42"/>
  <c r="T164" i="42"/>
  <c r="T146" i="42"/>
  <c r="B133" i="42"/>
  <c r="B193" i="42" s="1"/>
  <c r="B288" i="42" s="1"/>
  <c r="R122" i="42"/>
  <c r="R120" i="42"/>
  <c r="R113" i="42"/>
  <c r="T162" i="42" s="1"/>
  <c r="A112" i="42"/>
  <c r="A113" i="42" s="1"/>
  <c r="A114" i="42" s="1"/>
  <c r="A115" i="42" s="1"/>
  <c r="A116" i="42" s="1"/>
  <c r="A117" i="42" s="1"/>
  <c r="A118" i="42" s="1"/>
  <c r="A103" i="42"/>
  <c r="A104" i="42" s="1"/>
  <c r="R98" i="42"/>
  <c r="T97" i="42"/>
  <c r="R96" i="42"/>
  <c r="T96" i="42"/>
  <c r="L87" i="42"/>
  <c r="T82" i="42"/>
  <c r="T81" i="42"/>
  <c r="R71" i="42"/>
  <c r="P71" i="42"/>
  <c r="L71" i="42"/>
  <c r="L84" i="42" s="1"/>
  <c r="J71" i="42"/>
  <c r="J84" i="42" s="1"/>
  <c r="N71" i="42"/>
  <c r="P58" i="42"/>
  <c r="P57" i="42"/>
  <c r="T50" i="42"/>
  <c r="J43" i="42"/>
  <c r="F43" i="42"/>
  <c r="N36" i="42"/>
  <c r="L36" i="42"/>
  <c r="J36" i="42"/>
  <c r="H36" i="42"/>
  <c r="F36" i="42"/>
  <c r="D36" i="42"/>
  <c r="N35" i="42"/>
  <c r="L35" i="42"/>
  <c r="J35" i="42"/>
  <c r="H35" i="42"/>
  <c r="F35" i="42"/>
  <c r="D35" i="42"/>
  <c r="T34" i="42"/>
  <c r="T52" i="42" s="1"/>
  <c r="N33" i="42"/>
  <c r="L33" i="42"/>
  <c r="J33" i="42"/>
  <c r="H33" i="42"/>
  <c r="F33" i="42"/>
  <c r="D33" i="42"/>
  <c r="N32" i="42"/>
  <c r="L32" i="42"/>
  <c r="J32" i="42"/>
  <c r="H32" i="42"/>
  <c r="F32" i="42"/>
  <c r="D32" i="42"/>
  <c r="Q213" i="42" l="1"/>
  <c r="R241" i="42"/>
  <c r="S238" i="42" s="1"/>
  <c r="R279" i="42"/>
  <c r="S257" i="42"/>
  <c r="Q260" i="42"/>
  <c r="S262" i="42"/>
  <c r="Q257" i="42"/>
  <c r="Q262" i="42"/>
  <c r="R213" i="42"/>
  <c r="Q256" i="42"/>
  <c r="Q258" i="42"/>
  <c r="S260" i="42"/>
  <c r="S246" i="42"/>
  <c r="S244" i="42"/>
  <c r="S248" i="42"/>
  <c r="Q259" i="42"/>
  <c r="Q261" i="42"/>
  <c r="S245" i="42"/>
  <c r="S247" i="42"/>
  <c r="Q246" i="42"/>
  <c r="Q248" i="42"/>
  <c r="R100" i="42"/>
  <c r="P241" i="42"/>
  <c r="Q238" i="42" s="1"/>
  <c r="Q244" i="42"/>
  <c r="S249" i="42"/>
  <c r="S250" i="42"/>
  <c r="Q250" i="42"/>
  <c r="T100" i="42"/>
  <c r="R202" i="42" s="1"/>
  <c r="Q245" i="42"/>
  <c r="Q247" i="42"/>
  <c r="Q249" i="42"/>
  <c r="Q265" i="42"/>
  <c r="S251" i="42"/>
  <c r="T137" i="42"/>
  <c r="T35" i="42"/>
  <c r="T43" i="42" s="1"/>
  <c r="R200" i="42" s="1"/>
  <c r="R201" i="42" s="1"/>
  <c r="R129" i="42"/>
  <c r="T36" i="42"/>
  <c r="T51" i="42"/>
  <c r="P279" i="42"/>
  <c r="S239" i="42"/>
  <c r="S237" i="42"/>
  <c r="S236" i="42"/>
  <c r="S235" i="42"/>
  <c r="S233" i="42"/>
  <c r="S232" i="42"/>
  <c r="R218" i="42"/>
  <c r="T163" i="42"/>
  <c r="T165" i="42" s="1"/>
  <c r="Q232" i="42"/>
  <c r="T68" i="42"/>
  <c r="T71" i="42" s="1"/>
  <c r="R208" i="42"/>
  <c r="T106" i="41"/>
  <c r="T104" i="41"/>
  <c r="T91" i="41"/>
  <c r="T90" i="41"/>
  <c r="Q178" i="41"/>
  <c r="R89" i="41"/>
  <c r="P68" i="41"/>
  <c r="N68" i="41"/>
  <c r="J44" i="41"/>
  <c r="F44" i="41"/>
  <c r="S265" i="42" l="1"/>
  <c r="Q236" i="42"/>
  <c r="S234" i="42"/>
  <c r="R130" i="42"/>
  <c r="T184" i="42"/>
  <c r="S253" i="42"/>
  <c r="Q235" i="42"/>
  <c r="Q239" i="42"/>
  <c r="Q233" i="42"/>
  <c r="Q237" i="42"/>
  <c r="Q253" i="42"/>
  <c r="Q234" i="42"/>
  <c r="T188" i="42"/>
  <c r="T186" i="42"/>
  <c r="T118" i="42"/>
  <c r="T129" i="42" s="1"/>
  <c r="T130" i="42" s="1"/>
  <c r="T171" i="42"/>
  <c r="T84" i="42"/>
  <c r="T172" i="42" s="1"/>
  <c r="S241" i="42"/>
  <c r="S277" i="41"/>
  <c r="R277" i="41"/>
  <c r="Q277" i="41"/>
  <c r="P277" i="41"/>
  <c r="Q214" i="41" s="1"/>
  <c r="R265" i="41"/>
  <c r="S263" i="41" s="1"/>
  <c r="P265" i="41"/>
  <c r="Q261" i="41" s="1"/>
  <c r="Q262" i="41"/>
  <c r="Q260" i="41"/>
  <c r="Q259" i="41"/>
  <c r="Q258" i="41"/>
  <c r="Q256" i="41"/>
  <c r="R253" i="41"/>
  <c r="S247" i="41" s="1"/>
  <c r="P253" i="41"/>
  <c r="Q251" i="41" s="1"/>
  <c r="R239" i="41"/>
  <c r="P239" i="41"/>
  <c r="R238" i="41"/>
  <c r="P238" i="41"/>
  <c r="R237" i="41"/>
  <c r="P237" i="41"/>
  <c r="R236" i="41"/>
  <c r="P236" i="41"/>
  <c r="R235" i="41"/>
  <c r="P235" i="41"/>
  <c r="R234" i="41"/>
  <c r="P234" i="41"/>
  <c r="R233" i="41"/>
  <c r="P233" i="41"/>
  <c r="R232" i="41"/>
  <c r="P232" i="41"/>
  <c r="R214" i="41"/>
  <c r="Q213" i="41"/>
  <c r="R198" i="41"/>
  <c r="T178" i="41"/>
  <c r="T166" i="41"/>
  <c r="T164" i="41"/>
  <c r="T146" i="41"/>
  <c r="B133" i="41"/>
  <c r="B193" i="41" s="1"/>
  <c r="B288" i="41" s="1"/>
  <c r="R122" i="41"/>
  <c r="R120" i="41"/>
  <c r="R113" i="41"/>
  <c r="T162" i="41" s="1"/>
  <c r="A112" i="41"/>
  <c r="A113" i="41" s="1"/>
  <c r="A114" i="41" s="1"/>
  <c r="A115" i="41" s="1"/>
  <c r="A116" i="41" s="1"/>
  <c r="A117" i="41" s="1"/>
  <c r="A118" i="41" s="1"/>
  <c r="A103" i="41"/>
  <c r="A104" i="41" s="1"/>
  <c r="R98" i="41"/>
  <c r="T97" i="41"/>
  <c r="T96" i="41"/>
  <c r="R96" i="41"/>
  <c r="L87" i="41"/>
  <c r="T82" i="41"/>
  <c r="T81" i="41"/>
  <c r="R71" i="41"/>
  <c r="P71" i="41"/>
  <c r="L71" i="41"/>
  <c r="L84" i="41" s="1"/>
  <c r="J71" i="41"/>
  <c r="J84" i="41" s="1"/>
  <c r="T68" i="41"/>
  <c r="T71" i="41" s="1"/>
  <c r="P58" i="41"/>
  <c r="P57" i="41"/>
  <c r="T50" i="41"/>
  <c r="J43" i="41"/>
  <c r="F43" i="41"/>
  <c r="N36" i="41"/>
  <c r="L36" i="41"/>
  <c r="J36" i="41"/>
  <c r="H36" i="41"/>
  <c r="F36" i="41"/>
  <c r="D36" i="41"/>
  <c r="N35" i="41"/>
  <c r="L35" i="41"/>
  <c r="J35" i="41"/>
  <c r="H35" i="41"/>
  <c r="F35" i="41"/>
  <c r="D35" i="41"/>
  <c r="T34" i="41"/>
  <c r="T137" i="41" s="1"/>
  <c r="N33" i="41"/>
  <c r="L33" i="41"/>
  <c r="J33" i="41"/>
  <c r="H33" i="41"/>
  <c r="F33" i="41"/>
  <c r="D33" i="41"/>
  <c r="N32" i="41"/>
  <c r="L32" i="41"/>
  <c r="J32" i="41"/>
  <c r="H32" i="41"/>
  <c r="F32" i="41"/>
  <c r="D32" i="41"/>
  <c r="S244" i="41" l="1"/>
  <c r="Q263" i="41"/>
  <c r="S245" i="41"/>
  <c r="S248" i="41"/>
  <c r="Q257" i="41"/>
  <c r="Q241" i="42"/>
  <c r="R241" i="41"/>
  <c r="R213" i="41"/>
  <c r="R279" i="41"/>
  <c r="S256" i="41"/>
  <c r="S257" i="41"/>
  <c r="S258" i="41"/>
  <c r="S259" i="41"/>
  <c r="S260" i="41"/>
  <c r="S261" i="41"/>
  <c r="S262" i="41"/>
  <c r="S265" i="41" s="1"/>
  <c r="Q248" i="41"/>
  <c r="Q246" i="41"/>
  <c r="P241" i="41"/>
  <c r="Q244" i="41"/>
  <c r="S246" i="41"/>
  <c r="Q250" i="41"/>
  <c r="T36" i="41"/>
  <c r="T100" i="41"/>
  <c r="T188" i="41" s="1"/>
  <c r="R129" i="41"/>
  <c r="S250" i="41"/>
  <c r="T35" i="41"/>
  <c r="T43" i="41" s="1"/>
  <c r="R200" i="41" s="1"/>
  <c r="R201" i="41" s="1"/>
  <c r="Q245" i="41"/>
  <c r="Q247" i="41"/>
  <c r="Q249" i="41"/>
  <c r="S249" i="41"/>
  <c r="S251" i="41"/>
  <c r="T51" i="41"/>
  <c r="R100" i="41"/>
  <c r="P279" i="41"/>
  <c r="R218" i="41"/>
  <c r="T163" i="41"/>
  <c r="T165" i="41" s="1"/>
  <c r="S239" i="41"/>
  <c r="S238" i="41"/>
  <c r="S237" i="41"/>
  <c r="S236" i="41"/>
  <c r="S235" i="41"/>
  <c r="S234" i="41"/>
  <c r="S233" i="41"/>
  <c r="S232" i="41"/>
  <c r="T171" i="41"/>
  <c r="T84" i="41"/>
  <c r="T172" i="41" s="1"/>
  <c r="T118" i="41"/>
  <c r="T129" i="41" s="1"/>
  <c r="T130" i="41" s="1"/>
  <c r="Q239" i="41"/>
  <c r="Q238" i="41"/>
  <c r="Q237" i="41"/>
  <c r="Q236" i="41"/>
  <c r="Q235" i="41"/>
  <c r="Q234" i="41"/>
  <c r="Q233" i="41"/>
  <c r="Q232" i="41"/>
  <c r="N71" i="41"/>
  <c r="R208" i="41"/>
  <c r="T52" i="41"/>
  <c r="T106" i="40"/>
  <c r="T104" i="40"/>
  <c r="T91" i="40"/>
  <c r="T90" i="40"/>
  <c r="R89" i="40"/>
  <c r="N68" i="40"/>
  <c r="N35" i="40"/>
  <c r="L35" i="40"/>
  <c r="J35" i="40"/>
  <c r="J36" i="40"/>
  <c r="N32" i="40"/>
  <c r="L32" i="40"/>
  <c r="L33" i="40"/>
  <c r="J32" i="40"/>
  <c r="J33" i="40"/>
  <c r="J44" i="40"/>
  <c r="F44" i="40"/>
  <c r="Q265" i="41" l="1"/>
  <c r="R130" i="41"/>
  <c r="S253" i="41"/>
  <c r="Q253" i="41"/>
  <c r="T184" i="41"/>
  <c r="R202" i="41"/>
  <c r="T186" i="41"/>
  <c r="Q241" i="41"/>
  <c r="S241" i="41"/>
  <c r="S277" i="40"/>
  <c r="R277" i="40"/>
  <c r="R214" i="40" s="1"/>
  <c r="Q277" i="40"/>
  <c r="P277" i="40"/>
  <c r="Q214" i="40" s="1"/>
  <c r="R265" i="40"/>
  <c r="S262" i="40" s="1"/>
  <c r="P265" i="40"/>
  <c r="Q263" i="40" s="1"/>
  <c r="R253" i="40"/>
  <c r="S250" i="40" s="1"/>
  <c r="P253" i="40"/>
  <c r="Q251" i="40" s="1"/>
  <c r="R239" i="40"/>
  <c r="P239" i="40"/>
  <c r="R238" i="40"/>
  <c r="P238" i="40"/>
  <c r="R237" i="40"/>
  <c r="P237" i="40"/>
  <c r="R236" i="40"/>
  <c r="P236" i="40"/>
  <c r="R235" i="40"/>
  <c r="P235" i="40"/>
  <c r="R234" i="40"/>
  <c r="P234" i="40"/>
  <c r="R233" i="40"/>
  <c r="P233" i="40"/>
  <c r="R232" i="40"/>
  <c r="P232" i="40"/>
  <c r="R198" i="40"/>
  <c r="R122" i="40"/>
  <c r="T166" i="40"/>
  <c r="T164" i="40"/>
  <c r="T146" i="40"/>
  <c r="B133" i="40"/>
  <c r="B193" i="40" s="1"/>
  <c r="B288" i="40" s="1"/>
  <c r="R120" i="40"/>
  <c r="R113" i="40"/>
  <c r="T162" i="40" s="1"/>
  <c r="A112" i="40"/>
  <c r="A113" i="40" s="1"/>
  <c r="A114" i="40" s="1"/>
  <c r="A115" i="40" s="1"/>
  <c r="A116" i="40" s="1"/>
  <c r="A117" i="40" s="1"/>
  <c r="A118" i="40" s="1"/>
  <c r="A103" i="40"/>
  <c r="A104" i="40" s="1"/>
  <c r="R98" i="40"/>
  <c r="T97" i="40"/>
  <c r="T96" i="40"/>
  <c r="R96" i="40"/>
  <c r="L87" i="40"/>
  <c r="T82" i="40"/>
  <c r="T81" i="40"/>
  <c r="R71" i="40"/>
  <c r="L71" i="40"/>
  <c r="L84" i="40" s="1"/>
  <c r="J71" i="40"/>
  <c r="J84" i="40" s="1"/>
  <c r="P71" i="40"/>
  <c r="R208" i="40"/>
  <c r="P58" i="40"/>
  <c r="P57" i="40"/>
  <c r="T50" i="40"/>
  <c r="J43" i="40"/>
  <c r="F43" i="40"/>
  <c r="N36" i="40"/>
  <c r="L36" i="40"/>
  <c r="H36" i="40"/>
  <c r="F36" i="40"/>
  <c r="D36" i="40"/>
  <c r="H35" i="40"/>
  <c r="F35" i="40"/>
  <c r="D35" i="40"/>
  <c r="T34" i="40"/>
  <c r="T52" i="40" s="1"/>
  <c r="N33" i="40"/>
  <c r="H33" i="40"/>
  <c r="F33" i="40"/>
  <c r="D33" i="40"/>
  <c r="H32" i="40"/>
  <c r="F32" i="40"/>
  <c r="D32" i="40"/>
  <c r="S251" i="40" l="1"/>
  <c r="S247" i="40"/>
  <c r="Q260" i="40"/>
  <c r="S245" i="40"/>
  <c r="R241" i="40"/>
  <c r="S236" i="40" s="1"/>
  <c r="S249" i="40"/>
  <c r="Q256" i="40"/>
  <c r="R100" i="40"/>
  <c r="R129" i="40"/>
  <c r="Q257" i="40"/>
  <c r="Q261" i="40"/>
  <c r="Q258" i="40"/>
  <c r="Q262" i="40"/>
  <c r="Q213" i="40"/>
  <c r="Q259" i="40"/>
  <c r="S263" i="40"/>
  <c r="T35" i="40"/>
  <c r="T43" i="40" s="1"/>
  <c r="R200" i="40" s="1"/>
  <c r="R201" i="40" s="1"/>
  <c r="T100" i="40"/>
  <c r="T184" i="40" s="1"/>
  <c r="T137" i="40"/>
  <c r="S244" i="40"/>
  <c r="S246" i="40"/>
  <c r="S248" i="40"/>
  <c r="T36" i="40"/>
  <c r="T51" i="40"/>
  <c r="R213" i="40"/>
  <c r="S256" i="40"/>
  <c r="S257" i="40"/>
  <c r="S258" i="40"/>
  <c r="S259" i="40"/>
  <c r="S260" i="40"/>
  <c r="S261" i="40"/>
  <c r="Q244" i="40"/>
  <c r="Q245" i="40"/>
  <c r="Q246" i="40"/>
  <c r="Q247" i="40"/>
  <c r="Q248" i="40"/>
  <c r="Q249" i="40"/>
  <c r="Q250" i="40"/>
  <c r="R279" i="40"/>
  <c r="P279" i="40"/>
  <c r="S233" i="40"/>
  <c r="T186" i="40"/>
  <c r="T118" i="40"/>
  <c r="T129" i="40" s="1"/>
  <c r="T130" i="40" s="1"/>
  <c r="R218" i="40"/>
  <c r="T163" i="40"/>
  <c r="T165" i="40" s="1"/>
  <c r="N71" i="40"/>
  <c r="T178" i="40"/>
  <c r="P241" i="40"/>
  <c r="Q232" i="40" s="1"/>
  <c r="T68" i="40"/>
  <c r="T71" i="40" s="1"/>
  <c r="T166" i="39"/>
  <c r="T188" i="40" l="1"/>
  <c r="S253" i="40"/>
  <c r="R130" i="40"/>
  <c r="S238" i="40"/>
  <c r="S234" i="40"/>
  <c r="Q265" i="40"/>
  <c r="S239" i="40"/>
  <c r="S235" i="40"/>
  <c r="S241" i="40" s="1"/>
  <c r="S232" i="40"/>
  <c r="S237" i="40"/>
  <c r="R202" i="40"/>
  <c r="S265" i="40"/>
  <c r="Q253" i="40"/>
  <c r="Q239" i="40"/>
  <c r="Q236" i="40"/>
  <c r="Q235" i="40"/>
  <c r="Q234" i="40"/>
  <c r="Q238" i="40"/>
  <c r="Q237" i="40"/>
  <c r="T171" i="40"/>
  <c r="T84" i="40"/>
  <c r="T172" i="40" s="1"/>
  <c r="Q233" i="40"/>
  <c r="T106" i="39"/>
  <c r="T104" i="39"/>
  <c r="T91" i="39"/>
  <c r="T90" i="39"/>
  <c r="Q178" i="39"/>
  <c r="R89" i="39"/>
  <c r="P68" i="39"/>
  <c r="N68" i="39"/>
  <c r="D32" i="39"/>
  <c r="N36" i="39"/>
  <c r="L36" i="39"/>
  <c r="J36" i="39"/>
  <c r="H36" i="39"/>
  <c r="F36" i="39"/>
  <c r="D36" i="39"/>
  <c r="N33" i="39"/>
  <c r="J44" i="39"/>
  <c r="F44" i="39"/>
  <c r="Q241" i="40" l="1"/>
  <c r="S277" i="39"/>
  <c r="R277" i="39"/>
  <c r="R214" i="39" s="1"/>
  <c r="Q277" i="39"/>
  <c r="P277" i="39"/>
  <c r="R265" i="39"/>
  <c r="S263" i="39" s="1"/>
  <c r="P265" i="39"/>
  <c r="Q263" i="39" s="1"/>
  <c r="R253" i="39"/>
  <c r="S250" i="39" s="1"/>
  <c r="P253" i="39"/>
  <c r="Q251" i="39" s="1"/>
  <c r="R239" i="39"/>
  <c r="P239" i="39"/>
  <c r="R238" i="39"/>
  <c r="P238" i="39"/>
  <c r="R237" i="39"/>
  <c r="P237" i="39"/>
  <c r="R236" i="39"/>
  <c r="P236" i="39"/>
  <c r="R235" i="39"/>
  <c r="P235" i="39"/>
  <c r="R234" i="39"/>
  <c r="P234" i="39"/>
  <c r="R233" i="39"/>
  <c r="P233" i="39"/>
  <c r="R232" i="39"/>
  <c r="P232" i="39"/>
  <c r="Q214" i="39"/>
  <c r="R198" i="39"/>
  <c r="T178" i="39"/>
  <c r="T164" i="39"/>
  <c r="T146" i="39"/>
  <c r="B133" i="39"/>
  <c r="B193" i="39" s="1"/>
  <c r="B288" i="39" s="1"/>
  <c r="R122" i="39"/>
  <c r="R120" i="39"/>
  <c r="R113" i="39"/>
  <c r="T162" i="39" s="1"/>
  <c r="A112" i="39"/>
  <c r="A113" i="39" s="1"/>
  <c r="A114" i="39" s="1"/>
  <c r="A115" i="39" s="1"/>
  <c r="A116" i="39" s="1"/>
  <c r="A117" i="39" s="1"/>
  <c r="A118" i="39" s="1"/>
  <c r="A103" i="39"/>
  <c r="A104" i="39" s="1"/>
  <c r="R98" i="39"/>
  <c r="T97" i="39"/>
  <c r="T96" i="39"/>
  <c r="T100" i="39" s="1"/>
  <c r="R96" i="39"/>
  <c r="L87" i="39"/>
  <c r="T82" i="39"/>
  <c r="T81" i="39"/>
  <c r="R71" i="39"/>
  <c r="P71" i="39"/>
  <c r="L71" i="39"/>
  <c r="L84" i="39" s="1"/>
  <c r="J71" i="39"/>
  <c r="J84" i="39" s="1"/>
  <c r="T68" i="39"/>
  <c r="T71" i="39" s="1"/>
  <c r="N71" i="39"/>
  <c r="P58" i="39"/>
  <c r="P57" i="39"/>
  <c r="T50" i="39"/>
  <c r="J43" i="39"/>
  <c r="F43" i="39"/>
  <c r="T36" i="39"/>
  <c r="N35" i="39"/>
  <c r="L35" i="39"/>
  <c r="J35" i="39"/>
  <c r="H35" i="39"/>
  <c r="F35" i="39"/>
  <c r="D35" i="39"/>
  <c r="T34" i="39"/>
  <c r="T137" i="39" s="1"/>
  <c r="L33" i="39"/>
  <c r="J33" i="39"/>
  <c r="H33" i="39"/>
  <c r="F33" i="39"/>
  <c r="D33" i="39"/>
  <c r="N32" i="39"/>
  <c r="L32" i="39"/>
  <c r="J32" i="39"/>
  <c r="H32" i="39"/>
  <c r="F32" i="39"/>
  <c r="T35" i="39" l="1"/>
  <c r="T43" i="39" s="1"/>
  <c r="R200" i="39" s="1"/>
  <c r="R201" i="39" s="1"/>
  <c r="T52" i="39"/>
  <c r="R100" i="39"/>
  <c r="R129" i="39"/>
  <c r="R130" i="39" s="1"/>
  <c r="S256" i="39"/>
  <c r="S260" i="39"/>
  <c r="S258" i="39"/>
  <c r="S262" i="39"/>
  <c r="S257" i="39"/>
  <c r="S261" i="39"/>
  <c r="R213" i="39"/>
  <c r="S259" i="39"/>
  <c r="Q262" i="39"/>
  <c r="Q260" i="39"/>
  <c r="Q256" i="39"/>
  <c r="Q258" i="39"/>
  <c r="S247" i="39"/>
  <c r="S249" i="39"/>
  <c r="S251" i="39"/>
  <c r="S245" i="39"/>
  <c r="R241" i="39"/>
  <c r="S239" i="39" s="1"/>
  <c r="S244" i="39"/>
  <c r="S248" i="39"/>
  <c r="R279" i="39"/>
  <c r="S246" i="39"/>
  <c r="Q246" i="39"/>
  <c r="P279" i="39"/>
  <c r="Q250" i="39"/>
  <c r="Q244" i="39"/>
  <c r="Q248" i="39"/>
  <c r="T51" i="39"/>
  <c r="T186" i="39"/>
  <c r="T188" i="39"/>
  <c r="T184" i="39"/>
  <c r="T118" i="39"/>
  <c r="T129" i="39" s="1"/>
  <c r="T130" i="39" s="1"/>
  <c r="R202" i="39"/>
  <c r="R218" i="39"/>
  <c r="T163" i="39"/>
  <c r="T165" i="39" s="1"/>
  <c r="T84" i="39"/>
  <c r="T172" i="39" s="1"/>
  <c r="T171" i="39"/>
  <c r="P241" i="39"/>
  <c r="Q233" i="39" s="1"/>
  <c r="R208" i="39"/>
  <c r="Q213" i="39"/>
  <c r="Q245" i="39"/>
  <c r="Q247" i="39"/>
  <c r="Q249" i="39"/>
  <c r="Q257" i="39"/>
  <c r="Q259" i="39"/>
  <c r="Q261" i="39"/>
  <c r="T106" i="38"/>
  <c r="T104" i="38"/>
  <c r="T91" i="38"/>
  <c r="T90" i="38"/>
  <c r="R89" i="38"/>
  <c r="N68" i="38"/>
  <c r="J44" i="38"/>
  <c r="F44" i="38"/>
  <c r="S265" i="39" l="1"/>
  <c r="Q265" i="39"/>
  <c r="S232" i="39"/>
  <c r="S233" i="39"/>
  <c r="S238" i="39"/>
  <c r="S234" i="39"/>
  <c r="S235" i="39"/>
  <c r="S236" i="39"/>
  <c r="S237" i="39"/>
  <c r="S253" i="39"/>
  <c r="Q253" i="39"/>
  <c r="Q237" i="39"/>
  <c r="Q232" i="39"/>
  <c r="Q238" i="39"/>
  <c r="Q234" i="39"/>
  <c r="Q235" i="39"/>
  <c r="Q236" i="39"/>
  <c r="Q239" i="39"/>
  <c r="S277" i="38"/>
  <c r="R277" i="38"/>
  <c r="R214" i="38" s="1"/>
  <c r="Q277" i="38"/>
  <c r="P277" i="38"/>
  <c r="R265" i="38"/>
  <c r="S260" i="38" s="1"/>
  <c r="P265" i="38"/>
  <c r="Q263" i="38" s="1"/>
  <c r="R253" i="38"/>
  <c r="S251" i="38" s="1"/>
  <c r="P253" i="38"/>
  <c r="Q251" i="38" s="1"/>
  <c r="R239" i="38"/>
  <c r="P239" i="38"/>
  <c r="R238" i="38"/>
  <c r="P238" i="38"/>
  <c r="R237" i="38"/>
  <c r="P237" i="38"/>
  <c r="R236" i="38"/>
  <c r="P236" i="38"/>
  <c r="R235" i="38"/>
  <c r="P235" i="38"/>
  <c r="R234" i="38"/>
  <c r="P234" i="38"/>
  <c r="R233" i="38"/>
  <c r="P233" i="38"/>
  <c r="R232" i="38"/>
  <c r="P232" i="38"/>
  <c r="Q214" i="38"/>
  <c r="R198" i="38"/>
  <c r="T178" i="38"/>
  <c r="T164" i="38"/>
  <c r="T146" i="38"/>
  <c r="B133" i="38"/>
  <c r="B193" i="38" s="1"/>
  <c r="B288" i="38" s="1"/>
  <c r="R122" i="38"/>
  <c r="R120" i="38"/>
  <c r="R113" i="38"/>
  <c r="T162" i="38" s="1"/>
  <c r="A112" i="38"/>
  <c r="A113" i="38" s="1"/>
  <c r="A114" i="38" s="1"/>
  <c r="A115" i="38" s="1"/>
  <c r="A116" i="38" s="1"/>
  <c r="A117" i="38" s="1"/>
  <c r="A118" i="38" s="1"/>
  <c r="A103" i="38"/>
  <c r="A104" i="38" s="1"/>
  <c r="R98" i="38"/>
  <c r="T97" i="38"/>
  <c r="T96" i="38"/>
  <c r="R96" i="38"/>
  <c r="R100" i="38" s="1"/>
  <c r="L87" i="38"/>
  <c r="T82" i="38"/>
  <c r="T81" i="38"/>
  <c r="R71" i="38"/>
  <c r="P71" i="38"/>
  <c r="L71" i="38"/>
  <c r="L84" i="38" s="1"/>
  <c r="J71" i="38"/>
  <c r="J84" i="38" s="1"/>
  <c r="T68" i="38"/>
  <c r="T71" i="38" s="1"/>
  <c r="N71" i="38"/>
  <c r="P58" i="38"/>
  <c r="P57" i="38"/>
  <c r="T50" i="38"/>
  <c r="J43" i="38"/>
  <c r="F43" i="38"/>
  <c r="N36" i="38"/>
  <c r="L36" i="38"/>
  <c r="J36" i="38"/>
  <c r="H36" i="38"/>
  <c r="F36" i="38"/>
  <c r="D36" i="38"/>
  <c r="N35" i="38"/>
  <c r="L35" i="38"/>
  <c r="J35" i="38"/>
  <c r="H35" i="38"/>
  <c r="F35" i="38"/>
  <c r="D35" i="38"/>
  <c r="T34" i="38"/>
  <c r="T137" i="38" s="1"/>
  <c r="N33" i="38"/>
  <c r="L33" i="38"/>
  <c r="J33" i="38"/>
  <c r="H33" i="38"/>
  <c r="F33" i="38"/>
  <c r="D33" i="38"/>
  <c r="N32" i="38"/>
  <c r="L32" i="38"/>
  <c r="J32" i="38"/>
  <c r="H32" i="38"/>
  <c r="F32" i="38"/>
  <c r="D32" i="38"/>
  <c r="R129" i="38" l="1"/>
  <c r="Q244" i="38"/>
  <c r="S258" i="38"/>
  <c r="T100" i="38"/>
  <c r="T118" i="38" s="1"/>
  <c r="T129" i="38" s="1"/>
  <c r="T130" i="38" s="1"/>
  <c r="S256" i="38"/>
  <c r="S241" i="39"/>
  <c r="Q241" i="39"/>
  <c r="S261" i="38"/>
  <c r="R213" i="38"/>
  <c r="S262" i="38"/>
  <c r="S257" i="38"/>
  <c r="S259" i="38"/>
  <c r="S263" i="38"/>
  <c r="Q260" i="38"/>
  <c r="Q213" i="38"/>
  <c r="Q256" i="38"/>
  <c r="Q258" i="38"/>
  <c r="Q257" i="38"/>
  <c r="Q262" i="38"/>
  <c r="R241" i="38"/>
  <c r="S235" i="38" s="1"/>
  <c r="S244" i="38"/>
  <c r="S248" i="38"/>
  <c r="S247" i="38"/>
  <c r="S245" i="38"/>
  <c r="S250" i="38"/>
  <c r="S246" i="38"/>
  <c r="Q246" i="38"/>
  <c r="Q249" i="38"/>
  <c r="Q245" i="38"/>
  <c r="Q247" i="38"/>
  <c r="Q250" i="38"/>
  <c r="Q248" i="38"/>
  <c r="R279" i="38"/>
  <c r="S249" i="38"/>
  <c r="Q259" i="38"/>
  <c r="Q261" i="38"/>
  <c r="P279" i="38"/>
  <c r="T52" i="38"/>
  <c r="R130" i="38"/>
  <c r="T36" i="38"/>
  <c r="T51" i="38"/>
  <c r="T35" i="38"/>
  <c r="T43" i="38" s="1"/>
  <c r="R200" i="38" s="1"/>
  <c r="R201" i="38" s="1"/>
  <c r="R218" i="38"/>
  <c r="T163" i="38"/>
  <c r="T165" i="38" s="1"/>
  <c r="T84" i="38"/>
  <c r="T172" i="38" s="1"/>
  <c r="T171" i="38"/>
  <c r="P241" i="38"/>
  <c r="Q233" i="38" s="1"/>
  <c r="R208" i="38"/>
  <c r="T106" i="37"/>
  <c r="T104" i="37"/>
  <c r="T91" i="37"/>
  <c r="T90" i="37"/>
  <c r="R89" i="37"/>
  <c r="N68" i="37"/>
  <c r="J44" i="37"/>
  <c r="F44" i="37"/>
  <c r="T184" i="38" l="1"/>
  <c r="T188" i="38"/>
  <c r="T186" i="38"/>
  <c r="R202" i="38"/>
  <c r="Q253" i="38"/>
  <c r="S265" i="38"/>
  <c r="S238" i="38"/>
  <c r="S237" i="38"/>
  <c r="S236" i="38"/>
  <c r="S232" i="38"/>
  <c r="S239" i="38"/>
  <c r="S233" i="38"/>
  <c r="Q265" i="38"/>
  <c r="S234" i="38"/>
  <c r="S253" i="38"/>
  <c r="Q232" i="38"/>
  <c r="Q235" i="38"/>
  <c r="Q239" i="38"/>
  <c r="Q234" i="38"/>
  <c r="Q238" i="38"/>
  <c r="Q237" i="38"/>
  <c r="Q236" i="38"/>
  <c r="S277" i="37"/>
  <c r="R277" i="37"/>
  <c r="Q277" i="37"/>
  <c r="P277" i="37"/>
  <c r="Q214" i="37" s="1"/>
  <c r="R265" i="37"/>
  <c r="S263" i="37" s="1"/>
  <c r="P265" i="37"/>
  <c r="Q263" i="37" s="1"/>
  <c r="R253" i="37"/>
  <c r="S251" i="37" s="1"/>
  <c r="P253" i="37"/>
  <c r="Q251" i="37" s="1"/>
  <c r="R239" i="37"/>
  <c r="P239" i="37"/>
  <c r="R238" i="37"/>
  <c r="P238" i="37"/>
  <c r="R237" i="37"/>
  <c r="P237" i="37"/>
  <c r="R236" i="37"/>
  <c r="P236" i="37"/>
  <c r="R235" i="37"/>
  <c r="P235" i="37"/>
  <c r="R234" i="37"/>
  <c r="P234" i="37"/>
  <c r="R233" i="37"/>
  <c r="P233" i="37"/>
  <c r="R232" i="37"/>
  <c r="P232" i="37"/>
  <c r="R198" i="37"/>
  <c r="T178" i="37"/>
  <c r="T164" i="37"/>
  <c r="T146" i="37"/>
  <c r="B133" i="37"/>
  <c r="B193" i="37" s="1"/>
  <c r="B288" i="37" s="1"/>
  <c r="R122" i="37"/>
  <c r="R120" i="37"/>
  <c r="R113" i="37"/>
  <c r="T162" i="37" s="1"/>
  <c r="A112" i="37"/>
  <c r="A113" i="37" s="1"/>
  <c r="A114" i="37" s="1"/>
  <c r="A115" i="37" s="1"/>
  <c r="A116" i="37" s="1"/>
  <c r="A117" i="37" s="1"/>
  <c r="A118" i="37" s="1"/>
  <c r="A103" i="37"/>
  <c r="A104" i="37" s="1"/>
  <c r="R98" i="37"/>
  <c r="T97" i="37"/>
  <c r="R96" i="37"/>
  <c r="T96" i="37"/>
  <c r="T100" i="37" s="1"/>
  <c r="L87" i="37"/>
  <c r="T82" i="37"/>
  <c r="T81" i="37"/>
  <c r="R71" i="37"/>
  <c r="P71" i="37"/>
  <c r="L71" i="37"/>
  <c r="L84" i="37" s="1"/>
  <c r="J71" i="37"/>
  <c r="J84" i="37" s="1"/>
  <c r="P58" i="37"/>
  <c r="P57" i="37"/>
  <c r="T50" i="37"/>
  <c r="J43" i="37"/>
  <c r="F43" i="37"/>
  <c r="N36" i="37"/>
  <c r="L36" i="37"/>
  <c r="J36" i="37"/>
  <c r="H36" i="37"/>
  <c r="F36" i="37"/>
  <c r="D36" i="37"/>
  <c r="N35" i="37"/>
  <c r="L35" i="37"/>
  <c r="J35" i="37"/>
  <c r="H35" i="37"/>
  <c r="F35" i="37"/>
  <c r="D35" i="37"/>
  <c r="T34" i="37"/>
  <c r="T52" i="37" s="1"/>
  <c r="N33" i="37"/>
  <c r="L33" i="37"/>
  <c r="J33" i="37"/>
  <c r="H33" i="37"/>
  <c r="F33" i="37"/>
  <c r="D33" i="37"/>
  <c r="N32" i="37"/>
  <c r="L32" i="37"/>
  <c r="J32" i="37"/>
  <c r="H32" i="37"/>
  <c r="F32" i="37"/>
  <c r="D32" i="37"/>
  <c r="R100" i="37" l="1"/>
  <c r="Q213" i="37"/>
  <c r="S241" i="38"/>
  <c r="T51" i="37"/>
  <c r="R129" i="37"/>
  <c r="Q241" i="38"/>
  <c r="Q256" i="37"/>
  <c r="T36" i="37"/>
  <c r="T137" i="37"/>
  <c r="Q258" i="37"/>
  <c r="Q260" i="37"/>
  <c r="Q262" i="37"/>
  <c r="R130" i="37"/>
  <c r="T35" i="37"/>
  <c r="T43" i="37" s="1"/>
  <c r="R200" i="37" s="1"/>
  <c r="R201" i="37" s="1"/>
  <c r="Q257" i="37"/>
  <c r="Q259" i="37"/>
  <c r="Q261" i="37"/>
  <c r="R279" i="37"/>
  <c r="Q244" i="37"/>
  <c r="Q248" i="37"/>
  <c r="Q246" i="37"/>
  <c r="Q250" i="37"/>
  <c r="Q245" i="37"/>
  <c r="Q247" i="37"/>
  <c r="Q249" i="37"/>
  <c r="P279" i="37"/>
  <c r="R208" i="37"/>
  <c r="N71" i="37"/>
  <c r="T68" i="37"/>
  <c r="T71" i="37" s="1"/>
  <c r="T163" i="37"/>
  <c r="T165" i="37" s="1"/>
  <c r="R218" i="37"/>
  <c r="T188" i="37"/>
  <c r="T184" i="37"/>
  <c r="R202" i="37"/>
  <c r="T186" i="37"/>
  <c r="T118" i="37"/>
  <c r="T129" i="37" s="1"/>
  <c r="T130" i="37" s="1"/>
  <c r="P241" i="37"/>
  <c r="Q233" i="37" s="1"/>
  <c r="R241" i="37"/>
  <c r="S233" i="37" s="1"/>
  <c r="R213" i="37"/>
  <c r="R214" i="37"/>
  <c r="S244" i="37"/>
  <c r="S245" i="37"/>
  <c r="S246" i="37"/>
  <c r="S247" i="37"/>
  <c r="S248" i="37"/>
  <c r="S249" i="37"/>
  <c r="S250" i="37"/>
  <c r="S256" i="37"/>
  <c r="S257" i="37"/>
  <c r="S258" i="37"/>
  <c r="S259" i="37"/>
  <c r="S260" i="37"/>
  <c r="S261" i="37"/>
  <c r="S262" i="37"/>
  <c r="T106" i="36"/>
  <c r="T104" i="36"/>
  <c r="T91" i="36"/>
  <c r="T90" i="36"/>
  <c r="Q178" i="36"/>
  <c r="R89" i="36"/>
  <c r="P68" i="36"/>
  <c r="N68" i="36"/>
  <c r="J44" i="36"/>
  <c r="F44" i="36"/>
  <c r="Q265" i="37" l="1"/>
  <c r="Q236" i="37"/>
  <c r="Q253" i="37"/>
  <c r="Q238" i="37"/>
  <c r="Q234" i="37"/>
  <c r="Q232" i="37"/>
  <c r="S265" i="37"/>
  <c r="S238" i="37"/>
  <c r="S236" i="37"/>
  <c r="S234" i="37"/>
  <c r="S232" i="37"/>
  <c r="S253" i="37"/>
  <c r="S239" i="37"/>
  <c r="S237" i="37"/>
  <c r="S235" i="37"/>
  <c r="Q239" i="37"/>
  <c r="Q237" i="37"/>
  <c r="Q235" i="37"/>
  <c r="T84" i="37"/>
  <c r="T172" i="37" s="1"/>
  <c r="T171" i="37"/>
  <c r="S277" i="36"/>
  <c r="R277" i="36"/>
  <c r="R214" i="36" s="1"/>
  <c r="Q277" i="36"/>
  <c r="P277" i="36"/>
  <c r="Q214" i="36" s="1"/>
  <c r="R265" i="36"/>
  <c r="R213" i="36" s="1"/>
  <c r="P265" i="36"/>
  <c r="Q263" i="36" s="1"/>
  <c r="Q258" i="36"/>
  <c r="Q256" i="36"/>
  <c r="R253" i="36"/>
  <c r="S250" i="36" s="1"/>
  <c r="P253" i="36"/>
  <c r="Q251" i="36" s="1"/>
  <c r="R239" i="36"/>
  <c r="P239" i="36"/>
  <c r="R238" i="36"/>
  <c r="P238" i="36"/>
  <c r="R237" i="36"/>
  <c r="P237" i="36"/>
  <c r="R236" i="36"/>
  <c r="P236" i="36"/>
  <c r="R235" i="36"/>
  <c r="P235" i="36"/>
  <c r="R234" i="36"/>
  <c r="P234" i="36"/>
  <c r="R233" i="36"/>
  <c r="P233" i="36"/>
  <c r="R232" i="36"/>
  <c r="P232" i="36"/>
  <c r="Q213" i="36"/>
  <c r="R198" i="36"/>
  <c r="T178" i="36"/>
  <c r="T164" i="36"/>
  <c r="T146" i="36"/>
  <c r="B133" i="36"/>
  <c r="B193" i="36" s="1"/>
  <c r="B288" i="36" s="1"/>
  <c r="R122" i="36"/>
  <c r="R120" i="36"/>
  <c r="R113" i="36"/>
  <c r="T162" i="36" s="1"/>
  <c r="A112" i="36"/>
  <c r="A113" i="36" s="1"/>
  <c r="A114" i="36" s="1"/>
  <c r="A115" i="36" s="1"/>
  <c r="A116" i="36" s="1"/>
  <c r="A117" i="36" s="1"/>
  <c r="A118" i="36" s="1"/>
  <c r="A103" i="36"/>
  <c r="A104" i="36" s="1"/>
  <c r="R98" i="36"/>
  <c r="T97" i="36"/>
  <c r="T96" i="36"/>
  <c r="R96" i="36"/>
  <c r="L87" i="36"/>
  <c r="T82" i="36"/>
  <c r="T81" i="36"/>
  <c r="R71" i="36"/>
  <c r="N71" i="36"/>
  <c r="L71" i="36"/>
  <c r="L84" i="36" s="1"/>
  <c r="J71" i="36"/>
  <c r="J84" i="36" s="1"/>
  <c r="P71" i="36"/>
  <c r="R208" i="36"/>
  <c r="P58" i="36"/>
  <c r="P57" i="36"/>
  <c r="T50" i="36"/>
  <c r="J43" i="36"/>
  <c r="F43" i="36"/>
  <c r="N36" i="36"/>
  <c r="L36" i="36"/>
  <c r="J36" i="36"/>
  <c r="H36" i="36"/>
  <c r="F36" i="36"/>
  <c r="D36" i="36"/>
  <c r="N35" i="36"/>
  <c r="L35" i="36"/>
  <c r="J35" i="36"/>
  <c r="H35" i="36"/>
  <c r="F35" i="36"/>
  <c r="D35" i="36"/>
  <c r="T34" i="36"/>
  <c r="T52" i="36" s="1"/>
  <c r="N33" i="36"/>
  <c r="L33" i="36"/>
  <c r="J33" i="36"/>
  <c r="H33" i="36"/>
  <c r="F33" i="36"/>
  <c r="D33" i="36"/>
  <c r="N32" i="36"/>
  <c r="L32" i="36"/>
  <c r="J32" i="36"/>
  <c r="H32" i="36"/>
  <c r="F32" i="36"/>
  <c r="D32" i="36"/>
  <c r="S258" i="36" l="1"/>
  <c r="Q260" i="36"/>
  <c r="T35" i="36"/>
  <c r="T43" i="36" s="1"/>
  <c r="R200" i="36" s="1"/>
  <c r="R201" i="36" s="1"/>
  <c r="S262" i="36"/>
  <c r="Q244" i="36"/>
  <c r="Q245" i="36"/>
  <c r="S251" i="36"/>
  <c r="S256" i="36"/>
  <c r="S260" i="36"/>
  <c r="Q262" i="36"/>
  <c r="R100" i="36"/>
  <c r="Q257" i="36"/>
  <c r="Q259" i="36"/>
  <c r="Q261" i="36"/>
  <c r="T100" i="36"/>
  <c r="T184" i="36" s="1"/>
  <c r="R129" i="36"/>
  <c r="S257" i="36"/>
  <c r="S259" i="36"/>
  <c r="S261" i="36"/>
  <c r="S263" i="36"/>
  <c r="Q241" i="37"/>
  <c r="S241" i="37"/>
  <c r="T36" i="36"/>
  <c r="T51" i="36"/>
  <c r="S244" i="36"/>
  <c r="S245" i="36"/>
  <c r="S247" i="36"/>
  <c r="R241" i="36"/>
  <c r="S233" i="36" s="1"/>
  <c r="S246" i="36"/>
  <c r="S249" i="36"/>
  <c r="S248" i="36"/>
  <c r="R279" i="36"/>
  <c r="P241" i="36"/>
  <c r="Q235" i="36" s="1"/>
  <c r="Q246" i="36"/>
  <c r="Q247" i="36"/>
  <c r="Q248" i="36"/>
  <c r="Q249" i="36"/>
  <c r="Q250" i="36"/>
  <c r="P279" i="36"/>
  <c r="Q233" i="36"/>
  <c r="Q236" i="36"/>
  <c r="Q238" i="36"/>
  <c r="R218" i="36"/>
  <c r="T163" i="36"/>
  <c r="T165" i="36" s="1"/>
  <c r="T68" i="36"/>
  <c r="T71" i="36" s="1"/>
  <c r="T137" i="36"/>
  <c r="Q237" i="36" l="1"/>
  <c r="T188" i="36"/>
  <c r="S265" i="36"/>
  <c r="Q265" i="36"/>
  <c r="R130" i="36"/>
  <c r="Q232" i="36"/>
  <c r="Q234" i="36"/>
  <c r="T186" i="36"/>
  <c r="R202" i="36"/>
  <c r="T118" i="36"/>
  <c r="T129" i="36" s="1"/>
  <c r="T130" i="36" s="1"/>
  <c r="Q239" i="36"/>
  <c r="S232" i="36"/>
  <c r="S238" i="36"/>
  <c r="S236" i="36"/>
  <c r="S239" i="36"/>
  <c r="S237" i="36"/>
  <c r="S234" i="36"/>
  <c r="S235" i="36"/>
  <c r="S253" i="36"/>
  <c r="Q253" i="36"/>
  <c r="T171" i="36"/>
  <c r="T84" i="36"/>
  <c r="T172" i="36" s="1"/>
  <c r="Q241" i="36" l="1"/>
  <c r="S241" i="36"/>
  <c r="T106" i="35"/>
  <c r="T104" i="35"/>
  <c r="T91" i="35"/>
  <c r="T90" i="35"/>
  <c r="Q178" i="35"/>
  <c r="R89" i="35"/>
  <c r="P68" i="35"/>
  <c r="N68" i="35"/>
  <c r="J44" i="35" l="1"/>
  <c r="F44" i="35"/>
  <c r="T166" i="35" l="1"/>
  <c r="S277" i="35" l="1"/>
  <c r="R277" i="35"/>
  <c r="R214" i="35" s="1"/>
  <c r="Q277" i="35"/>
  <c r="P277" i="35"/>
  <c r="Q214" i="35" s="1"/>
  <c r="R265" i="35"/>
  <c r="S256" i="35" s="1"/>
  <c r="P265" i="35"/>
  <c r="Q213" i="35" s="1"/>
  <c r="S261" i="35"/>
  <c r="S260" i="35"/>
  <c r="S257" i="35"/>
  <c r="R253" i="35"/>
  <c r="S250" i="35" s="1"/>
  <c r="P253" i="35"/>
  <c r="Q251" i="35" s="1"/>
  <c r="Q244" i="35"/>
  <c r="R239" i="35"/>
  <c r="P239" i="35"/>
  <c r="R238" i="35"/>
  <c r="P238" i="35"/>
  <c r="R237" i="35"/>
  <c r="P237" i="35"/>
  <c r="R236" i="35"/>
  <c r="P236" i="35"/>
  <c r="R235" i="35"/>
  <c r="P235" i="35"/>
  <c r="R234" i="35"/>
  <c r="P234" i="35"/>
  <c r="R233" i="35"/>
  <c r="P233" i="35"/>
  <c r="R232" i="35"/>
  <c r="P232" i="35"/>
  <c r="R213" i="35"/>
  <c r="R198" i="35"/>
  <c r="T178" i="35"/>
  <c r="T164" i="35"/>
  <c r="T146" i="35"/>
  <c r="B133" i="35"/>
  <c r="B193" i="35" s="1"/>
  <c r="B288" i="35" s="1"/>
  <c r="R122" i="35"/>
  <c r="R120" i="35"/>
  <c r="R113" i="35"/>
  <c r="T162" i="35" s="1"/>
  <c r="A112" i="35"/>
  <c r="A113" i="35" s="1"/>
  <c r="A114" i="35" s="1"/>
  <c r="A115" i="35" s="1"/>
  <c r="A116" i="35" s="1"/>
  <c r="A117" i="35" s="1"/>
  <c r="A118" i="35" s="1"/>
  <c r="A103" i="35"/>
  <c r="A104" i="35" s="1"/>
  <c r="R98" i="35"/>
  <c r="T97" i="35"/>
  <c r="T96" i="35"/>
  <c r="R96" i="35"/>
  <c r="L87" i="35"/>
  <c r="T82" i="35"/>
  <c r="T81" i="35"/>
  <c r="R71" i="35"/>
  <c r="N71" i="35"/>
  <c r="L71" i="35"/>
  <c r="L84" i="35" s="1"/>
  <c r="J71" i="35"/>
  <c r="J84" i="35" s="1"/>
  <c r="P71" i="35"/>
  <c r="T68" i="35"/>
  <c r="T71" i="35" s="1"/>
  <c r="P58" i="35"/>
  <c r="P57" i="35"/>
  <c r="T50" i="35"/>
  <c r="J43" i="35"/>
  <c r="F43" i="35"/>
  <c r="N36" i="35"/>
  <c r="L36" i="35"/>
  <c r="J36" i="35"/>
  <c r="H36" i="35"/>
  <c r="F36" i="35"/>
  <c r="D36" i="35"/>
  <c r="N35" i="35"/>
  <c r="L35" i="35"/>
  <c r="J35" i="35"/>
  <c r="H35" i="35"/>
  <c r="F35" i="35"/>
  <c r="D35" i="35"/>
  <c r="T34" i="35"/>
  <c r="T137" i="35" s="1"/>
  <c r="N33" i="35"/>
  <c r="L33" i="35"/>
  <c r="J33" i="35"/>
  <c r="H33" i="35"/>
  <c r="F33" i="35"/>
  <c r="D33" i="35"/>
  <c r="N32" i="35"/>
  <c r="L32" i="35"/>
  <c r="J32" i="35"/>
  <c r="H32" i="35"/>
  <c r="F32" i="35"/>
  <c r="D32" i="35"/>
  <c r="Q256" i="35" l="1"/>
  <c r="Q258" i="35"/>
  <c r="R241" i="35"/>
  <c r="S236" i="35" s="1"/>
  <c r="S247" i="35"/>
  <c r="S258" i="35"/>
  <c r="S262" i="35"/>
  <c r="T35" i="35"/>
  <c r="S251" i="35"/>
  <c r="S259" i="35"/>
  <c r="S263" i="35"/>
  <c r="T43" i="35"/>
  <c r="R200" i="35" s="1"/>
  <c r="R201" i="35" s="1"/>
  <c r="Q260" i="35"/>
  <c r="Q262" i="35"/>
  <c r="T36" i="35"/>
  <c r="R100" i="35"/>
  <c r="Q257" i="35"/>
  <c r="Q259" i="35"/>
  <c r="Q261" i="35"/>
  <c r="Q263" i="35"/>
  <c r="T100" i="35"/>
  <c r="T118" i="35" s="1"/>
  <c r="R129" i="35"/>
  <c r="S245" i="35"/>
  <c r="S249" i="35"/>
  <c r="S244" i="35"/>
  <c r="S246" i="35"/>
  <c r="S248" i="35"/>
  <c r="R279" i="35"/>
  <c r="Q245" i="35"/>
  <c r="P241" i="35"/>
  <c r="Q234" i="35" s="1"/>
  <c r="P279" i="35"/>
  <c r="Q246" i="35"/>
  <c r="Q247" i="35"/>
  <c r="Q248" i="35"/>
  <c r="Q249" i="35"/>
  <c r="Q250" i="35"/>
  <c r="T51" i="35"/>
  <c r="Q233" i="35"/>
  <c r="T171" i="35"/>
  <c r="T84" i="35"/>
  <c r="T172" i="35" s="1"/>
  <c r="R218" i="35"/>
  <c r="T163" i="35"/>
  <c r="T165" i="35" s="1"/>
  <c r="S233" i="35"/>
  <c r="S234" i="35"/>
  <c r="S235" i="35"/>
  <c r="S238" i="35"/>
  <c r="S239" i="35"/>
  <c r="T52" i="35"/>
  <c r="R208" i="35"/>
  <c r="S232" i="35"/>
  <c r="T106" i="34"/>
  <c r="T104" i="34"/>
  <c r="T91" i="34"/>
  <c r="T90" i="34"/>
  <c r="Q178" i="34"/>
  <c r="R89" i="34"/>
  <c r="P68" i="34"/>
  <c r="N68" i="34"/>
  <c r="J44" i="34"/>
  <c r="F44" i="34"/>
  <c r="S237" i="35" l="1"/>
  <c r="S265" i="35"/>
  <c r="Q265" i="35"/>
  <c r="R130" i="35"/>
  <c r="T129" i="35"/>
  <c r="T130" i="35" s="1"/>
  <c r="T186" i="35"/>
  <c r="T184" i="35"/>
  <c r="T188" i="35"/>
  <c r="R202" i="35"/>
  <c r="Q232" i="35"/>
  <c r="Q237" i="35"/>
  <c r="Q239" i="35"/>
  <c r="Q235" i="35"/>
  <c r="S253" i="35"/>
  <c r="S241" i="35"/>
  <c r="Q238" i="35"/>
  <c r="Q236" i="35"/>
  <c r="Q253" i="35"/>
  <c r="S277" i="34"/>
  <c r="R277" i="34"/>
  <c r="Q277" i="34"/>
  <c r="P277" i="34"/>
  <c r="Q214" i="34" s="1"/>
  <c r="R265" i="34"/>
  <c r="S263" i="34" s="1"/>
  <c r="P265" i="34"/>
  <c r="Q263" i="34" s="1"/>
  <c r="R253" i="34"/>
  <c r="S251" i="34" s="1"/>
  <c r="P253" i="34"/>
  <c r="Q251" i="34" s="1"/>
  <c r="R239" i="34"/>
  <c r="P239" i="34"/>
  <c r="R238" i="34"/>
  <c r="P238" i="34"/>
  <c r="R237" i="34"/>
  <c r="P237" i="34"/>
  <c r="R236" i="34"/>
  <c r="P236" i="34"/>
  <c r="R235" i="34"/>
  <c r="P235" i="34"/>
  <c r="R234" i="34"/>
  <c r="P234" i="34"/>
  <c r="R233" i="34"/>
  <c r="P233" i="34"/>
  <c r="R232" i="34"/>
  <c r="P232" i="34"/>
  <c r="R198" i="34"/>
  <c r="T178" i="34"/>
  <c r="T164" i="34"/>
  <c r="T146" i="34"/>
  <c r="B133" i="34"/>
  <c r="B193" i="34" s="1"/>
  <c r="B288" i="34" s="1"/>
  <c r="R122" i="34"/>
  <c r="R120" i="34"/>
  <c r="R113" i="34"/>
  <c r="T162" i="34" s="1"/>
  <c r="A112" i="34"/>
  <c r="A113" i="34" s="1"/>
  <c r="A114" i="34" s="1"/>
  <c r="A115" i="34" s="1"/>
  <c r="A116" i="34" s="1"/>
  <c r="A117" i="34" s="1"/>
  <c r="A118" i="34" s="1"/>
  <c r="A103" i="34"/>
  <c r="A104" i="34" s="1"/>
  <c r="R98" i="34"/>
  <c r="T97" i="34"/>
  <c r="T96" i="34"/>
  <c r="R96" i="34"/>
  <c r="L87" i="34"/>
  <c r="T82" i="34"/>
  <c r="T81" i="34"/>
  <c r="R71" i="34"/>
  <c r="N71" i="34"/>
  <c r="L71" i="34"/>
  <c r="L84" i="34" s="1"/>
  <c r="J71" i="34"/>
  <c r="J84" i="34" s="1"/>
  <c r="P71" i="34"/>
  <c r="R208" i="34"/>
  <c r="P58" i="34"/>
  <c r="P57" i="34"/>
  <c r="T50" i="34"/>
  <c r="J43" i="34"/>
  <c r="F43" i="34"/>
  <c r="N36" i="34"/>
  <c r="L36" i="34"/>
  <c r="J36" i="34"/>
  <c r="H36" i="34"/>
  <c r="F36" i="34"/>
  <c r="D36" i="34"/>
  <c r="N35" i="34"/>
  <c r="L35" i="34"/>
  <c r="J35" i="34"/>
  <c r="H35" i="34"/>
  <c r="F35" i="34"/>
  <c r="D35" i="34"/>
  <c r="T34" i="34"/>
  <c r="T137" i="34" s="1"/>
  <c r="N33" i="34"/>
  <c r="L33" i="34"/>
  <c r="J33" i="34"/>
  <c r="H33" i="34"/>
  <c r="F33" i="34"/>
  <c r="D33" i="34"/>
  <c r="N32" i="34"/>
  <c r="L32" i="34"/>
  <c r="J32" i="34"/>
  <c r="H32" i="34"/>
  <c r="F32" i="34"/>
  <c r="D32" i="34"/>
  <c r="Q213" i="34" l="1"/>
  <c r="R100" i="34"/>
  <c r="T100" i="34"/>
  <c r="T188" i="34" s="1"/>
  <c r="Q241" i="35"/>
  <c r="T52" i="34"/>
  <c r="Q256" i="34"/>
  <c r="Q260" i="34"/>
  <c r="Q258" i="34"/>
  <c r="Q262" i="34"/>
  <c r="Q257" i="34"/>
  <c r="Q259" i="34"/>
  <c r="Q261" i="34"/>
  <c r="R279" i="34"/>
  <c r="Q244" i="34"/>
  <c r="Q248" i="34"/>
  <c r="Q246" i="34"/>
  <c r="Q250" i="34"/>
  <c r="P279" i="34"/>
  <c r="Q245" i="34"/>
  <c r="Q247" i="34"/>
  <c r="Q249" i="34"/>
  <c r="R129" i="34"/>
  <c r="R130" i="34" s="1"/>
  <c r="T36" i="34"/>
  <c r="T35" i="34"/>
  <c r="T43" i="34" s="1"/>
  <c r="R200" i="34" s="1"/>
  <c r="R201" i="34" s="1"/>
  <c r="R202" i="34"/>
  <c r="R218" i="34"/>
  <c r="T163" i="34"/>
  <c r="T165" i="34" s="1"/>
  <c r="T51" i="34"/>
  <c r="P241" i="34"/>
  <c r="Q233" i="34" s="1"/>
  <c r="R241" i="34"/>
  <c r="S232" i="34" s="1"/>
  <c r="T68" i="34"/>
  <c r="T71" i="34" s="1"/>
  <c r="R213" i="34"/>
  <c r="R214" i="34"/>
  <c r="S244" i="34"/>
  <c r="S245" i="34"/>
  <c r="S246" i="34"/>
  <c r="S247" i="34"/>
  <c r="S248" i="34"/>
  <c r="S249" i="34"/>
  <c r="S250" i="34"/>
  <c r="S256" i="34"/>
  <c r="S257" i="34"/>
  <c r="S258" i="34"/>
  <c r="S259" i="34"/>
  <c r="S260" i="34"/>
  <c r="S261" i="34"/>
  <c r="S262" i="34"/>
  <c r="T166" i="33"/>
  <c r="T118" i="34" l="1"/>
  <c r="T129" i="34" s="1"/>
  <c r="T130" i="34" s="1"/>
  <c r="T184" i="34"/>
  <c r="T186" i="34"/>
  <c r="Q265" i="34"/>
  <c r="Q253" i="34"/>
  <c r="Q238" i="34"/>
  <c r="Q234" i="34"/>
  <c r="Q236" i="34"/>
  <c r="Q232" i="34"/>
  <c r="S253" i="34"/>
  <c r="S239" i="34"/>
  <c r="S237" i="34"/>
  <c r="S235" i="34"/>
  <c r="S233" i="34"/>
  <c r="S265" i="34"/>
  <c r="T171" i="34"/>
  <c r="T84" i="34"/>
  <c r="T172" i="34" s="1"/>
  <c r="Q239" i="34"/>
  <c r="Q237" i="34"/>
  <c r="Q235" i="34"/>
  <c r="S238" i="34"/>
  <c r="S236" i="34"/>
  <c r="S234" i="34"/>
  <c r="T106" i="33"/>
  <c r="T104" i="33"/>
  <c r="T91" i="33"/>
  <c r="T90" i="33"/>
  <c r="Q178" i="33"/>
  <c r="R89" i="33"/>
  <c r="P68" i="33"/>
  <c r="N68" i="33"/>
  <c r="J44" i="33"/>
  <c r="F44" i="33"/>
  <c r="S241" i="34" l="1"/>
  <c r="Q241" i="34"/>
  <c r="S277" i="33"/>
  <c r="R277" i="33"/>
  <c r="R214" i="33" s="1"/>
  <c r="Q277" i="33"/>
  <c r="P277" i="33"/>
  <c r="Q214" i="33" s="1"/>
  <c r="R265" i="33"/>
  <c r="S263" i="33" s="1"/>
  <c r="P265" i="33"/>
  <c r="Q262" i="33" s="1"/>
  <c r="R253" i="33"/>
  <c r="S250" i="33" s="1"/>
  <c r="P253" i="33"/>
  <c r="Q251" i="33" s="1"/>
  <c r="R239" i="33"/>
  <c r="P239" i="33"/>
  <c r="R238" i="33"/>
  <c r="P238" i="33"/>
  <c r="R237" i="33"/>
  <c r="P237" i="33"/>
  <c r="R236" i="33"/>
  <c r="P236" i="33"/>
  <c r="R235" i="33"/>
  <c r="P235" i="33"/>
  <c r="R234" i="33"/>
  <c r="P234" i="33"/>
  <c r="R233" i="33"/>
  <c r="P233" i="33"/>
  <c r="R232" i="33"/>
  <c r="P232" i="33"/>
  <c r="R198" i="33"/>
  <c r="T178" i="33"/>
  <c r="T164" i="33"/>
  <c r="T146" i="33"/>
  <c r="B133" i="33"/>
  <c r="B193" i="33" s="1"/>
  <c r="B288" i="33" s="1"/>
  <c r="R122" i="33"/>
  <c r="R120" i="33"/>
  <c r="R113" i="33"/>
  <c r="T162" i="33" s="1"/>
  <c r="A112" i="33"/>
  <c r="A113" i="33" s="1"/>
  <c r="A114" i="33" s="1"/>
  <c r="A115" i="33" s="1"/>
  <c r="A116" i="33" s="1"/>
  <c r="A117" i="33" s="1"/>
  <c r="A118" i="33" s="1"/>
  <c r="A103" i="33"/>
  <c r="A104" i="33" s="1"/>
  <c r="R98" i="33"/>
  <c r="T97" i="33"/>
  <c r="T96" i="33"/>
  <c r="R96" i="33"/>
  <c r="L87" i="33"/>
  <c r="T82" i="33"/>
  <c r="T81" i="33"/>
  <c r="R71" i="33"/>
  <c r="N71" i="33"/>
  <c r="L71" i="33"/>
  <c r="L84" i="33" s="1"/>
  <c r="J71" i="33"/>
  <c r="J84" i="33" s="1"/>
  <c r="P71" i="33"/>
  <c r="T68" i="33"/>
  <c r="T71" i="33" s="1"/>
  <c r="P58" i="33"/>
  <c r="P57" i="33"/>
  <c r="T50" i="33"/>
  <c r="J43" i="33"/>
  <c r="F43" i="33"/>
  <c r="N36" i="33"/>
  <c r="L36" i="33"/>
  <c r="J36" i="33"/>
  <c r="H36" i="33"/>
  <c r="F36" i="33"/>
  <c r="D36" i="33"/>
  <c r="N35" i="33"/>
  <c r="L35" i="33"/>
  <c r="J35" i="33"/>
  <c r="H35" i="33"/>
  <c r="F35" i="33"/>
  <c r="D35" i="33"/>
  <c r="T34" i="33"/>
  <c r="T137" i="33" s="1"/>
  <c r="N33" i="33"/>
  <c r="L33" i="33"/>
  <c r="J33" i="33"/>
  <c r="H33" i="33"/>
  <c r="F33" i="33"/>
  <c r="D33" i="33"/>
  <c r="N32" i="33"/>
  <c r="L32" i="33"/>
  <c r="J32" i="33"/>
  <c r="H32" i="33"/>
  <c r="F32" i="33"/>
  <c r="D32" i="33"/>
  <c r="R100" i="33" l="1"/>
  <c r="S256" i="33"/>
  <c r="S258" i="33"/>
  <c r="S260" i="33"/>
  <c r="S262" i="33"/>
  <c r="T100" i="33"/>
  <c r="R202" i="33" s="1"/>
  <c r="Q256" i="33"/>
  <c r="Q258" i="33"/>
  <c r="Q260" i="33"/>
  <c r="Q213" i="33"/>
  <c r="Q257" i="33"/>
  <c r="Q259" i="33"/>
  <c r="Q261" i="33"/>
  <c r="Q263" i="33"/>
  <c r="R129" i="33"/>
  <c r="R130" i="33" s="1"/>
  <c r="R213" i="33"/>
  <c r="S257" i="33"/>
  <c r="S259" i="33"/>
  <c r="S261" i="33"/>
  <c r="S251" i="33"/>
  <c r="T51" i="33"/>
  <c r="T36" i="33"/>
  <c r="T35" i="33"/>
  <c r="T43" i="33" s="1"/>
  <c r="R200" i="33" s="1"/>
  <c r="R201" i="33" s="1"/>
  <c r="S247" i="33"/>
  <c r="R241" i="33"/>
  <c r="S245" i="33"/>
  <c r="S249" i="33"/>
  <c r="S244" i="33"/>
  <c r="S246" i="33"/>
  <c r="S248" i="33"/>
  <c r="R279" i="33"/>
  <c r="P241" i="33"/>
  <c r="Q234" i="33" s="1"/>
  <c r="Q244" i="33"/>
  <c r="Q245" i="33"/>
  <c r="Q246" i="33"/>
  <c r="Q247" i="33"/>
  <c r="Q248" i="33"/>
  <c r="Q249" i="33"/>
  <c r="Q250" i="33"/>
  <c r="P279" i="33"/>
  <c r="T186" i="33"/>
  <c r="T188" i="33"/>
  <c r="T171" i="33"/>
  <c r="T84" i="33"/>
  <c r="T172" i="33" s="1"/>
  <c r="R218" i="33"/>
  <c r="T163" i="33"/>
  <c r="T165" i="33" s="1"/>
  <c r="T52" i="33"/>
  <c r="R208" i="33"/>
  <c r="T106" i="32"/>
  <c r="T104" i="32"/>
  <c r="T91" i="32"/>
  <c r="T90" i="32"/>
  <c r="Q178" i="32"/>
  <c r="R89" i="32"/>
  <c r="R96" i="32" s="1"/>
  <c r="N68" i="32"/>
  <c r="N71" i="32" s="1"/>
  <c r="P68" i="32"/>
  <c r="P71" i="32" s="1"/>
  <c r="J44" i="32"/>
  <c r="F44" i="32"/>
  <c r="R277" i="32"/>
  <c r="P277" i="32"/>
  <c r="Q214" i="32" s="1"/>
  <c r="Q277" i="32"/>
  <c r="R265" i="32"/>
  <c r="S263" i="32" s="1"/>
  <c r="P265" i="32"/>
  <c r="R253" i="32"/>
  <c r="S251" i="32" s="1"/>
  <c r="P253" i="32"/>
  <c r="Q248" i="32" s="1"/>
  <c r="R239" i="32"/>
  <c r="P239" i="32"/>
  <c r="R238" i="32"/>
  <c r="P238" i="32"/>
  <c r="R237" i="32"/>
  <c r="P237" i="32"/>
  <c r="R236" i="32"/>
  <c r="P236" i="32"/>
  <c r="R235" i="32"/>
  <c r="P235" i="32"/>
  <c r="R234" i="32"/>
  <c r="P234" i="32"/>
  <c r="R233" i="32"/>
  <c r="P233" i="32"/>
  <c r="R232" i="32"/>
  <c r="P232" i="32"/>
  <c r="R198" i="32"/>
  <c r="T164" i="32"/>
  <c r="T146" i="32"/>
  <c r="B133" i="32"/>
  <c r="B193" i="32" s="1"/>
  <c r="B288" i="32" s="1"/>
  <c r="R120" i="32"/>
  <c r="R113" i="32"/>
  <c r="T162" i="32" s="1"/>
  <c r="R218" i="32" s="1"/>
  <c r="A112" i="32"/>
  <c r="A113" i="32" s="1"/>
  <c r="A114" i="32" s="1"/>
  <c r="A115" i="32" s="1"/>
  <c r="A116" i="32" s="1"/>
  <c r="A117" i="32" s="1"/>
  <c r="A118" i="32" s="1"/>
  <c r="A103" i="32"/>
  <c r="A104" i="32" s="1"/>
  <c r="R98" i="32"/>
  <c r="T97" i="32"/>
  <c r="L87" i="32"/>
  <c r="T82" i="32"/>
  <c r="T81" i="32"/>
  <c r="R71" i="32"/>
  <c r="L71" i="32"/>
  <c r="L84" i="32" s="1"/>
  <c r="J71" i="32"/>
  <c r="J84" i="32" s="1"/>
  <c r="P58" i="32"/>
  <c r="P57" i="32"/>
  <c r="T50" i="32"/>
  <c r="J43" i="32"/>
  <c r="F43" i="32"/>
  <c r="N36" i="32"/>
  <c r="L36" i="32"/>
  <c r="J36" i="32"/>
  <c r="H36" i="32"/>
  <c r="F36" i="32"/>
  <c r="D36" i="32"/>
  <c r="N35" i="32"/>
  <c r="L35" i="32"/>
  <c r="J35" i="32"/>
  <c r="H35" i="32"/>
  <c r="F35" i="32"/>
  <c r="D35" i="32"/>
  <c r="T34" i="32"/>
  <c r="T52" i="32" s="1"/>
  <c r="N33" i="32"/>
  <c r="L33" i="32"/>
  <c r="J33" i="32"/>
  <c r="H33" i="32"/>
  <c r="F33" i="32"/>
  <c r="D33" i="32"/>
  <c r="N32" i="32"/>
  <c r="L32" i="32"/>
  <c r="J32" i="32"/>
  <c r="H32" i="32"/>
  <c r="F32" i="32"/>
  <c r="D32" i="32"/>
  <c r="R89" i="31"/>
  <c r="N68" i="31"/>
  <c r="T106" i="31"/>
  <c r="T104" i="31"/>
  <c r="T91" i="31"/>
  <c r="T90" i="31"/>
  <c r="Q178" i="31"/>
  <c r="R122" i="31" s="1"/>
  <c r="P68" i="31"/>
  <c r="P71" i="31" s="1"/>
  <c r="J44" i="31"/>
  <c r="F44" i="31"/>
  <c r="R277" i="31"/>
  <c r="R214" i="31" s="1"/>
  <c r="P277" i="31"/>
  <c r="Q274" i="31" s="1"/>
  <c r="Q277" i="31" s="1"/>
  <c r="R265" i="31"/>
  <c r="R213" i="31" s="1"/>
  <c r="P265" i="31"/>
  <c r="R253" i="31"/>
  <c r="S251" i="31" s="1"/>
  <c r="P253" i="31"/>
  <c r="Q249" i="31" s="1"/>
  <c r="R239" i="31"/>
  <c r="P239" i="31"/>
  <c r="R238" i="31"/>
  <c r="P238" i="31"/>
  <c r="R237" i="31"/>
  <c r="P237" i="31"/>
  <c r="R236" i="31"/>
  <c r="P236" i="31"/>
  <c r="R235" i="31"/>
  <c r="P235" i="31"/>
  <c r="R234" i="31"/>
  <c r="P234" i="31"/>
  <c r="R233" i="31"/>
  <c r="P233" i="31"/>
  <c r="R232" i="31"/>
  <c r="P232" i="31"/>
  <c r="Q214" i="31"/>
  <c r="R198" i="31"/>
  <c r="T166" i="31"/>
  <c r="T164" i="31"/>
  <c r="T146" i="31"/>
  <c r="B133" i="31"/>
  <c r="B193" i="31" s="1"/>
  <c r="B288" i="31" s="1"/>
  <c r="R120" i="31"/>
  <c r="R113" i="31"/>
  <c r="T162" i="31" s="1"/>
  <c r="A112" i="31"/>
  <c r="A113" i="31" s="1"/>
  <c r="A114" i="31" s="1"/>
  <c r="A115" i="31" s="1"/>
  <c r="A116" i="31" s="1"/>
  <c r="A117" i="31" s="1"/>
  <c r="A118" i="31" s="1"/>
  <c r="A103" i="31"/>
  <c r="A104" i="31" s="1"/>
  <c r="R98" i="31"/>
  <c r="T97" i="31"/>
  <c r="R96" i="31"/>
  <c r="L87" i="31"/>
  <c r="T82" i="31"/>
  <c r="T81" i="31"/>
  <c r="R71" i="31"/>
  <c r="L71" i="31"/>
  <c r="L84" i="31" s="1"/>
  <c r="J71" i="31"/>
  <c r="J84" i="31" s="1"/>
  <c r="P58" i="31"/>
  <c r="P57" i="31"/>
  <c r="T50" i="31"/>
  <c r="J43" i="31"/>
  <c r="F43" i="31"/>
  <c r="N36" i="31"/>
  <c r="L36" i="31"/>
  <c r="J36" i="31"/>
  <c r="H36" i="31"/>
  <c r="F36" i="31"/>
  <c r="D36" i="31"/>
  <c r="N35" i="31"/>
  <c r="L35" i="31"/>
  <c r="J35" i="31"/>
  <c r="H35" i="31"/>
  <c r="F35" i="31"/>
  <c r="D35" i="31"/>
  <c r="T34" i="31"/>
  <c r="N33" i="31"/>
  <c r="L33" i="31"/>
  <c r="J33" i="31"/>
  <c r="H33" i="31"/>
  <c r="F33" i="31"/>
  <c r="D33" i="31"/>
  <c r="N32" i="31"/>
  <c r="L32" i="31"/>
  <c r="J32" i="31"/>
  <c r="H32" i="31"/>
  <c r="F32" i="31"/>
  <c r="D32" i="31"/>
  <c r="R89" i="30"/>
  <c r="N68" i="30"/>
  <c r="N71" i="30" s="1"/>
  <c r="T90" i="30"/>
  <c r="T106" i="30"/>
  <c r="T104" i="30"/>
  <c r="T91" i="30"/>
  <c r="J44" i="30"/>
  <c r="F44" i="30"/>
  <c r="R277" i="30"/>
  <c r="P277" i="30"/>
  <c r="R265" i="30"/>
  <c r="R213" i="30" s="1"/>
  <c r="P265" i="30"/>
  <c r="Q263" i="30" s="1"/>
  <c r="S261" i="30"/>
  <c r="S258" i="30"/>
  <c r="R253" i="30"/>
  <c r="P253" i="30"/>
  <c r="Q244" i="30" s="1"/>
  <c r="R239" i="30"/>
  <c r="P239" i="30"/>
  <c r="R238" i="30"/>
  <c r="P238" i="30"/>
  <c r="R237" i="30"/>
  <c r="P237" i="30"/>
  <c r="R236" i="30"/>
  <c r="P236" i="30"/>
  <c r="R235" i="30"/>
  <c r="P235" i="30"/>
  <c r="R234" i="30"/>
  <c r="P234" i="30"/>
  <c r="R233" i="30"/>
  <c r="P233" i="30"/>
  <c r="R232" i="30"/>
  <c r="P232" i="30"/>
  <c r="R198" i="30"/>
  <c r="T178" i="30"/>
  <c r="T166" i="30"/>
  <c r="T164" i="30"/>
  <c r="T146" i="30"/>
  <c r="B133" i="30"/>
  <c r="B193" i="30" s="1"/>
  <c r="B288" i="30" s="1"/>
  <c r="R122" i="30"/>
  <c r="R120" i="30"/>
  <c r="R113" i="30"/>
  <c r="T162" i="30" s="1"/>
  <c r="T163" i="30" s="1"/>
  <c r="A112" i="30"/>
  <c r="A113" i="30" s="1"/>
  <c r="A114" i="30" s="1"/>
  <c r="A115" i="30" s="1"/>
  <c r="A116" i="30" s="1"/>
  <c r="A117" i="30" s="1"/>
  <c r="A118" i="30" s="1"/>
  <c r="A103" i="30"/>
  <c r="A104" i="30" s="1"/>
  <c r="R98" i="30"/>
  <c r="T97" i="30"/>
  <c r="R96" i="30"/>
  <c r="L87" i="30"/>
  <c r="T82" i="30"/>
  <c r="T81" i="30"/>
  <c r="R71" i="30"/>
  <c r="P71" i="30"/>
  <c r="L71" i="30"/>
  <c r="L84" i="30" s="1"/>
  <c r="J71" i="30"/>
  <c r="J84" i="30" s="1"/>
  <c r="P58" i="30"/>
  <c r="P57" i="30"/>
  <c r="T50" i="30"/>
  <c r="J43" i="30"/>
  <c r="F43" i="30"/>
  <c r="N36" i="30"/>
  <c r="L36" i="30"/>
  <c r="J36" i="30"/>
  <c r="H36" i="30"/>
  <c r="F36" i="30"/>
  <c r="D36" i="30"/>
  <c r="N35" i="30"/>
  <c r="L35" i="30"/>
  <c r="J35" i="30"/>
  <c r="H35" i="30"/>
  <c r="F35" i="30"/>
  <c r="D35" i="30"/>
  <c r="T34" i="30"/>
  <c r="T137" i="30" s="1"/>
  <c r="N33" i="30"/>
  <c r="L33" i="30"/>
  <c r="J33" i="30"/>
  <c r="H33" i="30"/>
  <c r="F33" i="30"/>
  <c r="D33" i="30"/>
  <c r="N32" i="30"/>
  <c r="L32" i="30"/>
  <c r="J32" i="30"/>
  <c r="H32" i="30"/>
  <c r="F32" i="30"/>
  <c r="D32" i="30"/>
  <c r="T166" i="29"/>
  <c r="T106" i="29"/>
  <c r="T104" i="29"/>
  <c r="T91" i="29"/>
  <c r="T90" i="29"/>
  <c r="Q178" i="29"/>
  <c r="T178" i="29" s="1"/>
  <c r="R89" i="29"/>
  <c r="R96" i="29" s="1"/>
  <c r="P68" i="29"/>
  <c r="N68" i="29"/>
  <c r="J44" i="29"/>
  <c r="F44" i="29"/>
  <c r="P265" i="29"/>
  <c r="T97" i="29"/>
  <c r="A112" i="29"/>
  <c r="A113" i="29" s="1"/>
  <c r="A114" i="29" s="1"/>
  <c r="A115" i="29" s="1"/>
  <c r="A116" i="29" s="1"/>
  <c r="A117" i="29" s="1"/>
  <c r="A118" i="29" s="1"/>
  <c r="R253" i="29"/>
  <c r="S251" i="29" s="1"/>
  <c r="R265" i="29"/>
  <c r="R277" i="29"/>
  <c r="P253" i="29"/>
  <c r="Q249" i="29" s="1"/>
  <c r="P277" i="29"/>
  <c r="Q214" i="29" s="1"/>
  <c r="R113" i="29"/>
  <c r="T162" i="29" s="1"/>
  <c r="R218" i="29" s="1"/>
  <c r="S274" i="29"/>
  <c r="S277" i="29" s="1"/>
  <c r="Q251" i="29"/>
  <c r="S250" i="29"/>
  <c r="Q246" i="29"/>
  <c r="Q244" i="29"/>
  <c r="R239" i="29"/>
  <c r="P239" i="29"/>
  <c r="R238" i="29"/>
  <c r="P238" i="29"/>
  <c r="R237" i="29"/>
  <c r="P237" i="29"/>
  <c r="R236" i="29"/>
  <c r="P236" i="29"/>
  <c r="R235" i="29"/>
  <c r="P235" i="29"/>
  <c r="R234" i="29"/>
  <c r="P234" i="29"/>
  <c r="R233" i="29"/>
  <c r="P233" i="29"/>
  <c r="R232" i="29"/>
  <c r="P232" i="29"/>
  <c r="R214" i="29"/>
  <c r="R198" i="29"/>
  <c r="T164" i="29"/>
  <c r="T146" i="29"/>
  <c r="B133" i="29"/>
  <c r="B193" i="29" s="1"/>
  <c r="B288" i="29" s="1"/>
  <c r="R120" i="29"/>
  <c r="A103" i="29"/>
  <c r="A104" i="29" s="1"/>
  <c r="R98" i="29"/>
  <c r="L87" i="29"/>
  <c r="T82" i="29"/>
  <c r="T81" i="29"/>
  <c r="R71" i="29"/>
  <c r="L71" i="29"/>
  <c r="L84" i="29" s="1"/>
  <c r="J71" i="29"/>
  <c r="J84" i="29" s="1"/>
  <c r="P58" i="29"/>
  <c r="P57" i="29"/>
  <c r="T50" i="29"/>
  <c r="J43" i="29"/>
  <c r="F43" i="29"/>
  <c r="N36" i="29"/>
  <c r="L36" i="29"/>
  <c r="J36" i="29"/>
  <c r="D36" i="29"/>
  <c r="F36" i="29"/>
  <c r="H36" i="29"/>
  <c r="N35" i="29"/>
  <c r="L35" i="29"/>
  <c r="J35" i="29"/>
  <c r="H35" i="29"/>
  <c r="F35" i="29"/>
  <c r="D35" i="29"/>
  <c r="T34" i="29"/>
  <c r="T52" i="29" s="1"/>
  <c r="N33" i="29"/>
  <c r="L33" i="29"/>
  <c r="J33" i="29"/>
  <c r="H33" i="29"/>
  <c r="F33" i="29"/>
  <c r="D33" i="29"/>
  <c r="N32" i="29"/>
  <c r="L32" i="29"/>
  <c r="J32" i="29"/>
  <c r="H32" i="29"/>
  <c r="F32" i="29"/>
  <c r="D32" i="29"/>
  <c r="T106" i="28"/>
  <c r="T104" i="28"/>
  <c r="T91" i="28"/>
  <c r="T90" i="28"/>
  <c r="R89" i="28"/>
  <c r="R96" i="28" s="1"/>
  <c r="N68" i="28"/>
  <c r="N71" i="28" s="1"/>
  <c r="J44" i="28"/>
  <c r="F44" i="28"/>
  <c r="R276" i="28"/>
  <c r="S273" i="28" s="1"/>
  <c r="P276" i="28"/>
  <c r="Q273" i="28" s="1"/>
  <c r="Q276" i="28" s="1"/>
  <c r="R264" i="28"/>
  <c r="S260" i="28" s="1"/>
  <c r="P264" i="28"/>
  <c r="R252" i="28"/>
  <c r="P252" i="28"/>
  <c r="R238" i="28"/>
  <c r="P238" i="28"/>
  <c r="R237" i="28"/>
  <c r="P237" i="28"/>
  <c r="R236" i="28"/>
  <c r="P236" i="28"/>
  <c r="R235" i="28"/>
  <c r="P235" i="28"/>
  <c r="R234" i="28"/>
  <c r="P234" i="28"/>
  <c r="R233" i="28"/>
  <c r="P233" i="28"/>
  <c r="R232" i="28"/>
  <c r="P232" i="28"/>
  <c r="R231" i="28"/>
  <c r="P231" i="28"/>
  <c r="P240" i="28" s="1"/>
  <c r="R197" i="28"/>
  <c r="T177" i="28"/>
  <c r="T163" i="28"/>
  <c r="T145" i="28"/>
  <c r="B132" i="28"/>
  <c r="B192" i="28" s="1"/>
  <c r="B287" i="28" s="1"/>
  <c r="R121" i="28"/>
  <c r="R119" i="28"/>
  <c r="R112" i="28"/>
  <c r="T161" i="28" s="1"/>
  <c r="A112" i="28"/>
  <c r="A113" i="28" s="1"/>
  <c r="A114" i="28" s="1"/>
  <c r="A115" i="28" s="1"/>
  <c r="A116" i="28" s="1"/>
  <c r="A117" i="28" s="1"/>
  <c r="A103" i="28"/>
  <c r="A104" i="28" s="1"/>
  <c r="R98" i="28"/>
  <c r="T97" i="28"/>
  <c r="L87" i="28"/>
  <c r="T82" i="28"/>
  <c r="T81" i="28"/>
  <c r="R71" i="28"/>
  <c r="P71" i="28"/>
  <c r="L71" i="28"/>
  <c r="L84" i="28" s="1"/>
  <c r="J71" i="28"/>
  <c r="J84" i="28" s="1"/>
  <c r="P58" i="28"/>
  <c r="P57" i="28"/>
  <c r="T50" i="28"/>
  <c r="J43" i="28"/>
  <c r="F43" i="28"/>
  <c r="N36" i="28"/>
  <c r="L36" i="28"/>
  <c r="J36" i="28"/>
  <c r="H36" i="28"/>
  <c r="F36" i="28"/>
  <c r="D36" i="28"/>
  <c r="N35" i="28"/>
  <c r="L35" i="28"/>
  <c r="J35" i="28"/>
  <c r="H35" i="28"/>
  <c r="F35" i="28"/>
  <c r="D35" i="28"/>
  <c r="T34" i="28"/>
  <c r="T136" i="28" s="1"/>
  <c r="N33" i="28"/>
  <c r="L33" i="28"/>
  <c r="J33" i="28"/>
  <c r="H33" i="28"/>
  <c r="F33" i="28"/>
  <c r="D33" i="28"/>
  <c r="N32" i="28"/>
  <c r="L32" i="28"/>
  <c r="J32" i="28"/>
  <c r="H32" i="28"/>
  <c r="F32" i="28"/>
  <c r="D32" i="28"/>
  <c r="T106" i="27"/>
  <c r="T104" i="27"/>
  <c r="T91" i="27"/>
  <c r="T90" i="27"/>
  <c r="R89" i="27"/>
  <c r="R96" i="27" s="1"/>
  <c r="N68" i="27"/>
  <c r="J44" i="27"/>
  <c r="F44" i="27"/>
  <c r="R276" i="27"/>
  <c r="P276" i="27"/>
  <c r="Q213" i="27" s="1"/>
  <c r="R264" i="27"/>
  <c r="S262" i="27" s="1"/>
  <c r="P264" i="27"/>
  <c r="Q262" i="27" s="1"/>
  <c r="R252" i="27"/>
  <c r="S250" i="27" s="1"/>
  <c r="P252" i="27"/>
  <c r="Q250" i="27" s="1"/>
  <c r="R238" i="27"/>
  <c r="P238" i="27"/>
  <c r="R237" i="27"/>
  <c r="P237" i="27"/>
  <c r="R236" i="27"/>
  <c r="P236" i="27"/>
  <c r="R235" i="27"/>
  <c r="P235" i="27"/>
  <c r="R234" i="27"/>
  <c r="P234" i="27"/>
  <c r="R233" i="27"/>
  <c r="P233" i="27"/>
  <c r="R232" i="27"/>
  <c r="P232" i="27"/>
  <c r="R231" i="27"/>
  <c r="P231" i="27"/>
  <c r="Q212" i="27"/>
  <c r="R197" i="27"/>
  <c r="T177" i="27"/>
  <c r="T165" i="27"/>
  <c r="T163" i="27"/>
  <c r="T145" i="27"/>
  <c r="B132" i="27"/>
  <c r="B192" i="27" s="1"/>
  <c r="B287" i="27" s="1"/>
  <c r="R121" i="27"/>
  <c r="R119" i="27"/>
  <c r="R112" i="27"/>
  <c r="T161" i="27" s="1"/>
  <c r="A112" i="27"/>
  <c r="A113" i="27" s="1"/>
  <c r="A114" i="27" s="1"/>
  <c r="A115" i="27" s="1"/>
  <c r="A116" i="27" s="1"/>
  <c r="A117" i="27" s="1"/>
  <c r="A103" i="27"/>
  <c r="A104" i="27" s="1"/>
  <c r="R98" i="27"/>
  <c r="T97" i="27"/>
  <c r="L87" i="27"/>
  <c r="T82" i="27"/>
  <c r="T81" i="27"/>
  <c r="R71" i="27"/>
  <c r="L71" i="27"/>
  <c r="L84" i="27" s="1"/>
  <c r="J71" i="27"/>
  <c r="J84" i="27" s="1"/>
  <c r="P71" i="27"/>
  <c r="P58" i="27"/>
  <c r="P57" i="27"/>
  <c r="T50" i="27"/>
  <c r="J43" i="27"/>
  <c r="F43" i="27"/>
  <c r="N36" i="27"/>
  <c r="L36" i="27"/>
  <c r="J36" i="27"/>
  <c r="H36" i="27"/>
  <c r="F36" i="27"/>
  <c r="D36" i="27"/>
  <c r="N35" i="27"/>
  <c r="L35" i="27"/>
  <c r="J35" i="27"/>
  <c r="H35" i="27"/>
  <c r="F35" i="27"/>
  <c r="D35" i="27"/>
  <c r="T34" i="27"/>
  <c r="T136" i="27" s="1"/>
  <c r="N33" i="27"/>
  <c r="L33" i="27"/>
  <c r="J33" i="27"/>
  <c r="H33" i="27"/>
  <c r="F33" i="27"/>
  <c r="D33" i="27"/>
  <c r="N32" i="27"/>
  <c r="L32" i="27"/>
  <c r="J32" i="27"/>
  <c r="H32" i="27"/>
  <c r="F32" i="27"/>
  <c r="D32" i="27"/>
  <c r="T165" i="26"/>
  <c r="T106" i="26"/>
  <c r="T104" i="26"/>
  <c r="T91" i="26"/>
  <c r="T90" i="26"/>
  <c r="R89" i="26"/>
  <c r="R96" i="26" s="1"/>
  <c r="N68" i="26"/>
  <c r="P68" i="26"/>
  <c r="T68" i="26" s="1"/>
  <c r="T71" i="26" s="1"/>
  <c r="J44" i="26"/>
  <c r="F44" i="26"/>
  <c r="R276" i="26"/>
  <c r="R213" i="26" s="1"/>
  <c r="P276" i="26"/>
  <c r="Q269" i="26" s="1"/>
  <c r="Q276" i="26" s="1"/>
  <c r="R264" i="26"/>
  <c r="P264" i="26"/>
  <c r="Q262" i="26" s="1"/>
  <c r="R252" i="26"/>
  <c r="S245" i="26" s="1"/>
  <c r="P252" i="26"/>
  <c r="R238" i="26"/>
  <c r="P238" i="26"/>
  <c r="R237" i="26"/>
  <c r="P237" i="26"/>
  <c r="R236" i="26"/>
  <c r="P236" i="26"/>
  <c r="R235" i="26"/>
  <c r="P235" i="26"/>
  <c r="R234" i="26"/>
  <c r="P234" i="26"/>
  <c r="R233" i="26"/>
  <c r="P233" i="26"/>
  <c r="R232" i="26"/>
  <c r="P232" i="26"/>
  <c r="R231" i="26"/>
  <c r="P231" i="26"/>
  <c r="Q212" i="26"/>
  <c r="R197" i="26"/>
  <c r="T177" i="26"/>
  <c r="T163" i="26"/>
  <c r="T145" i="26"/>
  <c r="B132" i="26"/>
  <c r="B192" i="26" s="1"/>
  <c r="B287" i="26" s="1"/>
  <c r="R121" i="26"/>
  <c r="R119" i="26"/>
  <c r="R112" i="26"/>
  <c r="T161" i="26" s="1"/>
  <c r="R217" i="26" s="1"/>
  <c r="A112" i="26"/>
  <c r="A113" i="26" s="1"/>
  <c r="A114" i="26" s="1"/>
  <c r="A115" i="26" s="1"/>
  <c r="A116" i="26" s="1"/>
  <c r="A117" i="26" s="1"/>
  <c r="A103" i="26"/>
  <c r="A104" i="26" s="1"/>
  <c r="R98" i="26"/>
  <c r="T97" i="26"/>
  <c r="L87" i="26"/>
  <c r="T82" i="26"/>
  <c r="T81" i="26"/>
  <c r="R71" i="26"/>
  <c r="P71" i="26"/>
  <c r="L71" i="26"/>
  <c r="L84" i="26" s="1"/>
  <c r="J71" i="26"/>
  <c r="J84" i="26" s="1"/>
  <c r="P58" i="26"/>
  <c r="P57" i="26"/>
  <c r="T50" i="26"/>
  <c r="J43" i="26"/>
  <c r="F43" i="26"/>
  <c r="N36" i="26"/>
  <c r="L36" i="26"/>
  <c r="J36" i="26"/>
  <c r="H36" i="26"/>
  <c r="F36" i="26"/>
  <c r="D36" i="26"/>
  <c r="N35" i="26"/>
  <c r="L35" i="26"/>
  <c r="J35" i="26"/>
  <c r="H35" i="26"/>
  <c r="F35" i="26"/>
  <c r="D35" i="26"/>
  <c r="T34" i="26"/>
  <c r="T136" i="26" s="1"/>
  <c r="N33" i="26"/>
  <c r="L33" i="26"/>
  <c r="J33" i="26"/>
  <c r="H33" i="26"/>
  <c r="F33" i="26"/>
  <c r="D33" i="26"/>
  <c r="N32" i="26"/>
  <c r="L32" i="26"/>
  <c r="J32" i="26"/>
  <c r="H32" i="26"/>
  <c r="F32" i="26"/>
  <c r="D32" i="26"/>
  <c r="T106" i="25"/>
  <c r="T104" i="25"/>
  <c r="T91" i="25"/>
  <c r="T90" i="25"/>
  <c r="R89" i="25"/>
  <c r="R96" i="25" s="1"/>
  <c r="P68" i="25"/>
  <c r="N68" i="25"/>
  <c r="J44" i="25"/>
  <c r="F44" i="25"/>
  <c r="R276" i="25"/>
  <c r="P276" i="25"/>
  <c r="Q269" i="25" s="1"/>
  <c r="Q276" i="25" s="1"/>
  <c r="R264" i="25"/>
  <c r="S259" i="25" s="1"/>
  <c r="P264" i="25"/>
  <c r="Q259" i="25" s="1"/>
  <c r="R252" i="25"/>
  <c r="S246" i="25" s="1"/>
  <c r="P252" i="25"/>
  <c r="Q249" i="25" s="1"/>
  <c r="R238" i="25"/>
  <c r="P238" i="25"/>
  <c r="R237" i="25"/>
  <c r="P237" i="25"/>
  <c r="R236" i="25"/>
  <c r="P236" i="25"/>
  <c r="R235" i="25"/>
  <c r="P235" i="25"/>
  <c r="R234" i="25"/>
  <c r="P234" i="25"/>
  <c r="R233" i="25"/>
  <c r="P233" i="25"/>
  <c r="R232" i="25"/>
  <c r="P232" i="25"/>
  <c r="R231" i="25"/>
  <c r="P231" i="25"/>
  <c r="Q213" i="25"/>
  <c r="R197" i="25"/>
  <c r="T177" i="25"/>
  <c r="T163" i="25"/>
  <c r="T145" i="25"/>
  <c r="B132" i="25"/>
  <c r="B192" i="25" s="1"/>
  <c r="B287" i="25" s="1"/>
  <c r="R121" i="25"/>
  <c r="R119" i="25"/>
  <c r="R112" i="25"/>
  <c r="T161" i="25" s="1"/>
  <c r="A112" i="25"/>
  <c r="A113" i="25" s="1"/>
  <c r="A114" i="25" s="1"/>
  <c r="A115" i="25" s="1"/>
  <c r="A116" i="25" s="1"/>
  <c r="A117" i="25" s="1"/>
  <c r="A103" i="25"/>
  <c r="A104" i="25" s="1"/>
  <c r="R98" i="25"/>
  <c r="T97" i="25"/>
  <c r="L87" i="25"/>
  <c r="T82" i="25"/>
  <c r="T81" i="25"/>
  <c r="R71" i="25"/>
  <c r="P71" i="25"/>
  <c r="L71" i="25"/>
  <c r="L84" i="25" s="1"/>
  <c r="J71" i="25"/>
  <c r="J84" i="25" s="1"/>
  <c r="P58" i="25"/>
  <c r="P57" i="25"/>
  <c r="T50" i="25"/>
  <c r="J43" i="25"/>
  <c r="F43" i="25"/>
  <c r="N36" i="25"/>
  <c r="L36" i="25"/>
  <c r="J36" i="25"/>
  <c r="H36" i="25"/>
  <c r="F36" i="25"/>
  <c r="D36" i="25"/>
  <c r="N35" i="25"/>
  <c r="L35" i="25"/>
  <c r="J35" i="25"/>
  <c r="H35" i="25"/>
  <c r="F35" i="25"/>
  <c r="D35" i="25"/>
  <c r="T34" i="25"/>
  <c r="T52" i="25" s="1"/>
  <c r="N33" i="25"/>
  <c r="L33" i="25"/>
  <c r="J33" i="25"/>
  <c r="H33" i="25"/>
  <c r="F33" i="25"/>
  <c r="D33" i="25"/>
  <c r="N32" i="25"/>
  <c r="L32" i="25"/>
  <c r="J32" i="25"/>
  <c r="H32" i="25"/>
  <c r="F32" i="25"/>
  <c r="D32" i="25"/>
  <c r="T106" i="24"/>
  <c r="T104" i="24"/>
  <c r="T91" i="24"/>
  <c r="T90" i="24"/>
  <c r="R89" i="24"/>
  <c r="R96" i="24" s="1"/>
  <c r="N68" i="24"/>
  <c r="N71" i="24" s="1"/>
  <c r="J44" i="24"/>
  <c r="F44" i="24"/>
  <c r="S276" i="24"/>
  <c r="R276" i="24"/>
  <c r="Q276" i="24"/>
  <c r="P276" i="24"/>
  <c r="R264" i="24"/>
  <c r="S260" i="24" s="1"/>
  <c r="P264" i="24"/>
  <c r="Q262" i="24" s="1"/>
  <c r="R252" i="24"/>
  <c r="S248" i="24" s="1"/>
  <c r="P252" i="24"/>
  <c r="R238" i="24"/>
  <c r="P238" i="24"/>
  <c r="R237" i="24"/>
  <c r="P237" i="24"/>
  <c r="R236" i="24"/>
  <c r="P236" i="24"/>
  <c r="R235" i="24"/>
  <c r="P235" i="24"/>
  <c r="R234" i="24"/>
  <c r="P234" i="24"/>
  <c r="R233" i="24"/>
  <c r="P233" i="24"/>
  <c r="R232" i="24"/>
  <c r="P232" i="24"/>
  <c r="R231" i="24"/>
  <c r="P231" i="24"/>
  <c r="R213" i="24"/>
  <c r="Q212" i="24"/>
  <c r="R197" i="24"/>
  <c r="T177" i="24"/>
  <c r="T163" i="24"/>
  <c r="T145" i="24"/>
  <c r="B132" i="24"/>
  <c r="B192" i="24" s="1"/>
  <c r="B287" i="24" s="1"/>
  <c r="R121" i="24"/>
  <c r="R119" i="24"/>
  <c r="R112" i="24"/>
  <c r="T161" i="24" s="1"/>
  <c r="A112" i="24"/>
  <c r="A113" i="24" s="1"/>
  <c r="A114" i="24" s="1"/>
  <c r="A115" i="24" s="1"/>
  <c r="A116" i="24" s="1"/>
  <c r="A117" i="24" s="1"/>
  <c r="A103" i="24"/>
  <c r="A104" i="24" s="1"/>
  <c r="R98" i="24"/>
  <c r="T97" i="24"/>
  <c r="L87" i="24"/>
  <c r="T82" i="24"/>
  <c r="T81" i="24"/>
  <c r="R71" i="24"/>
  <c r="L71" i="24"/>
  <c r="L84" i="24" s="1"/>
  <c r="J71" i="24"/>
  <c r="J84" i="24" s="1"/>
  <c r="P71" i="24"/>
  <c r="P58" i="24"/>
  <c r="P57" i="24"/>
  <c r="T50" i="24"/>
  <c r="J43" i="24"/>
  <c r="F43" i="24"/>
  <c r="N36" i="24"/>
  <c r="L36" i="24"/>
  <c r="J36" i="24"/>
  <c r="H36" i="24"/>
  <c r="F36" i="24"/>
  <c r="D36" i="24"/>
  <c r="N35" i="24"/>
  <c r="L35" i="24"/>
  <c r="J35" i="24"/>
  <c r="H35" i="24"/>
  <c r="F35" i="24"/>
  <c r="D35" i="24"/>
  <c r="T34" i="24"/>
  <c r="T136" i="24" s="1"/>
  <c r="N33" i="24"/>
  <c r="L33" i="24"/>
  <c r="J33" i="24"/>
  <c r="H33" i="24"/>
  <c r="F33" i="24"/>
  <c r="D33" i="24"/>
  <c r="N32" i="24"/>
  <c r="L32" i="24"/>
  <c r="J32" i="24"/>
  <c r="H32" i="24"/>
  <c r="F32" i="24"/>
  <c r="D32" i="24"/>
  <c r="T165" i="23"/>
  <c r="T106" i="23"/>
  <c r="T104" i="23"/>
  <c r="T91" i="23"/>
  <c r="T90" i="23"/>
  <c r="R89" i="23"/>
  <c r="R96" i="23" s="1"/>
  <c r="P68" i="23"/>
  <c r="N68" i="23"/>
  <c r="J44" i="23"/>
  <c r="F44" i="23"/>
  <c r="D32" i="23"/>
  <c r="F32" i="23"/>
  <c r="H32" i="23"/>
  <c r="J32" i="23"/>
  <c r="L32" i="23"/>
  <c r="N32" i="23"/>
  <c r="D33" i="23"/>
  <c r="F33" i="23"/>
  <c r="H33" i="23"/>
  <c r="J33" i="23"/>
  <c r="L33" i="23"/>
  <c r="N33" i="23"/>
  <c r="T34" i="23"/>
  <c r="D35" i="23"/>
  <c r="F35" i="23"/>
  <c r="H35" i="23"/>
  <c r="J35" i="23"/>
  <c r="L35" i="23"/>
  <c r="N35" i="23"/>
  <c r="D36" i="23"/>
  <c r="F36" i="23"/>
  <c r="H36" i="23"/>
  <c r="J36" i="23"/>
  <c r="L36" i="23"/>
  <c r="N36" i="23"/>
  <c r="F43" i="23"/>
  <c r="J43" i="23"/>
  <c r="T50" i="23"/>
  <c r="P57" i="23"/>
  <c r="P58" i="23"/>
  <c r="J71" i="23"/>
  <c r="J84" i="23" s="1"/>
  <c r="L71" i="23"/>
  <c r="L84" i="23" s="1"/>
  <c r="R71" i="23"/>
  <c r="T81" i="23"/>
  <c r="T82" i="23"/>
  <c r="L87" i="23"/>
  <c r="T97" i="23"/>
  <c r="R98" i="23"/>
  <c r="A103" i="23"/>
  <c r="A104" i="23" s="1"/>
  <c r="A112" i="23"/>
  <c r="A113" i="23" s="1"/>
  <c r="A114" i="23" s="1"/>
  <c r="A115" i="23" s="1"/>
  <c r="A116" i="23" s="1"/>
  <c r="A117" i="23" s="1"/>
  <c r="R112" i="23"/>
  <c r="T161" i="23" s="1"/>
  <c r="R119" i="23"/>
  <c r="R121" i="23"/>
  <c r="B132" i="23"/>
  <c r="B192" i="23" s="1"/>
  <c r="B287" i="23" s="1"/>
  <c r="T145" i="23"/>
  <c r="T163" i="23"/>
  <c r="T177" i="23"/>
  <c r="R197" i="23"/>
  <c r="P264" i="23"/>
  <c r="R264" i="23"/>
  <c r="P276" i="23"/>
  <c r="R276" i="23"/>
  <c r="P231" i="23"/>
  <c r="P232" i="23"/>
  <c r="P233" i="23"/>
  <c r="P234" i="23"/>
  <c r="P235" i="23"/>
  <c r="P236" i="23"/>
  <c r="P237" i="23"/>
  <c r="P238" i="23"/>
  <c r="R231" i="23"/>
  <c r="R232" i="23"/>
  <c r="R233" i="23"/>
  <c r="R234" i="23"/>
  <c r="R235" i="23"/>
  <c r="R236" i="23"/>
  <c r="R237" i="23"/>
  <c r="R238" i="23"/>
  <c r="P252" i="23"/>
  <c r="R252" i="23"/>
  <c r="S243" i="23" s="1"/>
  <c r="Q276" i="23"/>
  <c r="S276" i="23"/>
  <c r="R89" i="21"/>
  <c r="R96" i="21" s="1"/>
  <c r="T90" i="21"/>
  <c r="T106" i="22"/>
  <c r="T104" i="22"/>
  <c r="T91" i="22"/>
  <c r="T90" i="22"/>
  <c r="Q177" i="22"/>
  <c r="R89" i="22"/>
  <c r="R96" i="22" s="1"/>
  <c r="P68" i="22"/>
  <c r="P71" i="22" s="1"/>
  <c r="N68" i="22"/>
  <c r="N71" i="22" s="1"/>
  <c r="J44" i="22"/>
  <c r="F44" i="22"/>
  <c r="D32" i="22"/>
  <c r="F32" i="22"/>
  <c r="H32" i="22"/>
  <c r="J32" i="22"/>
  <c r="L32" i="22"/>
  <c r="N32" i="22"/>
  <c r="D33" i="22"/>
  <c r="F33" i="22"/>
  <c r="H33" i="22"/>
  <c r="J33" i="22"/>
  <c r="L33" i="22"/>
  <c r="N33" i="22"/>
  <c r="T34" i="22"/>
  <c r="D35" i="22"/>
  <c r="F35" i="22"/>
  <c r="H35" i="22"/>
  <c r="J35" i="22"/>
  <c r="L35" i="22"/>
  <c r="N35" i="22"/>
  <c r="D36" i="22"/>
  <c r="F36" i="22"/>
  <c r="H36" i="22"/>
  <c r="J36" i="22"/>
  <c r="L36" i="22"/>
  <c r="N36" i="22"/>
  <c r="F43" i="22"/>
  <c r="J43" i="22"/>
  <c r="T50" i="22"/>
  <c r="P57" i="22"/>
  <c r="P58" i="22"/>
  <c r="J71" i="22"/>
  <c r="J84" i="22" s="1"/>
  <c r="L71" i="22"/>
  <c r="L84" i="22" s="1"/>
  <c r="R71" i="22"/>
  <c r="T81" i="22"/>
  <c r="T82" i="22"/>
  <c r="L87" i="22"/>
  <c r="T97" i="22"/>
  <c r="R98" i="22"/>
  <c r="A103" i="22"/>
  <c r="A104" i="22" s="1"/>
  <c r="A112" i="22"/>
  <c r="A113" i="22" s="1"/>
  <c r="A114" i="22" s="1"/>
  <c r="A115" i="22" s="1"/>
  <c r="A116" i="22" s="1"/>
  <c r="A117" i="22" s="1"/>
  <c r="R112" i="22"/>
  <c r="T161" i="22" s="1"/>
  <c r="R217" i="22" s="1"/>
  <c r="R119" i="22"/>
  <c r="B132" i="22"/>
  <c r="B192" i="22" s="1"/>
  <c r="B287" i="22" s="1"/>
  <c r="T145" i="22"/>
  <c r="T162" i="22"/>
  <c r="T163" i="22"/>
  <c r="R197" i="22"/>
  <c r="P264" i="22"/>
  <c r="R264" i="22"/>
  <c r="S260" i="22" s="1"/>
  <c r="P276" i="22"/>
  <c r="R276" i="22"/>
  <c r="P231" i="22"/>
  <c r="P232" i="22"/>
  <c r="P233" i="22"/>
  <c r="P234" i="22"/>
  <c r="P235" i="22"/>
  <c r="P236" i="22"/>
  <c r="P237" i="22"/>
  <c r="P238" i="22"/>
  <c r="R231" i="22"/>
  <c r="R232" i="22"/>
  <c r="R233" i="22"/>
  <c r="R234" i="22"/>
  <c r="R235" i="22"/>
  <c r="R236" i="22"/>
  <c r="R237" i="22"/>
  <c r="R238" i="22"/>
  <c r="P252" i="22"/>
  <c r="R252" i="22"/>
  <c r="Q276" i="22"/>
  <c r="S276" i="22"/>
  <c r="T106" i="21"/>
  <c r="T104" i="21"/>
  <c r="T91" i="21"/>
  <c r="P68" i="21"/>
  <c r="P71" i="21" s="1"/>
  <c r="N68" i="21"/>
  <c r="J44" i="21"/>
  <c r="F44" i="21"/>
  <c r="T165" i="21"/>
  <c r="D32" i="21"/>
  <c r="F32" i="21"/>
  <c r="H32" i="21"/>
  <c r="J32" i="21"/>
  <c r="L32" i="21"/>
  <c r="N32" i="21"/>
  <c r="D33" i="21"/>
  <c r="F33" i="21"/>
  <c r="H33" i="21"/>
  <c r="J33" i="21"/>
  <c r="L33" i="21"/>
  <c r="N33" i="21"/>
  <c r="T34" i="21"/>
  <c r="D35" i="21"/>
  <c r="F35" i="21"/>
  <c r="H35" i="21"/>
  <c r="J35" i="21"/>
  <c r="L35" i="21"/>
  <c r="N35" i="21"/>
  <c r="D36" i="21"/>
  <c r="F36" i="21"/>
  <c r="H36" i="21"/>
  <c r="J36" i="21"/>
  <c r="L36" i="21"/>
  <c r="N36" i="21"/>
  <c r="F43" i="21"/>
  <c r="J43" i="21"/>
  <c r="T50" i="21"/>
  <c r="T52" i="21"/>
  <c r="P57" i="21"/>
  <c r="P58" i="21"/>
  <c r="J71" i="21"/>
  <c r="J84" i="21" s="1"/>
  <c r="L71" i="21"/>
  <c r="L84" i="21" s="1"/>
  <c r="R71" i="21"/>
  <c r="T81" i="21"/>
  <c r="T82" i="21"/>
  <c r="L87" i="21"/>
  <c r="R98" i="21"/>
  <c r="T97" i="21"/>
  <c r="A103" i="21"/>
  <c r="A104" i="21" s="1"/>
  <c r="A112" i="21"/>
  <c r="A113" i="21" s="1"/>
  <c r="A114" i="21" s="1"/>
  <c r="A115" i="21" s="1"/>
  <c r="A116" i="21" s="1"/>
  <c r="A117" i="21" s="1"/>
  <c r="R112" i="21"/>
  <c r="R119" i="21"/>
  <c r="R121" i="21"/>
  <c r="B132" i="21"/>
  <c r="B192" i="21" s="1"/>
  <c r="B287" i="21" s="1"/>
  <c r="T136" i="21"/>
  <c r="T145" i="21"/>
  <c r="T161" i="21"/>
  <c r="T163" i="21"/>
  <c r="T177" i="21"/>
  <c r="R197" i="21"/>
  <c r="P264" i="21"/>
  <c r="Q262" i="21" s="1"/>
  <c r="R264" i="21"/>
  <c r="P276" i="21"/>
  <c r="R276" i="21"/>
  <c r="P231" i="21"/>
  <c r="P232" i="21"/>
  <c r="P233" i="21"/>
  <c r="P234" i="21"/>
  <c r="P235" i="21"/>
  <c r="P236" i="21"/>
  <c r="P237" i="21"/>
  <c r="P238" i="21"/>
  <c r="R231" i="21"/>
  <c r="R232" i="21"/>
  <c r="R233" i="21"/>
  <c r="R234" i="21"/>
  <c r="R235" i="21"/>
  <c r="R236" i="21"/>
  <c r="R237" i="21"/>
  <c r="R238" i="21"/>
  <c r="P252" i="21"/>
  <c r="Q250" i="21" s="1"/>
  <c r="R252" i="21"/>
  <c r="S243" i="21" s="1"/>
  <c r="Q258" i="21"/>
  <c r="Q276" i="21"/>
  <c r="S276" i="21"/>
  <c r="P252" i="20"/>
  <c r="T106" i="20"/>
  <c r="T104" i="20"/>
  <c r="T91" i="20"/>
  <c r="T90" i="20"/>
  <c r="R89" i="20"/>
  <c r="R96" i="20" s="1"/>
  <c r="R98" i="20"/>
  <c r="Q177" i="20"/>
  <c r="N68" i="20"/>
  <c r="P68" i="20"/>
  <c r="J44" i="20"/>
  <c r="F44" i="20"/>
  <c r="D32" i="20"/>
  <c r="F32" i="20"/>
  <c r="H32" i="20"/>
  <c r="J32" i="20"/>
  <c r="L32" i="20"/>
  <c r="N32" i="20"/>
  <c r="D33" i="20"/>
  <c r="F33" i="20"/>
  <c r="H33" i="20"/>
  <c r="J33" i="20"/>
  <c r="L33" i="20"/>
  <c r="N33" i="20"/>
  <c r="T34" i="20"/>
  <c r="D35" i="20"/>
  <c r="F35" i="20"/>
  <c r="H35" i="20"/>
  <c r="J35" i="20"/>
  <c r="L35" i="20"/>
  <c r="N35" i="20"/>
  <c r="D36" i="20"/>
  <c r="F36" i="20"/>
  <c r="H36" i="20"/>
  <c r="J36" i="20"/>
  <c r="L36" i="20"/>
  <c r="N36" i="20"/>
  <c r="F43" i="20"/>
  <c r="J43" i="20"/>
  <c r="T50" i="20"/>
  <c r="P57" i="20"/>
  <c r="P58" i="20"/>
  <c r="T81" i="20"/>
  <c r="T82" i="20"/>
  <c r="J71" i="20"/>
  <c r="J84" i="20" s="1"/>
  <c r="L71" i="20"/>
  <c r="L84" i="20" s="1"/>
  <c r="R71" i="20"/>
  <c r="L87" i="20"/>
  <c r="T97" i="20"/>
  <c r="A103" i="20"/>
  <c r="A104" i="20" s="1"/>
  <c r="A112" i="20"/>
  <c r="A113" i="20" s="1"/>
  <c r="A114" i="20" s="1"/>
  <c r="A115" i="20" s="1"/>
  <c r="A116" i="20" s="1"/>
  <c r="A117" i="20" s="1"/>
  <c r="R112" i="20"/>
  <c r="T161" i="20" s="1"/>
  <c r="T163" i="20"/>
  <c r="R119" i="20"/>
  <c r="B132" i="20"/>
  <c r="B192" i="20" s="1"/>
  <c r="B287" i="20" s="1"/>
  <c r="T145" i="20"/>
  <c r="R197" i="20"/>
  <c r="P264" i="20"/>
  <c r="Q262" i="20" s="1"/>
  <c r="R264" i="20"/>
  <c r="R212" i="20" s="1"/>
  <c r="P276" i="20"/>
  <c r="Q213" i="20" s="1"/>
  <c r="R276" i="20"/>
  <c r="R213" i="20" s="1"/>
  <c r="P231" i="20"/>
  <c r="P232" i="20"/>
  <c r="P233" i="20"/>
  <c r="P234" i="20"/>
  <c r="P235" i="20"/>
  <c r="P236" i="20"/>
  <c r="P237" i="20"/>
  <c r="P238" i="20"/>
  <c r="R231" i="20"/>
  <c r="R232" i="20"/>
  <c r="R233" i="20"/>
  <c r="R234" i="20"/>
  <c r="R235" i="20"/>
  <c r="R236" i="20"/>
  <c r="R237" i="20"/>
  <c r="R238" i="20"/>
  <c r="Q248" i="20"/>
  <c r="R252" i="20"/>
  <c r="S243" i="20" s="1"/>
  <c r="Q276" i="20"/>
  <c r="S276" i="20"/>
  <c r="R276" i="19"/>
  <c r="R213" i="19" s="1"/>
  <c r="T106" i="19"/>
  <c r="T104" i="19"/>
  <c r="T91" i="19"/>
  <c r="T90" i="19"/>
  <c r="Q177" i="19"/>
  <c r="R89" i="19"/>
  <c r="R96" i="19" s="1"/>
  <c r="P68" i="19"/>
  <c r="N68" i="19"/>
  <c r="N71" i="19" s="1"/>
  <c r="J44" i="19"/>
  <c r="F44" i="19"/>
  <c r="R232" i="18"/>
  <c r="R233" i="18"/>
  <c r="R234" i="18"/>
  <c r="R231" i="18"/>
  <c r="R235" i="18"/>
  <c r="R236" i="18"/>
  <c r="R237" i="18"/>
  <c r="R238" i="18"/>
  <c r="P232" i="18"/>
  <c r="P231" i="18"/>
  <c r="P233" i="18"/>
  <c r="P234" i="18"/>
  <c r="P235" i="18"/>
  <c r="P236" i="18"/>
  <c r="P237" i="18"/>
  <c r="P238" i="18"/>
  <c r="R238" i="19"/>
  <c r="R237" i="19"/>
  <c r="R236" i="19"/>
  <c r="R235" i="19"/>
  <c r="R234" i="19"/>
  <c r="R233" i="19"/>
  <c r="R232" i="19"/>
  <c r="R231" i="19"/>
  <c r="P238" i="19"/>
  <c r="P237" i="19"/>
  <c r="P231" i="19"/>
  <c r="P232" i="19"/>
  <c r="P233" i="19"/>
  <c r="P234" i="19"/>
  <c r="P235" i="19"/>
  <c r="P236" i="19"/>
  <c r="R112" i="19"/>
  <c r="T161" i="19" s="1"/>
  <c r="D32" i="19"/>
  <c r="F32" i="19"/>
  <c r="H32" i="19"/>
  <c r="J32" i="19"/>
  <c r="L32" i="19"/>
  <c r="N32" i="19"/>
  <c r="D33" i="19"/>
  <c r="F33" i="19"/>
  <c r="H33" i="19"/>
  <c r="J33" i="19"/>
  <c r="L33" i="19"/>
  <c r="N33" i="19"/>
  <c r="T34" i="19"/>
  <c r="T136" i="19" s="1"/>
  <c r="D35" i="19"/>
  <c r="F35" i="19"/>
  <c r="H35" i="19"/>
  <c r="J35" i="19"/>
  <c r="L35" i="19"/>
  <c r="N35" i="19"/>
  <c r="F43" i="19"/>
  <c r="J43" i="19"/>
  <c r="D36" i="19"/>
  <c r="F36" i="19"/>
  <c r="H36" i="19"/>
  <c r="J36" i="19"/>
  <c r="T36" i="19" s="1"/>
  <c r="L36" i="19"/>
  <c r="N36" i="19"/>
  <c r="T50" i="19"/>
  <c r="T52" i="19"/>
  <c r="P57" i="19"/>
  <c r="P58" i="19"/>
  <c r="J71" i="19"/>
  <c r="J84" i="19" s="1"/>
  <c r="L71" i="19"/>
  <c r="L84" i="19" s="1"/>
  <c r="P71" i="19"/>
  <c r="R71" i="19"/>
  <c r="T81" i="19"/>
  <c r="T82" i="19"/>
  <c r="L87" i="19"/>
  <c r="T97" i="19"/>
  <c r="R98" i="19"/>
  <c r="A103" i="19"/>
  <c r="A104" i="19" s="1"/>
  <c r="A112" i="19"/>
  <c r="A113" i="19" s="1"/>
  <c r="A114" i="19" s="1"/>
  <c r="A115" i="19" s="1"/>
  <c r="A116" i="19" s="1"/>
  <c r="A117" i="19" s="1"/>
  <c r="R119" i="19"/>
  <c r="B132" i="19"/>
  <c r="B192" i="19" s="1"/>
  <c r="B287" i="19" s="1"/>
  <c r="T145" i="19"/>
  <c r="T163" i="19"/>
  <c r="R197" i="19"/>
  <c r="P264" i="19"/>
  <c r="Q257" i="19" s="1"/>
  <c r="R264" i="19"/>
  <c r="R212" i="19" s="1"/>
  <c r="P276" i="19"/>
  <c r="P252" i="19"/>
  <c r="Q243" i="19" s="1"/>
  <c r="R252" i="19"/>
  <c r="Q276" i="19"/>
  <c r="S276" i="19"/>
  <c r="T165" i="18"/>
  <c r="T106" i="18"/>
  <c r="T104" i="18"/>
  <c r="T91" i="18"/>
  <c r="T90" i="18"/>
  <c r="T97" i="18"/>
  <c r="Q177" i="18"/>
  <c r="R121" i="18" s="1"/>
  <c r="R128" i="18" s="1"/>
  <c r="R89" i="18"/>
  <c r="R96" i="18" s="1"/>
  <c r="P68" i="18"/>
  <c r="P71" i="18" s="1"/>
  <c r="N68" i="18"/>
  <c r="R207" i="18" s="1"/>
  <c r="J44" i="18"/>
  <c r="F44" i="18"/>
  <c r="R112" i="18"/>
  <c r="T161" i="18" s="1"/>
  <c r="D32" i="18"/>
  <c r="F32" i="18"/>
  <c r="H32" i="18"/>
  <c r="J32" i="18"/>
  <c r="L32" i="18"/>
  <c r="N32" i="18"/>
  <c r="D33" i="18"/>
  <c r="F33" i="18"/>
  <c r="H33" i="18"/>
  <c r="J33" i="18"/>
  <c r="L33" i="18"/>
  <c r="N33" i="18"/>
  <c r="T34" i="18"/>
  <c r="D35" i="18"/>
  <c r="F35" i="18"/>
  <c r="H35" i="18"/>
  <c r="J35" i="18"/>
  <c r="L35" i="18"/>
  <c r="N35" i="18"/>
  <c r="F43" i="18"/>
  <c r="J43" i="18"/>
  <c r="D36" i="18"/>
  <c r="F36" i="18"/>
  <c r="H36" i="18"/>
  <c r="J36" i="18"/>
  <c r="L36" i="18"/>
  <c r="N36" i="18"/>
  <c r="T50" i="18"/>
  <c r="P57" i="18"/>
  <c r="P58" i="18"/>
  <c r="J71" i="18"/>
  <c r="J84" i="18" s="1"/>
  <c r="L71" i="18"/>
  <c r="L84" i="18" s="1"/>
  <c r="R71" i="18"/>
  <c r="T81" i="18"/>
  <c r="T82" i="18"/>
  <c r="L87" i="18"/>
  <c r="R98" i="18"/>
  <c r="A103" i="18"/>
  <c r="A104" i="18" s="1"/>
  <c r="A112" i="18"/>
  <c r="A113" i="18" s="1"/>
  <c r="A114" i="18" s="1"/>
  <c r="A115" i="18" s="1"/>
  <c r="A116" i="18" s="1"/>
  <c r="A117" i="18" s="1"/>
  <c r="R119" i="18"/>
  <c r="B132" i="18"/>
  <c r="B192" i="18" s="1"/>
  <c r="B287" i="18" s="1"/>
  <c r="T145" i="18"/>
  <c r="T163" i="18"/>
  <c r="R197" i="18"/>
  <c r="P264" i="18"/>
  <c r="Q257" i="18" s="1"/>
  <c r="R264" i="18"/>
  <c r="S260" i="18" s="1"/>
  <c r="P276" i="18"/>
  <c r="R276" i="18"/>
  <c r="P252" i="18"/>
  <c r="R252" i="18"/>
  <c r="S248" i="18" s="1"/>
  <c r="Q276" i="18"/>
  <c r="S276" i="18"/>
  <c r="T107" i="17"/>
  <c r="T105" i="17"/>
  <c r="T92" i="17"/>
  <c r="T91" i="17"/>
  <c r="Q178" i="17"/>
  <c r="R120" i="17"/>
  <c r="R90" i="17"/>
  <c r="R97" i="17" s="1"/>
  <c r="R99" i="17"/>
  <c r="N69" i="17"/>
  <c r="P69" i="17"/>
  <c r="P72" i="17" s="1"/>
  <c r="J44" i="17"/>
  <c r="F44" i="17"/>
  <c r="R113" i="17"/>
  <c r="T162" i="17" s="1"/>
  <c r="D32" i="17"/>
  <c r="F32" i="17"/>
  <c r="H32" i="17"/>
  <c r="J32" i="17"/>
  <c r="L32" i="17"/>
  <c r="N32" i="17"/>
  <c r="D33" i="17"/>
  <c r="F33" i="17"/>
  <c r="H33" i="17"/>
  <c r="J33" i="17"/>
  <c r="L33" i="17"/>
  <c r="N33" i="17"/>
  <c r="T34" i="17"/>
  <c r="D35" i="17"/>
  <c r="F35" i="17"/>
  <c r="H35" i="17"/>
  <c r="J35" i="17"/>
  <c r="L35" i="17"/>
  <c r="N35" i="17"/>
  <c r="F43" i="17"/>
  <c r="J43" i="17"/>
  <c r="D36" i="17"/>
  <c r="F36" i="17"/>
  <c r="H36" i="17"/>
  <c r="J36" i="17"/>
  <c r="L36" i="17"/>
  <c r="N36" i="17"/>
  <c r="T50" i="17"/>
  <c r="P57" i="17"/>
  <c r="P58" i="17"/>
  <c r="J72" i="17"/>
  <c r="J85" i="17" s="1"/>
  <c r="L72" i="17"/>
  <c r="R72" i="17"/>
  <c r="T82" i="17"/>
  <c r="T83" i="17"/>
  <c r="L85" i="17"/>
  <c r="L88" i="17"/>
  <c r="T98" i="17"/>
  <c r="A104" i="17"/>
  <c r="A105" i="17" s="1"/>
  <c r="A113" i="17"/>
  <c r="A114" i="17" s="1"/>
  <c r="A115" i="17" s="1"/>
  <c r="A116" i="17" s="1"/>
  <c r="A117" i="17" s="1"/>
  <c r="A118" i="17" s="1"/>
  <c r="B133" i="17"/>
  <c r="B193" i="17" s="1"/>
  <c r="B276" i="17" s="1"/>
  <c r="T146" i="17"/>
  <c r="T164" i="17"/>
  <c r="R198" i="17"/>
  <c r="P253" i="17"/>
  <c r="Q246" i="17" s="1"/>
  <c r="R253" i="17"/>
  <c r="R213" i="17" s="1"/>
  <c r="P265" i="17"/>
  <c r="Q214" i="17" s="1"/>
  <c r="R265" i="17"/>
  <c r="P241" i="17"/>
  <c r="Q233" i="17" s="1"/>
  <c r="R241" i="17"/>
  <c r="S232" i="17" s="1"/>
  <c r="Q265" i="17"/>
  <c r="S265" i="17"/>
  <c r="T107" i="16"/>
  <c r="T105" i="16"/>
  <c r="T92" i="16"/>
  <c r="T91" i="16"/>
  <c r="T98" i="16"/>
  <c r="R90" i="16"/>
  <c r="R97" i="16" s="1"/>
  <c r="Q178" i="16"/>
  <c r="R122" i="16" s="1"/>
  <c r="P69" i="16"/>
  <c r="P72" i="16" s="1"/>
  <c r="N69" i="16"/>
  <c r="N72" i="16" s="1"/>
  <c r="J44" i="16"/>
  <c r="F44" i="16"/>
  <c r="T166" i="16"/>
  <c r="R113" i="16"/>
  <c r="T162" i="16" s="1"/>
  <c r="T163" i="16" s="1"/>
  <c r="D32" i="16"/>
  <c r="F32" i="16"/>
  <c r="H32" i="16"/>
  <c r="J32" i="16"/>
  <c r="L32" i="16"/>
  <c r="N32" i="16"/>
  <c r="D33" i="16"/>
  <c r="F33" i="16"/>
  <c r="H33" i="16"/>
  <c r="J33" i="16"/>
  <c r="L33" i="16"/>
  <c r="N33" i="16"/>
  <c r="T34" i="16"/>
  <c r="T137" i="16" s="1"/>
  <c r="D35" i="16"/>
  <c r="F35" i="16"/>
  <c r="H35" i="16"/>
  <c r="T35" i="16" s="1"/>
  <c r="T43" i="16" s="1"/>
  <c r="R200" i="16" s="1"/>
  <c r="R201" i="16" s="1"/>
  <c r="J35" i="16"/>
  <c r="L35" i="16"/>
  <c r="N35" i="16"/>
  <c r="F43" i="16"/>
  <c r="J43" i="16"/>
  <c r="D36" i="16"/>
  <c r="F36" i="16"/>
  <c r="H36" i="16"/>
  <c r="T36" i="16" s="1"/>
  <c r="J36" i="16"/>
  <c r="L36" i="16"/>
  <c r="N36" i="16"/>
  <c r="T50" i="16"/>
  <c r="T52" i="16"/>
  <c r="P57" i="16"/>
  <c r="P58" i="16"/>
  <c r="J72" i="16"/>
  <c r="J85" i="16" s="1"/>
  <c r="L72" i="16"/>
  <c r="L85" i="16" s="1"/>
  <c r="R72" i="16"/>
  <c r="T82" i="16"/>
  <c r="T83" i="16"/>
  <c r="L88" i="16"/>
  <c r="R99" i="16"/>
  <c r="A104" i="16"/>
  <c r="A105" i="16" s="1"/>
  <c r="A113" i="16"/>
  <c r="A114" i="16" s="1"/>
  <c r="A115" i="16" s="1"/>
  <c r="A116" i="16" s="1"/>
  <c r="A117" i="16" s="1"/>
  <c r="A118" i="16" s="1"/>
  <c r="R120" i="16"/>
  <c r="B133" i="16"/>
  <c r="B193" i="16" s="1"/>
  <c r="B276" i="16" s="1"/>
  <c r="T146" i="16"/>
  <c r="T164" i="16"/>
  <c r="T178" i="16"/>
  <c r="R198" i="16"/>
  <c r="P253" i="16"/>
  <c r="Q246" i="16" s="1"/>
  <c r="R253" i="16"/>
  <c r="R213" i="16" s="1"/>
  <c r="P265" i="16"/>
  <c r="Q214" i="16" s="1"/>
  <c r="R265" i="16"/>
  <c r="P241" i="16"/>
  <c r="R241" i="16"/>
  <c r="S234" i="16" s="1"/>
  <c r="Q265" i="16"/>
  <c r="S265" i="16"/>
  <c r="T107" i="15"/>
  <c r="T105" i="15"/>
  <c r="T92" i="15"/>
  <c r="T91" i="15"/>
  <c r="T98" i="15"/>
  <c r="Q177" i="15"/>
  <c r="R122" i="15" s="1"/>
  <c r="R90" i="15"/>
  <c r="R97" i="15" s="1"/>
  <c r="N69" i="15"/>
  <c r="P69" i="15"/>
  <c r="J44" i="15"/>
  <c r="F44" i="15"/>
  <c r="R113" i="15"/>
  <c r="T162" i="15" s="1"/>
  <c r="D32" i="15"/>
  <c r="F32" i="15"/>
  <c r="H32" i="15"/>
  <c r="J32" i="15"/>
  <c r="L32" i="15"/>
  <c r="N32" i="15"/>
  <c r="D33" i="15"/>
  <c r="F33" i="15"/>
  <c r="H33" i="15"/>
  <c r="J33" i="15"/>
  <c r="L33" i="15"/>
  <c r="N33" i="15"/>
  <c r="T34" i="15"/>
  <c r="T137" i="15" s="1"/>
  <c r="D35" i="15"/>
  <c r="F35" i="15"/>
  <c r="T35" i="15" s="1"/>
  <c r="T43" i="15" s="1"/>
  <c r="R199" i="15" s="1"/>
  <c r="R200" i="15" s="1"/>
  <c r="H35" i="15"/>
  <c r="J35" i="15"/>
  <c r="L35" i="15"/>
  <c r="N35" i="15"/>
  <c r="F43" i="15"/>
  <c r="J43" i="15"/>
  <c r="D36" i="15"/>
  <c r="F36" i="15"/>
  <c r="H36" i="15"/>
  <c r="J36" i="15"/>
  <c r="L36" i="15"/>
  <c r="N36" i="15"/>
  <c r="T50" i="15"/>
  <c r="P57" i="15"/>
  <c r="P58" i="15"/>
  <c r="J72" i="15"/>
  <c r="J85" i="15" s="1"/>
  <c r="L72" i="15"/>
  <c r="L85" i="15" s="1"/>
  <c r="R72" i="15"/>
  <c r="T82" i="15"/>
  <c r="T83" i="15"/>
  <c r="L88" i="15"/>
  <c r="R99" i="15"/>
  <c r="A104" i="15"/>
  <c r="A105" i="15" s="1"/>
  <c r="A113" i="15"/>
  <c r="A114" i="15" s="1"/>
  <c r="A115" i="15" s="1"/>
  <c r="A116" i="15" s="1"/>
  <c r="A117" i="15" s="1"/>
  <c r="A118" i="15" s="1"/>
  <c r="R120" i="15"/>
  <c r="B133" i="15"/>
  <c r="B192" i="15" s="1"/>
  <c r="B275" i="15" s="1"/>
  <c r="T146" i="15"/>
  <c r="T164" i="15"/>
  <c r="R197" i="15"/>
  <c r="P252" i="15"/>
  <c r="Q245" i="15" s="1"/>
  <c r="R252" i="15"/>
  <c r="S248" i="15" s="1"/>
  <c r="P264" i="15"/>
  <c r="Q213" i="15" s="1"/>
  <c r="R264" i="15"/>
  <c r="P240" i="15"/>
  <c r="Q233" i="15" s="1"/>
  <c r="R240" i="15"/>
  <c r="Q264" i="15"/>
  <c r="S264" i="15"/>
  <c r="Q177" i="14"/>
  <c r="R122" i="14" s="1"/>
  <c r="N69" i="14"/>
  <c r="T106" i="14"/>
  <c r="T107" i="14"/>
  <c r="T105" i="14"/>
  <c r="T92" i="14"/>
  <c r="T91" i="14"/>
  <c r="R90" i="14"/>
  <c r="R97" i="14" s="1"/>
  <c r="P69" i="14"/>
  <c r="J44" i="14"/>
  <c r="F44" i="14"/>
  <c r="R113" i="14"/>
  <c r="T162" i="14" s="1"/>
  <c r="R215" i="1"/>
  <c r="R216" i="1" s="1"/>
  <c r="T160" i="2"/>
  <c r="R215" i="2" s="1"/>
  <c r="T161" i="3"/>
  <c r="T161" i="4"/>
  <c r="R216" i="4" s="1"/>
  <c r="R112" i="5"/>
  <c r="T161" i="5" s="1"/>
  <c r="R216" i="5" s="1"/>
  <c r="R112" i="6"/>
  <c r="T161" i="6" s="1"/>
  <c r="R216" i="6" s="1"/>
  <c r="R113" i="7"/>
  <c r="T162" i="7" s="1"/>
  <c r="R217" i="7" s="1"/>
  <c r="R113" i="8"/>
  <c r="T162" i="8" s="1"/>
  <c r="R217" i="8" s="1"/>
  <c r="R113" i="9"/>
  <c r="T162" i="9" s="1"/>
  <c r="T163" i="9" s="1"/>
  <c r="T165" i="9" s="1"/>
  <c r="R113" i="10"/>
  <c r="T162" i="10" s="1"/>
  <c r="R113" i="11"/>
  <c r="T162" i="11" s="1"/>
  <c r="R113" i="13"/>
  <c r="T162" i="13" s="1"/>
  <c r="R217" i="13" s="1"/>
  <c r="R176" i="1"/>
  <c r="R174" i="2" s="1"/>
  <c r="Q176" i="1"/>
  <c r="Q177" i="10"/>
  <c r="Q177" i="11"/>
  <c r="Q177" i="13"/>
  <c r="D32" i="14"/>
  <c r="F32" i="14"/>
  <c r="H32" i="14"/>
  <c r="J32" i="14"/>
  <c r="L32" i="14"/>
  <c r="N32" i="14"/>
  <c r="D33" i="14"/>
  <c r="F33" i="14"/>
  <c r="H33" i="14"/>
  <c r="J33" i="14"/>
  <c r="L33" i="14"/>
  <c r="N33" i="14"/>
  <c r="T34" i="14"/>
  <c r="T137" i="14" s="1"/>
  <c r="D35" i="14"/>
  <c r="F35" i="14"/>
  <c r="H35" i="14"/>
  <c r="J35" i="14"/>
  <c r="L35" i="14"/>
  <c r="N35" i="14"/>
  <c r="F43" i="14"/>
  <c r="J43" i="14"/>
  <c r="D36" i="14"/>
  <c r="F36" i="14"/>
  <c r="H36" i="14"/>
  <c r="J36" i="14"/>
  <c r="L36" i="14"/>
  <c r="N36" i="14"/>
  <c r="T50" i="14"/>
  <c r="T52" i="14"/>
  <c r="P57" i="14"/>
  <c r="P58" i="14"/>
  <c r="J72" i="14"/>
  <c r="J85" i="14" s="1"/>
  <c r="L72" i="14"/>
  <c r="L85" i="14" s="1"/>
  <c r="R72" i="14"/>
  <c r="T82" i="14"/>
  <c r="T83" i="14"/>
  <c r="L88" i="14"/>
  <c r="T98" i="14"/>
  <c r="R99" i="14"/>
  <c r="R120" i="14"/>
  <c r="A104" i="14"/>
  <c r="A105" i="14" s="1"/>
  <c r="A113" i="14"/>
  <c r="A114" i="14" s="1"/>
  <c r="A115" i="14" s="1"/>
  <c r="A116" i="14" s="1"/>
  <c r="A117" i="14" s="1"/>
  <c r="A118" i="14" s="1"/>
  <c r="B133" i="14"/>
  <c r="B192" i="14" s="1"/>
  <c r="B275" i="14" s="1"/>
  <c r="T146" i="14"/>
  <c r="T164" i="14"/>
  <c r="R197" i="14"/>
  <c r="P252" i="14"/>
  <c r="Q243" i="14" s="1"/>
  <c r="R252" i="14"/>
  <c r="S244" i="14" s="1"/>
  <c r="P264" i="14"/>
  <c r="R264" i="14"/>
  <c r="P240" i="14"/>
  <c r="Q238" i="14" s="1"/>
  <c r="R240" i="14"/>
  <c r="S232" i="14" s="1"/>
  <c r="Q264" i="14"/>
  <c r="S264" i="14"/>
  <c r="N69" i="13"/>
  <c r="R207" i="13" s="1"/>
  <c r="T110" i="13"/>
  <c r="T107" i="13"/>
  <c r="T105" i="13"/>
  <c r="T92" i="13"/>
  <c r="T91" i="13"/>
  <c r="T98" i="13"/>
  <c r="R90" i="13"/>
  <c r="R97" i="13" s="1"/>
  <c r="P69" i="13"/>
  <c r="J44" i="13"/>
  <c r="F44" i="13"/>
  <c r="D32" i="13"/>
  <c r="F32" i="13"/>
  <c r="H32" i="13"/>
  <c r="J32" i="13"/>
  <c r="L32" i="13"/>
  <c r="N32" i="13"/>
  <c r="D33" i="13"/>
  <c r="F33" i="13"/>
  <c r="H33" i="13"/>
  <c r="J33" i="13"/>
  <c r="L33" i="13"/>
  <c r="N33" i="13"/>
  <c r="T34" i="13"/>
  <c r="D35" i="13"/>
  <c r="F35" i="13"/>
  <c r="H35" i="13"/>
  <c r="J35" i="13"/>
  <c r="L35" i="13"/>
  <c r="N35" i="13"/>
  <c r="F43" i="13"/>
  <c r="J43" i="13"/>
  <c r="D36" i="13"/>
  <c r="F36" i="13"/>
  <c r="H36" i="13"/>
  <c r="J36" i="13"/>
  <c r="L36" i="13"/>
  <c r="N36" i="13"/>
  <c r="T50" i="13"/>
  <c r="P57" i="13"/>
  <c r="P58" i="13"/>
  <c r="J72" i="13"/>
  <c r="J85" i="13" s="1"/>
  <c r="L72" i="13"/>
  <c r="L85" i="13" s="1"/>
  <c r="P72" i="13"/>
  <c r="R72" i="13"/>
  <c r="T82" i="13"/>
  <c r="T83" i="13"/>
  <c r="L88" i="13"/>
  <c r="R99" i="13"/>
  <c r="R120" i="13"/>
  <c r="A104" i="13"/>
  <c r="A105" i="13" s="1"/>
  <c r="A113" i="13"/>
  <c r="A114" i="13" s="1"/>
  <c r="A115" i="13" s="1"/>
  <c r="A116" i="13" s="1"/>
  <c r="A117" i="13" s="1"/>
  <c r="A118" i="13" s="1"/>
  <c r="B133" i="13"/>
  <c r="B192" i="13" s="1"/>
  <c r="B275" i="13" s="1"/>
  <c r="T146" i="13"/>
  <c r="T164" i="13"/>
  <c r="R197" i="13"/>
  <c r="P252" i="13"/>
  <c r="R252" i="13"/>
  <c r="S249" i="13" s="1"/>
  <c r="P264" i="13"/>
  <c r="Q213" i="13" s="1"/>
  <c r="R264" i="13"/>
  <c r="R213" i="13" s="1"/>
  <c r="P240" i="13"/>
  <c r="Q233" i="13" s="1"/>
  <c r="R240" i="13"/>
  <c r="S231" i="13" s="1"/>
  <c r="Q264" i="13"/>
  <c r="S264" i="13"/>
  <c r="N69" i="11"/>
  <c r="R207" i="11" s="1"/>
  <c r="T107" i="11"/>
  <c r="T105" i="11"/>
  <c r="T98" i="11"/>
  <c r="T94" i="11"/>
  <c r="T93" i="11"/>
  <c r="T92" i="11"/>
  <c r="T91" i="11"/>
  <c r="R90" i="11"/>
  <c r="R97" i="11" s="1"/>
  <c r="P69" i="11"/>
  <c r="J44" i="11"/>
  <c r="F44" i="11"/>
  <c r="D35" i="11"/>
  <c r="F35" i="11"/>
  <c r="H35" i="11"/>
  <c r="J35" i="11"/>
  <c r="L35" i="11"/>
  <c r="N35" i="11"/>
  <c r="F43" i="11"/>
  <c r="J43" i="11"/>
  <c r="D32" i="11"/>
  <c r="F32" i="11"/>
  <c r="H32" i="11"/>
  <c r="J32" i="11"/>
  <c r="L32" i="11"/>
  <c r="N32" i="11"/>
  <c r="D33" i="11"/>
  <c r="F33" i="11"/>
  <c r="H33" i="11"/>
  <c r="J33" i="11"/>
  <c r="L33" i="11"/>
  <c r="N33" i="11"/>
  <c r="T34" i="11"/>
  <c r="T52" i="11" s="1"/>
  <c r="D36" i="11"/>
  <c r="F36" i="11"/>
  <c r="H36" i="11"/>
  <c r="J36" i="11"/>
  <c r="L36" i="11"/>
  <c r="N36" i="11"/>
  <c r="T50" i="11"/>
  <c r="P57" i="11"/>
  <c r="P58" i="11"/>
  <c r="J72" i="11"/>
  <c r="J85" i="11" s="1"/>
  <c r="L72" i="11"/>
  <c r="L85" i="11" s="1"/>
  <c r="R72" i="11"/>
  <c r="T82" i="11"/>
  <c r="T83" i="11"/>
  <c r="L88" i="11"/>
  <c r="R99" i="11"/>
  <c r="R120" i="11"/>
  <c r="A104" i="11"/>
  <c r="A105" i="11" s="1"/>
  <c r="A113" i="11"/>
  <c r="A114" i="11" s="1"/>
  <c r="A115" i="11" s="1"/>
  <c r="A116" i="11" s="1"/>
  <c r="A117" i="11" s="1"/>
  <c r="A118" i="11" s="1"/>
  <c r="B133" i="11"/>
  <c r="B192" i="11" s="1"/>
  <c r="B275" i="11" s="1"/>
  <c r="T146" i="11"/>
  <c r="T164" i="11"/>
  <c r="R197" i="11"/>
  <c r="P252" i="11"/>
  <c r="Q246" i="11" s="1"/>
  <c r="R252" i="11"/>
  <c r="P264" i="11"/>
  <c r="R264" i="11"/>
  <c r="R213" i="11" s="1"/>
  <c r="P240" i="11"/>
  <c r="Q235" i="11" s="1"/>
  <c r="R240" i="11"/>
  <c r="Q264" i="11"/>
  <c r="S264" i="11"/>
  <c r="N69" i="10"/>
  <c r="R90" i="10"/>
  <c r="D35" i="10"/>
  <c r="F35" i="10"/>
  <c r="H35" i="10"/>
  <c r="J35" i="10"/>
  <c r="L35" i="10"/>
  <c r="N35" i="10"/>
  <c r="F43" i="10"/>
  <c r="J43" i="10"/>
  <c r="D36" i="10"/>
  <c r="F36" i="10"/>
  <c r="H36" i="10"/>
  <c r="J36" i="10"/>
  <c r="L36" i="10"/>
  <c r="N36" i="10"/>
  <c r="T110" i="10"/>
  <c r="T107" i="10"/>
  <c r="T105" i="10"/>
  <c r="T94" i="10"/>
  <c r="T92" i="10"/>
  <c r="T91" i="10"/>
  <c r="P69" i="10"/>
  <c r="P72" i="10" s="1"/>
  <c r="J44" i="10"/>
  <c r="F44" i="10"/>
  <c r="D32" i="10"/>
  <c r="F32" i="10"/>
  <c r="H32" i="10"/>
  <c r="J32" i="10"/>
  <c r="L32" i="10"/>
  <c r="N32" i="10"/>
  <c r="D33" i="10"/>
  <c r="F33" i="10"/>
  <c r="H33" i="10"/>
  <c r="J33" i="10"/>
  <c r="L33" i="10"/>
  <c r="N33" i="10"/>
  <c r="T34" i="10"/>
  <c r="T52" i="10" s="1"/>
  <c r="T50" i="10"/>
  <c r="P57" i="10"/>
  <c r="P58" i="10"/>
  <c r="J72" i="10"/>
  <c r="L72" i="10"/>
  <c r="L85" i="10" s="1"/>
  <c r="R72" i="10"/>
  <c r="T82" i="10"/>
  <c r="T83" i="10"/>
  <c r="J85" i="10"/>
  <c r="L88" i="10"/>
  <c r="R97" i="10"/>
  <c r="R98" i="10"/>
  <c r="R99" i="10"/>
  <c r="A104" i="10"/>
  <c r="A105" i="10" s="1"/>
  <c r="A113" i="10"/>
  <c r="A114" i="10" s="1"/>
  <c r="A115" i="10" s="1"/>
  <c r="A116" i="10" s="1"/>
  <c r="A117" i="10" s="1"/>
  <c r="A118" i="10" s="1"/>
  <c r="R120" i="10"/>
  <c r="B133" i="10"/>
  <c r="B192" i="10" s="1"/>
  <c r="B275" i="10" s="1"/>
  <c r="T146" i="10"/>
  <c r="T164" i="10"/>
  <c r="R197" i="10"/>
  <c r="P252" i="10"/>
  <c r="R252" i="10"/>
  <c r="S260" i="10" s="1"/>
  <c r="P264" i="10"/>
  <c r="Q213" i="10" s="1"/>
  <c r="R264" i="10"/>
  <c r="P240" i="10"/>
  <c r="R240" i="10"/>
  <c r="R90" i="9"/>
  <c r="R97" i="9" s="1"/>
  <c r="N69" i="9"/>
  <c r="N72" i="9" s="1"/>
  <c r="D36" i="9"/>
  <c r="F36" i="9"/>
  <c r="H36" i="9"/>
  <c r="J36" i="9"/>
  <c r="L36" i="9"/>
  <c r="N36" i="9"/>
  <c r="T105" i="9"/>
  <c r="T94" i="9"/>
  <c r="T92" i="9"/>
  <c r="T91" i="9"/>
  <c r="P69" i="9"/>
  <c r="P72" i="9" s="1"/>
  <c r="J44" i="9"/>
  <c r="F44" i="9"/>
  <c r="D35" i="9"/>
  <c r="F35" i="9"/>
  <c r="H35" i="9"/>
  <c r="J35" i="9"/>
  <c r="L35" i="9"/>
  <c r="N35" i="9"/>
  <c r="F43" i="9"/>
  <c r="J43" i="9"/>
  <c r="D32" i="9"/>
  <c r="F32" i="9"/>
  <c r="H32" i="9"/>
  <c r="J32" i="9"/>
  <c r="L32" i="9"/>
  <c r="N32" i="9"/>
  <c r="D33" i="9"/>
  <c r="F33" i="9"/>
  <c r="H33" i="9"/>
  <c r="J33" i="9"/>
  <c r="L33" i="9"/>
  <c r="N33" i="9"/>
  <c r="T34" i="9"/>
  <c r="T50" i="9"/>
  <c r="P57" i="9"/>
  <c r="P58" i="9"/>
  <c r="J72" i="9"/>
  <c r="J85" i="9" s="1"/>
  <c r="L72" i="9"/>
  <c r="L85" i="9" s="1"/>
  <c r="R72" i="9"/>
  <c r="T82" i="9"/>
  <c r="T83" i="9"/>
  <c r="L88" i="9"/>
  <c r="R98" i="9"/>
  <c r="R99" i="9"/>
  <c r="A104" i="9"/>
  <c r="A105" i="9" s="1"/>
  <c r="A113" i="9"/>
  <c r="A114" i="9" s="1"/>
  <c r="A115" i="9" s="1"/>
  <c r="A116" i="9" s="1"/>
  <c r="A117" i="9" s="1"/>
  <c r="A118" i="9" s="1"/>
  <c r="R120" i="9"/>
  <c r="R122" i="9"/>
  <c r="B133" i="9"/>
  <c r="B192" i="9" s="1"/>
  <c r="B275" i="9" s="1"/>
  <c r="T146" i="9"/>
  <c r="T164" i="9"/>
  <c r="T177" i="9"/>
  <c r="R197" i="9"/>
  <c r="P252" i="9"/>
  <c r="Q243" i="9" s="1"/>
  <c r="R252" i="9"/>
  <c r="S249" i="9" s="1"/>
  <c r="P264" i="9"/>
  <c r="R264" i="9"/>
  <c r="R266" i="9" s="1"/>
  <c r="P240" i="9"/>
  <c r="Q233" i="9" s="1"/>
  <c r="R240" i="9"/>
  <c r="S232" i="9" s="1"/>
  <c r="N69" i="8"/>
  <c r="N69" i="7"/>
  <c r="R207" i="7" s="1"/>
  <c r="N69" i="6"/>
  <c r="N69" i="5"/>
  <c r="R90" i="8"/>
  <c r="R97" i="8" s="1"/>
  <c r="R99" i="8"/>
  <c r="R98" i="8"/>
  <c r="R120" i="8"/>
  <c r="R122" i="8"/>
  <c r="D36" i="8"/>
  <c r="F36" i="8"/>
  <c r="H36" i="8"/>
  <c r="J36" i="8"/>
  <c r="L36" i="8"/>
  <c r="N36" i="8"/>
  <c r="T107" i="8"/>
  <c r="T105" i="8"/>
  <c r="T94" i="8"/>
  <c r="T92" i="8"/>
  <c r="T91" i="8"/>
  <c r="P69" i="8"/>
  <c r="J44" i="8"/>
  <c r="F44" i="8"/>
  <c r="D32" i="8"/>
  <c r="F32" i="8"/>
  <c r="H32" i="8"/>
  <c r="J32" i="8"/>
  <c r="L32" i="8"/>
  <c r="N32" i="8"/>
  <c r="D33" i="8"/>
  <c r="F33" i="8"/>
  <c r="H33" i="8"/>
  <c r="J33" i="8"/>
  <c r="L33" i="8"/>
  <c r="N33" i="8"/>
  <c r="T34" i="8"/>
  <c r="D35" i="8"/>
  <c r="F35" i="8"/>
  <c r="H35" i="8"/>
  <c r="J35" i="8"/>
  <c r="L35" i="8"/>
  <c r="N35" i="8"/>
  <c r="F43" i="8"/>
  <c r="J43" i="8"/>
  <c r="T50" i="8"/>
  <c r="P57" i="8"/>
  <c r="P58" i="8"/>
  <c r="J72" i="8"/>
  <c r="J85" i="8" s="1"/>
  <c r="L72" i="8"/>
  <c r="L85" i="8" s="1"/>
  <c r="R72" i="8"/>
  <c r="T82" i="8"/>
  <c r="T83" i="8"/>
  <c r="L88" i="8"/>
  <c r="A104" i="8"/>
  <c r="A105" i="8" s="1"/>
  <c r="A113" i="8"/>
  <c r="A114" i="8" s="1"/>
  <c r="A115" i="8" s="1"/>
  <c r="A116" i="8" s="1"/>
  <c r="A117" i="8" s="1"/>
  <c r="A118" i="8" s="1"/>
  <c r="B133" i="8"/>
  <c r="B192" i="8" s="1"/>
  <c r="B275" i="8" s="1"/>
  <c r="T146" i="8"/>
  <c r="T163" i="8"/>
  <c r="T164" i="8"/>
  <c r="T177" i="8"/>
  <c r="R197" i="8"/>
  <c r="P252" i="8"/>
  <c r="Q243" i="8" s="1"/>
  <c r="R252" i="8"/>
  <c r="P264" i="8"/>
  <c r="R264" i="8"/>
  <c r="R213" i="8" s="1"/>
  <c r="P240" i="8"/>
  <c r="Q238" i="8" s="1"/>
  <c r="R240" i="8"/>
  <c r="Q262" i="8"/>
  <c r="R264" i="7"/>
  <c r="S262" i="7" s="1"/>
  <c r="P264" i="7"/>
  <c r="Q262" i="7" s="1"/>
  <c r="R252" i="7"/>
  <c r="S256" i="7" s="1"/>
  <c r="S258" i="7"/>
  <c r="P252" i="7"/>
  <c r="Q255" i="7" s="1"/>
  <c r="T107" i="7"/>
  <c r="T105" i="7"/>
  <c r="T94" i="7"/>
  <c r="T92" i="7"/>
  <c r="T91" i="7"/>
  <c r="P69" i="7"/>
  <c r="F43" i="7"/>
  <c r="J44" i="7"/>
  <c r="F44" i="7"/>
  <c r="D32" i="7"/>
  <c r="F32" i="7"/>
  <c r="H32" i="7"/>
  <c r="J32" i="7"/>
  <c r="L32" i="7"/>
  <c r="N32" i="7"/>
  <c r="D33" i="7"/>
  <c r="F33" i="7"/>
  <c r="H33" i="7"/>
  <c r="J33" i="7"/>
  <c r="L33" i="7"/>
  <c r="N33" i="7"/>
  <c r="T34" i="7"/>
  <c r="D35" i="7"/>
  <c r="F35" i="7"/>
  <c r="H35" i="7"/>
  <c r="J35" i="7"/>
  <c r="L35" i="7"/>
  <c r="N35" i="7"/>
  <c r="J43" i="7"/>
  <c r="D36" i="7"/>
  <c r="F36" i="7"/>
  <c r="H36" i="7"/>
  <c r="J36" i="7"/>
  <c r="L36" i="7"/>
  <c r="N36" i="7"/>
  <c r="T50" i="7"/>
  <c r="P57" i="7"/>
  <c r="P58" i="7"/>
  <c r="J72" i="7"/>
  <c r="J85" i="7" s="1"/>
  <c r="L72" i="7"/>
  <c r="L85" i="7" s="1"/>
  <c r="R72" i="7"/>
  <c r="T82" i="7"/>
  <c r="T83" i="7"/>
  <c r="L88" i="7"/>
  <c r="R97" i="7"/>
  <c r="R99" i="7"/>
  <c r="R98" i="7"/>
  <c r="R120" i="7"/>
  <c r="R122" i="7"/>
  <c r="A104" i="7"/>
  <c r="A105" i="7" s="1"/>
  <c r="A113" i="7"/>
  <c r="A114" i="7" s="1"/>
  <c r="A115" i="7" s="1"/>
  <c r="A116" i="7" s="1"/>
  <c r="A117" i="7" s="1"/>
  <c r="A118" i="7" s="1"/>
  <c r="B133" i="7"/>
  <c r="B192" i="7" s="1"/>
  <c r="B275" i="7" s="1"/>
  <c r="T146" i="7"/>
  <c r="T164" i="7"/>
  <c r="T177" i="7"/>
  <c r="R197" i="7"/>
  <c r="R212" i="7"/>
  <c r="P240" i="7"/>
  <c r="Q232" i="7" s="1"/>
  <c r="R240" i="7"/>
  <c r="S231" i="7" s="1"/>
  <c r="Q245" i="7"/>
  <c r="Q249" i="7"/>
  <c r="T91" i="6"/>
  <c r="T92" i="6"/>
  <c r="T104" i="6"/>
  <c r="T106" i="6"/>
  <c r="R119" i="6"/>
  <c r="R121" i="6"/>
  <c r="R90" i="6"/>
  <c r="R97" i="6" s="1"/>
  <c r="R99" i="6"/>
  <c r="R98" i="6"/>
  <c r="P69" i="6"/>
  <c r="F43" i="6"/>
  <c r="J44" i="6"/>
  <c r="F44" i="6"/>
  <c r="D32" i="6"/>
  <c r="F32" i="6"/>
  <c r="H32" i="6"/>
  <c r="J32" i="6"/>
  <c r="L32" i="6"/>
  <c r="N32" i="6"/>
  <c r="D33" i="6"/>
  <c r="F33" i="6"/>
  <c r="H33" i="6"/>
  <c r="J33" i="6"/>
  <c r="L33" i="6"/>
  <c r="N33" i="6"/>
  <c r="T34" i="6"/>
  <c r="D35" i="6"/>
  <c r="F35" i="6"/>
  <c r="H35" i="6"/>
  <c r="J35" i="6"/>
  <c r="L35" i="6"/>
  <c r="N35" i="6"/>
  <c r="J43" i="6"/>
  <c r="D36" i="6"/>
  <c r="F36" i="6"/>
  <c r="H36" i="6"/>
  <c r="J36" i="6"/>
  <c r="L36" i="6"/>
  <c r="N36" i="6"/>
  <c r="T50" i="6"/>
  <c r="P57" i="6"/>
  <c r="P58" i="6"/>
  <c r="J72" i="6"/>
  <c r="J85" i="6" s="1"/>
  <c r="L72" i="6"/>
  <c r="L85" i="6" s="1"/>
  <c r="R72" i="6"/>
  <c r="T82" i="6"/>
  <c r="T83" i="6"/>
  <c r="L88" i="6"/>
  <c r="A103" i="6"/>
  <c r="A104" i="6" s="1"/>
  <c r="A112" i="6"/>
  <c r="A113" i="6" s="1"/>
  <c r="A114" i="6" s="1"/>
  <c r="A115" i="6" s="1"/>
  <c r="A116" i="6" s="1"/>
  <c r="A117" i="6" s="1"/>
  <c r="B132" i="6"/>
  <c r="B191" i="6" s="1"/>
  <c r="B274" i="6" s="1"/>
  <c r="T145" i="6"/>
  <c r="T162" i="6"/>
  <c r="T163" i="6"/>
  <c r="T176" i="6"/>
  <c r="R196" i="6"/>
  <c r="P251" i="6"/>
  <c r="Q248" i="6" s="1"/>
  <c r="R251" i="6"/>
  <c r="P239" i="6"/>
  <c r="Q232" i="6" s="1"/>
  <c r="R239" i="6"/>
  <c r="S230" i="6" s="1"/>
  <c r="P263" i="6"/>
  <c r="Q263" i="6"/>
  <c r="R263" i="6"/>
  <c r="S263" i="6"/>
  <c r="T91" i="5"/>
  <c r="T92" i="5"/>
  <c r="T106" i="5"/>
  <c r="T104" i="5"/>
  <c r="R121" i="5"/>
  <c r="R119" i="5"/>
  <c r="R90" i="5"/>
  <c r="R97" i="5" s="1"/>
  <c r="R99" i="5"/>
  <c r="R98" i="5"/>
  <c r="P69" i="5"/>
  <c r="J44" i="5"/>
  <c r="F44" i="5"/>
  <c r="D32" i="5"/>
  <c r="F32" i="5"/>
  <c r="H32" i="5"/>
  <c r="J32" i="5"/>
  <c r="L32" i="5"/>
  <c r="N32" i="5"/>
  <c r="D33" i="5"/>
  <c r="F33" i="5"/>
  <c r="H33" i="5"/>
  <c r="J33" i="5"/>
  <c r="L33" i="5"/>
  <c r="N33" i="5"/>
  <c r="T34" i="5"/>
  <c r="T136" i="5" s="1"/>
  <c r="D35" i="5"/>
  <c r="F35" i="5"/>
  <c r="H35" i="5"/>
  <c r="J35" i="5"/>
  <c r="L35" i="5"/>
  <c r="N35" i="5"/>
  <c r="F43" i="5"/>
  <c r="J43" i="5"/>
  <c r="D36" i="5"/>
  <c r="F36" i="5"/>
  <c r="H36" i="5"/>
  <c r="J36" i="5"/>
  <c r="L36" i="5"/>
  <c r="N36" i="5"/>
  <c r="T50" i="5"/>
  <c r="T52" i="5"/>
  <c r="P57" i="5"/>
  <c r="P58" i="5"/>
  <c r="J72" i="5"/>
  <c r="J85" i="5" s="1"/>
  <c r="L72" i="5"/>
  <c r="P72" i="5"/>
  <c r="R72" i="5"/>
  <c r="T82" i="5"/>
  <c r="T83" i="5"/>
  <c r="L88" i="5"/>
  <c r="A103" i="5"/>
  <c r="A104" i="5" s="1"/>
  <c r="A112" i="5"/>
  <c r="A113" i="5" s="1"/>
  <c r="A114" i="5" s="1"/>
  <c r="A115" i="5" s="1"/>
  <c r="A116" i="5" s="1"/>
  <c r="A117" i="5" s="1"/>
  <c r="B132" i="5"/>
  <c r="B191" i="5" s="1"/>
  <c r="B274" i="5" s="1"/>
  <c r="T145" i="5"/>
  <c r="T163" i="5"/>
  <c r="T176" i="5"/>
  <c r="R196" i="5"/>
  <c r="P251" i="5"/>
  <c r="R251" i="5"/>
  <c r="R211" i="5" s="1"/>
  <c r="P239" i="5"/>
  <c r="Q233" i="5" s="1"/>
  <c r="R239" i="5"/>
  <c r="S230" i="5" s="1"/>
  <c r="S236" i="5"/>
  <c r="P263" i="5"/>
  <c r="Q263" i="5"/>
  <c r="R263" i="5"/>
  <c r="S263" i="5"/>
  <c r="T106" i="4"/>
  <c r="T104" i="4"/>
  <c r="T92" i="4"/>
  <c r="T91" i="4"/>
  <c r="P69" i="4"/>
  <c r="P72" i="4" s="1"/>
  <c r="N69" i="4"/>
  <c r="J43" i="4"/>
  <c r="F43" i="4"/>
  <c r="D32" i="4"/>
  <c r="F32" i="4"/>
  <c r="H32" i="4"/>
  <c r="J32" i="4"/>
  <c r="L32" i="4"/>
  <c r="N32" i="4"/>
  <c r="D33" i="4"/>
  <c r="F33" i="4"/>
  <c r="H33" i="4"/>
  <c r="J33" i="4"/>
  <c r="L33" i="4"/>
  <c r="N33" i="4"/>
  <c r="T34" i="4"/>
  <c r="T52" i="4" s="1"/>
  <c r="D35" i="4"/>
  <c r="F35" i="4"/>
  <c r="H35" i="4"/>
  <c r="J35" i="4"/>
  <c r="L35" i="4"/>
  <c r="N35" i="4"/>
  <c r="D36" i="4"/>
  <c r="F36" i="4"/>
  <c r="H36" i="4"/>
  <c r="J36" i="4"/>
  <c r="L36" i="4"/>
  <c r="N36" i="4"/>
  <c r="T50" i="4"/>
  <c r="P57" i="4"/>
  <c r="P58" i="4"/>
  <c r="J72" i="4"/>
  <c r="J85" i="4" s="1"/>
  <c r="L72" i="4"/>
  <c r="L85" i="4" s="1"/>
  <c r="R72" i="4"/>
  <c r="T82" i="4"/>
  <c r="T83" i="4"/>
  <c r="L88" i="4"/>
  <c r="R97" i="4"/>
  <c r="R98" i="4"/>
  <c r="R99" i="4"/>
  <c r="R119" i="4"/>
  <c r="R121" i="4"/>
  <c r="A103" i="4"/>
  <c r="A104" i="4" s="1"/>
  <c r="A112" i="4"/>
  <c r="A113" i="4" s="1"/>
  <c r="A114" i="4" s="1"/>
  <c r="A115" i="4" s="1"/>
  <c r="A116" i="4" s="1"/>
  <c r="A117" i="4" s="1"/>
  <c r="B132" i="4"/>
  <c r="B191" i="4" s="1"/>
  <c r="B275" i="4" s="1"/>
  <c r="T145" i="4"/>
  <c r="T162" i="4"/>
  <c r="T163" i="4"/>
  <c r="T176" i="4"/>
  <c r="R196" i="4"/>
  <c r="P252" i="4"/>
  <c r="R252" i="4"/>
  <c r="P240" i="4"/>
  <c r="R240" i="4"/>
  <c r="P264" i="4"/>
  <c r="Q264" i="4"/>
  <c r="R264" i="4"/>
  <c r="S264" i="4"/>
  <c r="T91" i="3"/>
  <c r="T92" i="3"/>
  <c r="L72" i="3"/>
  <c r="D35" i="3"/>
  <c r="F35" i="3"/>
  <c r="H35" i="3"/>
  <c r="J35" i="3"/>
  <c r="L35" i="3"/>
  <c r="N35" i="3"/>
  <c r="T144" i="1"/>
  <c r="T145" i="3"/>
  <c r="T144" i="2"/>
  <c r="F43" i="2"/>
  <c r="J43" i="2"/>
  <c r="D35" i="2"/>
  <c r="F35" i="2"/>
  <c r="H35" i="2"/>
  <c r="J35" i="2"/>
  <c r="L35" i="2"/>
  <c r="N35" i="2"/>
  <c r="T91" i="1"/>
  <c r="T92" i="1"/>
  <c r="T101" i="1"/>
  <c r="L72" i="1"/>
  <c r="L85" i="1" s="1"/>
  <c r="T91" i="2"/>
  <c r="T92" i="2"/>
  <c r="L72" i="2"/>
  <c r="L85" i="2" s="1"/>
  <c r="D36" i="3"/>
  <c r="T106" i="3"/>
  <c r="T104" i="3"/>
  <c r="N69" i="3"/>
  <c r="P69" i="3"/>
  <c r="P72" i="3" s="1"/>
  <c r="J44" i="3"/>
  <c r="F44" i="3"/>
  <c r="D32" i="3"/>
  <c r="F32" i="3"/>
  <c r="H32" i="3"/>
  <c r="J32" i="3"/>
  <c r="L32" i="3"/>
  <c r="N32" i="3"/>
  <c r="D33" i="3"/>
  <c r="F33" i="3"/>
  <c r="H33" i="3"/>
  <c r="J33" i="3"/>
  <c r="L33" i="3"/>
  <c r="N33" i="3"/>
  <c r="T34" i="3"/>
  <c r="F36" i="3"/>
  <c r="H36" i="3"/>
  <c r="J36" i="3"/>
  <c r="L36" i="3"/>
  <c r="N36" i="3"/>
  <c r="T50" i="3"/>
  <c r="P57" i="3"/>
  <c r="P58" i="3"/>
  <c r="J72" i="3"/>
  <c r="J85" i="3" s="1"/>
  <c r="R72" i="3"/>
  <c r="T82" i="3"/>
  <c r="T83" i="3"/>
  <c r="L88" i="3"/>
  <c r="R97" i="3"/>
  <c r="R99" i="3"/>
  <c r="R98" i="3"/>
  <c r="R119" i="3"/>
  <c r="R121" i="3"/>
  <c r="A103" i="3"/>
  <c r="A104" i="3" s="1"/>
  <c r="A112" i="3"/>
  <c r="A113" i="3" s="1"/>
  <c r="A114" i="3" s="1"/>
  <c r="A115" i="3" s="1"/>
  <c r="A116" i="3" s="1"/>
  <c r="A117" i="3" s="1"/>
  <c r="B132" i="3"/>
  <c r="B191" i="3" s="1"/>
  <c r="B275" i="3" s="1"/>
  <c r="T163" i="3"/>
  <c r="T176" i="3"/>
  <c r="R196" i="3"/>
  <c r="P252" i="3"/>
  <c r="Q211" i="3" s="1"/>
  <c r="R252" i="3"/>
  <c r="P240" i="3"/>
  <c r="Q233" i="3" s="1"/>
  <c r="R240" i="3"/>
  <c r="P264" i="3"/>
  <c r="Q264" i="3"/>
  <c r="R264" i="3"/>
  <c r="S264" i="3"/>
  <c r="T162" i="2"/>
  <c r="T103" i="2"/>
  <c r="T105" i="2"/>
  <c r="N69" i="2"/>
  <c r="P69" i="2"/>
  <c r="P57" i="2"/>
  <c r="D36" i="2"/>
  <c r="N32" i="2"/>
  <c r="L32" i="2"/>
  <c r="J32" i="2"/>
  <c r="H32" i="2"/>
  <c r="F32" i="2"/>
  <c r="D32" i="2"/>
  <c r="D33" i="2"/>
  <c r="F33" i="2"/>
  <c r="H33" i="2"/>
  <c r="J33" i="2"/>
  <c r="L33" i="2"/>
  <c r="N33" i="2"/>
  <c r="T34" i="2"/>
  <c r="F36" i="2"/>
  <c r="H36" i="2"/>
  <c r="J36" i="2"/>
  <c r="L36" i="2"/>
  <c r="N36" i="2"/>
  <c r="T50" i="2"/>
  <c r="P58" i="2"/>
  <c r="J72" i="2"/>
  <c r="J85" i="2" s="1"/>
  <c r="P72" i="2"/>
  <c r="R72" i="2"/>
  <c r="T82" i="2"/>
  <c r="T83" i="2"/>
  <c r="L88" i="2"/>
  <c r="R96" i="2"/>
  <c r="R97" i="2"/>
  <c r="R98" i="2"/>
  <c r="A102" i="2"/>
  <c r="A103" i="2" s="1"/>
  <c r="A111" i="2"/>
  <c r="A112" i="2" s="1"/>
  <c r="A113" i="2" s="1"/>
  <c r="A114" i="2" s="1"/>
  <c r="A115" i="2" s="1"/>
  <c r="A116" i="2" s="1"/>
  <c r="R118" i="2"/>
  <c r="R120" i="2"/>
  <c r="B131" i="2"/>
  <c r="B190" i="2" s="1"/>
  <c r="B274" i="2" s="1"/>
  <c r="T161" i="2"/>
  <c r="T175" i="2"/>
  <c r="R195" i="2"/>
  <c r="P251" i="2"/>
  <c r="R251" i="2"/>
  <c r="P239" i="2"/>
  <c r="Q233" i="2" s="1"/>
  <c r="R239" i="2"/>
  <c r="S236" i="2" s="1"/>
  <c r="P263" i="2"/>
  <c r="Q263" i="2"/>
  <c r="R263" i="2"/>
  <c r="S263" i="2"/>
  <c r="T103" i="1"/>
  <c r="T105" i="1"/>
  <c r="T34" i="1"/>
  <c r="T43" i="1" s="1"/>
  <c r="J36" i="1"/>
  <c r="L36" i="1"/>
  <c r="N36" i="1"/>
  <c r="D36" i="1"/>
  <c r="F36" i="1"/>
  <c r="H36" i="1"/>
  <c r="N69" i="1"/>
  <c r="P69" i="1"/>
  <c r="R263" i="1"/>
  <c r="R251" i="1"/>
  <c r="S243" i="1" s="1"/>
  <c r="R239" i="1"/>
  <c r="P263" i="1"/>
  <c r="P251" i="1"/>
  <c r="Q244" i="1" s="1"/>
  <c r="P239" i="1"/>
  <c r="Q234" i="1" s="1"/>
  <c r="R205" i="1"/>
  <c r="T50" i="1"/>
  <c r="T35" i="1"/>
  <c r="N33" i="1"/>
  <c r="R97" i="1"/>
  <c r="R98" i="1"/>
  <c r="T83" i="1"/>
  <c r="D33" i="1"/>
  <c r="L33" i="1"/>
  <c r="J33" i="1"/>
  <c r="H33" i="1"/>
  <c r="F33" i="1"/>
  <c r="L88" i="1"/>
  <c r="R118" i="1"/>
  <c r="R120" i="1"/>
  <c r="S263" i="1"/>
  <c r="Q263" i="1"/>
  <c r="J72" i="1"/>
  <c r="J85" i="1" s="1"/>
  <c r="Q243" i="1"/>
  <c r="Q247" i="1"/>
  <c r="R96" i="1"/>
  <c r="A111" i="1"/>
  <c r="A112" i="1" s="1"/>
  <c r="A113" i="1" s="1"/>
  <c r="A114" i="1" s="1"/>
  <c r="A115" i="1" s="1"/>
  <c r="A116" i="1" s="1"/>
  <c r="T82" i="1"/>
  <c r="T70" i="1"/>
  <c r="A102" i="1"/>
  <c r="A103" i="1" s="1"/>
  <c r="P58" i="1"/>
  <c r="T174" i="1"/>
  <c r="P72" i="1"/>
  <c r="R72" i="1"/>
  <c r="B131" i="1"/>
  <c r="B190" i="1" s="1"/>
  <c r="B274" i="1" s="1"/>
  <c r="T161" i="1"/>
  <c r="T162" i="1"/>
  <c r="T175" i="1"/>
  <c r="T163" i="7"/>
  <c r="R217" i="9"/>
  <c r="S238" i="7"/>
  <c r="S237" i="7"/>
  <c r="S236" i="7"/>
  <c r="S235" i="7"/>
  <c r="S234" i="7"/>
  <c r="S233" i="7"/>
  <c r="S232" i="7"/>
  <c r="S232" i="8"/>
  <c r="S246" i="14"/>
  <c r="S234" i="14"/>
  <c r="S250" i="4"/>
  <c r="S247" i="9"/>
  <c r="S246" i="9"/>
  <c r="S245" i="9"/>
  <c r="S244" i="9"/>
  <c r="S243" i="9"/>
  <c r="S237" i="10"/>
  <c r="S235" i="10"/>
  <c r="S233" i="10"/>
  <c r="P72" i="15"/>
  <c r="S251" i="17"/>
  <c r="S250" i="17"/>
  <c r="S249" i="17"/>
  <c r="S248" i="17"/>
  <c r="S247" i="17"/>
  <c r="S246" i="17"/>
  <c r="S245" i="17"/>
  <c r="S244" i="17"/>
  <c r="S239" i="17"/>
  <c r="S238" i="17"/>
  <c r="S237" i="17"/>
  <c r="S236" i="17"/>
  <c r="S235" i="17"/>
  <c r="S234" i="17"/>
  <c r="S233" i="17"/>
  <c r="S262" i="18"/>
  <c r="S250" i="18"/>
  <c r="R278" i="20"/>
  <c r="S250" i="20"/>
  <c r="S249" i="20"/>
  <c r="S248" i="20"/>
  <c r="S247" i="20"/>
  <c r="S246" i="20"/>
  <c r="S245" i="20"/>
  <c r="S244" i="20"/>
  <c r="Q237" i="3"/>
  <c r="S234" i="6"/>
  <c r="Q257" i="7"/>
  <c r="S262" i="8"/>
  <c r="S261" i="8"/>
  <c r="S257" i="8"/>
  <c r="S249" i="8"/>
  <c r="S245" i="8"/>
  <c r="Q261" i="10"/>
  <c r="Q257" i="10"/>
  <c r="Q249" i="10"/>
  <c r="Q245" i="10"/>
  <c r="Q236" i="10"/>
  <c r="T137" i="10"/>
  <c r="R266" i="11"/>
  <c r="S247" i="11"/>
  <c r="S243" i="11"/>
  <c r="S235" i="11"/>
  <c r="S238" i="13"/>
  <c r="S237" i="13"/>
  <c r="S236" i="13"/>
  <c r="S235" i="13"/>
  <c r="S234" i="13"/>
  <c r="S233" i="13"/>
  <c r="S232" i="13"/>
  <c r="T163" i="13"/>
  <c r="T165" i="13" s="1"/>
  <c r="R218" i="17"/>
  <c r="T163" i="17"/>
  <c r="S238" i="15"/>
  <c r="S236" i="15"/>
  <c r="S234" i="15"/>
  <c r="S232" i="15"/>
  <c r="Q239" i="16"/>
  <c r="Q237" i="16"/>
  <c r="Q235" i="16"/>
  <c r="Q233" i="16"/>
  <c r="Q262" i="18"/>
  <c r="Q260" i="18"/>
  <c r="Q258" i="18"/>
  <c r="Q256" i="18"/>
  <c r="Q250" i="18"/>
  <c r="Q248" i="18"/>
  <c r="Q246" i="18"/>
  <c r="Q244" i="18"/>
  <c r="N71" i="18"/>
  <c r="S259" i="19"/>
  <c r="S255" i="19"/>
  <c r="Q250" i="19"/>
  <c r="Q249" i="19"/>
  <c r="Q248" i="19"/>
  <c r="Q247" i="19"/>
  <c r="Q246" i="19"/>
  <c r="Q245" i="19"/>
  <c r="Q244" i="19"/>
  <c r="S250" i="21"/>
  <c r="S249" i="21"/>
  <c r="S248" i="21"/>
  <c r="S247" i="21"/>
  <c r="S246" i="21"/>
  <c r="S245" i="21"/>
  <c r="S244" i="21"/>
  <c r="T36" i="21"/>
  <c r="R217" i="15"/>
  <c r="T163" i="15"/>
  <c r="T165" i="15" s="1"/>
  <c r="S246" i="6"/>
  <c r="S242" i="6"/>
  <c r="Q258" i="7"/>
  <c r="Q234" i="11"/>
  <c r="N72" i="17"/>
  <c r="Q259" i="18"/>
  <c r="Q255" i="18"/>
  <c r="Q247" i="18"/>
  <c r="T68" i="18"/>
  <c r="T71" i="18" s="1"/>
  <c r="S250" i="22"/>
  <c r="S248" i="22"/>
  <c r="S246" i="22"/>
  <c r="S244" i="22"/>
  <c r="T52" i="1"/>
  <c r="T135" i="1"/>
  <c r="Q234" i="6"/>
  <c r="Q237" i="6"/>
  <c r="Q245" i="14"/>
  <c r="Q249" i="14"/>
  <c r="Q246" i="14"/>
  <c r="Q250" i="14"/>
  <c r="Q244" i="14"/>
  <c r="Q212" i="14"/>
  <c r="Q248" i="14"/>
  <c r="Q247" i="14"/>
  <c r="R213" i="7"/>
  <c r="R266" i="7"/>
  <c r="Q213" i="8"/>
  <c r="Q212" i="9"/>
  <c r="Q250" i="9"/>
  <c r="Q245" i="9"/>
  <c r="Q249" i="6"/>
  <c r="R213" i="23"/>
  <c r="R278" i="23"/>
  <c r="Q231" i="3"/>
  <c r="Q236" i="3"/>
  <c r="Q244" i="8"/>
  <c r="Q246" i="8"/>
  <c r="Q249" i="8"/>
  <c r="Q213" i="9"/>
  <c r="Q262" i="9"/>
  <c r="R213" i="10"/>
  <c r="S262" i="10"/>
  <c r="T163" i="10"/>
  <c r="T165" i="10" s="1"/>
  <c r="R217" i="10"/>
  <c r="Q257" i="22"/>
  <c r="Q258" i="22"/>
  <c r="R240" i="23"/>
  <c r="R206" i="4"/>
  <c r="N72" i="4"/>
  <c r="S257" i="7"/>
  <c r="S261" i="7"/>
  <c r="S244" i="7"/>
  <c r="S246" i="7"/>
  <c r="S248" i="7"/>
  <c r="S250" i="7"/>
  <c r="S255" i="7"/>
  <c r="S259" i="7"/>
  <c r="S243" i="7"/>
  <c r="S245" i="7"/>
  <c r="S247" i="7"/>
  <c r="S249" i="7"/>
  <c r="S233" i="8"/>
  <c r="S235" i="8"/>
  <c r="S237" i="8"/>
  <c r="S231" i="8"/>
  <c r="S234" i="8"/>
  <c r="S236" i="8"/>
  <c r="S238" i="8"/>
  <c r="S262" i="9"/>
  <c r="P266" i="14"/>
  <c r="Q213" i="14"/>
  <c r="R214" i="16"/>
  <c r="R267" i="16"/>
  <c r="Q243" i="18"/>
  <c r="Q249" i="18"/>
  <c r="Q245" i="18"/>
  <c r="Q261" i="18"/>
  <c r="Q212" i="18"/>
  <c r="Q213" i="19"/>
  <c r="P278" i="19"/>
  <c r="Q244" i="20"/>
  <c r="Q249" i="20"/>
  <c r="Q246" i="20"/>
  <c r="Q247" i="20"/>
  <c r="Q250" i="20"/>
  <c r="Q245" i="20"/>
  <c r="Q243" i="20"/>
  <c r="Q230" i="1"/>
  <c r="S247" i="3"/>
  <c r="S246" i="3"/>
  <c r="T96" i="2"/>
  <c r="T99" i="2" s="1"/>
  <c r="R128" i="6"/>
  <c r="S233" i="9"/>
  <c r="S237" i="9"/>
  <c r="S231" i="9"/>
  <c r="S235" i="9"/>
  <c r="S248" i="9"/>
  <c r="S255" i="9"/>
  <c r="S257" i="9"/>
  <c r="S259" i="9"/>
  <c r="S261" i="9"/>
  <c r="R212" i="9"/>
  <c r="S250" i="9"/>
  <c r="S256" i="9"/>
  <c r="S258" i="9"/>
  <c r="S260" i="9"/>
  <c r="R122" i="11"/>
  <c r="R129" i="11" s="1"/>
  <c r="T177" i="11"/>
  <c r="R213" i="15"/>
  <c r="R266" i="15"/>
  <c r="T177" i="18"/>
  <c r="Q213" i="21"/>
  <c r="P278" i="21"/>
  <c r="Q235" i="2"/>
  <c r="T137" i="13"/>
  <c r="T52" i="13"/>
  <c r="T36" i="22"/>
  <c r="Q232" i="14"/>
  <c r="Q236" i="14"/>
  <c r="Q233" i="14"/>
  <c r="Q237" i="14"/>
  <c r="P267" i="16"/>
  <c r="R100" i="18"/>
  <c r="Q245" i="11"/>
  <c r="R212" i="15"/>
  <c r="S243" i="15"/>
  <c r="S245" i="15"/>
  <c r="S247" i="15"/>
  <c r="S249" i="15"/>
  <c r="S236" i="16"/>
  <c r="R208" i="17"/>
  <c r="R122" i="17"/>
  <c r="T178" i="17"/>
  <c r="T52" i="18"/>
  <c r="T136" i="18"/>
  <c r="T35" i="20"/>
  <c r="T43" i="20" s="1"/>
  <c r="R199" i="20" s="1"/>
  <c r="R200" i="20" s="1"/>
  <c r="P240" i="22"/>
  <c r="Q213" i="22"/>
  <c r="P278" i="22"/>
  <c r="R212" i="23"/>
  <c r="S255" i="23"/>
  <c r="S259" i="23"/>
  <c r="S257" i="23"/>
  <c r="S261" i="23"/>
  <c r="S246" i="15"/>
  <c r="Q235" i="15"/>
  <c r="Q247" i="16"/>
  <c r="Q249" i="16"/>
  <c r="Q251" i="16"/>
  <c r="Q213" i="16"/>
  <c r="Q245" i="16"/>
  <c r="Q248" i="16"/>
  <c r="Q250" i="16"/>
  <c r="S243" i="19"/>
  <c r="Q212" i="19"/>
  <c r="Q258" i="19"/>
  <c r="Q262" i="19"/>
  <c r="Q256" i="19"/>
  <c r="Q260" i="19"/>
  <c r="Q212" i="21"/>
  <c r="Q257" i="21"/>
  <c r="Q261" i="21"/>
  <c r="Q255" i="21"/>
  <c r="Q259" i="21"/>
  <c r="S256" i="23"/>
  <c r="T136" i="23"/>
  <c r="T52" i="23"/>
  <c r="T51" i="20"/>
  <c r="R212" i="21"/>
  <c r="S255" i="21"/>
  <c r="S257" i="21"/>
  <c r="S259" i="21"/>
  <c r="S261" i="21"/>
  <c r="S256" i="21"/>
  <c r="S258" i="21"/>
  <c r="S260" i="21"/>
  <c r="S262" i="21"/>
  <c r="S259" i="22"/>
  <c r="S255" i="22"/>
  <c r="R240" i="22"/>
  <c r="S233" i="22" s="1"/>
  <c r="T35" i="22"/>
  <c r="T43" i="22" s="1"/>
  <c r="R199" i="22" s="1"/>
  <c r="R200" i="22" s="1"/>
  <c r="R121" i="22"/>
  <c r="R128" i="22" s="1"/>
  <c r="T177" i="22"/>
  <c r="Q255" i="23"/>
  <c r="Q256" i="23"/>
  <c r="P240" i="20"/>
  <c r="Q235" i="20" s="1"/>
  <c r="Q243" i="21"/>
  <c r="Q247" i="21"/>
  <c r="Q245" i="21"/>
  <c r="Q249" i="21"/>
  <c r="T52" i="22"/>
  <c r="T136" i="22"/>
  <c r="R100" i="21"/>
  <c r="Q213" i="23"/>
  <c r="P71" i="23"/>
  <c r="Q248" i="22"/>
  <c r="S237" i="22"/>
  <c r="Q235" i="22"/>
  <c r="T68" i="24"/>
  <c r="T71" i="24" s="1"/>
  <c r="R207" i="24"/>
  <c r="T52" i="24"/>
  <c r="Q235" i="4"/>
  <c r="Q233" i="4"/>
  <c r="R207" i="9"/>
  <c r="S238" i="10"/>
  <c r="Q235" i="10"/>
  <c r="Q237" i="11"/>
  <c r="R266" i="13"/>
  <c r="S250" i="13"/>
  <c r="S247" i="13"/>
  <c r="S245" i="13"/>
  <c r="S244" i="13"/>
  <c r="S243" i="13"/>
  <c r="Q236" i="15"/>
  <c r="S244" i="15"/>
  <c r="S250" i="15"/>
  <c r="S237" i="2"/>
  <c r="S235" i="2"/>
  <c r="S233" i="2"/>
  <c r="S232" i="2"/>
  <c r="Q237" i="2"/>
  <c r="Q234" i="2"/>
  <c r="Q232" i="2"/>
  <c r="Q246" i="15"/>
  <c r="T52" i="15"/>
  <c r="S239" i="16"/>
  <c r="Q232" i="17"/>
  <c r="R217" i="23"/>
  <c r="T162" i="23"/>
  <c r="Q250" i="22"/>
  <c r="Q247" i="22"/>
  <c r="Q245" i="22"/>
  <c r="Q259" i="19"/>
  <c r="Q248" i="21"/>
  <c r="S249" i="23"/>
  <c r="S247" i="23"/>
  <c r="S245" i="23"/>
  <c r="Q249" i="23"/>
  <c r="R278" i="24"/>
  <c r="R240" i="24"/>
  <c r="S233" i="24" s="1"/>
  <c r="S244" i="24"/>
  <c r="S243" i="24"/>
  <c r="S246" i="24"/>
  <c r="S245" i="24"/>
  <c r="S247" i="24"/>
  <c r="S249" i="24"/>
  <c r="S250" i="24"/>
  <c r="Q243" i="24"/>
  <c r="Q244" i="24"/>
  <c r="Q245" i="24"/>
  <c r="Q246" i="24"/>
  <c r="Q247" i="24"/>
  <c r="Q248" i="24"/>
  <c r="Q249" i="24"/>
  <c r="Q250" i="24"/>
  <c r="N71" i="25"/>
  <c r="T136" i="25"/>
  <c r="R207" i="25"/>
  <c r="Q212" i="25"/>
  <c r="P278" i="25"/>
  <c r="R278" i="25"/>
  <c r="Q243" i="25"/>
  <c r="T162" i="25"/>
  <c r="T164" i="25" s="1"/>
  <c r="R217" i="25"/>
  <c r="T68" i="25"/>
  <c r="T71" i="25" s="1"/>
  <c r="T170" i="25" s="1"/>
  <c r="T51" i="25"/>
  <c r="T36" i="25"/>
  <c r="T162" i="26"/>
  <c r="T164" i="26" s="1"/>
  <c r="T52" i="26"/>
  <c r="N71" i="26"/>
  <c r="R207" i="26"/>
  <c r="S247" i="26"/>
  <c r="S248" i="26"/>
  <c r="S249" i="26"/>
  <c r="S258" i="26"/>
  <c r="S259" i="26"/>
  <c r="S260" i="26"/>
  <c r="S261" i="26"/>
  <c r="S269" i="26"/>
  <c r="S276" i="26" s="1"/>
  <c r="R278" i="26"/>
  <c r="R240" i="26"/>
  <c r="S235" i="26" s="1"/>
  <c r="S255" i="26"/>
  <c r="S257" i="26"/>
  <c r="Q259" i="26"/>
  <c r="P278" i="26"/>
  <c r="Q261" i="26"/>
  <c r="Q255" i="26"/>
  <c r="Q256" i="26"/>
  <c r="Q257" i="26"/>
  <c r="Q258" i="26"/>
  <c r="Q260" i="26"/>
  <c r="S243" i="26"/>
  <c r="S244" i="26"/>
  <c r="S246" i="26"/>
  <c r="S250" i="26"/>
  <c r="Q243" i="26"/>
  <c r="Q244" i="26"/>
  <c r="Q245" i="26"/>
  <c r="Q246" i="26"/>
  <c r="Q247" i="26"/>
  <c r="P240" i="26"/>
  <c r="Q237" i="26" s="1"/>
  <c r="Q249" i="26"/>
  <c r="Q248" i="26"/>
  <c r="Q250" i="26"/>
  <c r="S231" i="26"/>
  <c r="T170" i="26"/>
  <c r="T84" i="26"/>
  <c r="T171" i="26" s="1"/>
  <c r="T68" i="27"/>
  <c r="T71" i="27" s="1"/>
  <c r="R212" i="27"/>
  <c r="R213" i="27"/>
  <c r="S243" i="27"/>
  <c r="S244" i="27"/>
  <c r="S245" i="27"/>
  <c r="S246" i="27"/>
  <c r="S247" i="27"/>
  <c r="S248" i="27"/>
  <c r="S249" i="27"/>
  <c r="S255" i="27"/>
  <c r="S256" i="27"/>
  <c r="S257" i="27"/>
  <c r="S258" i="27"/>
  <c r="S259" i="27"/>
  <c r="S260" i="27"/>
  <c r="S261" i="27"/>
  <c r="S269" i="27"/>
  <c r="S276" i="27" s="1"/>
  <c r="T52" i="27"/>
  <c r="R217" i="27"/>
  <c r="T162" i="27"/>
  <c r="T164" i="27" s="1"/>
  <c r="T36" i="27"/>
  <c r="Q255" i="27"/>
  <c r="Q259" i="27"/>
  <c r="Q257" i="27"/>
  <c r="Q261" i="27"/>
  <c r="P240" i="27"/>
  <c r="Q235" i="27" s="1"/>
  <c r="Q256" i="27"/>
  <c r="Q258" i="27"/>
  <c r="Q260" i="27"/>
  <c r="R278" i="27"/>
  <c r="Q243" i="27"/>
  <c r="Q247" i="27"/>
  <c r="Q245" i="27"/>
  <c r="Q249" i="27"/>
  <c r="Q244" i="27"/>
  <c r="Q246" i="27"/>
  <c r="Q248" i="27"/>
  <c r="P278" i="27"/>
  <c r="Q269" i="27"/>
  <c r="Q276" i="27" s="1"/>
  <c r="R240" i="27"/>
  <c r="S238" i="27" s="1"/>
  <c r="R217" i="28"/>
  <c r="T162" i="28"/>
  <c r="T52" i="28"/>
  <c r="T68" i="28"/>
  <c r="T71" i="28" s="1"/>
  <c r="R207" i="28"/>
  <c r="S243" i="28"/>
  <c r="S244" i="28"/>
  <c r="S245" i="28"/>
  <c r="S246" i="28"/>
  <c r="S247" i="28"/>
  <c r="S248" i="28"/>
  <c r="S249" i="28"/>
  <c r="S259" i="28"/>
  <c r="S276" i="28"/>
  <c r="R278" i="28"/>
  <c r="P278" i="28"/>
  <c r="Q259" i="28"/>
  <c r="Q255" i="28"/>
  <c r="Q256" i="28"/>
  <c r="Q257" i="28"/>
  <c r="Q261" i="28"/>
  <c r="Q258" i="28"/>
  <c r="Q260" i="28"/>
  <c r="S250" i="28"/>
  <c r="Q245" i="28"/>
  <c r="Q243" i="28"/>
  <c r="Q247" i="28"/>
  <c r="Q244" i="28"/>
  <c r="Q246" i="28"/>
  <c r="Q249" i="28"/>
  <c r="Q248" i="28"/>
  <c r="Q250" i="28"/>
  <c r="Q233" i="28"/>
  <c r="Q237" i="28"/>
  <c r="Q234" i="28"/>
  <c r="Q238" i="28"/>
  <c r="Q235" i="28"/>
  <c r="Q232" i="28"/>
  <c r="Q236" i="28"/>
  <c r="Q231" i="28"/>
  <c r="T163" i="29"/>
  <c r="T165" i="29" s="1"/>
  <c r="N71" i="29"/>
  <c r="T137" i="29"/>
  <c r="R208" i="29"/>
  <c r="R218" i="30"/>
  <c r="T68" i="30"/>
  <c r="T71" i="30" s="1"/>
  <c r="R208" i="30"/>
  <c r="Q213" i="30"/>
  <c r="R279" i="30"/>
  <c r="P241" i="30"/>
  <c r="Q239" i="30" s="1"/>
  <c r="P279" i="30"/>
  <c r="R214" i="30"/>
  <c r="R241" i="30"/>
  <c r="S235" i="30" s="1"/>
  <c r="S274" i="30"/>
  <c r="S277" i="30" s="1"/>
  <c r="N71" i="31"/>
  <c r="R208" i="31"/>
  <c r="T163" i="31"/>
  <c r="T165" i="31" s="1"/>
  <c r="R218" i="31"/>
  <c r="R279" i="31"/>
  <c r="P279" i="31"/>
  <c r="S274" i="31"/>
  <c r="S277" i="31" s="1"/>
  <c r="S259" i="31"/>
  <c r="Q257" i="31"/>
  <c r="S256" i="31"/>
  <c r="S257" i="31"/>
  <c r="S261" i="31"/>
  <c r="S258" i="31"/>
  <c r="S260" i="31"/>
  <c r="Q258" i="31"/>
  <c r="Q259" i="31"/>
  <c r="Q260" i="31"/>
  <c r="Q261" i="31"/>
  <c r="Q262" i="31"/>
  <c r="Q263" i="31"/>
  <c r="S248" i="31"/>
  <c r="T51" i="32"/>
  <c r="R241" i="32"/>
  <c r="S233" i="32" s="1"/>
  <c r="T68" i="32"/>
  <c r="T71" i="32" s="1"/>
  <c r="R213" i="32"/>
  <c r="R214" i="32"/>
  <c r="S244" i="32"/>
  <c r="S245" i="32"/>
  <c r="S246" i="32"/>
  <c r="S247" i="32"/>
  <c r="S248" i="32"/>
  <c r="S249" i="32"/>
  <c r="S250" i="32"/>
  <c r="S256" i="32"/>
  <c r="S257" i="32"/>
  <c r="S258" i="32"/>
  <c r="S259" i="32"/>
  <c r="S260" i="32"/>
  <c r="S261" i="32"/>
  <c r="S262" i="32"/>
  <c r="S277" i="32"/>
  <c r="S232" i="32"/>
  <c r="Q256" i="32"/>
  <c r="Q258" i="32"/>
  <c r="Q262" i="32"/>
  <c r="Q261" i="32"/>
  <c r="R279" i="32"/>
  <c r="Q246" i="32"/>
  <c r="Q250" i="32"/>
  <c r="S244" i="5" l="1"/>
  <c r="S237" i="16"/>
  <c r="T69" i="17"/>
  <c r="T72" i="17" s="1"/>
  <c r="Q249" i="11"/>
  <c r="Q236" i="1"/>
  <c r="Q256" i="8"/>
  <c r="Q261" i="8"/>
  <c r="Q259" i="8"/>
  <c r="Q212" i="8"/>
  <c r="Q238" i="11"/>
  <c r="S256" i="19"/>
  <c r="S260" i="19"/>
  <c r="S244" i="16"/>
  <c r="Q262" i="10"/>
  <c r="S231" i="6"/>
  <c r="S235" i="6"/>
  <c r="S244" i="18"/>
  <c r="S256" i="18"/>
  <c r="S236" i="14"/>
  <c r="S248" i="14"/>
  <c r="T136" i="4"/>
  <c r="S249" i="5"/>
  <c r="T162" i="5"/>
  <c r="R265" i="6"/>
  <c r="R129" i="7"/>
  <c r="S250" i="16"/>
  <c r="Q250" i="29"/>
  <c r="S237" i="24"/>
  <c r="Q238" i="17"/>
  <c r="Q243" i="15"/>
  <c r="Q231" i="15"/>
  <c r="Q236" i="17"/>
  <c r="R208" i="16"/>
  <c r="Q249" i="15"/>
  <c r="Q212" i="15"/>
  <c r="Q247" i="11"/>
  <c r="S247" i="16"/>
  <c r="Q237" i="15"/>
  <c r="R207" i="19"/>
  <c r="S238" i="16"/>
  <c r="R129" i="18"/>
  <c r="T137" i="11"/>
  <c r="Q213" i="7"/>
  <c r="Q245" i="8"/>
  <c r="Q257" i="8"/>
  <c r="Q255" i="8"/>
  <c r="S257" i="19"/>
  <c r="S261" i="19"/>
  <c r="S245" i="16"/>
  <c r="R218" i="16"/>
  <c r="S232" i="6"/>
  <c r="S236" i="6"/>
  <c r="S246" i="18"/>
  <c r="S258" i="18"/>
  <c r="S238" i="14"/>
  <c r="S250" i="14"/>
  <c r="R265" i="5"/>
  <c r="S248" i="5"/>
  <c r="N72" i="13"/>
  <c r="T177" i="15"/>
  <c r="S249" i="16"/>
  <c r="Q258" i="30"/>
  <c r="Q237" i="17"/>
  <c r="Q232" i="15"/>
  <c r="Q244" i="11"/>
  <c r="S232" i="16"/>
  <c r="R213" i="9"/>
  <c r="Q234" i="17"/>
  <c r="Q248" i="15"/>
  <c r="Q250" i="11"/>
  <c r="S251" i="16"/>
  <c r="T68" i="19"/>
  <c r="T71" i="19" s="1"/>
  <c r="R129" i="17"/>
  <c r="P265" i="1"/>
  <c r="Q260" i="8"/>
  <c r="Q250" i="8"/>
  <c r="Q248" i="8"/>
  <c r="S258" i="19"/>
  <c r="S262" i="19"/>
  <c r="S246" i="16"/>
  <c r="S233" i="6"/>
  <c r="S237" i="6"/>
  <c r="Q177" i="1"/>
  <c r="T163" i="2"/>
  <c r="S245" i="5"/>
  <c r="R216" i="2"/>
  <c r="S248" i="16"/>
  <c r="T96" i="22"/>
  <c r="Q256" i="24"/>
  <c r="Q248" i="29"/>
  <c r="S257" i="20"/>
  <c r="Q257" i="24"/>
  <c r="Q262" i="30"/>
  <c r="R208" i="32"/>
  <c r="Q237" i="33"/>
  <c r="Q234" i="27"/>
  <c r="Q231" i="26"/>
  <c r="S238" i="22"/>
  <c r="T163" i="1"/>
  <c r="Q233" i="1"/>
  <c r="S256" i="30"/>
  <c r="S259" i="30"/>
  <c r="S262" i="30"/>
  <c r="P241" i="32"/>
  <c r="Q244" i="16"/>
  <c r="S261" i="20"/>
  <c r="T165" i="30"/>
  <c r="S257" i="30"/>
  <c r="S260" i="30"/>
  <c r="S263" i="30"/>
  <c r="T178" i="31"/>
  <c r="Q232" i="27"/>
  <c r="S231" i="22"/>
  <c r="Q259" i="9"/>
  <c r="Q261" i="19"/>
  <c r="T96" i="29"/>
  <c r="R101" i="14"/>
  <c r="T96" i="18"/>
  <c r="T100" i="18" s="1"/>
  <c r="Q255" i="19"/>
  <c r="T96" i="19"/>
  <c r="T96" i="31"/>
  <c r="T100" i="31" s="1"/>
  <c r="T188" i="31" s="1"/>
  <c r="Q235" i="30"/>
  <c r="Q232" i="30"/>
  <c r="Q233" i="27"/>
  <c r="Q236" i="30"/>
  <c r="S232" i="27"/>
  <c r="S232" i="22"/>
  <c r="T97" i="14"/>
  <c r="Q244" i="15"/>
  <c r="T96" i="27"/>
  <c r="T100" i="27" s="1"/>
  <c r="S237" i="30"/>
  <c r="Q238" i="26"/>
  <c r="S234" i="22"/>
  <c r="S236" i="22"/>
  <c r="S235" i="22"/>
  <c r="S231" i="10"/>
  <c r="S236" i="10"/>
  <c r="S234" i="10"/>
  <c r="S232" i="10"/>
  <c r="Q231" i="11"/>
  <c r="Q236" i="11"/>
  <c r="Q232" i="11"/>
  <c r="Q213" i="11"/>
  <c r="P266" i="11"/>
  <c r="Q212" i="11"/>
  <c r="Q248" i="11"/>
  <c r="R101" i="13"/>
  <c r="S231" i="14"/>
  <c r="S237" i="14"/>
  <c r="S235" i="14"/>
  <c r="S233" i="14"/>
  <c r="R212" i="14"/>
  <c r="S249" i="14"/>
  <c r="S247" i="14"/>
  <c r="S245" i="14"/>
  <c r="S243" i="14"/>
  <c r="S231" i="15"/>
  <c r="S237" i="15"/>
  <c r="S235" i="15"/>
  <c r="S233" i="15"/>
  <c r="Q213" i="17"/>
  <c r="Q250" i="17"/>
  <c r="T35" i="17"/>
  <c r="S243" i="18"/>
  <c r="S249" i="18"/>
  <c r="S247" i="18"/>
  <c r="S245" i="18"/>
  <c r="R213" i="18"/>
  <c r="R278" i="18"/>
  <c r="R212" i="18"/>
  <c r="S261" i="18"/>
  <c r="S259" i="18"/>
  <c r="S257" i="18"/>
  <c r="S255" i="18"/>
  <c r="S243" i="22"/>
  <c r="S249" i="22"/>
  <c r="S247" i="22"/>
  <c r="S245" i="22"/>
  <c r="R213" i="22"/>
  <c r="R278" i="22"/>
  <c r="R207" i="22"/>
  <c r="R100" i="22"/>
  <c r="R129" i="22" s="1"/>
  <c r="S262" i="24"/>
  <c r="S258" i="24"/>
  <c r="S256" i="24"/>
  <c r="S264" i="27"/>
  <c r="S243" i="2"/>
  <c r="S247" i="2"/>
  <c r="Q231" i="4"/>
  <c r="Q236" i="4"/>
  <c r="Q211" i="4"/>
  <c r="Q248" i="4"/>
  <c r="Q174" i="2"/>
  <c r="Q176" i="2" s="1"/>
  <c r="Q175" i="3" s="1"/>
  <c r="Q177" i="3" s="1"/>
  <c r="T176" i="1"/>
  <c r="R207" i="14"/>
  <c r="N72" i="14"/>
  <c r="Q232" i="16"/>
  <c r="Q238" i="16"/>
  <c r="Q236" i="16"/>
  <c r="Q234" i="16"/>
  <c r="P267" i="17"/>
  <c r="Q256" i="21"/>
  <c r="Q260" i="21"/>
  <c r="T96" i="21"/>
  <c r="R201" i="27"/>
  <c r="S265" i="30"/>
  <c r="T165" i="17"/>
  <c r="T165" i="7"/>
  <c r="R127" i="1"/>
  <c r="R128" i="4"/>
  <c r="T97" i="7"/>
  <c r="T101" i="7" s="1"/>
  <c r="R129" i="9"/>
  <c r="T35" i="13"/>
  <c r="R240" i="20"/>
  <c r="S237" i="20" s="1"/>
  <c r="T100" i="22"/>
  <c r="T185" i="22" s="1"/>
  <c r="R128" i="25"/>
  <c r="T96" i="25"/>
  <c r="T100" i="25" s="1"/>
  <c r="T183" i="25" s="1"/>
  <c r="Q213" i="26"/>
  <c r="Q213" i="28"/>
  <c r="T96" i="28"/>
  <c r="R122" i="29"/>
  <c r="Q245" i="29"/>
  <c r="Q247" i="29"/>
  <c r="R100" i="29"/>
  <c r="T51" i="30"/>
  <c r="R129" i="30"/>
  <c r="Q247" i="30"/>
  <c r="Q260" i="30"/>
  <c r="Q256" i="30"/>
  <c r="T184" i="33"/>
  <c r="T118" i="33"/>
  <c r="T162" i="24"/>
  <c r="T164" i="24" s="1"/>
  <c r="R217" i="24"/>
  <c r="S238" i="20"/>
  <c r="S231" i="20"/>
  <c r="S252" i="28"/>
  <c r="Q232" i="1"/>
  <c r="Q234" i="3"/>
  <c r="Q235" i="6"/>
  <c r="Q233" i="6"/>
  <c r="Q230" i="6"/>
  <c r="Q231" i="6"/>
  <c r="Q259" i="7"/>
  <c r="S246" i="1"/>
  <c r="Q246" i="1"/>
  <c r="Q242" i="1"/>
  <c r="Q210" i="1"/>
  <c r="T96" i="1"/>
  <c r="T99" i="1" s="1"/>
  <c r="T97" i="3"/>
  <c r="T100" i="3" s="1"/>
  <c r="T182" i="3" s="1"/>
  <c r="P266" i="4"/>
  <c r="Q247" i="4"/>
  <c r="S247" i="5"/>
  <c r="S243" i="5"/>
  <c r="S235" i="5"/>
  <c r="Q248" i="7"/>
  <c r="Q244" i="7"/>
  <c r="R101" i="7"/>
  <c r="S246" i="13"/>
  <c r="T69" i="13"/>
  <c r="T72" i="13" s="1"/>
  <c r="T170" i="13" s="1"/>
  <c r="R129" i="14"/>
  <c r="T51" i="14"/>
  <c r="T51" i="15"/>
  <c r="T97" i="16"/>
  <c r="T101" i="16" s="1"/>
  <c r="R202" i="16" s="1"/>
  <c r="Q249" i="17"/>
  <c r="Q245" i="17"/>
  <c r="S260" i="20"/>
  <c r="S256" i="20"/>
  <c r="T36" i="23"/>
  <c r="T35" i="23"/>
  <c r="T43" i="23" s="1"/>
  <c r="R199" i="23" s="1"/>
  <c r="R200" i="23" s="1"/>
  <c r="T96" i="23"/>
  <c r="T51" i="24"/>
  <c r="Q245" i="25"/>
  <c r="S248" i="29"/>
  <c r="Q248" i="30"/>
  <c r="Q236" i="33"/>
  <c r="S265" i="33"/>
  <c r="Q238" i="3"/>
  <c r="Q236" i="6"/>
  <c r="Q261" i="7"/>
  <c r="Q232" i="3"/>
  <c r="Q249" i="1"/>
  <c r="Q245" i="1"/>
  <c r="R127" i="2"/>
  <c r="Q250" i="4"/>
  <c r="Q246" i="4"/>
  <c r="S246" i="5"/>
  <c r="S242" i="5"/>
  <c r="S234" i="5"/>
  <c r="P265" i="6"/>
  <c r="Q247" i="7"/>
  <c r="Q243" i="7"/>
  <c r="Q212" i="7"/>
  <c r="T183" i="7"/>
  <c r="S234" i="9"/>
  <c r="T97" i="9"/>
  <c r="T101" i="9" s="1"/>
  <c r="T183" i="9" s="1"/>
  <c r="T51" i="9"/>
  <c r="T177" i="14"/>
  <c r="Q248" i="17"/>
  <c r="Q244" i="17"/>
  <c r="P240" i="18"/>
  <c r="Q236" i="18" s="1"/>
  <c r="R240" i="18"/>
  <c r="S235" i="18" s="1"/>
  <c r="S259" i="20"/>
  <c r="S255" i="20"/>
  <c r="R240" i="21"/>
  <c r="S238" i="21" s="1"/>
  <c r="P240" i="21"/>
  <c r="Q238" i="21" s="1"/>
  <c r="R100" i="24"/>
  <c r="Q247" i="25"/>
  <c r="R213" i="28"/>
  <c r="R240" i="28"/>
  <c r="S238" i="28" s="1"/>
  <c r="S246" i="29"/>
  <c r="Q245" i="30"/>
  <c r="Q249" i="30"/>
  <c r="Q239" i="33"/>
  <c r="Q235" i="33"/>
  <c r="Q235" i="3"/>
  <c r="Q248" i="1"/>
  <c r="T51" i="2"/>
  <c r="Q249" i="4"/>
  <c r="Q243" i="4"/>
  <c r="T164" i="4"/>
  <c r="T97" i="4"/>
  <c r="T100" i="4" s="1"/>
  <c r="S237" i="5"/>
  <c r="S233" i="5"/>
  <c r="Q250" i="7"/>
  <c r="Q246" i="7"/>
  <c r="T165" i="8"/>
  <c r="T36" i="11"/>
  <c r="Q250" i="15"/>
  <c r="T69" i="16"/>
  <c r="T72" i="16" s="1"/>
  <c r="T171" i="16" s="1"/>
  <c r="Q251" i="17"/>
  <c r="Q247" i="17"/>
  <c r="S262" i="20"/>
  <c r="S258" i="20"/>
  <c r="R128" i="27"/>
  <c r="S244" i="29"/>
  <c r="T52" i="30"/>
  <c r="Q246" i="30"/>
  <c r="Q251" i="30"/>
  <c r="T96" i="32"/>
  <c r="Q232" i="33"/>
  <c r="Q238" i="33"/>
  <c r="Q233" i="32"/>
  <c r="Q239" i="32"/>
  <c r="Q236" i="32"/>
  <c r="Q235" i="32"/>
  <c r="Q237" i="32"/>
  <c r="Q236" i="21"/>
  <c r="Q231" i="21"/>
  <c r="T85" i="17"/>
  <c r="T172" i="17" s="1"/>
  <c r="T171" i="17"/>
  <c r="T52" i="7"/>
  <c r="T137" i="7"/>
  <c r="T69" i="7"/>
  <c r="T72" i="7" s="1"/>
  <c r="T85" i="7" s="1"/>
  <c r="T171" i="7" s="1"/>
  <c r="P72" i="7"/>
  <c r="T69" i="8"/>
  <c r="T72" i="8" s="1"/>
  <c r="P72" i="8"/>
  <c r="S246" i="19"/>
  <c r="R278" i="19"/>
  <c r="R213" i="21"/>
  <c r="R278" i="21"/>
  <c r="R207" i="23"/>
  <c r="N71" i="23"/>
  <c r="S249" i="30"/>
  <c r="S247" i="30"/>
  <c r="S245" i="30"/>
  <c r="S251" i="30"/>
  <c r="S248" i="30"/>
  <c r="S246" i="30"/>
  <c r="S244" i="30"/>
  <c r="P279" i="32"/>
  <c r="Q247" i="32"/>
  <c r="Q233" i="30"/>
  <c r="S255" i="28"/>
  <c r="S258" i="28"/>
  <c r="T164" i="28"/>
  <c r="Q236" i="27"/>
  <c r="S234" i="26"/>
  <c r="S236" i="24"/>
  <c r="S234" i="18"/>
  <c r="S249" i="19"/>
  <c r="T51" i="23"/>
  <c r="R210" i="2"/>
  <c r="S244" i="2"/>
  <c r="S248" i="2"/>
  <c r="S245" i="2"/>
  <c r="S249" i="2"/>
  <c r="S242" i="2"/>
  <c r="S246" i="2"/>
  <c r="R212" i="8"/>
  <c r="S260" i="8"/>
  <c r="S256" i="8"/>
  <c r="S248" i="8"/>
  <c r="S244" i="8"/>
  <c r="R266" i="8"/>
  <c r="S259" i="8"/>
  <c r="S255" i="8"/>
  <c r="S247" i="8"/>
  <c r="S243" i="8"/>
  <c r="S258" i="8"/>
  <c r="S250" i="8"/>
  <c r="S246" i="8"/>
  <c r="Q213" i="18"/>
  <c r="P278" i="18"/>
  <c r="T36" i="18"/>
  <c r="T162" i="20"/>
  <c r="T164" i="20" s="1"/>
  <c r="R217" i="20"/>
  <c r="T177" i="20"/>
  <c r="R121" i="20"/>
  <c r="P240" i="24"/>
  <c r="S250" i="30"/>
  <c r="Q256" i="31"/>
  <c r="Q213" i="31"/>
  <c r="R266" i="3"/>
  <c r="S236" i="3"/>
  <c r="Q243" i="6"/>
  <c r="Q242" i="6"/>
  <c r="Q211" i="6"/>
  <c r="Q246" i="6"/>
  <c r="Q244" i="6"/>
  <c r="Q245" i="6"/>
  <c r="T52" i="9"/>
  <c r="T137" i="9"/>
  <c r="R240" i="19"/>
  <c r="S235" i="19" s="1"/>
  <c r="S250" i="25"/>
  <c r="S247" i="25"/>
  <c r="S244" i="25"/>
  <c r="S243" i="25"/>
  <c r="Q249" i="32"/>
  <c r="Q251" i="32"/>
  <c r="Q244" i="32"/>
  <c r="S256" i="28"/>
  <c r="S261" i="28"/>
  <c r="S257" i="28"/>
  <c r="Q252" i="27"/>
  <c r="Q231" i="27"/>
  <c r="S236" i="26"/>
  <c r="S235" i="24"/>
  <c r="S236" i="18"/>
  <c r="T68" i="23"/>
  <c r="T71" i="23" s="1"/>
  <c r="S245" i="19"/>
  <c r="Q247" i="6"/>
  <c r="T117" i="3"/>
  <c r="T128" i="3" s="1"/>
  <c r="T129" i="3" s="1"/>
  <c r="T186" i="3"/>
  <c r="T184" i="3"/>
  <c r="Q236" i="8"/>
  <c r="Q237" i="8"/>
  <c r="P266" i="8"/>
  <c r="Q231" i="8"/>
  <c r="Q232" i="8"/>
  <c r="Q234" i="8"/>
  <c r="Q247" i="9"/>
  <c r="Q261" i="9"/>
  <c r="Q244" i="9"/>
  <c r="Q249" i="9"/>
  <c r="Q258" i="9"/>
  <c r="Q255" i="9"/>
  <c r="Q248" i="9"/>
  <c r="Q256" i="9"/>
  <c r="Q257" i="9"/>
  <c r="Q246" i="9"/>
  <c r="Q260" i="9"/>
  <c r="Q231" i="10"/>
  <c r="Q234" i="10"/>
  <c r="Q237" i="10"/>
  <c r="Q232" i="10"/>
  <c r="Q238" i="10"/>
  <c r="Q212" i="10"/>
  <c r="Q260" i="10"/>
  <c r="Q256" i="10"/>
  <c r="Q248" i="10"/>
  <c r="Q244" i="10"/>
  <c r="P266" i="10"/>
  <c r="Q259" i="10"/>
  <c r="Q255" i="10"/>
  <c r="Q247" i="10"/>
  <c r="Q243" i="10"/>
  <c r="Q258" i="10"/>
  <c r="Q250" i="10"/>
  <c r="Q246" i="10"/>
  <c r="S231" i="11"/>
  <c r="S238" i="11"/>
  <c r="S234" i="11"/>
  <c r="S237" i="11"/>
  <c r="S233" i="11"/>
  <c r="S236" i="11"/>
  <c r="S232" i="11"/>
  <c r="R212" i="11"/>
  <c r="S250" i="11"/>
  <c r="S246" i="11"/>
  <c r="S249" i="11"/>
  <c r="S245" i="11"/>
  <c r="S248" i="11"/>
  <c r="S244" i="11"/>
  <c r="T43" i="17"/>
  <c r="R200" i="17" s="1"/>
  <c r="R201" i="17" s="1"/>
  <c r="T52" i="17"/>
  <c r="T137" i="17"/>
  <c r="Q259" i="22"/>
  <c r="Q260" i="22"/>
  <c r="Q212" i="22"/>
  <c r="Q261" i="22"/>
  <c r="Q262" i="22"/>
  <c r="Q255" i="22"/>
  <c r="Q256" i="22"/>
  <c r="R201" i="22"/>
  <c r="T183" i="22"/>
  <c r="T117" i="22"/>
  <c r="T128" i="22" s="1"/>
  <c r="T129" i="22" s="1"/>
  <c r="T187" i="22"/>
  <c r="T135" i="2"/>
  <c r="T52" i="2"/>
  <c r="R211" i="4"/>
  <c r="S249" i="4"/>
  <c r="S245" i="4"/>
  <c r="S248" i="4"/>
  <c r="S244" i="4"/>
  <c r="S247" i="4"/>
  <c r="S243" i="4"/>
  <c r="Q245" i="32"/>
  <c r="S248" i="19"/>
  <c r="S232" i="18"/>
  <c r="S233" i="18"/>
  <c r="Q234" i="21"/>
  <c r="S247" i="19"/>
  <c r="N72" i="11"/>
  <c r="S246" i="4"/>
  <c r="T183" i="1"/>
  <c r="T116" i="1"/>
  <c r="T127" i="1" s="1"/>
  <c r="T128" i="1" s="1"/>
  <c r="R128" i="5"/>
  <c r="R206" i="6"/>
  <c r="N72" i="6"/>
  <c r="R213" i="14"/>
  <c r="R266" i="14"/>
  <c r="T35" i="14"/>
  <c r="T43" i="14" s="1"/>
  <c r="R199" i="14" s="1"/>
  <c r="R200" i="14" s="1"/>
  <c r="R122" i="10"/>
  <c r="T177" i="10"/>
  <c r="R216" i="3"/>
  <c r="R217" i="3" s="1"/>
  <c r="R217" i="4" s="1"/>
  <c r="R217" i="5" s="1"/>
  <c r="R217" i="6" s="1"/>
  <c r="R218" i="7" s="1"/>
  <c r="R218" i="8" s="1"/>
  <c r="R218" i="9" s="1"/>
  <c r="R218" i="10" s="1"/>
  <c r="T162" i="3"/>
  <c r="T36" i="15"/>
  <c r="R214" i="17"/>
  <c r="R267" i="17"/>
  <c r="S236" i="20"/>
  <c r="S234" i="20"/>
  <c r="S232" i="20"/>
  <c r="S233" i="20"/>
  <c r="S235" i="20"/>
  <c r="T162" i="21"/>
  <c r="R217" i="21"/>
  <c r="Q255" i="25"/>
  <c r="Q262" i="25"/>
  <c r="Q258" i="25"/>
  <c r="Q260" i="25"/>
  <c r="Q257" i="25"/>
  <c r="Q256" i="25"/>
  <c r="S252" i="14"/>
  <c r="R99" i="1"/>
  <c r="T36" i="3"/>
  <c r="T51" i="6"/>
  <c r="S238" i="9"/>
  <c r="Q247" i="15"/>
  <c r="Q252" i="15" s="1"/>
  <c r="T35" i="28"/>
  <c r="T43" i="28" s="1"/>
  <c r="R199" i="28" s="1"/>
  <c r="R200" i="28" s="1"/>
  <c r="Q245" i="4"/>
  <c r="S232" i="5"/>
  <c r="Q260" i="7"/>
  <c r="T97" i="13"/>
  <c r="R128" i="20"/>
  <c r="S252" i="21"/>
  <c r="R240" i="25"/>
  <c r="R241" i="31"/>
  <c r="T68" i="31"/>
  <c r="T71" i="31" s="1"/>
  <c r="R265" i="2"/>
  <c r="Q244" i="4"/>
  <c r="T97" i="5"/>
  <c r="T100" i="5" s="1"/>
  <c r="R101" i="8"/>
  <c r="R101" i="10"/>
  <c r="Q233" i="11"/>
  <c r="S248" i="13"/>
  <c r="T97" i="15"/>
  <c r="T101" i="15" s="1"/>
  <c r="R201" i="15" s="1"/>
  <c r="T97" i="17"/>
  <c r="T101" i="17" s="1"/>
  <c r="T96" i="20"/>
  <c r="T100" i="20" s="1"/>
  <c r="T187" i="20" s="1"/>
  <c r="T96" i="24"/>
  <c r="T36" i="28"/>
  <c r="S253" i="32"/>
  <c r="S252" i="27"/>
  <c r="S231" i="27"/>
  <c r="Q238" i="27"/>
  <c r="Q237" i="27"/>
  <c r="Q264" i="27"/>
  <c r="Q236" i="26"/>
  <c r="Q233" i="26"/>
  <c r="Q235" i="26"/>
  <c r="S264" i="21"/>
  <c r="S252" i="15"/>
  <c r="S264" i="9"/>
  <c r="T162" i="18"/>
  <c r="T164" i="18" s="1"/>
  <c r="R217" i="18"/>
  <c r="T117" i="18"/>
  <c r="T128" i="18" s="1"/>
  <c r="T129" i="18" s="1"/>
  <c r="T183" i="18"/>
  <c r="R201" i="18"/>
  <c r="T185" i="18"/>
  <c r="T187" i="18"/>
  <c r="Q264" i="10"/>
  <c r="S252" i="8"/>
  <c r="S264" i="8"/>
  <c r="S264" i="18"/>
  <c r="T36" i="1"/>
  <c r="Q231" i="2"/>
  <c r="T183" i="2"/>
  <c r="Q234" i="4"/>
  <c r="R200" i="4"/>
  <c r="T36" i="6"/>
  <c r="T35" i="7"/>
  <c r="T43" i="7" s="1"/>
  <c r="R199" i="7" s="1"/>
  <c r="R200" i="7" s="1"/>
  <c r="Q256" i="7"/>
  <c r="S260" i="7"/>
  <c r="S264" i="7" s="1"/>
  <c r="R129" i="8"/>
  <c r="R101" i="9"/>
  <c r="R130" i="9" s="1"/>
  <c r="T36" i="10"/>
  <c r="T35" i="10"/>
  <c r="T85" i="13"/>
  <c r="T171" i="13" s="1"/>
  <c r="R130" i="14"/>
  <c r="Q239" i="17"/>
  <c r="T100" i="19"/>
  <c r="Q244" i="21"/>
  <c r="T51" i="21"/>
  <c r="T100" i="21"/>
  <c r="R201" i="21" s="1"/>
  <c r="T36" i="24"/>
  <c r="R128" i="24"/>
  <c r="R129" i="24" s="1"/>
  <c r="T35" i="26"/>
  <c r="T43" i="26" s="1"/>
  <c r="R199" i="26" s="1"/>
  <c r="R200" i="26" s="1"/>
  <c r="R128" i="26"/>
  <c r="R100" i="26"/>
  <c r="T96" i="26"/>
  <c r="R100" i="27"/>
  <c r="R129" i="27" s="1"/>
  <c r="T100" i="28"/>
  <c r="R100" i="28"/>
  <c r="R241" i="29"/>
  <c r="T100" i="32"/>
  <c r="T188" i="32" s="1"/>
  <c r="Q239" i="6"/>
  <c r="Q241" i="16"/>
  <c r="S252" i="18"/>
  <c r="S240" i="10"/>
  <c r="S252" i="9"/>
  <c r="T51" i="4"/>
  <c r="T69" i="4"/>
  <c r="T72" i="4" s="1"/>
  <c r="S231" i="5"/>
  <c r="Q236" i="5"/>
  <c r="T35" i="5"/>
  <c r="R100" i="6"/>
  <c r="R129" i="6" s="1"/>
  <c r="R130" i="8"/>
  <c r="R129" i="10"/>
  <c r="R130" i="10" s="1"/>
  <c r="R101" i="11"/>
  <c r="R130" i="11" s="1"/>
  <c r="T101" i="14"/>
  <c r="T51" i="16"/>
  <c r="T165" i="16"/>
  <c r="S244" i="19"/>
  <c r="T164" i="23"/>
  <c r="R100" i="23"/>
  <c r="T100" i="29"/>
  <c r="T35" i="30"/>
  <c r="T43" i="30" s="1"/>
  <c r="R200" i="30" s="1"/>
  <c r="R201" i="30" s="1"/>
  <c r="T36" i="30"/>
  <c r="T137" i="32"/>
  <c r="S234" i="31"/>
  <c r="S239" i="31"/>
  <c r="S235" i="31"/>
  <c r="S237" i="31"/>
  <c r="S233" i="31"/>
  <c r="S236" i="31"/>
  <c r="S238" i="31"/>
  <c r="T187" i="25"/>
  <c r="T69" i="6"/>
  <c r="T72" i="6" s="1"/>
  <c r="T169" i="6" s="1"/>
  <c r="P72" i="6"/>
  <c r="S247" i="31"/>
  <c r="Q265" i="31"/>
  <c r="S232" i="31"/>
  <c r="S233" i="30"/>
  <c r="Q238" i="30"/>
  <c r="Q237" i="30"/>
  <c r="Q240" i="28"/>
  <c r="S233" i="28"/>
  <c r="S235" i="27"/>
  <c r="S234" i="27"/>
  <c r="S233" i="27"/>
  <c r="T183" i="27"/>
  <c r="R201" i="25"/>
  <c r="S233" i="21"/>
  <c r="S236" i="21"/>
  <c r="S232" i="21"/>
  <c r="S231" i="21"/>
  <c r="Q210" i="2"/>
  <c r="Q242" i="2"/>
  <c r="Q244" i="2"/>
  <c r="Q246" i="2"/>
  <c r="Q248" i="2"/>
  <c r="P265" i="2"/>
  <c r="Q243" i="2"/>
  <c r="Q245" i="2"/>
  <c r="Q247" i="2"/>
  <c r="Q249" i="2"/>
  <c r="S237" i="3"/>
  <c r="S235" i="3"/>
  <c r="S234" i="3"/>
  <c r="S233" i="3"/>
  <c r="S238" i="3"/>
  <c r="S232" i="3"/>
  <c r="S231" i="3"/>
  <c r="Q242" i="5"/>
  <c r="Q248" i="5"/>
  <c r="Q246" i="5"/>
  <c r="R200" i="5"/>
  <c r="L85" i="5"/>
  <c r="T43" i="5"/>
  <c r="R198" i="5" s="1"/>
  <c r="R199" i="5" s="1"/>
  <c r="R211" i="6"/>
  <c r="S249" i="6"/>
  <c r="S245" i="6"/>
  <c r="S248" i="6"/>
  <c r="S244" i="6"/>
  <c r="S247" i="6"/>
  <c r="S243" i="6"/>
  <c r="Q246" i="23"/>
  <c r="Q243" i="23"/>
  <c r="Q244" i="23"/>
  <c r="Q248" i="23"/>
  <c r="Q250" i="23"/>
  <c r="Q247" i="23"/>
  <c r="Q245" i="23"/>
  <c r="S235" i="23"/>
  <c r="S231" i="23"/>
  <c r="P240" i="23"/>
  <c r="Q233" i="23" s="1"/>
  <c r="Q257" i="23"/>
  <c r="Q258" i="23"/>
  <c r="P278" i="23"/>
  <c r="Q259" i="23"/>
  <c r="Q260" i="23"/>
  <c r="Q212" i="23"/>
  <c r="Q261" i="23"/>
  <c r="Q262" i="23"/>
  <c r="Q263" i="29"/>
  <c r="Q259" i="29"/>
  <c r="Q262" i="29"/>
  <c r="Q258" i="29"/>
  <c r="Q213" i="29"/>
  <c r="Q261" i="29"/>
  <c r="Q257" i="29"/>
  <c r="Q260" i="29"/>
  <c r="S265" i="32"/>
  <c r="T52" i="6"/>
  <c r="T136" i="6"/>
  <c r="S250" i="31"/>
  <c r="S231" i="28"/>
  <c r="S252" i="26"/>
  <c r="S232" i="23"/>
  <c r="S237" i="23"/>
  <c r="S238" i="23"/>
  <c r="S234" i="23"/>
  <c r="S236" i="23"/>
  <c r="T185" i="20"/>
  <c r="T183" i="20"/>
  <c r="R201" i="20"/>
  <c r="T117" i="20"/>
  <c r="T128" i="20" s="1"/>
  <c r="T129" i="20" s="1"/>
  <c r="S231" i="1"/>
  <c r="S234" i="1"/>
  <c r="S235" i="1"/>
  <c r="S230" i="1"/>
  <c r="S232" i="1"/>
  <c r="S233" i="1"/>
  <c r="S236" i="1"/>
  <c r="T69" i="1"/>
  <c r="T72" i="1" s="1"/>
  <c r="N72" i="1"/>
  <c r="T136" i="3"/>
  <c r="T52" i="3"/>
  <c r="R206" i="3"/>
  <c r="T69" i="3"/>
  <c r="T72" i="3" s="1"/>
  <c r="N72" i="3"/>
  <c r="R199" i="1"/>
  <c r="T181" i="1"/>
  <c r="T185" i="1"/>
  <c r="T35" i="2"/>
  <c r="T43" i="2" s="1"/>
  <c r="R197" i="2" s="1"/>
  <c r="R198" i="2" s="1"/>
  <c r="R200" i="3"/>
  <c r="L85" i="3"/>
  <c r="Q252" i="4"/>
  <c r="T43" i="10"/>
  <c r="R199" i="10" s="1"/>
  <c r="R200" i="10" s="1"/>
  <c r="R207" i="10"/>
  <c r="N72" i="10"/>
  <c r="R217" i="11"/>
  <c r="T163" i="11"/>
  <c r="T165" i="11" s="1"/>
  <c r="T163" i="14"/>
  <c r="T165" i="14" s="1"/>
  <c r="R217" i="14"/>
  <c r="P72" i="14"/>
  <c r="T69" i="14"/>
  <c r="T72" i="14" s="1"/>
  <c r="T183" i="15"/>
  <c r="T187" i="15"/>
  <c r="T118" i="15"/>
  <c r="T129" i="15" s="1"/>
  <c r="T130" i="15" s="1"/>
  <c r="T188" i="16"/>
  <c r="T184" i="16"/>
  <c r="T186" i="16"/>
  <c r="T118" i="16"/>
  <c r="T129" i="16" s="1"/>
  <c r="T130" i="16" s="1"/>
  <c r="Q253" i="17"/>
  <c r="T51" i="17"/>
  <c r="T36" i="17"/>
  <c r="R217" i="19"/>
  <c r="T162" i="19"/>
  <c r="T164" i="19" s="1"/>
  <c r="R201" i="19"/>
  <c r="T185" i="19"/>
  <c r="T183" i="19"/>
  <c r="Q256" i="29"/>
  <c r="T163" i="32"/>
  <c r="T165" i="32" s="1"/>
  <c r="Q253" i="32"/>
  <c r="S246" i="31"/>
  <c r="S234" i="30"/>
  <c r="S232" i="30"/>
  <c r="Q252" i="28"/>
  <c r="Q264" i="26"/>
  <c r="T185" i="25"/>
  <c r="Q238" i="32"/>
  <c r="S234" i="32"/>
  <c r="S244" i="31"/>
  <c r="S249" i="31"/>
  <c r="S245" i="31"/>
  <c r="S239" i="30"/>
  <c r="S238" i="30"/>
  <c r="Q234" i="30"/>
  <c r="Q241" i="30" s="1"/>
  <c r="S237" i="28"/>
  <c r="S236" i="28"/>
  <c r="S235" i="28"/>
  <c r="S236" i="27"/>
  <c r="Q240" i="27"/>
  <c r="Q232" i="26"/>
  <c r="Q234" i="26"/>
  <c r="Q240" i="26" s="1"/>
  <c r="T117" i="25"/>
  <c r="T128" i="25" s="1"/>
  <c r="T129" i="25" s="1"/>
  <c r="T84" i="25"/>
  <c r="T171" i="25" s="1"/>
  <c r="S233" i="23"/>
  <c r="S237" i="1"/>
  <c r="S250" i="3"/>
  <c r="S243" i="3"/>
  <c r="S249" i="3"/>
  <c r="S248" i="3"/>
  <c r="R211" i="3"/>
  <c r="S245" i="3"/>
  <c r="S244" i="3"/>
  <c r="R100" i="5"/>
  <c r="R129" i="5" s="1"/>
  <c r="T184" i="5"/>
  <c r="T117" i="5"/>
  <c r="T128" i="5" s="1"/>
  <c r="T129" i="5" s="1"/>
  <c r="Q238" i="7"/>
  <c r="Q235" i="7"/>
  <c r="Q236" i="7"/>
  <c r="Q234" i="7"/>
  <c r="R201" i="7"/>
  <c r="T185" i="7"/>
  <c r="T118" i="7"/>
  <c r="T129" i="7" s="1"/>
  <c r="T130" i="7" s="1"/>
  <c r="T187" i="7"/>
  <c r="T35" i="8"/>
  <c r="T43" i="8" s="1"/>
  <c r="R199" i="8" s="1"/>
  <c r="R200" i="8" s="1"/>
  <c r="T36" i="8"/>
  <c r="R212" i="25"/>
  <c r="S261" i="25"/>
  <c r="S260" i="25"/>
  <c r="S258" i="25"/>
  <c r="S256" i="25"/>
  <c r="S262" i="25"/>
  <c r="S255" i="25"/>
  <c r="S257" i="25"/>
  <c r="Q252" i="24"/>
  <c r="S252" i="24"/>
  <c r="Q240" i="11"/>
  <c r="S240" i="13"/>
  <c r="S240" i="11"/>
  <c r="Q252" i="10"/>
  <c r="S241" i="17"/>
  <c r="S253" i="17"/>
  <c r="T51" i="3"/>
  <c r="Q238" i="4"/>
  <c r="Q232" i="4"/>
  <c r="T164" i="5"/>
  <c r="T164" i="6"/>
  <c r="R207" i="15"/>
  <c r="N72" i="15"/>
  <c r="T69" i="15"/>
  <c r="T72" i="15" s="1"/>
  <c r="T85" i="16"/>
  <c r="T172" i="16" s="1"/>
  <c r="N71" i="20"/>
  <c r="R207" i="20"/>
  <c r="Q274" i="30"/>
  <c r="Q277" i="30" s="1"/>
  <c r="Q214" i="30"/>
  <c r="T35" i="32"/>
  <c r="T43" i="32" s="1"/>
  <c r="R200" i="32" s="1"/>
  <c r="R201" i="32" s="1"/>
  <c r="Q265" i="33"/>
  <c r="S252" i="13"/>
  <c r="Q264" i="18"/>
  <c r="S240" i="15"/>
  <c r="S239" i="6"/>
  <c r="S252" i="20"/>
  <c r="R265" i="1"/>
  <c r="Q236" i="2"/>
  <c r="T36" i="2"/>
  <c r="T35" i="3"/>
  <c r="T43" i="3" s="1"/>
  <c r="R198" i="3" s="1"/>
  <c r="R199" i="3" s="1"/>
  <c r="Q237" i="4"/>
  <c r="T36" i="4"/>
  <c r="T35" i="4"/>
  <c r="T43" i="4" s="1"/>
  <c r="R198" i="4" s="1"/>
  <c r="R199" i="4" s="1"/>
  <c r="Q247" i="8"/>
  <c r="Q252" i="8" s="1"/>
  <c r="Q258" i="8"/>
  <c r="Q264" i="8" s="1"/>
  <c r="T177" i="13"/>
  <c r="R122" i="13"/>
  <c r="T35" i="19"/>
  <c r="T43" i="19" s="1"/>
  <c r="R199" i="19" s="1"/>
  <c r="R200" i="19" s="1"/>
  <c r="Q260" i="20"/>
  <c r="Q255" i="20"/>
  <c r="Q262" i="28"/>
  <c r="Q264" i="28" s="1"/>
  <c r="Q212" i="28"/>
  <c r="Q253" i="16"/>
  <c r="Q252" i="20"/>
  <c r="S240" i="8"/>
  <c r="S252" i="7"/>
  <c r="Q264" i="22"/>
  <c r="Q251" i="6"/>
  <c r="S252" i="22"/>
  <c r="S264" i="19"/>
  <c r="Q264" i="7"/>
  <c r="S240" i="7"/>
  <c r="Q230" i="2"/>
  <c r="R128" i="3"/>
  <c r="R100" i="3"/>
  <c r="R100" i="4"/>
  <c r="R129" i="4" s="1"/>
  <c r="S239" i="5"/>
  <c r="T51" i="5"/>
  <c r="R207" i="8"/>
  <c r="N72" i="8"/>
  <c r="T69" i="9"/>
  <c r="T72" i="9" s="1"/>
  <c r="Q231" i="14"/>
  <c r="Q234" i="14"/>
  <c r="Q235" i="14"/>
  <c r="T36" i="14"/>
  <c r="S233" i="16"/>
  <c r="S241" i="16" s="1"/>
  <c r="S235" i="16"/>
  <c r="R212" i="22"/>
  <c r="S256" i="22"/>
  <c r="S261" i="22"/>
  <c r="S257" i="22"/>
  <c r="S262" i="22"/>
  <c r="S258" i="22"/>
  <c r="Q213" i="24"/>
  <c r="P278" i="24"/>
  <c r="T100" i="24"/>
  <c r="Q253" i="29"/>
  <c r="S262" i="31"/>
  <c r="S263" i="31"/>
  <c r="T178" i="32"/>
  <c r="R122" i="32"/>
  <c r="R129" i="32" s="1"/>
  <c r="T97" i="6"/>
  <c r="T100" i="6" s="1"/>
  <c r="T51" i="7"/>
  <c r="T51" i="8"/>
  <c r="T97" i="10"/>
  <c r="T101" i="10" s="1"/>
  <c r="Q243" i="11"/>
  <c r="Q252" i="11" s="1"/>
  <c r="T97" i="11"/>
  <c r="T101" i="11" s="1"/>
  <c r="T185" i="11" s="1"/>
  <c r="R101" i="15"/>
  <c r="R101" i="17"/>
  <c r="R130" i="17" s="1"/>
  <c r="T35" i="18"/>
  <c r="T43" i="18" s="1"/>
  <c r="R199" i="18" s="1"/>
  <c r="R200" i="18" s="1"/>
  <c r="T51" i="19"/>
  <c r="T164" i="22"/>
  <c r="S248" i="23"/>
  <c r="R128" i="23"/>
  <c r="R129" i="23" s="1"/>
  <c r="S245" i="25"/>
  <c r="S249" i="25"/>
  <c r="T51" i="27"/>
  <c r="R100" i="32"/>
  <c r="R130" i="7"/>
  <c r="T97" i="8"/>
  <c r="T101" i="8" s="1"/>
  <c r="R201" i="8" s="1"/>
  <c r="T36" i="9"/>
  <c r="Q233" i="10"/>
  <c r="Q240" i="10" s="1"/>
  <c r="T51" i="11"/>
  <c r="R129" i="13"/>
  <c r="R130" i="13" s="1"/>
  <c r="S250" i="19"/>
  <c r="S252" i="19" s="1"/>
  <c r="R100" i="20"/>
  <c r="R129" i="20" s="1"/>
  <c r="S246" i="23"/>
  <c r="T35" i="25"/>
  <c r="T43" i="25" s="1"/>
  <c r="R199" i="25" s="1"/>
  <c r="R200" i="25" s="1"/>
  <c r="P240" i="25"/>
  <c r="T100" i="26"/>
  <c r="T51" i="28"/>
  <c r="P241" i="29"/>
  <c r="Q257" i="30"/>
  <c r="Q259" i="30"/>
  <c r="Q261" i="30"/>
  <c r="T51" i="13"/>
  <c r="R129" i="15"/>
  <c r="T185" i="15"/>
  <c r="R100" i="19"/>
  <c r="R128" i="21"/>
  <c r="R129" i="21" s="1"/>
  <c r="R100" i="25"/>
  <c r="R129" i="25" s="1"/>
  <c r="T51" i="26"/>
  <c r="R128" i="28"/>
  <c r="R129" i="28" s="1"/>
  <c r="T35" i="29"/>
  <c r="T43" i="29" s="1"/>
  <c r="R200" i="29" s="1"/>
  <c r="R201" i="29" s="1"/>
  <c r="R129" i="29"/>
  <c r="R130" i="29" s="1"/>
  <c r="S245" i="29"/>
  <c r="S247" i="29"/>
  <c r="S249" i="29"/>
  <c r="R100" i="30"/>
  <c r="R130" i="30" s="1"/>
  <c r="T96" i="30"/>
  <c r="T100" i="30" s="1"/>
  <c r="R100" i="31"/>
  <c r="R129" i="31"/>
  <c r="P241" i="31"/>
  <c r="T170" i="27"/>
  <c r="T84" i="27"/>
  <c r="T171" i="27" s="1"/>
  <c r="T171" i="32"/>
  <c r="T84" i="32"/>
  <c r="T172" i="32" s="1"/>
  <c r="T84" i="30"/>
  <c r="T172" i="30" s="1"/>
  <c r="T171" i="30"/>
  <c r="T170" i="28"/>
  <c r="T84" i="28"/>
  <c r="T171" i="28" s="1"/>
  <c r="Q263" i="32"/>
  <c r="Q213" i="32"/>
  <c r="S233" i="33"/>
  <c r="S234" i="33"/>
  <c r="Q252" i="26"/>
  <c r="Q238" i="22"/>
  <c r="Q233" i="22"/>
  <c r="Q232" i="22"/>
  <c r="Q231" i="22"/>
  <c r="Q237" i="22"/>
  <c r="Q236" i="22"/>
  <c r="Q247" i="3"/>
  <c r="Q249" i="3"/>
  <c r="P266" i="3"/>
  <c r="Q246" i="3"/>
  <c r="Q245" i="3"/>
  <c r="Q243" i="3"/>
  <c r="Q244" i="3"/>
  <c r="Q231" i="13"/>
  <c r="Q235" i="13"/>
  <c r="Q237" i="13"/>
  <c r="Q234" i="13"/>
  <c r="Q238" i="13"/>
  <c r="Q232" i="13"/>
  <c r="Q236" i="13"/>
  <c r="Q212" i="13"/>
  <c r="Q243" i="13"/>
  <c r="Q245" i="13"/>
  <c r="Q250" i="13"/>
  <c r="Q244" i="13"/>
  <c r="Q246" i="13"/>
  <c r="Q249" i="13"/>
  <c r="T36" i="13"/>
  <c r="Q234" i="32"/>
  <c r="S239" i="32"/>
  <c r="Q259" i="32"/>
  <c r="Q257" i="32"/>
  <c r="S237" i="32"/>
  <c r="Q232" i="32"/>
  <c r="T118" i="31"/>
  <c r="T187" i="27"/>
  <c r="T117" i="27"/>
  <c r="T128" i="27" s="1"/>
  <c r="T129" i="27" s="1"/>
  <c r="T185" i="27"/>
  <c r="S240" i="22"/>
  <c r="T170" i="7"/>
  <c r="Q233" i="20"/>
  <c r="Q238" i="20"/>
  <c r="Q236" i="20"/>
  <c r="Q232" i="20"/>
  <c r="Q237" i="20"/>
  <c r="Q234" i="20"/>
  <c r="Q264" i="23"/>
  <c r="Q247" i="13"/>
  <c r="Q240" i="3"/>
  <c r="T170" i="18"/>
  <c r="T84" i="18"/>
  <c r="T171" i="18" s="1"/>
  <c r="Q252" i="19"/>
  <c r="N72" i="2"/>
  <c r="R205" i="2"/>
  <c r="T69" i="2"/>
  <c r="T72" i="2" s="1"/>
  <c r="Q250" i="3"/>
  <c r="N72" i="7"/>
  <c r="T185" i="9"/>
  <c r="T187" i="9"/>
  <c r="T118" i="9"/>
  <c r="T129" i="9" s="1"/>
  <c r="T130" i="9" s="1"/>
  <c r="R201" i="9"/>
  <c r="R212" i="10"/>
  <c r="S245" i="10"/>
  <c r="S249" i="10"/>
  <c r="S257" i="10"/>
  <c r="S261" i="10"/>
  <c r="S246" i="10"/>
  <c r="S250" i="10"/>
  <c r="S258" i="10"/>
  <c r="S243" i="10"/>
  <c r="S247" i="10"/>
  <c r="S255" i="10"/>
  <c r="S259" i="10"/>
  <c r="S244" i="10"/>
  <c r="S248" i="10"/>
  <c r="R266" i="10"/>
  <c r="S256" i="10"/>
  <c r="R201" i="11"/>
  <c r="T183" i="11"/>
  <c r="T187" i="11"/>
  <c r="T118" i="11"/>
  <c r="T129" i="11" s="1"/>
  <c r="T130" i="11" s="1"/>
  <c r="Q252" i="14"/>
  <c r="T68" i="21"/>
  <c r="T71" i="21" s="1"/>
  <c r="N71" i="21"/>
  <c r="R207" i="21"/>
  <c r="T187" i="21"/>
  <c r="T117" i="21"/>
  <c r="T128" i="21" s="1"/>
  <c r="T129" i="21" s="1"/>
  <c r="T185" i="21"/>
  <c r="T183" i="21"/>
  <c r="Q234" i="22"/>
  <c r="R129" i="3"/>
  <c r="T85" i="4"/>
  <c r="T170" i="4" s="1"/>
  <c r="T169" i="4"/>
  <c r="T182" i="4"/>
  <c r="T186" i="4"/>
  <c r="T117" i="4"/>
  <c r="T128" i="4" s="1"/>
  <c r="T129" i="4" s="1"/>
  <c r="T184" i="4"/>
  <c r="T36" i="5"/>
  <c r="Q252" i="7"/>
  <c r="T137" i="8"/>
  <c r="T52" i="8"/>
  <c r="T187" i="8"/>
  <c r="T118" i="8"/>
  <c r="T129" i="8" s="1"/>
  <c r="T130" i="8" s="1"/>
  <c r="T185" i="8"/>
  <c r="T183" i="8"/>
  <c r="Q264" i="9"/>
  <c r="Q252" i="9"/>
  <c r="Q234" i="9"/>
  <c r="Q238" i="9"/>
  <c r="Q237" i="9"/>
  <c r="P266" i="9"/>
  <c r="Q231" i="9"/>
  <c r="Q232" i="9"/>
  <c r="Q235" i="9"/>
  <c r="Q236" i="9"/>
  <c r="T35" i="11"/>
  <c r="T43" i="11" s="1"/>
  <c r="R199" i="11" s="1"/>
  <c r="R200" i="11" s="1"/>
  <c r="T69" i="11"/>
  <c r="T72" i="11" s="1"/>
  <c r="P72" i="11"/>
  <c r="T84" i="24"/>
  <c r="T171" i="24" s="1"/>
  <c r="T170" i="24"/>
  <c r="T170" i="19"/>
  <c r="T84" i="19"/>
  <c r="T171" i="19" s="1"/>
  <c r="S235" i="32"/>
  <c r="R202" i="31"/>
  <c r="T186" i="31"/>
  <c r="Q237" i="18"/>
  <c r="Q235" i="18"/>
  <c r="Q232" i="18"/>
  <c r="Q234" i="18"/>
  <c r="Q231" i="18"/>
  <c r="Q238" i="18"/>
  <c r="Q233" i="18"/>
  <c r="T69" i="10"/>
  <c r="T72" i="10" s="1"/>
  <c r="T169" i="3"/>
  <c r="T85" i="3"/>
  <c r="T170" i="3" s="1"/>
  <c r="S238" i="32"/>
  <c r="Q260" i="32"/>
  <c r="S236" i="32"/>
  <c r="T184" i="31"/>
  <c r="S236" i="30"/>
  <c r="S232" i="28"/>
  <c r="S237" i="27"/>
  <c r="S232" i="26"/>
  <c r="S233" i="26"/>
  <c r="S237" i="26"/>
  <c r="S238" i="26"/>
  <c r="S232" i="24"/>
  <c r="S234" i="24"/>
  <c r="S238" i="24"/>
  <c r="S231" i="24"/>
  <c r="Q231" i="20"/>
  <c r="T170" i="23"/>
  <c r="T84" i="23"/>
  <c r="T171" i="23" s="1"/>
  <c r="Q238" i="23"/>
  <c r="Q235" i="23"/>
  <c r="Q234" i="23"/>
  <c r="Q236" i="23"/>
  <c r="Q237" i="23"/>
  <c r="Q232" i="23"/>
  <c r="Q231" i="23"/>
  <c r="Q264" i="21"/>
  <c r="Q264" i="19"/>
  <c r="Q248" i="13"/>
  <c r="T185" i="2"/>
  <c r="T181" i="2"/>
  <c r="T116" i="2"/>
  <c r="T127" i="2" s="1"/>
  <c r="T128" i="2" s="1"/>
  <c r="R199" i="2"/>
  <c r="Q248" i="3"/>
  <c r="Q252" i="18"/>
  <c r="S253" i="16"/>
  <c r="S252" i="4"/>
  <c r="Q251" i="1"/>
  <c r="R194" i="1"/>
  <c r="R195" i="1" s="1"/>
  <c r="R197" i="1"/>
  <c r="R198" i="1" s="1"/>
  <c r="T51" i="1"/>
  <c r="S232" i="4"/>
  <c r="S235" i="4"/>
  <c r="S231" i="4"/>
  <c r="S237" i="4"/>
  <c r="S233" i="4"/>
  <c r="S238" i="4"/>
  <c r="S234" i="4"/>
  <c r="R266" i="4"/>
  <c r="S236" i="4"/>
  <c r="Q175" i="4"/>
  <c r="S237" i="21"/>
  <c r="S235" i="21"/>
  <c r="S240" i="14"/>
  <c r="R128" i="1"/>
  <c r="R99" i="2"/>
  <c r="R128" i="2" s="1"/>
  <c r="T164" i="3"/>
  <c r="Q211" i="5"/>
  <c r="Q243" i="5"/>
  <c r="Q245" i="5"/>
  <c r="Q247" i="5"/>
  <c r="Q249" i="5"/>
  <c r="P265" i="5"/>
  <c r="T85" i="6"/>
  <c r="T170" i="6" s="1"/>
  <c r="R206" i="5"/>
  <c r="N72" i="5"/>
  <c r="T69" i="5"/>
  <c r="T72" i="5" s="1"/>
  <c r="T35" i="9"/>
  <c r="T43" i="9" s="1"/>
  <c r="R199" i="9" s="1"/>
  <c r="R200" i="9" s="1"/>
  <c r="T51" i="10"/>
  <c r="P266" i="13"/>
  <c r="T43" i="13"/>
  <c r="R199" i="13" s="1"/>
  <c r="R200" i="13" s="1"/>
  <c r="R176" i="2"/>
  <c r="T174" i="2"/>
  <c r="S251" i="2"/>
  <c r="Q231" i="5"/>
  <c r="Q237" i="5"/>
  <c r="Q230" i="5"/>
  <c r="Q234" i="5"/>
  <c r="Q232" i="5"/>
  <c r="Q235" i="5"/>
  <c r="T35" i="6"/>
  <c r="T43" i="6" s="1"/>
  <c r="R198" i="6" s="1"/>
  <c r="R199" i="6" s="1"/>
  <c r="Q231" i="7"/>
  <c r="Q237" i="7"/>
  <c r="P266" i="7"/>
  <c r="T36" i="20"/>
  <c r="S262" i="23"/>
  <c r="S258" i="23"/>
  <c r="S260" i="23"/>
  <c r="T36" i="29"/>
  <c r="T51" i="29"/>
  <c r="S234" i="21"/>
  <c r="Q231" i="1"/>
  <c r="Q235" i="1"/>
  <c r="Q237" i="1"/>
  <c r="R210" i="1"/>
  <c r="S247" i="1"/>
  <c r="S244" i="1"/>
  <c r="S248" i="1"/>
  <c r="S242" i="1"/>
  <c r="S245" i="1"/>
  <c r="S249" i="1"/>
  <c r="S230" i="2"/>
  <c r="S231" i="2"/>
  <c r="S234" i="2"/>
  <c r="Q244" i="5"/>
  <c r="Q233" i="7"/>
  <c r="T36" i="7"/>
  <c r="Q233" i="8"/>
  <c r="Q235" i="8"/>
  <c r="T101" i="13"/>
  <c r="T177" i="19"/>
  <c r="R121" i="19"/>
  <c r="R128" i="19" s="1"/>
  <c r="R129" i="19" s="1"/>
  <c r="Q244" i="22"/>
  <c r="Q243" i="22"/>
  <c r="Q246" i="22"/>
  <c r="Q249" i="22"/>
  <c r="R212" i="13"/>
  <c r="Q234" i="15"/>
  <c r="Q238" i="15"/>
  <c r="S263" i="29"/>
  <c r="S261" i="29"/>
  <c r="S259" i="29"/>
  <c r="S257" i="29"/>
  <c r="R213" i="29"/>
  <c r="S262" i="29"/>
  <c r="S260" i="29"/>
  <c r="S258" i="29"/>
  <c r="S256" i="29"/>
  <c r="S236" i="9"/>
  <c r="S240" i="9" s="1"/>
  <c r="R101" i="16"/>
  <c r="P240" i="19"/>
  <c r="Q235" i="19" s="1"/>
  <c r="S264" i="20"/>
  <c r="P71" i="20"/>
  <c r="T68" i="20"/>
  <c r="T71" i="20" s="1"/>
  <c r="T35" i="21"/>
  <c r="T43" i="21" s="1"/>
  <c r="R199" i="21" s="1"/>
  <c r="R200" i="21" s="1"/>
  <c r="T100" i="23"/>
  <c r="S262" i="28"/>
  <c r="S264" i="28" s="1"/>
  <c r="R212" i="28"/>
  <c r="P266" i="15"/>
  <c r="R129" i="16"/>
  <c r="T51" i="18"/>
  <c r="P278" i="20"/>
  <c r="Q212" i="20"/>
  <c r="Q257" i="20"/>
  <c r="Q259" i="20"/>
  <c r="Q261" i="20"/>
  <c r="Q256" i="20"/>
  <c r="Q258" i="20"/>
  <c r="T136" i="20"/>
  <c r="T52" i="20"/>
  <c r="T164" i="21"/>
  <c r="T51" i="22"/>
  <c r="Q235" i="17"/>
  <c r="Q241" i="17" s="1"/>
  <c r="Q246" i="21"/>
  <c r="Q252" i="21" s="1"/>
  <c r="T68" i="22"/>
  <c r="T71" i="22" s="1"/>
  <c r="S244" i="23"/>
  <c r="S262" i="26"/>
  <c r="R212" i="26"/>
  <c r="T35" i="27"/>
  <c r="T43" i="27" s="1"/>
  <c r="R199" i="27" s="1"/>
  <c r="R200" i="27" s="1"/>
  <c r="N71" i="27"/>
  <c r="R207" i="27"/>
  <c r="P279" i="29"/>
  <c r="Q274" i="29"/>
  <c r="Q277" i="29" s="1"/>
  <c r="P71" i="29"/>
  <c r="T68" i="29"/>
  <c r="T71" i="29" s="1"/>
  <c r="S253" i="30"/>
  <c r="T137" i="31"/>
  <c r="T52" i="31"/>
  <c r="T36" i="31"/>
  <c r="Q245" i="31"/>
  <c r="T129" i="31"/>
  <c r="T130" i="31" s="1"/>
  <c r="S250" i="23"/>
  <c r="T35" i="24"/>
  <c r="T43" i="24" s="1"/>
  <c r="R199" i="24" s="1"/>
  <c r="R200" i="24" s="1"/>
  <c r="R212" i="24"/>
  <c r="S261" i="24"/>
  <c r="S259" i="24"/>
  <c r="S257" i="24"/>
  <c r="S255" i="24"/>
  <c r="T36" i="26"/>
  <c r="T35" i="31"/>
  <c r="T43" i="31" s="1"/>
  <c r="R200" i="31" s="1"/>
  <c r="R201" i="31" s="1"/>
  <c r="T51" i="31"/>
  <c r="Q250" i="25"/>
  <c r="Q248" i="25"/>
  <c r="Q246" i="25"/>
  <c r="Q244" i="25"/>
  <c r="S269" i="25"/>
  <c r="S276" i="25" s="1"/>
  <c r="R213" i="25"/>
  <c r="S256" i="26"/>
  <c r="S264" i="26" s="1"/>
  <c r="R279" i="29"/>
  <c r="Q244" i="31"/>
  <c r="Q248" i="31"/>
  <c r="Q251" i="31"/>
  <c r="Q247" i="31"/>
  <c r="Q250" i="31"/>
  <c r="Q246" i="31"/>
  <c r="T36" i="32"/>
  <c r="Q259" i="24"/>
  <c r="Q261" i="24"/>
  <c r="Q255" i="24"/>
  <c r="Q250" i="30"/>
  <c r="Q253" i="30" s="1"/>
  <c r="Q261" i="25"/>
  <c r="Q264" i="25" s="1"/>
  <c r="T129" i="33"/>
  <c r="T130" i="33" s="1"/>
  <c r="Q258" i="24"/>
  <c r="Q260" i="24"/>
  <c r="S248" i="25"/>
  <c r="S252" i="25" s="1"/>
  <c r="Q233" i="33"/>
  <c r="S238" i="33"/>
  <c r="S232" i="33"/>
  <c r="S236" i="33"/>
  <c r="S239" i="33"/>
  <c r="S237" i="33"/>
  <c r="S235" i="33"/>
  <c r="S253" i="33"/>
  <c r="Q241" i="33"/>
  <c r="Q253" i="33"/>
  <c r="Q237" i="21" l="1"/>
  <c r="S234" i="28"/>
  <c r="S240" i="20"/>
  <c r="S241" i="30"/>
  <c r="T186" i="32"/>
  <c r="Q235" i="21"/>
  <c r="Q232" i="21"/>
  <c r="S252" i="11"/>
  <c r="Q233" i="21"/>
  <c r="S251" i="5"/>
  <c r="R129" i="26"/>
  <c r="S238" i="18"/>
  <c r="S231" i="18"/>
  <c r="S237" i="18"/>
  <c r="S231" i="19"/>
  <c r="T118" i="17"/>
  <c r="T129" i="17" s="1"/>
  <c r="T130" i="17" s="1"/>
  <c r="R202" i="17"/>
  <c r="T184" i="17"/>
  <c r="T186" i="17"/>
  <c r="T188" i="17"/>
  <c r="Q240" i="15"/>
  <c r="T182" i="5"/>
  <c r="T186" i="5"/>
  <c r="T170" i="8"/>
  <c r="T85" i="8"/>
  <c r="T171" i="8" s="1"/>
  <c r="S265" i="31"/>
  <c r="S264" i="25"/>
  <c r="S233" i="25"/>
  <c r="S234" i="25"/>
  <c r="S231" i="25"/>
  <c r="S235" i="25"/>
  <c r="S236" i="25"/>
  <c r="S237" i="25"/>
  <c r="S238" i="25"/>
  <c r="S232" i="25"/>
  <c r="S234" i="19"/>
  <c r="S236" i="19"/>
  <c r="S233" i="19"/>
  <c r="S238" i="19"/>
  <c r="S232" i="19"/>
  <c r="S237" i="19"/>
  <c r="Q239" i="2"/>
  <c r="T171" i="31"/>
  <c r="T84" i="31"/>
  <c r="T172" i="31" s="1"/>
  <c r="Q235" i="24"/>
  <c r="Q232" i="24"/>
  <c r="Q236" i="24"/>
  <c r="Q234" i="24"/>
  <c r="Q233" i="24"/>
  <c r="Q237" i="24"/>
  <c r="Q231" i="24"/>
  <c r="Q238" i="24"/>
  <c r="R130" i="32"/>
  <c r="Q252" i="23"/>
  <c r="S251" i="6"/>
  <c r="S240" i="3"/>
  <c r="T118" i="29"/>
  <c r="T129" i="29" s="1"/>
  <c r="T130" i="29" s="1"/>
  <c r="T186" i="29"/>
  <c r="T184" i="29"/>
  <c r="R202" i="29"/>
  <c r="T188" i="29"/>
  <c r="T183" i="14"/>
  <c r="T185" i="14"/>
  <c r="R201" i="14"/>
  <c r="T187" i="14"/>
  <c r="T118" i="14"/>
  <c r="T129" i="14" s="1"/>
  <c r="T130" i="14" s="1"/>
  <c r="S233" i="29"/>
  <c r="S235" i="29"/>
  <c r="S237" i="29"/>
  <c r="S239" i="29"/>
  <c r="S232" i="29"/>
  <c r="S234" i="29"/>
  <c r="S236" i="29"/>
  <c r="S238" i="29"/>
  <c r="T183" i="28"/>
  <c r="R201" i="28"/>
  <c r="T117" i="28"/>
  <c r="T128" i="28" s="1"/>
  <c r="T129" i="28" s="1"/>
  <c r="T187" i="28"/>
  <c r="T185" i="28"/>
  <c r="Q265" i="32"/>
  <c r="Q265" i="30"/>
  <c r="Q240" i="14"/>
  <c r="Q240" i="4"/>
  <c r="S252" i="3"/>
  <c r="S240" i="23"/>
  <c r="T118" i="32"/>
  <c r="T129" i="32" s="1"/>
  <c r="T130" i="32" s="1"/>
  <c r="T184" i="32"/>
  <c r="R202" i="32"/>
  <c r="T187" i="19"/>
  <c r="T117" i="19"/>
  <c r="T128" i="19" s="1"/>
  <c r="T129" i="19" s="1"/>
  <c r="Q235" i="29"/>
  <c r="Q239" i="29"/>
  <c r="Q232" i="29"/>
  <c r="Q234" i="29"/>
  <c r="Q236" i="29"/>
  <c r="Q233" i="29"/>
  <c r="Q237" i="29"/>
  <c r="Q238" i="29"/>
  <c r="R201" i="10"/>
  <c r="T185" i="10"/>
  <c r="T187" i="10"/>
  <c r="T118" i="10"/>
  <c r="T129" i="10" s="1"/>
  <c r="T130" i="10" s="1"/>
  <c r="T183" i="10"/>
  <c r="T170" i="9"/>
  <c r="T85" i="9"/>
  <c r="T171" i="9" s="1"/>
  <c r="S239" i="1"/>
  <c r="S240" i="24"/>
  <c r="S240" i="26"/>
  <c r="S264" i="10"/>
  <c r="R130" i="31"/>
  <c r="R130" i="15"/>
  <c r="T117" i="24"/>
  <c r="T128" i="24" s="1"/>
  <c r="T185" i="24"/>
  <c r="T129" i="24"/>
  <c r="T187" i="24"/>
  <c r="T183" i="24"/>
  <c r="R201" i="24"/>
  <c r="Q265" i="29"/>
  <c r="Q240" i="7"/>
  <c r="S264" i="22"/>
  <c r="S265" i="29"/>
  <c r="Q239" i="1"/>
  <c r="S240" i="27"/>
  <c r="S241" i="32"/>
  <c r="T184" i="30"/>
  <c r="T186" i="30"/>
  <c r="T118" i="30"/>
  <c r="T129" i="30" s="1"/>
  <c r="T130" i="30" s="1"/>
  <c r="R202" i="30"/>
  <c r="T188" i="30"/>
  <c r="S253" i="29"/>
  <c r="R201" i="26"/>
  <c r="T183" i="26"/>
  <c r="T187" i="26"/>
  <c r="T185" i="26"/>
  <c r="T117" i="26"/>
  <c r="T128" i="26" s="1"/>
  <c r="T129" i="26" s="1"/>
  <c r="T85" i="1"/>
  <c r="T169" i="1" s="1"/>
  <c r="T168" i="1"/>
  <c r="R218" i="11"/>
  <c r="R218" i="13" s="1"/>
  <c r="R218" i="14" s="1"/>
  <c r="R218" i="15" s="1"/>
  <c r="R219" i="16" s="1"/>
  <c r="R219" i="17" s="1"/>
  <c r="R218" i="18" s="1"/>
  <c r="R218" i="19" s="1"/>
  <c r="R218" i="20" s="1"/>
  <c r="R218" i="21" s="1"/>
  <c r="R218" i="22" s="1"/>
  <c r="R218" i="23" s="1"/>
  <c r="R218" i="24" s="1"/>
  <c r="R218" i="25" s="1"/>
  <c r="R218" i="26" s="1"/>
  <c r="R218" i="27" s="1"/>
  <c r="R218" i="28" s="1"/>
  <c r="R219" i="29" s="1"/>
  <c r="R219" i="30" s="1"/>
  <c r="R219" i="31" s="1"/>
  <c r="R219" i="32" s="1"/>
  <c r="R219" i="33" s="1"/>
  <c r="R219" i="34" s="1"/>
  <c r="R219" i="35" s="1"/>
  <c r="R219" i="36" s="1"/>
  <c r="R219" i="37" s="1"/>
  <c r="R219" i="38" s="1"/>
  <c r="R219" i="39" s="1"/>
  <c r="R219" i="40" s="1"/>
  <c r="R219" i="41" s="1"/>
  <c r="R219" i="42" s="1"/>
  <c r="R219" i="43" s="1"/>
  <c r="R219" i="44" s="1"/>
  <c r="R218" i="45" s="1"/>
  <c r="R218" i="46" s="1"/>
  <c r="R218" i="47" s="1"/>
  <c r="R218" i="48" s="1"/>
  <c r="R218" i="49" s="1"/>
  <c r="R218" i="50" s="1"/>
  <c r="R218" i="51" s="1"/>
  <c r="R218" i="52" s="1"/>
  <c r="R218" i="53" s="1"/>
  <c r="R218" i="54" s="1"/>
  <c r="R221" i="55" s="1"/>
  <c r="R221" i="56" s="1"/>
  <c r="R221" i="57" s="1"/>
  <c r="R221" i="58" s="1"/>
  <c r="Q264" i="20"/>
  <c r="S240" i="21"/>
  <c r="S264" i="23"/>
  <c r="S240" i="28"/>
  <c r="Q233" i="31"/>
  <c r="Q235" i="31"/>
  <c r="Q239" i="31"/>
  <c r="Q238" i="31"/>
  <c r="Q237" i="31"/>
  <c r="Q236" i="31"/>
  <c r="Q232" i="31"/>
  <c r="Q234" i="31"/>
  <c r="Q233" i="25"/>
  <c r="Q232" i="25"/>
  <c r="Q234" i="25"/>
  <c r="Q235" i="25"/>
  <c r="Q237" i="25"/>
  <c r="Q236" i="25"/>
  <c r="Q231" i="25"/>
  <c r="Q238" i="25"/>
  <c r="T117" i="6"/>
  <c r="T128" i="6" s="1"/>
  <c r="T129" i="6" s="1"/>
  <c r="T186" i="6"/>
  <c r="R200" i="6"/>
  <c r="T184" i="6"/>
  <c r="T182" i="6"/>
  <c r="T85" i="15"/>
  <c r="T171" i="15" s="1"/>
  <c r="T170" i="15"/>
  <c r="S253" i="31"/>
  <c r="T85" i="14"/>
  <c r="T171" i="14" s="1"/>
  <c r="T170" i="14"/>
  <c r="Q251" i="2"/>
  <c r="S241" i="31"/>
  <c r="T85" i="5"/>
  <c r="T170" i="5" s="1"/>
  <c r="T169" i="5"/>
  <c r="Q251" i="5"/>
  <c r="T84" i="20"/>
  <c r="T171" i="20" s="1"/>
  <c r="T170" i="20"/>
  <c r="Q240" i="8"/>
  <c r="Q239" i="5"/>
  <c r="Q240" i="23"/>
  <c r="T170" i="11"/>
  <c r="T85" i="11"/>
  <c r="T171" i="11" s="1"/>
  <c r="T170" i="21"/>
  <c r="T84" i="21"/>
  <c r="T171" i="21" s="1"/>
  <c r="Q252" i="3"/>
  <c r="Q240" i="22"/>
  <c r="T84" i="22"/>
  <c r="T171" i="22" s="1"/>
  <c r="T170" i="22"/>
  <c r="Q238" i="19"/>
  <c r="Q237" i="19"/>
  <c r="Q236" i="19"/>
  <c r="Q232" i="19"/>
  <c r="Q234" i="19"/>
  <c r="Q231" i="19"/>
  <c r="Q233" i="19"/>
  <c r="Q177" i="4"/>
  <c r="S264" i="24"/>
  <c r="Q252" i="25"/>
  <c r="T84" i="29"/>
  <c r="T172" i="29" s="1"/>
  <c r="T171" i="29"/>
  <c r="R130" i="16"/>
  <c r="Q252" i="22"/>
  <c r="S251" i="1"/>
  <c r="Q240" i="20"/>
  <c r="Q240" i="18"/>
  <c r="Q240" i="9"/>
  <c r="S252" i="10"/>
  <c r="T85" i="2"/>
  <c r="T169" i="2" s="1"/>
  <c r="T168" i="2"/>
  <c r="Q253" i="31"/>
  <c r="Q264" i="24"/>
  <c r="S252" i="23"/>
  <c r="T183" i="23"/>
  <c r="T185" i="23"/>
  <c r="R201" i="23"/>
  <c r="T187" i="23"/>
  <c r="T117" i="23"/>
  <c r="T128" i="23" s="1"/>
  <c r="T129" i="23" s="1"/>
  <c r="T187" i="13"/>
  <c r="T183" i="13"/>
  <c r="T118" i="13"/>
  <c r="T129" i="13" s="1"/>
  <c r="T130" i="13" s="1"/>
  <c r="R201" i="13"/>
  <c r="T185" i="13"/>
  <c r="S239" i="2"/>
  <c r="R175" i="3"/>
  <c r="T176" i="2"/>
  <c r="Q177" i="2"/>
  <c r="S240" i="4"/>
  <c r="T170" i="10"/>
  <c r="T85" i="10"/>
  <c r="T171" i="10" s="1"/>
  <c r="Q241" i="32"/>
  <c r="Q252" i="13"/>
  <c r="Q240" i="13"/>
  <c r="S241" i="33"/>
  <c r="Q240" i="21" l="1"/>
  <c r="S240" i="18"/>
  <c r="Q240" i="24"/>
  <c r="S240" i="25"/>
  <c r="S240" i="19"/>
  <c r="S241" i="29"/>
  <c r="Q240" i="25"/>
  <c r="Q241" i="29"/>
  <c r="Q241" i="31"/>
  <c r="R177" i="3"/>
  <c r="T175" i="3"/>
  <c r="Q175" i="5"/>
  <c r="Q240" i="19"/>
  <c r="Q177" i="5" l="1"/>
  <c r="R175" i="4"/>
  <c r="T177" i="3"/>
  <c r="Q178" i="3"/>
  <c r="R177" i="4" l="1"/>
  <c r="T175" i="4"/>
  <c r="Q175" i="6"/>
  <c r="Q177" i="6" l="1"/>
  <c r="R175" i="5"/>
  <c r="T177" i="4"/>
  <c r="Q178" i="4"/>
  <c r="R177" i="5" l="1"/>
  <c r="T175" i="5"/>
  <c r="Q176" i="7"/>
  <c r="Q178" i="7" l="1"/>
  <c r="R175" i="6"/>
  <c r="Q178" i="5"/>
  <c r="T177" i="5"/>
  <c r="R177" i="6" l="1"/>
  <c r="T175" i="6"/>
  <c r="Q176" i="8"/>
  <c r="Q178" i="8" l="1"/>
  <c r="R176" i="7"/>
  <c r="T177" i="6"/>
  <c r="Q178" i="6"/>
  <c r="R178" i="7" l="1"/>
  <c r="T176" i="7"/>
  <c r="Q176" i="9"/>
  <c r="Q178" i="9" l="1"/>
  <c r="R176" i="8"/>
  <c r="T178" i="7"/>
  <c r="Q179" i="7"/>
  <c r="R178" i="8" l="1"/>
  <c r="T176" i="8"/>
  <c r="Q176" i="10"/>
  <c r="Q178" i="10" l="1"/>
  <c r="R176" i="9"/>
  <c r="T178" i="8"/>
  <c r="Q179" i="8"/>
  <c r="R178" i="9" l="1"/>
  <c r="T176" i="9"/>
  <c r="Q176" i="11"/>
  <c r="Q178" i="11" l="1"/>
  <c r="R176" i="10"/>
  <c r="T178" i="9"/>
  <c r="Q179" i="9"/>
  <c r="R178" i="10" l="1"/>
  <c r="T176" i="10"/>
  <c r="Q176" i="13"/>
  <c r="Q178" i="13" l="1"/>
  <c r="R176" i="11"/>
  <c r="T178" i="10"/>
  <c r="Q179" i="10"/>
  <c r="R178" i="11" l="1"/>
  <c r="T176" i="11"/>
  <c r="Q176" i="14"/>
  <c r="Q178" i="14" l="1"/>
  <c r="R176" i="13"/>
  <c r="T178" i="11"/>
  <c r="Q179" i="11"/>
  <c r="R178" i="13" l="1"/>
  <c r="T176" i="13"/>
  <c r="Q176" i="15"/>
  <c r="Q178" i="15" l="1"/>
  <c r="R176" i="14"/>
  <c r="Q179" i="13"/>
  <c r="T178" i="13"/>
  <c r="Q177" i="16" l="1"/>
  <c r="R178" i="14"/>
  <c r="T176" i="14"/>
  <c r="Q179" i="16" l="1"/>
  <c r="R176" i="15"/>
  <c r="Q179" i="14"/>
  <c r="T178" i="14"/>
  <c r="R178" i="15" l="1"/>
  <c r="T176" i="15"/>
  <c r="Q177" i="17"/>
  <c r="Q179" i="17" l="1"/>
  <c r="R177" i="16"/>
  <c r="T178" i="15"/>
  <c r="Q179" i="15"/>
  <c r="Q176" i="18" l="1"/>
  <c r="R179" i="16"/>
  <c r="T177" i="16"/>
  <c r="Q178" i="18" l="1"/>
  <c r="R177" i="17"/>
  <c r="Q180" i="16"/>
  <c r="T179" i="16"/>
  <c r="Q176" i="19" l="1"/>
  <c r="R179" i="17"/>
  <c r="T177" i="17"/>
  <c r="R176" i="18" l="1"/>
  <c r="T179" i="17"/>
  <c r="Q180" i="17"/>
  <c r="Q178" i="19"/>
  <c r="Q176" i="20" l="1"/>
  <c r="R178" i="18"/>
  <c r="T176" i="18"/>
  <c r="R176" i="19" l="1"/>
  <c r="T178" i="18"/>
  <c r="Q179" i="18"/>
  <c r="Q178" i="20"/>
  <c r="Q176" i="21" l="1"/>
  <c r="R178" i="19"/>
  <c r="T176" i="19"/>
  <c r="R176" i="20" l="1"/>
  <c r="T178" i="19"/>
  <c r="Q179" i="19"/>
  <c r="Q178" i="21"/>
  <c r="Q176" i="22" l="1"/>
  <c r="R178" i="20"/>
  <c r="T176" i="20"/>
  <c r="R176" i="21" l="1"/>
  <c r="Q179" i="20"/>
  <c r="T178" i="20"/>
  <c r="Q178" i="22"/>
  <c r="Q176" i="23" l="1"/>
  <c r="R178" i="21"/>
  <c r="T176" i="21"/>
  <c r="R176" i="22" l="1"/>
  <c r="Q179" i="21"/>
  <c r="T178" i="21"/>
  <c r="Q178" i="23"/>
  <c r="Q176" i="24" l="1"/>
  <c r="R178" i="22"/>
  <c r="T176" i="22"/>
  <c r="R176" i="23" l="1"/>
  <c r="Q179" i="22"/>
  <c r="T178" i="22"/>
  <c r="Q178" i="24"/>
  <c r="Q176" i="25" l="1"/>
  <c r="R178" i="23"/>
  <c r="T176" i="23"/>
  <c r="R176" i="24" l="1"/>
  <c r="T178" i="23"/>
  <c r="Q179" i="23"/>
  <c r="Q178" i="25"/>
  <c r="Q176" i="26" l="1"/>
  <c r="R178" i="24"/>
  <c r="T176" i="24"/>
  <c r="R176" i="25" l="1"/>
  <c r="T178" i="24"/>
  <c r="Q179" i="24"/>
  <c r="Q178" i="26"/>
  <c r="Q176" i="27" l="1"/>
  <c r="R178" i="25"/>
  <c r="T176" i="25"/>
  <c r="R176" i="26" l="1"/>
  <c r="T178" i="25"/>
  <c r="Q179" i="25"/>
  <c r="Q178" i="27"/>
  <c r="Q176" i="28" l="1"/>
  <c r="R178" i="26"/>
  <c r="T176" i="26"/>
  <c r="R176" i="27" l="1"/>
  <c r="T178" i="26"/>
  <c r="Q179" i="26"/>
  <c r="Q178" i="28"/>
  <c r="Q177" i="29" l="1"/>
  <c r="R178" i="27"/>
  <c r="T176" i="27"/>
  <c r="R176" i="28" l="1"/>
  <c r="Q179" i="27"/>
  <c r="T178" i="27"/>
  <c r="Q179" i="29"/>
  <c r="Q177" i="30" l="1"/>
  <c r="R178" i="28"/>
  <c r="T176" i="28"/>
  <c r="R177" i="29" l="1"/>
  <c r="Q179" i="28"/>
  <c r="T178" i="28"/>
  <c r="Q179" i="30"/>
  <c r="Q177" i="31" l="1"/>
  <c r="R179" i="29"/>
  <c r="T177" i="29"/>
  <c r="R177" i="30" l="1"/>
  <c r="T179" i="29"/>
  <c r="Q180" i="29"/>
  <c r="Q179" i="31"/>
  <c r="Q177" i="32" l="1"/>
  <c r="R179" i="30"/>
  <c r="T177" i="30"/>
  <c r="R177" i="31" l="1"/>
  <c r="Q180" i="30"/>
  <c r="T179" i="30"/>
  <c r="Q179" i="32"/>
  <c r="Q177" i="33" l="1"/>
  <c r="R179" i="31"/>
  <c r="T177" i="31"/>
  <c r="R177" i="32" l="1"/>
  <c r="T179" i="31"/>
  <c r="Q180" i="31"/>
  <c r="Q179" i="33"/>
  <c r="Q177" i="34" l="1"/>
  <c r="R179" i="32"/>
  <c r="T177" i="32"/>
  <c r="R177" i="33" l="1"/>
  <c r="Q180" i="32"/>
  <c r="T179" i="32"/>
  <c r="Q179" i="34"/>
  <c r="Q177" i="35" l="1"/>
  <c r="R179" i="33"/>
  <c r="T177" i="33"/>
  <c r="R177" i="34" l="1"/>
  <c r="Q180" i="33"/>
  <c r="T179" i="33"/>
  <c r="Q179" i="35"/>
  <c r="Q177" i="36" l="1"/>
  <c r="R179" i="34"/>
  <c r="T177" i="34"/>
  <c r="R177" i="35" l="1"/>
  <c r="Q180" i="34"/>
  <c r="T179" i="34"/>
  <c r="Q179" i="36"/>
  <c r="Q177" i="37" l="1"/>
  <c r="R179" i="35"/>
  <c r="T177" i="35"/>
  <c r="R177" i="36" l="1"/>
  <c r="T179" i="35"/>
  <c r="Q180" i="35"/>
  <c r="Q179" i="37"/>
  <c r="Q177" i="38" s="1"/>
  <c r="Q179" i="38" l="1"/>
  <c r="Q177" i="39" s="1"/>
  <c r="R179" i="36"/>
  <c r="T177" i="36"/>
  <c r="Q179" i="39" l="1"/>
  <c r="R177" i="37"/>
  <c r="T179" i="36"/>
  <c r="Q180" i="36"/>
  <c r="Q177" i="40" l="1"/>
  <c r="R179" i="37"/>
  <c r="R177" i="38" s="1"/>
  <c r="T177" i="37"/>
  <c r="Q179" i="40" l="1"/>
  <c r="R179" i="38"/>
  <c r="R177" i="39" s="1"/>
  <c r="T177" i="38"/>
  <c r="Q180" i="37"/>
  <c r="T179" i="37"/>
  <c r="Q177" i="41" l="1"/>
  <c r="R179" i="39"/>
  <c r="T177" i="39"/>
  <c r="Q180" i="38"/>
  <c r="T179" i="38"/>
  <c r="R177" i="40" l="1"/>
  <c r="Q180" i="39"/>
  <c r="T179" i="39"/>
  <c r="Q179" i="41"/>
  <c r="Q177" i="42" l="1"/>
  <c r="R179" i="40"/>
  <c r="T177" i="40"/>
  <c r="R177" i="41" l="1"/>
  <c r="Q180" i="40"/>
  <c r="T179" i="40"/>
  <c r="Q179" i="42"/>
  <c r="Q177" i="43" l="1"/>
  <c r="R179" i="41"/>
  <c r="T177" i="41"/>
  <c r="R177" i="42" l="1"/>
  <c r="Q180" i="41"/>
  <c r="T179" i="41"/>
  <c r="Q179" i="43"/>
  <c r="Q177" i="44" s="1"/>
  <c r="Q179" i="44" l="1"/>
  <c r="R179" i="42"/>
  <c r="T177" i="42"/>
  <c r="Q176" i="45" l="1"/>
  <c r="R177" i="43"/>
  <c r="Q180" i="42"/>
  <c r="T179" i="42"/>
  <c r="Q178" i="45" l="1"/>
  <c r="R179" i="43"/>
  <c r="R177" i="44" s="1"/>
  <c r="T177" i="43"/>
  <c r="R179" i="44" l="1"/>
  <c r="T177" i="44"/>
  <c r="Q176" i="46"/>
  <c r="T179" i="43"/>
  <c r="Q180" i="43"/>
  <c r="Q178" i="46" l="1"/>
  <c r="R176" i="45"/>
  <c r="Q180" i="44"/>
  <c r="T179" i="44"/>
  <c r="R178" i="45" l="1"/>
  <c r="T176" i="45"/>
  <c r="Q176" i="47"/>
  <c r="Q178" i="47" l="1"/>
  <c r="R176" i="46"/>
  <c r="Q179" i="45"/>
  <c r="T178" i="45"/>
  <c r="R178" i="46" l="1"/>
  <c r="T176" i="46"/>
  <c r="Q176" i="48"/>
  <c r="Q178" i="48" l="1"/>
  <c r="R176" i="47"/>
  <c r="Q179" i="46"/>
  <c r="T178" i="46"/>
  <c r="Q176" i="49" l="1"/>
  <c r="R178" i="47"/>
  <c r="T176" i="47"/>
  <c r="R176" i="48" l="1"/>
  <c r="T178" i="47"/>
  <c r="Q179" i="47"/>
  <c r="Q178" i="49"/>
  <c r="Q176" i="50" l="1"/>
  <c r="R178" i="48"/>
  <c r="T176" i="48"/>
  <c r="R176" i="49" l="1"/>
  <c r="Q179" i="48"/>
  <c r="T178" i="48"/>
  <c r="Q178" i="50"/>
  <c r="Q176" i="51" l="1"/>
  <c r="R178" i="49"/>
  <c r="T176" i="49"/>
  <c r="R176" i="50" l="1"/>
  <c r="Q179" i="49"/>
  <c r="T178" i="49"/>
  <c r="Q178" i="51"/>
  <c r="Q176" i="52" s="1"/>
  <c r="Q178" i="52" l="1"/>
  <c r="Q176" i="53" s="1"/>
  <c r="R178" i="50"/>
  <c r="T176" i="50"/>
  <c r="Q178" i="53" l="1"/>
  <c r="Q176" i="54" s="1"/>
  <c r="R176" i="51"/>
  <c r="T178" i="50"/>
  <c r="Q179" i="50"/>
  <c r="Q178" i="54" l="1"/>
  <c r="Q179" i="55" s="1"/>
  <c r="R178" i="51"/>
  <c r="R176" i="52" s="1"/>
  <c r="T176" i="51"/>
  <c r="Q181" i="55" l="1"/>
  <c r="R178" i="52"/>
  <c r="R176" i="53" s="1"/>
  <c r="T176" i="52"/>
  <c r="T178" i="51"/>
  <c r="Q179" i="51"/>
  <c r="Q179" i="56" l="1"/>
  <c r="Q181" i="56" s="1"/>
  <c r="R178" i="53"/>
  <c r="R176" i="54" s="1"/>
  <c r="T176" i="53"/>
  <c r="Q179" i="52"/>
  <c r="T178" i="52"/>
  <c r="Q179" i="57" l="1"/>
  <c r="R178" i="54"/>
  <c r="R179" i="55" s="1"/>
  <c r="T176" i="54"/>
  <c r="Q179" i="53"/>
  <c r="T178" i="53"/>
  <c r="R181" i="55" l="1"/>
  <c r="T179" i="55"/>
  <c r="Q181" i="57"/>
  <c r="T178" i="54"/>
  <c r="Q179" i="54"/>
  <c r="Q179" i="58" l="1"/>
  <c r="R179" i="56"/>
  <c r="T181" i="55"/>
  <c r="Q182" i="55"/>
  <c r="Q181" i="58" l="1"/>
  <c r="T179" i="56"/>
  <c r="R181" i="56"/>
  <c r="R179" i="57" l="1"/>
  <c r="Q182" i="56"/>
  <c r="T181" i="56"/>
  <c r="R181" i="57" l="1"/>
  <c r="T179" i="57"/>
  <c r="R179" i="58" l="1"/>
  <c r="Q182" i="57"/>
  <c r="T181" i="57"/>
  <c r="R181" i="58" l="1"/>
  <c r="T179" i="58"/>
  <c r="Q182" i="58" l="1"/>
  <c r="T181" i="58"/>
</calcChain>
</file>

<file path=xl/sharedStrings.xml><?xml version="1.0" encoding="utf-8"?>
<sst xmlns="http://schemas.openxmlformats.org/spreadsheetml/2006/main" count="21956" uniqueCount="410">
  <si>
    <t>Summary Transaction  Features</t>
  </si>
  <si>
    <t>Name of Issuer</t>
  </si>
  <si>
    <t>Originator % at Closing</t>
  </si>
  <si>
    <t xml:space="preserve">Originator % at the Quarter End </t>
  </si>
  <si>
    <t>Date of Issue</t>
  </si>
  <si>
    <t>Date of Production</t>
  </si>
  <si>
    <t>Security Level Data</t>
  </si>
  <si>
    <t>Moody's Rating at Closing</t>
  </si>
  <si>
    <t>Standard &amp; Poor's Rating at Closing</t>
  </si>
  <si>
    <t>Current Moody's Rating</t>
  </si>
  <si>
    <t>ISIN</t>
  </si>
  <si>
    <t xml:space="preserve">Note Interest Margins: </t>
  </si>
  <si>
    <t>Current Note Interest Rates:</t>
  </si>
  <si>
    <t>Previous Note Interest Rates:</t>
  </si>
  <si>
    <t>Optional Redemption (Call) Dates</t>
  </si>
  <si>
    <t>Step-up Dates</t>
  </si>
  <si>
    <t>Record Date</t>
  </si>
  <si>
    <t>Asset Movements</t>
  </si>
  <si>
    <t>Mortgages</t>
  </si>
  <si>
    <t>Current Principal Balance (£'000)</t>
  </si>
  <si>
    <t>Accrued Arrears and Interest Sold to Issuer (£'000)</t>
  </si>
  <si>
    <t>Total (£'000)</t>
  </si>
  <si>
    <t>Consumer Loans</t>
  </si>
  <si>
    <t>Credit Enhancement</t>
  </si>
  <si>
    <t>Spread Trap</t>
  </si>
  <si>
    <t>Unreplenished Losses on Mortgages</t>
  </si>
  <si>
    <t>Outstanding Note Principal</t>
  </si>
  <si>
    <t>Principal/Revenue Analysis</t>
  </si>
  <si>
    <t>Opening cash balance</t>
  </si>
  <si>
    <t xml:space="preserve">Total principal cash received this period from assets </t>
  </si>
  <si>
    <t>Initial income for distribution this period</t>
  </si>
  <si>
    <t>Revenue adjustment for payment of Accrued Arrears and Interest Sold at closing</t>
  </si>
  <si>
    <t>Final income for distribution this period</t>
  </si>
  <si>
    <t>Revenue payments made or accrued from Revenue Income:</t>
  </si>
  <si>
    <t>Accrued Arrears and Interest not Sold to Issuer</t>
  </si>
  <si>
    <t>Third Party payments for Corporation Tax and VAT</t>
  </si>
  <si>
    <t>Termination Fees to Swap Provider</t>
  </si>
  <si>
    <t>Cap/Swap Retention fund</t>
  </si>
  <si>
    <t>Principal payments made from Principal Income:</t>
  </si>
  <si>
    <t>Discretionary Further Advances</t>
  </si>
  <si>
    <t>Total payments to be made this quarter</t>
  </si>
  <si>
    <t>Total closing cash balance</t>
  </si>
  <si>
    <t>Available Credit Enhancement</t>
  </si>
  <si>
    <t>First Loss Fund Analysis</t>
  </si>
  <si>
    <t>First Loss Fund at Closing</t>
  </si>
  <si>
    <t>Last Quarter closing First Loss Fund balance</t>
  </si>
  <si>
    <t>PDL Replenishment</t>
  </si>
  <si>
    <t>Closing First Loss Fund Balance</t>
  </si>
  <si>
    <t>Requirement</t>
  </si>
  <si>
    <t>Build up - prior periods</t>
  </si>
  <si>
    <t>Build up - this period</t>
  </si>
  <si>
    <t>Requirement Outstanding</t>
  </si>
  <si>
    <t>Principal Deficiency Ledger (PDL)</t>
  </si>
  <si>
    <t>Opening PDL Balance</t>
  </si>
  <si>
    <t>Losses this quarter</t>
  </si>
  <si>
    <t>Total PDL balance</t>
  </si>
  <si>
    <t>Closing PDL Balance</t>
  </si>
  <si>
    <t>Over Collateralisation</t>
  </si>
  <si>
    <t>Current Principal Balance Outstanding and Accrued Arrears (£'000)</t>
  </si>
  <si>
    <t>Outstanding Note Principal (£'000)</t>
  </si>
  <si>
    <t>Mandatory and Discretionary Further Advances (FA's)</t>
  </si>
  <si>
    <t>Total FA's permitted</t>
  </si>
  <si>
    <t>FA's made to last quarter</t>
  </si>
  <si>
    <t>FA's made this quarter</t>
  </si>
  <si>
    <t>Total FA's made to date</t>
  </si>
  <si>
    <t>Remaining permitted FA's</t>
  </si>
  <si>
    <t xml:space="preserve">Cash Flow Interest Coverage </t>
  </si>
  <si>
    <t>Cover Ratio for Class A Notes (at last Interest Payment Date)</t>
  </si>
  <si>
    <t xml:space="preserve">Cover Ratio for Class A Notes (cumulative) </t>
  </si>
  <si>
    <t>Cover Ratio for Class B Notes (at last Interest Payment Date)</t>
  </si>
  <si>
    <t xml:space="preserve">Cover Ratio for Class B Notes (cumulative) </t>
  </si>
  <si>
    <t>Collateral Level Data</t>
  </si>
  <si>
    <t>Original Weighted Average Yield</t>
  </si>
  <si>
    <t>Original Spread</t>
  </si>
  <si>
    <t>Current Weighted Average Yield</t>
  </si>
  <si>
    <t>Current Spread</t>
  </si>
  <si>
    <t>Original Weighted Average Maturity</t>
  </si>
  <si>
    <t>Current Weighted Average Maturity</t>
  </si>
  <si>
    <t>Quarterly Prepayment Rate</t>
  </si>
  <si>
    <t>Life Time Prepayment Rate</t>
  </si>
  <si>
    <t>Delinquency Status</t>
  </si>
  <si>
    <t>Enforcements in Progress</t>
  </si>
  <si>
    <t>Enforcements Completed</t>
  </si>
  <si>
    <t>Aggregate Principal Balance of Repurchased Loans</t>
  </si>
  <si>
    <t>Aggregate Balance of Substituted Loans</t>
  </si>
  <si>
    <t>Principal Losses</t>
  </si>
  <si>
    <t>Agg Loan Principal Losses (during related Collection Period)</t>
  </si>
  <si>
    <t>Cumulative Principal Losses (since closing date)</t>
  </si>
  <si>
    <t>Cumulative Recoveries</t>
  </si>
  <si>
    <t>Average Number of months in Arrears @ Redemption date</t>
  </si>
  <si>
    <t>Average months between Possession &amp; Redemption</t>
  </si>
  <si>
    <t>Performing</t>
  </si>
  <si>
    <t>&gt;1&lt;=2 Months</t>
  </si>
  <si>
    <t>&gt;2&lt;=3 Months</t>
  </si>
  <si>
    <t>Contact Name/Address</t>
  </si>
  <si>
    <t>John Harvey, St. Catherines Court, Herbert Road, Solihull, West Midlands, B91 3QE</t>
  </si>
  <si>
    <t>Jimmy Giles, St. Catherines Court, Herbert Road, Solihull, West Midlands, B91 3QE</t>
  </si>
  <si>
    <t>As at Closing</t>
  </si>
  <si>
    <t>PDD =</t>
  </si>
  <si>
    <t>Last Quarter Balance</t>
  </si>
  <si>
    <t>Tel.</t>
  </si>
  <si>
    <t>This Quarter Redemptions and Repayments</t>
  </si>
  <si>
    <t>E-mail</t>
  </si>
  <si>
    <t>Additions this quarter</t>
  </si>
  <si>
    <t>DFA's</t>
  </si>
  <si>
    <t>No.</t>
  </si>
  <si>
    <t>%</t>
  </si>
  <si>
    <t>PML</t>
  </si>
  <si>
    <t>Senior/Subordinate</t>
  </si>
  <si>
    <t>Class A Notes</t>
  </si>
  <si>
    <t>Repurchases this quarter</t>
  </si>
  <si>
    <t>Principal (£'000)</t>
  </si>
  <si>
    <t>£'000 Value</t>
  </si>
  <si>
    <t>n/a</t>
  </si>
  <si>
    <t>£'000 Principal</t>
  </si>
  <si>
    <t>=</t>
  </si>
  <si>
    <t>years</t>
  </si>
  <si>
    <t>Quarterly</t>
  </si>
  <si>
    <t>Current Principal Outstanding</t>
  </si>
  <si>
    <t>Revenue (£'000)</t>
  </si>
  <si>
    <t>Total</t>
  </si>
  <si>
    <t>x</t>
  </si>
  <si>
    <t>Payments to Swap Counterparty</t>
  </si>
  <si>
    <t>Pre Funding Reserve</t>
  </si>
  <si>
    <t>N/A</t>
  </si>
  <si>
    <t>Note Step-Up Margins</t>
  </si>
  <si>
    <t>ACTUAL/360</t>
  </si>
  <si>
    <t>Previous Quarterly Interest Period (No. of Days)</t>
  </si>
  <si>
    <t>Current Quarterly Interest Period (No. of Days)</t>
  </si>
  <si>
    <t>A Note Interest / Currency Swap Interest</t>
  </si>
  <si>
    <t>B Note Interest / Currency Swap Interest</t>
  </si>
  <si>
    <t>First Loss Fund Replenishment</t>
  </si>
  <si>
    <t>Surplus income to the Issuer</t>
  </si>
  <si>
    <t>4 (a)</t>
  </si>
  <si>
    <t>4 (b)</t>
  </si>
  <si>
    <t>Replenishments from excess Revenue cash</t>
  </si>
  <si>
    <t>Current Pool Factor</t>
  </si>
  <si>
    <t>Previous Pool Factor</t>
  </si>
  <si>
    <t xml:space="preserve">Previous Outstanding Note Principal </t>
  </si>
  <si>
    <t>Original Issue Amount ('000)</t>
  </si>
  <si>
    <t xml:space="preserve">Current Outstanding Note Principal </t>
  </si>
  <si>
    <t>First Loss Fund Drawings</t>
  </si>
  <si>
    <t>Drawings this quarter to fund</t>
  </si>
  <si>
    <t>N.B. This data fact sheet and its notes can only be a summary of certain features of the bonds and their structure. No representation can be made that the information herein is accurate or complete and no liability is accepted therefor. Reference should be made to the issued</t>
  </si>
  <si>
    <t xml:space="preserve">information herein when making any decision whether to buy, hold or sell bonds (or other securities) or for any other purpose. </t>
  </si>
  <si>
    <t>documentation for a full description of the bonds and their structure. This data fact sheet and its notes are for information purposes only and are not intended as an offer or invitation with respect to the purchase or sale of any security. Reliance should not be placed on the</t>
  </si>
  <si>
    <t>MTL</t>
  </si>
  <si>
    <t>Aaa</t>
  </si>
  <si>
    <t>A2</t>
  </si>
  <si>
    <t>AAA</t>
  </si>
  <si>
    <t>A</t>
  </si>
  <si>
    <t>Appointment of a Receiver of Rent</t>
  </si>
  <si>
    <t>Available Redemption Funds</t>
  </si>
  <si>
    <t>+44 (0) 121 712 2315</t>
  </si>
  <si>
    <t>+44 (0) 121 712 3894</t>
  </si>
  <si>
    <t xml:space="preserve">Junior Administration Fee to PFPLC and MTS </t>
  </si>
  <si>
    <t>4 (c)</t>
  </si>
  <si>
    <t>Original Weighted Average Note Coupon and Currency Swap Rate</t>
  </si>
  <si>
    <t>john.harvey@paragon-group.co.uk</t>
  </si>
  <si>
    <t>jimmy.giles@paragon-group.co.uk</t>
  </si>
  <si>
    <t>ACTUAL/365</t>
  </si>
  <si>
    <t>Facility at Closing</t>
  </si>
  <si>
    <t>Closing Redraw Facility balance</t>
  </si>
  <si>
    <t>&gt;3&lt;=4 Months</t>
  </si>
  <si>
    <t>&gt;4&lt;=5 Months</t>
  </si>
  <si>
    <t>&gt;5&lt;=6 Months</t>
  </si>
  <si>
    <t>&gt;6&lt;=12 Months</t>
  </si>
  <si>
    <t>&gt;12 Months</t>
  </si>
  <si>
    <t>Funding of MTL payment holidays</t>
  </si>
  <si>
    <t>Delinquency Summary (Excluding Receiver of Rent and Possession Cases)</t>
  </si>
  <si>
    <t>Delinquency Summary (For Possession Cases)</t>
  </si>
  <si>
    <t>Total Assets</t>
  </si>
  <si>
    <t>AA</t>
  </si>
  <si>
    <t xml:space="preserve">FOR FURTHER ASSISTANCE ON THE INVESTOR REPORTS, PLEASE REFER TO THE "INVESTOR TERMS" POSTED ON THE PARAGON WEBSITE   </t>
  </si>
  <si>
    <t>http://www.paragon-group.co.uk</t>
  </si>
  <si>
    <t xml:space="preserve">FOR ADDITIONAL INFORMATION ON THE UNDERLYING ASSETS, PLEASE REFER TO THE "POOL TABLES" AND "SUMMARY" SECTIONS POSTED ON THE PARAGON WEBSITE  </t>
  </si>
  <si>
    <t>Class B and C Notes as a percentage Class A Notes at issue</t>
  </si>
  <si>
    <t>Outstanding Class B and C Notes as a percentage of Outstanding Class A Notes</t>
  </si>
  <si>
    <t>Determination Event for Paying Class B and C Notes</t>
  </si>
  <si>
    <t>Drawings used to fund Mandatory Further Advances during the period</t>
  </si>
  <si>
    <t>PML Mandatory Further Advances</t>
  </si>
  <si>
    <t>MTL Mandatory Further Advances</t>
  </si>
  <si>
    <t>C Note Interest / Currency Swap Interest</t>
  </si>
  <si>
    <t>MFA's (PML)</t>
  </si>
  <si>
    <t>Class A1 Notes</t>
  </si>
  <si>
    <t>Class A2a Notes</t>
  </si>
  <si>
    <t>Class A2b Notes</t>
  </si>
  <si>
    <t>Class B1a Notes</t>
  </si>
  <si>
    <t>Class B1b Notes</t>
  </si>
  <si>
    <t>Class C1b Notes</t>
  </si>
  <si>
    <t>Aa2</t>
  </si>
  <si>
    <t>A2a Note Interest</t>
  </si>
  <si>
    <t>B1b Swap Currency Interest</t>
  </si>
  <si>
    <t>B1a Note Interest</t>
  </si>
  <si>
    <t>A1 and A2b Swap Currency Interest</t>
  </si>
  <si>
    <t>C1b Swap Currency repayment</t>
  </si>
  <si>
    <t>B1b Swap Currency repayment</t>
  </si>
  <si>
    <t>B1a Note repayment</t>
  </si>
  <si>
    <t>Fitch Rating at Closing</t>
  </si>
  <si>
    <t>Current Standard &amp; Poor's Rating</t>
  </si>
  <si>
    <t>Current Fitch Rating</t>
  </si>
  <si>
    <t xml:space="preserve"> </t>
  </si>
  <si>
    <t>A2b Swap Currency repayment</t>
  </si>
  <si>
    <t>A2a Note repayment</t>
  </si>
  <si>
    <t>C1b Swap Currency Interest</t>
  </si>
  <si>
    <t>A1 Swap Currency repayment</t>
  </si>
  <si>
    <t>Cover Ratio for Class C Notes (at last Interest Payment Date)</t>
  </si>
  <si>
    <t xml:space="preserve">Cover Ratio for Class C Notes (cumulative) </t>
  </si>
  <si>
    <t>TBA</t>
  </si>
  <si>
    <t>Class A1, A2b, B1b and C1b Interest Calculated on</t>
  </si>
  <si>
    <t>Quarterly Interest Payment Date</t>
  </si>
  <si>
    <t>Class A1 Interest Payment Cycle</t>
  </si>
  <si>
    <t>Monthly</t>
  </si>
  <si>
    <t>Senior Administration Fee to PFPLC and MTS/ Out of pocket expenses/ Substitute Administrators Commitment Fee</t>
  </si>
  <si>
    <t>5 (a)</t>
  </si>
  <si>
    <t>5 (b)</t>
  </si>
  <si>
    <t>6 (a)</t>
  </si>
  <si>
    <t>Stated Maturity - Class A Notes</t>
  </si>
  <si>
    <t>Stated Maturity - Class B Notes</t>
  </si>
  <si>
    <t>Stated Maturity - Class C Notes</t>
  </si>
  <si>
    <t>Redemption Income</t>
  </si>
  <si>
    <t>Investment Income</t>
  </si>
  <si>
    <t>P-1/Aaa</t>
  </si>
  <si>
    <t>A-1+/AAA</t>
  </si>
  <si>
    <t>F1+/AAA</t>
  </si>
  <si>
    <t>Quarterly Interest Income</t>
  </si>
  <si>
    <t>Receiver of Rent Properties Sold</t>
  </si>
  <si>
    <t>Average Number of months in Arrears @ Sale date</t>
  </si>
  <si>
    <t>Paragon Mortgages (No.11) PLC</t>
  </si>
  <si>
    <t>This performance report is issued by Paragon Finance PLC for and on behalf of Paragon Mortgages (No.11) PLC</t>
  </si>
  <si>
    <t>PM11 PLC</t>
  </si>
  <si>
    <t>12 bp</t>
  </si>
  <si>
    <t>24 bp</t>
  </si>
  <si>
    <t>45 bp</t>
  </si>
  <si>
    <t>48 bp</t>
  </si>
  <si>
    <t>90 bp</t>
  </si>
  <si>
    <t>US69911MAA27</t>
  </si>
  <si>
    <t>XS0246900756</t>
  </si>
  <si>
    <t>XS0246902026</t>
  </si>
  <si>
    <t>XS0246902885</t>
  </si>
  <si>
    <t>XS0246904238</t>
  </si>
  <si>
    <t>XS0246905391</t>
  </si>
  <si>
    <t>XS0246905805</t>
  </si>
  <si>
    <t>12.bp</t>
  </si>
  <si>
    <t>26 bp</t>
  </si>
  <si>
    <t>51 bp</t>
  </si>
  <si>
    <t>49 bp</t>
  </si>
  <si>
    <t>98 bp</t>
  </si>
  <si>
    <t>PM11 INVESTOR REPORT QUARTER ENDING JUNE 2006</t>
  </si>
  <si>
    <t>Class A2a and  B1a Interest Calculated on</t>
  </si>
  <si>
    <t>Drawing on the PFPLC/MTS/PM11 Subordinated Loan for Interest Shortfalls</t>
  </si>
  <si>
    <t>Replenishments from drawings on the PM11/PFPLC/MTS Subordinated Loan</t>
  </si>
  <si>
    <t>Minus 1 bp</t>
  </si>
  <si>
    <t>Class A2a, A2b, B1a, B1b,and C1b Interest Payment Cycle</t>
  </si>
  <si>
    <t>Redraw Facilty (Not Applicable to PM11)</t>
  </si>
  <si>
    <t>Trustee Fee/Tender Agent Fees/ Costs and Expenses claimed by the Remarketing Agent and the A1 Conditional Purchasers</t>
  </si>
  <si>
    <t xml:space="preserve"> 1 bp</t>
  </si>
  <si>
    <t>Current Weighted Average Note Coupon and Currency Swap Rate</t>
  </si>
  <si>
    <t>PM11 INVESTOR REPORT QUARTER ENDING SEPTEMBER 2006</t>
  </si>
  <si>
    <t>PM11 INVESTOR REPORT QUARTER ENDING DECEMBER 2006</t>
  </si>
  <si>
    <t>Total Income as a % of the Total Assets</t>
  </si>
  <si>
    <t>Swap Receipts</t>
  </si>
  <si>
    <t>Flexible Drawing Facilty (Not Applicable to PM11)</t>
  </si>
  <si>
    <t>Flexible Drawing Facility at Closing</t>
  </si>
  <si>
    <t>Closing Flexible Drawing Facility balance</t>
  </si>
  <si>
    <t>PM11 INVESTOR REPORT QUARTER ENDING MARCH 2007</t>
  </si>
  <si>
    <t>PM11 INVESTOR REPORT QUARTER ENDING JUNE 2007</t>
  </si>
  <si>
    <t>Delinquency Summary (For Receiver of Rent Cases)</t>
  </si>
  <si>
    <t>Andrew Kitching, St. Catherines Court, Herbert Road, Solihull, West Midlands, B91 3QE</t>
  </si>
  <si>
    <t>+44 (0) 121 712 3896</t>
  </si>
  <si>
    <t>andrew.kitching@paragon-group.co.uk</t>
  </si>
  <si>
    <t>PM11 INVESTOR REPORT QUARTER ENDING SEPTEMBER 2007</t>
  </si>
  <si>
    <t>PM11 INVESTOR REPORT QUARTER ENDING DECEMBER 2007</t>
  </si>
  <si>
    <t>Accrual from Revenue for potential Losses</t>
  </si>
  <si>
    <t>PM11 INVESTOR REPORT QUARTER ENDING MARCH 2008</t>
  </si>
  <si>
    <t>10 bp</t>
  </si>
  <si>
    <t>PM11 INVESTOR REPORT QUARTER ENDING JUNE 2008</t>
  </si>
  <si>
    <t>PM11 INVESTOR REPORT QUARTER ENDING SEPTEMBER 2008</t>
  </si>
  <si>
    <t>PM11 INVESTOR REPORT QUARTER ENDING DECEMBER 2008</t>
  </si>
  <si>
    <t>PM11 INVESTOR REPORT QUARTER ENDING MARCH 2009</t>
  </si>
  <si>
    <t>Properties Sold by Mortgagee - Outstanding Principal Balance</t>
  </si>
  <si>
    <t>PM11 INVESTOR REPORT QUARTER ENDING JUNE 2009</t>
  </si>
  <si>
    <t>Possession Properties Sold</t>
  </si>
  <si>
    <t>Original GBP Equivalent Note Principal</t>
  </si>
  <si>
    <t>Previous GBP Equivalent Note Principal</t>
  </si>
  <si>
    <t>Current GBP Equivalent Note Principal</t>
  </si>
  <si>
    <t>GBP Note Margin</t>
  </si>
  <si>
    <t>Current GBP Interest Rates</t>
  </si>
  <si>
    <t>Previous GBP Interest Rates</t>
  </si>
  <si>
    <t>GBP Step -Up Margins</t>
  </si>
  <si>
    <t>PM11 INVESTOR REPORT QUARTER ENDING SEPTEMBER 2009</t>
  </si>
  <si>
    <t>PM11 INVESTOR REPORT QUARTER ENDING DECEMBER 2009</t>
  </si>
  <si>
    <t>PM11 INVESTOR REPORT QUARTER ENDING MARCH 2010</t>
  </si>
  <si>
    <t>PM11 INVESTOR REPORT QUARTER ENDING JUNE 2010</t>
  </si>
  <si>
    <t>PM11 INVESTOR REPORT QUARTER ENDING SEPTEMBER 2010</t>
  </si>
  <si>
    <t xml:space="preserve">Delinquency Summary </t>
  </si>
  <si>
    <t>PM11 INVESTOR REPORT QUARTER ENDING DECEMBER 2010</t>
  </si>
  <si>
    <t>PM11 INVESTOR REPORT QUARTER ENDING MARCH 2011</t>
  </si>
  <si>
    <t>PM11 INVESTOR REPORT QUARTER ENDING JUNE 2011</t>
  </si>
  <si>
    <t>PM11 INVESTOR REPORT QUARTER ENDING SEPTEMBER 2011</t>
  </si>
  <si>
    <t>PM11 INVESTOR REPORT QUARTER ENDING DECEMBER 2011</t>
  </si>
  <si>
    <t>PDL replenishment (-) from Revenue income / Recovery (+) to Revenue income</t>
  </si>
  <si>
    <t>F1/AAA</t>
  </si>
  <si>
    <t>PM11 INVESTOR REPORT QUARTER ENDING MARCH 2012</t>
  </si>
  <si>
    <t>A-1/AAA</t>
  </si>
  <si>
    <t>PM11 INVESTOR REPORT QUARTER ENDING JUNE 2012</t>
  </si>
  <si>
    <t>P-2/Aaa</t>
  </si>
  <si>
    <t>A-1/AA</t>
  </si>
  <si>
    <t>BBB</t>
  </si>
  <si>
    <t>PM11 INVESTOR REPORT QUARTER ENDING SEPTEMBER 2012</t>
  </si>
  <si>
    <t>PM11 INVESTOR REPORT QUARTER ENDING DECEMBER 2012</t>
  </si>
  <si>
    <t>PM11 INVESTOR REPORT QUARTER ENDING MARCH 2013</t>
  </si>
  <si>
    <t>Trustee Fee/Tender Agent Fees/ Costs and Expenses claimed by the Substitute Administrator, the Remarketing Agent and the A1 Conditional Purchasers</t>
  </si>
  <si>
    <t>Unsecured claimants in an amount not exceeding the "Prescribed Part" in The Insolvency Act (Prescribed Part) Order 2003 (as amended from time to time)</t>
  </si>
  <si>
    <t>Senior Administration Fee to PFPLC and MTS/ Out of pocket expenses/ Substitute Administrator Commitment Fee/ Substitute Administrator Facilitator Fee/ Surveillance Fees to Rating Agencies</t>
  </si>
  <si>
    <t>PM11 INVESTOR REPORT QUARTER ENDING JUNE 2013</t>
  </si>
  <si>
    <t>John Harvey, 51 Homer Road, Solihull, West Midlands, B91 3QJ</t>
  </si>
  <si>
    <t>Andrew Kitching, 51 Homer Road, Solihull, West Midlands, B91 3QJ</t>
  </si>
  <si>
    <t>Jimmy Giles, 51 Homer Road, Solihull, West Midlands, B91 3QJ</t>
  </si>
  <si>
    <t>PM11 INVESTOR REPORT QUARTER ENDING SEPTEMBER 2013</t>
  </si>
  <si>
    <t>PM11 INVESTOR REPORT QUARTER ENDING DECEMBER 2013</t>
  </si>
  <si>
    <t>PM11 INVESTOR REPORT QUARTER ENDING MARCH 2014</t>
  </si>
  <si>
    <t>AA+</t>
  </si>
  <si>
    <t>PM11 INVESTOR REPORT QUARTER ENDING JUNE 2014</t>
  </si>
  <si>
    <t>PM11 INVESTOR REPORT QUARTER ENDING SEPTEMBER 2014</t>
  </si>
  <si>
    <t>PM11 INVESTOR REPORT QUARTER ENDING DECEMBER 2014</t>
  </si>
  <si>
    <t>P-2/Aa1</t>
  </si>
  <si>
    <t>Aa1</t>
  </si>
  <si>
    <t>Aa3</t>
  </si>
  <si>
    <t>A3</t>
  </si>
  <si>
    <t>PM11 INVESTOR REPORT QUARTER ENDING MARCH 2015</t>
  </si>
  <si>
    <t>PM11 INVESTOR REPORT QUARTER ENDING JUNE 2015</t>
  </si>
  <si>
    <t>F2/AAA</t>
  </si>
  <si>
    <t>A-</t>
  </si>
  <si>
    <t>A-2/AA+</t>
  </si>
  <si>
    <t>PM11 INVESTOR REPORT QUARTER ENDING SEPTEMBER 2015</t>
  </si>
  <si>
    <t>PM11 INVESTOR REPORT QUARTER ENDING DECEMBER 2015</t>
  </si>
  <si>
    <t>PM11 INVESTOR REPORT QUARTER ENDING MARCH 2016</t>
  </si>
  <si>
    <t>PM11 INVESTOR REPORT QUARTER ENDING JUNE 2016</t>
  </si>
  <si>
    <t>PM11 INVESTOR REPORT QUARTER ENDING SEPTEMBER 2016</t>
  </si>
  <si>
    <t>PM11 INVESTOR REPORT QUARTER ENDING DECEMBER 2016</t>
  </si>
  <si>
    <t>PM11 INVESTOR REPORT QUARTER ENDING MARCH 2017</t>
  </si>
  <si>
    <t>Class A1, A2a, A2b, B1a, B1b,and C1b Interest Payment Cycle</t>
  </si>
  <si>
    <t>Class A1, A2a and  B1a Interest Calculated on</t>
  </si>
  <si>
    <t>Class A2b, B1b and C1b Interest Calculated on</t>
  </si>
  <si>
    <t>AA-</t>
  </si>
  <si>
    <t>A+</t>
  </si>
  <si>
    <t>PM11 INVESTOR REPORT QUARTER ENDING JUNE 2017</t>
  </si>
  <si>
    <t xml:space="preserve">A1 and A2a Note Interest  * </t>
  </si>
  <si>
    <t xml:space="preserve">A2b Swap Currency Interest  * </t>
  </si>
  <si>
    <r>
      <rPr>
        <u/>
        <sz val="12"/>
        <color indexed="18"/>
        <rFont val="Times New Roman"/>
        <family val="1"/>
      </rPr>
      <t>Prior to the Interest Payment Date on 18th April 17</t>
    </r>
    <r>
      <rPr>
        <sz val="12"/>
        <color indexed="18"/>
        <rFont val="Times New Roman"/>
        <family val="1"/>
      </rPr>
      <t xml:space="preserve">               </t>
    </r>
    <r>
      <rPr>
        <u/>
        <sz val="12"/>
        <color indexed="18"/>
        <rFont val="Times New Roman"/>
        <family val="1"/>
      </rPr>
      <t xml:space="preserve">From the Interest Payment Date on 18th April 17 </t>
    </r>
  </si>
  <si>
    <t>A2a Note Interest                                                              A2b Swap Currency Interest</t>
  </si>
  <si>
    <t>A1 and A2b Swap Currency Interest                                    A1 and A2a Note Interest</t>
  </si>
  <si>
    <t xml:space="preserve">FOR ADDITIONAL INFORMATION ON THE CHANGES TO THE REVENUE PRIORITY OF PAYMENTS, PLEASE REFER TO THE "GLOSSARY OF TERMS" POSTED ON THE PARAGON WEBSITE  </t>
  </si>
  <si>
    <t xml:space="preserve">* Rows 105 - 106 - Revenue Priority of Payments </t>
  </si>
  <si>
    <t>PM11 INVESTOR REPORT QUARTER ENDING SEPTEMBER 2017</t>
  </si>
  <si>
    <t>http://www.paragonbankinggroup.co.uk</t>
  </si>
  <si>
    <t>andrew.kitching@paragonbank.co.uk</t>
  </si>
  <si>
    <t>jimmy.giles@paragonbank.co.uk</t>
  </si>
  <si>
    <r>
      <rPr>
        <u/>
        <sz val="12"/>
        <color rgb="FF2D2926"/>
        <rFont val="Calibri"/>
        <family val="2"/>
        <scheme val="minor"/>
      </rPr>
      <t>Prior to the Interest Payment Date on 18th April 17</t>
    </r>
    <r>
      <rPr>
        <sz val="12"/>
        <color rgb="FF2D2926"/>
        <rFont val="Calibri"/>
        <family val="2"/>
        <scheme val="minor"/>
      </rPr>
      <t xml:space="preserve">               </t>
    </r>
    <r>
      <rPr>
        <u/>
        <sz val="12"/>
        <color rgb="FF2D2926"/>
        <rFont val="Calibri"/>
        <family val="2"/>
        <scheme val="minor"/>
      </rPr>
      <t xml:space="preserve">From the Interest Payment Date on 18th April 17 </t>
    </r>
  </si>
  <si>
    <t>PM11 INVESTOR REPORT QUARTER ENDING DECEMBER 2017</t>
  </si>
  <si>
    <t>PM11 INVESTOR REPORT QUARTER ENDING MARCH 2018</t>
  </si>
  <si>
    <t>PM11 INVESTOR REPORT QUARTER ENDING JUNE 2018</t>
  </si>
  <si>
    <t>PM11 INVESTOR REPORT QUARTER ENDING SEPTEMBER 2018</t>
  </si>
  <si>
    <t>PM11 INVESTOR REPORT QUARTER ENDING DECEMBER 2018</t>
  </si>
  <si>
    <t>PM11 INVESTOR REPORT QUARTER ENDING MARCH 2019</t>
  </si>
  <si>
    <t>PM11 INVESTOR REPORT QUARTER ENDING JUNE 2019</t>
  </si>
  <si>
    <t>PM11 INVESTOR REPORT QUARTER ENDING SEPTEMBER 2019</t>
  </si>
  <si>
    <t>Interest on the Subordinated Loan (First Loss Fund)</t>
  </si>
  <si>
    <t>Repayment of the Subordinated Loan (Repayment of the Minimum Mortgage Rate Drawings)</t>
  </si>
  <si>
    <t>Management Charge</t>
  </si>
  <si>
    <t>Deferred Consideration</t>
  </si>
  <si>
    <t>A1 Note repayment</t>
  </si>
  <si>
    <t>PM11 INVESTOR REPORT QUARTER ENDING DECEMBER 2019</t>
  </si>
  <si>
    <t>PM11 INVESTOR REPORT QUARTER ENDING MARCH 2020</t>
  </si>
  <si>
    <t>Delinquency Summary (For COVID19 Payment Holiday Cases)</t>
  </si>
  <si>
    <t>**</t>
  </si>
  <si>
    <t>** For transparency, a table has been included where customers have elected to take a payment holiday, caused by COVID19. Rows 283 - 293 Delinquency Summary (For COVID19 Payment Holiday Cases) are included in the Overall Deliquency Summary in rows 233 - 243.</t>
  </si>
  <si>
    <t>PM11 INVESTOR REPORT QUARTER ENDING JUNE 2020</t>
  </si>
  <si>
    <t>Payment Holidays</t>
  </si>
  <si>
    <t>On 18th March 2020, the UK Government instructed Lenders to grant a three-month mortgage payment holiday to Buy to Let landlords who may be experiencing difficulties in meeting their buy to let mortgage payments caused by the impact of the COVID19 virus.</t>
  </si>
  <si>
    <t>Following this guidance and where appropriate, Paragon have agreed a mortgage payment holiday with customers, ranging between one and three months. Paragon have emphasised to the customers (a) this is only a temporary arrangement and that the position</t>
  </si>
  <si>
    <t xml:space="preserve">will be reviewed after the payment holiday period and (b) interest will continue to be charged on the payment holiday amount that forms part of the customers' outstanding mortgage balance. Following the expiry of the relevant payment holiday arrangement, </t>
  </si>
  <si>
    <t xml:space="preserve">Paragon will contact the customer with a range of available options, including an overpayment on the customers' monthly payment to clear the payment holiday amount. In accordance with the practices of a reasonable prudent administrator, each case will be </t>
  </si>
  <si>
    <t>assessed individually and on its own merits.</t>
  </si>
  <si>
    <t>Paragon have also made the necessary system changes to accommodate payment holidays. For reporting purposes, and in line with the UK Finance's expectations, customers that have been granted a payment holiday will not be categorised nor reported as an arrears</t>
  </si>
  <si>
    <t xml:space="preserve">loan. It is expected that Paragon will be in a position to identify and report on the payment holiday customers for investor reporting and loan by loan disclosure requirements. </t>
  </si>
  <si>
    <t>LIBOR transition</t>
  </si>
  <si>
    <t>Paragon are proactively working with other banks, industry bodies, our regulators and trade associations to define the next steps to consider alternatives to LIBOR and explore all reasonable alternatives. The decision regarding the replacement will be based on a variety of factors,</t>
  </si>
  <si>
    <t>including taking into account the interests of our customers, market consultations and the expectations of our regulators (the PRA and FCA).</t>
  </si>
  <si>
    <t>Receiver of Rent Cases by Current Status, as at the PDD</t>
  </si>
  <si>
    <t>Rented</t>
  </si>
  <si>
    <t>Vacant - to be let</t>
  </si>
  <si>
    <t>Vacant - to be sold</t>
  </si>
  <si>
    <t>Property Rented/For Sale</t>
  </si>
  <si>
    <t>Sold - Contracts Exchanged</t>
  </si>
  <si>
    <t xml:space="preserve">Strategic review </t>
  </si>
  <si>
    <t>% by Number of Accounts/Balance</t>
  </si>
  <si>
    <t>Payment Holiday Extensions</t>
  </si>
  <si>
    <t xml:space="preserve">by the impact of the COVID19 virus. There is a deadline of 31st October 2020 for customers who have yet to apply for a payment holiday with their lenders. The same principles as outlined above for the "original" payment holiday customers will also apply to the </t>
  </si>
  <si>
    <t>"extended" payment holiday customers.</t>
  </si>
  <si>
    <t>Flexible Drawing Facility (Not Applicable to PM11)</t>
  </si>
  <si>
    <t>** For transparency, a table has been included where customers have elected to take a payment holiday, caused by COVID19. Rows 293 - 303 Delinquency Summary (For COVID19 Payment Holiday Cases) are included in the Overall Delinquency Summary in rows 233 - 243.</t>
  </si>
  <si>
    <t xml:space="preserve">On 22nd May 2020, the UK Government announced that payment holidays would be extended for a further three months for Buy to Let landlords who may be experiencing, or continue to experience, difficulties in meeting their buy to let mortgage payments caused </t>
  </si>
  <si>
    <t>WA PH Remaining Term (months)</t>
  </si>
  <si>
    <t>Original Payment Holiday Borrowers</t>
  </si>
  <si>
    <t>Extended Payment Holiday Borrowers</t>
  </si>
  <si>
    <t>PM11 INVESTOR REPORT QUARTER ENDING SEPTEMBER 2020</t>
  </si>
  <si>
    <t>Release of the First Loss Fund following repayment of the Notes</t>
  </si>
  <si>
    <t>Release of the First Loss Fund Balance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</si>
</sst>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809]#,##0"/>
    <numFmt numFmtId="165" formatCode="0.00000%"/>
    <numFmt numFmtId="166" formatCode="0.0%"/>
    <numFmt numFmtId="167" formatCode="d\-mmm\-yy"/>
    <numFmt numFmtId="168" formatCode="[$€-2]\ #,##0"/>
    <numFmt numFmtId="169" formatCode="[$$-409]#,##0"/>
    <numFmt numFmtId="170" formatCode="0.000000"/>
    <numFmt numFmtId="171" formatCode="0.0000000"/>
    <numFmt numFmtId="172" formatCode="&quot;£&quot;#,##0"/>
  </numFmts>
  <fonts count="75" x14ac:knownFonts="1">
    <font>
      <sz val="12"/>
      <name val="Arial"/>
    </font>
    <font>
      <sz val="12"/>
      <name val="Arial"/>
      <family val="2"/>
    </font>
    <font>
      <sz val="12"/>
      <name val="Times New Roman"/>
      <family val="1"/>
    </font>
    <font>
      <b/>
      <u/>
      <sz val="16"/>
      <color indexed="12"/>
      <name val="Times New Roman"/>
      <family val="1"/>
    </font>
    <font>
      <b/>
      <u/>
      <sz val="12"/>
      <name val="Times New Roman"/>
      <family val="1"/>
    </font>
    <font>
      <u/>
      <sz val="12"/>
      <name val="Times New Roman"/>
      <family val="1"/>
    </font>
    <font>
      <b/>
      <sz val="12"/>
      <color indexed="29"/>
      <name val="Times New Roman"/>
      <family val="1"/>
    </font>
    <font>
      <b/>
      <i/>
      <sz val="10"/>
      <name val="Times New Roman"/>
      <family val="1"/>
    </font>
    <font>
      <sz val="12"/>
      <name val="Arial"/>
      <family val="2"/>
    </font>
    <font>
      <b/>
      <sz val="12"/>
      <name val="Times New Roman"/>
      <family val="1"/>
    </font>
    <font>
      <b/>
      <sz val="12"/>
      <color indexed="12"/>
      <name val="Times New Roman"/>
      <family val="1"/>
    </font>
    <font>
      <sz val="12"/>
      <color indexed="12"/>
      <name val="Times New Roman"/>
      <family val="1"/>
    </font>
    <font>
      <b/>
      <u/>
      <sz val="12"/>
      <color indexed="12"/>
      <name val="Times New Roman"/>
      <family val="1"/>
    </font>
    <font>
      <sz val="12"/>
      <color indexed="8"/>
      <name val="Times New Roman"/>
      <family val="1"/>
    </font>
    <font>
      <b/>
      <sz val="12"/>
      <color indexed="12"/>
      <name val="Arial"/>
      <family val="2"/>
    </font>
    <font>
      <b/>
      <sz val="14"/>
      <name val="Times New Roman"/>
      <family val="1"/>
    </font>
    <font>
      <b/>
      <sz val="12"/>
      <color indexed="8"/>
      <name val="Times New Roman"/>
      <family val="1"/>
    </font>
    <font>
      <b/>
      <u/>
      <sz val="12"/>
      <color indexed="8"/>
      <name val="Times New Roman"/>
      <family val="1"/>
    </font>
    <font>
      <b/>
      <sz val="12"/>
      <name val="Arial"/>
      <family val="2"/>
    </font>
    <font>
      <b/>
      <sz val="12"/>
      <color indexed="53"/>
      <name val="Times New Roman"/>
      <family val="1"/>
    </font>
    <font>
      <sz val="12"/>
      <color indexed="53"/>
      <name val="Times New Roman"/>
      <family val="1"/>
    </font>
    <font>
      <b/>
      <u/>
      <sz val="12"/>
      <color indexed="53"/>
      <name val="Times New Roman"/>
      <family val="1"/>
    </font>
    <font>
      <b/>
      <sz val="12"/>
      <color indexed="12"/>
      <name val="Times New Roman"/>
      <family val="1"/>
    </font>
    <font>
      <u/>
      <sz val="8.4"/>
      <color indexed="12"/>
      <name val="Arial"/>
      <family val="2"/>
    </font>
    <font>
      <sz val="12"/>
      <name val="Times New Roman"/>
      <family val="1"/>
    </font>
    <font>
      <b/>
      <sz val="12"/>
      <color indexed="39"/>
      <name val="Times New Roman"/>
      <family val="1"/>
    </font>
    <font>
      <b/>
      <sz val="12"/>
      <color indexed="39"/>
      <name val="Times New Roman"/>
      <family val="1"/>
    </font>
    <font>
      <b/>
      <sz val="14"/>
      <color indexed="53"/>
      <name val="Times New Roman"/>
      <family val="1"/>
    </font>
    <font>
      <b/>
      <u/>
      <sz val="14"/>
      <color indexed="53"/>
      <name val="Times New Roman"/>
      <family val="1"/>
    </font>
    <font>
      <sz val="12"/>
      <color indexed="9"/>
      <name val="Times New Roman"/>
      <family val="1"/>
    </font>
    <font>
      <b/>
      <sz val="12"/>
      <color indexed="9"/>
      <name val="Times New Roman"/>
      <family val="1"/>
    </font>
    <font>
      <sz val="12"/>
      <color indexed="9"/>
      <name val="Times New Roman"/>
      <family val="1"/>
    </font>
    <font>
      <sz val="12"/>
      <color indexed="9"/>
      <name val="Arial"/>
      <family val="2"/>
    </font>
    <font>
      <b/>
      <u/>
      <sz val="16"/>
      <color indexed="18"/>
      <name val="Times New Roman"/>
      <family val="1"/>
    </font>
    <font>
      <b/>
      <i/>
      <sz val="10"/>
      <color indexed="18"/>
      <name val="Times New Roman"/>
      <family val="1"/>
    </font>
    <font>
      <b/>
      <sz val="12"/>
      <color indexed="18"/>
      <name val="Times New Roman"/>
      <family val="1"/>
    </font>
    <font>
      <sz val="12"/>
      <color indexed="18"/>
      <name val="Times New Roman"/>
      <family val="1"/>
    </font>
    <font>
      <b/>
      <u/>
      <sz val="12"/>
      <color indexed="18"/>
      <name val="Times New Roman"/>
      <family val="1"/>
    </font>
    <font>
      <sz val="12"/>
      <color indexed="18"/>
      <name val="Arial"/>
      <family val="2"/>
    </font>
    <font>
      <sz val="12"/>
      <color indexed="18"/>
      <name val="Times New Roman"/>
      <family val="1"/>
    </font>
    <font>
      <b/>
      <sz val="12"/>
      <color indexed="18"/>
      <name val="Times New Roman"/>
      <family val="1"/>
    </font>
    <font>
      <b/>
      <sz val="12"/>
      <color indexed="18"/>
      <name val="Arial"/>
      <family val="2"/>
    </font>
    <font>
      <b/>
      <sz val="14"/>
      <color indexed="18"/>
      <name val="Times New Roman"/>
      <family val="1"/>
    </font>
    <font>
      <b/>
      <sz val="12"/>
      <color indexed="9"/>
      <name val="Times New Roman"/>
      <family val="1"/>
    </font>
    <font>
      <u/>
      <sz val="12"/>
      <color indexed="18"/>
      <name val="Times New Roman"/>
      <family val="1"/>
    </font>
    <font>
      <sz val="12"/>
      <color rgb="FF2D2926"/>
      <name val="Calibri"/>
      <family val="2"/>
      <scheme val="minor"/>
    </font>
    <font>
      <b/>
      <u/>
      <sz val="16"/>
      <color rgb="FF2D2926"/>
      <name val="Calibri"/>
      <family val="2"/>
      <scheme val="minor"/>
    </font>
    <font>
      <sz val="12"/>
      <name val="Calibri"/>
      <family val="2"/>
      <scheme val="minor"/>
    </font>
    <font>
      <u/>
      <sz val="12"/>
      <name val="Calibri"/>
      <family val="2"/>
      <scheme val="minor"/>
    </font>
    <font>
      <b/>
      <sz val="12"/>
      <color rgb="FF89CB31"/>
      <name val="Calibri"/>
      <family val="2"/>
      <scheme val="minor"/>
    </font>
    <font>
      <b/>
      <i/>
      <sz val="10"/>
      <color rgb="FF2D2926"/>
      <name val="Calibri"/>
      <family val="2"/>
      <scheme val="minor"/>
    </font>
    <font>
      <b/>
      <i/>
      <sz val="10"/>
      <name val="Calibri"/>
      <family val="2"/>
      <scheme val="minor"/>
    </font>
    <font>
      <b/>
      <u/>
      <sz val="12"/>
      <color rgb="FF89CB31"/>
      <name val="Calibri"/>
      <family val="2"/>
      <scheme val="minor"/>
    </font>
    <font>
      <b/>
      <u/>
      <sz val="12"/>
      <color indexed="53"/>
      <name val="Calibri"/>
      <family val="2"/>
      <scheme val="minor"/>
    </font>
    <font>
      <b/>
      <sz val="12"/>
      <name val="Calibri"/>
      <family val="2"/>
      <scheme val="minor"/>
    </font>
    <font>
      <b/>
      <sz val="12"/>
      <color rgb="FF2D2926"/>
      <name val="Calibri"/>
      <family val="2"/>
      <scheme val="minor"/>
    </font>
    <font>
      <b/>
      <u/>
      <sz val="12"/>
      <color rgb="FF2D2926"/>
      <name val="Calibri"/>
      <family val="2"/>
      <scheme val="minor"/>
    </font>
    <font>
      <sz val="12"/>
      <color indexed="9"/>
      <name val="Calibri"/>
      <family val="2"/>
      <scheme val="minor"/>
    </font>
    <font>
      <b/>
      <sz val="12"/>
      <color indexed="9"/>
      <name val="Calibri"/>
      <family val="2"/>
      <scheme val="minor"/>
    </font>
    <font>
      <b/>
      <sz val="12"/>
      <color indexed="53"/>
      <name val="Calibri"/>
      <family val="2"/>
      <scheme val="minor"/>
    </font>
    <font>
      <b/>
      <sz val="14"/>
      <color rgb="FF2D2926"/>
      <name val="Calibri"/>
      <family val="2"/>
      <scheme val="minor"/>
    </font>
    <font>
      <sz val="12"/>
      <color indexed="53"/>
      <name val="Calibri"/>
      <family val="2"/>
      <scheme val="minor"/>
    </font>
    <font>
      <sz val="12"/>
      <color indexed="8"/>
      <name val="Calibri"/>
      <family val="2"/>
      <scheme val="minor"/>
    </font>
    <font>
      <b/>
      <u/>
      <sz val="12"/>
      <name val="Calibri"/>
      <family val="2"/>
      <scheme val="minor"/>
    </font>
    <font>
      <sz val="12"/>
      <color indexed="18"/>
      <name val="Calibri"/>
      <family val="2"/>
      <scheme val="minor"/>
    </font>
    <font>
      <sz val="12"/>
      <color rgb="FF89CB31"/>
      <name val="Calibri"/>
      <family val="2"/>
      <scheme val="minor"/>
    </font>
    <font>
      <b/>
      <sz val="12"/>
      <color indexed="29"/>
      <name val="Calibri"/>
      <family val="2"/>
      <scheme val="minor"/>
    </font>
    <font>
      <b/>
      <u/>
      <sz val="12"/>
      <color indexed="8"/>
      <name val="Calibri"/>
      <family val="2"/>
      <scheme val="minor"/>
    </font>
    <font>
      <b/>
      <sz val="12"/>
      <color indexed="8"/>
      <name val="Calibri"/>
      <family val="2"/>
      <scheme val="minor"/>
    </font>
    <font>
      <b/>
      <sz val="14"/>
      <color rgb="FF89CB31"/>
      <name val="Calibri"/>
      <family val="2"/>
      <scheme val="minor"/>
    </font>
    <font>
      <b/>
      <u/>
      <sz val="14"/>
      <color rgb="FF89CB31"/>
      <name val="Calibri"/>
      <family val="2"/>
      <scheme val="minor"/>
    </font>
    <font>
      <u/>
      <sz val="12"/>
      <color rgb="FF2D2926"/>
      <name val="Calibri"/>
      <family val="2"/>
      <scheme val="minor"/>
    </font>
    <font>
      <b/>
      <sz val="12"/>
      <color indexed="18"/>
      <name val="Calibri"/>
      <family val="2"/>
      <scheme val="minor"/>
    </font>
    <font>
      <b/>
      <u/>
      <sz val="14"/>
      <color indexed="53"/>
      <name val="Calibri"/>
      <family val="2"/>
      <scheme val="minor"/>
    </font>
    <font>
      <b/>
      <sz val="12"/>
      <color theme="0"/>
      <name val="Calibri"/>
      <family val="2"/>
      <scheme val="minor"/>
    </font>
  </fonts>
  <fills count="7">
    <fill>
      <patternFill patternType="none"/>
    </fill>
    <fill>
      <patternFill patternType="gray125"/>
    </fill>
    <fill>
      <patternFill patternType="solid">
        <fgColor indexed="26"/>
        <bgColor indexed="64"/>
      </patternFill>
    </fill>
    <fill>
      <patternFill patternType="solid">
        <fgColor indexed="38"/>
        <bgColor indexed="64"/>
      </patternFill>
    </fill>
    <fill>
      <patternFill patternType="solid">
        <fgColor indexed="18"/>
        <bgColor indexed="64"/>
      </patternFill>
    </fill>
    <fill>
      <patternFill patternType="solid">
        <fgColor rgb="FFF4F4F4"/>
        <bgColor indexed="64"/>
      </patternFill>
    </fill>
    <fill>
      <patternFill patternType="solid">
        <fgColor rgb="FF89CB31"/>
        <bgColor indexed="64"/>
      </patternFill>
    </fill>
  </fills>
  <borders count="24">
    <border>
      <left/>
      <right/>
      <top/>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style="thin">
        <color indexed="8"/>
      </top>
      <bottom/>
      <diagonal/>
    </border>
    <border>
      <left/>
      <right/>
      <top style="thin">
        <color indexed="8"/>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top style="thin">
        <color indexed="8"/>
      </top>
      <bottom style="thin">
        <color indexed="8"/>
      </bottom>
      <diagonal/>
    </border>
    <border>
      <left/>
      <right/>
      <top/>
      <bottom style="thin">
        <color indexed="8"/>
      </bottom>
      <diagonal/>
    </border>
    <border>
      <left/>
      <right style="medium">
        <color indexed="8"/>
      </right>
      <top/>
      <bottom style="thin">
        <color indexed="8"/>
      </bottom>
      <diagonal/>
    </border>
    <border>
      <left style="medium">
        <color indexed="8"/>
      </left>
      <right/>
      <top/>
      <bottom style="thin">
        <color indexed="8"/>
      </bottom>
      <diagonal/>
    </border>
    <border>
      <left style="medium">
        <color indexed="8"/>
      </left>
      <right/>
      <top style="thin">
        <color indexed="55"/>
      </top>
      <bottom style="thin">
        <color indexed="55"/>
      </bottom>
      <diagonal/>
    </border>
    <border>
      <left/>
      <right/>
      <top style="thin">
        <color indexed="55"/>
      </top>
      <bottom style="thin">
        <color indexed="55"/>
      </bottom>
      <diagonal/>
    </border>
    <border>
      <left/>
      <right style="medium">
        <color indexed="8"/>
      </right>
      <top style="thin">
        <color indexed="55"/>
      </top>
      <bottom style="thin">
        <color indexed="55"/>
      </bottom>
      <diagonal/>
    </border>
    <border>
      <left style="medium">
        <color indexed="8"/>
      </left>
      <right/>
      <top style="thin">
        <color indexed="23"/>
      </top>
      <bottom style="thin">
        <color indexed="23"/>
      </bottom>
      <diagonal/>
    </border>
    <border>
      <left/>
      <right/>
      <top style="thin">
        <color indexed="23"/>
      </top>
      <bottom style="thin">
        <color indexed="23"/>
      </bottom>
      <diagonal/>
    </border>
    <border>
      <left/>
      <right style="medium">
        <color indexed="8"/>
      </right>
      <top/>
      <bottom/>
      <diagonal/>
    </border>
    <border>
      <left/>
      <right style="medium">
        <color indexed="8"/>
      </right>
      <top style="medium">
        <color indexed="8"/>
      </top>
      <bottom/>
      <diagonal/>
    </border>
    <border>
      <left/>
      <right style="medium">
        <color indexed="8"/>
      </right>
      <top/>
      <bottom style="thin">
        <color indexed="55"/>
      </bottom>
      <diagonal/>
    </border>
    <border>
      <left/>
      <right/>
      <top/>
      <bottom style="thin">
        <color indexed="55"/>
      </bottom>
      <diagonal/>
    </border>
    <border>
      <left style="medium">
        <color indexed="8"/>
      </left>
      <right/>
      <top/>
      <bottom style="thin">
        <color indexed="55"/>
      </bottom>
      <diagonal/>
    </border>
    <border>
      <left/>
      <right/>
      <top style="thin">
        <color rgb="FF808080"/>
      </top>
      <bottom style="thin">
        <color rgb="FF808080"/>
      </bottom>
      <diagonal/>
    </border>
  </borders>
  <cellStyleXfs count="2">
    <xf numFmtId="0" fontId="0" fillId="0" borderId="0"/>
    <xf numFmtId="0" fontId="23" fillId="0" borderId="0" applyNumberFormat="0" applyFill="0" applyBorder="0" applyAlignment="0" applyProtection="0">
      <alignment vertical="top"/>
      <protection locked="0"/>
    </xf>
  </cellStyleXfs>
  <cellXfs count="670">
    <xf numFmtId="0" fontId="0" fillId="0" borderId="0" xfId="0"/>
    <xf numFmtId="0" fontId="1" fillId="0" borderId="0" xfId="0" applyNumberFormat="1" applyFont="1" applyAlignment="1"/>
    <xf numFmtId="0" fontId="2" fillId="2" borderId="1" xfId="0" applyNumberFormat="1" applyFont="1" applyFill="1" applyBorder="1" applyAlignment="1"/>
    <xf numFmtId="0" fontId="3" fillId="2" borderId="2" xfId="0" applyNumberFormat="1" applyFont="1" applyFill="1" applyBorder="1" applyAlignment="1"/>
    <xf numFmtId="0" fontId="2" fillId="2" borderId="2" xfId="0" applyNumberFormat="1" applyFont="1" applyFill="1" applyBorder="1" applyAlignment="1"/>
    <xf numFmtId="0" fontId="0" fillId="0" borderId="3" xfId="0" applyNumberFormat="1" applyBorder="1"/>
    <xf numFmtId="0" fontId="2" fillId="2" borderId="3" xfId="0" applyNumberFormat="1" applyFont="1" applyFill="1" applyBorder="1" applyAlignment="1"/>
    <xf numFmtId="0" fontId="5" fillId="2" borderId="0" xfId="0" applyNumberFormat="1" applyFont="1" applyFill="1" applyAlignment="1"/>
    <xf numFmtId="0" fontId="2" fillId="2" borderId="0" xfId="0" applyNumberFormat="1" applyFont="1" applyFill="1" applyAlignment="1"/>
    <xf numFmtId="0" fontId="2" fillId="2" borderId="3" xfId="0" applyNumberFormat="1" applyFont="1" applyFill="1" applyBorder="1" applyAlignment="1">
      <alignment horizontal="center"/>
    </xf>
    <xf numFmtId="0" fontId="6" fillId="2" borderId="0" xfId="0" applyNumberFormat="1" applyFont="1" applyFill="1" applyAlignment="1"/>
    <xf numFmtId="0" fontId="7" fillId="2" borderId="0" xfId="0" applyNumberFormat="1" applyFont="1" applyFill="1" applyAlignment="1"/>
    <xf numFmtId="0" fontId="8" fillId="2" borderId="0" xfId="0" applyNumberFormat="1" applyFont="1" applyFill="1" applyAlignment="1"/>
    <xf numFmtId="0" fontId="9" fillId="2" borderId="0" xfId="0" applyNumberFormat="1" applyFont="1" applyFill="1" applyAlignment="1"/>
    <xf numFmtId="0" fontId="10" fillId="2" borderId="0" xfId="0" applyNumberFormat="1" applyFont="1" applyFill="1" applyAlignment="1"/>
    <xf numFmtId="0" fontId="11" fillId="2" borderId="0" xfId="0" applyNumberFormat="1" applyFont="1" applyFill="1" applyAlignment="1"/>
    <xf numFmtId="0" fontId="12" fillId="2" borderId="0" xfId="0" applyNumberFormat="1" applyFont="1" applyFill="1" applyAlignment="1">
      <alignment horizontal="center" wrapText="1"/>
    </xf>
    <xf numFmtId="0" fontId="10" fillId="2" borderId="0" xfId="0" applyNumberFormat="1" applyFont="1" applyFill="1" applyAlignment="1">
      <alignment horizontal="center"/>
    </xf>
    <xf numFmtId="9" fontId="10" fillId="2" borderId="0" xfId="0" applyNumberFormat="1" applyFont="1" applyFill="1" applyAlignment="1">
      <alignment horizontal="center"/>
    </xf>
    <xf numFmtId="15" fontId="10" fillId="2" borderId="0" xfId="0" applyNumberFormat="1" applyFont="1" applyFill="1" applyAlignment="1">
      <alignment horizontal="center"/>
    </xf>
    <xf numFmtId="0" fontId="2" fillId="2" borderId="0" xfId="0" applyNumberFormat="1" applyFont="1" applyFill="1" applyAlignment="1">
      <alignment horizontal="center"/>
    </xf>
    <xf numFmtId="0" fontId="4" fillId="2" borderId="0" xfId="0" applyNumberFormat="1" applyFont="1" applyFill="1" applyAlignment="1"/>
    <xf numFmtId="0" fontId="2" fillId="2" borderId="0" xfId="0" applyNumberFormat="1" applyFont="1" applyFill="1" applyAlignment="1">
      <alignment horizontal="right"/>
    </xf>
    <xf numFmtId="0" fontId="2" fillId="2" borderId="0" xfId="0" applyNumberFormat="1" applyFont="1" applyFill="1" applyAlignment="1">
      <alignment horizontal="center" wrapText="1"/>
    </xf>
    <xf numFmtId="0" fontId="2" fillId="2" borderId="4" xfId="0" applyNumberFormat="1" applyFont="1" applyFill="1" applyBorder="1" applyAlignment="1"/>
    <xf numFmtId="0" fontId="2" fillId="2" borderId="5" xfId="0" applyNumberFormat="1" applyFont="1" applyFill="1" applyBorder="1" applyAlignment="1"/>
    <xf numFmtId="0" fontId="2" fillId="2" borderId="5" xfId="0" applyNumberFormat="1" applyFont="1" applyFill="1" applyBorder="1" applyAlignment="1">
      <alignment horizontal="center" wrapText="1"/>
    </xf>
    <xf numFmtId="0" fontId="8" fillId="2" borderId="5" xfId="0" applyNumberFormat="1" applyFont="1" applyFill="1" applyBorder="1" applyAlignment="1"/>
    <xf numFmtId="0" fontId="10" fillId="2" borderId="4" xfId="0" applyNumberFormat="1" applyFont="1" applyFill="1" applyBorder="1" applyAlignment="1"/>
    <xf numFmtId="0" fontId="10" fillId="2" borderId="5" xfId="0" applyNumberFormat="1" applyFont="1" applyFill="1" applyBorder="1" applyAlignment="1"/>
    <xf numFmtId="0" fontId="2" fillId="2" borderId="5" xfId="0" applyNumberFormat="1" applyFont="1" applyFill="1" applyBorder="1" applyAlignment="1">
      <alignment horizontal="center"/>
    </xf>
    <xf numFmtId="164" fontId="2" fillId="2" borderId="5" xfId="0" applyNumberFormat="1" applyFont="1" applyFill="1" applyBorder="1" applyAlignment="1">
      <alignment horizontal="center"/>
    </xf>
    <xf numFmtId="164" fontId="2" fillId="2" borderId="5" xfId="0" applyNumberFormat="1" applyFont="1" applyFill="1" applyBorder="1" applyAlignment="1"/>
    <xf numFmtId="164" fontId="8" fillId="2" borderId="5" xfId="0" applyNumberFormat="1" applyFont="1" applyFill="1" applyBorder="1" applyAlignment="1"/>
    <xf numFmtId="3" fontId="2" fillId="2" borderId="5" xfId="0" applyNumberFormat="1" applyFont="1" applyFill="1" applyBorder="1" applyAlignment="1"/>
    <xf numFmtId="164" fontId="10" fillId="2" borderId="5" xfId="0" applyNumberFormat="1" applyFont="1" applyFill="1" applyBorder="1" applyAlignment="1">
      <alignment horizontal="center"/>
    </xf>
    <xf numFmtId="164" fontId="10" fillId="2" borderId="5" xfId="0" applyNumberFormat="1" applyFont="1" applyFill="1" applyBorder="1" applyAlignment="1"/>
    <xf numFmtId="164" fontId="14" fillId="2" borderId="5" xfId="0" applyNumberFormat="1" applyFont="1" applyFill="1" applyBorder="1" applyAlignment="1"/>
    <xf numFmtId="165" fontId="2" fillId="2" borderId="5" xfId="0" applyNumberFormat="1" applyFont="1" applyFill="1" applyBorder="1" applyAlignment="1">
      <alignment horizontal="center"/>
    </xf>
    <xf numFmtId="10" fontId="2" fillId="2" borderId="5" xfId="0" applyNumberFormat="1" applyFont="1" applyFill="1" applyBorder="1" applyAlignment="1">
      <alignment horizontal="center"/>
    </xf>
    <xf numFmtId="0" fontId="2" fillId="2" borderId="5" xfId="0" applyNumberFormat="1" applyFont="1" applyFill="1" applyBorder="1" applyAlignment="1">
      <alignment horizontal="right"/>
    </xf>
    <xf numFmtId="165" fontId="2" fillId="2" borderId="5" xfId="0" applyNumberFormat="1" applyFont="1" applyFill="1" applyBorder="1" applyAlignment="1"/>
    <xf numFmtId="4" fontId="2" fillId="2" borderId="5" xfId="0" applyNumberFormat="1" applyFont="1" applyFill="1" applyBorder="1" applyAlignment="1">
      <alignment horizontal="center"/>
    </xf>
    <xf numFmtId="15" fontId="10" fillId="2" borderId="5" xfId="0" applyNumberFormat="1" applyFont="1" applyFill="1" applyBorder="1" applyAlignment="1">
      <alignment horizontal="center"/>
    </xf>
    <xf numFmtId="15" fontId="10" fillId="2" borderId="5" xfId="0" applyNumberFormat="1" applyFont="1" applyFill="1" applyBorder="1" applyAlignment="1" applyProtection="1">
      <alignment horizontal="center"/>
      <protection locked="0"/>
    </xf>
    <xf numFmtId="15" fontId="13" fillId="2" borderId="5" xfId="0" applyNumberFormat="1" applyFont="1" applyFill="1" applyBorder="1" applyAlignment="1" applyProtection="1">
      <alignment horizontal="center"/>
      <protection locked="0"/>
    </xf>
    <xf numFmtId="15" fontId="13" fillId="2" borderId="5" xfId="0" applyNumberFormat="1" applyFont="1" applyFill="1" applyBorder="1" applyAlignment="1">
      <alignment horizontal="center"/>
    </xf>
    <xf numFmtId="15" fontId="13" fillId="2" borderId="0" xfId="0" applyNumberFormat="1" applyFont="1" applyFill="1" applyAlignment="1" applyProtection="1">
      <alignment horizontal="center"/>
      <protection locked="0"/>
    </xf>
    <xf numFmtId="15" fontId="13" fillId="2" borderId="0" xfId="0" applyNumberFormat="1" applyFont="1" applyFill="1" applyAlignment="1">
      <alignment horizontal="center"/>
    </xf>
    <xf numFmtId="0" fontId="15" fillId="2" borderId="0" xfId="0" applyNumberFormat="1" applyFont="1" applyFill="1" applyAlignment="1"/>
    <xf numFmtId="4" fontId="2" fillId="2" borderId="2" xfId="0" applyNumberFormat="1" applyFont="1" applyFill="1" applyBorder="1" applyAlignment="1" applyProtection="1">
      <alignment horizontal="right"/>
      <protection locked="0"/>
    </xf>
    <xf numFmtId="0" fontId="12" fillId="2" borderId="0" xfId="0" applyNumberFormat="1" applyFont="1" applyFill="1" applyAlignment="1"/>
    <xf numFmtId="4" fontId="2" fillId="2" borderId="0" xfId="0" applyNumberFormat="1" applyFont="1" applyFill="1" applyAlignment="1" applyProtection="1">
      <alignment horizontal="right"/>
      <protection locked="0"/>
    </xf>
    <xf numFmtId="3" fontId="13" fillId="2" borderId="5" xfId="0" applyNumberFormat="1" applyFont="1" applyFill="1" applyBorder="1" applyAlignment="1" applyProtection="1">
      <alignment horizontal="right"/>
      <protection locked="0"/>
    </xf>
    <xf numFmtId="3" fontId="13" fillId="2" borderId="5" xfId="0" applyNumberFormat="1" applyFont="1" applyFill="1" applyBorder="1" applyAlignment="1"/>
    <xf numFmtId="3" fontId="2" fillId="2" borderId="0" xfId="0" applyNumberFormat="1" applyFont="1" applyFill="1" applyAlignment="1"/>
    <xf numFmtId="3" fontId="13" fillId="2" borderId="0" xfId="0" applyNumberFormat="1" applyFont="1" applyFill="1" applyAlignment="1"/>
    <xf numFmtId="14" fontId="2" fillId="2" borderId="5" xfId="0" applyNumberFormat="1" applyFont="1" applyFill="1" applyBorder="1" applyAlignment="1">
      <alignment horizontal="right"/>
    </xf>
    <xf numFmtId="15" fontId="2" fillId="2" borderId="5" xfId="0" applyNumberFormat="1" applyFont="1" applyFill="1" applyBorder="1" applyAlignment="1"/>
    <xf numFmtId="4" fontId="13" fillId="2" borderId="5" xfId="0" applyNumberFormat="1" applyFont="1" applyFill="1" applyBorder="1" applyAlignment="1" applyProtection="1">
      <alignment horizontal="right"/>
      <protection locked="0"/>
    </xf>
    <xf numFmtId="0" fontId="12" fillId="2" borderId="2" xfId="0" applyNumberFormat="1" applyFont="1" applyFill="1" applyBorder="1" applyAlignment="1"/>
    <xf numFmtId="4" fontId="2" fillId="2" borderId="5" xfId="0" applyNumberFormat="1" applyFont="1" applyFill="1" applyBorder="1" applyAlignment="1" applyProtection="1">
      <alignment horizontal="right"/>
      <protection locked="0"/>
    </xf>
    <xf numFmtId="4" fontId="13" fillId="2" borderId="5" xfId="0" applyNumberFormat="1" applyFont="1" applyFill="1" applyBorder="1" applyAlignment="1" applyProtection="1">
      <alignment horizontal="center"/>
      <protection locked="0"/>
    </xf>
    <xf numFmtId="4" fontId="13" fillId="2" borderId="0" xfId="0" applyNumberFormat="1" applyFont="1" applyFill="1" applyAlignment="1" applyProtection="1">
      <alignment horizontal="right"/>
      <protection locked="0"/>
    </xf>
    <xf numFmtId="15" fontId="16" fillId="2" borderId="5" xfId="0" applyNumberFormat="1" applyFont="1" applyFill="1" applyBorder="1" applyAlignment="1">
      <alignment horizontal="center"/>
    </xf>
    <xf numFmtId="0" fontId="2" fillId="2" borderId="0" xfId="0" applyNumberFormat="1" applyFont="1" applyFill="1" applyAlignment="1" applyProtection="1">
      <protection locked="0"/>
    </xf>
    <xf numFmtId="2" fontId="13" fillId="2" borderId="5" xfId="0" applyNumberFormat="1" applyFont="1" applyFill="1" applyBorder="1" applyAlignment="1" applyProtection="1">
      <alignment horizontal="right"/>
      <protection locked="0"/>
    </xf>
    <xf numFmtId="0" fontId="13" fillId="2" borderId="1" xfId="0" applyNumberFormat="1" applyFont="1" applyFill="1" applyBorder="1" applyAlignment="1"/>
    <xf numFmtId="15" fontId="16" fillId="2" borderId="2" xfId="0" applyNumberFormat="1" applyFont="1" applyFill="1" applyBorder="1" applyAlignment="1">
      <alignment horizontal="centerContinuous"/>
    </xf>
    <xf numFmtId="15" fontId="16" fillId="2" borderId="2" xfId="0" applyNumberFormat="1" applyFont="1" applyFill="1" applyBorder="1" applyAlignment="1">
      <alignment horizontal="center"/>
    </xf>
    <xf numFmtId="15" fontId="10" fillId="2" borderId="2" xfId="0" applyNumberFormat="1" applyFont="1" applyFill="1" applyBorder="1" applyAlignment="1">
      <alignment horizontal="center"/>
    </xf>
    <xf numFmtId="0" fontId="13" fillId="2" borderId="3" xfId="0" applyNumberFormat="1" applyFont="1" applyFill="1" applyBorder="1" applyAlignment="1"/>
    <xf numFmtId="0" fontId="17" fillId="2" borderId="0" xfId="0" applyNumberFormat="1" applyFont="1" applyFill="1" applyAlignment="1"/>
    <xf numFmtId="15" fontId="16" fillId="2" borderId="0" xfId="0" applyNumberFormat="1" applyFont="1" applyFill="1" applyAlignment="1">
      <alignment horizontal="centerContinuous"/>
    </xf>
    <xf numFmtId="15" fontId="16" fillId="2" borderId="0" xfId="0" applyNumberFormat="1" applyFont="1" applyFill="1" applyAlignment="1">
      <alignment horizontal="center"/>
    </xf>
    <xf numFmtId="0" fontId="13" fillId="2" borderId="4" xfId="0" applyNumberFormat="1" applyFont="1" applyFill="1" applyBorder="1" applyAlignment="1"/>
    <xf numFmtId="0" fontId="13" fillId="2" borderId="5" xfId="0" applyNumberFormat="1" applyFont="1" applyFill="1" applyBorder="1" applyAlignment="1"/>
    <xf numFmtId="15" fontId="16" fillId="2" borderId="5" xfId="0" applyNumberFormat="1" applyFont="1" applyFill="1" applyBorder="1" applyAlignment="1">
      <alignment horizontal="centerContinuous"/>
    </xf>
    <xf numFmtId="10" fontId="13" fillId="2" borderId="5" xfId="0" applyNumberFormat="1" applyFont="1" applyFill="1" applyBorder="1" applyAlignment="1">
      <alignment horizontal="center"/>
    </xf>
    <xf numFmtId="0" fontId="2" fillId="2" borderId="5" xfId="0" applyNumberFormat="1" applyFont="1" applyFill="1" applyBorder="1" applyAlignment="1" applyProtection="1">
      <protection locked="0"/>
    </xf>
    <xf numFmtId="0" fontId="13" fillId="2" borderId="3" xfId="0" applyNumberFormat="1" applyFont="1" applyFill="1" applyBorder="1" applyAlignment="1">
      <alignment horizontal="right"/>
    </xf>
    <xf numFmtId="0" fontId="16" fillId="2" borderId="0" xfId="0" applyNumberFormat="1" applyFont="1" applyFill="1" applyAlignment="1">
      <alignment horizontal="center"/>
    </xf>
    <xf numFmtId="3" fontId="16" fillId="2" borderId="0" xfId="0" applyNumberFormat="1" applyFont="1" applyFill="1" applyAlignment="1">
      <alignment horizontal="center"/>
    </xf>
    <xf numFmtId="3" fontId="10" fillId="2" borderId="0" xfId="0" applyNumberFormat="1" applyFont="1" applyFill="1" applyAlignment="1">
      <alignment horizontal="center"/>
    </xf>
    <xf numFmtId="0" fontId="13" fillId="2" borderId="4" xfId="0" applyNumberFormat="1" applyFont="1" applyFill="1" applyBorder="1" applyAlignment="1">
      <alignment horizontal="right"/>
    </xf>
    <xf numFmtId="3" fontId="13" fillId="2" borderId="5" xfId="0" applyNumberFormat="1" applyFont="1" applyFill="1" applyBorder="1" applyAlignment="1" applyProtection="1">
      <alignment horizontal="center"/>
      <protection locked="0"/>
    </xf>
    <xf numFmtId="3" fontId="16" fillId="2" borderId="5" xfId="0" applyNumberFormat="1" applyFont="1" applyFill="1" applyBorder="1" applyAlignment="1"/>
    <xf numFmtId="0" fontId="13" fillId="2" borderId="4" xfId="0" applyNumberFormat="1" applyFont="1" applyFill="1" applyBorder="1" applyAlignment="1">
      <alignment horizontal="center"/>
    </xf>
    <xf numFmtId="0" fontId="16" fillId="2" borderId="5" xfId="0" applyNumberFormat="1" applyFont="1" applyFill="1" applyBorder="1" applyAlignment="1"/>
    <xf numFmtId="0" fontId="13" fillId="2" borderId="5" xfId="0" applyNumberFormat="1" applyFont="1" applyFill="1" applyBorder="1" applyAlignment="1">
      <alignment horizontal="right"/>
    </xf>
    <xf numFmtId="4" fontId="13" fillId="2" borderId="5" xfId="0" applyNumberFormat="1" applyFont="1" applyFill="1" applyBorder="1" applyAlignment="1">
      <alignment horizontal="right"/>
    </xf>
    <xf numFmtId="10" fontId="13" fillId="2" borderId="5" xfId="0" applyNumberFormat="1" applyFont="1" applyFill="1" applyBorder="1" applyAlignment="1" applyProtection="1">
      <alignment horizontal="center"/>
      <protection locked="0"/>
    </xf>
    <xf numFmtId="0" fontId="16" fillId="2" borderId="0" xfId="0" applyNumberFormat="1" applyFont="1" applyFill="1" applyAlignment="1"/>
    <xf numFmtId="166" fontId="13" fillId="2" borderId="5" xfId="0" applyNumberFormat="1" applyFont="1" applyFill="1" applyBorder="1" applyAlignment="1"/>
    <xf numFmtId="10" fontId="13" fillId="2" borderId="5" xfId="0" applyNumberFormat="1" applyFont="1" applyFill="1" applyBorder="1" applyAlignment="1"/>
    <xf numFmtId="9" fontId="2" fillId="2" borderId="5" xfId="0" applyNumberFormat="1" applyFont="1" applyFill="1" applyBorder="1" applyAlignment="1"/>
    <xf numFmtId="9" fontId="2" fillId="2" borderId="0" xfId="0" applyNumberFormat="1" applyFont="1" applyFill="1" applyAlignment="1"/>
    <xf numFmtId="3" fontId="13" fillId="2" borderId="0" xfId="0" applyNumberFormat="1" applyFont="1" applyFill="1" applyAlignment="1" applyProtection="1">
      <alignment horizontal="right"/>
      <protection locked="0"/>
    </xf>
    <xf numFmtId="0" fontId="8" fillId="2" borderId="3" xfId="0" applyNumberFormat="1" applyFont="1" applyFill="1" applyBorder="1" applyAlignment="1"/>
    <xf numFmtId="0" fontId="18" fillId="2" borderId="0" xfId="0" applyNumberFormat="1" applyFont="1" applyFill="1" applyAlignment="1"/>
    <xf numFmtId="0" fontId="0" fillId="0" borderId="2" xfId="0" applyNumberFormat="1" applyBorder="1"/>
    <xf numFmtId="0" fontId="2" fillId="2" borderId="6" xfId="0" applyNumberFormat="1" applyFont="1" applyFill="1" applyBorder="1" applyAlignment="1"/>
    <xf numFmtId="0" fontId="15" fillId="2" borderId="7" xfId="0" applyNumberFormat="1" applyFont="1" applyFill="1" applyBorder="1" applyAlignment="1"/>
    <xf numFmtId="0" fontId="2" fillId="2" borderId="7" xfId="0" applyNumberFormat="1" applyFont="1" applyFill="1" applyBorder="1" applyAlignment="1"/>
    <xf numFmtId="0" fontId="2" fillId="2" borderId="7" xfId="0" applyNumberFormat="1" applyFont="1" applyFill="1" applyBorder="1" applyAlignment="1" applyProtection="1">
      <alignment horizontal="right"/>
      <protection locked="0"/>
    </xf>
    <xf numFmtId="0" fontId="2" fillId="2" borderId="8" xfId="0" applyNumberFormat="1" applyFont="1" applyFill="1" applyBorder="1" applyAlignment="1"/>
    <xf numFmtId="4" fontId="2" fillId="2" borderId="7" xfId="0" applyNumberFormat="1" applyFont="1" applyFill="1" applyBorder="1" applyAlignment="1" applyProtection="1">
      <alignment horizontal="right"/>
      <protection locked="0"/>
    </xf>
    <xf numFmtId="0" fontId="8" fillId="2" borderId="7" xfId="0" applyNumberFormat="1" applyFont="1" applyFill="1" applyBorder="1" applyAlignment="1"/>
    <xf numFmtId="0" fontId="8" fillId="2" borderId="8" xfId="0" applyNumberFormat="1" applyFont="1" applyFill="1" applyBorder="1" applyAlignment="1"/>
    <xf numFmtId="3" fontId="1" fillId="0" borderId="0" xfId="0" applyNumberFormat="1" applyFont="1" applyAlignment="1"/>
    <xf numFmtId="167" fontId="2" fillId="2" borderId="5" xfId="0" applyNumberFormat="1" applyFont="1" applyFill="1" applyBorder="1" applyAlignment="1">
      <alignment horizontal="center"/>
    </xf>
    <xf numFmtId="0" fontId="19" fillId="2" borderId="0" xfId="0" applyNumberFormat="1" applyFont="1" applyFill="1" applyAlignment="1"/>
    <xf numFmtId="0" fontId="19" fillId="2" borderId="0" xfId="0" applyNumberFormat="1" applyFont="1" applyFill="1" applyAlignment="1">
      <alignment horizontal="center" wrapText="1"/>
    </xf>
    <xf numFmtId="0" fontId="20" fillId="2" borderId="0" xfId="0" applyNumberFormat="1" applyFont="1" applyFill="1" applyAlignment="1">
      <alignment horizontal="center" wrapText="1"/>
    </xf>
    <xf numFmtId="0" fontId="19" fillId="2" borderId="0" xfId="0" applyNumberFormat="1" applyFont="1" applyFill="1" applyAlignment="1">
      <alignment horizontal="left" vertical="top" wrapText="1"/>
    </xf>
    <xf numFmtId="0" fontId="19" fillId="2" borderId="0" xfId="0" applyNumberFormat="1" applyFont="1" applyFill="1" applyAlignment="1">
      <alignment horizontal="center" vertical="top" wrapText="1"/>
    </xf>
    <xf numFmtId="4" fontId="19" fillId="2" borderId="0" xfId="0" applyNumberFormat="1" applyFont="1" applyFill="1" applyAlignment="1" applyProtection="1">
      <alignment horizontal="center" vertical="top" wrapText="1"/>
      <protection locked="0"/>
    </xf>
    <xf numFmtId="0" fontId="20" fillId="2" borderId="0" xfId="0" applyNumberFormat="1" applyFont="1" applyFill="1" applyAlignment="1"/>
    <xf numFmtId="0" fontId="21" fillId="2" borderId="5" xfId="0" applyNumberFormat="1" applyFont="1" applyFill="1" applyBorder="1" applyAlignment="1"/>
    <xf numFmtId="0" fontId="21" fillId="2" borderId="0" xfId="0" applyNumberFormat="1" applyFont="1" applyFill="1" applyAlignment="1"/>
    <xf numFmtId="0" fontId="19" fillId="2" borderId="0" xfId="0" applyNumberFormat="1" applyFont="1" applyFill="1" applyAlignment="1">
      <alignment horizontal="right"/>
    </xf>
    <xf numFmtId="4" fontId="19" fillId="2" borderId="0" xfId="0" applyNumberFormat="1" applyFont="1" applyFill="1" applyAlignment="1" applyProtection="1">
      <alignment horizontal="right"/>
      <protection locked="0"/>
    </xf>
    <xf numFmtId="0" fontId="19" fillId="2" borderId="5" xfId="0" applyNumberFormat="1" applyFont="1" applyFill="1" applyBorder="1" applyAlignment="1"/>
    <xf numFmtId="0" fontId="22" fillId="2" borderId="5" xfId="0" applyNumberFormat="1" applyFont="1" applyFill="1" applyBorder="1" applyAlignment="1">
      <alignment horizontal="center" wrapText="1"/>
    </xf>
    <xf numFmtId="168" fontId="2" fillId="2" borderId="5" xfId="0" applyNumberFormat="1" applyFont="1" applyFill="1" applyBorder="1" applyAlignment="1">
      <alignment horizontal="center"/>
    </xf>
    <xf numFmtId="168" fontId="10" fillId="2" borderId="5" xfId="0" applyNumberFormat="1" applyFont="1" applyFill="1" applyBorder="1" applyAlignment="1">
      <alignment horizontal="center"/>
    </xf>
    <xf numFmtId="164" fontId="19" fillId="2" borderId="5" xfId="0" applyNumberFormat="1" applyFont="1" applyFill="1" applyBorder="1" applyAlignment="1"/>
    <xf numFmtId="167" fontId="2" fillId="2" borderId="5" xfId="0" applyNumberFormat="1" applyFont="1" applyFill="1" applyBorder="1" applyAlignment="1">
      <alignment horizontal="right"/>
    </xf>
    <xf numFmtId="4" fontId="19" fillId="2" borderId="5" xfId="0" applyNumberFormat="1" applyFont="1" applyFill="1" applyBorder="1" applyAlignment="1">
      <alignment horizontal="center"/>
    </xf>
    <xf numFmtId="17" fontId="2" fillId="2" borderId="5" xfId="0" applyNumberFormat="1" applyFont="1" applyFill="1" applyBorder="1" applyAlignment="1">
      <alignment horizontal="center"/>
    </xf>
    <xf numFmtId="0" fontId="9" fillId="2" borderId="0" xfId="0" quotePrefix="1" applyNumberFormat="1" applyFont="1" applyFill="1" applyAlignment="1">
      <alignment horizontal="center"/>
    </xf>
    <xf numFmtId="0" fontId="24" fillId="2" borderId="5" xfId="0" applyNumberFormat="1" applyFont="1" applyFill="1" applyBorder="1" applyAlignment="1"/>
    <xf numFmtId="10" fontId="2" fillId="2" borderId="5" xfId="0" applyNumberFormat="1" applyFont="1" applyFill="1" applyBorder="1" applyAlignment="1"/>
    <xf numFmtId="4" fontId="13" fillId="2" borderId="5" xfId="0" applyNumberFormat="1" applyFont="1" applyFill="1" applyBorder="1" applyAlignment="1">
      <alignment horizontal="center"/>
    </xf>
    <xf numFmtId="0" fontId="2" fillId="0" borderId="0" xfId="0" applyNumberFormat="1" applyFont="1" applyFill="1" applyBorder="1" applyAlignment="1"/>
    <xf numFmtId="170" fontId="19" fillId="2" borderId="5" xfId="0" applyNumberFormat="1" applyFont="1" applyFill="1" applyBorder="1" applyAlignment="1">
      <alignment horizontal="center"/>
    </xf>
    <xf numFmtId="170" fontId="19" fillId="2" borderId="5" xfId="0" applyNumberFormat="1" applyFont="1" applyFill="1" applyBorder="1" applyAlignment="1"/>
    <xf numFmtId="10" fontId="10" fillId="2" borderId="0" xfId="0" applyNumberFormat="1" applyFont="1" applyFill="1" applyAlignment="1">
      <alignment horizontal="center"/>
    </xf>
    <xf numFmtId="0" fontId="21" fillId="2" borderId="9" xfId="0" applyNumberFormat="1" applyFont="1" applyFill="1" applyBorder="1" applyAlignment="1"/>
    <xf numFmtId="0" fontId="2" fillId="2" borderId="10" xfId="0" applyNumberFormat="1" applyFont="1" applyFill="1" applyBorder="1" applyAlignment="1"/>
    <xf numFmtId="0" fontId="2" fillId="2" borderId="11" xfId="0" applyNumberFormat="1" applyFont="1" applyFill="1" applyBorder="1" applyAlignment="1"/>
    <xf numFmtId="0" fontId="2" fillId="2" borderId="12" xfId="0" applyNumberFormat="1" applyFont="1" applyFill="1" applyBorder="1" applyAlignment="1"/>
    <xf numFmtId="0" fontId="25" fillId="2" borderId="5" xfId="0" applyNumberFormat="1" applyFont="1" applyFill="1" applyBorder="1" applyAlignment="1"/>
    <xf numFmtId="10" fontId="2" fillId="2" borderId="9" xfId="0" applyNumberFormat="1" applyFont="1" applyFill="1" applyBorder="1" applyAlignment="1"/>
    <xf numFmtId="3" fontId="26" fillId="2" borderId="9" xfId="0" applyNumberFormat="1" applyFont="1" applyFill="1" applyBorder="1" applyAlignment="1" applyProtection="1">
      <alignment horizontal="right"/>
      <protection locked="0"/>
    </xf>
    <xf numFmtId="9" fontId="2" fillId="2" borderId="10" xfId="0" applyNumberFormat="1" applyFont="1" applyFill="1" applyBorder="1" applyAlignment="1"/>
    <xf numFmtId="169" fontId="2" fillId="2" borderId="5" xfId="0" applyNumberFormat="1" applyFont="1" applyFill="1" applyBorder="1" applyAlignment="1">
      <alignment horizontal="center"/>
    </xf>
    <xf numFmtId="0" fontId="27" fillId="2" borderId="0" xfId="0" applyNumberFormat="1" applyFont="1" applyFill="1" applyAlignment="1"/>
    <xf numFmtId="0" fontId="28" fillId="2" borderId="0" xfId="1" applyNumberFormat="1" applyFont="1" applyFill="1" applyAlignment="1" applyProtection="1"/>
    <xf numFmtId="0" fontId="27" fillId="2" borderId="5" xfId="0" applyNumberFormat="1" applyFont="1" applyFill="1" applyBorder="1" applyAlignment="1"/>
    <xf numFmtId="10" fontId="28" fillId="2" borderId="5" xfId="1" applyNumberFormat="1" applyFont="1" applyFill="1" applyBorder="1" applyAlignment="1">
      <alignment horizontal="left"/>
      <protection locked="0"/>
    </xf>
    <xf numFmtId="169" fontId="10" fillId="2" borderId="5" xfId="0" applyNumberFormat="1" applyFont="1" applyFill="1" applyBorder="1" applyAlignment="1">
      <alignment horizontal="center"/>
    </xf>
    <xf numFmtId="3" fontId="2" fillId="2" borderId="5" xfId="0" applyNumberFormat="1" applyFont="1" applyFill="1" applyBorder="1" applyAlignment="1">
      <alignment horizontal="center"/>
    </xf>
    <xf numFmtId="0" fontId="22" fillId="2" borderId="5" xfId="0" applyNumberFormat="1" applyFont="1" applyFill="1" applyBorder="1" applyAlignment="1"/>
    <xf numFmtId="164" fontId="24" fillId="2" borderId="5" xfId="0" applyNumberFormat="1" applyFont="1" applyFill="1" applyBorder="1" applyAlignment="1">
      <alignment horizontal="center"/>
    </xf>
    <xf numFmtId="164" fontId="22" fillId="2" borderId="5" xfId="0" applyNumberFormat="1" applyFont="1" applyFill="1" applyBorder="1" applyAlignment="1">
      <alignment horizontal="center"/>
    </xf>
    <xf numFmtId="4" fontId="10" fillId="2" borderId="5" xfId="0" applyNumberFormat="1" applyFont="1" applyFill="1" applyBorder="1" applyAlignment="1">
      <alignment horizontal="center"/>
    </xf>
    <xf numFmtId="0" fontId="10" fillId="2" borderId="5" xfId="0" applyNumberFormat="1" applyFont="1" applyFill="1" applyBorder="1" applyAlignment="1">
      <alignment horizontal="center"/>
    </xf>
    <xf numFmtId="15" fontId="10" fillId="2" borderId="0" xfId="0" applyNumberFormat="1" applyFont="1" applyFill="1" applyAlignment="1">
      <alignment horizontal="right"/>
    </xf>
    <xf numFmtId="0" fontId="10" fillId="2" borderId="0" xfId="0" applyNumberFormat="1" applyFont="1" applyFill="1" applyAlignment="1">
      <alignment horizontal="right"/>
    </xf>
    <xf numFmtId="0" fontId="24" fillId="2" borderId="5" xfId="0" applyNumberFormat="1" applyFont="1" applyFill="1" applyBorder="1" applyAlignment="1">
      <alignment horizontal="center"/>
    </xf>
    <xf numFmtId="3" fontId="22" fillId="2" borderId="9" xfId="0" applyNumberFormat="1" applyFont="1" applyFill="1" applyBorder="1" applyAlignment="1"/>
    <xf numFmtId="0" fontId="1" fillId="2" borderId="0" xfId="0" applyNumberFormat="1" applyFont="1" applyFill="1" applyAlignment="1"/>
    <xf numFmtId="0" fontId="1" fillId="2" borderId="5" xfId="0" applyNumberFormat="1" applyFont="1" applyFill="1" applyBorder="1" applyAlignment="1"/>
    <xf numFmtId="164" fontId="1" fillId="2" borderId="5" xfId="0" applyNumberFormat="1" applyFont="1" applyFill="1" applyBorder="1" applyAlignment="1"/>
    <xf numFmtId="0" fontId="1" fillId="2" borderId="7" xfId="0" applyNumberFormat="1" applyFont="1" applyFill="1" applyBorder="1" applyAlignment="1"/>
    <xf numFmtId="0" fontId="1" fillId="2" borderId="8" xfId="0" applyNumberFormat="1" applyFont="1" applyFill="1" applyBorder="1" applyAlignment="1"/>
    <xf numFmtId="0" fontId="1" fillId="2" borderId="3" xfId="0" applyNumberFormat="1" applyFont="1" applyFill="1" applyBorder="1" applyAlignment="1"/>
    <xf numFmtId="171" fontId="19" fillId="2" borderId="5" xfId="0" applyNumberFormat="1" applyFont="1" applyFill="1" applyBorder="1" applyAlignment="1">
      <alignment horizontal="center"/>
    </xf>
    <xf numFmtId="3" fontId="0" fillId="0" borderId="3" xfId="0" applyNumberFormat="1" applyBorder="1"/>
    <xf numFmtId="3" fontId="2" fillId="2" borderId="5" xfId="0" applyNumberFormat="1" applyFont="1" applyFill="1" applyBorder="1" applyAlignment="1" applyProtection="1">
      <alignment horizontal="center"/>
      <protection locked="0"/>
    </xf>
    <xf numFmtId="4" fontId="2" fillId="2" borderId="5" xfId="0" applyNumberFormat="1" applyFont="1" applyFill="1" applyBorder="1" applyAlignment="1" applyProtection="1">
      <alignment horizontal="center"/>
      <protection locked="0"/>
    </xf>
    <xf numFmtId="10" fontId="2" fillId="2" borderId="5" xfId="0" applyNumberFormat="1" applyFont="1" applyFill="1" applyBorder="1" applyAlignment="1" applyProtection="1">
      <alignment horizontal="center"/>
      <protection locked="0"/>
    </xf>
    <xf numFmtId="0" fontId="2" fillId="3" borderId="1" xfId="0" applyNumberFormat="1" applyFont="1" applyFill="1" applyBorder="1" applyAlignment="1"/>
    <xf numFmtId="0" fontId="2" fillId="3" borderId="2" xfId="0" applyNumberFormat="1" applyFont="1" applyFill="1" applyBorder="1" applyAlignment="1"/>
    <xf numFmtId="0" fontId="2" fillId="3" borderId="3" xfId="0" applyNumberFormat="1" applyFont="1" applyFill="1" applyBorder="1" applyAlignment="1"/>
    <xf numFmtId="0" fontId="5" fillId="3" borderId="0" xfId="0" applyNumberFormat="1" applyFont="1" applyFill="1" applyAlignment="1"/>
    <xf numFmtId="0" fontId="2" fillId="3" borderId="0" xfId="0" applyNumberFormat="1" applyFont="1" applyFill="1" applyAlignment="1"/>
    <xf numFmtId="0" fontId="2" fillId="3" borderId="3" xfId="0" applyNumberFormat="1" applyFont="1" applyFill="1" applyBorder="1" applyAlignment="1">
      <alignment horizontal="center"/>
    </xf>
    <xf numFmtId="0" fontId="19" fillId="3" borderId="0" xfId="0" applyNumberFormat="1" applyFont="1" applyFill="1" applyAlignment="1"/>
    <xf numFmtId="0" fontId="7" fillId="3" borderId="0" xfId="0" applyNumberFormat="1" applyFont="1" applyFill="1" applyAlignment="1"/>
    <xf numFmtId="0" fontId="27" fillId="3" borderId="0" xfId="0" applyNumberFormat="1" applyFont="1" applyFill="1" applyAlignment="1"/>
    <xf numFmtId="0" fontId="28" fillId="3" borderId="0" xfId="1" applyNumberFormat="1" applyFont="1" applyFill="1" applyAlignment="1" applyProtection="1"/>
    <xf numFmtId="0" fontId="9" fillId="3" borderId="0" xfId="0" applyNumberFormat="1" applyFont="1" applyFill="1" applyAlignment="1"/>
    <xf numFmtId="0" fontId="11" fillId="3" borderId="0" xfId="0" applyNumberFormat="1" applyFont="1" applyFill="1" applyAlignment="1"/>
    <xf numFmtId="9" fontId="10" fillId="3" borderId="0" xfId="0" applyNumberFormat="1" applyFont="1" applyFill="1" applyAlignment="1">
      <alignment horizontal="center"/>
    </xf>
    <xf numFmtId="0" fontId="2" fillId="3" borderId="0" xfId="0" applyNumberFormat="1" applyFont="1" applyFill="1" applyAlignment="1">
      <alignment horizontal="center"/>
    </xf>
    <xf numFmtId="0" fontId="4" fillId="3" borderId="0" xfId="0" applyNumberFormat="1" applyFont="1" applyFill="1" applyAlignment="1"/>
    <xf numFmtId="0" fontId="1" fillId="3" borderId="0" xfId="0" applyNumberFormat="1" applyFont="1" applyFill="1" applyAlignment="1"/>
    <xf numFmtId="0" fontId="2" fillId="3" borderId="0" xfId="0" applyNumberFormat="1" applyFont="1" applyFill="1" applyAlignment="1">
      <alignment horizontal="right"/>
    </xf>
    <xf numFmtId="0" fontId="2" fillId="3" borderId="4" xfId="0" applyNumberFormat="1" applyFont="1" applyFill="1" applyBorder="1" applyAlignment="1"/>
    <xf numFmtId="0" fontId="2" fillId="3" borderId="5" xfId="0" applyNumberFormat="1" applyFont="1" applyFill="1" applyBorder="1" applyAlignment="1"/>
    <xf numFmtId="0" fontId="2" fillId="3" borderId="6" xfId="0" applyNumberFormat="1" applyFont="1" applyFill="1" applyBorder="1" applyAlignment="1"/>
    <xf numFmtId="4" fontId="2" fillId="3" borderId="2" xfId="0" applyNumberFormat="1" applyFont="1" applyFill="1" applyBorder="1" applyAlignment="1" applyProtection="1">
      <alignment horizontal="right"/>
      <protection locked="0"/>
    </xf>
    <xf numFmtId="4" fontId="2" fillId="3" borderId="0" xfId="0" applyNumberFormat="1" applyFont="1" applyFill="1" applyAlignment="1" applyProtection="1">
      <alignment horizontal="right"/>
      <protection locked="0"/>
    </xf>
    <xf numFmtId="0" fontId="19" fillId="3" borderId="0" xfId="0" applyNumberFormat="1" applyFont="1" applyFill="1" applyAlignment="1">
      <alignment horizontal="left" vertical="top" wrapText="1"/>
    </xf>
    <xf numFmtId="0" fontId="19" fillId="3" borderId="0" xfId="0" applyNumberFormat="1" applyFont="1" applyFill="1" applyAlignment="1">
      <alignment horizontal="center" vertical="top" wrapText="1"/>
    </xf>
    <xf numFmtId="4" fontId="19" fillId="3" borderId="0" xfId="0" applyNumberFormat="1" applyFont="1" applyFill="1" applyAlignment="1" applyProtection="1">
      <alignment horizontal="center" vertical="top" wrapText="1"/>
      <protection locked="0"/>
    </xf>
    <xf numFmtId="0" fontId="20" fillId="3" borderId="0" xfId="0" applyNumberFormat="1" applyFont="1" applyFill="1" applyAlignment="1"/>
    <xf numFmtId="3" fontId="2" fillId="3" borderId="0" xfId="0" applyNumberFormat="1" applyFont="1" applyFill="1" applyAlignment="1"/>
    <xf numFmtId="3" fontId="13" fillId="3" borderId="0" xfId="0" applyNumberFormat="1" applyFont="1" applyFill="1" applyAlignment="1"/>
    <xf numFmtId="0" fontId="21" fillId="3" borderId="0" xfId="0" applyNumberFormat="1" applyFont="1" applyFill="1" applyAlignment="1"/>
    <xf numFmtId="4" fontId="13" fillId="3" borderId="0" xfId="0" applyNumberFormat="1" applyFont="1" applyFill="1" applyAlignment="1" applyProtection="1">
      <alignment horizontal="right"/>
      <protection locked="0"/>
    </xf>
    <xf numFmtId="0" fontId="19" fillId="3" borderId="0" xfId="0" applyNumberFormat="1" applyFont="1" applyFill="1" applyAlignment="1">
      <alignment horizontal="right"/>
    </xf>
    <xf numFmtId="4" fontId="19" fillId="3" borderId="0" xfId="0" applyNumberFormat="1" applyFont="1" applyFill="1" applyAlignment="1" applyProtection="1">
      <alignment horizontal="right"/>
      <protection locked="0"/>
    </xf>
    <xf numFmtId="0" fontId="6" fillId="3" borderId="0" xfId="0" applyNumberFormat="1" applyFont="1" applyFill="1" applyAlignment="1"/>
    <xf numFmtId="0" fontId="2" fillId="3" borderId="0" xfId="0" applyNumberFormat="1" applyFont="1" applyFill="1" applyAlignment="1" applyProtection="1">
      <protection locked="0"/>
    </xf>
    <xf numFmtId="0" fontId="1" fillId="3" borderId="7" xfId="0" applyNumberFormat="1" applyFont="1" applyFill="1" applyBorder="1" applyAlignment="1"/>
    <xf numFmtId="0" fontId="1" fillId="3" borderId="8" xfId="0" applyNumberFormat="1" applyFont="1" applyFill="1" applyBorder="1" applyAlignment="1"/>
    <xf numFmtId="0" fontId="13" fillId="3" borderId="3" xfId="0" applyNumberFormat="1" applyFont="1" applyFill="1" applyBorder="1" applyAlignment="1"/>
    <xf numFmtId="0" fontId="17" fillId="3" borderId="0" xfId="0" applyNumberFormat="1" applyFont="1" applyFill="1" applyAlignment="1"/>
    <xf numFmtId="15" fontId="16" fillId="3" borderId="0" xfId="0" applyNumberFormat="1" applyFont="1" applyFill="1" applyAlignment="1">
      <alignment horizontal="centerContinuous"/>
    </xf>
    <xf numFmtId="15" fontId="16" fillId="3" borderId="0" xfId="0" applyNumberFormat="1" applyFont="1" applyFill="1" applyAlignment="1">
      <alignment horizontal="center"/>
    </xf>
    <xf numFmtId="0" fontId="2" fillId="3" borderId="5" xfId="0" applyNumberFormat="1" applyFont="1" applyFill="1" applyBorder="1" applyAlignment="1" applyProtection="1">
      <protection locked="0"/>
    </xf>
    <xf numFmtId="0" fontId="13" fillId="3" borderId="4" xfId="0" applyNumberFormat="1" applyFont="1" applyFill="1" applyBorder="1" applyAlignment="1">
      <alignment horizontal="right"/>
    </xf>
    <xf numFmtId="3" fontId="16" fillId="3" borderId="5" xfId="0" applyNumberFormat="1" applyFont="1" applyFill="1" applyBorder="1" applyAlignment="1"/>
    <xf numFmtId="0" fontId="16" fillId="3" borderId="5" xfId="0" applyNumberFormat="1" applyFont="1" applyFill="1" applyBorder="1" applyAlignment="1"/>
    <xf numFmtId="166" fontId="13" fillId="3" borderId="5" xfId="0" applyNumberFormat="1" applyFont="1" applyFill="1" applyBorder="1" applyAlignment="1"/>
    <xf numFmtId="9" fontId="2" fillId="3" borderId="5" xfId="0" applyNumberFormat="1" applyFont="1" applyFill="1" applyBorder="1" applyAlignment="1"/>
    <xf numFmtId="9" fontId="2" fillId="3" borderId="0" xfId="0" applyNumberFormat="1" applyFont="1" applyFill="1" applyAlignment="1"/>
    <xf numFmtId="3" fontId="13" fillId="3" borderId="0" xfId="0" applyNumberFormat="1" applyFont="1" applyFill="1" applyAlignment="1" applyProtection="1">
      <alignment horizontal="right"/>
      <protection locked="0"/>
    </xf>
    <xf numFmtId="0" fontId="1" fillId="3" borderId="3" xfId="0" applyNumberFormat="1" applyFont="1" applyFill="1" applyBorder="1" applyAlignment="1"/>
    <xf numFmtId="0" fontId="29" fillId="4" borderId="3" xfId="0" applyNumberFormat="1" applyFont="1" applyFill="1" applyBorder="1" applyAlignment="1"/>
    <xf numFmtId="0" fontId="29" fillId="4" borderId="0" xfId="0" applyNumberFormat="1" applyFont="1" applyFill="1" applyAlignment="1"/>
    <xf numFmtId="0" fontId="30" fillId="4" borderId="0" xfId="0" applyNumberFormat="1" applyFont="1" applyFill="1" applyAlignment="1">
      <alignment horizontal="center" wrapText="1"/>
    </xf>
    <xf numFmtId="0" fontId="31" fillId="4" borderId="0" xfId="0" applyNumberFormat="1" applyFont="1" applyFill="1" applyAlignment="1">
      <alignment horizontal="center" wrapText="1"/>
    </xf>
    <xf numFmtId="0" fontId="29" fillId="4" borderId="0" xfId="0" applyNumberFormat="1" applyFont="1" applyFill="1" applyAlignment="1">
      <alignment horizontal="center" wrapText="1"/>
    </xf>
    <xf numFmtId="0" fontId="32" fillId="4" borderId="0" xfId="0" applyNumberFormat="1" applyFont="1" applyFill="1" applyAlignment="1"/>
    <xf numFmtId="0" fontId="33" fillId="3" borderId="2" xfId="0" applyNumberFormat="1" applyFont="1" applyFill="1" applyBorder="1" applyAlignment="1"/>
    <xf numFmtId="0" fontId="34" fillId="3" borderId="0" xfId="0" applyNumberFormat="1" applyFont="1" applyFill="1" applyAlignment="1"/>
    <xf numFmtId="0" fontId="35" fillId="3" borderId="0" xfId="0" applyNumberFormat="1" applyFont="1" applyFill="1" applyAlignment="1"/>
    <xf numFmtId="0" fontId="36" fillId="3" borderId="0" xfId="0" applyNumberFormat="1" applyFont="1" applyFill="1" applyAlignment="1"/>
    <xf numFmtId="0" fontId="37" fillId="3" borderId="0" xfId="0" applyNumberFormat="1" applyFont="1" applyFill="1" applyAlignment="1"/>
    <xf numFmtId="0" fontId="37" fillId="3" borderId="0" xfId="0" applyNumberFormat="1" applyFont="1" applyFill="1" applyAlignment="1">
      <alignment horizontal="center" wrapText="1"/>
    </xf>
    <xf numFmtId="9" fontId="35" fillId="3" borderId="0" xfId="0" applyNumberFormat="1" applyFont="1" applyFill="1" applyAlignment="1">
      <alignment horizontal="center"/>
    </xf>
    <xf numFmtId="10" fontId="35" fillId="3" borderId="0" xfId="0" applyNumberFormat="1" applyFont="1" applyFill="1" applyAlignment="1">
      <alignment horizontal="center"/>
    </xf>
    <xf numFmtId="0" fontId="35" fillId="3" borderId="0" xfId="0" applyNumberFormat="1" applyFont="1" applyFill="1" applyAlignment="1">
      <alignment horizontal="center"/>
    </xf>
    <xf numFmtId="15" fontId="35" fillId="3" borderId="0" xfId="0" applyNumberFormat="1" applyFont="1" applyFill="1" applyAlignment="1">
      <alignment horizontal="center"/>
    </xf>
    <xf numFmtId="0" fontId="36" fillId="3" borderId="0" xfId="0" applyNumberFormat="1" applyFont="1" applyFill="1" applyAlignment="1">
      <alignment horizontal="center"/>
    </xf>
    <xf numFmtId="0" fontId="36" fillId="3" borderId="5" xfId="0" applyNumberFormat="1" applyFont="1" applyFill="1" applyBorder="1" applyAlignment="1"/>
    <xf numFmtId="0" fontId="36" fillId="3" borderId="5" xfId="0" applyNumberFormat="1" applyFont="1" applyFill="1" applyBorder="1" applyAlignment="1">
      <alignment horizontal="center" wrapText="1"/>
    </xf>
    <xf numFmtId="0" fontId="38" fillId="3" borderId="5" xfId="0" applyNumberFormat="1" applyFont="1" applyFill="1" applyBorder="1" applyAlignment="1"/>
    <xf numFmtId="0" fontId="36" fillId="3" borderId="5" xfId="0" applyNumberFormat="1" applyFont="1" applyFill="1" applyBorder="1" applyAlignment="1">
      <alignment horizontal="center"/>
    </xf>
    <xf numFmtId="3" fontId="36" fillId="3" borderId="5" xfId="0" applyNumberFormat="1" applyFont="1" applyFill="1" applyBorder="1" applyAlignment="1"/>
    <xf numFmtId="15" fontId="36" fillId="3" borderId="0" xfId="0" applyNumberFormat="1" applyFont="1" applyFill="1" applyAlignment="1" applyProtection="1">
      <alignment horizontal="center"/>
      <protection locked="0"/>
    </xf>
    <xf numFmtId="15" fontId="36" fillId="3" borderId="0" xfId="0" applyNumberFormat="1" applyFont="1" applyFill="1" applyAlignment="1">
      <alignment horizontal="center"/>
    </xf>
    <xf numFmtId="0" fontId="42" fillId="3" borderId="7" xfId="0" applyNumberFormat="1" applyFont="1" applyFill="1" applyBorder="1" applyAlignment="1"/>
    <xf numFmtId="0" fontId="36" fillId="3" borderId="7" xfId="0" applyNumberFormat="1" applyFont="1" applyFill="1" applyBorder="1" applyAlignment="1"/>
    <xf numFmtId="0" fontId="36" fillId="3" borderId="7" xfId="0" applyNumberFormat="1" applyFont="1" applyFill="1" applyBorder="1" applyAlignment="1" applyProtection="1">
      <alignment horizontal="right"/>
      <protection locked="0"/>
    </xf>
    <xf numFmtId="0" fontId="36" fillId="3" borderId="8" xfId="0" applyNumberFormat="1" applyFont="1" applyFill="1" applyBorder="1" applyAlignment="1"/>
    <xf numFmtId="4" fontId="29" fillId="4" borderId="0" xfId="0" applyNumberFormat="1" applyFont="1" applyFill="1" applyAlignment="1" applyProtection="1">
      <alignment horizontal="right"/>
      <protection locked="0"/>
    </xf>
    <xf numFmtId="3" fontId="36" fillId="3" borderId="5" xfId="0" applyNumberFormat="1" applyFont="1" applyFill="1" applyBorder="1" applyAlignment="1" applyProtection="1">
      <alignment horizontal="right"/>
      <protection locked="0"/>
    </xf>
    <xf numFmtId="0" fontId="43" fillId="4" borderId="0" xfId="0" applyNumberFormat="1" applyFont="1" applyFill="1" applyAlignment="1"/>
    <xf numFmtId="0" fontId="43" fillId="4" borderId="0" xfId="0" applyNumberFormat="1" applyFont="1" applyFill="1" applyAlignment="1">
      <alignment horizontal="center"/>
    </xf>
    <xf numFmtId="0" fontId="43" fillId="4" borderId="0" xfId="0" applyNumberFormat="1" applyFont="1" applyFill="1" applyAlignment="1">
      <alignment horizontal="right"/>
    </xf>
    <xf numFmtId="15" fontId="43" fillId="4" borderId="0" xfId="0" applyNumberFormat="1" applyFont="1" applyFill="1" applyAlignment="1">
      <alignment horizontal="right"/>
    </xf>
    <xf numFmtId="0" fontId="36" fillId="3" borderId="3" xfId="0" applyNumberFormat="1" applyFont="1" applyFill="1" applyBorder="1" applyAlignment="1"/>
    <xf numFmtId="4" fontId="36" fillId="3" borderId="0" xfId="0" applyNumberFormat="1" applyFont="1" applyFill="1" applyAlignment="1" applyProtection="1">
      <alignment horizontal="right"/>
      <protection locked="0"/>
    </xf>
    <xf numFmtId="0" fontId="36" fillId="3" borderId="6" xfId="0" applyNumberFormat="1" applyFont="1" applyFill="1" applyBorder="1" applyAlignment="1"/>
    <xf numFmtId="4" fontId="36" fillId="3" borderId="7" xfId="0" applyNumberFormat="1" applyFont="1" applyFill="1" applyBorder="1" applyAlignment="1" applyProtection="1">
      <alignment horizontal="right"/>
      <protection locked="0"/>
    </xf>
    <xf numFmtId="0" fontId="29" fillId="4" borderId="1" xfId="0" applyNumberFormat="1" applyFont="1" applyFill="1" applyBorder="1" applyAlignment="1"/>
    <xf numFmtId="0" fontId="29" fillId="4" borderId="2" xfId="0" applyNumberFormat="1" applyFont="1" applyFill="1" applyBorder="1" applyAlignment="1"/>
    <xf numFmtId="4" fontId="29" fillId="4" borderId="2" xfId="0" applyNumberFormat="1" applyFont="1" applyFill="1" applyBorder="1" applyAlignment="1" applyProtection="1">
      <alignment horizontal="right"/>
      <protection locked="0"/>
    </xf>
    <xf numFmtId="0" fontId="43" fillId="4" borderId="2" xfId="0" applyNumberFormat="1" applyFont="1" applyFill="1" applyBorder="1" applyAlignment="1"/>
    <xf numFmtId="15" fontId="43" fillId="4" borderId="2" xfId="0" applyNumberFormat="1" applyFont="1" applyFill="1" applyBorder="1" applyAlignment="1">
      <alignment horizontal="centerContinuous"/>
    </xf>
    <xf numFmtId="15" fontId="43" fillId="4" borderId="2" xfId="0" applyNumberFormat="1" applyFont="1" applyFill="1" applyBorder="1" applyAlignment="1">
      <alignment horizontal="center"/>
    </xf>
    <xf numFmtId="0" fontId="29" fillId="4" borderId="3" xfId="0" applyNumberFormat="1" applyFont="1" applyFill="1" applyBorder="1" applyAlignment="1">
      <alignment horizontal="right"/>
    </xf>
    <xf numFmtId="3" fontId="43" fillId="4" borderId="0" xfId="0" applyNumberFormat="1" applyFont="1" applyFill="1" applyAlignment="1">
      <alignment horizontal="center"/>
    </xf>
    <xf numFmtId="0" fontId="29" fillId="4" borderId="12" xfId="0" applyNumberFormat="1" applyFont="1" applyFill="1" applyBorder="1" applyAlignment="1"/>
    <xf numFmtId="0" fontId="29" fillId="4" borderId="10" xfId="0" applyNumberFormat="1" applyFont="1" applyFill="1" applyBorder="1" applyAlignment="1"/>
    <xf numFmtId="0" fontId="29" fillId="4" borderId="11" xfId="0" applyNumberFormat="1" applyFont="1" applyFill="1" applyBorder="1" applyAlignment="1"/>
    <xf numFmtId="9" fontId="29" fillId="4" borderId="10" xfId="0" applyNumberFormat="1" applyFont="1" applyFill="1" applyBorder="1" applyAlignment="1"/>
    <xf numFmtId="3" fontId="36" fillId="3" borderId="5" xfId="0" applyNumberFormat="1" applyFont="1" applyFill="1" applyBorder="1" applyAlignment="1" applyProtection="1">
      <alignment horizontal="center"/>
      <protection locked="0"/>
    </xf>
    <xf numFmtId="0" fontId="36" fillId="3" borderId="5" xfId="0" applyNumberFormat="1" applyFont="1" applyFill="1" applyBorder="1" applyAlignment="1" applyProtection="1">
      <protection locked="0"/>
    </xf>
    <xf numFmtId="10" fontId="36" fillId="3" borderId="5" xfId="0" applyNumberFormat="1" applyFont="1" applyFill="1" applyBorder="1" applyAlignment="1"/>
    <xf numFmtId="9" fontId="36" fillId="3" borderId="5" xfId="0" applyNumberFormat="1" applyFont="1" applyFill="1" applyBorder="1" applyAlignment="1"/>
    <xf numFmtId="9" fontId="36" fillId="3" borderId="0" xfId="0" applyNumberFormat="1" applyFont="1" applyFill="1" applyAlignment="1"/>
    <xf numFmtId="0" fontId="38" fillId="3" borderId="0" xfId="0" applyNumberFormat="1" applyFont="1" applyFill="1" applyAlignment="1"/>
    <xf numFmtId="0" fontId="35" fillId="3" borderId="0" xfId="0" quotePrefix="1" applyNumberFormat="1" applyFont="1" applyFill="1" applyAlignment="1">
      <alignment horizontal="center"/>
    </xf>
    <xf numFmtId="0" fontId="41" fillId="3" borderId="0" xfId="0" applyNumberFormat="1" applyFont="1" applyFill="1" applyAlignment="1"/>
    <xf numFmtId="0" fontId="42" fillId="3" borderId="0" xfId="0" applyNumberFormat="1" applyFont="1" applyFill="1" applyAlignment="1"/>
    <xf numFmtId="0" fontId="36" fillId="3" borderId="0" xfId="0" applyNumberFormat="1" applyFont="1" applyFill="1" applyBorder="1" applyAlignment="1"/>
    <xf numFmtId="15" fontId="36" fillId="3" borderId="0" xfId="0" applyNumberFormat="1" applyFont="1" applyFill="1" applyBorder="1" applyAlignment="1" applyProtection="1">
      <alignment horizontal="center"/>
      <protection locked="0"/>
    </xf>
    <xf numFmtId="15" fontId="36" fillId="3" borderId="0" xfId="0" applyNumberFormat="1" applyFont="1" applyFill="1" applyBorder="1" applyAlignment="1">
      <alignment horizontal="center"/>
    </xf>
    <xf numFmtId="0" fontId="2" fillId="3" borderId="13" xfId="0" applyNumberFormat="1" applyFont="1" applyFill="1" applyBorder="1" applyAlignment="1"/>
    <xf numFmtId="0" fontId="36" fillId="3" borderId="14" xfId="0" applyNumberFormat="1" applyFont="1" applyFill="1" applyBorder="1" applyAlignment="1"/>
    <xf numFmtId="0" fontId="36" fillId="3" borderId="14" xfId="0" applyNumberFormat="1" applyFont="1" applyFill="1" applyBorder="1" applyAlignment="1">
      <alignment horizontal="center" wrapText="1"/>
    </xf>
    <xf numFmtId="0" fontId="38" fillId="3" borderId="14" xfId="0" applyNumberFormat="1" applyFont="1" applyFill="1" applyBorder="1" applyAlignment="1"/>
    <xf numFmtId="0" fontId="36" fillId="3" borderId="15" xfId="0" applyNumberFormat="1" applyFont="1" applyFill="1" applyBorder="1" applyAlignment="1"/>
    <xf numFmtId="0" fontId="10" fillId="3" borderId="13" xfId="0" applyNumberFormat="1" applyFont="1" applyFill="1" applyBorder="1" applyAlignment="1"/>
    <xf numFmtId="0" fontId="39" fillId="3" borderId="14" xfId="0" applyNumberFormat="1" applyFont="1" applyFill="1" applyBorder="1" applyAlignment="1"/>
    <xf numFmtId="0" fontId="40" fillId="3" borderId="14" xfId="0" applyNumberFormat="1" applyFont="1" applyFill="1" applyBorder="1" applyAlignment="1">
      <alignment horizontal="center" wrapText="1"/>
    </xf>
    <xf numFmtId="0" fontId="35" fillId="3" borderId="14" xfId="0" applyNumberFormat="1" applyFont="1" applyFill="1" applyBorder="1" applyAlignment="1"/>
    <xf numFmtId="0" fontId="36" fillId="3" borderId="14" xfId="0" applyNumberFormat="1" applyFont="1" applyFill="1" applyBorder="1" applyAlignment="1">
      <alignment horizontal="center"/>
    </xf>
    <xf numFmtId="0" fontId="40" fillId="3" borderId="14" xfId="0" applyNumberFormat="1" applyFont="1" applyFill="1" applyBorder="1" applyAlignment="1"/>
    <xf numFmtId="164" fontId="36" fillId="3" borderId="14" xfId="0" applyNumberFormat="1" applyFont="1" applyFill="1" applyBorder="1" applyAlignment="1"/>
    <xf numFmtId="164" fontId="36" fillId="3" borderId="14" xfId="0" applyNumberFormat="1" applyFont="1" applyFill="1" applyBorder="1" applyAlignment="1">
      <alignment horizontal="center"/>
    </xf>
    <xf numFmtId="164" fontId="38" fillId="3" borderId="14" xfId="0" applyNumberFormat="1" applyFont="1" applyFill="1" applyBorder="1" applyAlignment="1"/>
    <xf numFmtId="3" fontId="36" fillId="3" borderId="15" xfId="0" applyNumberFormat="1" applyFont="1" applyFill="1" applyBorder="1" applyAlignment="1"/>
    <xf numFmtId="164" fontId="35" fillId="3" borderId="14" xfId="0" applyNumberFormat="1" applyFont="1" applyFill="1" applyBorder="1" applyAlignment="1"/>
    <xf numFmtId="169" fontId="36" fillId="3" borderId="14" xfId="0" applyNumberFormat="1" applyFont="1" applyFill="1" applyBorder="1" applyAlignment="1">
      <alignment horizontal="center"/>
    </xf>
    <xf numFmtId="168" fontId="36" fillId="3" borderId="14" xfId="0" applyNumberFormat="1" applyFont="1" applyFill="1" applyBorder="1" applyAlignment="1">
      <alignment horizontal="center"/>
    </xf>
    <xf numFmtId="164" fontId="35" fillId="3" borderId="14" xfId="0" applyNumberFormat="1" applyFont="1" applyFill="1" applyBorder="1" applyAlignment="1">
      <alignment horizontal="center"/>
    </xf>
    <xf numFmtId="164" fontId="41" fillId="3" borderId="14" xfId="0" applyNumberFormat="1" applyFont="1" applyFill="1" applyBorder="1" applyAlignment="1"/>
    <xf numFmtId="169" fontId="35" fillId="3" borderId="14" xfId="0" applyNumberFormat="1" applyFont="1" applyFill="1" applyBorder="1" applyAlignment="1">
      <alignment horizontal="center"/>
    </xf>
    <xf numFmtId="168" fontId="35" fillId="3" borderId="14" xfId="0" applyNumberFormat="1" applyFont="1" applyFill="1" applyBorder="1" applyAlignment="1">
      <alignment horizontal="center"/>
    </xf>
    <xf numFmtId="164" fontId="39" fillId="3" borderId="14" xfId="0" applyNumberFormat="1" applyFont="1" applyFill="1" applyBorder="1" applyAlignment="1">
      <alignment horizontal="center"/>
    </xf>
    <xf numFmtId="164" fontId="40" fillId="3" borderId="14" xfId="0" applyNumberFormat="1" applyFont="1" applyFill="1" applyBorder="1" applyAlignment="1"/>
    <xf numFmtId="4" fontId="40" fillId="3" borderId="14" xfId="0" applyNumberFormat="1" applyFont="1" applyFill="1" applyBorder="1" applyAlignment="1">
      <alignment horizontal="center"/>
    </xf>
    <xf numFmtId="164" fontId="40" fillId="3" borderId="14" xfId="0" applyNumberFormat="1" applyFont="1" applyFill="1" applyBorder="1" applyAlignment="1">
      <alignment horizontal="center"/>
    </xf>
    <xf numFmtId="0" fontId="19" fillId="3" borderId="14" xfId="0" applyNumberFormat="1" applyFont="1" applyFill="1" applyBorder="1" applyAlignment="1"/>
    <xf numFmtId="0" fontId="2" fillId="3" borderId="14" xfId="0" applyNumberFormat="1" applyFont="1" applyFill="1" applyBorder="1" applyAlignment="1"/>
    <xf numFmtId="171" fontId="19" fillId="3" borderId="14" xfId="0" applyNumberFormat="1" applyFont="1" applyFill="1" applyBorder="1" applyAlignment="1">
      <alignment horizontal="center"/>
    </xf>
    <xf numFmtId="170" fontId="19" fillId="3" borderId="14" xfId="0" applyNumberFormat="1" applyFont="1" applyFill="1" applyBorder="1" applyAlignment="1"/>
    <xf numFmtId="170" fontId="19" fillId="3" borderId="14" xfId="0" applyNumberFormat="1" applyFont="1" applyFill="1" applyBorder="1" applyAlignment="1">
      <alignment horizontal="center"/>
    </xf>
    <xf numFmtId="0" fontId="2" fillId="3" borderId="14" xfId="0" applyNumberFormat="1" applyFont="1" applyFill="1" applyBorder="1" applyAlignment="1">
      <alignment horizontal="center"/>
    </xf>
    <xf numFmtId="0" fontId="1" fillId="3" borderId="14" xfId="0" applyNumberFormat="1" applyFont="1" applyFill="1" applyBorder="1" applyAlignment="1"/>
    <xf numFmtId="0" fontId="2" fillId="3" borderId="15" xfId="0" applyNumberFormat="1" applyFont="1" applyFill="1" applyBorder="1" applyAlignment="1"/>
    <xf numFmtId="10" fontId="2" fillId="3" borderId="14" xfId="0" applyNumberFormat="1" applyFont="1" applyFill="1" applyBorder="1" applyAlignment="1">
      <alignment horizontal="center"/>
    </xf>
    <xf numFmtId="165" fontId="2" fillId="3" borderId="14" xfId="0" applyNumberFormat="1" applyFont="1" applyFill="1" applyBorder="1" applyAlignment="1">
      <alignment horizontal="center"/>
    </xf>
    <xf numFmtId="10" fontId="36" fillId="3" borderId="14" xfId="0" applyNumberFormat="1" applyFont="1" applyFill="1" applyBorder="1" applyAlignment="1">
      <alignment horizontal="center"/>
    </xf>
    <xf numFmtId="165" fontId="36" fillId="3" borderId="14" xfId="0" applyNumberFormat="1" applyFont="1" applyFill="1" applyBorder="1" applyAlignment="1">
      <alignment horizontal="center"/>
    </xf>
    <xf numFmtId="167" fontId="36" fillId="3" borderId="14" xfId="0" applyNumberFormat="1" applyFont="1" applyFill="1" applyBorder="1" applyAlignment="1">
      <alignment horizontal="center"/>
    </xf>
    <xf numFmtId="0" fontId="39" fillId="3" borderId="14" xfId="0" applyNumberFormat="1" applyFont="1" applyFill="1" applyBorder="1" applyAlignment="1">
      <alignment horizontal="center"/>
    </xf>
    <xf numFmtId="0" fontId="36" fillId="3" borderId="14" xfId="0" applyNumberFormat="1" applyFont="1" applyFill="1" applyBorder="1" applyAlignment="1">
      <alignment horizontal="right"/>
    </xf>
    <xf numFmtId="165" fontId="36" fillId="3" borderId="14" xfId="0" applyNumberFormat="1" applyFont="1" applyFill="1" applyBorder="1" applyAlignment="1"/>
    <xf numFmtId="4" fontId="36" fillId="3" borderId="14" xfId="0" applyNumberFormat="1" applyFont="1" applyFill="1" applyBorder="1" applyAlignment="1">
      <alignment horizontal="center"/>
    </xf>
    <xf numFmtId="4" fontId="35" fillId="3" borderId="14" xfId="0" applyNumberFormat="1" applyFont="1" applyFill="1" applyBorder="1" applyAlignment="1">
      <alignment horizontal="center"/>
    </xf>
    <xf numFmtId="0" fontId="35" fillId="3" borderId="14" xfId="0" applyNumberFormat="1" applyFont="1" applyFill="1" applyBorder="1" applyAlignment="1">
      <alignment horizontal="center"/>
    </xf>
    <xf numFmtId="15" fontId="35" fillId="3" borderId="14" xfId="0" applyNumberFormat="1" applyFont="1" applyFill="1" applyBorder="1" applyAlignment="1">
      <alignment horizontal="center"/>
    </xf>
    <xf numFmtId="15" fontId="35" fillId="3" borderId="14" xfId="0" applyNumberFormat="1" applyFont="1" applyFill="1" applyBorder="1" applyAlignment="1" applyProtection="1">
      <alignment horizontal="center"/>
      <protection locked="0"/>
    </xf>
    <xf numFmtId="15" fontId="36" fillId="3" borderId="14" xfId="0" applyNumberFormat="1" applyFont="1" applyFill="1" applyBorder="1" applyAlignment="1"/>
    <xf numFmtId="15" fontId="36" fillId="3" borderId="14" xfId="0" applyNumberFormat="1" applyFont="1" applyFill="1" applyBorder="1" applyAlignment="1" applyProtection="1">
      <alignment horizontal="center"/>
      <protection locked="0"/>
    </xf>
    <xf numFmtId="15" fontId="36" fillId="3" borderId="14" xfId="0" applyNumberFormat="1" applyFont="1" applyFill="1" applyBorder="1" applyAlignment="1">
      <alignment horizontal="center"/>
    </xf>
    <xf numFmtId="0" fontId="2" fillId="3" borderId="0" xfId="0" applyNumberFormat="1" applyFont="1" applyFill="1" applyBorder="1" applyAlignment="1"/>
    <xf numFmtId="3" fontId="2" fillId="3" borderId="0" xfId="0" applyNumberFormat="1" applyFont="1" applyFill="1" applyBorder="1" applyAlignment="1"/>
    <xf numFmtId="3" fontId="13" fillId="3" borderId="0" xfId="0" applyNumberFormat="1" applyFont="1" applyFill="1" applyBorder="1" applyAlignment="1"/>
    <xf numFmtId="0" fontId="36" fillId="3" borderId="13" xfId="0" applyNumberFormat="1" applyFont="1" applyFill="1" applyBorder="1" applyAlignment="1"/>
    <xf numFmtId="3" fontId="36" fillId="3" borderId="14" xfId="0" applyNumberFormat="1" applyFont="1" applyFill="1" applyBorder="1" applyAlignment="1"/>
    <xf numFmtId="3" fontId="36" fillId="3" borderId="14" xfId="0" applyNumberFormat="1" applyFont="1" applyFill="1" applyBorder="1" applyAlignment="1" applyProtection="1">
      <alignment horizontal="right"/>
      <protection locked="0"/>
    </xf>
    <xf numFmtId="3" fontId="36" fillId="3" borderId="0" xfId="0" applyNumberFormat="1" applyFont="1" applyFill="1" applyBorder="1" applyAlignment="1"/>
    <xf numFmtId="14" fontId="36" fillId="3" borderId="14" xfId="0" applyNumberFormat="1" applyFont="1" applyFill="1" applyBorder="1" applyAlignment="1">
      <alignment horizontal="right"/>
    </xf>
    <xf numFmtId="167" fontId="36" fillId="3" borderId="14" xfId="0" applyNumberFormat="1" applyFont="1" applyFill="1" applyBorder="1" applyAlignment="1">
      <alignment horizontal="right"/>
    </xf>
    <xf numFmtId="0" fontId="21" fillId="3" borderId="14" xfId="0" applyNumberFormat="1" applyFont="1" applyFill="1" applyBorder="1" applyAlignment="1"/>
    <xf numFmtId="3" fontId="2" fillId="3" borderId="14" xfId="0" applyNumberFormat="1" applyFont="1" applyFill="1" applyBorder="1" applyAlignment="1"/>
    <xf numFmtId="3" fontId="13" fillId="3" borderId="14" xfId="0" applyNumberFormat="1" applyFont="1" applyFill="1" applyBorder="1" applyAlignment="1" applyProtection="1">
      <alignment horizontal="right"/>
      <protection locked="0"/>
    </xf>
    <xf numFmtId="4" fontId="13" fillId="3" borderId="14" xfId="0" applyNumberFormat="1" applyFont="1" applyFill="1" applyBorder="1" applyAlignment="1" applyProtection="1">
      <alignment horizontal="right"/>
      <protection locked="0"/>
    </xf>
    <xf numFmtId="4" fontId="2" fillId="3" borderId="0" xfId="0" applyNumberFormat="1" applyFont="1" applyFill="1" applyBorder="1" applyAlignment="1" applyProtection="1">
      <alignment horizontal="right"/>
      <protection locked="0"/>
    </xf>
    <xf numFmtId="4" fontId="36" fillId="3" borderId="14" xfId="0" applyNumberFormat="1" applyFont="1" applyFill="1" applyBorder="1" applyAlignment="1" applyProtection="1">
      <alignment horizontal="right"/>
      <protection locked="0"/>
    </xf>
    <xf numFmtId="2" fontId="36" fillId="3" borderId="14" xfId="0" applyNumberFormat="1" applyFont="1" applyFill="1" applyBorder="1" applyAlignment="1" applyProtection="1">
      <alignment horizontal="right"/>
      <protection locked="0"/>
    </xf>
    <xf numFmtId="0" fontId="13" fillId="3" borderId="0" xfId="0" applyNumberFormat="1" applyFont="1" applyFill="1" applyBorder="1" applyAlignment="1"/>
    <xf numFmtId="0" fontId="2" fillId="3" borderId="0" xfId="0" applyNumberFormat="1" applyFont="1" applyFill="1" applyBorder="1" applyAlignment="1" applyProtection="1">
      <protection locked="0"/>
    </xf>
    <xf numFmtId="0" fontId="13" fillId="3" borderId="13" xfId="0" applyNumberFormat="1" applyFont="1" applyFill="1" applyBorder="1" applyAlignment="1"/>
    <xf numFmtId="15" fontId="35" fillId="3" borderId="14" xfId="0" applyNumberFormat="1" applyFont="1" applyFill="1" applyBorder="1" applyAlignment="1">
      <alignment horizontal="centerContinuous"/>
    </xf>
    <xf numFmtId="17" fontId="36" fillId="3" borderId="14" xfId="0" applyNumberFormat="1" applyFont="1" applyFill="1" applyBorder="1" applyAlignment="1">
      <alignment horizontal="center"/>
    </xf>
    <xf numFmtId="0" fontId="13" fillId="3" borderId="3" xfId="0" applyNumberFormat="1" applyFont="1" applyFill="1" applyBorder="1" applyAlignment="1">
      <alignment horizontal="right"/>
    </xf>
    <xf numFmtId="0" fontId="13" fillId="3" borderId="0" xfId="0" applyNumberFormat="1" applyFont="1" applyFill="1" applyBorder="1" applyAlignment="1">
      <alignment horizontal="right"/>
    </xf>
    <xf numFmtId="4" fontId="13" fillId="3" borderId="0" xfId="0" applyNumberFormat="1" applyFont="1" applyFill="1" applyBorder="1" applyAlignment="1">
      <alignment horizontal="right"/>
    </xf>
    <xf numFmtId="10" fontId="13" fillId="3" borderId="0" xfId="0" applyNumberFormat="1" applyFont="1" applyFill="1" applyBorder="1" applyAlignment="1" applyProtection="1">
      <alignment horizontal="center"/>
      <protection locked="0"/>
    </xf>
    <xf numFmtId="0" fontId="16" fillId="3" borderId="0" xfId="0" applyNumberFormat="1" applyFont="1" applyFill="1" applyBorder="1" applyAlignment="1"/>
    <xf numFmtId="0" fontId="13" fillId="3" borderId="13" xfId="0" applyNumberFormat="1" applyFont="1" applyFill="1" applyBorder="1" applyAlignment="1">
      <alignment horizontal="right"/>
    </xf>
    <xf numFmtId="3" fontId="36" fillId="3" borderId="14" xfId="0" applyNumberFormat="1" applyFont="1" applyFill="1" applyBorder="1" applyAlignment="1">
      <alignment horizontal="center"/>
    </xf>
    <xf numFmtId="3" fontId="36" fillId="3" borderId="14" xfId="0" applyNumberFormat="1" applyFont="1" applyFill="1" applyBorder="1" applyAlignment="1" applyProtection="1">
      <alignment horizontal="center"/>
      <protection locked="0"/>
    </xf>
    <xf numFmtId="0" fontId="36" fillId="3" borderId="14" xfId="0" applyNumberFormat="1" applyFont="1" applyFill="1" applyBorder="1" applyAlignment="1" applyProtection="1">
      <protection locked="0"/>
    </xf>
    <xf numFmtId="3" fontId="16" fillId="3" borderId="15" xfId="0" applyNumberFormat="1" applyFont="1" applyFill="1" applyBorder="1" applyAlignment="1"/>
    <xf numFmtId="3" fontId="13" fillId="3" borderId="14" xfId="0" applyNumberFormat="1" applyFont="1" applyFill="1" applyBorder="1" applyAlignment="1"/>
    <xf numFmtId="0" fontId="2" fillId="3" borderId="14" xfId="0" applyNumberFormat="1" applyFont="1" applyFill="1" applyBorder="1" applyAlignment="1" applyProtection="1">
      <protection locked="0"/>
    </xf>
    <xf numFmtId="4" fontId="36" fillId="3" borderId="14" xfId="0" applyNumberFormat="1" applyFont="1" applyFill="1" applyBorder="1" applyAlignment="1" applyProtection="1">
      <alignment horizontal="center"/>
      <protection locked="0"/>
    </xf>
    <xf numFmtId="0" fontId="13" fillId="3" borderId="13" xfId="0" applyNumberFormat="1" applyFont="1" applyFill="1" applyBorder="1" applyAlignment="1">
      <alignment horizontal="center"/>
    </xf>
    <xf numFmtId="0" fontId="13" fillId="3" borderId="14" xfId="0" applyNumberFormat="1" applyFont="1" applyFill="1" applyBorder="1" applyAlignment="1"/>
    <xf numFmtId="0" fontId="16" fillId="3" borderId="15" xfId="0" applyNumberFormat="1" applyFont="1" applyFill="1" applyBorder="1" applyAlignment="1"/>
    <xf numFmtId="0" fontId="39" fillId="3" borderId="14" xfId="0" applyNumberFormat="1" applyFont="1" applyFill="1" applyBorder="1" applyAlignment="1" applyProtection="1">
      <protection locked="0"/>
    </xf>
    <xf numFmtId="3" fontId="39" fillId="3" borderId="14" xfId="0" applyNumberFormat="1" applyFont="1" applyFill="1" applyBorder="1" applyAlignment="1"/>
    <xf numFmtId="0" fontId="13" fillId="3" borderId="14" xfId="0" applyNumberFormat="1" applyFont="1" applyFill="1" applyBorder="1" applyAlignment="1">
      <alignment horizontal="right"/>
    </xf>
    <xf numFmtId="4" fontId="13" fillId="3" borderId="14" xfId="0" applyNumberFormat="1" applyFont="1" applyFill="1" applyBorder="1" applyAlignment="1">
      <alignment horizontal="right"/>
    </xf>
    <xf numFmtId="10" fontId="36" fillId="3" borderId="14" xfId="0" applyNumberFormat="1" applyFont="1" applyFill="1" applyBorder="1" applyAlignment="1" applyProtection="1">
      <alignment horizontal="center"/>
      <protection locked="0"/>
    </xf>
    <xf numFmtId="10" fontId="13" fillId="3" borderId="14" xfId="0" applyNumberFormat="1" applyFont="1" applyFill="1" applyBorder="1" applyAlignment="1" applyProtection="1">
      <alignment horizontal="center"/>
      <protection locked="0"/>
    </xf>
    <xf numFmtId="0" fontId="27" fillId="3" borderId="14" xfId="0" applyNumberFormat="1" applyFont="1" applyFill="1" applyBorder="1" applyAlignment="1"/>
    <xf numFmtId="10" fontId="28" fillId="3" borderId="14" xfId="1" applyNumberFormat="1" applyFont="1" applyFill="1" applyBorder="1" applyAlignment="1">
      <alignment horizontal="left"/>
      <protection locked="0"/>
    </xf>
    <xf numFmtId="9" fontId="2" fillId="3" borderId="0" xfId="0" applyNumberFormat="1" applyFont="1" applyFill="1" applyBorder="1" applyAlignment="1"/>
    <xf numFmtId="10" fontId="2" fillId="3" borderId="0" xfId="0" applyNumberFormat="1" applyFont="1" applyFill="1" applyBorder="1" applyAlignment="1"/>
    <xf numFmtId="3" fontId="13" fillId="3" borderId="0" xfId="0" applyNumberFormat="1" applyFont="1" applyFill="1" applyBorder="1" applyAlignment="1" applyProtection="1">
      <alignment horizontal="right"/>
      <protection locked="0"/>
    </xf>
    <xf numFmtId="166" fontId="13" fillId="3" borderId="14" xfId="0" applyNumberFormat="1" applyFont="1" applyFill="1" applyBorder="1" applyAlignment="1"/>
    <xf numFmtId="10" fontId="13" fillId="3" borderId="14" xfId="0" applyNumberFormat="1" applyFont="1" applyFill="1" applyBorder="1" applyAlignment="1"/>
    <xf numFmtId="10" fontId="36" fillId="3" borderId="14" xfId="0" applyNumberFormat="1" applyFont="1" applyFill="1" applyBorder="1" applyAlignment="1"/>
    <xf numFmtId="9" fontId="2" fillId="3" borderId="14" xfId="0" applyNumberFormat="1" applyFont="1" applyFill="1" applyBorder="1" applyAlignment="1"/>
    <xf numFmtId="9" fontId="36" fillId="3" borderId="0" xfId="0" applyNumberFormat="1" applyFont="1" applyFill="1" applyBorder="1" applyAlignment="1"/>
    <xf numFmtId="9" fontId="36" fillId="3" borderId="14" xfId="0" applyNumberFormat="1" applyFont="1" applyFill="1" applyBorder="1" applyAlignment="1"/>
    <xf numFmtId="10" fontId="2" fillId="3" borderId="14" xfId="0" applyNumberFormat="1" applyFont="1" applyFill="1" applyBorder="1" applyAlignment="1"/>
    <xf numFmtId="3" fontId="40" fillId="3" borderId="14" xfId="0" applyNumberFormat="1" applyFont="1" applyFill="1" applyBorder="1" applyAlignment="1"/>
    <xf numFmtId="10" fontId="39" fillId="3" borderId="14" xfId="0" applyNumberFormat="1" applyFont="1" applyFill="1" applyBorder="1" applyAlignment="1"/>
    <xf numFmtId="3" fontId="40" fillId="3" borderId="14" xfId="0" applyNumberFormat="1" applyFont="1" applyFill="1" applyBorder="1" applyAlignment="1" applyProtection="1">
      <alignment horizontal="right"/>
      <protection locked="0"/>
    </xf>
    <xf numFmtId="10" fontId="36" fillId="3" borderId="0" xfId="0" applyNumberFormat="1" applyFont="1" applyFill="1" applyBorder="1" applyAlignment="1"/>
    <xf numFmtId="3" fontId="36" fillId="3" borderId="0" xfId="0" applyNumberFormat="1" applyFont="1" applyFill="1" applyBorder="1" applyAlignment="1" applyProtection="1">
      <alignment horizontal="right"/>
      <protection locked="0"/>
    </xf>
    <xf numFmtId="0" fontId="35" fillId="3" borderId="14" xfId="0" applyNumberFormat="1" applyFont="1" applyFill="1" applyBorder="1" applyAlignment="1">
      <alignment horizontal="center" wrapText="1"/>
    </xf>
    <xf numFmtId="0" fontId="30" fillId="4" borderId="0" xfId="0" applyNumberFormat="1" applyFont="1" applyFill="1" applyAlignment="1"/>
    <xf numFmtId="0" fontId="30" fillId="4" borderId="0" xfId="0" applyNumberFormat="1" applyFont="1" applyFill="1" applyAlignment="1">
      <alignment horizontal="center"/>
    </xf>
    <xf numFmtId="0" fontId="30" fillId="4" borderId="0" xfId="0" applyNumberFormat="1" applyFont="1" applyFill="1" applyAlignment="1">
      <alignment horizontal="right"/>
    </xf>
    <xf numFmtId="15" fontId="30" fillId="4" borderId="0" xfId="0" applyNumberFormat="1" applyFont="1" applyFill="1" applyAlignment="1">
      <alignment horizontal="right"/>
    </xf>
    <xf numFmtId="0" fontId="30" fillId="4" borderId="2" xfId="0" applyNumberFormat="1" applyFont="1" applyFill="1" applyBorder="1" applyAlignment="1"/>
    <xf numFmtId="15" fontId="30" fillId="4" borderId="2" xfId="0" applyNumberFormat="1" applyFont="1" applyFill="1" applyBorder="1" applyAlignment="1">
      <alignment horizontal="centerContinuous"/>
    </xf>
    <xf numFmtId="15" fontId="30" fillId="4" borderId="2" xfId="0" applyNumberFormat="1" applyFont="1" applyFill="1" applyBorder="1" applyAlignment="1">
      <alignment horizontal="center"/>
    </xf>
    <xf numFmtId="3" fontId="30" fillId="4" borderId="0" xfId="0" applyNumberFormat="1" applyFont="1" applyFill="1" applyAlignment="1">
      <alignment horizontal="center"/>
    </xf>
    <xf numFmtId="3" fontId="35" fillId="3" borderId="14" xfId="0" applyNumberFormat="1" applyFont="1" applyFill="1" applyBorder="1" applyAlignment="1"/>
    <xf numFmtId="3" fontId="35" fillId="3" borderId="14" xfId="0" applyNumberFormat="1" applyFont="1" applyFill="1" applyBorder="1" applyAlignment="1" applyProtection="1">
      <alignment horizontal="right"/>
      <protection locked="0"/>
    </xf>
    <xf numFmtId="0" fontId="2" fillId="2" borderId="9" xfId="0" applyNumberFormat="1" applyFont="1" applyFill="1" applyBorder="1" applyAlignment="1"/>
    <xf numFmtId="0" fontId="36" fillId="3" borderId="16" xfId="0" applyNumberFormat="1" applyFont="1" applyFill="1" applyBorder="1" applyAlignment="1"/>
    <xf numFmtId="0" fontId="36" fillId="3" borderId="17" xfId="0" applyNumberFormat="1" applyFont="1" applyFill="1" applyBorder="1" applyAlignment="1"/>
    <xf numFmtId="172" fontId="36" fillId="3" borderId="14" xfId="0" applyNumberFormat="1" applyFont="1" applyFill="1" applyBorder="1" applyAlignment="1">
      <alignment horizontal="center"/>
    </xf>
    <xf numFmtId="172" fontId="35" fillId="3" borderId="14" xfId="0" applyNumberFormat="1" applyFont="1" applyFill="1" applyBorder="1" applyAlignment="1">
      <alignment horizontal="center"/>
    </xf>
    <xf numFmtId="164" fontId="1" fillId="0" borderId="0" xfId="0" applyNumberFormat="1" applyFont="1" applyAlignment="1"/>
    <xf numFmtId="0" fontId="27" fillId="3" borderId="0" xfId="0" applyNumberFormat="1" applyFont="1" applyFill="1" applyBorder="1" applyAlignment="1"/>
    <xf numFmtId="10" fontId="28" fillId="3" borderId="0" xfId="1" applyNumberFormat="1" applyFont="1" applyFill="1" applyBorder="1" applyAlignment="1">
      <alignment horizontal="left"/>
      <protection locked="0"/>
    </xf>
    <xf numFmtId="0" fontId="45" fillId="5" borderId="1" xfId="0" applyNumberFormat="1" applyFont="1" applyFill="1" applyBorder="1" applyAlignment="1"/>
    <xf numFmtId="0" fontId="46" fillId="5" borderId="2" xfId="0" applyNumberFormat="1" applyFont="1" applyFill="1" applyBorder="1" applyAlignment="1"/>
    <xf numFmtId="0" fontId="47" fillId="5" borderId="2" xfId="0" applyNumberFormat="1" applyFont="1" applyFill="1" applyBorder="1" applyAlignment="1"/>
    <xf numFmtId="0" fontId="47" fillId="0" borderId="3" xfId="0" applyNumberFormat="1" applyFont="1" applyBorder="1"/>
    <xf numFmtId="0" fontId="47" fillId="0" borderId="0" xfId="0" applyNumberFormat="1" applyFont="1" applyAlignment="1"/>
    <xf numFmtId="0" fontId="47" fillId="5" borderId="3" xfId="0" applyNumberFormat="1" applyFont="1" applyFill="1" applyBorder="1" applyAlignment="1"/>
    <xf numFmtId="0" fontId="48" fillId="5" borderId="0" xfId="0" applyNumberFormat="1" applyFont="1" applyFill="1" applyAlignment="1"/>
    <xf numFmtId="0" fontId="47" fillId="5" borderId="0" xfId="0" applyNumberFormat="1" applyFont="1" applyFill="1" applyAlignment="1"/>
    <xf numFmtId="0" fontId="47" fillId="5" borderId="3" xfId="0" applyNumberFormat="1" applyFont="1" applyFill="1" applyBorder="1" applyAlignment="1">
      <alignment horizontal="center"/>
    </xf>
    <xf numFmtId="0" fontId="49" fillId="5" borderId="0" xfId="0" applyNumberFormat="1" applyFont="1" applyFill="1" applyAlignment="1"/>
    <xf numFmtId="0" fontId="50" fillId="5" borderId="0" xfId="0" applyNumberFormat="1" applyFont="1" applyFill="1" applyAlignment="1"/>
    <xf numFmtId="0" fontId="51" fillId="5" borderId="0" xfId="0" applyNumberFormat="1" applyFont="1" applyFill="1" applyAlignment="1"/>
    <xf numFmtId="0" fontId="52" fillId="5" borderId="0" xfId="1" applyNumberFormat="1" applyFont="1" applyFill="1" applyAlignment="1" applyProtection="1"/>
    <xf numFmtId="0" fontId="53" fillId="5" borderId="0" xfId="1" applyNumberFormat="1" applyFont="1" applyFill="1" applyAlignment="1" applyProtection="1"/>
    <xf numFmtId="0" fontId="54" fillId="5" borderId="0" xfId="0" applyNumberFormat="1" applyFont="1" applyFill="1" applyAlignment="1"/>
    <xf numFmtId="0" fontId="55" fillId="5" borderId="0" xfId="0" applyNumberFormat="1" applyFont="1" applyFill="1" applyAlignment="1"/>
    <xf numFmtId="0" fontId="45" fillId="5" borderId="2" xfId="0" applyNumberFormat="1" applyFont="1" applyFill="1" applyBorder="1" applyAlignment="1"/>
    <xf numFmtId="0" fontId="45" fillId="0" borderId="3" xfId="0" applyNumberFormat="1" applyFont="1" applyBorder="1"/>
    <xf numFmtId="0" fontId="45" fillId="0" borderId="0" xfId="0" applyNumberFormat="1" applyFont="1" applyAlignment="1"/>
    <xf numFmtId="0" fontId="45" fillId="5" borderId="3" xfId="0" applyNumberFormat="1" applyFont="1" applyFill="1" applyBorder="1" applyAlignment="1"/>
    <xf numFmtId="0" fontId="45" fillId="5" borderId="0" xfId="0" applyNumberFormat="1" applyFont="1" applyFill="1" applyAlignment="1"/>
    <xf numFmtId="0" fontId="56" fillId="5" borderId="0" xfId="0" applyNumberFormat="1" applyFont="1" applyFill="1" applyAlignment="1">
      <alignment horizontal="center" wrapText="1"/>
    </xf>
    <xf numFmtId="9" fontId="55" fillId="5" borderId="0" xfId="0" applyNumberFormat="1" applyFont="1" applyFill="1" applyAlignment="1">
      <alignment horizontal="center"/>
    </xf>
    <xf numFmtId="10" fontId="55" fillId="5" borderId="0" xfId="0" applyNumberFormat="1" applyFont="1" applyFill="1" applyAlignment="1">
      <alignment horizontal="center"/>
    </xf>
    <xf numFmtId="0" fontId="55" fillId="5" borderId="0" xfId="0" applyNumberFormat="1" applyFont="1" applyFill="1" applyAlignment="1">
      <alignment horizontal="center"/>
    </xf>
    <xf numFmtId="15" fontId="55" fillId="5" borderId="0" xfId="0" applyNumberFormat="1" applyFont="1" applyFill="1" applyAlignment="1">
      <alignment horizontal="center"/>
    </xf>
    <xf numFmtId="0" fontId="45" fillId="5" borderId="0" xfId="0" applyNumberFormat="1" applyFont="1" applyFill="1" applyAlignment="1">
      <alignment horizontal="center"/>
    </xf>
    <xf numFmtId="0" fontId="56" fillId="5" borderId="0" xfId="0" applyNumberFormat="1" applyFont="1" applyFill="1" applyAlignment="1"/>
    <xf numFmtId="0" fontId="47" fillId="5" borderId="0" xfId="0" applyNumberFormat="1" applyFont="1" applyFill="1" applyAlignment="1">
      <alignment horizontal="right"/>
    </xf>
    <xf numFmtId="0" fontId="57" fillId="6" borderId="3" xfId="0" applyNumberFormat="1" applyFont="1" applyFill="1" applyBorder="1" applyAlignment="1"/>
    <xf numFmtId="0" fontId="57" fillId="6" borderId="0" xfId="0" applyNumberFormat="1" applyFont="1" applyFill="1" applyBorder="1" applyAlignment="1"/>
    <xf numFmtId="0" fontId="58" fillId="6" borderId="0" xfId="0" applyNumberFormat="1" applyFont="1" applyFill="1" applyBorder="1" applyAlignment="1">
      <alignment horizontal="center" wrapText="1"/>
    </xf>
    <xf numFmtId="0" fontId="57" fillId="6" borderId="0" xfId="0" applyNumberFormat="1" applyFont="1" applyFill="1" applyBorder="1" applyAlignment="1">
      <alignment horizontal="center" wrapText="1"/>
    </xf>
    <xf numFmtId="0" fontId="57" fillId="6" borderId="18" xfId="0" applyNumberFormat="1" applyFont="1" applyFill="1" applyBorder="1" applyAlignment="1"/>
    <xf numFmtId="0" fontId="45" fillId="5" borderId="0" xfId="0" applyNumberFormat="1" applyFont="1" applyFill="1" applyBorder="1" applyAlignment="1"/>
    <xf numFmtId="0" fontId="45" fillId="5" borderId="0" xfId="0" applyNumberFormat="1" applyFont="1" applyFill="1" applyBorder="1" applyAlignment="1">
      <alignment horizontal="center" wrapText="1"/>
    </xf>
    <xf numFmtId="0" fontId="45" fillId="5" borderId="13" xfId="0" applyNumberFormat="1" applyFont="1" applyFill="1" applyBorder="1" applyAlignment="1"/>
    <xf numFmtId="0" fontId="45" fillId="5" borderId="14" xfId="0" applyNumberFormat="1" applyFont="1" applyFill="1" applyBorder="1" applyAlignment="1"/>
    <xf numFmtId="0" fontId="45" fillId="5" borderId="14" xfId="0" applyNumberFormat="1" applyFont="1" applyFill="1" applyBorder="1" applyAlignment="1">
      <alignment horizontal="center" wrapText="1"/>
    </xf>
    <xf numFmtId="0" fontId="45" fillId="5" borderId="15" xfId="0" applyNumberFormat="1" applyFont="1" applyFill="1" applyBorder="1" applyAlignment="1"/>
    <xf numFmtId="0" fontId="55" fillId="5" borderId="13" xfId="0" applyNumberFormat="1" applyFont="1" applyFill="1" applyBorder="1" applyAlignment="1"/>
    <xf numFmtId="0" fontId="55" fillId="5" borderId="14" xfId="0" applyNumberFormat="1" applyFont="1" applyFill="1" applyBorder="1" applyAlignment="1">
      <alignment horizontal="center" wrapText="1"/>
    </xf>
    <xf numFmtId="0" fontId="55" fillId="5" borderId="14" xfId="0" applyNumberFormat="1" applyFont="1" applyFill="1" applyBorder="1" applyAlignment="1"/>
    <xf numFmtId="0" fontId="45" fillId="5" borderId="14" xfId="0" applyNumberFormat="1" applyFont="1" applyFill="1" applyBorder="1" applyAlignment="1">
      <alignment horizontal="center"/>
    </xf>
    <xf numFmtId="164" fontId="45" fillId="5" borderId="14" xfId="0" applyNumberFormat="1" applyFont="1" applyFill="1" applyBorder="1" applyAlignment="1"/>
    <xf numFmtId="164" fontId="45" fillId="5" borderId="14" xfId="0" applyNumberFormat="1" applyFont="1" applyFill="1" applyBorder="1" applyAlignment="1">
      <alignment horizontal="center"/>
    </xf>
    <xf numFmtId="3" fontId="45" fillId="5" borderId="15" xfId="0" applyNumberFormat="1" applyFont="1" applyFill="1" applyBorder="1" applyAlignment="1"/>
    <xf numFmtId="164" fontId="55" fillId="5" borderId="14" xfId="0" applyNumberFormat="1" applyFont="1" applyFill="1" applyBorder="1" applyAlignment="1"/>
    <xf numFmtId="169" fontId="45" fillId="5" borderId="14" xfId="0" applyNumberFormat="1" applyFont="1" applyFill="1" applyBorder="1" applyAlignment="1">
      <alignment horizontal="center"/>
    </xf>
    <xf numFmtId="168" fontId="45" fillId="5" borderId="14" xfId="0" applyNumberFormat="1" applyFont="1" applyFill="1" applyBorder="1" applyAlignment="1">
      <alignment horizontal="center"/>
    </xf>
    <xf numFmtId="164" fontId="55" fillId="5" borderId="14" xfId="0" applyNumberFormat="1" applyFont="1" applyFill="1" applyBorder="1" applyAlignment="1">
      <alignment horizontal="center"/>
    </xf>
    <xf numFmtId="172" fontId="45" fillId="5" borderId="14" xfId="0" applyNumberFormat="1" applyFont="1" applyFill="1" applyBorder="1" applyAlignment="1">
      <alignment horizontal="center"/>
    </xf>
    <xf numFmtId="172" fontId="55" fillId="5" borderId="14" xfId="0" applyNumberFormat="1" applyFont="1" applyFill="1" applyBorder="1" applyAlignment="1">
      <alignment horizontal="center"/>
    </xf>
    <xf numFmtId="168" fontId="55" fillId="5" borderId="14" xfId="0" applyNumberFormat="1" applyFont="1" applyFill="1" applyBorder="1" applyAlignment="1">
      <alignment horizontal="center"/>
    </xf>
    <xf numFmtId="4" fontId="55" fillId="5" borderId="14" xfId="0" applyNumberFormat="1" applyFont="1" applyFill="1" applyBorder="1" applyAlignment="1">
      <alignment horizontal="center"/>
    </xf>
    <xf numFmtId="0" fontId="47" fillId="5" borderId="13" xfId="0" applyNumberFormat="1" applyFont="1" applyFill="1" applyBorder="1" applyAlignment="1"/>
    <xf numFmtId="0" fontId="54" fillId="5" borderId="14" xfId="0" applyNumberFormat="1" applyFont="1" applyFill="1" applyBorder="1" applyAlignment="1"/>
    <xf numFmtId="0" fontId="47" fillId="5" borderId="14" xfId="0" applyNumberFormat="1" applyFont="1" applyFill="1" applyBorder="1" applyAlignment="1"/>
    <xf numFmtId="171" fontId="54" fillId="5" borderId="14" xfId="0" applyNumberFormat="1" applyFont="1" applyFill="1" applyBorder="1" applyAlignment="1">
      <alignment horizontal="center"/>
    </xf>
    <xf numFmtId="170" fontId="54" fillId="5" borderId="14" xfId="0" applyNumberFormat="1" applyFont="1" applyFill="1" applyBorder="1" applyAlignment="1"/>
    <xf numFmtId="170" fontId="54" fillId="5" borderId="14" xfId="0" applyNumberFormat="1" applyFont="1" applyFill="1" applyBorder="1" applyAlignment="1">
      <alignment horizontal="center"/>
    </xf>
    <xf numFmtId="170" fontId="59" fillId="5" borderId="14" xfId="0" applyNumberFormat="1" applyFont="1" applyFill="1" applyBorder="1" applyAlignment="1">
      <alignment horizontal="center"/>
    </xf>
    <xf numFmtId="0" fontId="47" fillId="5" borderId="14" xfId="0" applyNumberFormat="1" applyFont="1" applyFill="1" applyBorder="1" applyAlignment="1">
      <alignment horizontal="center"/>
    </xf>
    <xf numFmtId="0" fontId="47" fillId="5" borderId="15" xfId="0" applyNumberFormat="1" applyFont="1" applyFill="1" applyBorder="1" applyAlignment="1"/>
    <xf numFmtId="164" fontId="47" fillId="0" borderId="0" xfId="0" applyNumberFormat="1" applyFont="1" applyAlignment="1"/>
    <xf numFmtId="171" fontId="47" fillId="5" borderId="14" xfId="0" applyNumberFormat="1" applyFont="1" applyFill="1" applyBorder="1" applyAlignment="1">
      <alignment horizontal="center"/>
    </xf>
    <xf numFmtId="170" fontId="47" fillId="5" borderId="14" xfId="0" applyNumberFormat="1" applyFont="1" applyFill="1" applyBorder="1" applyAlignment="1"/>
    <xf numFmtId="170" fontId="47" fillId="5" borderId="14" xfId="0" applyNumberFormat="1" applyFont="1" applyFill="1" applyBorder="1" applyAlignment="1">
      <alignment horizontal="center"/>
    </xf>
    <xf numFmtId="10" fontId="47" fillId="5" borderId="14" xfId="0" applyNumberFormat="1" applyFont="1" applyFill="1" applyBorder="1" applyAlignment="1">
      <alignment horizontal="center"/>
    </xf>
    <xf numFmtId="165" fontId="47" fillId="5" borderId="14" xfId="0" applyNumberFormat="1" applyFont="1" applyFill="1" applyBorder="1" applyAlignment="1">
      <alignment horizontal="center"/>
    </xf>
    <xf numFmtId="10" fontId="45" fillId="5" borderId="14" xfId="0" applyNumberFormat="1" applyFont="1" applyFill="1" applyBorder="1" applyAlignment="1">
      <alignment horizontal="center"/>
    </xf>
    <xf numFmtId="165" fontId="45" fillId="5" borderId="14" xfId="0" applyNumberFormat="1" applyFont="1" applyFill="1" applyBorder="1" applyAlignment="1">
      <alignment horizontal="center"/>
    </xf>
    <xf numFmtId="167" fontId="45" fillId="5" borderId="14" xfId="0" applyNumberFormat="1" applyFont="1" applyFill="1" applyBorder="1" applyAlignment="1">
      <alignment horizontal="center"/>
    </xf>
    <xf numFmtId="0" fontId="45" fillId="5" borderId="14" xfId="0" applyNumberFormat="1" applyFont="1" applyFill="1" applyBorder="1" applyAlignment="1">
      <alignment horizontal="right"/>
    </xf>
    <xf numFmtId="165" fontId="45" fillId="5" borderId="14" xfId="0" applyNumberFormat="1" applyFont="1" applyFill="1" applyBorder="1" applyAlignment="1"/>
    <xf numFmtId="4" fontId="45" fillId="5" borderId="14" xfId="0" applyNumberFormat="1" applyFont="1" applyFill="1" applyBorder="1" applyAlignment="1">
      <alignment horizontal="center"/>
    </xf>
    <xf numFmtId="0" fontId="55" fillId="5" borderId="14" xfId="0" applyNumberFormat="1" applyFont="1" applyFill="1" applyBorder="1" applyAlignment="1">
      <alignment horizontal="center"/>
    </xf>
    <xf numFmtId="15" fontId="55" fillId="5" borderId="14" xfId="0" applyNumberFormat="1" applyFont="1" applyFill="1" applyBorder="1" applyAlignment="1">
      <alignment horizontal="center"/>
    </xf>
    <xf numFmtId="15" fontId="55" fillId="5" borderId="14" xfId="0" applyNumberFormat="1" applyFont="1" applyFill="1" applyBorder="1" applyAlignment="1" applyProtection="1">
      <alignment horizontal="center"/>
      <protection locked="0"/>
    </xf>
    <xf numFmtId="15" fontId="45" fillId="5" borderId="14" xfId="0" applyNumberFormat="1" applyFont="1" applyFill="1" applyBorder="1" applyAlignment="1"/>
    <xf numFmtId="15" fontId="45" fillId="5" borderId="14" xfId="0" applyNumberFormat="1" applyFont="1" applyFill="1" applyBorder="1" applyAlignment="1" applyProtection="1">
      <alignment horizontal="center"/>
      <protection locked="0"/>
    </xf>
    <xf numFmtId="15" fontId="45" fillId="5" borderId="14" xfId="0" applyNumberFormat="1" applyFont="1" applyFill="1" applyBorder="1" applyAlignment="1">
      <alignment horizontal="center"/>
    </xf>
    <xf numFmtId="0" fontId="45" fillId="0" borderId="0" xfId="0" applyNumberFormat="1" applyFont="1" applyFill="1" applyBorder="1" applyAlignment="1"/>
    <xf numFmtId="15" fontId="45" fillId="5" borderId="0" xfId="0" applyNumberFormat="1" applyFont="1" applyFill="1" applyBorder="1" applyAlignment="1" applyProtection="1">
      <alignment horizontal="center"/>
      <protection locked="0"/>
    </xf>
    <xf numFmtId="15" fontId="45" fillId="5" borderId="0" xfId="0" applyNumberFormat="1" applyFont="1" applyFill="1" applyBorder="1" applyAlignment="1">
      <alignment horizontal="center"/>
    </xf>
    <xf numFmtId="15" fontId="45" fillId="5" borderId="0" xfId="0" applyNumberFormat="1" applyFont="1" applyFill="1" applyAlignment="1" applyProtection="1">
      <alignment horizontal="center"/>
      <protection locked="0"/>
    </xf>
    <xf numFmtId="15" fontId="45" fillId="5" borderId="0" xfId="0" applyNumberFormat="1" applyFont="1" applyFill="1" applyAlignment="1">
      <alignment horizontal="center"/>
    </xf>
    <xf numFmtId="0" fontId="45" fillId="5" borderId="6" xfId="0" applyNumberFormat="1" applyFont="1" applyFill="1" applyBorder="1" applyAlignment="1"/>
    <xf numFmtId="0" fontId="60" fillId="5" borderId="7" xfId="0" applyNumberFormat="1" applyFont="1" applyFill="1" applyBorder="1" applyAlignment="1"/>
    <xf numFmtId="0" fontId="45" fillId="5" borderId="7" xfId="0" applyNumberFormat="1" applyFont="1" applyFill="1" applyBorder="1" applyAlignment="1"/>
    <xf numFmtId="0" fontId="45" fillId="5" borderId="7" xfId="0" applyNumberFormat="1" applyFont="1" applyFill="1" applyBorder="1" applyAlignment="1" applyProtection="1">
      <alignment horizontal="right"/>
      <protection locked="0"/>
    </xf>
    <xf numFmtId="0" fontId="45" fillId="5" borderId="8" xfId="0" applyNumberFormat="1" applyFont="1" applyFill="1" applyBorder="1" applyAlignment="1"/>
    <xf numFmtId="0" fontId="57" fillId="6" borderId="1" xfId="0" applyNumberFormat="1" applyFont="1" applyFill="1" applyBorder="1" applyAlignment="1"/>
    <xf numFmtId="0" fontId="58" fillId="6" borderId="2" xfId="0" applyNumberFormat="1" applyFont="1" applyFill="1" applyBorder="1" applyAlignment="1"/>
    <xf numFmtId="0" fontId="57" fillId="6" borderId="2" xfId="0" applyNumberFormat="1" applyFont="1" applyFill="1" applyBorder="1" applyAlignment="1"/>
    <xf numFmtId="4" fontId="57" fillId="6" borderId="2" xfId="0" applyNumberFormat="1" applyFont="1" applyFill="1" applyBorder="1" applyAlignment="1" applyProtection="1">
      <alignment horizontal="right"/>
      <protection locked="0"/>
    </xf>
    <xf numFmtId="0" fontId="57" fillId="6" borderId="19" xfId="0" applyNumberFormat="1" applyFont="1" applyFill="1" applyBorder="1" applyAlignment="1"/>
    <xf numFmtId="4" fontId="47" fillId="5" borderId="0" xfId="0" applyNumberFormat="1" applyFont="1" applyFill="1" applyAlignment="1" applyProtection="1">
      <alignment horizontal="right"/>
      <protection locked="0"/>
    </xf>
    <xf numFmtId="0" fontId="49" fillId="5" borderId="0" xfId="0" applyNumberFormat="1" applyFont="1" applyFill="1" applyAlignment="1">
      <alignment horizontal="left" vertical="top" wrapText="1"/>
    </xf>
    <xf numFmtId="0" fontId="49" fillId="5" borderId="0" xfId="0" applyNumberFormat="1" applyFont="1" applyFill="1" applyAlignment="1">
      <alignment horizontal="center" vertical="top" wrapText="1"/>
    </xf>
    <xf numFmtId="4" fontId="49" fillId="5" borderId="0" xfId="0" applyNumberFormat="1" applyFont="1" applyFill="1" applyAlignment="1" applyProtection="1">
      <alignment horizontal="center" vertical="top" wrapText="1"/>
      <protection locked="0"/>
    </xf>
    <xf numFmtId="3" fontId="45" fillId="5" borderId="14" xfId="0" applyNumberFormat="1" applyFont="1" applyFill="1" applyBorder="1" applyAlignment="1"/>
    <xf numFmtId="3" fontId="45" fillId="5" borderId="14" xfId="0" applyNumberFormat="1" applyFont="1" applyFill="1" applyBorder="1" applyAlignment="1" applyProtection="1">
      <alignment horizontal="right"/>
      <protection locked="0"/>
    </xf>
    <xf numFmtId="0" fontId="47" fillId="5" borderId="0" xfId="0" applyNumberFormat="1" applyFont="1" applyFill="1" applyBorder="1" applyAlignment="1"/>
    <xf numFmtId="3" fontId="47" fillId="5" borderId="0" xfId="0" applyNumberFormat="1" applyFont="1" applyFill="1" applyBorder="1" applyAlignment="1"/>
    <xf numFmtId="3" fontId="62" fillId="5" borderId="0" xfId="0" applyNumberFormat="1" applyFont="1" applyFill="1" applyBorder="1" applyAlignment="1"/>
    <xf numFmtId="3" fontId="47" fillId="5" borderId="0" xfId="0" applyNumberFormat="1" applyFont="1" applyFill="1" applyAlignment="1"/>
    <xf numFmtId="3" fontId="62" fillId="5" borderId="0" xfId="0" applyNumberFormat="1" applyFont="1" applyFill="1" applyAlignment="1"/>
    <xf numFmtId="0" fontId="58" fillId="6" borderId="0" xfId="0" applyNumberFormat="1" applyFont="1" applyFill="1" applyBorder="1" applyAlignment="1"/>
    <xf numFmtId="0" fontId="58" fillId="6" borderId="0" xfId="0" applyNumberFormat="1" applyFont="1" applyFill="1" applyBorder="1" applyAlignment="1">
      <alignment horizontal="center"/>
    </xf>
    <xf numFmtId="0" fontId="58" fillId="6" borderId="0" xfId="0" applyNumberFormat="1" applyFont="1" applyFill="1" applyBorder="1" applyAlignment="1">
      <alignment horizontal="right"/>
    </xf>
    <xf numFmtId="15" fontId="58" fillId="6" borderId="0" xfId="0" applyNumberFormat="1" applyFont="1" applyFill="1" applyBorder="1" applyAlignment="1">
      <alignment horizontal="right"/>
    </xf>
    <xf numFmtId="3" fontId="45" fillId="5" borderId="0" xfId="0" applyNumberFormat="1" applyFont="1" applyFill="1" applyBorder="1" applyAlignment="1"/>
    <xf numFmtId="3" fontId="45" fillId="5" borderId="0" xfId="0" applyNumberFormat="1" applyFont="1" applyFill="1" applyBorder="1" applyAlignment="1" applyProtection="1">
      <alignment horizontal="right"/>
      <protection locked="0"/>
    </xf>
    <xf numFmtId="14" fontId="45" fillId="5" borderId="14" xfId="0" applyNumberFormat="1" applyFont="1" applyFill="1" applyBorder="1" applyAlignment="1">
      <alignment horizontal="right"/>
    </xf>
    <xf numFmtId="167" fontId="45" fillId="5" borderId="14" xfId="0" applyNumberFormat="1" applyFont="1" applyFill="1" applyBorder="1" applyAlignment="1">
      <alignment horizontal="right"/>
    </xf>
    <xf numFmtId="0" fontId="52" fillId="5" borderId="14" xfId="0" applyNumberFormat="1" applyFont="1" applyFill="1" applyBorder="1" applyAlignment="1"/>
    <xf numFmtId="3" fontId="47" fillId="5" borderId="14" xfId="0" applyNumberFormat="1" applyFont="1" applyFill="1" applyBorder="1" applyAlignment="1"/>
    <xf numFmtId="3" fontId="62" fillId="5" borderId="14" xfId="0" applyNumberFormat="1" applyFont="1" applyFill="1" applyBorder="1" applyAlignment="1" applyProtection="1">
      <alignment horizontal="right"/>
      <protection locked="0"/>
    </xf>
    <xf numFmtId="0" fontId="45" fillId="5" borderId="17" xfId="0" applyNumberFormat="1" applyFont="1" applyFill="1" applyBorder="1" applyAlignment="1"/>
    <xf numFmtId="3" fontId="45" fillId="0" borderId="0" xfId="0" applyNumberFormat="1" applyFont="1" applyAlignment="1"/>
    <xf numFmtId="3" fontId="45" fillId="0" borderId="3" xfId="0" applyNumberFormat="1" applyFont="1" applyBorder="1"/>
    <xf numFmtId="0" fontId="45" fillId="5" borderId="16" xfId="0" applyNumberFormat="1" applyFont="1" applyFill="1" applyBorder="1" applyAlignment="1"/>
    <xf numFmtId="4" fontId="62" fillId="5" borderId="14" xfId="0" applyNumberFormat="1" applyFont="1" applyFill="1" applyBorder="1" applyAlignment="1" applyProtection="1">
      <alignment horizontal="right"/>
      <protection locked="0"/>
    </xf>
    <xf numFmtId="4" fontId="45" fillId="5" borderId="0" xfId="0" applyNumberFormat="1" applyFont="1" applyFill="1" applyAlignment="1" applyProtection="1">
      <alignment horizontal="right"/>
      <protection locked="0"/>
    </xf>
    <xf numFmtId="4" fontId="45" fillId="5" borderId="7" xfId="0" applyNumberFormat="1" applyFont="1" applyFill="1" applyBorder="1" applyAlignment="1" applyProtection="1">
      <alignment horizontal="right"/>
      <protection locked="0"/>
    </xf>
    <xf numFmtId="0" fontId="63" fillId="5" borderId="0" xfId="0" applyNumberFormat="1" applyFont="1" applyFill="1" applyAlignment="1"/>
    <xf numFmtId="0" fontId="52" fillId="5" borderId="0" xfId="0" applyNumberFormat="1" applyFont="1" applyFill="1" applyAlignment="1"/>
    <xf numFmtId="0" fontId="64" fillId="5" borderId="14" xfId="0" applyNumberFormat="1" applyFont="1" applyFill="1" applyBorder="1" applyAlignment="1"/>
    <xf numFmtId="3" fontId="64" fillId="5" borderId="14" xfId="0" applyNumberFormat="1" applyFont="1" applyFill="1" applyBorder="1" applyAlignment="1" applyProtection="1">
      <alignment horizontal="right"/>
      <protection locked="0"/>
    </xf>
    <xf numFmtId="0" fontId="64" fillId="5" borderId="15" xfId="0" applyNumberFormat="1" applyFont="1" applyFill="1" applyBorder="1" applyAlignment="1"/>
    <xf numFmtId="4" fontId="47" fillId="5" borderId="0" xfId="0" applyNumberFormat="1" applyFont="1" applyFill="1" applyBorder="1" applyAlignment="1" applyProtection="1">
      <alignment horizontal="right"/>
      <protection locked="0"/>
    </xf>
    <xf numFmtId="4" fontId="45" fillId="5" borderId="14" xfId="0" applyNumberFormat="1" applyFont="1" applyFill="1" applyBorder="1" applyAlignment="1" applyProtection="1">
      <alignment horizontal="right"/>
      <protection locked="0"/>
    </xf>
    <xf numFmtId="4" fontId="62" fillId="5" borderId="0" xfId="0" applyNumberFormat="1" applyFont="1" applyFill="1" applyAlignment="1" applyProtection="1">
      <alignment horizontal="right"/>
      <protection locked="0"/>
    </xf>
    <xf numFmtId="0" fontId="47" fillId="5" borderId="1" xfId="0" applyNumberFormat="1" applyFont="1" applyFill="1" applyBorder="1" applyAlignment="1"/>
    <xf numFmtId="4" fontId="47" fillId="5" borderId="2" xfId="0" applyNumberFormat="1" applyFont="1" applyFill="1" applyBorder="1" applyAlignment="1" applyProtection="1">
      <alignment horizontal="right"/>
      <protection locked="0"/>
    </xf>
    <xf numFmtId="0" fontId="65" fillId="5" borderId="0" xfId="0" applyNumberFormat="1" applyFont="1" applyFill="1" applyAlignment="1"/>
    <xf numFmtId="0" fontId="49" fillId="5" borderId="0" xfId="0" applyNumberFormat="1" applyFont="1" applyFill="1" applyAlignment="1">
      <alignment horizontal="right"/>
    </xf>
    <xf numFmtId="4" fontId="49" fillId="5" borderId="0" xfId="0" applyNumberFormat="1" applyFont="1" applyFill="1" applyAlignment="1" applyProtection="1">
      <alignment horizontal="right"/>
      <protection locked="0"/>
    </xf>
    <xf numFmtId="0" fontId="47" fillId="5" borderId="0" xfId="0" applyNumberFormat="1" applyFont="1" applyFill="1" applyAlignment="1" applyProtection="1">
      <protection locked="0"/>
    </xf>
    <xf numFmtId="2" fontId="45" fillId="5" borderId="14" xfId="0" applyNumberFormat="1" applyFont="1" applyFill="1" applyBorder="1" applyAlignment="1" applyProtection="1">
      <alignment horizontal="right"/>
      <protection locked="0"/>
    </xf>
    <xf numFmtId="0" fontId="47" fillId="5" borderId="6" xfId="0" applyNumberFormat="1" applyFont="1" applyFill="1" applyBorder="1" applyAlignment="1"/>
    <xf numFmtId="0" fontId="47" fillId="5" borderId="7" xfId="0" applyNumberFormat="1" applyFont="1" applyFill="1" applyBorder="1" applyAlignment="1"/>
    <xf numFmtId="0" fontId="47" fillId="5" borderId="8" xfId="0" applyNumberFormat="1" applyFont="1" applyFill="1" applyBorder="1" applyAlignment="1"/>
    <xf numFmtId="0" fontId="62" fillId="5" borderId="3" xfId="0" applyNumberFormat="1" applyFont="1" applyFill="1" applyBorder="1" applyAlignment="1"/>
    <xf numFmtId="0" fontId="67" fillId="5" borderId="0" xfId="0" applyNumberFormat="1" applyFont="1" applyFill="1" applyAlignment="1"/>
    <xf numFmtId="15" fontId="68" fillId="5" borderId="0" xfId="0" applyNumberFormat="1" applyFont="1" applyFill="1" applyAlignment="1">
      <alignment horizontal="centerContinuous"/>
    </xf>
    <xf numFmtId="15" fontId="68" fillId="5" borderId="0" xfId="0" applyNumberFormat="1" applyFont="1" applyFill="1" applyAlignment="1">
      <alignment horizontal="center"/>
    </xf>
    <xf numFmtId="15" fontId="55" fillId="5" borderId="14" xfId="0" applyNumberFormat="1" applyFont="1" applyFill="1" applyBorder="1" applyAlignment="1">
      <alignment horizontal="centerContinuous"/>
    </xf>
    <xf numFmtId="17" fontId="45" fillId="5" borderId="14" xfId="0" applyNumberFormat="1" applyFont="1" applyFill="1" applyBorder="1" applyAlignment="1">
      <alignment horizontal="center"/>
    </xf>
    <xf numFmtId="0" fontId="62" fillId="5" borderId="0" xfId="0" applyNumberFormat="1" applyFont="1" applyFill="1" applyBorder="1" applyAlignment="1"/>
    <xf numFmtId="0" fontId="47" fillId="5" borderId="0" xfId="0" applyNumberFormat="1" applyFont="1" applyFill="1" applyBorder="1" applyAlignment="1" applyProtection="1">
      <protection locked="0"/>
    </xf>
    <xf numFmtId="0" fontId="57" fillId="6" borderId="3" xfId="0" applyNumberFormat="1" applyFont="1" applyFill="1" applyBorder="1" applyAlignment="1">
      <alignment horizontal="right"/>
    </xf>
    <xf numFmtId="3" fontId="58" fillId="6" borderId="0" xfId="0" applyNumberFormat="1" applyFont="1" applyFill="1" applyBorder="1" applyAlignment="1">
      <alignment horizontal="center"/>
    </xf>
    <xf numFmtId="0" fontId="45" fillId="5" borderId="3" xfId="0" applyNumberFormat="1" applyFont="1" applyFill="1" applyBorder="1" applyAlignment="1">
      <alignment horizontal="right"/>
    </xf>
    <xf numFmtId="0" fontId="45" fillId="5" borderId="0" xfId="0" applyNumberFormat="1" applyFont="1" applyFill="1" applyBorder="1" applyAlignment="1">
      <alignment horizontal="center"/>
    </xf>
    <xf numFmtId="3" fontId="45" fillId="5" borderId="0" xfId="0" applyNumberFormat="1" applyFont="1" applyFill="1" applyBorder="1" applyAlignment="1" applyProtection="1">
      <alignment horizontal="center"/>
      <protection locked="0"/>
    </xf>
    <xf numFmtId="0" fontId="45" fillId="5" borderId="0" xfId="0" applyNumberFormat="1" applyFont="1" applyFill="1" applyBorder="1" applyAlignment="1" applyProtection="1">
      <protection locked="0"/>
    </xf>
    <xf numFmtId="0" fontId="45" fillId="5" borderId="13" xfId="0" applyNumberFormat="1" applyFont="1" applyFill="1" applyBorder="1" applyAlignment="1">
      <alignment horizontal="right"/>
    </xf>
    <xf numFmtId="3" fontId="45" fillId="5" borderId="14" xfId="0" applyNumberFormat="1" applyFont="1" applyFill="1" applyBorder="1" applyAlignment="1">
      <alignment horizontal="center"/>
    </xf>
    <xf numFmtId="3" fontId="45" fillId="5" borderId="14" xfId="0" applyNumberFormat="1" applyFont="1" applyFill="1" applyBorder="1" applyAlignment="1" applyProtection="1">
      <alignment horizontal="center"/>
      <protection locked="0"/>
    </xf>
    <xf numFmtId="0" fontId="45" fillId="5" borderId="14" xfId="0" applyNumberFormat="1" applyFont="1" applyFill="1" applyBorder="1" applyAlignment="1" applyProtection="1">
      <protection locked="0"/>
    </xf>
    <xf numFmtId="3" fontId="55" fillId="5" borderId="15" xfId="0" applyNumberFormat="1" applyFont="1" applyFill="1" applyBorder="1" applyAlignment="1"/>
    <xf numFmtId="0" fontId="62" fillId="5" borderId="13" xfId="0" applyNumberFormat="1" applyFont="1" applyFill="1" applyBorder="1" applyAlignment="1">
      <alignment horizontal="right"/>
    </xf>
    <xf numFmtId="0" fontId="49" fillId="5" borderId="14" xfId="0" applyNumberFormat="1" applyFont="1" applyFill="1" applyBorder="1" applyAlignment="1"/>
    <xf numFmtId="3" fontId="62" fillId="5" borderId="14" xfId="0" applyNumberFormat="1" applyFont="1" applyFill="1" applyBorder="1" applyAlignment="1"/>
    <xf numFmtId="3" fontId="64" fillId="5" borderId="14" xfId="0" applyNumberFormat="1" applyFont="1" applyFill="1" applyBorder="1" applyAlignment="1" applyProtection="1">
      <alignment horizontal="center"/>
      <protection locked="0"/>
    </xf>
    <xf numFmtId="0" fontId="47" fillId="5" borderId="14" xfId="0" applyNumberFormat="1" applyFont="1" applyFill="1" applyBorder="1" applyAlignment="1" applyProtection="1">
      <protection locked="0"/>
    </xf>
    <xf numFmtId="3" fontId="68" fillId="5" borderId="15" xfId="0" applyNumberFormat="1" applyFont="1" applyFill="1" applyBorder="1" applyAlignment="1"/>
    <xf numFmtId="4" fontId="45" fillId="5" borderId="14" xfId="0" applyNumberFormat="1" applyFont="1" applyFill="1" applyBorder="1" applyAlignment="1" applyProtection="1">
      <alignment horizontal="center"/>
      <protection locked="0"/>
    </xf>
    <xf numFmtId="0" fontId="62" fillId="5" borderId="13" xfId="0" applyNumberFormat="1" applyFont="1" applyFill="1" applyBorder="1" applyAlignment="1">
      <alignment horizontal="center"/>
    </xf>
    <xf numFmtId="0" fontId="62" fillId="5" borderId="14" xfId="0" applyNumberFormat="1" applyFont="1" applyFill="1" applyBorder="1" applyAlignment="1"/>
    <xf numFmtId="0" fontId="68" fillId="5" borderId="15" xfId="0" applyNumberFormat="1" applyFont="1" applyFill="1" applyBorder="1" applyAlignment="1"/>
    <xf numFmtId="0" fontId="45" fillId="5" borderId="13" xfId="0" applyNumberFormat="1" applyFont="1" applyFill="1" applyBorder="1" applyAlignment="1">
      <alignment horizontal="center"/>
    </xf>
    <xf numFmtId="0" fontId="55" fillId="5" borderId="15" xfId="0" applyNumberFormat="1" applyFont="1" applyFill="1" applyBorder="1" applyAlignment="1"/>
    <xf numFmtId="4" fontId="45" fillId="5" borderId="14" xfId="0" applyNumberFormat="1" applyFont="1" applyFill="1" applyBorder="1" applyAlignment="1">
      <alignment horizontal="right"/>
    </xf>
    <xf numFmtId="0" fontId="62" fillId="5" borderId="14" xfId="0" applyNumberFormat="1" applyFont="1" applyFill="1" applyBorder="1" applyAlignment="1">
      <alignment horizontal="right"/>
    </xf>
    <xf numFmtId="4" fontId="62" fillId="5" borderId="14" xfId="0" applyNumberFormat="1" applyFont="1" applyFill="1" applyBorder="1" applyAlignment="1">
      <alignment horizontal="right"/>
    </xf>
    <xf numFmtId="10" fontId="45" fillId="5" borderId="14" xfId="0" applyNumberFormat="1" applyFont="1" applyFill="1" applyBorder="1" applyAlignment="1" applyProtection="1">
      <alignment horizontal="center"/>
      <protection locked="0"/>
    </xf>
    <xf numFmtId="0" fontId="69" fillId="5" borderId="14" xfId="0" applyNumberFormat="1" applyFont="1" applyFill="1" applyBorder="1" applyAlignment="1"/>
    <xf numFmtId="10" fontId="62" fillId="5" borderId="14" xfId="0" applyNumberFormat="1" applyFont="1" applyFill="1" applyBorder="1" applyAlignment="1" applyProtection="1">
      <alignment horizontal="center"/>
      <protection locked="0"/>
    </xf>
    <xf numFmtId="0" fontId="62" fillId="5" borderId="3" xfId="0" applyNumberFormat="1" applyFont="1" applyFill="1" applyBorder="1" applyAlignment="1">
      <alignment horizontal="right"/>
    </xf>
    <xf numFmtId="0" fontId="62" fillId="5" borderId="0" xfId="0" applyNumberFormat="1" applyFont="1" applyFill="1" applyBorder="1" applyAlignment="1">
      <alignment horizontal="right"/>
    </xf>
    <xf numFmtId="4" fontId="62" fillId="5" borderId="0" xfId="0" applyNumberFormat="1" applyFont="1" applyFill="1" applyBorder="1" applyAlignment="1">
      <alignment horizontal="right"/>
    </xf>
    <xf numFmtId="10" fontId="62" fillId="5" borderId="0" xfId="0" applyNumberFormat="1" applyFont="1" applyFill="1" applyBorder="1" applyAlignment="1" applyProtection="1">
      <alignment horizontal="center"/>
      <protection locked="0"/>
    </xf>
    <xf numFmtId="0" fontId="58" fillId="6" borderId="0" xfId="0" applyNumberFormat="1" applyFont="1" applyFill="1" applyAlignment="1"/>
    <xf numFmtId="0" fontId="58" fillId="6" borderId="0" xfId="0" applyNumberFormat="1" applyFont="1" applyFill="1" applyAlignment="1">
      <alignment horizontal="center"/>
    </xf>
    <xf numFmtId="3" fontId="58" fillId="6" borderId="0" xfId="0" applyNumberFormat="1" applyFont="1" applyFill="1" applyAlignment="1">
      <alignment horizontal="center"/>
    </xf>
    <xf numFmtId="0" fontId="57" fillId="6" borderId="0" xfId="0" applyNumberFormat="1" applyFont="1" applyFill="1" applyAlignment="1"/>
    <xf numFmtId="10" fontId="45" fillId="5" borderId="14" xfId="0" applyNumberFormat="1" applyFont="1" applyFill="1" applyBorder="1" applyAlignment="1"/>
    <xf numFmtId="166" fontId="45" fillId="5" borderId="14" xfId="0" applyNumberFormat="1" applyFont="1" applyFill="1" applyBorder="1" applyAlignment="1"/>
    <xf numFmtId="9" fontId="45" fillId="5" borderId="14" xfId="0" applyNumberFormat="1" applyFont="1" applyFill="1" applyBorder="1" applyAlignment="1"/>
    <xf numFmtId="0" fontId="58" fillId="6" borderId="18" xfId="0" applyNumberFormat="1" applyFont="1" applyFill="1" applyBorder="1" applyAlignment="1"/>
    <xf numFmtId="166" fontId="45" fillId="5" borderId="0" xfId="0" applyNumberFormat="1" applyFont="1" applyFill="1" applyBorder="1" applyAlignment="1"/>
    <xf numFmtId="10" fontId="45" fillId="5" borderId="0" xfId="0" applyNumberFormat="1" applyFont="1" applyFill="1" applyBorder="1" applyAlignment="1"/>
    <xf numFmtId="9" fontId="47" fillId="5" borderId="0" xfId="0" applyNumberFormat="1" applyFont="1" applyFill="1" applyBorder="1" applyAlignment="1"/>
    <xf numFmtId="10" fontId="47" fillId="5" borderId="0" xfId="0" applyNumberFormat="1" applyFont="1" applyFill="1" applyBorder="1" applyAlignment="1"/>
    <xf numFmtId="3" fontId="62" fillId="5" borderId="0" xfId="0" applyNumberFormat="1" applyFont="1" applyFill="1" applyBorder="1" applyAlignment="1" applyProtection="1">
      <alignment horizontal="right"/>
      <protection locked="0"/>
    </xf>
    <xf numFmtId="9" fontId="57" fillId="6" borderId="0" xfId="0" applyNumberFormat="1" applyFont="1" applyFill="1" applyBorder="1" applyAlignment="1"/>
    <xf numFmtId="9" fontId="45" fillId="5" borderId="0" xfId="0" applyNumberFormat="1" applyFont="1" applyFill="1" applyBorder="1" applyAlignment="1"/>
    <xf numFmtId="3" fontId="55" fillId="5" borderId="14" xfId="0" applyNumberFormat="1" applyFont="1" applyFill="1" applyBorder="1" applyAlignment="1"/>
    <xf numFmtId="3" fontId="55" fillId="5" borderId="14" xfId="0" applyNumberFormat="1" applyFont="1" applyFill="1" applyBorder="1" applyAlignment="1" applyProtection="1">
      <alignment horizontal="right"/>
      <protection locked="0"/>
    </xf>
    <xf numFmtId="9" fontId="45" fillId="5" borderId="0" xfId="0" applyNumberFormat="1" applyFont="1" applyFill="1" applyAlignment="1"/>
    <xf numFmtId="3" fontId="45" fillId="5" borderId="0" xfId="0" applyNumberFormat="1" applyFont="1" applyFill="1" applyAlignment="1" applyProtection="1">
      <alignment horizontal="right"/>
      <protection locked="0"/>
    </xf>
    <xf numFmtId="0" fontId="55" fillId="5" borderId="0" xfId="0" quotePrefix="1" applyNumberFormat="1" applyFont="1" applyFill="1" applyAlignment="1">
      <alignment horizontal="center"/>
    </xf>
    <xf numFmtId="0" fontId="64" fillId="5" borderId="0" xfId="0" applyNumberFormat="1" applyFont="1" applyFill="1" applyBorder="1" applyAlignment="1"/>
    <xf numFmtId="0" fontId="72" fillId="5" borderId="0" xfId="0" applyNumberFormat="1" applyFont="1" applyFill="1" applyAlignment="1"/>
    <xf numFmtId="0" fontId="72" fillId="5" borderId="0" xfId="0" quotePrefix="1" applyNumberFormat="1" applyFont="1" applyFill="1" applyAlignment="1">
      <alignment horizontal="center"/>
    </xf>
    <xf numFmtId="0" fontId="64" fillId="5" borderId="0" xfId="0" applyNumberFormat="1" applyFont="1" applyFill="1" applyAlignment="1"/>
    <xf numFmtId="0" fontId="69" fillId="5" borderId="0" xfId="0" applyNumberFormat="1" applyFont="1" applyFill="1" applyBorder="1" applyAlignment="1"/>
    <xf numFmtId="10" fontId="73" fillId="5" borderId="0" xfId="1" applyNumberFormat="1" applyFont="1" applyFill="1" applyBorder="1" applyAlignment="1">
      <alignment horizontal="left"/>
      <protection locked="0"/>
    </xf>
    <xf numFmtId="10" fontId="70" fillId="5" borderId="0" xfId="1" applyNumberFormat="1" applyFont="1" applyFill="1" applyBorder="1" applyAlignment="1">
      <alignment horizontal="left"/>
      <protection locked="0"/>
    </xf>
    <xf numFmtId="0" fontId="60" fillId="5" borderId="0" xfId="0" applyNumberFormat="1" applyFont="1" applyFill="1" applyAlignment="1"/>
    <xf numFmtId="0" fontId="47" fillId="0" borderId="2" xfId="0" applyNumberFormat="1" applyFont="1" applyBorder="1"/>
    <xf numFmtId="15" fontId="58" fillId="6" borderId="2" xfId="0" applyNumberFormat="1" applyFont="1" applyFill="1" applyBorder="1" applyAlignment="1">
      <alignment horizontal="centerContinuous"/>
    </xf>
    <xf numFmtId="15" fontId="58" fillId="6" borderId="2" xfId="0" applyNumberFormat="1" applyFont="1" applyFill="1" applyBorder="1" applyAlignment="1">
      <alignment horizontal="center"/>
    </xf>
    <xf numFmtId="15" fontId="74" fillId="6" borderId="2" xfId="0" applyNumberFormat="1" applyFont="1" applyFill="1" applyBorder="1" applyAlignment="1">
      <alignment horizontal="center"/>
    </xf>
    <xf numFmtId="0" fontId="45" fillId="5" borderId="21" xfId="0" applyNumberFormat="1" applyFont="1" applyFill="1" applyBorder="1" applyAlignment="1" applyProtection="1">
      <protection locked="0"/>
    </xf>
    <xf numFmtId="0" fontId="55" fillId="5" borderId="20" xfId="0" applyNumberFormat="1" applyFont="1" applyFill="1" applyBorder="1" applyAlignment="1"/>
    <xf numFmtId="0" fontId="45" fillId="5" borderId="22" xfId="0" applyNumberFormat="1" applyFont="1" applyFill="1" applyBorder="1" applyAlignment="1"/>
    <xf numFmtId="3" fontId="45" fillId="5" borderId="21" xfId="0" applyNumberFormat="1" applyFont="1" applyFill="1" applyBorder="1" applyAlignment="1"/>
    <xf numFmtId="166" fontId="45" fillId="5" borderId="21" xfId="0" applyNumberFormat="1" applyFont="1" applyFill="1" applyBorder="1" applyAlignment="1"/>
    <xf numFmtId="0" fontId="45" fillId="5" borderId="21" xfId="0" applyNumberFormat="1" applyFont="1" applyFill="1" applyBorder="1" applyAlignment="1"/>
    <xf numFmtId="10" fontId="45" fillId="5" borderId="21" xfId="0" applyNumberFormat="1" applyFont="1" applyFill="1" applyBorder="1" applyAlignment="1"/>
    <xf numFmtId="3" fontId="45" fillId="5" borderId="21" xfId="0" applyNumberFormat="1" applyFont="1" applyFill="1" applyBorder="1" applyAlignment="1" applyProtection="1">
      <alignment horizontal="right"/>
      <protection locked="0"/>
    </xf>
    <xf numFmtId="0" fontId="47" fillId="5" borderId="19" xfId="0" applyNumberFormat="1" applyFont="1" applyFill="1" applyBorder="1" applyAlignment="1"/>
    <xf numFmtId="0" fontId="47" fillId="5" borderId="18" xfId="0" applyNumberFormat="1" applyFont="1" applyFill="1" applyBorder="1" applyAlignment="1"/>
    <xf numFmtId="0" fontId="45" fillId="5" borderId="19" xfId="0" applyNumberFormat="1" applyFont="1" applyFill="1" applyBorder="1" applyAlignment="1"/>
    <xf numFmtId="0" fontId="45" fillId="5" borderId="18" xfId="0" applyNumberFormat="1" applyFont="1" applyFill="1" applyBorder="1" applyAlignment="1"/>
    <xf numFmtId="0" fontId="61" fillId="5" borderId="18" xfId="0" applyNumberFormat="1" applyFont="1" applyFill="1" applyBorder="1" applyAlignment="1"/>
    <xf numFmtId="0" fontId="66" fillId="5" borderId="18" xfId="0" applyNumberFormat="1" applyFont="1" applyFill="1" applyBorder="1" applyAlignment="1"/>
    <xf numFmtId="3" fontId="55" fillId="5" borderId="18" xfId="0" applyNumberFormat="1" applyFont="1" applyFill="1" applyBorder="1" applyAlignment="1"/>
    <xf numFmtId="0" fontId="68" fillId="5" borderId="18" xfId="0" applyNumberFormat="1" applyFont="1" applyFill="1" applyBorder="1" applyAlignment="1"/>
    <xf numFmtId="0" fontId="55" fillId="5" borderId="18" xfId="0" applyNumberFormat="1" applyFont="1" applyFill="1" applyBorder="1" applyAlignment="1"/>
    <xf numFmtId="0" fontId="52" fillId="5" borderId="14" xfId="1" applyNumberFormat="1" applyFont="1" applyFill="1" applyBorder="1" applyAlignment="1" applyProtection="1"/>
    <xf numFmtId="0" fontId="45" fillId="3" borderId="17" xfId="0" applyNumberFormat="1" applyFont="1" applyFill="1" applyBorder="1" applyAlignment="1"/>
    <xf numFmtId="0" fontId="45" fillId="3" borderId="14" xfId="0" applyNumberFormat="1" applyFont="1" applyFill="1" applyBorder="1" applyAlignment="1"/>
    <xf numFmtId="10" fontId="45" fillId="5" borderId="23" xfId="0" applyNumberFormat="1" applyFont="1" applyFill="1" applyBorder="1" applyAlignment="1"/>
    <xf numFmtId="0" fontId="45" fillId="3" borderId="0" xfId="0" applyFont="1" applyFill="1"/>
    <xf numFmtId="0" fontId="52" fillId="0" borderId="0" xfId="0" applyFont="1"/>
    <xf numFmtId="0" fontId="47" fillId="0" borderId="0" xfId="0" applyFont="1"/>
    <xf numFmtId="0" fontId="57" fillId="6" borderId="3" xfId="0" applyFont="1" applyFill="1" applyBorder="1"/>
    <xf numFmtId="0" fontId="58" fillId="6" borderId="0" xfId="0" applyFont="1" applyFill="1"/>
    <xf numFmtId="0" fontId="58" fillId="6" borderId="0" xfId="0" applyFont="1" applyFill="1" applyAlignment="1">
      <alignment horizontal="center"/>
    </xf>
    <xf numFmtId="0" fontId="45" fillId="3" borderId="16" xfId="0" applyFont="1" applyFill="1" applyBorder="1"/>
    <xf numFmtId="0" fontId="45" fillId="3" borderId="17" xfId="0" applyFont="1" applyFill="1" applyBorder="1"/>
    <xf numFmtId="9" fontId="45" fillId="3" borderId="17" xfId="0" applyNumberFormat="1" applyFont="1" applyFill="1" applyBorder="1"/>
    <xf numFmtId="0" fontId="47" fillId="3" borderId="17" xfId="0" applyFont="1" applyFill="1" applyBorder="1"/>
    <xf numFmtId="3" fontId="45" fillId="3" borderId="17" xfId="0" applyNumberFormat="1" applyFont="1" applyFill="1" applyBorder="1"/>
    <xf numFmtId="10" fontId="45" fillId="3" borderId="17" xfId="0" applyNumberFormat="1" applyFont="1" applyFill="1" applyBorder="1"/>
    <xf numFmtId="3" fontId="45" fillId="3" borderId="17" xfId="0" applyNumberFormat="1" applyFont="1" applyFill="1" applyBorder="1" applyAlignment="1" applyProtection="1">
      <alignment horizontal="right"/>
      <protection locked="0"/>
    </xf>
    <xf numFmtId="0" fontId="45" fillId="5" borderId="14" xfId="0" applyFont="1" applyFill="1" applyBorder="1"/>
    <xf numFmtId="10" fontId="55" fillId="5" borderId="14" xfId="0" applyNumberFormat="1" applyFont="1" applyFill="1" applyBorder="1" applyAlignment="1"/>
    <xf numFmtId="10" fontId="45" fillId="5" borderId="14" xfId="0" applyNumberFormat="1" applyFont="1" applyFill="1" applyBorder="1" applyAlignment="1" applyProtection="1">
      <alignment horizontal="right"/>
      <protection locked="0"/>
    </xf>
    <xf numFmtId="4" fontId="45" fillId="5" borderId="14" xfId="0" applyNumberFormat="1" applyFont="1" applyFill="1" applyBorder="1" applyAlignment="1"/>
    <xf numFmtId="10" fontId="55" fillId="5" borderId="14" xfId="0" applyNumberFormat="1" applyFont="1" applyFill="1" applyBorder="1" applyAlignment="1" applyProtection="1">
      <alignment horizontal="right"/>
      <protection locked="0"/>
    </xf>
    <xf numFmtId="0" fontId="45" fillId="3" borderId="14" xfId="0" applyFont="1" applyFill="1" applyBorder="1"/>
  </cellXfs>
  <cellStyles count="2">
    <cellStyle name="Hyperlink" xfId="1" builtinId="8"/>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F4F4F4"/>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2D2926"/>
      <color rgb="FF89CB31"/>
      <color rgb="FF808080"/>
      <color rgb="FFF4F4F4"/>
      <color rgb="FFD0D3D4"/>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bin"/><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media/image1.bin"/><Relationship Id="rId2" Type="http://schemas.openxmlformats.org/officeDocument/2006/relationships/image" Target="../media/image4.png"/><Relationship Id="rId1" Type="http://schemas.openxmlformats.org/officeDocument/2006/relationships/image" Target="file:///C:\WINDOWS\TEMP\~0003946.gif" TargetMode="External"/><Relationship Id="rId5" Type="http://schemas.openxmlformats.org/officeDocument/2006/relationships/image" Target="../media/image3.png"/><Relationship Id="rId4" Type="http://schemas.openxmlformats.org/officeDocument/2006/relationships/image" Target="file:///C:\WINDOWS\TEMP\Symbol.gif" TargetMode="External"/></Relationships>
</file>

<file path=xl/drawings/_rels/drawing18.xml.rels><?xml version="1.0" encoding="UTF-8" standalone="yes"?>
<Relationships xmlns="http://schemas.openxmlformats.org/package/2006/relationships"><Relationship Id="rId3" Type="http://schemas.openxmlformats.org/officeDocument/2006/relationships/image" Target="../media/image1.bin"/><Relationship Id="rId2" Type="http://schemas.openxmlformats.org/officeDocument/2006/relationships/image" Target="../media/image4.png"/><Relationship Id="rId1" Type="http://schemas.openxmlformats.org/officeDocument/2006/relationships/image" Target="file:///C:\WINDOWS\TEMP\~0003946.gif" TargetMode="External"/><Relationship Id="rId5" Type="http://schemas.openxmlformats.org/officeDocument/2006/relationships/image" Target="../media/image3.png"/><Relationship Id="rId4" Type="http://schemas.openxmlformats.org/officeDocument/2006/relationships/image" Target="file:///C:\WINDOWS\TEMP\Symbol.gif" TargetMode="External"/></Relationships>
</file>

<file path=xl/drawings/_rels/drawing19.xml.rels><?xml version="1.0" encoding="UTF-8" standalone="yes"?>
<Relationships xmlns="http://schemas.openxmlformats.org/package/2006/relationships"><Relationship Id="rId3" Type="http://schemas.openxmlformats.org/officeDocument/2006/relationships/image" Target="../media/image1.bin"/><Relationship Id="rId2" Type="http://schemas.openxmlformats.org/officeDocument/2006/relationships/image" Target="../media/image4.png"/><Relationship Id="rId1" Type="http://schemas.openxmlformats.org/officeDocument/2006/relationships/image" Target="file:///C:\WINDOWS\TEMP\~0003946.gif" TargetMode="External"/><Relationship Id="rId5" Type="http://schemas.openxmlformats.org/officeDocument/2006/relationships/image" Target="../media/image3.png"/><Relationship Id="rId4" Type="http://schemas.openxmlformats.org/officeDocument/2006/relationships/image" Target="file:///C:\WINDOWS\TEMP\Symbol.gif"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2.bin"/><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20.xml.rels><?xml version="1.0" encoding="UTF-8" standalone="yes"?>
<Relationships xmlns="http://schemas.openxmlformats.org/package/2006/relationships"><Relationship Id="rId3" Type="http://schemas.openxmlformats.org/officeDocument/2006/relationships/image" Target="../media/image1.bin"/><Relationship Id="rId2" Type="http://schemas.openxmlformats.org/officeDocument/2006/relationships/image" Target="../media/image4.png"/><Relationship Id="rId1" Type="http://schemas.openxmlformats.org/officeDocument/2006/relationships/image" Target="file:///C:\WINDOWS\TEMP\~0003946.gif" TargetMode="External"/><Relationship Id="rId5" Type="http://schemas.openxmlformats.org/officeDocument/2006/relationships/image" Target="../media/image3.png"/><Relationship Id="rId4" Type="http://schemas.openxmlformats.org/officeDocument/2006/relationships/image" Target="file:///C:\WINDOWS\TEMP\Symbol.gif" TargetMode="External"/></Relationships>
</file>

<file path=xl/drawings/_rels/drawing21.xml.rels><?xml version="1.0" encoding="UTF-8" standalone="yes"?>
<Relationships xmlns="http://schemas.openxmlformats.org/package/2006/relationships"><Relationship Id="rId3" Type="http://schemas.openxmlformats.org/officeDocument/2006/relationships/image" Target="../media/image1.bin"/><Relationship Id="rId2" Type="http://schemas.openxmlformats.org/officeDocument/2006/relationships/image" Target="../media/image4.png"/><Relationship Id="rId1" Type="http://schemas.openxmlformats.org/officeDocument/2006/relationships/image" Target="file:///C:\WINDOWS\TEMP\~0003946.gif" TargetMode="External"/><Relationship Id="rId5" Type="http://schemas.openxmlformats.org/officeDocument/2006/relationships/image" Target="../media/image3.png"/><Relationship Id="rId4" Type="http://schemas.openxmlformats.org/officeDocument/2006/relationships/image" Target="file:///C:\WINDOWS\TEMP\Symbol.gif" TargetMode="External"/></Relationships>
</file>

<file path=xl/drawings/_rels/drawing22.xml.rels><?xml version="1.0" encoding="UTF-8" standalone="yes"?>
<Relationships xmlns="http://schemas.openxmlformats.org/package/2006/relationships"><Relationship Id="rId3" Type="http://schemas.openxmlformats.org/officeDocument/2006/relationships/image" Target="../media/image1.bin"/><Relationship Id="rId2" Type="http://schemas.openxmlformats.org/officeDocument/2006/relationships/image" Target="../media/image4.png"/><Relationship Id="rId1" Type="http://schemas.openxmlformats.org/officeDocument/2006/relationships/image" Target="file:///C:\WINDOWS\TEMP\~0003946.gif" TargetMode="External"/><Relationship Id="rId5" Type="http://schemas.openxmlformats.org/officeDocument/2006/relationships/image" Target="../media/image3.png"/><Relationship Id="rId4" Type="http://schemas.openxmlformats.org/officeDocument/2006/relationships/image" Target="file:///C:\WINDOWS\TEMP\Symbol.gif" TargetMode="External"/></Relationships>
</file>

<file path=xl/drawings/_rels/drawing23.xml.rels><?xml version="1.0" encoding="UTF-8" standalone="yes"?>
<Relationships xmlns="http://schemas.openxmlformats.org/package/2006/relationships"><Relationship Id="rId3" Type="http://schemas.openxmlformats.org/officeDocument/2006/relationships/image" Target="../media/image1.bin"/><Relationship Id="rId2" Type="http://schemas.openxmlformats.org/officeDocument/2006/relationships/image" Target="../media/image4.png"/><Relationship Id="rId1" Type="http://schemas.openxmlformats.org/officeDocument/2006/relationships/image" Target="file:///C:\WINDOWS\TEMP\~0003946.gif" TargetMode="External"/><Relationship Id="rId5" Type="http://schemas.openxmlformats.org/officeDocument/2006/relationships/image" Target="../media/image3.png"/><Relationship Id="rId4" Type="http://schemas.openxmlformats.org/officeDocument/2006/relationships/image" Target="file:///C:\WINDOWS\TEMP\Symbol.gif" TargetMode="External"/></Relationships>
</file>

<file path=xl/drawings/_rels/drawing24.xml.rels><?xml version="1.0" encoding="UTF-8" standalone="yes"?>
<Relationships xmlns="http://schemas.openxmlformats.org/package/2006/relationships"><Relationship Id="rId3" Type="http://schemas.openxmlformats.org/officeDocument/2006/relationships/image" Target="../media/image1.bin"/><Relationship Id="rId2" Type="http://schemas.openxmlformats.org/officeDocument/2006/relationships/image" Target="../media/image4.png"/><Relationship Id="rId1" Type="http://schemas.openxmlformats.org/officeDocument/2006/relationships/image" Target="file:///C:\WINDOWS\TEMP\~0003946.gif" TargetMode="External"/><Relationship Id="rId5" Type="http://schemas.openxmlformats.org/officeDocument/2006/relationships/image" Target="../media/image3.png"/><Relationship Id="rId4" Type="http://schemas.openxmlformats.org/officeDocument/2006/relationships/image" Target="file:///C:\WINDOWS\TEMP\Symbol.gif" TargetMode="External"/></Relationships>
</file>

<file path=xl/drawings/_rels/drawing25.xml.rels><?xml version="1.0" encoding="UTF-8" standalone="yes"?>
<Relationships xmlns="http://schemas.openxmlformats.org/package/2006/relationships"><Relationship Id="rId3" Type="http://schemas.openxmlformats.org/officeDocument/2006/relationships/image" Target="../media/image1.bin"/><Relationship Id="rId2" Type="http://schemas.openxmlformats.org/officeDocument/2006/relationships/image" Target="../media/image4.png"/><Relationship Id="rId1" Type="http://schemas.openxmlformats.org/officeDocument/2006/relationships/image" Target="file:///C:\WINDOWS\TEMP\~0003946.gif" TargetMode="External"/><Relationship Id="rId5" Type="http://schemas.openxmlformats.org/officeDocument/2006/relationships/image" Target="../media/image3.png"/><Relationship Id="rId4" Type="http://schemas.openxmlformats.org/officeDocument/2006/relationships/image" Target="file:///C:\WINDOWS\TEMP\Symbol.gif" TargetMode="External"/></Relationships>
</file>

<file path=xl/drawings/_rels/drawing26.xml.rels><?xml version="1.0" encoding="UTF-8" standalone="yes"?>
<Relationships xmlns="http://schemas.openxmlformats.org/package/2006/relationships"><Relationship Id="rId3" Type="http://schemas.openxmlformats.org/officeDocument/2006/relationships/image" Target="../media/image1.bin"/><Relationship Id="rId2" Type="http://schemas.openxmlformats.org/officeDocument/2006/relationships/image" Target="../media/image4.png"/><Relationship Id="rId1" Type="http://schemas.openxmlformats.org/officeDocument/2006/relationships/image" Target="file:///C:\WINDOWS\TEMP\~0003946.gif" TargetMode="External"/><Relationship Id="rId5" Type="http://schemas.openxmlformats.org/officeDocument/2006/relationships/image" Target="../media/image3.png"/><Relationship Id="rId4" Type="http://schemas.openxmlformats.org/officeDocument/2006/relationships/image" Target="file:///C:\WINDOWS\TEMP\Symbol.gif" TargetMode="External"/></Relationships>
</file>

<file path=xl/drawings/_rels/drawing27.xml.rels><?xml version="1.0" encoding="UTF-8" standalone="yes"?>
<Relationships xmlns="http://schemas.openxmlformats.org/package/2006/relationships"><Relationship Id="rId3" Type="http://schemas.openxmlformats.org/officeDocument/2006/relationships/image" Target="file:///C:\WINDOWS\TEMP\~0003946.gif" TargetMode="External"/><Relationship Id="rId2" Type="http://schemas.openxmlformats.org/officeDocument/2006/relationships/image" Target="file:///C:\WINDOWS\TEMP\Symbol.gif" TargetMode="External"/><Relationship Id="rId1" Type="http://schemas.openxmlformats.org/officeDocument/2006/relationships/image" Target="../media/image1.bin"/><Relationship Id="rId5" Type="http://schemas.openxmlformats.org/officeDocument/2006/relationships/image" Target="../media/image4.png"/><Relationship Id="rId4"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image" Target="../media/image2.bin"/><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29.xml.rels><?xml version="1.0" encoding="UTF-8" standalone="yes"?>
<Relationships xmlns="http://schemas.openxmlformats.org/package/2006/relationships"><Relationship Id="rId3" Type="http://schemas.openxmlformats.org/officeDocument/2006/relationships/image" Target="../media/image2.bin"/><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2.bin"/><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30.xml.rels><?xml version="1.0" encoding="UTF-8" standalone="yes"?>
<Relationships xmlns="http://schemas.openxmlformats.org/package/2006/relationships"><Relationship Id="rId3" Type="http://schemas.openxmlformats.org/officeDocument/2006/relationships/image" Target="../media/image2.bin"/><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31.xml.rels><?xml version="1.0" encoding="UTF-8" standalone="yes"?>
<Relationships xmlns="http://schemas.openxmlformats.org/package/2006/relationships"><Relationship Id="rId3" Type="http://schemas.openxmlformats.org/officeDocument/2006/relationships/image" Target="../media/image2.bin"/><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32.xml.rels><?xml version="1.0" encoding="UTF-8" standalone="yes"?>
<Relationships xmlns="http://schemas.openxmlformats.org/package/2006/relationships"><Relationship Id="rId3" Type="http://schemas.openxmlformats.org/officeDocument/2006/relationships/image" Target="../media/image2.bin"/><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33.xml.rels><?xml version="1.0" encoding="UTF-8" standalone="yes"?>
<Relationships xmlns="http://schemas.openxmlformats.org/package/2006/relationships"><Relationship Id="rId3" Type="http://schemas.openxmlformats.org/officeDocument/2006/relationships/image" Target="../media/image2.bin"/><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34.xml.rels><?xml version="1.0" encoding="UTF-8" standalone="yes"?>
<Relationships xmlns="http://schemas.openxmlformats.org/package/2006/relationships"><Relationship Id="rId3" Type="http://schemas.openxmlformats.org/officeDocument/2006/relationships/image" Target="../media/image2.bin"/><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35.xml.rels><?xml version="1.0" encoding="UTF-8" standalone="yes"?>
<Relationships xmlns="http://schemas.openxmlformats.org/package/2006/relationships"><Relationship Id="rId3" Type="http://schemas.openxmlformats.org/officeDocument/2006/relationships/image" Target="../media/image2.bin"/><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36.xml.rels><?xml version="1.0" encoding="UTF-8" standalone="yes"?>
<Relationships xmlns="http://schemas.openxmlformats.org/package/2006/relationships"><Relationship Id="rId3" Type="http://schemas.openxmlformats.org/officeDocument/2006/relationships/image" Target="../media/image2.bin"/><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37.xml.rels><?xml version="1.0" encoding="UTF-8" standalone="yes"?>
<Relationships xmlns="http://schemas.openxmlformats.org/package/2006/relationships"><Relationship Id="rId3" Type="http://schemas.openxmlformats.org/officeDocument/2006/relationships/image" Target="../media/image2.bin"/><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38.xml.rels><?xml version="1.0" encoding="UTF-8" standalone="yes"?>
<Relationships xmlns="http://schemas.openxmlformats.org/package/2006/relationships"><Relationship Id="rId3" Type="http://schemas.openxmlformats.org/officeDocument/2006/relationships/image" Target="../media/image2.bin"/><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39.xml.rels><?xml version="1.0" encoding="UTF-8" standalone="yes"?>
<Relationships xmlns="http://schemas.openxmlformats.org/package/2006/relationships"><Relationship Id="rId3" Type="http://schemas.openxmlformats.org/officeDocument/2006/relationships/image" Target="../media/image2.bin"/><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file:///C:\WINDOWS\TEMP\~0003946.gif" TargetMode="External"/><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media/image2.bin"/></Relationships>
</file>

<file path=xl/drawings/_rels/drawing40.xml.rels><?xml version="1.0" encoding="UTF-8" standalone="yes"?>
<Relationships xmlns="http://schemas.openxmlformats.org/package/2006/relationships"><Relationship Id="rId3" Type="http://schemas.openxmlformats.org/officeDocument/2006/relationships/image" Target="../media/image2.bin"/><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41.xml.rels><?xml version="1.0" encoding="UTF-8" standalone="yes"?>
<Relationships xmlns="http://schemas.openxmlformats.org/package/2006/relationships"><Relationship Id="rId3" Type="http://schemas.openxmlformats.org/officeDocument/2006/relationships/image" Target="../media/image2.bin"/><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42.xml.rels><?xml version="1.0" encoding="UTF-8" standalone="yes"?>
<Relationships xmlns="http://schemas.openxmlformats.org/package/2006/relationships"><Relationship Id="rId3" Type="http://schemas.openxmlformats.org/officeDocument/2006/relationships/image" Target="../media/image2.bin"/><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43.xml.rels><?xml version="1.0" encoding="UTF-8" standalone="yes"?>
<Relationships xmlns="http://schemas.openxmlformats.org/package/2006/relationships"><Relationship Id="rId3" Type="http://schemas.openxmlformats.org/officeDocument/2006/relationships/image" Target="../media/image2.bin"/><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44.xml.rels><?xml version="1.0" encoding="UTF-8" standalone="yes"?>
<Relationships xmlns="http://schemas.openxmlformats.org/package/2006/relationships"><Relationship Id="rId3" Type="http://schemas.openxmlformats.org/officeDocument/2006/relationships/image" Target="../media/image2.bin"/><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45.xml.rels><?xml version="1.0" encoding="UTF-8" standalone="yes"?>
<Relationships xmlns="http://schemas.openxmlformats.org/package/2006/relationships"><Relationship Id="rId3" Type="http://schemas.openxmlformats.org/officeDocument/2006/relationships/image" Target="../media/image2.bin"/><Relationship Id="rId2" Type="http://schemas.openxmlformats.org/officeDocument/2006/relationships/image" Target="file:///C:\WINDOWS\TEMP\Symbol.gif" TargetMode="External"/><Relationship Id="rId1" Type="http://schemas.openxmlformats.org/officeDocument/2006/relationships/image" Target="../media/image1.bin"/><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file:///C:\WINDOWS\TEMP\~0003946.gif" TargetMode="External"/></Relationships>
</file>

<file path=xl/drawings/_rels/drawing4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2.bin"/><Relationship Id="rId4" Type="http://schemas.openxmlformats.org/officeDocument/2006/relationships/image" Target="../media/image6.png"/></Relationships>
</file>

<file path=xl/drawings/_rels/drawing4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2.bin"/><Relationship Id="rId4" Type="http://schemas.openxmlformats.org/officeDocument/2006/relationships/image" Target="../media/image6.png"/></Relationships>
</file>

<file path=xl/drawings/_rels/drawing4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2.bin"/><Relationship Id="rId4" Type="http://schemas.openxmlformats.org/officeDocument/2006/relationships/image" Target="../media/image6.png"/></Relationships>
</file>

<file path=xl/drawings/_rels/drawing4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2.bin"/><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5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2.bin"/><Relationship Id="rId4" Type="http://schemas.openxmlformats.org/officeDocument/2006/relationships/image" Target="../media/image6.png"/></Relationships>
</file>

<file path=xl/drawings/_rels/drawing5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2.bin"/><Relationship Id="rId4" Type="http://schemas.openxmlformats.org/officeDocument/2006/relationships/image" Target="../media/image6.png"/></Relationships>
</file>

<file path=xl/drawings/_rels/drawing5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2.bin"/><Relationship Id="rId4" Type="http://schemas.openxmlformats.org/officeDocument/2006/relationships/image" Target="../media/image6.png"/></Relationships>
</file>

<file path=xl/drawings/_rels/drawing5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2.bin"/><Relationship Id="rId4" Type="http://schemas.openxmlformats.org/officeDocument/2006/relationships/image" Target="../media/image6.png"/></Relationships>
</file>

<file path=xl/drawings/_rels/drawing5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2.bin"/><Relationship Id="rId4" Type="http://schemas.openxmlformats.org/officeDocument/2006/relationships/image" Target="../media/image6.png"/></Relationships>
</file>

<file path=xl/drawings/_rels/drawing5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2.bin"/><Relationship Id="rId4" Type="http://schemas.openxmlformats.org/officeDocument/2006/relationships/image" Target="../media/image6.png"/></Relationships>
</file>

<file path=xl/drawings/_rels/drawing5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2.bin"/><Relationship Id="rId4" Type="http://schemas.openxmlformats.org/officeDocument/2006/relationships/image" Target="../media/image6.png"/></Relationships>
</file>

<file path=xl/drawings/_rels/drawing5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2.bin"/><Relationship Id="rId4" Type="http://schemas.openxmlformats.org/officeDocument/2006/relationships/image" Target="../media/image6.png"/></Relationships>
</file>

<file path=xl/drawings/_rels/drawing5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2.bin"/><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drawing1.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59727" name="Picture 1" descr="C:\WINDOWS\TEMP\Symbol.gif">
          <a:extLst>
            <a:ext uri="{FF2B5EF4-FFF2-40B4-BE49-F238E27FC236}">
              <a16:creationId xmlns:a16="http://schemas.microsoft.com/office/drawing/2014/main" id="{00000000-0008-0000-0000-00004FE9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129</xdr:row>
      <xdr:rowOff>161925</xdr:rowOff>
    </xdr:from>
    <xdr:to>
      <xdr:col>1</xdr:col>
      <xdr:colOff>28575</xdr:colOff>
      <xdr:row>130</xdr:row>
      <xdr:rowOff>200025</xdr:rowOff>
    </xdr:to>
    <xdr:pic>
      <xdr:nvPicPr>
        <xdr:cNvPr id="59728" name="Picture 2" descr="C:\WINDOWS\TEMP\Symbol.gif">
          <a:extLst>
            <a:ext uri="{FF2B5EF4-FFF2-40B4-BE49-F238E27FC236}">
              <a16:creationId xmlns:a16="http://schemas.microsoft.com/office/drawing/2014/main" id="{00000000-0008-0000-0000-000050E9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65176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188</xdr:row>
      <xdr:rowOff>171450</xdr:rowOff>
    </xdr:from>
    <xdr:to>
      <xdr:col>1</xdr:col>
      <xdr:colOff>47625</xdr:colOff>
      <xdr:row>189</xdr:row>
      <xdr:rowOff>209550</xdr:rowOff>
    </xdr:to>
    <xdr:pic>
      <xdr:nvPicPr>
        <xdr:cNvPr id="59729" name="Picture 3" descr="C:\WINDOWS\TEMP\Symbol.gif">
          <a:extLst>
            <a:ext uri="{FF2B5EF4-FFF2-40B4-BE49-F238E27FC236}">
              <a16:creationId xmlns:a16="http://schemas.microsoft.com/office/drawing/2014/main" id="{00000000-0008-0000-0000-000051E9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84048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272</xdr:row>
      <xdr:rowOff>161925</xdr:rowOff>
    </xdr:from>
    <xdr:to>
      <xdr:col>1</xdr:col>
      <xdr:colOff>19050</xdr:colOff>
      <xdr:row>273</xdr:row>
      <xdr:rowOff>200025</xdr:rowOff>
    </xdr:to>
    <xdr:pic>
      <xdr:nvPicPr>
        <xdr:cNvPr id="59730" name="Picture 4" descr="C:\WINDOWS\TEMP\Symbol.gif">
          <a:extLst>
            <a:ext uri="{FF2B5EF4-FFF2-40B4-BE49-F238E27FC236}">
              <a16:creationId xmlns:a16="http://schemas.microsoft.com/office/drawing/2014/main" id="{00000000-0008-0000-0000-000052E9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52831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272</xdr:row>
      <xdr:rowOff>123825</xdr:rowOff>
    </xdr:from>
    <xdr:to>
      <xdr:col>20</xdr:col>
      <xdr:colOff>1895475</xdr:colOff>
      <xdr:row>273</xdr:row>
      <xdr:rowOff>152400</xdr:rowOff>
    </xdr:to>
    <xdr:pic>
      <xdr:nvPicPr>
        <xdr:cNvPr id="59731" name="Picture 5" descr="C:\WINDOWS\TEMP\~0003946.gif">
          <a:extLst>
            <a:ext uri="{FF2B5EF4-FFF2-40B4-BE49-F238E27FC236}">
              <a16:creationId xmlns:a16="http://schemas.microsoft.com/office/drawing/2014/main" id="{00000000-0008-0000-0000-000053E9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552450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188</xdr:row>
      <xdr:rowOff>152400</xdr:rowOff>
    </xdr:from>
    <xdr:to>
      <xdr:col>20</xdr:col>
      <xdr:colOff>1924050</xdr:colOff>
      <xdr:row>189</xdr:row>
      <xdr:rowOff>180975</xdr:rowOff>
    </xdr:to>
    <xdr:pic>
      <xdr:nvPicPr>
        <xdr:cNvPr id="59732" name="Picture 6" descr="C:\WINDOWS\TEMP\~0003946.gif">
          <a:extLst>
            <a:ext uri="{FF2B5EF4-FFF2-40B4-BE49-F238E27FC236}">
              <a16:creationId xmlns:a16="http://schemas.microsoft.com/office/drawing/2014/main" id="{00000000-0008-0000-0000-000054E9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383857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129</xdr:row>
      <xdr:rowOff>161925</xdr:rowOff>
    </xdr:from>
    <xdr:to>
      <xdr:col>20</xdr:col>
      <xdr:colOff>1952625</xdr:colOff>
      <xdr:row>130</xdr:row>
      <xdr:rowOff>190500</xdr:rowOff>
    </xdr:to>
    <xdr:pic>
      <xdr:nvPicPr>
        <xdr:cNvPr id="59733" name="Picture 7" descr="C:\WINDOWS\TEMP\~0003946.gif">
          <a:extLst>
            <a:ext uri="{FF2B5EF4-FFF2-40B4-BE49-F238E27FC236}">
              <a16:creationId xmlns:a16="http://schemas.microsoft.com/office/drawing/2014/main" id="{00000000-0008-0000-0000-000055E9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265176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59734" name="Picture 8" descr="C:\WINDOWS\TEMP\~0003946.gif">
          <a:extLst>
            <a:ext uri="{FF2B5EF4-FFF2-40B4-BE49-F238E27FC236}">
              <a16:creationId xmlns:a16="http://schemas.microsoft.com/office/drawing/2014/main" id="{00000000-0008-0000-0000-000056E9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62</xdr:row>
      <xdr:rowOff>123825</xdr:rowOff>
    </xdr:from>
    <xdr:to>
      <xdr:col>20</xdr:col>
      <xdr:colOff>885825</xdr:colOff>
      <xdr:row>63</xdr:row>
      <xdr:rowOff>152400</xdr:rowOff>
    </xdr:to>
    <xdr:pic>
      <xdr:nvPicPr>
        <xdr:cNvPr id="59735" name="Picture 28" descr="C:\WINDOWS\TEMP\~0003946.gif">
          <a:extLst>
            <a:ext uri="{FF2B5EF4-FFF2-40B4-BE49-F238E27FC236}">
              <a16:creationId xmlns:a16="http://schemas.microsoft.com/office/drawing/2014/main" id="{00000000-0008-0000-0000-000057E9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129</xdr:row>
      <xdr:rowOff>123825</xdr:rowOff>
    </xdr:from>
    <xdr:to>
      <xdr:col>20</xdr:col>
      <xdr:colOff>895350</xdr:colOff>
      <xdr:row>130</xdr:row>
      <xdr:rowOff>152400</xdr:rowOff>
    </xdr:to>
    <xdr:pic>
      <xdr:nvPicPr>
        <xdr:cNvPr id="59736" name="Picture 29" descr="C:\WINDOWS\TEMP\~0003946.gif">
          <a:extLst>
            <a:ext uri="{FF2B5EF4-FFF2-40B4-BE49-F238E27FC236}">
              <a16:creationId xmlns:a16="http://schemas.microsoft.com/office/drawing/2014/main" id="{00000000-0008-0000-0000-000058E9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264795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188</xdr:row>
      <xdr:rowOff>104775</xdr:rowOff>
    </xdr:from>
    <xdr:to>
      <xdr:col>20</xdr:col>
      <xdr:colOff>809625</xdr:colOff>
      <xdr:row>189</xdr:row>
      <xdr:rowOff>133350</xdr:rowOff>
    </xdr:to>
    <xdr:pic>
      <xdr:nvPicPr>
        <xdr:cNvPr id="59737" name="Picture 30" descr="C:\WINDOWS\TEMP\~0003946.gif">
          <a:extLst>
            <a:ext uri="{FF2B5EF4-FFF2-40B4-BE49-F238E27FC236}">
              <a16:creationId xmlns:a16="http://schemas.microsoft.com/office/drawing/2014/main" id="{00000000-0008-0000-0000-000059E9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583775" y="383381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272</xdr:row>
      <xdr:rowOff>104775</xdr:rowOff>
    </xdr:from>
    <xdr:to>
      <xdr:col>20</xdr:col>
      <xdr:colOff>895350</xdr:colOff>
      <xdr:row>273</xdr:row>
      <xdr:rowOff>133350</xdr:rowOff>
    </xdr:to>
    <xdr:pic>
      <xdr:nvPicPr>
        <xdr:cNvPr id="59738" name="Picture 31" descr="C:\WINDOWS\TEMP\~0003946.gif">
          <a:extLst>
            <a:ext uri="{FF2B5EF4-FFF2-40B4-BE49-F238E27FC236}">
              <a16:creationId xmlns:a16="http://schemas.microsoft.com/office/drawing/2014/main" id="{00000000-0008-0000-0000-00005AE9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552259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59739" name="Picture 43" descr="logoMTL">
          <a:extLst>
            <a:ext uri="{FF2B5EF4-FFF2-40B4-BE49-F238E27FC236}">
              <a16:creationId xmlns:a16="http://schemas.microsoft.com/office/drawing/2014/main" id="{00000000-0008-0000-0000-00005BE9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129</xdr:row>
      <xdr:rowOff>38100</xdr:rowOff>
    </xdr:from>
    <xdr:to>
      <xdr:col>19</xdr:col>
      <xdr:colOff>1171575</xdr:colOff>
      <xdr:row>130</xdr:row>
      <xdr:rowOff>161925</xdr:rowOff>
    </xdr:to>
    <xdr:pic>
      <xdr:nvPicPr>
        <xdr:cNvPr id="59740" name="Picture 44" descr="logoMTL">
          <a:extLst>
            <a:ext uri="{FF2B5EF4-FFF2-40B4-BE49-F238E27FC236}">
              <a16:creationId xmlns:a16="http://schemas.microsoft.com/office/drawing/2014/main" id="{00000000-0008-0000-0000-00005CE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263937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188</xdr:row>
      <xdr:rowOff>28575</xdr:rowOff>
    </xdr:from>
    <xdr:to>
      <xdr:col>19</xdr:col>
      <xdr:colOff>1171575</xdr:colOff>
      <xdr:row>189</xdr:row>
      <xdr:rowOff>152400</xdr:rowOff>
    </xdr:to>
    <xdr:pic>
      <xdr:nvPicPr>
        <xdr:cNvPr id="59741" name="Picture 45" descr="logoMTL">
          <a:extLst>
            <a:ext uri="{FF2B5EF4-FFF2-40B4-BE49-F238E27FC236}">
              <a16:creationId xmlns:a16="http://schemas.microsoft.com/office/drawing/2014/main" id="{00000000-0008-0000-0000-00005DE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382619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272</xdr:row>
      <xdr:rowOff>0</xdr:rowOff>
    </xdr:from>
    <xdr:to>
      <xdr:col>19</xdr:col>
      <xdr:colOff>1228725</xdr:colOff>
      <xdr:row>273</xdr:row>
      <xdr:rowOff>123825</xdr:rowOff>
    </xdr:to>
    <xdr:pic>
      <xdr:nvPicPr>
        <xdr:cNvPr id="59742" name="Picture 46" descr="logoMTL">
          <a:extLst>
            <a:ext uri="{FF2B5EF4-FFF2-40B4-BE49-F238E27FC236}">
              <a16:creationId xmlns:a16="http://schemas.microsoft.com/office/drawing/2014/main" id="{00000000-0008-0000-0000-00005EE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36050" y="551211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68913" name="Picture 1" descr="C:\WINDOWS\TEMP\Symbol.gif">
          <a:extLst>
            <a:ext uri="{FF2B5EF4-FFF2-40B4-BE49-F238E27FC236}">
              <a16:creationId xmlns:a16="http://schemas.microsoft.com/office/drawing/2014/main" id="{00000000-0008-0000-0900-0000310D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131</xdr:row>
      <xdr:rowOff>161925</xdr:rowOff>
    </xdr:from>
    <xdr:to>
      <xdr:col>1</xdr:col>
      <xdr:colOff>28575</xdr:colOff>
      <xdr:row>132</xdr:row>
      <xdr:rowOff>200025</xdr:rowOff>
    </xdr:to>
    <xdr:pic>
      <xdr:nvPicPr>
        <xdr:cNvPr id="68914" name="Picture 2" descr="C:\WINDOWS\TEMP\Symbol.gif">
          <a:extLst>
            <a:ext uri="{FF2B5EF4-FFF2-40B4-BE49-F238E27FC236}">
              <a16:creationId xmlns:a16="http://schemas.microsoft.com/office/drawing/2014/main" id="{00000000-0008-0000-0900-0000320D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69176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190</xdr:row>
      <xdr:rowOff>171450</xdr:rowOff>
    </xdr:from>
    <xdr:to>
      <xdr:col>1</xdr:col>
      <xdr:colOff>47625</xdr:colOff>
      <xdr:row>191</xdr:row>
      <xdr:rowOff>209550</xdr:rowOff>
    </xdr:to>
    <xdr:pic>
      <xdr:nvPicPr>
        <xdr:cNvPr id="68915" name="Picture 3" descr="C:\WINDOWS\TEMP\Symbol.gif">
          <a:extLst>
            <a:ext uri="{FF2B5EF4-FFF2-40B4-BE49-F238E27FC236}">
              <a16:creationId xmlns:a16="http://schemas.microsoft.com/office/drawing/2014/main" id="{00000000-0008-0000-0900-0000330D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88048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273</xdr:row>
      <xdr:rowOff>161925</xdr:rowOff>
    </xdr:from>
    <xdr:to>
      <xdr:col>1</xdr:col>
      <xdr:colOff>19050</xdr:colOff>
      <xdr:row>274</xdr:row>
      <xdr:rowOff>200025</xdr:rowOff>
    </xdr:to>
    <xdr:pic>
      <xdr:nvPicPr>
        <xdr:cNvPr id="68916" name="Picture 4" descr="C:\WINDOWS\TEMP\Symbol.gif">
          <a:extLst>
            <a:ext uri="{FF2B5EF4-FFF2-40B4-BE49-F238E27FC236}">
              <a16:creationId xmlns:a16="http://schemas.microsoft.com/office/drawing/2014/main" id="{00000000-0008-0000-0900-0000340D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54831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273</xdr:row>
      <xdr:rowOff>123825</xdr:rowOff>
    </xdr:from>
    <xdr:to>
      <xdr:col>20</xdr:col>
      <xdr:colOff>1895475</xdr:colOff>
      <xdr:row>274</xdr:row>
      <xdr:rowOff>152400</xdr:rowOff>
    </xdr:to>
    <xdr:pic>
      <xdr:nvPicPr>
        <xdr:cNvPr id="68917" name="Picture 5" descr="C:\WINDOWS\TEMP\~0003946.gif">
          <a:extLst>
            <a:ext uri="{FF2B5EF4-FFF2-40B4-BE49-F238E27FC236}">
              <a16:creationId xmlns:a16="http://schemas.microsoft.com/office/drawing/2014/main" id="{00000000-0008-0000-0900-0000350D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554450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190</xdr:row>
      <xdr:rowOff>152400</xdr:rowOff>
    </xdr:from>
    <xdr:to>
      <xdr:col>20</xdr:col>
      <xdr:colOff>1924050</xdr:colOff>
      <xdr:row>191</xdr:row>
      <xdr:rowOff>180975</xdr:rowOff>
    </xdr:to>
    <xdr:pic>
      <xdr:nvPicPr>
        <xdr:cNvPr id="68918" name="Picture 6" descr="C:\WINDOWS\TEMP\~0003946.gif">
          <a:extLst>
            <a:ext uri="{FF2B5EF4-FFF2-40B4-BE49-F238E27FC236}">
              <a16:creationId xmlns:a16="http://schemas.microsoft.com/office/drawing/2014/main" id="{00000000-0008-0000-0900-0000360D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38785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131</xdr:row>
      <xdr:rowOff>161925</xdr:rowOff>
    </xdr:from>
    <xdr:to>
      <xdr:col>20</xdr:col>
      <xdr:colOff>1952625</xdr:colOff>
      <xdr:row>132</xdr:row>
      <xdr:rowOff>190500</xdr:rowOff>
    </xdr:to>
    <xdr:pic>
      <xdr:nvPicPr>
        <xdr:cNvPr id="68919" name="Picture 7" descr="C:\WINDOWS\TEMP\~0003946.gif">
          <a:extLst>
            <a:ext uri="{FF2B5EF4-FFF2-40B4-BE49-F238E27FC236}">
              <a16:creationId xmlns:a16="http://schemas.microsoft.com/office/drawing/2014/main" id="{00000000-0008-0000-0900-0000370D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26917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68920" name="Picture 8" descr="C:\WINDOWS\TEMP\~0003946.gif">
          <a:extLst>
            <a:ext uri="{FF2B5EF4-FFF2-40B4-BE49-F238E27FC236}">
              <a16:creationId xmlns:a16="http://schemas.microsoft.com/office/drawing/2014/main" id="{00000000-0008-0000-0900-0000380D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62</xdr:row>
      <xdr:rowOff>123825</xdr:rowOff>
    </xdr:from>
    <xdr:to>
      <xdr:col>20</xdr:col>
      <xdr:colOff>885825</xdr:colOff>
      <xdr:row>63</xdr:row>
      <xdr:rowOff>152400</xdr:rowOff>
    </xdr:to>
    <xdr:pic>
      <xdr:nvPicPr>
        <xdr:cNvPr id="68921" name="Picture 9" descr="C:\WINDOWS\TEMP\~0003946.gif">
          <a:extLst>
            <a:ext uri="{FF2B5EF4-FFF2-40B4-BE49-F238E27FC236}">
              <a16:creationId xmlns:a16="http://schemas.microsoft.com/office/drawing/2014/main" id="{00000000-0008-0000-0900-0000390D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131</xdr:row>
      <xdr:rowOff>123825</xdr:rowOff>
    </xdr:from>
    <xdr:to>
      <xdr:col>20</xdr:col>
      <xdr:colOff>895350</xdr:colOff>
      <xdr:row>132</xdr:row>
      <xdr:rowOff>152400</xdr:rowOff>
    </xdr:to>
    <xdr:pic>
      <xdr:nvPicPr>
        <xdr:cNvPr id="68922" name="Picture 10" descr="C:\WINDOWS\TEMP\~0003946.gif">
          <a:extLst>
            <a:ext uri="{FF2B5EF4-FFF2-40B4-BE49-F238E27FC236}">
              <a16:creationId xmlns:a16="http://schemas.microsoft.com/office/drawing/2014/main" id="{00000000-0008-0000-0900-00003A0D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268795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190</xdr:row>
      <xdr:rowOff>104775</xdr:rowOff>
    </xdr:from>
    <xdr:to>
      <xdr:col>20</xdr:col>
      <xdr:colOff>809625</xdr:colOff>
      <xdr:row>191</xdr:row>
      <xdr:rowOff>133350</xdr:rowOff>
    </xdr:to>
    <xdr:pic>
      <xdr:nvPicPr>
        <xdr:cNvPr id="68923" name="Picture 11" descr="C:\WINDOWS\TEMP\~0003946.gif">
          <a:extLst>
            <a:ext uri="{FF2B5EF4-FFF2-40B4-BE49-F238E27FC236}">
              <a16:creationId xmlns:a16="http://schemas.microsoft.com/office/drawing/2014/main" id="{00000000-0008-0000-0900-00003B0D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583775" y="38738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273</xdr:row>
      <xdr:rowOff>104775</xdr:rowOff>
    </xdr:from>
    <xdr:to>
      <xdr:col>20</xdr:col>
      <xdr:colOff>895350</xdr:colOff>
      <xdr:row>274</xdr:row>
      <xdr:rowOff>133350</xdr:rowOff>
    </xdr:to>
    <xdr:pic>
      <xdr:nvPicPr>
        <xdr:cNvPr id="68924" name="Picture 12" descr="C:\WINDOWS\TEMP\~0003946.gif">
          <a:extLst>
            <a:ext uri="{FF2B5EF4-FFF2-40B4-BE49-F238E27FC236}">
              <a16:creationId xmlns:a16="http://schemas.microsoft.com/office/drawing/2014/main" id="{00000000-0008-0000-0900-00003C0D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554259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68925" name="Picture 13" descr="logoMTL">
          <a:extLst>
            <a:ext uri="{FF2B5EF4-FFF2-40B4-BE49-F238E27FC236}">
              <a16:creationId xmlns:a16="http://schemas.microsoft.com/office/drawing/2014/main" id="{00000000-0008-0000-0900-00003D0D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131</xdr:row>
      <xdr:rowOff>38100</xdr:rowOff>
    </xdr:from>
    <xdr:to>
      <xdr:col>19</xdr:col>
      <xdr:colOff>1171575</xdr:colOff>
      <xdr:row>132</xdr:row>
      <xdr:rowOff>161925</xdr:rowOff>
    </xdr:to>
    <xdr:pic>
      <xdr:nvPicPr>
        <xdr:cNvPr id="68926" name="Picture 14" descr="logoMTL">
          <a:extLst>
            <a:ext uri="{FF2B5EF4-FFF2-40B4-BE49-F238E27FC236}">
              <a16:creationId xmlns:a16="http://schemas.microsoft.com/office/drawing/2014/main" id="{00000000-0008-0000-0900-00003E0D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26793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190</xdr:row>
      <xdr:rowOff>28575</xdr:rowOff>
    </xdr:from>
    <xdr:to>
      <xdr:col>19</xdr:col>
      <xdr:colOff>1171575</xdr:colOff>
      <xdr:row>191</xdr:row>
      <xdr:rowOff>152400</xdr:rowOff>
    </xdr:to>
    <xdr:pic>
      <xdr:nvPicPr>
        <xdr:cNvPr id="68927" name="Picture 15" descr="logoMTL">
          <a:extLst>
            <a:ext uri="{FF2B5EF4-FFF2-40B4-BE49-F238E27FC236}">
              <a16:creationId xmlns:a16="http://schemas.microsoft.com/office/drawing/2014/main" id="{00000000-0008-0000-0900-00003F0D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386619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273</xdr:row>
      <xdr:rowOff>0</xdr:rowOff>
    </xdr:from>
    <xdr:to>
      <xdr:col>19</xdr:col>
      <xdr:colOff>1228725</xdr:colOff>
      <xdr:row>274</xdr:row>
      <xdr:rowOff>123825</xdr:rowOff>
    </xdr:to>
    <xdr:pic>
      <xdr:nvPicPr>
        <xdr:cNvPr id="68928" name="Picture 16" descr="logoMTL">
          <a:extLst>
            <a:ext uri="{FF2B5EF4-FFF2-40B4-BE49-F238E27FC236}">
              <a16:creationId xmlns:a16="http://schemas.microsoft.com/office/drawing/2014/main" id="{00000000-0008-0000-0900-0000400D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36050" y="553212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69937" name="Picture 1" descr="C:\WINDOWS\TEMP\Symbol.gif">
          <a:extLst>
            <a:ext uri="{FF2B5EF4-FFF2-40B4-BE49-F238E27FC236}">
              <a16:creationId xmlns:a16="http://schemas.microsoft.com/office/drawing/2014/main" id="{00000000-0008-0000-0A00-00003111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131</xdr:row>
      <xdr:rowOff>161925</xdr:rowOff>
    </xdr:from>
    <xdr:to>
      <xdr:col>1</xdr:col>
      <xdr:colOff>28575</xdr:colOff>
      <xdr:row>132</xdr:row>
      <xdr:rowOff>200025</xdr:rowOff>
    </xdr:to>
    <xdr:pic>
      <xdr:nvPicPr>
        <xdr:cNvPr id="69938" name="Picture 2" descr="C:\WINDOWS\TEMP\Symbol.gif">
          <a:extLst>
            <a:ext uri="{FF2B5EF4-FFF2-40B4-BE49-F238E27FC236}">
              <a16:creationId xmlns:a16="http://schemas.microsoft.com/office/drawing/2014/main" id="{00000000-0008-0000-0A00-00003211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69176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190</xdr:row>
      <xdr:rowOff>171450</xdr:rowOff>
    </xdr:from>
    <xdr:to>
      <xdr:col>1</xdr:col>
      <xdr:colOff>47625</xdr:colOff>
      <xdr:row>191</xdr:row>
      <xdr:rowOff>209550</xdr:rowOff>
    </xdr:to>
    <xdr:pic>
      <xdr:nvPicPr>
        <xdr:cNvPr id="69939" name="Picture 3" descr="C:\WINDOWS\TEMP\Symbol.gif">
          <a:extLst>
            <a:ext uri="{FF2B5EF4-FFF2-40B4-BE49-F238E27FC236}">
              <a16:creationId xmlns:a16="http://schemas.microsoft.com/office/drawing/2014/main" id="{00000000-0008-0000-0A00-00003311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88048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273</xdr:row>
      <xdr:rowOff>161925</xdr:rowOff>
    </xdr:from>
    <xdr:to>
      <xdr:col>1</xdr:col>
      <xdr:colOff>19050</xdr:colOff>
      <xdr:row>274</xdr:row>
      <xdr:rowOff>200025</xdr:rowOff>
    </xdr:to>
    <xdr:pic>
      <xdr:nvPicPr>
        <xdr:cNvPr id="69940" name="Picture 4" descr="C:\WINDOWS\TEMP\Symbol.gif">
          <a:extLst>
            <a:ext uri="{FF2B5EF4-FFF2-40B4-BE49-F238E27FC236}">
              <a16:creationId xmlns:a16="http://schemas.microsoft.com/office/drawing/2014/main" id="{00000000-0008-0000-0A00-00003411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54831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273</xdr:row>
      <xdr:rowOff>123825</xdr:rowOff>
    </xdr:from>
    <xdr:to>
      <xdr:col>20</xdr:col>
      <xdr:colOff>1895475</xdr:colOff>
      <xdr:row>274</xdr:row>
      <xdr:rowOff>152400</xdr:rowOff>
    </xdr:to>
    <xdr:pic>
      <xdr:nvPicPr>
        <xdr:cNvPr id="69941" name="Picture 5" descr="C:\WINDOWS\TEMP\~0003946.gif">
          <a:extLst>
            <a:ext uri="{FF2B5EF4-FFF2-40B4-BE49-F238E27FC236}">
              <a16:creationId xmlns:a16="http://schemas.microsoft.com/office/drawing/2014/main" id="{00000000-0008-0000-0A00-00003511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554450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190</xdr:row>
      <xdr:rowOff>152400</xdr:rowOff>
    </xdr:from>
    <xdr:to>
      <xdr:col>20</xdr:col>
      <xdr:colOff>1924050</xdr:colOff>
      <xdr:row>191</xdr:row>
      <xdr:rowOff>180975</xdr:rowOff>
    </xdr:to>
    <xdr:pic>
      <xdr:nvPicPr>
        <xdr:cNvPr id="69942" name="Picture 6" descr="C:\WINDOWS\TEMP\~0003946.gif">
          <a:extLst>
            <a:ext uri="{FF2B5EF4-FFF2-40B4-BE49-F238E27FC236}">
              <a16:creationId xmlns:a16="http://schemas.microsoft.com/office/drawing/2014/main" id="{00000000-0008-0000-0A00-00003611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38785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131</xdr:row>
      <xdr:rowOff>161925</xdr:rowOff>
    </xdr:from>
    <xdr:to>
      <xdr:col>20</xdr:col>
      <xdr:colOff>1952625</xdr:colOff>
      <xdr:row>132</xdr:row>
      <xdr:rowOff>190500</xdr:rowOff>
    </xdr:to>
    <xdr:pic>
      <xdr:nvPicPr>
        <xdr:cNvPr id="69943" name="Picture 7" descr="C:\WINDOWS\TEMP\~0003946.gif">
          <a:extLst>
            <a:ext uri="{FF2B5EF4-FFF2-40B4-BE49-F238E27FC236}">
              <a16:creationId xmlns:a16="http://schemas.microsoft.com/office/drawing/2014/main" id="{00000000-0008-0000-0A00-00003711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26917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69944" name="Picture 8" descr="C:\WINDOWS\TEMP\~0003946.gif">
          <a:extLst>
            <a:ext uri="{FF2B5EF4-FFF2-40B4-BE49-F238E27FC236}">
              <a16:creationId xmlns:a16="http://schemas.microsoft.com/office/drawing/2014/main" id="{00000000-0008-0000-0A00-00003811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62</xdr:row>
      <xdr:rowOff>123825</xdr:rowOff>
    </xdr:from>
    <xdr:to>
      <xdr:col>20</xdr:col>
      <xdr:colOff>885825</xdr:colOff>
      <xdr:row>63</xdr:row>
      <xdr:rowOff>152400</xdr:rowOff>
    </xdr:to>
    <xdr:pic>
      <xdr:nvPicPr>
        <xdr:cNvPr id="69945" name="Picture 9" descr="C:\WINDOWS\TEMP\~0003946.gif">
          <a:extLst>
            <a:ext uri="{FF2B5EF4-FFF2-40B4-BE49-F238E27FC236}">
              <a16:creationId xmlns:a16="http://schemas.microsoft.com/office/drawing/2014/main" id="{00000000-0008-0000-0A00-00003911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131</xdr:row>
      <xdr:rowOff>123825</xdr:rowOff>
    </xdr:from>
    <xdr:to>
      <xdr:col>20</xdr:col>
      <xdr:colOff>895350</xdr:colOff>
      <xdr:row>132</xdr:row>
      <xdr:rowOff>152400</xdr:rowOff>
    </xdr:to>
    <xdr:pic>
      <xdr:nvPicPr>
        <xdr:cNvPr id="69946" name="Picture 10" descr="C:\WINDOWS\TEMP\~0003946.gif">
          <a:extLst>
            <a:ext uri="{FF2B5EF4-FFF2-40B4-BE49-F238E27FC236}">
              <a16:creationId xmlns:a16="http://schemas.microsoft.com/office/drawing/2014/main" id="{00000000-0008-0000-0A00-00003A11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268795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190</xdr:row>
      <xdr:rowOff>104775</xdr:rowOff>
    </xdr:from>
    <xdr:to>
      <xdr:col>20</xdr:col>
      <xdr:colOff>809625</xdr:colOff>
      <xdr:row>191</xdr:row>
      <xdr:rowOff>133350</xdr:rowOff>
    </xdr:to>
    <xdr:pic>
      <xdr:nvPicPr>
        <xdr:cNvPr id="69947" name="Picture 11" descr="C:\WINDOWS\TEMP\~0003946.gif">
          <a:extLst>
            <a:ext uri="{FF2B5EF4-FFF2-40B4-BE49-F238E27FC236}">
              <a16:creationId xmlns:a16="http://schemas.microsoft.com/office/drawing/2014/main" id="{00000000-0008-0000-0A00-00003B11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583775" y="38738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273</xdr:row>
      <xdr:rowOff>104775</xdr:rowOff>
    </xdr:from>
    <xdr:to>
      <xdr:col>20</xdr:col>
      <xdr:colOff>895350</xdr:colOff>
      <xdr:row>274</xdr:row>
      <xdr:rowOff>133350</xdr:rowOff>
    </xdr:to>
    <xdr:pic>
      <xdr:nvPicPr>
        <xdr:cNvPr id="69948" name="Picture 12" descr="C:\WINDOWS\TEMP\~0003946.gif">
          <a:extLst>
            <a:ext uri="{FF2B5EF4-FFF2-40B4-BE49-F238E27FC236}">
              <a16:creationId xmlns:a16="http://schemas.microsoft.com/office/drawing/2014/main" id="{00000000-0008-0000-0A00-00003C11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554259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69949" name="Picture 13" descr="logoMTL">
          <a:extLst>
            <a:ext uri="{FF2B5EF4-FFF2-40B4-BE49-F238E27FC236}">
              <a16:creationId xmlns:a16="http://schemas.microsoft.com/office/drawing/2014/main" id="{00000000-0008-0000-0A00-00003D11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131</xdr:row>
      <xdr:rowOff>38100</xdr:rowOff>
    </xdr:from>
    <xdr:to>
      <xdr:col>19</xdr:col>
      <xdr:colOff>1171575</xdr:colOff>
      <xdr:row>132</xdr:row>
      <xdr:rowOff>161925</xdr:rowOff>
    </xdr:to>
    <xdr:pic>
      <xdr:nvPicPr>
        <xdr:cNvPr id="69950" name="Picture 14" descr="logoMTL">
          <a:extLst>
            <a:ext uri="{FF2B5EF4-FFF2-40B4-BE49-F238E27FC236}">
              <a16:creationId xmlns:a16="http://schemas.microsoft.com/office/drawing/2014/main" id="{00000000-0008-0000-0A00-00003E11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26793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190</xdr:row>
      <xdr:rowOff>28575</xdr:rowOff>
    </xdr:from>
    <xdr:to>
      <xdr:col>19</xdr:col>
      <xdr:colOff>1171575</xdr:colOff>
      <xdr:row>191</xdr:row>
      <xdr:rowOff>152400</xdr:rowOff>
    </xdr:to>
    <xdr:pic>
      <xdr:nvPicPr>
        <xdr:cNvPr id="69951" name="Picture 15" descr="logoMTL">
          <a:extLst>
            <a:ext uri="{FF2B5EF4-FFF2-40B4-BE49-F238E27FC236}">
              <a16:creationId xmlns:a16="http://schemas.microsoft.com/office/drawing/2014/main" id="{00000000-0008-0000-0A00-00003F11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386619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273</xdr:row>
      <xdr:rowOff>0</xdr:rowOff>
    </xdr:from>
    <xdr:to>
      <xdr:col>19</xdr:col>
      <xdr:colOff>1228725</xdr:colOff>
      <xdr:row>274</xdr:row>
      <xdr:rowOff>123825</xdr:rowOff>
    </xdr:to>
    <xdr:pic>
      <xdr:nvPicPr>
        <xdr:cNvPr id="69952" name="Picture 16" descr="logoMTL">
          <a:extLst>
            <a:ext uri="{FF2B5EF4-FFF2-40B4-BE49-F238E27FC236}">
              <a16:creationId xmlns:a16="http://schemas.microsoft.com/office/drawing/2014/main" id="{00000000-0008-0000-0A00-00004011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36050" y="553212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70961" name="Picture 1" descr="C:\WINDOWS\TEMP\Symbol.gif">
          <a:extLst>
            <a:ext uri="{FF2B5EF4-FFF2-40B4-BE49-F238E27FC236}">
              <a16:creationId xmlns:a16="http://schemas.microsoft.com/office/drawing/2014/main" id="{00000000-0008-0000-0B00-00003115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131</xdr:row>
      <xdr:rowOff>161925</xdr:rowOff>
    </xdr:from>
    <xdr:to>
      <xdr:col>1</xdr:col>
      <xdr:colOff>28575</xdr:colOff>
      <xdr:row>132</xdr:row>
      <xdr:rowOff>200025</xdr:rowOff>
    </xdr:to>
    <xdr:pic>
      <xdr:nvPicPr>
        <xdr:cNvPr id="70962" name="Picture 2" descr="C:\WINDOWS\TEMP\Symbol.gif">
          <a:extLst>
            <a:ext uri="{FF2B5EF4-FFF2-40B4-BE49-F238E27FC236}">
              <a16:creationId xmlns:a16="http://schemas.microsoft.com/office/drawing/2014/main" id="{00000000-0008-0000-0B00-00003215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69176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190</xdr:row>
      <xdr:rowOff>171450</xdr:rowOff>
    </xdr:from>
    <xdr:to>
      <xdr:col>1</xdr:col>
      <xdr:colOff>47625</xdr:colOff>
      <xdr:row>191</xdr:row>
      <xdr:rowOff>209550</xdr:rowOff>
    </xdr:to>
    <xdr:pic>
      <xdr:nvPicPr>
        <xdr:cNvPr id="70963" name="Picture 3" descr="C:\WINDOWS\TEMP\Symbol.gif">
          <a:extLst>
            <a:ext uri="{FF2B5EF4-FFF2-40B4-BE49-F238E27FC236}">
              <a16:creationId xmlns:a16="http://schemas.microsoft.com/office/drawing/2014/main" id="{00000000-0008-0000-0B00-00003315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88048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273</xdr:row>
      <xdr:rowOff>161925</xdr:rowOff>
    </xdr:from>
    <xdr:to>
      <xdr:col>1</xdr:col>
      <xdr:colOff>19050</xdr:colOff>
      <xdr:row>274</xdr:row>
      <xdr:rowOff>200025</xdr:rowOff>
    </xdr:to>
    <xdr:pic>
      <xdr:nvPicPr>
        <xdr:cNvPr id="70964" name="Picture 4" descr="C:\WINDOWS\TEMP\Symbol.gif">
          <a:extLst>
            <a:ext uri="{FF2B5EF4-FFF2-40B4-BE49-F238E27FC236}">
              <a16:creationId xmlns:a16="http://schemas.microsoft.com/office/drawing/2014/main" id="{00000000-0008-0000-0B00-00003415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54831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273</xdr:row>
      <xdr:rowOff>123825</xdr:rowOff>
    </xdr:from>
    <xdr:to>
      <xdr:col>20</xdr:col>
      <xdr:colOff>1895475</xdr:colOff>
      <xdr:row>274</xdr:row>
      <xdr:rowOff>152400</xdr:rowOff>
    </xdr:to>
    <xdr:pic>
      <xdr:nvPicPr>
        <xdr:cNvPr id="70965" name="Picture 5" descr="C:\WINDOWS\TEMP\~0003946.gif">
          <a:extLst>
            <a:ext uri="{FF2B5EF4-FFF2-40B4-BE49-F238E27FC236}">
              <a16:creationId xmlns:a16="http://schemas.microsoft.com/office/drawing/2014/main" id="{00000000-0008-0000-0B00-00003515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554450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190</xdr:row>
      <xdr:rowOff>152400</xdr:rowOff>
    </xdr:from>
    <xdr:to>
      <xdr:col>20</xdr:col>
      <xdr:colOff>1924050</xdr:colOff>
      <xdr:row>191</xdr:row>
      <xdr:rowOff>180975</xdr:rowOff>
    </xdr:to>
    <xdr:pic>
      <xdr:nvPicPr>
        <xdr:cNvPr id="70966" name="Picture 6" descr="C:\WINDOWS\TEMP\~0003946.gif">
          <a:extLst>
            <a:ext uri="{FF2B5EF4-FFF2-40B4-BE49-F238E27FC236}">
              <a16:creationId xmlns:a16="http://schemas.microsoft.com/office/drawing/2014/main" id="{00000000-0008-0000-0B00-00003615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38785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131</xdr:row>
      <xdr:rowOff>161925</xdr:rowOff>
    </xdr:from>
    <xdr:to>
      <xdr:col>20</xdr:col>
      <xdr:colOff>1952625</xdr:colOff>
      <xdr:row>132</xdr:row>
      <xdr:rowOff>190500</xdr:rowOff>
    </xdr:to>
    <xdr:pic>
      <xdr:nvPicPr>
        <xdr:cNvPr id="70967" name="Picture 7" descr="C:\WINDOWS\TEMP\~0003946.gif">
          <a:extLst>
            <a:ext uri="{FF2B5EF4-FFF2-40B4-BE49-F238E27FC236}">
              <a16:creationId xmlns:a16="http://schemas.microsoft.com/office/drawing/2014/main" id="{00000000-0008-0000-0B00-00003715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26917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70968" name="Picture 8" descr="C:\WINDOWS\TEMP\~0003946.gif">
          <a:extLst>
            <a:ext uri="{FF2B5EF4-FFF2-40B4-BE49-F238E27FC236}">
              <a16:creationId xmlns:a16="http://schemas.microsoft.com/office/drawing/2014/main" id="{00000000-0008-0000-0B00-00003815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62</xdr:row>
      <xdr:rowOff>123825</xdr:rowOff>
    </xdr:from>
    <xdr:to>
      <xdr:col>20</xdr:col>
      <xdr:colOff>885825</xdr:colOff>
      <xdr:row>63</xdr:row>
      <xdr:rowOff>152400</xdr:rowOff>
    </xdr:to>
    <xdr:pic>
      <xdr:nvPicPr>
        <xdr:cNvPr id="70969" name="Picture 9" descr="C:\WINDOWS\TEMP\~0003946.gif">
          <a:extLst>
            <a:ext uri="{FF2B5EF4-FFF2-40B4-BE49-F238E27FC236}">
              <a16:creationId xmlns:a16="http://schemas.microsoft.com/office/drawing/2014/main" id="{00000000-0008-0000-0B00-00003915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131</xdr:row>
      <xdr:rowOff>123825</xdr:rowOff>
    </xdr:from>
    <xdr:to>
      <xdr:col>20</xdr:col>
      <xdr:colOff>895350</xdr:colOff>
      <xdr:row>132</xdr:row>
      <xdr:rowOff>152400</xdr:rowOff>
    </xdr:to>
    <xdr:pic>
      <xdr:nvPicPr>
        <xdr:cNvPr id="70970" name="Picture 10" descr="C:\WINDOWS\TEMP\~0003946.gif">
          <a:extLst>
            <a:ext uri="{FF2B5EF4-FFF2-40B4-BE49-F238E27FC236}">
              <a16:creationId xmlns:a16="http://schemas.microsoft.com/office/drawing/2014/main" id="{00000000-0008-0000-0B00-00003A15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268795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190</xdr:row>
      <xdr:rowOff>104775</xdr:rowOff>
    </xdr:from>
    <xdr:to>
      <xdr:col>20</xdr:col>
      <xdr:colOff>809625</xdr:colOff>
      <xdr:row>191</xdr:row>
      <xdr:rowOff>133350</xdr:rowOff>
    </xdr:to>
    <xdr:pic>
      <xdr:nvPicPr>
        <xdr:cNvPr id="70971" name="Picture 11" descr="C:\WINDOWS\TEMP\~0003946.gif">
          <a:extLst>
            <a:ext uri="{FF2B5EF4-FFF2-40B4-BE49-F238E27FC236}">
              <a16:creationId xmlns:a16="http://schemas.microsoft.com/office/drawing/2014/main" id="{00000000-0008-0000-0B00-00003B15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583775" y="38738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273</xdr:row>
      <xdr:rowOff>104775</xdr:rowOff>
    </xdr:from>
    <xdr:to>
      <xdr:col>20</xdr:col>
      <xdr:colOff>895350</xdr:colOff>
      <xdr:row>274</xdr:row>
      <xdr:rowOff>133350</xdr:rowOff>
    </xdr:to>
    <xdr:pic>
      <xdr:nvPicPr>
        <xdr:cNvPr id="70972" name="Picture 12" descr="C:\WINDOWS\TEMP\~0003946.gif">
          <a:extLst>
            <a:ext uri="{FF2B5EF4-FFF2-40B4-BE49-F238E27FC236}">
              <a16:creationId xmlns:a16="http://schemas.microsoft.com/office/drawing/2014/main" id="{00000000-0008-0000-0B00-00003C15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554259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70973" name="Picture 13" descr="logoMTL">
          <a:extLst>
            <a:ext uri="{FF2B5EF4-FFF2-40B4-BE49-F238E27FC236}">
              <a16:creationId xmlns:a16="http://schemas.microsoft.com/office/drawing/2014/main" id="{00000000-0008-0000-0B00-00003D15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131</xdr:row>
      <xdr:rowOff>38100</xdr:rowOff>
    </xdr:from>
    <xdr:to>
      <xdr:col>19</xdr:col>
      <xdr:colOff>1171575</xdr:colOff>
      <xdr:row>132</xdr:row>
      <xdr:rowOff>161925</xdr:rowOff>
    </xdr:to>
    <xdr:pic>
      <xdr:nvPicPr>
        <xdr:cNvPr id="70974" name="Picture 14" descr="logoMTL">
          <a:extLst>
            <a:ext uri="{FF2B5EF4-FFF2-40B4-BE49-F238E27FC236}">
              <a16:creationId xmlns:a16="http://schemas.microsoft.com/office/drawing/2014/main" id="{00000000-0008-0000-0B00-00003E15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26793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190</xdr:row>
      <xdr:rowOff>28575</xdr:rowOff>
    </xdr:from>
    <xdr:to>
      <xdr:col>19</xdr:col>
      <xdr:colOff>1171575</xdr:colOff>
      <xdr:row>191</xdr:row>
      <xdr:rowOff>152400</xdr:rowOff>
    </xdr:to>
    <xdr:pic>
      <xdr:nvPicPr>
        <xdr:cNvPr id="70975" name="Picture 15" descr="logoMTL">
          <a:extLst>
            <a:ext uri="{FF2B5EF4-FFF2-40B4-BE49-F238E27FC236}">
              <a16:creationId xmlns:a16="http://schemas.microsoft.com/office/drawing/2014/main" id="{00000000-0008-0000-0B00-00003F15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386619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273</xdr:row>
      <xdr:rowOff>0</xdr:rowOff>
    </xdr:from>
    <xdr:to>
      <xdr:col>19</xdr:col>
      <xdr:colOff>1228725</xdr:colOff>
      <xdr:row>274</xdr:row>
      <xdr:rowOff>123825</xdr:rowOff>
    </xdr:to>
    <xdr:pic>
      <xdr:nvPicPr>
        <xdr:cNvPr id="70976" name="Picture 16" descr="logoMTL">
          <a:extLst>
            <a:ext uri="{FF2B5EF4-FFF2-40B4-BE49-F238E27FC236}">
              <a16:creationId xmlns:a16="http://schemas.microsoft.com/office/drawing/2014/main" id="{00000000-0008-0000-0B00-00004015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36050" y="553212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71985" name="Picture 1" descr="C:\WINDOWS\TEMP\Symbol.gif">
          <a:extLst>
            <a:ext uri="{FF2B5EF4-FFF2-40B4-BE49-F238E27FC236}">
              <a16:creationId xmlns:a16="http://schemas.microsoft.com/office/drawing/2014/main" id="{00000000-0008-0000-0C00-00003119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131</xdr:row>
      <xdr:rowOff>161925</xdr:rowOff>
    </xdr:from>
    <xdr:to>
      <xdr:col>1</xdr:col>
      <xdr:colOff>28575</xdr:colOff>
      <xdr:row>132</xdr:row>
      <xdr:rowOff>200025</xdr:rowOff>
    </xdr:to>
    <xdr:pic>
      <xdr:nvPicPr>
        <xdr:cNvPr id="71986" name="Picture 2" descr="C:\WINDOWS\TEMP\Symbol.gif">
          <a:extLst>
            <a:ext uri="{FF2B5EF4-FFF2-40B4-BE49-F238E27FC236}">
              <a16:creationId xmlns:a16="http://schemas.microsoft.com/office/drawing/2014/main" id="{00000000-0008-0000-0C00-00003219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69176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190</xdr:row>
      <xdr:rowOff>171450</xdr:rowOff>
    </xdr:from>
    <xdr:to>
      <xdr:col>1</xdr:col>
      <xdr:colOff>47625</xdr:colOff>
      <xdr:row>191</xdr:row>
      <xdr:rowOff>209550</xdr:rowOff>
    </xdr:to>
    <xdr:pic>
      <xdr:nvPicPr>
        <xdr:cNvPr id="71987" name="Picture 3" descr="C:\WINDOWS\TEMP\Symbol.gif">
          <a:extLst>
            <a:ext uri="{FF2B5EF4-FFF2-40B4-BE49-F238E27FC236}">
              <a16:creationId xmlns:a16="http://schemas.microsoft.com/office/drawing/2014/main" id="{00000000-0008-0000-0C00-00003319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88048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273</xdr:row>
      <xdr:rowOff>161925</xdr:rowOff>
    </xdr:from>
    <xdr:to>
      <xdr:col>1</xdr:col>
      <xdr:colOff>19050</xdr:colOff>
      <xdr:row>274</xdr:row>
      <xdr:rowOff>200025</xdr:rowOff>
    </xdr:to>
    <xdr:pic>
      <xdr:nvPicPr>
        <xdr:cNvPr id="71988" name="Picture 4" descr="C:\WINDOWS\TEMP\Symbol.gif">
          <a:extLst>
            <a:ext uri="{FF2B5EF4-FFF2-40B4-BE49-F238E27FC236}">
              <a16:creationId xmlns:a16="http://schemas.microsoft.com/office/drawing/2014/main" id="{00000000-0008-0000-0C00-00003419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54831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273</xdr:row>
      <xdr:rowOff>123825</xdr:rowOff>
    </xdr:from>
    <xdr:to>
      <xdr:col>20</xdr:col>
      <xdr:colOff>1895475</xdr:colOff>
      <xdr:row>274</xdr:row>
      <xdr:rowOff>152400</xdr:rowOff>
    </xdr:to>
    <xdr:pic>
      <xdr:nvPicPr>
        <xdr:cNvPr id="71989" name="Picture 5" descr="C:\WINDOWS\TEMP\~0003946.gif">
          <a:extLst>
            <a:ext uri="{FF2B5EF4-FFF2-40B4-BE49-F238E27FC236}">
              <a16:creationId xmlns:a16="http://schemas.microsoft.com/office/drawing/2014/main" id="{00000000-0008-0000-0C00-00003519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554450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190</xdr:row>
      <xdr:rowOff>152400</xdr:rowOff>
    </xdr:from>
    <xdr:to>
      <xdr:col>20</xdr:col>
      <xdr:colOff>1924050</xdr:colOff>
      <xdr:row>191</xdr:row>
      <xdr:rowOff>180975</xdr:rowOff>
    </xdr:to>
    <xdr:pic>
      <xdr:nvPicPr>
        <xdr:cNvPr id="71990" name="Picture 6" descr="C:\WINDOWS\TEMP\~0003946.gif">
          <a:extLst>
            <a:ext uri="{FF2B5EF4-FFF2-40B4-BE49-F238E27FC236}">
              <a16:creationId xmlns:a16="http://schemas.microsoft.com/office/drawing/2014/main" id="{00000000-0008-0000-0C00-00003619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38785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131</xdr:row>
      <xdr:rowOff>161925</xdr:rowOff>
    </xdr:from>
    <xdr:to>
      <xdr:col>20</xdr:col>
      <xdr:colOff>1952625</xdr:colOff>
      <xdr:row>132</xdr:row>
      <xdr:rowOff>190500</xdr:rowOff>
    </xdr:to>
    <xdr:pic>
      <xdr:nvPicPr>
        <xdr:cNvPr id="71991" name="Picture 7" descr="C:\WINDOWS\TEMP\~0003946.gif">
          <a:extLst>
            <a:ext uri="{FF2B5EF4-FFF2-40B4-BE49-F238E27FC236}">
              <a16:creationId xmlns:a16="http://schemas.microsoft.com/office/drawing/2014/main" id="{00000000-0008-0000-0C00-00003719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26917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71992" name="Picture 8" descr="C:\WINDOWS\TEMP\~0003946.gif">
          <a:extLst>
            <a:ext uri="{FF2B5EF4-FFF2-40B4-BE49-F238E27FC236}">
              <a16:creationId xmlns:a16="http://schemas.microsoft.com/office/drawing/2014/main" id="{00000000-0008-0000-0C00-00003819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62</xdr:row>
      <xdr:rowOff>123825</xdr:rowOff>
    </xdr:from>
    <xdr:to>
      <xdr:col>20</xdr:col>
      <xdr:colOff>885825</xdr:colOff>
      <xdr:row>63</xdr:row>
      <xdr:rowOff>152400</xdr:rowOff>
    </xdr:to>
    <xdr:pic>
      <xdr:nvPicPr>
        <xdr:cNvPr id="71993" name="Picture 9" descr="C:\WINDOWS\TEMP\~0003946.gif">
          <a:extLst>
            <a:ext uri="{FF2B5EF4-FFF2-40B4-BE49-F238E27FC236}">
              <a16:creationId xmlns:a16="http://schemas.microsoft.com/office/drawing/2014/main" id="{00000000-0008-0000-0C00-00003919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131</xdr:row>
      <xdr:rowOff>123825</xdr:rowOff>
    </xdr:from>
    <xdr:to>
      <xdr:col>20</xdr:col>
      <xdr:colOff>895350</xdr:colOff>
      <xdr:row>132</xdr:row>
      <xdr:rowOff>152400</xdr:rowOff>
    </xdr:to>
    <xdr:pic>
      <xdr:nvPicPr>
        <xdr:cNvPr id="71994" name="Picture 10" descr="C:\WINDOWS\TEMP\~0003946.gif">
          <a:extLst>
            <a:ext uri="{FF2B5EF4-FFF2-40B4-BE49-F238E27FC236}">
              <a16:creationId xmlns:a16="http://schemas.microsoft.com/office/drawing/2014/main" id="{00000000-0008-0000-0C00-00003A19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268795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190</xdr:row>
      <xdr:rowOff>104775</xdr:rowOff>
    </xdr:from>
    <xdr:to>
      <xdr:col>20</xdr:col>
      <xdr:colOff>809625</xdr:colOff>
      <xdr:row>191</xdr:row>
      <xdr:rowOff>133350</xdr:rowOff>
    </xdr:to>
    <xdr:pic>
      <xdr:nvPicPr>
        <xdr:cNvPr id="71995" name="Picture 11" descr="C:\WINDOWS\TEMP\~0003946.gif">
          <a:extLst>
            <a:ext uri="{FF2B5EF4-FFF2-40B4-BE49-F238E27FC236}">
              <a16:creationId xmlns:a16="http://schemas.microsoft.com/office/drawing/2014/main" id="{00000000-0008-0000-0C00-00003B19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583775" y="38738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273</xdr:row>
      <xdr:rowOff>104775</xdr:rowOff>
    </xdr:from>
    <xdr:to>
      <xdr:col>20</xdr:col>
      <xdr:colOff>895350</xdr:colOff>
      <xdr:row>274</xdr:row>
      <xdr:rowOff>133350</xdr:rowOff>
    </xdr:to>
    <xdr:pic>
      <xdr:nvPicPr>
        <xdr:cNvPr id="71996" name="Picture 12" descr="C:\WINDOWS\TEMP\~0003946.gif">
          <a:extLst>
            <a:ext uri="{FF2B5EF4-FFF2-40B4-BE49-F238E27FC236}">
              <a16:creationId xmlns:a16="http://schemas.microsoft.com/office/drawing/2014/main" id="{00000000-0008-0000-0C00-00003C19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554259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71997" name="Picture 13" descr="logoMTL">
          <a:extLst>
            <a:ext uri="{FF2B5EF4-FFF2-40B4-BE49-F238E27FC236}">
              <a16:creationId xmlns:a16="http://schemas.microsoft.com/office/drawing/2014/main" id="{00000000-0008-0000-0C00-00003D19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131</xdr:row>
      <xdr:rowOff>38100</xdr:rowOff>
    </xdr:from>
    <xdr:to>
      <xdr:col>19</xdr:col>
      <xdr:colOff>1171575</xdr:colOff>
      <xdr:row>132</xdr:row>
      <xdr:rowOff>161925</xdr:rowOff>
    </xdr:to>
    <xdr:pic>
      <xdr:nvPicPr>
        <xdr:cNvPr id="71998" name="Picture 14" descr="logoMTL">
          <a:extLst>
            <a:ext uri="{FF2B5EF4-FFF2-40B4-BE49-F238E27FC236}">
              <a16:creationId xmlns:a16="http://schemas.microsoft.com/office/drawing/2014/main" id="{00000000-0008-0000-0C00-00003E19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26793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190</xdr:row>
      <xdr:rowOff>28575</xdr:rowOff>
    </xdr:from>
    <xdr:to>
      <xdr:col>19</xdr:col>
      <xdr:colOff>1171575</xdr:colOff>
      <xdr:row>191</xdr:row>
      <xdr:rowOff>152400</xdr:rowOff>
    </xdr:to>
    <xdr:pic>
      <xdr:nvPicPr>
        <xdr:cNvPr id="71999" name="Picture 15" descr="logoMTL">
          <a:extLst>
            <a:ext uri="{FF2B5EF4-FFF2-40B4-BE49-F238E27FC236}">
              <a16:creationId xmlns:a16="http://schemas.microsoft.com/office/drawing/2014/main" id="{00000000-0008-0000-0C00-00003F19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386619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273</xdr:row>
      <xdr:rowOff>0</xdr:rowOff>
    </xdr:from>
    <xdr:to>
      <xdr:col>19</xdr:col>
      <xdr:colOff>1228725</xdr:colOff>
      <xdr:row>274</xdr:row>
      <xdr:rowOff>123825</xdr:rowOff>
    </xdr:to>
    <xdr:pic>
      <xdr:nvPicPr>
        <xdr:cNvPr id="72000" name="Picture 16" descr="logoMTL">
          <a:extLst>
            <a:ext uri="{FF2B5EF4-FFF2-40B4-BE49-F238E27FC236}">
              <a16:creationId xmlns:a16="http://schemas.microsoft.com/office/drawing/2014/main" id="{00000000-0008-0000-0C00-00004019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36050" y="553212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73009" name="Picture 1" descr="C:\WINDOWS\TEMP\Symbol.gif">
          <a:extLst>
            <a:ext uri="{FF2B5EF4-FFF2-40B4-BE49-F238E27FC236}">
              <a16:creationId xmlns:a16="http://schemas.microsoft.com/office/drawing/2014/main" id="{00000000-0008-0000-0D00-0000311D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131</xdr:row>
      <xdr:rowOff>161925</xdr:rowOff>
    </xdr:from>
    <xdr:to>
      <xdr:col>1</xdr:col>
      <xdr:colOff>28575</xdr:colOff>
      <xdr:row>132</xdr:row>
      <xdr:rowOff>200025</xdr:rowOff>
    </xdr:to>
    <xdr:pic>
      <xdr:nvPicPr>
        <xdr:cNvPr id="73010" name="Picture 2" descr="C:\WINDOWS\TEMP\Symbol.gif">
          <a:extLst>
            <a:ext uri="{FF2B5EF4-FFF2-40B4-BE49-F238E27FC236}">
              <a16:creationId xmlns:a16="http://schemas.microsoft.com/office/drawing/2014/main" id="{00000000-0008-0000-0D00-0000321D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69176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190</xdr:row>
      <xdr:rowOff>171450</xdr:rowOff>
    </xdr:from>
    <xdr:to>
      <xdr:col>1</xdr:col>
      <xdr:colOff>47625</xdr:colOff>
      <xdr:row>191</xdr:row>
      <xdr:rowOff>209550</xdr:rowOff>
    </xdr:to>
    <xdr:pic>
      <xdr:nvPicPr>
        <xdr:cNvPr id="73011" name="Picture 3" descr="C:\WINDOWS\TEMP\Symbol.gif">
          <a:extLst>
            <a:ext uri="{FF2B5EF4-FFF2-40B4-BE49-F238E27FC236}">
              <a16:creationId xmlns:a16="http://schemas.microsoft.com/office/drawing/2014/main" id="{00000000-0008-0000-0D00-0000331D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88048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273</xdr:row>
      <xdr:rowOff>161925</xdr:rowOff>
    </xdr:from>
    <xdr:to>
      <xdr:col>1</xdr:col>
      <xdr:colOff>19050</xdr:colOff>
      <xdr:row>274</xdr:row>
      <xdr:rowOff>200025</xdr:rowOff>
    </xdr:to>
    <xdr:pic>
      <xdr:nvPicPr>
        <xdr:cNvPr id="73012" name="Picture 4" descr="C:\WINDOWS\TEMP\Symbol.gif">
          <a:extLst>
            <a:ext uri="{FF2B5EF4-FFF2-40B4-BE49-F238E27FC236}">
              <a16:creationId xmlns:a16="http://schemas.microsoft.com/office/drawing/2014/main" id="{00000000-0008-0000-0D00-0000341D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54831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273</xdr:row>
      <xdr:rowOff>123825</xdr:rowOff>
    </xdr:from>
    <xdr:to>
      <xdr:col>20</xdr:col>
      <xdr:colOff>1895475</xdr:colOff>
      <xdr:row>274</xdr:row>
      <xdr:rowOff>152400</xdr:rowOff>
    </xdr:to>
    <xdr:pic>
      <xdr:nvPicPr>
        <xdr:cNvPr id="73013" name="Picture 5" descr="C:\WINDOWS\TEMP\~0003946.gif">
          <a:extLst>
            <a:ext uri="{FF2B5EF4-FFF2-40B4-BE49-F238E27FC236}">
              <a16:creationId xmlns:a16="http://schemas.microsoft.com/office/drawing/2014/main" id="{00000000-0008-0000-0D00-0000351D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554450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190</xdr:row>
      <xdr:rowOff>152400</xdr:rowOff>
    </xdr:from>
    <xdr:to>
      <xdr:col>20</xdr:col>
      <xdr:colOff>1924050</xdr:colOff>
      <xdr:row>191</xdr:row>
      <xdr:rowOff>180975</xdr:rowOff>
    </xdr:to>
    <xdr:pic>
      <xdr:nvPicPr>
        <xdr:cNvPr id="73014" name="Picture 6" descr="C:\WINDOWS\TEMP\~0003946.gif">
          <a:extLst>
            <a:ext uri="{FF2B5EF4-FFF2-40B4-BE49-F238E27FC236}">
              <a16:creationId xmlns:a16="http://schemas.microsoft.com/office/drawing/2014/main" id="{00000000-0008-0000-0D00-0000361D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38785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131</xdr:row>
      <xdr:rowOff>161925</xdr:rowOff>
    </xdr:from>
    <xdr:to>
      <xdr:col>20</xdr:col>
      <xdr:colOff>1952625</xdr:colOff>
      <xdr:row>132</xdr:row>
      <xdr:rowOff>190500</xdr:rowOff>
    </xdr:to>
    <xdr:pic>
      <xdr:nvPicPr>
        <xdr:cNvPr id="73015" name="Picture 7" descr="C:\WINDOWS\TEMP\~0003946.gif">
          <a:extLst>
            <a:ext uri="{FF2B5EF4-FFF2-40B4-BE49-F238E27FC236}">
              <a16:creationId xmlns:a16="http://schemas.microsoft.com/office/drawing/2014/main" id="{00000000-0008-0000-0D00-0000371D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26917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73016" name="Picture 8" descr="C:\WINDOWS\TEMP\~0003946.gif">
          <a:extLst>
            <a:ext uri="{FF2B5EF4-FFF2-40B4-BE49-F238E27FC236}">
              <a16:creationId xmlns:a16="http://schemas.microsoft.com/office/drawing/2014/main" id="{00000000-0008-0000-0D00-0000381D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62</xdr:row>
      <xdr:rowOff>123825</xdr:rowOff>
    </xdr:from>
    <xdr:to>
      <xdr:col>20</xdr:col>
      <xdr:colOff>885825</xdr:colOff>
      <xdr:row>63</xdr:row>
      <xdr:rowOff>152400</xdr:rowOff>
    </xdr:to>
    <xdr:pic>
      <xdr:nvPicPr>
        <xdr:cNvPr id="73017" name="Picture 9" descr="C:\WINDOWS\TEMP\~0003946.gif">
          <a:extLst>
            <a:ext uri="{FF2B5EF4-FFF2-40B4-BE49-F238E27FC236}">
              <a16:creationId xmlns:a16="http://schemas.microsoft.com/office/drawing/2014/main" id="{00000000-0008-0000-0D00-0000391D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131</xdr:row>
      <xdr:rowOff>123825</xdr:rowOff>
    </xdr:from>
    <xdr:to>
      <xdr:col>20</xdr:col>
      <xdr:colOff>895350</xdr:colOff>
      <xdr:row>132</xdr:row>
      <xdr:rowOff>152400</xdr:rowOff>
    </xdr:to>
    <xdr:pic>
      <xdr:nvPicPr>
        <xdr:cNvPr id="73018" name="Picture 10" descr="C:\WINDOWS\TEMP\~0003946.gif">
          <a:extLst>
            <a:ext uri="{FF2B5EF4-FFF2-40B4-BE49-F238E27FC236}">
              <a16:creationId xmlns:a16="http://schemas.microsoft.com/office/drawing/2014/main" id="{00000000-0008-0000-0D00-00003A1D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268795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190</xdr:row>
      <xdr:rowOff>104775</xdr:rowOff>
    </xdr:from>
    <xdr:to>
      <xdr:col>20</xdr:col>
      <xdr:colOff>809625</xdr:colOff>
      <xdr:row>191</xdr:row>
      <xdr:rowOff>133350</xdr:rowOff>
    </xdr:to>
    <xdr:pic>
      <xdr:nvPicPr>
        <xdr:cNvPr id="73019" name="Picture 11" descr="C:\WINDOWS\TEMP\~0003946.gif">
          <a:extLst>
            <a:ext uri="{FF2B5EF4-FFF2-40B4-BE49-F238E27FC236}">
              <a16:creationId xmlns:a16="http://schemas.microsoft.com/office/drawing/2014/main" id="{00000000-0008-0000-0D00-00003B1D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583775" y="38738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273</xdr:row>
      <xdr:rowOff>104775</xdr:rowOff>
    </xdr:from>
    <xdr:to>
      <xdr:col>20</xdr:col>
      <xdr:colOff>895350</xdr:colOff>
      <xdr:row>274</xdr:row>
      <xdr:rowOff>133350</xdr:rowOff>
    </xdr:to>
    <xdr:pic>
      <xdr:nvPicPr>
        <xdr:cNvPr id="73020" name="Picture 12" descr="C:\WINDOWS\TEMP\~0003946.gif">
          <a:extLst>
            <a:ext uri="{FF2B5EF4-FFF2-40B4-BE49-F238E27FC236}">
              <a16:creationId xmlns:a16="http://schemas.microsoft.com/office/drawing/2014/main" id="{00000000-0008-0000-0D00-00003C1D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554259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73021" name="Picture 13" descr="logoMTL">
          <a:extLst>
            <a:ext uri="{FF2B5EF4-FFF2-40B4-BE49-F238E27FC236}">
              <a16:creationId xmlns:a16="http://schemas.microsoft.com/office/drawing/2014/main" id="{00000000-0008-0000-0D00-00003D1D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131</xdr:row>
      <xdr:rowOff>38100</xdr:rowOff>
    </xdr:from>
    <xdr:to>
      <xdr:col>19</xdr:col>
      <xdr:colOff>1171575</xdr:colOff>
      <xdr:row>132</xdr:row>
      <xdr:rowOff>161925</xdr:rowOff>
    </xdr:to>
    <xdr:pic>
      <xdr:nvPicPr>
        <xdr:cNvPr id="73022" name="Picture 14" descr="logoMTL">
          <a:extLst>
            <a:ext uri="{FF2B5EF4-FFF2-40B4-BE49-F238E27FC236}">
              <a16:creationId xmlns:a16="http://schemas.microsoft.com/office/drawing/2014/main" id="{00000000-0008-0000-0D00-00003E1D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26793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190</xdr:row>
      <xdr:rowOff>28575</xdr:rowOff>
    </xdr:from>
    <xdr:to>
      <xdr:col>19</xdr:col>
      <xdr:colOff>1171575</xdr:colOff>
      <xdr:row>191</xdr:row>
      <xdr:rowOff>152400</xdr:rowOff>
    </xdr:to>
    <xdr:pic>
      <xdr:nvPicPr>
        <xdr:cNvPr id="73023" name="Picture 15" descr="logoMTL">
          <a:extLst>
            <a:ext uri="{FF2B5EF4-FFF2-40B4-BE49-F238E27FC236}">
              <a16:creationId xmlns:a16="http://schemas.microsoft.com/office/drawing/2014/main" id="{00000000-0008-0000-0D00-00003F1D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386619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273</xdr:row>
      <xdr:rowOff>0</xdr:rowOff>
    </xdr:from>
    <xdr:to>
      <xdr:col>19</xdr:col>
      <xdr:colOff>1228725</xdr:colOff>
      <xdr:row>274</xdr:row>
      <xdr:rowOff>123825</xdr:rowOff>
    </xdr:to>
    <xdr:pic>
      <xdr:nvPicPr>
        <xdr:cNvPr id="73024" name="Picture 16" descr="logoMTL">
          <a:extLst>
            <a:ext uri="{FF2B5EF4-FFF2-40B4-BE49-F238E27FC236}">
              <a16:creationId xmlns:a16="http://schemas.microsoft.com/office/drawing/2014/main" id="{00000000-0008-0000-0D00-0000401D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36050" y="553212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74033" name="Picture 1" descr="C:\WINDOWS\TEMP\Symbol.gif">
          <a:extLst>
            <a:ext uri="{FF2B5EF4-FFF2-40B4-BE49-F238E27FC236}">
              <a16:creationId xmlns:a16="http://schemas.microsoft.com/office/drawing/2014/main" id="{00000000-0008-0000-0E00-00003121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131</xdr:row>
      <xdr:rowOff>161925</xdr:rowOff>
    </xdr:from>
    <xdr:to>
      <xdr:col>1</xdr:col>
      <xdr:colOff>28575</xdr:colOff>
      <xdr:row>132</xdr:row>
      <xdr:rowOff>200025</xdr:rowOff>
    </xdr:to>
    <xdr:pic>
      <xdr:nvPicPr>
        <xdr:cNvPr id="74034" name="Picture 2" descr="C:\WINDOWS\TEMP\Symbol.gif">
          <a:extLst>
            <a:ext uri="{FF2B5EF4-FFF2-40B4-BE49-F238E27FC236}">
              <a16:creationId xmlns:a16="http://schemas.microsoft.com/office/drawing/2014/main" id="{00000000-0008-0000-0E00-00003221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69176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191</xdr:row>
      <xdr:rowOff>171450</xdr:rowOff>
    </xdr:from>
    <xdr:to>
      <xdr:col>1</xdr:col>
      <xdr:colOff>47625</xdr:colOff>
      <xdr:row>192</xdr:row>
      <xdr:rowOff>209550</xdr:rowOff>
    </xdr:to>
    <xdr:pic>
      <xdr:nvPicPr>
        <xdr:cNvPr id="74035" name="Picture 3" descr="C:\WINDOWS\TEMP\Symbol.gif">
          <a:extLst>
            <a:ext uri="{FF2B5EF4-FFF2-40B4-BE49-F238E27FC236}">
              <a16:creationId xmlns:a16="http://schemas.microsoft.com/office/drawing/2014/main" id="{00000000-0008-0000-0E00-00003321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0048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274</xdr:row>
      <xdr:rowOff>161925</xdr:rowOff>
    </xdr:from>
    <xdr:to>
      <xdr:col>1</xdr:col>
      <xdr:colOff>19050</xdr:colOff>
      <xdr:row>275</xdr:row>
      <xdr:rowOff>200025</xdr:rowOff>
    </xdr:to>
    <xdr:pic>
      <xdr:nvPicPr>
        <xdr:cNvPr id="74036" name="Picture 4" descr="C:\WINDOWS\TEMP\Symbol.gif">
          <a:extLst>
            <a:ext uri="{FF2B5EF4-FFF2-40B4-BE49-F238E27FC236}">
              <a16:creationId xmlns:a16="http://schemas.microsoft.com/office/drawing/2014/main" id="{00000000-0008-0000-0E00-00003421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56831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274</xdr:row>
      <xdr:rowOff>123825</xdr:rowOff>
    </xdr:from>
    <xdr:to>
      <xdr:col>20</xdr:col>
      <xdr:colOff>1895475</xdr:colOff>
      <xdr:row>275</xdr:row>
      <xdr:rowOff>152400</xdr:rowOff>
    </xdr:to>
    <xdr:pic>
      <xdr:nvPicPr>
        <xdr:cNvPr id="74037" name="Picture 5" descr="C:\WINDOWS\TEMP\~0003946.gif">
          <a:extLst>
            <a:ext uri="{FF2B5EF4-FFF2-40B4-BE49-F238E27FC236}">
              <a16:creationId xmlns:a16="http://schemas.microsoft.com/office/drawing/2014/main" id="{00000000-0008-0000-0E00-00003521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556450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191</xdr:row>
      <xdr:rowOff>152400</xdr:rowOff>
    </xdr:from>
    <xdr:to>
      <xdr:col>20</xdr:col>
      <xdr:colOff>1924050</xdr:colOff>
      <xdr:row>192</xdr:row>
      <xdr:rowOff>180975</xdr:rowOff>
    </xdr:to>
    <xdr:pic>
      <xdr:nvPicPr>
        <xdr:cNvPr id="74038" name="Picture 6" descr="C:\WINDOWS\TEMP\~0003946.gif">
          <a:extLst>
            <a:ext uri="{FF2B5EF4-FFF2-40B4-BE49-F238E27FC236}">
              <a16:creationId xmlns:a16="http://schemas.microsoft.com/office/drawing/2014/main" id="{00000000-0008-0000-0E00-00003621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389858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131</xdr:row>
      <xdr:rowOff>161925</xdr:rowOff>
    </xdr:from>
    <xdr:to>
      <xdr:col>20</xdr:col>
      <xdr:colOff>1952625</xdr:colOff>
      <xdr:row>132</xdr:row>
      <xdr:rowOff>190500</xdr:rowOff>
    </xdr:to>
    <xdr:pic>
      <xdr:nvPicPr>
        <xdr:cNvPr id="74039" name="Picture 7" descr="C:\WINDOWS\TEMP\~0003946.gif">
          <a:extLst>
            <a:ext uri="{FF2B5EF4-FFF2-40B4-BE49-F238E27FC236}">
              <a16:creationId xmlns:a16="http://schemas.microsoft.com/office/drawing/2014/main" id="{00000000-0008-0000-0E00-00003721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26917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74040" name="Picture 8" descr="C:\WINDOWS\TEMP\~0003946.gif">
          <a:extLst>
            <a:ext uri="{FF2B5EF4-FFF2-40B4-BE49-F238E27FC236}">
              <a16:creationId xmlns:a16="http://schemas.microsoft.com/office/drawing/2014/main" id="{00000000-0008-0000-0E00-00003821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62</xdr:row>
      <xdr:rowOff>123825</xdr:rowOff>
    </xdr:from>
    <xdr:to>
      <xdr:col>20</xdr:col>
      <xdr:colOff>885825</xdr:colOff>
      <xdr:row>63</xdr:row>
      <xdr:rowOff>152400</xdr:rowOff>
    </xdr:to>
    <xdr:pic>
      <xdr:nvPicPr>
        <xdr:cNvPr id="74041" name="Picture 9" descr="C:\WINDOWS\TEMP\~0003946.gif">
          <a:extLst>
            <a:ext uri="{FF2B5EF4-FFF2-40B4-BE49-F238E27FC236}">
              <a16:creationId xmlns:a16="http://schemas.microsoft.com/office/drawing/2014/main" id="{00000000-0008-0000-0E00-00003921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131</xdr:row>
      <xdr:rowOff>123825</xdr:rowOff>
    </xdr:from>
    <xdr:to>
      <xdr:col>20</xdr:col>
      <xdr:colOff>895350</xdr:colOff>
      <xdr:row>132</xdr:row>
      <xdr:rowOff>152400</xdr:rowOff>
    </xdr:to>
    <xdr:pic>
      <xdr:nvPicPr>
        <xdr:cNvPr id="74042" name="Picture 10" descr="C:\WINDOWS\TEMP\~0003946.gif">
          <a:extLst>
            <a:ext uri="{FF2B5EF4-FFF2-40B4-BE49-F238E27FC236}">
              <a16:creationId xmlns:a16="http://schemas.microsoft.com/office/drawing/2014/main" id="{00000000-0008-0000-0E00-00003A21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268795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191</xdr:row>
      <xdr:rowOff>104775</xdr:rowOff>
    </xdr:from>
    <xdr:to>
      <xdr:col>20</xdr:col>
      <xdr:colOff>809625</xdr:colOff>
      <xdr:row>192</xdr:row>
      <xdr:rowOff>133350</xdr:rowOff>
    </xdr:to>
    <xdr:pic>
      <xdr:nvPicPr>
        <xdr:cNvPr id="74043" name="Picture 11" descr="C:\WINDOWS\TEMP\~0003946.gif">
          <a:extLst>
            <a:ext uri="{FF2B5EF4-FFF2-40B4-BE49-F238E27FC236}">
              <a16:creationId xmlns:a16="http://schemas.microsoft.com/office/drawing/2014/main" id="{00000000-0008-0000-0E00-00003B21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583775" y="389382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274</xdr:row>
      <xdr:rowOff>104775</xdr:rowOff>
    </xdr:from>
    <xdr:to>
      <xdr:col>20</xdr:col>
      <xdr:colOff>895350</xdr:colOff>
      <xdr:row>275</xdr:row>
      <xdr:rowOff>133350</xdr:rowOff>
    </xdr:to>
    <xdr:pic>
      <xdr:nvPicPr>
        <xdr:cNvPr id="74044" name="Picture 12" descr="C:\WINDOWS\TEMP\~0003946.gif">
          <a:extLst>
            <a:ext uri="{FF2B5EF4-FFF2-40B4-BE49-F238E27FC236}">
              <a16:creationId xmlns:a16="http://schemas.microsoft.com/office/drawing/2014/main" id="{00000000-0008-0000-0E00-00003C21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55626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74045" name="Picture 13" descr="logoMTL">
          <a:extLst>
            <a:ext uri="{FF2B5EF4-FFF2-40B4-BE49-F238E27FC236}">
              <a16:creationId xmlns:a16="http://schemas.microsoft.com/office/drawing/2014/main" id="{00000000-0008-0000-0E00-00003D21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131</xdr:row>
      <xdr:rowOff>38100</xdr:rowOff>
    </xdr:from>
    <xdr:to>
      <xdr:col>19</xdr:col>
      <xdr:colOff>1171575</xdr:colOff>
      <xdr:row>132</xdr:row>
      <xdr:rowOff>161925</xdr:rowOff>
    </xdr:to>
    <xdr:pic>
      <xdr:nvPicPr>
        <xdr:cNvPr id="74046" name="Picture 14" descr="logoMTL">
          <a:extLst>
            <a:ext uri="{FF2B5EF4-FFF2-40B4-BE49-F238E27FC236}">
              <a16:creationId xmlns:a16="http://schemas.microsoft.com/office/drawing/2014/main" id="{00000000-0008-0000-0E00-00003E21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26793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191</xdr:row>
      <xdr:rowOff>28575</xdr:rowOff>
    </xdr:from>
    <xdr:to>
      <xdr:col>19</xdr:col>
      <xdr:colOff>1171575</xdr:colOff>
      <xdr:row>192</xdr:row>
      <xdr:rowOff>152400</xdr:rowOff>
    </xdr:to>
    <xdr:pic>
      <xdr:nvPicPr>
        <xdr:cNvPr id="74047" name="Picture 15" descr="logoMTL">
          <a:extLst>
            <a:ext uri="{FF2B5EF4-FFF2-40B4-BE49-F238E27FC236}">
              <a16:creationId xmlns:a16="http://schemas.microsoft.com/office/drawing/2014/main" id="{00000000-0008-0000-0E00-00003F21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388620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274</xdr:row>
      <xdr:rowOff>0</xdr:rowOff>
    </xdr:from>
    <xdr:to>
      <xdr:col>19</xdr:col>
      <xdr:colOff>1228725</xdr:colOff>
      <xdr:row>275</xdr:row>
      <xdr:rowOff>123825</xdr:rowOff>
    </xdr:to>
    <xdr:pic>
      <xdr:nvPicPr>
        <xdr:cNvPr id="74048" name="Picture 16" descr="logoMTL">
          <a:extLst>
            <a:ext uri="{FF2B5EF4-FFF2-40B4-BE49-F238E27FC236}">
              <a16:creationId xmlns:a16="http://schemas.microsoft.com/office/drawing/2014/main" id="{00000000-0008-0000-0E00-00004021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36050" y="555212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75057" name="Picture 1" descr="C:\WINDOWS\TEMP\Symbol.gif">
          <a:extLst>
            <a:ext uri="{FF2B5EF4-FFF2-40B4-BE49-F238E27FC236}">
              <a16:creationId xmlns:a16="http://schemas.microsoft.com/office/drawing/2014/main" id="{00000000-0008-0000-0F00-00003125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131</xdr:row>
      <xdr:rowOff>161925</xdr:rowOff>
    </xdr:from>
    <xdr:to>
      <xdr:col>1</xdr:col>
      <xdr:colOff>28575</xdr:colOff>
      <xdr:row>132</xdr:row>
      <xdr:rowOff>200025</xdr:rowOff>
    </xdr:to>
    <xdr:pic>
      <xdr:nvPicPr>
        <xdr:cNvPr id="75058" name="Picture 2" descr="C:\WINDOWS\TEMP\Symbol.gif">
          <a:extLst>
            <a:ext uri="{FF2B5EF4-FFF2-40B4-BE49-F238E27FC236}">
              <a16:creationId xmlns:a16="http://schemas.microsoft.com/office/drawing/2014/main" id="{00000000-0008-0000-0F00-00003225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69176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191</xdr:row>
      <xdr:rowOff>171450</xdr:rowOff>
    </xdr:from>
    <xdr:to>
      <xdr:col>1</xdr:col>
      <xdr:colOff>47625</xdr:colOff>
      <xdr:row>192</xdr:row>
      <xdr:rowOff>209550</xdr:rowOff>
    </xdr:to>
    <xdr:pic>
      <xdr:nvPicPr>
        <xdr:cNvPr id="75059" name="Picture 3" descr="C:\WINDOWS\TEMP\Symbol.gif">
          <a:extLst>
            <a:ext uri="{FF2B5EF4-FFF2-40B4-BE49-F238E27FC236}">
              <a16:creationId xmlns:a16="http://schemas.microsoft.com/office/drawing/2014/main" id="{00000000-0008-0000-0F00-00003325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0048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274</xdr:row>
      <xdr:rowOff>161925</xdr:rowOff>
    </xdr:from>
    <xdr:to>
      <xdr:col>1</xdr:col>
      <xdr:colOff>19050</xdr:colOff>
      <xdr:row>275</xdr:row>
      <xdr:rowOff>200025</xdr:rowOff>
    </xdr:to>
    <xdr:pic>
      <xdr:nvPicPr>
        <xdr:cNvPr id="75060" name="Picture 4" descr="C:\WINDOWS\TEMP\Symbol.gif">
          <a:extLst>
            <a:ext uri="{FF2B5EF4-FFF2-40B4-BE49-F238E27FC236}">
              <a16:creationId xmlns:a16="http://schemas.microsoft.com/office/drawing/2014/main" id="{00000000-0008-0000-0F00-00003425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56831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274</xdr:row>
      <xdr:rowOff>123825</xdr:rowOff>
    </xdr:from>
    <xdr:to>
      <xdr:col>20</xdr:col>
      <xdr:colOff>1895475</xdr:colOff>
      <xdr:row>275</xdr:row>
      <xdr:rowOff>152400</xdr:rowOff>
    </xdr:to>
    <xdr:pic>
      <xdr:nvPicPr>
        <xdr:cNvPr id="75061" name="Picture 5" descr="C:\WINDOWS\TEMP\~0003946.gif">
          <a:extLst>
            <a:ext uri="{FF2B5EF4-FFF2-40B4-BE49-F238E27FC236}">
              <a16:creationId xmlns:a16="http://schemas.microsoft.com/office/drawing/2014/main" id="{00000000-0008-0000-0F00-00003525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556450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191</xdr:row>
      <xdr:rowOff>152400</xdr:rowOff>
    </xdr:from>
    <xdr:to>
      <xdr:col>20</xdr:col>
      <xdr:colOff>1924050</xdr:colOff>
      <xdr:row>192</xdr:row>
      <xdr:rowOff>180975</xdr:rowOff>
    </xdr:to>
    <xdr:pic>
      <xdr:nvPicPr>
        <xdr:cNvPr id="75062" name="Picture 6" descr="C:\WINDOWS\TEMP\~0003946.gif">
          <a:extLst>
            <a:ext uri="{FF2B5EF4-FFF2-40B4-BE49-F238E27FC236}">
              <a16:creationId xmlns:a16="http://schemas.microsoft.com/office/drawing/2014/main" id="{00000000-0008-0000-0F00-00003625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389858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131</xdr:row>
      <xdr:rowOff>161925</xdr:rowOff>
    </xdr:from>
    <xdr:to>
      <xdr:col>20</xdr:col>
      <xdr:colOff>1952625</xdr:colOff>
      <xdr:row>132</xdr:row>
      <xdr:rowOff>190500</xdr:rowOff>
    </xdr:to>
    <xdr:pic>
      <xdr:nvPicPr>
        <xdr:cNvPr id="75063" name="Picture 7" descr="C:\WINDOWS\TEMP\~0003946.gif">
          <a:extLst>
            <a:ext uri="{FF2B5EF4-FFF2-40B4-BE49-F238E27FC236}">
              <a16:creationId xmlns:a16="http://schemas.microsoft.com/office/drawing/2014/main" id="{00000000-0008-0000-0F00-00003725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26917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75064" name="Picture 8" descr="C:\WINDOWS\TEMP\~0003946.gif">
          <a:extLst>
            <a:ext uri="{FF2B5EF4-FFF2-40B4-BE49-F238E27FC236}">
              <a16:creationId xmlns:a16="http://schemas.microsoft.com/office/drawing/2014/main" id="{00000000-0008-0000-0F00-00003825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62</xdr:row>
      <xdr:rowOff>123825</xdr:rowOff>
    </xdr:from>
    <xdr:to>
      <xdr:col>20</xdr:col>
      <xdr:colOff>885825</xdr:colOff>
      <xdr:row>63</xdr:row>
      <xdr:rowOff>152400</xdr:rowOff>
    </xdr:to>
    <xdr:pic>
      <xdr:nvPicPr>
        <xdr:cNvPr id="75065" name="Picture 9" descr="C:\WINDOWS\TEMP\~0003946.gif">
          <a:extLst>
            <a:ext uri="{FF2B5EF4-FFF2-40B4-BE49-F238E27FC236}">
              <a16:creationId xmlns:a16="http://schemas.microsoft.com/office/drawing/2014/main" id="{00000000-0008-0000-0F00-00003925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131</xdr:row>
      <xdr:rowOff>123825</xdr:rowOff>
    </xdr:from>
    <xdr:to>
      <xdr:col>20</xdr:col>
      <xdr:colOff>895350</xdr:colOff>
      <xdr:row>132</xdr:row>
      <xdr:rowOff>152400</xdr:rowOff>
    </xdr:to>
    <xdr:pic>
      <xdr:nvPicPr>
        <xdr:cNvPr id="75066" name="Picture 10" descr="C:\WINDOWS\TEMP\~0003946.gif">
          <a:extLst>
            <a:ext uri="{FF2B5EF4-FFF2-40B4-BE49-F238E27FC236}">
              <a16:creationId xmlns:a16="http://schemas.microsoft.com/office/drawing/2014/main" id="{00000000-0008-0000-0F00-00003A25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268795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191</xdr:row>
      <xdr:rowOff>104775</xdr:rowOff>
    </xdr:from>
    <xdr:to>
      <xdr:col>20</xdr:col>
      <xdr:colOff>809625</xdr:colOff>
      <xdr:row>192</xdr:row>
      <xdr:rowOff>133350</xdr:rowOff>
    </xdr:to>
    <xdr:pic>
      <xdr:nvPicPr>
        <xdr:cNvPr id="75067" name="Picture 11" descr="C:\WINDOWS\TEMP\~0003946.gif">
          <a:extLst>
            <a:ext uri="{FF2B5EF4-FFF2-40B4-BE49-F238E27FC236}">
              <a16:creationId xmlns:a16="http://schemas.microsoft.com/office/drawing/2014/main" id="{00000000-0008-0000-0F00-00003B25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583775" y="389382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274</xdr:row>
      <xdr:rowOff>104775</xdr:rowOff>
    </xdr:from>
    <xdr:to>
      <xdr:col>20</xdr:col>
      <xdr:colOff>895350</xdr:colOff>
      <xdr:row>275</xdr:row>
      <xdr:rowOff>133350</xdr:rowOff>
    </xdr:to>
    <xdr:pic>
      <xdr:nvPicPr>
        <xdr:cNvPr id="75068" name="Picture 12" descr="C:\WINDOWS\TEMP\~0003946.gif">
          <a:extLst>
            <a:ext uri="{FF2B5EF4-FFF2-40B4-BE49-F238E27FC236}">
              <a16:creationId xmlns:a16="http://schemas.microsoft.com/office/drawing/2014/main" id="{00000000-0008-0000-0F00-00003C25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55626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75069" name="Picture 13" descr="logoMTL">
          <a:extLst>
            <a:ext uri="{FF2B5EF4-FFF2-40B4-BE49-F238E27FC236}">
              <a16:creationId xmlns:a16="http://schemas.microsoft.com/office/drawing/2014/main" id="{00000000-0008-0000-0F00-00003D25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131</xdr:row>
      <xdr:rowOff>38100</xdr:rowOff>
    </xdr:from>
    <xdr:to>
      <xdr:col>19</xdr:col>
      <xdr:colOff>1171575</xdr:colOff>
      <xdr:row>132</xdr:row>
      <xdr:rowOff>161925</xdr:rowOff>
    </xdr:to>
    <xdr:pic>
      <xdr:nvPicPr>
        <xdr:cNvPr id="75070" name="Picture 14" descr="logoMTL">
          <a:extLst>
            <a:ext uri="{FF2B5EF4-FFF2-40B4-BE49-F238E27FC236}">
              <a16:creationId xmlns:a16="http://schemas.microsoft.com/office/drawing/2014/main" id="{00000000-0008-0000-0F00-00003E25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26793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191</xdr:row>
      <xdr:rowOff>28575</xdr:rowOff>
    </xdr:from>
    <xdr:to>
      <xdr:col>19</xdr:col>
      <xdr:colOff>1171575</xdr:colOff>
      <xdr:row>192</xdr:row>
      <xdr:rowOff>152400</xdr:rowOff>
    </xdr:to>
    <xdr:pic>
      <xdr:nvPicPr>
        <xdr:cNvPr id="75071" name="Picture 15" descr="logoMTL">
          <a:extLst>
            <a:ext uri="{FF2B5EF4-FFF2-40B4-BE49-F238E27FC236}">
              <a16:creationId xmlns:a16="http://schemas.microsoft.com/office/drawing/2014/main" id="{00000000-0008-0000-0F00-00003F25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388620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274</xdr:row>
      <xdr:rowOff>0</xdr:rowOff>
    </xdr:from>
    <xdr:to>
      <xdr:col>19</xdr:col>
      <xdr:colOff>1228725</xdr:colOff>
      <xdr:row>275</xdr:row>
      <xdr:rowOff>123825</xdr:rowOff>
    </xdr:to>
    <xdr:pic>
      <xdr:nvPicPr>
        <xdr:cNvPr id="75072" name="Picture 16" descr="logoMTL">
          <a:extLst>
            <a:ext uri="{FF2B5EF4-FFF2-40B4-BE49-F238E27FC236}">
              <a16:creationId xmlns:a16="http://schemas.microsoft.com/office/drawing/2014/main" id="{00000000-0008-0000-0F00-00004025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36050" y="555212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20</xdr:col>
      <xdr:colOff>1095375</xdr:colOff>
      <xdr:row>285</xdr:row>
      <xdr:rowOff>123825</xdr:rowOff>
    </xdr:from>
    <xdr:to>
      <xdr:col>20</xdr:col>
      <xdr:colOff>1895475</xdr:colOff>
      <xdr:row>286</xdr:row>
      <xdr:rowOff>152400</xdr:rowOff>
    </xdr:to>
    <xdr:pic>
      <xdr:nvPicPr>
        <xdr:cNvPr id="76077" name="Picture 5" descr="C:\WINDOWS\TEMP\~0003946.gif">
          <a:extLst>
            <a:ext uri="{FF2B5EF4-FFF2-40B4-BE49-F238E27FC236}">
              <a16:creationId xmlns:a16="http://schemas.microsoft.com/office/drawing/2014/main" id="{00000000-0008-0000-1000-00002D29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3583900" y="578453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190</xdr:row>
      <xdr:rowOff>152400</xdr:rowOff>
    </xdr:from>
    <xdr:to>
      <xdr:col>20</xdr:col>
      <xdr:colOff>1924050</xdr:colOff>
      <xdr:row>191</xdr:row>
      <xdr:rowOff>180975</xdr:rowOff>
    </xdr:to>
    <xdr:pic>
      <xdr:nvPicPr>
        <xdr:cNvPr id="76078" name="Picture 6" descr="C:\WINDOWS\TEMP\~0003946.gif">
          <a:extLst>
            <a:ext uri="{FF2B5EF4-FFF2-40B4-BE49-F238E27FC236}">
              <a16:creationId xmlns:a16="http://schemas.microsoft.com/office/drawing/2014/main" id="{00000000-0008-0000-1000-00002E29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3583900" y="38785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130</xdr:row>
      <xdr:rowOff>161925</xdr:rowOff>
    </xdr:from>
    <xdr:to>
      <xdr:col>20</xdr:col>
      <xdr:colOff>1952625</xdr:colOff>
      <xdr:row>131</xdr:row>
      <xdr:rowOff>190500</xdr:rowOff>
    </xdr:to>
    <xdr:pic>
      <xdr:nvPicPr>
        <xdr:cNvPr id="76079" name="Picture 7" descr="C:\WINDOWS\TEMP\~0003946.gif">
          <a:extLst>
            <a:ext uri="{FF2B5EF4-FFF2-40B4-BE49-F238E27FC236}">
              <a16:creationId xmlns:a16="http://schemas.microsoft.com/office/drawing/2014/main" id="{00000000-0008-0000-1000-00002F29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3583900" y="26717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76080" name="Picture 8" descr="C:\WINDOWS\TEMP\~0003946.gif">
          <a:extLst>
            <a:ext uri="{FF2B5EF4-FFF2-40B4-BE49-F238E27FC236}">
              <a16:creationId xmlns:a16="http://schemas.microsoft.com/office/drawing/2014/main" id="{00000000-0008-0000-1000-00003029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76081" name="Picture 13" descr="logoMTL">
          <a:extLst>
            <a:ext uri="{FF2B5EF4-FFF2-40B4-BE49-F238E27FC236}">
              <a16:creationId xmlns:a16="http://schemas.microsoft.com/office/drawing/2014/main" id="{00000000-0008-0000-1000-00003129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130</xdr:row>
      <xdr:rowOff>38100</xdr:rowOff>
    </xdr:from>
    <xdr:to>
      <xdr:col>19</xdr:col>
      <xdr:colOff>1171575</xdr:colOff>
      <xdr:row>131</xdr:row>
      <xdr:rowOff>161925</xdr:rowOff>
    </xdr:to>
    <xdr:pic>
      <xdr:nvPicPr>
        <xdr:cNvPr id="76082" name="Picture 14" descr="logoMTL">
          <a:extLst>
            <a:ext uri="{FF2B5EF4-FFF2-40B4-BE49-F238E27FC236}">
              <a16:creationId xmlns:a16="http://schemas.microsoft.com/office/drawing/2014/main" id="{00000000-0008-0000-1000-00003229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688425" y="26593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190</xdr:row>
      <xdr:rowOff>28575</xdr:rowOff>
    </xdr:from>
    <xdr:to>
      <xdr:col>19</xdr:col>
      <xdr:colOff>1171575</xdr:colOff>
      <xdr:row>191</xdr:row>
      <xdr:rowOff>152400</xdr:rowOff>
    </xdr:to>
    <xdr:pic>
      <xdr:nvPicPr>
        <xdr:cNvPr id="76083" name="Picture 15" descr="logoMTL">
          <a:extLst>
            <a:ext uri="{FF2B5EF4-FFF2-40B4-BE49-F238E27FC236}">
              <a16:creationId xmlns:a16="http://schemas.microsoft.com/office/drawing/2014/main" id="{00000000-0008-0000-1000-00003329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688425" y="386619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285</xdr:row>
      <xdr:rowOff>0</xdr:rowOff>
    </xdr:from>
    <xdr:to>
      <xdr:col>19</xdr:col>
      <xdr:colOff>1228725</xdr:colOff>
      <xdr:row>286</xdr:row>
      <xdr:rowOff>123825</xdr:rowOff>
    </xdr:to>
    <xdr:pic>
      <xdr:nvPicPr>
        <xdr:cNvPr id="76084" name="Picture 16" descr="logoMTL">
          <a:extLst>
            <a:ext uri="{FF2B5EF4-FFF2-40B4-BE49-F238E27FC236}">
              <a16:creationId xmlns:a16="http://schemas.microsoft.com/office/drawing/2014/main" id="{00000000-0008-0000-1000-00003429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736050" y="577215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286</xdr:row>
      <xdr:rowOff>0</xdr:rowOff>
    </xdr:from>
    <xdr:to>
      <xdr:col>1</xdr:col>
      <xdr:colOff>0</xdr:colOff>
      <xdr:row>286</xdr:row>
      <xdr:rowOff>238125</xdr:rowOff>
    </xdr:to>
    <xdr:pic>
      <xdr:nvPicPr>
        <xdr:cNvPr id="76085" name="Picture 1" descr="C:\WINDOWS\TEMP\Symbol.gif">
          <a:extLst>
            <a:ext uri="{FF2B5EF4-FFF2-40B4-BE49-F238E27FC236}">
              <a16:creationId xmlns:a16="http://schemas.microsoft.com/office/drawing/2014/main" id="{00000000-0008-0000-1000-0000352901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579215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191</xdr:row>
      <xdr:rowOff>0</xdr:rowOff>
    </xdr:from>
    <xdr:to>
      <xdr:col>1</xdr:col>
      <xdr:colOff>0</xdr:colOff>
      <xdr:row>191</xdr:row>
      <xdr:rowOff>238125</xdr:rowOff>
    </xdr:to>
    <xdr:pic>
      <xdr:nvPicPr>
        <xdr:cNvPr id="76086" name="Picture 1" descr="C:\WINDOWS\TEMP\Symbol.gif">
          <a:extLst>
            <a:ext uri="{FF2B5EF4-FFF2-40B4-BE49-F238E27FC236}">
              <a16:creationId xmlns:a16="http://schemas.microsoft.com/office/drawing/2014/main" id="{00000000-0008-0000-1000-0000362901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388334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131</xdr:row>
      <xdr:rowOff>0</xdr:rowOff>
    </xdr:from>
    <xdr:to>
      <xdr:col>1</xdr:col>
      <xdr:colOff>0</xdr:colOff>
      <xdr:row>131</xdr:row>
      <xdr:rowOff>238125</xdr:rowOff>
    </xdr:to>
    <xdr:pic>
      <xdr:nvPicPr>
        <xdr:cNvPr id="76087" name="Picture 1" descr="C:\WINDOWS\TEMP\Symbol.gif">
          <a:extLst>
            <a:ext uri="{FF2B5EF4-FFF2-40B4-BE49-F238E27FC236}">
              <a16:creationId xmlns:a16="http://schemas.microsoft.com/office/drawing/2014/main" id="{00000000-0008-0000-1000-0000372901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26755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xdr:row>
      <xdr:rowOff>0</xdr:rowOff>
    </xdr:from>
    <xdr:to>
      <xdr:col>1</xdr:col>
      <xdr:colOff>0</xdr:colOff>
      <xdr:row>63</xdr:row>
      <xdr:rowOff>238125</xdr:rowOff>
    </xdr:to>
    <xdr:pic>
      <xdr:nvPicPr>
        <xdr:cNvPr id="76088" name="Picture 1" descr="C:\WINDOWS\TEMP\Symbol.gif">
          <a:extLst>
            <a:ext uri="{FF2B5EF4-FFF2-40B4-BE49-F238E27FC236}">
              <a16:creationId xmlns:a16="http://schemas.microsoft.com/office/drawing/2014/main" id="{00000000-0008-0000-1000-0000382901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127063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285</xdr:row>
      <xdr:rowOff>0</xdr:rowOff>
    </xdr:from>
    <xdr:to>
      <xdr:col>20</xdr:col>
      <xdr:colOff>800100</xdr:colOff>
      <xdr:row>286</xdr:row>
      <xdr:rowOff>28575</xdr:rowOff>
    </xdr:to>
    <xdr:pic>
      <xdr:nvPicPr>
        <xdr:cNvPr id="76089" name="Picture 10" descr="C:\WINDOWS\TEMP\~0003946.gif">
          <a:extLst>
            <a:ext uri="{FF2B5EF4-FFF2-40B4-BE49-F238E27FC236}">
              <a16:creationId xmlns:a16="http://schemas.microsoft.com/office/drawing/2014/main" id="{00000000-0008-0000-1000-0000392901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2574250" y="577215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190</xdr:row>
      <xdr:rowOff>0</xdr:rowOff>
    </xdr:from>
    <xdr:to>
      <xdr:col>20</xdr:col>
      <xdr:colOff>800100</xdr:colOff>
      <xdr:row>191</xdr:row>
      <xdr:rowOff>28575</xdr:rowOff>
    </xdr:to>
    <xdr:pic>
      <xdr:nvPicPr>
        <xdr:cNvPr id="76090" name="Picture 10" descr="C:\WINDOWS\TEMP\~0003946.gif">
          <a:extLst>
            <a:ext uri="{FF2B5EF4-FFF2-40B4-BE49-F238E27FC236}">
              <a16:creationId xmlns:a16="http://schemas.microsoft.com/office/drawing/2014/main" id="{00000000-0008-0000-1000-00003A2901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2574250" y="386334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130</xdr:row>
      <xdr:rowOff>0</xdr:rowOff>
    </xdr:from>
    <xdr:to>
      <xdr:col>20</xdr:col>
      <xdr:colOff>800100</xdr:colOff>
      <xdr:row>131</xdr:row>
      <xdr:rowOff>28575</xdr:rowOff>
    </xdr:to>
    <xdr:pic>
      <xdr:nvPicPr>
        <xdr:cNvPr id="76091" name="Picture 10" descr="C:\WINDOWS\TEMP\~0003946.gif">
          <a:extLst>
            <a:ext uri="{FF2B5EF4-FFF2-40B4-BE49-F238E27FC236}">
              <a16:creationId xmlns:a16="http://schemas.microsoft.com/office/drawing/2014/main" id="{00000000-0008-0000-1000-00003B2901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2574250" y="265557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62</xdr:row>
      <xdr:rowOff>0</xdr:rowOff>
    </xdr:from>
    <xdr:to>
      <xdr:col>20</xdr:col>
      <xdr:colOff>800100</xdr:colOff>
      <xdr:row>63</xdr:row>
      <xdr:rowOff>28575</xdr:rowOff>
    </xdr:to>
    <xdr:pic>
      <xdr:nvPicPr>
        <xdr:cNvPr id="76092" name="Picture 10" descr="C:\WINDOWS\TEMP\~0003946.gif">
          <a:extLst>
            <a:ext uri="{FF2B5EF4-FFF2-40B4-BE49-F238E27FC236}">
              <a16:creationId xmlns:a16="http://schemas.microsoft.com/office/drawing/2014/main" id="{00000000-0008-0000-1000-00003C2901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2574250" y="125063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20</xdr:col>
      <xdr:colOff>1095375</xdr:colOff>
      <xdr:row>285</xdr:row>
      <xdr:rowOff>123825</xdr:rowOff>
    </xdr:from>
    <xdr:to>
      <xdr:col>20</xdr:col>
      <xdr:colOff>1895475</xdr:colOff>
      <xdr:row>286</xdr:row>
      <xdr:rowOff>152400</xdr:rowOff>
    </xdr:to>
    <xdr:pic>
      <xdr:nvPicPr>
        <xdr:cNvPr id="77101" name="Picture 5" descr="C:\WINDOWS\TEMP\~0003946.gif">
          <a:extLst>
            <a:ext uri="{FF2B5EF4-FFF2-40B4-BE49-F238E27FC236}">
              <a16:creationId xmlns:a16="http://schemas.microsoft.com/office/drawing/2014/main" id="{00000000-0008-0000-1100-00002D2D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3583900" y="578453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190</xdr:row>
      <xdr:rowOff>152400</xdr:rowOff>
    </xdr:from>
    <xdr:to>
      <xdr:col>20</xdr:col>
      <xdr:colOff>1924050</xdr:colOff>
      <xdr:row>191</xdr:row>
      <xdr:rowOff>180975</xdr:rowOff>
    </xdr:to>
    <xdr:pic>
      <xdr:nvPicPr>
        <xdr:cNvPr id="77102" name="Picture 6" descr="C:\WINDOWS\TEMP\~0003946.gif">
          <a:extLst>
            <a:ext uri="{FF2B5EF4-FFF2-40B4-BE49-F238E27FC236}">
              <a16:creationId xmlns:a16="http://schemas.microsoft.com/office/drawing/2014/main" id="{00000000-0008-0000-1100-00002E2D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3583900" y="38785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130</xdr:row>
      <xdr:rowOff>161925</xdr:rowOff>
    </xdr:from>
    <xdr:to>
      <xdr:col>20</xdr:col>
      <xdr:colOff>1952625</xdr:colOff>
      <xdr:row>131</xdr:row>
      <xdr:rowOff>190500</xdr:rowOff>
    </xdr:to>
    <xdr:pic>
      <xdr:nvPicPr>
        <xdr:cNvPr id="77103" name="Picture 7" descr="C:\WINDOWS\TEMP\~0003946.gif">
          <a:extLst>
            <a:ext uri="{FF2B5EF4-FFF2-40B4-BE49-F238E27FC236}">
              <a16:creationId xmlns:a16="http://schemas.microsoft.com/office/drawing/2014/main" id="{00000000-0008-0000-1100-00002F2D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3583900" y="26717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77104" name="Picture 8" descr="C:\WINDOWS\TEMP\~0003946.gif">
          <a:extLst>
            <a:ext uri="{FF2B5EF4-FFF2-40B4-BE49-F238E27FC236}">
              <a16:creationId xmlns:a16="http://schemas.microsoft.com/office/drawing/2014/main" id="{00000000-0008-0000-1100-0000302D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77105" name="Picture 13" descr="logoMTL">
          <a:extLst>
            <a:ext uri="{FF2B5EF4-FFF2-40B4-BE49-F238E27FC236}">
              <a16:creationId xmlns:a16="http://schemas.microsoft.com/office/drawing/2014/main" id="{00000000-0008-0000-1100-0000312D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130</xdr:row>
      <xdr:rowOff>38100</xdr:rowOff>
    </xdr:from>
    <xdr:to>
      <xdr:col>19</xdr:col>
      <xdr:colOff>1171575</xdr:colOff>
      <xdr:row>131</xdr:row>
      <xdr:rowOff>161925</xdr:rowOff>
    </xdr:to>
    <xdr:pic>
      <xdr:nvPicPr>
        <xdr:cNvPr id="77106" name="Picture 14" descr="logoMTL">
          <a:extLst>
            <a:ext uri="{FF2B5EF4-FFF2-40B4-BE49-F238E27FC236}">
              <a16:creationId xmlns:a16="http://schemas.microsoft.com/office/drawing/2014/main" id="{00000000-0008-0000-1100-0000322D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688425" y="26593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190</xdr:row>
      <xdr:rowOff>28575</xdr:rowOff>
    </xdr:from>
    <xdr:to>
      <xdr:col>19</xdr:col>
      <xdr:colOff>1171575</xdr:colOff>
      <xdr:row>191</xdr:row>
      <xdr:rowOff>152400</xdr:rowOff>
    </xdr:to>
    <xdr:pic>
      <xdr:nvPicPr>
        <xdr:cNvPr id="77107" name="Picture 15" descr="logoMTL">
          <a:extLst>
            <a:ext uri="{FF2B5EF4-FFF2-40B4-BE49-F238E27FC236}">
              <a16:creationId xmlns:a16="http://schemas.microsoft.com/office/drawing/2014/main" id="{00000000-0008-0000-1100-0000332D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688425" y="386619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285</xdr:row>
      <xdr:rowOff>0</xdr:rowOff>
    </xdr:from>
    <xdr:to>
      <xdr:col>19</xdr:col>
      <xdr:colOff>1228725</xdr:colOff>
      <xdr:row>286</xdr:row>
      <xdr:rowOff>123825</xdr:rowOff>
    </xdr:to>
    <xdr:pic>
      <xdr:nvPicPr>
        <xdr:cNvPr id="77108" name="Picture 16" descr="logoMTL">
          <a:extLst>
            <a:ext uri="{FF2B5EF4-FFF2-40B4-BE49-F238E27FC236}">
              <a16:creationId xmlns:a16="http://schemas.microsoft.com/office/drawing/2014/main" id="{00000000-0008-0000-1100-0000342D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736050" y="577215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286</xdr:row>
      <xdr:rowOff>0</xdr:rowOff>
    </xdr:from>
    <xdr:to>
      <xdr:col>1</xdr:col>
      <xdr:colOff>0</xdr:colOff>
      <xdr:row>286</xdr:row>
      <xdr:rowOff>238125</xdr:rowOff>
    </xdr:to>
    <xdr:pic>
      <xdr:nvPicPr>
        <xdr:cNvPr id="77109" name="Picture 1" descr="C:\WINDOWS\TEMP\Symbol.gif">
          <a:extLst>
            <a:ext uri="{FF2B5EF4-FFF2-40B4-BE49-F238E27FC236}">
              <a16:creationId xmlns:a16="http://schemas.microsoft.com/office/drawing/2014/main" id="{00000000-0008-0000-1100-0000352D01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579215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191</xdr:row>
      <xdr:rowOff>0</xdr:rowOff>
    </xdr:from>
    <xdr:to>
      <xdr:col>1</xdr:col>
      <xdr:colOff>0</xdr:colOff>
      <xdr:row>191</xdr:row>
      <xdr:rowOff>238125</xdr:rowOff>
    </xdr:to>
    <xdr:pic>
      <xdr:nvPicPr>
        <xdr:cNvPr id="77110" name="Picture 1" descr="C:\WINDOWS\TEMP\Symbol.gif">
          <a:extLst>
            <a:ext uri="{FF2B5EF4-FFF2-40B4-BE49-F238E27FC236}">
              <a16:creationId xmlns:a16="http://schemas.microsoft.com/office/drawing/2014/main" id="{00000000-0008-0000-1100-0000362D01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388334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131</xdr:row>
      <xdr:rowOff>0</xdr:rowOff>
    </xdr:from>
    <xdr:to>
      <xdr:col>1</xdr:col>
      <xdr:colOff>0</xdr:colOff>
      <xdr:row>131</xdr:row>
      <xdr:rowOff>238125</xdr:rowOff>
    </xdr:to>
    <xdr:pic>
      <xdr:nvPicPr>
        <xdr:cNvPr id="77111" name="Picture 1" descr="C:\WINDOWS\TEMP\Symbol.gif">
          <a:extLst>
            <a:ext uri="{FF2B5EF4-FFF2-40B4-BE49-F238E27FC236}">
              <a16:creationId xmlns:a16="http://schemas.microsoft.com/office/drawing/2014/main" id="{00000000-0008-0000-1100-0000372D01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26755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xdr:row>
      <xdr:rowOff>0</xdr:rowOff>
    </xdr:from>
    <xdr:to>
      <xdr:col>1</xdr:col>
      <xdr:colOff>0</xdr:colOff>
      <xdr:row>63</xdr:row>
      <xdr:rowOff>238125</xdr:rowOff>
    </xdr:to>
    <xdr:pic>
      <xdr:nvPicPr>
        <xdr:cNvPr id="77112" name="Picture 1" descr="C:\WINDOWS\TEMP\Symbol.gif">
          <a:extLst>
            <a:ext uri="{FF2B5EF4-FFF2-40B4-BE49-F238E27FC236}">
              <a16:creationId xmlns:a16="http://schemas.microsoft.com/office/drawing/2014/main" id="{00000000-0008-0000-1100-0000382D01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127063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285</xdr:row>
      <xdr:rowOff>0</xdr:rowOff>
    </xdr:from>
    <xdr:to>
      <xdr:col>20</xdr:col>
      <xdr:colOff>800100</xdr:colOff>
      <xdr:row>286</xdr:row>
      <xdr:rowOff>28575</xdr:rowOff>
    </xdr:to>
    <xdr:pic>
      <xdr:nvPicPr>
        <xdr:cNvPr id="77113" name="Picture 10" descr="C:\WINDOWS\TEMP\~0003946.gif">
          <a:extLst>
            <a:ext uri="{FF2B5EF4-FFF2-40B4-BE49-F238E27FC236}">
              <a16:creationId xmlns:a16="http://schemas.microsoft.com/office/drawing/2014/main" id="{00000000-0008-0000-1100-0000392D01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2574250" y="577215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190</xdr:row>
      <xdr:rowOff>0</xdr:rowOff>
    </xdr:from>
    <xdr:to>
      <xdr:col>20</xdr:col>
      <xdr:colOff>800100</xdr:colOff>
      <xdr:row>191</xdr:row>
      <xdr:rowOff>28575</xdr:rowOff>
    </xdr:to>
    <xdr:pic>
      <xdr:nvPicPr>
        <xdr:cNvPr id="77114" name="Picture 10" descr="C:\WINDOWS\TEMP\~0003946.gif">
          <a:extLst>
            <a:ext uri="{FF2B5EF4-FFF2-40B4-BE49-F238E27FC236}">
              <a16:creationId xmlns:a16="http://schemas.microsoft.com/office/drawing/2014/main" id="{00000000-0008-0000-1100-00003A2D01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2574250" y="386334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130</xdr:row>
      <xdr:rowOff>0</xdr:rowOff>
    </xdr:from>
    <xdr:to>
      <xdr:col>20</xdr:col>
      <xdr:colOff>800100</xdr:colOff>
      <xdr:row>131</xdr:row>
      <xdr:rowOff>28575</xdr:rowOff>
    </xdr:to>
    <xdr:pic>
      <xdr:nvPicPr>
        <xdr:cNvPr id="77115" name="Picture 10" descr="C:\WINDOWS\TEMP\~0003946.gif">
          <a:extLst>
            <a:ext uri="{FF2B5EF4-FFF2-40B4-BE49-F238E27FC236}">
              <a16:creationId xmlns:a16="http://schemas.microsoft.com/office/drawing/2014/main" id="{00000000-0008-0000-1100-00003B2D01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2574250" y="265557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62</xdr:row>
      <xdr:rowOff>0</xdr:rowOff>
    </xdr:from>
    <xdr:to>
      <xdr:col>20</xdr:col>
      <xdr:colOff>800100</xdr:colOff>
      <xdr:row>63</xdr:row>
      <xdr:rowOff>28575</xdr:rowOff>
    </xdr:to>
    <xdr:pic>
      <xdr:nvPicPr>
        <xdr:cNvPr id="77116" name="Picture 10" descr="C:\WINDOWS\TEMP\~0003946.gif">
          <a:extLst>
            <a:ext uri="{FF2B5EF4-FFF2-40B4-BE49-F238E27FC236}">
              <a16:creationId xmlns:a16="http://schemas.microsoft.com/office/drawing/2014/main" id="{00000000-0008-0000-1100-00003C2D01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2574250" y="125063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20</xdr:col>
      <xdr:colOff>1095375</xdr:colOff>
      <xdr:row>285</xdr:row>
      <xdr:rowOff>123825</xdr:rowOff>
    </xdr:from>
    <xdr:to>
      <xdr:col>20</xdr:col>
      <xdr:colOff>1895475</xdr:colOff>
      <xdr:row>286</xdr:row>
      <xdr:rowOff>152400</xdr:rowOff>
    </xdr:to>
    <xdr:pic>
      <xdr:nvPicPr>
        <xdr:cNvPr id="78125" name="Picture 5" descr="C:\WINDOWS\TEMP\~0003946.gif">
          <a:extLst>
            <a:ext uri="{FF2B5EF4-FFF2-40B4-BE49-F238E27FC236}">
              <a16:creationId xmlns:a16="http://schemas.microsoft.com/office/drawing/2014/main" id="{00000000-0008-0000-1200-00002D31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3583900" y="578453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190</xdr:row>
      <xdr:rowOff>152400</xdr:rowOff>
    </xdr:from>
    <xdr:to>
      <xdr:col>20</xdr:col>
      <xdr:colOff>1924050</xdr:colOff>
      <xdr:row>191</xdr:row>
      <xdr:rowOff>180975</xdr:rowOff>
    </xdr:to>
    <xdr:pic>
      <xdr:nvPicPr>
        <xdr:cNvPr id="78126" name="Picture 6" descr="C:\WINDOWS\TEMP\~0003946.gif">
          <a:extLst>
            <a:ext uri="{FF2B5EF4-FFF2-40B4-BE49-F238E27FC236}">
              <a16:creationId xmlns:a16="http://schemas.microsoft.com/office/drawing/2014/main" id="{00000000-0008-0000-1200-00002E31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3583900" y="38785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130</xdr:row>
      <xdr:rowOff>161925</xdr:rowOff>
    </xdr:from>
    <xdr:to>
      <xdr:col>20</xdr:col>
      <xdr:colOff>1952625</xdr:colOff>
      <xdr:row>131</xdr:row>
      <xdr:rowOff>190500</xdr:rowOff>
    </xdr:to>
    <xdr:pic>
      <xdr:nvPicPr>
        <xdr:cNvPr id="78127" name="Picture 7" descr="C:\WINDOWS\TEMP\~0003946.gif">
          <a:extLst>
            <a:ext uri="{FF2B5EF4-FFF2-40B4-BE49-F238E27FC236}">
              <a16:creationId xmlns:a16="http://schemas.microsoft.com/office/drawing/2014/main" id="{00000000-0008-0000-1200-00002F31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3583900" y="26717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78128" name="Picture 8" descr="C:\WINDOWS\TEMP\~0003946.gif">
          <a:extLst>
            <a:ext uri="{FF2B5EF4-FFF2-40B4-BE49-F238E27FC236}">
              <a16:creationId xmlns:a16="http://schemas.microsoft.com/office/drawing/2014/main" id="{00000000-0008-0000-1200-00003031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78129" name="Picture 13" descr="logoMTL">
          <a:extLst>
            <a:ext uri="{FF2B5EF4-FFF2-40B4-BE49-F238E27FC236}">
              <a16:creationId xmlns:a16="http://schemas.microsoft.com/office/drawing/2014/main" id="{00000000-0008-0000-1200-00003131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130</xdr:row>
      <xdr:rowOff>38100</xdr:rowOff>
    </xdr:from>
    <xdr:to>
      <xdr:col>19</xdr:col>
      <xdr:colOff>1171575</xdr:colOff>
      <xdr:row>131</xdr:row>
      <xdr:rowOff>161925</xdr:rowOff>
    </xdr:to>
    <xdr:pic>
      <xdr:nvPicPr>
        <xdr:cNvPr id="78130" name="Picture 14" descr="logoMTL">
          <a:extLst>
            <a:ext uri="{FF2B5EF4-FFF2-40B4-BE49-F238E27FC236}">
              <a16:creationId xmlns:a16="http://schemas.microsoft.com/office/drawing/2014/main" id="{00000000-0008-0000-1200-00003231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688425" y="26593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190</xdr:row>
      <xdr:rowOff>28575</xdr:rowOff>
    </xdr:from>
    <xdr:to>
      <xdr:col>19</xdr:col>
      <xdr:colOff>1171575</xdr:colOff>
      <xdr:row>191</xdr:row>
      <xdr:rowOff>152400</xdr:rowOff>
    </xdr:to>
    <xdr:pic>
      <xdr:nvPicPr>
        <xdr:cNvPr id="78131" name="Picture 15" descr="logoMTL">
          <a:extLst>
            <a:ext uri="{FF2B5EF4-FFF2-40B4-BE49-F238E27FC236}">
              <a16:creationId xmlns:a16="http://schemas.microsoft.com/office/drawing/2014/main" id="{00000000-0008-0000-1200-00003331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688425" y="386619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285</xdr:row>
      <xdr:rowOff>0</xdr:rowOff>
    </xdr:from>
    <xdr:to>
      <xdr:col>19</xdr:col>
      <xdr:colOff>1228725</xdr:colOff>
      <xdr:row>286</xdr:row>
      <xdr:rowOff>123825</xdr:rowOff>
    </xdr:to>
    <xdr:pic>
      <xdr:nvPicPr>
        <xdr:cNvPr id="78132" name="Picture 16" descr="logoMTL">
          <a:extLst>
            <a:ext uri="{FF2B5EF4-FFF2-40B4-BE49-F238E27FC236}">
              <a16:creationId xmlns:a16="http://schemas.microsoft.com/office/drawing/2014/main" id="{00000000-0008-0000-1200-00003431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736050" y="577215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286</xdr:row>
      <xdr:rowOff>0</xdr:rowOff>
    </xdr:from>
    <xdr:to>
      <xdr:col>1</xdr:col>
      <xdr:colOff>0</xdr:colOff>
      <xdr:row>286</xdr:row>
      <xdr:rowOff>238125</xdr:rowOff>
    </xdr:to>
    <xdr:pic>
      <xdr:nvPicPr>
        <xdr:cNvPr id="78133" name="Picture 1" descr="C:\WINDOWS\TEMP\Symbol.gif">
          <a:extLst>
            <a:ext uri="{FF2B5EF4-FFF2-40B4-BE49-F238E27FC236}">
              <a16:creationId xmlns:a16="http://schemas.microsoft.com/office/drawing/2014/main" id="{00000000-0008-0000-1200-0000353101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579215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191</xdr:row>
      <xdr:rowOff>0</xdr:rowOff>
    </xdr:from>
    <xdr:to>
      <xdr:col>1</xdr:col>
      <xdr:colOff>0</xdr:colOff>
      <xdr:row>191</xdr:row>
      <xdr:rowOff>238125</xdr:rowOff>
    </xdr:to>
    <xdr:pic>
      <xdr:nvPicPr>
        <xdr:cNvPr id="78134" name="Picture 1" descr="C:\WINDOWS\TEMP\Symbol.gif">
          <a:extLst>
            <a:ext uri="{FF2B5EF4-FFF2-40B4-BE49-F238E27FC236}">
              <a16:creationId xmlns:a16="http://schemas.microsoft.com/office/drawing/2014/main" id="{00000000-0008-0000-1200-0000363101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388334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131</xdr:row>
      <xdr:rowOff>0</xdr:rowOff>
    </xdr:from>
    <xdr:to>
      <xdr:col>1</xdr:col>
      <xdr:colOff>0</xdr:colOff>
      <xdr:row>131</xdr:row>
      <xdr:rowOff>238125</xdr:rowOff>
    </xdr:to>
    <xdr:pic>
      <xdr:nvPicPr>
        <xdr:cNvPr id="78135" name="Picture 1" descr="C:\WINDOWS\TEMP\Symbol.gif">
          <a:extLst>
            <a:ext uri="{FF2B5EF4-FFF2-40B4-BE49-F238E27FC236}">
              <a16:creationId xmlns:a16="http://schemas.microsoft.com/office/drawing/2014/main" id="{00000000-0008-0000-1200-0000373101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26755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xdr:row>
      <xdr:rowOff>0</xdr:rowOff>
    </xdr:from>
    <xdr:to>
      <xdr:col>1</xdr:col>
      <xdr:colOff>0</xdr:colOff>
      <xdr:row>63</xdr:row>
      <xdr:rowOff>238125</xdr:rowOff>
    </xdr:to>
    <xdr:pic>
      <xdr:nvPicPr>
        <xdr:cNvPr id="78136" name="Picture 1" descr="C:\WINDOWS\TEMP\Symbol.gif">
          <a:extLst>
            <a:ext uri="{FF2B5EF4-FFF2-40B4-BE49-F238E27FC236}">
              <a16:creationId xmlns:a16="http://schemas.microsoft.com/office/drawing/2014/main" id="{00000000-0008-0000-1200-0000383101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127063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285</xdr:row>
      <xdr:rowOff>0</xdr:rowOff>
    </xdr:from>
    <xdr:to>
      <xdr:col>20</xdr:col>
      <xdr:colOff>800100</xdr:colOff>
      <xdr:row>286</xdr:row>
      <xdr:rowOff>28575</xdr:rowOff>
    </xdr:to>
    <xdr:pic>
      <xdr:nvPicPr>
        <xdr:cNvPr id="78137" name="Picture 10" descr="C:\WINDOWS\TEMP\~0003946.gif">
          <a:extLst>
            <a:ext uri="{FF2B5EF4-FFF2-40B4-BE49-F238E27FC236}">
              <a16:creationId xmlns:a16="http://schemas.microsoft.com/office/drawing/2014/main" id="{00000000-0008-0000-1200-0000393101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2574250" y="577215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190</xdr:row>
      <xdr:rowOff>0</xdr:rowOff>
    </xdr:from>
    <xdr:to>
      <xdr:col>20</xdr:col>
      <xdr:colOff>800100</xdr:colOff>
      <xdr:row>191</xdr:row>
      <xdr:rowOff>28575</xdr:rowOff>
    </xdr:to>
    <xdr:pic>
      <xdr:nvPicPr>
        <xdr:cNvPr id="78138" name="Picture 10" descr="C:\WINDOWS\TEMP\~0003946.gif">
          <a:extLst>
            <a:ext uri="{FF2B5EF4-FFF2-40B4-BE49-F238E27FC236}">
              <a16:creationId xmlns:a16="http://schemas.microsoft.com/office/drawing/2014/main" id="{00000000-0008-0000-1200-00003A3101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2574250" y="386334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130</xdr:row>
      <xdr:rowOff>0</xdr:rowOff>
    </xdr:from>
    <xdr:to>
      <xdr:col>20</xdr:col>
      <xdr:colOff>800100</xdr:colOff>
      <xdr:row>131</xdr:row>
      <xdr:rowOff>28575</xdr:rowOff>
    </xdr:to>
    <xdr:pic>
      <xdr:nvPicPr>
        <xdr:cNvPr id="78139" name="Picture 10" descr="C:\WINDOWS\TEMP\~0003946.gif">
          <a:extLst>
            <a:ext uri="{FF2B5EF4-FFF2-40B4-BE49-F238E27FC236}">
              <a16:creationId xmlns:a16="http://schemas.microsoft.com/office/drawing/2014/main" id="{00000000-0008-0000-1200-00003B31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2574250" y="265557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62</xdr:row>
      <xdr:rowOff>0</xdr:rowOff>
    </xdr:from>
    <xdr:to>
      <xdr:col>20</xdr:col>
      <xdr:colOff>800100</xdr:colOff>
      <xdr:row>63</xdr:row>
      <xdr:rowOff>28575</xdr:rowOff>
    </xdr:to>
    <xdr:pic>
      <xdr:nvPicPr>
        <xdr:cNvPr id="78140" name="Picture 10" descr="C:\WINDOWS\TEMP\~0003946.gif">
          <a:extLst>
            <a:ext uri="{FF2B5EF4-FFF2-40B4-BE49-F238E27FC236}">
              <a16:creationId xmlns:a16="http://schemas.microsoft.com/office/drawing/2014/main" id="{00000000-0008-0000-1200-00003C3101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2574250" y="125063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60721" name="Picture 1" descr="C:\WINDOWS\TEMP\Symbol.gif">
          <a:extLst>
            <a:ext uri="{FF2B5EF4-FFF2-40B4-BE49-F238E27FC236}">
              <a16:creationId xmlns:a16="http://schemas.microsoft.com/office/drawing/2014/main" id="{00000000-0008-0000-0100-000031ED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129</xdr:row>
      <xdr:rowOff>161925</xdr:rowOff>
    </xdr:from>
    <xdr:to>
      <xdr:col>1</xdr:col>
      <xdr:colOff>28575</xdr:colOff>
      <xdr:row>130</xdr:row>
      <xdr:rowOff>200025</xdr:rowOff>
    </xdr:to>
    <xdr:pic>
      <xdr:nvPicPr>
        <xdr:cNvPr id="60722" name="Picture 2" descr="C:\WINDOWS\TEMP\Symbol.gif">
          <a:extLst>
            <a:ext uri="{FF2B5EF4-FFF2-40B4-BE49-F238E27FC236}">
              <a16:creationId xmlns:a16="http://schemas.microsoft.com/office/drawing/2014/main" id="{00000000-0008-0000-0100-000032ED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8575" y="265176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188</xdr:row>
      <xdr:rowOff>171450</xdr:rowOff>
    </xdr:from>
    <xdr:to>
      <xdr:col>1</xdr:col>
      <xdr:colOff>47625</xdr:colOff>
      <xdr:row>189</xdr:row>
      <xdr:rowOff>209550</xdr:rowOff>
    </xdr:to>
    <xdr:pic>
      <xdr:nvPicPr>
        <xdr:cNvPr id="60723" name="Picture 3" descr="C:\WINDOWS\TEMP\Symbol.gif">
          <a:extLst>
            <a:ext uri="{FF2B5EF4-FFF2-40B4-BE49-F238E27FC236}">
              <a16:creationId xmlns:a16="http://schemas.microsoft.com/office/drawing/2014/main" id="{00000000-0008-0000-0100-000033ED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84048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272</xdr:row>
      <xdr:rowOff>161925</xdr:rowOff>
    </xdr:from>
    <xdr:to>
      <xdr:col>1</xdr:col>
      <xdr:colOff>19050</xdr:colOff>
      <xdr:row>273</xdr:row>
      <xdr:rowOff>200025</xdr:rowOff>
    </xdr:to>
    <xdr:pic>
      <xdr:nvPicPr>
        <xdr:cNvPr id="60724" name="Picture 4" descr="C:\WINDOWS\TEMP\Symbol.gif">
          <a:extLst>
            <a:ext uri="{FF2B5EF4-FFF2-40B4-BE49-F238E27FC236}">
              <a16:creationId xmlns:a16="http://schemas.microsoft.com/office/drawing/2014/main" id="{00000000-0008-0000-0100-000034ED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52831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272</xdr:row>
      <xdr:rowOff>123825</xdr:rowOff>
    </xdr:from>
    <xdr:to>
      <xdr:col>20</xdr:col>
      <xdr:colOff>1895475</xdr:colOff>
      <xdr:row>273</xdr:row>
      <xdr:rowOff>152400</xdr:rowOff>
    </xdr:to>
    <xdr:pic>
      <xdr:nvPicPr>
        <xdr:cNvPr id="60725" name="Picture 5" descr="C:\WINDOWS\TEMP\~0003946.gif">
          <a:extLst>
            <a:ext uri="{FF2B5EF4-FFF2-40B4-BE49-F238E27FC236}">
              <a16:creationId xmlns:a16="http://schemas.microsoft.com/office/drawing/2014/main" id="{00000000-0008-0000-0100-000035ED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552450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188</xdr:row>
      <xdr:rowOff>152400</xdr:rowOff>
    </xdr:from>
    <xdr:to>
      <xdr:col>20</xdr:col>
      <xdr:colOff>1924050</xdr:colOff>
      <xdr:row>189</xdr:row>
      <xdr:rowOff>180975</xdr:rowOff>
    </xdr:to>
    <xdr:pic>
      <xdr:nvPicPr>
        <xdr:cNvPr id="60726" name="Picture 6" descr="C:\WINDOWS\TEMP\~0003946.gif">
          <a:extLst>
            <a:ext uri="{FF2B5EF4-FFF2-40B4-BE49-F238E27FC236}">
              <a16:creationId xmlns:a16="http://schemas.microsoft.com/office/drawing/2014/main" id="{00000000-0008-0000-0100-000036ED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383857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129</xdr:row>
      <xdr:rowOff>161925</xdr:rowOff>
    </xdr:from>
    <xdr:to>
      <xdr:col>20</xdr:col>
      <xdr:colOff>1952625</xdr:colOff>
      <xdr:row>130</xdr:row>
      <xdr:rowOff>190500</xdr:rowOff>
    </xdr:to>
    <xdr:pic>
      <xdr:nvPicPr>
        <xdr:cNvPr id="60727" name="Picture 7" descr="C:\WINDOWS\TEMP\~0003946.gif">
          <a:extLst>
            <a:ext uri="{FF2B5EF4-FFF2-40B4-BE49-F238E27FC236}">
              <a16:creationId xmlns:a16="http://schemas.microsoft.com/office/drawing/2014/main" id="{00000000-0008-0000-0100-000037ED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265176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60728" name="Picture 8" descr="C:\WINDOWS\TEMP\~0003946.gif">
          <a:extLst>
            <a:ext uri="{FF2B5EF4-FFF2-40B4-BE49-F238E27FC236}">
              <a16:creationId xmlns:a16="http://schemas.microsoft.com/office/drawing/2014/main" id="{00000000-0008-0000-0100-000038ED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62</xdr:row>
      <xdr:rowOff>123825</xdr:rowOff>
    </xdr:from>
    <xdr:to>
      <xdr:col>20</xdr:col>
      <xdr:colOff>885825</xdr:colOff>
      <xdr:row>63</xdr:row>
      <xdr:rowOff>152400</xdr:rowOff>
    </xdr:to>
    <xdr:pic>
      <xdr:nvPicPr>
        <xdr:cNvPr id="60729" name="Picture 9" descr="C:\WINDOWS\TEMP\~0003946.gif">
          <a:extLst>
            <a:ext uri="{FF2B5EF4-FFF2-40B4-BE49-F238E27FC236}">
              <a16:creationId xmlns:a16="http://schemas.microsoft.com/office/drawing/2014/main" id="{00000000-0008-0000-0100-000039ED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129</xdr:row>
      <xdr:rowOff>123825</xdr:rowOff>
    </xdr:from>
    <xdr:to>
      <xdr:col>20</xdr:col>
      <xdr:colOff>895350</xdr:colOff>
      <xdr:row>130</xdr:row>
      <xdr:rowOff>152400</xdr:rowOff>
    </xdr:to>
    <xdr:pic>
      <xdr:nvPicPr>
        <xdr:cNvPr id="60730" name="Picture 10" descr="C:\WINDOWS\TEMP\~0003946.gif">
          <a:extLst>
            <a:ext uri="{FF2B5EF4-FFF2-40B4-BE49-F238E27FC236}">
              <a16:creationId xmlns:a16="http://schemas.microsoft.com/office/drawing/2014/main" id="{00000000-0008-0000-0100-00003AED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264795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188</xdr:row>
      <xdr:rowOff>104775</xdr:rowOff>
    </xdr:from>
    <xdr:to>
      <xdr:col>20</xdr:col>
      <xdr:colOff>809625</xdr:colOff>
      <xdr:row>189</xdr:row>
      <xdr:rowOff>133350</xdr:rowOff>
    </xdr:to>
    <xdr:pic>
      <xdr:nvPicPr>
        <xdr:cNvPr id="60731" name="Picture 11" descr="C:\WINDOWS\TEMP\~0003946.gif">
          <a:extLst>
            <a:ext uri="{FF2B5EF4-FFF2-40B4-BE49-F238E27FC236}">
              <a16:creationId xmlns:a16="http://schemas.microsoft.com/office/drawing/2014/main" id="{00000000-0008-0000-0100-00003BED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583775" y="383381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272</xdr:row>
      <xdr:rowOff>104775</xdr:rowOff>
    </xdr:from>
    <xdr:to>
      <xdr:col>20</xdr:col>
      <xdr:colOff>895350</xdr:colOff>
      <xdr:row>273</xdr:row>
      <xdr:rowOff>133350</xdr:rowOff>
    </xdr:to>
    <xdr:pic>
      <xdr:nvPicPr>
        <xdr:cNvPr id="60732" name="Picture 12" descr="C:\WINDOWS\TEMP\~0003946.gif">
          <a:extLst>
            <a:ext uri="{FF2B5EF4-FFF2-40B4-BE49-F238E27FC236}">
              <a16:creationId xmlns:a16="http://schemas.microsoft.com/office/drawing/2014/main" id="{00000000-0008-0000-0100-00003CED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552259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60733" name="Picture 13" descr="logoMTL">
          <a:extLst>
            <a:ext uri="{FF2B5EF4-FFF2-40B4-BE49-F238E27FC236}">
              <a16:creationId xmlns:a16="http://schemas.microsoft.com/office/drawing/2014/main" id="{00000000-0008-0000-0100-00003DED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129</xdr:row>
      <xdr:rowOff>38100</xdr:rowOff>
    </xdr:from>
    <xdr:to>
      <xdr:col>19</xdr:col>
      <xdr:colOff>1171575</xdr:colOff>
      <xdr:row>130</xdr:row>
      <xdr:rowOff>161925</xdr:rowOff>
    </xdr:to>
    <xdr:pic>
      <xdr:nvPicPr>
        <xdr:cNvPr id="60734" name="Picture 14" descr="logoMTL">
          <a:extLst>
            <a:ext uri="{FF2B5EF4-FFF2-40B4-BE49-F238E27FC236}">
              <a16:creationId xmlns:a16="http://schemas.microsoft.com/office/drawing/2014/main" id="{00000000-0008-0000-0100-00003EE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263937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188</xdr:row>
      <xdr:rowOff>28575</xdr:rowOff>
    </xdr:from>
    <xdr:to>
      <xdr:col>19</xdr:col>
      <xdr:colOff>1171575</xdr:colOff>
      <xdr:row>189</xdr:row>
      <xdr:rowOff>152400</xdr:rowOff>
    </xdr:to>
    <xdr:pic>
      <xdr:nvPicPr>
        <xdr:cNvPr id="60735" name="Picture 15" descr="logoMTL">
          <a:extLst>
            <a:ext uri="{FF2B5EF4-FFF2-40B4-BE49-F238E27FC236}">
              <a16:creationId xmlns:a16="http://schemas.microsoft.com/office/drawing/2014/main" id="{00000000-0008-0000-0100-00003FE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382619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272</xdr:row>
      <xdr:rowOff>0</xdr:rowOff>
    </xdr:from>
    <xdr:to>
      <xdr:col>19</xdr:col>
      <xdr:colOff>1228725</xdr:colOff>
      <xdr:row>273</xdr:row>
      <xdr:rowOff>123825</xdr:rowOff>
    </xdr:to>
    <xdr:pic>
      <xdr:nvPicPr>
        <xdr:cNvPr id="60736" name="Picture 16" descr="logoMTL">
          <a:extLst>
            <a:ext uri="{FF2B5EF4-FFF2-40B4-BE49-F238E27FC236}">
              <a16:creationId xmlns:a16="http://schemas.microsoft.com/office/drawing/2014/main" id="{00000000-0008-0000-0100-000040ED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36050" y="551211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20</xdr:col>
      <xdr:colOff>1095375</xdr:colOff>
      <xdr:row>285</xdr:row>
      <xdr:rowOff>123825</xdr:rowOff>
    </xdr:from>
    <xdr:to>
      <xdr:col>20</xdr:col>
      <xdr:colOff>1895475</xdr:colOff>
      <xdr:row>286</xdr:row>
      <xdr:rowOff>152400</xdr:rowOff>
    </xdr:to>
    <xdr:pic>
      <xdr:nvPicPr>
        <xdr:cNvPr id="80077" name="Picture 5" descr="C:\WINDOWS\TEMP\~0003946.gif">
          <a:extLst>
            <a:ext uri="{FF2B5EF4-FFF2-40B4-BE49-F238E27FC236}">
              <a16:creationId xmlns:a16="http://schemas.microsoft.com/office/drawing/2014/main" id="{00000000-0008-0000-1300-0000CD38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3583900" y="578453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190</xdr:row>
      <xdr:rowOff>152400</xdr:rowOff>
    </xdr:from>
    <xdr:to>
      <xdr:col>20</xdr:col>
      <xdr:colOff>1924050</xdr:colOff>
      <xdr:row>191</xdr:row>
      <xdr:rowOff>180975</xdr:rowOff>
    </xdr:to>
    <xdr:pic>
      <xdr:nvPicPr>
        <xdr:cNvPr id="80078" name="Picture 6" descr="C:\WINDOWS\TEMP\~0003946.gif">
          <a:extLst>
            <a:ext uri="{FF2B5EF4-FFF2-40B4-BE49-F238E27FC236}">
              <a16:creationId xmlns:a16="http://schemas.microsoft.com/office/drawing/2014/main" id="{00000000-0008-0000-1300-0000CE38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3583900" y="38785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130</xdr:row>
      <xdr:rowOff>161925</xdr:rowOff>
    </xdr:from>
    <xdr:to>
      <xdr:col>20</xdr:col>
      <xdr:colOff>1952625</xdr:colOff>
      <xdr:row>131</xdr:row>
      <xdr:rowOff>190500</xdr:rowOff>
    </xdr:to>
    <xdr:pic>
      <xdr:nvPicPr>
        <xdr:cNvPr id="80079" name="Picture 7" descr="C:\WINDOWS\TEMP\~0003946.gif">
          <a:extLst>
            <a:ext uri="{FF2B5EF4-FFF2-40B4-BE49-F238E27FC236}">
              <a16:creationId xmlns:a16="http://schemas.microsoft.com/office/drawing/2014/main" id="{00000000-0008-0000-1300-0000CF38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3583900" y="26717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80080" name="Picture 8" descr="C:\WINDOWS\TEMP\~0003946.gif">
          <a:extLst>
            <a:ext uri="{FF2B5EF4-FFF2-40B4-BE49-F238E27FC236}">
              <a16:creationId xmlns:a16="http://schemas.microsoft.com/office/drawing/2014/main" id="{00000000-0008-0000-1300-0000D038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80081" name="Picture 13" descr="logoMTL">
          <a:extLst>
            <a:ext uri="{FF2B5EF4-FFF2-40B4-BE49-F238E27FC236}">
              <a16:creationId xmlns:a16="http://schemas.microsoft.com/office/drawing/2014/main" id="{00000000-0008-0000-1300-0000D138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130</xdr:row>
      <xdr:rowOff>38100</xdr:rowOff>
    </xdr:from>
    <xdr:to>
      <xdr:col>19</xdr:col>
      <xdr:colOff>1171575</xdr:colOff>
      <xdr:row>131</xdr:row>
      <xdr:rowOff>161925</xdr:rowOff>
    </xdr:to>
    <xdr:pic>
      <xdr:nvPicPr>
        <xdr:cNvPr id="80082" name="Picture 14" descr="logoMTL">
          <a:extLst>
            <a:ext uri="{FF2B5EF4-FFF2-40B4-BE49-F238E27FC236}">
              <a16:creationId xmlns:a16="http://schemas.microsoft.com/office/drawing/2014/main" id="{00000000-0008-0000-1300-0000D238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688425" y="26593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190</xdr:row>
      <xdr:rowOff>28575</xdr:rowOff>
    </xdr:from>
    <xdr:to>
      <xdr:col>19</xdr:col>
      <xdr:colOff>1171575</xdr:colOff>
      <xdr:row>191</xdr:row>
      <xdr:rowOff>152400</xdr:rowOff>
    </xdr:to>
    <xdr:pic>
      <xdr:nvPicPr>
        <xdr:cNvPr id="80083" name="Picture 15" descr="logoMTL">
          <a:extLst>
            <a:ext uri="{FF2B5EF4-FFF2-40B4-BE49-F238E27FC236}">
              <a16:creationId xmlns:a16="http://schemas.microsoft.com/office/drawing/2014/main" id="{00000000-0008-0000-1300-0000D338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688425" y="386619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285</xdr:row>
      <xdr:rowOff>0</xdr:rowOff>
    </xdr:from>
    <xdr:to>
      <xdr:col>19</xdr:col>
      <xdr:colOff>1228725</xdr:colOff>
      <xdr:row>286</xdr:row>
      <xdr:rowOff>123825</xdr:rowOff>
    </xdr:to>
    <xdr:pic>
      <xdr:nvPicPr>
        <xdr:cNvPr id="80084" name="Picture 16" descr="logoMTL">
          <a:extLst>
            <a:ext uri="{FF2B5EF4-FFF2-40B4-BE49-F238E27FC236}">
              <a16:creationId xmlns:a16="http://schemas.microsoft.com/office/drawing/2014/main" id="{00000000-0008-0000-1300-0000D438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736050" y="577215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286</xdr:row>
      <xdr:rowOff>0</xdr:rowOff>
    </xdr:from>
    <xdr:to>
      <xdr:col>1</xdr:col>
      <xdr:colOff>0</xdr:colOff>
      <xdr:row>286</xdr:row>
      <xdr:rowOff>238125</xdr:rowOff>
    </xdr:to>
    <xdr:pic>
      <xdr:nvPicPr>
        <xdr:cNvPr id="80085" name="Picture 1" descr="C:\WINDOWS\TEMP\Symbol.gif">
          <a:extLst>
            <a:ext uri="{FF2B5EF4-FFF2-40B4-BE49-F238E27FC236}">
              <a16:creationId xmlns:a16="http://schemas.microsoft.com/office/drawing/2014/main" id="{00000000-0008-0000-1300-0000D53801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579215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191</xdr:row>
      <xdr:rowOff>0</xdr:rowOff>
    </xdr:from>
    <xdr:to>
      <xdr:col>1</xdr:col>
      <xdr:colOff>0</xdr:colOff>
      <xdr:row>191</xdr:row>
      <xdr:rowOff>238125</xdr:rowOff>
    </xdr:to>
    <xdr:pic>
      <xdr:nvPicPr>
        <xdr:cNvPr id="80086" name="Picture 1" descr="C:\WINDOWS\TEMP\Symbol.gif">
          <a:extLst>
            <a:ext uri="{FF2B5EF4-FFF2-40B4-BE49-F238E27FC236}">
              <a16:creationId xmlns:a16="http://schemas.microsoft.com/office/drawing/2014/main" id="{00000000-0008-0000-1300-0000D63801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388334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131</xdr:row>
      <xdr:rowOff>0</xdr:rowOff>
    </xdr:from>
    <xdr:to>
      <xdr:col>1</xdr:col>
      <xdr:colOff>0</xdr:colOff>
      <xdr:row>131</xdr:row>
      <xdr:rowOff>238125</xdr:rowOff>
    </xdr:to>
    <xdr:pic>
      <xdr:nvPicPr>
        <xdr:cNvPr id="80087" name="Picture 1" descr="C:\WINDOWS\TEMP\Symbol.gif">
          <a:extLst>
            <a:ext uri="{FF2B5EF4-FFF2-40B4-BE49-F238E27FC236}">
              <a16:creationId xmlns:a16="http://schemas.microsoft.com/office/drawing/2014/main" id="{00000000-0008-0000-1300-0000D73801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26755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xdr:row>
      <xdr:rowOff>0</xdr:rowOff>
    </xdr:from>
    <xdr:to>
      <xdr:col>1</xdr:col>
      <xdr:colOff>0</xdr:colOff>
      <xdr:row>63</xdr:row>
      <xdr:rowOff>238125</xdr:rowOff>
    </xdr:to>
    <xdr:pic>
      <xdr:nvPicPr>
        <xdr:cNvPr id="80088" name="Picture 1" descr="C:\WINDOWS\TEMP\Symbol.gif">
          <a:extLst>
            <a:ext uri="{FF2B5EF4-FFF2-40B4-BE49-F238E27FC236}">
              <a16:creationId xmlns:a16="http://schemas.microsoft.com/office/drawing/2014/main" id="{00000000-0008-0000-1300-0000D83801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127063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285</xdr:row>
      <xdr:rowOff>0</xdr:rowOff>
    </xdr:from>
    <xdr:to>
      <xdr:col>20</xdr:col>
      <xdr:colOff>800100</xdr:colOff>
      <xdr:row>286</xdr:row>
      <xdr:rowOff>28575</xdr:rowOff>
    </xdr:to>
    <xdr:pic>
      <xdr:nvPicPr>
        <xdr:cNvPr id="80089" name="Picture 10" descr="C:\WINDOWS\TEMP\~0003946.gif">
          <a:extLst>
            <a:ext uri="{FF2B5EF4-FFF2-40B4-BE49-F238E27FC236}">
              <a16:creationId xmlns:a16="http://schemas.microsoft.com/office/drawing/2014/main" id="{00000000-0008-0000-1300-0000D93801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2574250" y="577215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190</xdr:row>
      <xdr:rowOff>0</xdr:rowOff>
    </xdr:from>
    <xdr:to>
      <xdr:col>20</xdr:col>
      <xdr:colOff>800100</xdr:colOff>
      <xdr:row>191</xdr:row>
      <xdr:rowOff>28575</xdr:rowOff>
    </xdr:to>
    <xdr:pic>
      <xdr:nvPicPr>
        <xdr:cNvPr id="80090" name="Picture 10" descr="C:\WINDOWS\TEMP\~0003946.gif">
          <a:extLst>
            <a:ext uri="{FF2B5EF4-FFF2-40B4-BE49-F238E27FC236}">
              <a16:creationId xmlns:a16="http://schemas.microsoft.com/office/drawing/2014/main" id="{00000000-0008-0000-1300-0000DA3801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2574250" y="386334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130</xdr:row>
      <xdr:rowOff>0</xdr:rowOff>
    </xdr:from>
    <xdr:to>
      <xdr:col>20</xdr:col>
      <xdr:colOff>800100</xdr:colOff>
      <xdr:row>131</xdr:row>
      <xdr:rowOff>28575</xdr:rowOff>
    </xdr:to>
    <xdr:pic>
      <xdr:nvPicPr>
        <xdr:cNvPr id="80091" name="Picture 10" descr="C:\WINDOWS\TEMP\~0003946.gif">
          <a:extLst>
            <a:ext uri="{FF2B5EF4-FFF2-40B4-BE49-F238E27FC236}">
              <a16:creationId xmlns:a16="http://schemas.microsoft.com/office/drawing/2014/main" id="{00000000-0008-0000-1300-0000DB3801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2574250" y="265557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62</xdr:row>
      <xdr:rowOff>0</xdr:rowOff>
    </xdr:from>
    <xdr:to>
      <xdr:col>20</xdr:col>
      <xdr:colOff>800100</xdr:colOff>
      <xdr:row>63</xdr:row>
      <xdr:rowOff>28575</xdr:rowOff>
    </xdr:to>
    <xdr:pic>
      <xdr:nvPicPr>
        <xdr:cNvPr id="80092" name="Picture 10" descr="C:\WINDOWS\TEMP\~0003946.gif">
          <a:extLst>
            <a:ext uri="{FF2B5EF4-FFF2-40B4-BE49-F238E27FC236}">
              <a16:creationId xmlns:a16="http://schemas.microsoft.com/office/drawing/2014/main" id="{00000000-0008-0000-1300-0000DC3801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2574250" y="125063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20</xdr:col>
      <xdr:colOff>1095375</xdr:colOff>
      <xdr:row>285</xdr:row>
      <xdr:rowOff>123825</xdr:rowOff>
    </xdr:from>
    <xdr:to>
      <xdr:col>20</xdr:col>
      <xdr:colOff>1895475</xdr:colOff>
      <xdr:row>286</xdr:row>
      <xdr:rowOff>152400</xdr:rowOff>
    </xdr:to>
    <xdr:pic>
      <xdr:nvPicPr>
        <xdr:cNvPr id="81021" name="Picture 5" descr="C:\WINDOWS\TEMP\~0003946.gif">
          <a:extLst>
            <a:ext uri="{FF2B5EF4-FFF2-40B4-BE49-F238E27FC236}">
              <a16:creationId xmlns:a16="http://schemas.microsoft.com/office/drawing/2014/main" id="{00000000-0008-0000-1400-00007D3C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3583900" y="578453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190</xdr:row>
      <xdr:rowOff>152400</xdr:rowOff>
    </xdr:from>
    <xdr:to>
      <xdr:col>20</xdr:col>
      <xdr:colOff>1924050</xdr:colOff>
      <xdr:row>191</xdr:row>
      <xdr:rowOff>180975</xdr:rowOff>
    </xdr:to>
    <xdr:pic>
      <xdr:nvPicPr>
        <xdr:cNvPr id="81022" name="Picture 6" descr="C:\WINDOWS\TEMP\~0003946.gif">
          <a:extLst>
            <a:ext uri="{FF2B5EF4-FFF2-40B4-BE49-F238E27FC236}">
              <a16:creationId xmlns:a16="http://schemas.microsoft.com/office/drawing/2014/main" id="{00000000-0008-0000-1400-00007E3C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3583900" y="38785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130</xdr:row>
      <xdr:rowOff>161925</xdr:rowOff>
    </xdr:from>
    <xdr:to>
      <xdr:col>20</xdr:col>
      <xdr:colOff>1952625</xdr:colOff>
      <xdr:row>131</xdr:row>
      <xdr:rowOff>190500</xdr:rowOff>
    </xdr:to>
    <xdr:pic>
      <xdr:nvPicPr>
        <xdr:cNvPr id="81023" name="Picture 7" descr="C:\WINDOWS\TEMP\~0003946.gif">
          <a:extLst>
            <a:ext uri="{FF2B5EF4-FFF2-40B4-BE49-F238E27FC236}">
              <a16:creationId xmlns:a16="http://schemas.microsoft.com/office/drawing/2014/main" id="{00000000-0008-0000-1400-00007F3C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3583900" y="26717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81024" name="Picture 8" descr="C:\WINDOWS\TEMP\~0003946.gif">
          <a:extLst>
            <a:ext uri="{FF2B5EF4-FFF2-40B4-BE49-F238E27FC236}">
              <a16:creationId xmlns:a16="http://schemas.microsoft.com/office/drawing/2014/main" id="{00000000-0008-0000-1400-0000803C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81025" name="Picture 13" descr="logoMTL">
          <a:extLst>
            <a:ext uri="{FF2B5EF4-FFF2-40B4-BE49-F238E27FC236}">
              <a16:creationId xmlns:a16="http://schemas.microsoft.com/office/drawing/2014/main" id="{00000000-0008-0000-1400-0000813C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130</xdr:row>
      <xdr:rowOff>38100</xdr:rowOff>
    </xdr:from>
    <xdr:to>
      <xdr:col>19</xdr:col>
      <xdr:colOff>1171575</xdr:colOff>
      <xdr:row>131</xdr:row>
      <xdr:rowOff>161925</xdr:rowOff>
    </xdr:to>
    <xdr:pic>
      <xdr:nvPicPr>
        <xdr:cNvPr id="81026" name="Picture 14" descr="logoMTL">
          <a:extLst>
            <a:ext uri="{FF2B5EF4-FFF2-40B4-BE49-F238E27FC236}">
              <a16:creationId xmlns:a16="http://schemas.microsoft.com/office/drawing/2014/main" id="{00000000-0008-0000-1400-0000823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688425" y="26593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190</xdr:row>
      <xdr:rowOff>28575</xdr:rowOff>
    </xdr:from>
    <xdr:to>
      <xdr:col>19</xdr:col>
      <xdr:colOff>1171575</xdr:colOff>
      <xdr:row>191</xdr:row>
      <xdr:rowOff>152400</xdr:rowOff>
    </xdr:to>
    <xdr:pic>
      <xdr:nvPicPr>
        <xdr:cNvPr id="81027" name="Picture 15" descr="logoMTL">
          <a:extLst>
            <a:ext uri="{FF2B5EF4-FFF2-40B4-BE49-F238E27FC236}">
              <a16:creationId xmlns:a16="http://schemas.microsoft.com/office/drawing/2014/main" id="{00000000-0008-0000-1400-0000833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688425" y="386619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285</xdr:row>
      <xdr:rowOff>0</xdr:rowOff>
    </xdr:from>
    <xdr:to>
      <xdr:col>19</xdr:col>
      <xdr:colOff>1228725</xdr:colOff>
      <xdr:row>286</xdr:row>
      <xdr:rowOff>123825</xdr:rowOff>
    </xdr:to>
    <xdr:pic>
      <xdr:nvPicPr>
        <xdr:cNvPr id="81028" name="Picture 16" descr="logoMTL">
          <a:extLst>
            <a:ext uri="{FF2B5EF4-FFF2-40B4-BE49-F238E27FC236}">
              <a16:creationId xmlns:a16="http://schemas.microsoft.com/office/drawing/2014/main" id="{00000000-0008-0000-1400-0000843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736050" y="577215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286</xdr:row>
      <xdr:rowOff>0</xdr:rowOff>
    </xdr:from>
    <xdr:to>
      <xdr:col>1</xdr:col>
      <xdr:colOff>0</xdr:colOff>
      <xdr:row>286</xdr:row>
      <xdr:rowOff>238125</xdr:rowOff>
    </xdr:to>
    <xdr:pic>
      <xdr:nvPicPr>
        <xdr:cNvPr id="81029" name="Picture 1" descr="C:\WINDOWS\TEMP\Symbol.gif">
          <a:extLst>
            <a:ext uri="{FF2B5EF4-FFF2-40B4-BE49-F238E27FC236}">
              <a16:creationId xmlns:a16="http://schemas.microsoft.com/office/drawing/2014/main" id="{00000000-0008-0000-1400-0000853C01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579215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191</xdr:row>
      <xdr:rowOff>0</xdr:rowOff>
    </xdr:from>
    <xdr:to>
      <xdr:col>1</xdr:col>
      <xdr:colOff>0</xdr:colOff>
      <xdr:row>191</xdr:row>
      <xdr:rowOff>238125</xdr:rowOff>
    </xdr:to>
    <xdr:pic>
      <xdr:nvPicPr>
        <xdr:cNvPr id="81030" name="Picture 1" descr="C:\WINDOWS\TEMP\Symbol.gif">
          <a:extLst>
            <a:ext uri="{FF2B5EF4-FFF2-40B4-BE49-F238E27FC236}">
              <a16:creationId xmlns:a16="http://schemas.microsoft.com/office/drawing/2014/main" id="{00000000-0008-0000-1400-0000863C01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388334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131</xdr:row>
      <xdr:rowOff>0</xdr:rowOff>
    </xdr:from>
    <xdr:to>
      <xdr:col>1</xdr:col>
      <xdr:colOff>0</xdr:colOff>
      <xdr:row>131</xdr:row>
      <xdr:rowOff>238125</xdr:rowOff>
    </xdr:to>
    <xdr:pic>
      <xdr:nvPicPr>
        <xdr:cNvPr id="81031" name="Picture 1" descr="C:\WINDOWS\TEMP\Symbol.gif">
          <a:extLst>
            <a:ext uri="{FF2B5EF4-FFF2-40B4-BE49-F238E27FC236}">
              <a16:creationId xmlns:a16="http://schemas.microsoft.com/office/drawing/2014/main" id="{00000000-0008-0000-1400-0000873C01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26755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xdr:row>
      <xdr:rowOff>0</xdr:rowOff>
    </xdr:from>
    <xdr:to>
      <xdr:col>1</xdr:col>
      <xdr:colOff>0</xdr:colOff>
      <xdr:row>63</xdr:row>
      <xdr:rowOff>238125</xdr:rowOff>
    </xdr:to>
    <xdr:pic>
      <xdr:nvPicPr>
        <xdr:cNvPr id="81032" name="Picture 1" descr="C:\WINDOWS\TEMP\Symbol.gif">
          <a:extLst>
            <a:ext uri="{FF2B5EF4-FFF2-40B4-BE49-F238E27FC236}">
              <a16:creationId xmlns:a16="http://schemas.microsoft.com/office/drawing/2014/main" id="{00000000-0008-0000-1400-0000883C01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127063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285</xdr:row>
      <xdr:rowOff>0</xdr:rowOff>
    </xdr:from>
    <xdr:to>
      <xdr:col>20</xdr:col>
      <xdr:colOff>800100</xdr:colOff>
      <xdr:row>286</xdr:row>
      <xdr:rowOff>28575</xdr:rowOff>
    </xdr:to>
    <xdr:pic>
      <xdr:nvPicPr>
        <xdr:cNvPr id="81033" name="Picture 10" descr="C:\WINDOWS\TEMP\~0003946.gif">
          <a:extLst>
            <a:ext uri="{FF2B5EF4-FFF2-40B4-BE49-F238E27FC236}">
              <a16:creationId xmlns:a16="http://schemas.microsoft.com/office/drawing/2014/main" id="{00000000-0008-0000-1400-0000893C01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2574250" y="577215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190</xdr:row>
      <xdr:rowOff>0</xdr:rowOff>
    </xdr:from>
    <xdr:to>
      <xdr:col>20</xdr:col>
      <xdr:colOff>800100</xdr:colOff>
      <xdr:row>191</xdr:row>
      <xdr:rowOff>28575</xdr:rowOff>
    </xdr:to>
    <xdr:pic>
      <xdr:nvPicPr>
        <xdr:cNvPr id="81034" name="Picture 10" descr="C:\WINDOWS\TEMP\~0003946.gif">
          <a:extLst>
            <a:ext uri="{FF2B5EF4-FFF2-40B4-BE49-F238E27FC236}">
              <a16:creationId xmlns:a16="http://schemas.microsoft.com/office/drawing/2014/main" id="{00000000-0008-0000-1400-00008A3C01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2574250" y="386334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130</xdr:row>
      <xdr:rowOff>0</xdr:rowOff>
    </xdr:from>
    <xdr:to>
      <xdr:col>20</xdr:col>
      <xdr:colOff>800100</xdr:colOff>
      <xdr:row>131</xdr:row>
      <xdr:rowOff>28575</xdr:rowOff>
    </xdr:to>
    <xdr:pic>
      <xdr:nvPicPr>
        <xdr:cNvPr id="81035" name="Picture 10" descr="C:\WINDOWS\TEMP\~0003946.gif">
          <a:extLst>
            <a:ext uri="{FF2B5EF4-FFF2-40B4-BE49-F238E27FC236}">
              <a16:creationId xmlns:a16="http://schemas.microsoft.com/office/drawing/2014/main" id="{00000000-0008-0000-1400-00008B3C01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2574250" y="265557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62</xdr:row>
      <xdr:rowOff>0</xdr:rowOff>
    </xdr:from>
    <xdr:to>
      <xdr:col>20</xdr:col>
      <xdr:colOff>800100</xdr:colOff>
      <xdr:row>63</xdr:row>
      <xdr:rowOff>28575</xdr:rowOff>
    </xdr:to>
    <xdr:pic>
      <xdr:nvPicPr>
        <xdr:cNvPr id="81036" name="Picture 10" descr="C:\WINDOWS\TEMP\~0003946.gif">
          <a:extLst>
            <a:ext uri="{FF2B5EF4-FFF2-40B4-BE49-F238E27FC236}">
              <a16:creationId xmlns:a16="http://schemas.microsoft.com/office/drawing/2014/main" id="{00000000-0008-0000-1400-00008C3C01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2574250" y="125063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20</xdr:col>
      <xdr:colOff>1095375</xdr:colOff>
      <xdr:row>285</xdr:row>
      <xdr:rowOff>123825</xdr:rowOff>
    </xdr:from>
    <xdr:to>
      <xdr:col>20</xdr:col>
      <xdr:colOff>1895475</xdr:colOff>
      <xdr:row>286</xdr:row>
      <xdr:rowOff>152400</xdr:rowOff>
    </xdr:to>
    <xdr:pic>
      <xdr:nvPicPr>
        <xdr:cNvPr id="53245" name="Picture 5" descr="C:\WINDOWS\TEMP\~0003946.gif">
          <a:extLst>
            <a:ext uri="{FF2B5EF4-FFF2-40B4-BE49-F238E27FC236}">
              <a16:creationId xmlns:a16="http://schemas.microsoft.com/office/drawing/2014/main" id="{00000000-0008-0000-1500-0000FDC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3583900" y="578453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190</xdr:row>
      <xdr:rowOff>152400</xdr:rowOff>
    </xdr:from>
    <xdr:to>
      <xdr:col>20</xdr:col>
      <xdr:colOff>1924050</xdr:colOff>
      <xdr:row>191</xdr:row>
      <xdr:rowOff>180975</xdr:rowOff>
    </xdr:to>
    <xdr:pic>
      <xdr:nvPicPr>
        <xdr:cNvPr id="53246" name="Picture 6" descr="C:\WINDOWS\TEMP\~0003946.gif">
          <a:extLst>
            <a:ext uri="{FF2B5EF4-FFF2-40B4-BE49-F238E27FC236}">
              <a16:creationId xmlns:a16="http://schemas.microsoft.com/office/drawing/2014/main" id="{00000000-0008-0000-1500-0000FEC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3583900" y="38785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130</xdr:row>
      <xdr:rowOff>161925</xdr:rowOff>
    </xdr:from>
    <xdr:to>
      <xdr:col>20</xdr:col>
      <xdr:colOff>1952625</xdr:colOff>
      <xdr:row>131</xdr:row>
      <xdr:rowOff>190500</xdr:rowOff>
    </xdr:to>
    <xdr:pic>
      <xdr:nvPicPr>
        <xdr:cNvPr id="53247" name="Picture 7" descr="C:\WINDOWS\TEMP\~0003946.gif">
          <a:extLst>
            <a:ext uri="{FF2B5EF4-FFF2-40B4-BE49-F238E27FC236}">
              <a16:creationId xmlns:a16="http://schemas.microsoft.com/office/drawing/2014/main" id="{00000000-0008-0000-1500-0000FFC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3583900" y="26717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83968" name="Picture 8" descr="C:\WINDOWS\TEMP\~0003946.gif">
          <a:extLst>
            <a:ext uri="{FF2B5EF4-FFF2-40B4-BE49-F238E27FC236}">
              <a16:creationId xmlns:a16="http://schemas.microsoft.com/office/drawing/2014/main" id="{00000000-0008-0000-1500-00000048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83969" name="Picture 13" descr="logoMTL">
          <a:extLst>
            <a:ext uri="{FF2B5EF4-FFF2-40B4-BE49-F238E27FC236}">
              <a16:creationId xmlns:a16="http://schemas.microsoft.com/office/drawing/2014/main" id="{00000000-0008-0000-1500-00000148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130</xdr:row>
      <xdr:rowOff>38100</xdr:rowOff>
    </xdr:from>
    <xdr:to>
      <xdr:col>19</xdr:col>
      <xdr:colOff>1171575</xdr:colOff>
      <xdr:row>131</xdr:row>
      <xdr:rowOff>161925</xdr:rowOff>
    </xdr:to>
    <xdr:pic>
      <xdr:nvPicPr>
        <xdr:cNvPr id="83970" name="Picture 14" descr="logoMTL">
          <a:extLst>
            <a:ext uri="{FF2B5EF4-FFF2-40B4-BE49-F238E27FC236}">
              <a16:creationId xmlns:a16="http://schemas.microsoft.com/office/drawing/2014/main" id="{00000000-0008-0000-1500-00000248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688425" y="26593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190</xdr:row>
      <xdr:rowOff>28575</xdr:rowOff>
    </xdr:from>
    <xdr:to>
      <xdr:col>19</xdr:col>
      <xdr:colOff>1171575</xdr:colOff>
      <xdr:row>191</xdr:row>
      <xdr:rowOff>152400</xdr:rowOff>
    </xdr:to>
    <xdr:pic>
      <xdr:nvPicPr>
        <xdr:cNvPr id="83971" name="Picture 15" descr="logoMTL">
          <a:extLst>
            <a:ext uri="{FF2B5EF4-FFF2-40B4-BE49-F238E27FC236}">
              <a16:creationId xmlns:a16="http://schemas.microsoft.com/office/drawing/2014/main" id="{00000000-0008-0000-1500-00000348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688425" y="386619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285</xdr:row>
      <xdr:rowOff>0</xdr:rowOff>
    </xdr:from>
    <xdr:to>
      <xdr:col>19</xdr:col>
      <xdr:colOff>1228725</xdr:colOff>
      <xdr:row>286</xdr:row>
      <xdr:rowOff>123825</xdr:rowOff>
    </xdr:to>
    <xdr:pic>
      <xdr:nvPicPr>
        <xdr:cNvPr id="83972" name="Picture 16" descr="logoMTL">
          <a:extLst>
            <a:ext uri="{FF2B5EF4-FFF2-40B4-BE49-F238E27FC236}">
              <a16:creationId xmlns:a16="http://schemas.microsoft.com/office/drawing/2014/main" id="{00000000-0008-0000-1500-00000448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736050" y="577215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286</xdr:row>
      <xdr:rowOff>0</xdr:rowOff>
    </xdr:from>
    <xdr:to>
      <xdr:col>1</xdr:col>
      <xdr:colOff>0</xdr:colOff>
      <xdr:row>286</xdr:row>
      <xdr:rowOff>238125</xdr:rowOff>
    </xdr:to>
    <xdr:pic>
      <xdr:nvPicPr>
        <xdr:cNvPr id="83973" name="Picture 1" descr="C:\WINDOWS\TEMP\Symbol.gif">
          <a:extLst>
            <a:ext uri="{FF2B5EF4-FFF2-40B4-BE49-F238E27FC236}">
              <a16:creationId xmlns:a16="http://schemas.microsoft.com/office/drawing/2014/main" id="{00000000-0008-0000-1500-0000054801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579215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191</xdr:row>
      <xdr:rowOff>0</xdr:rowOff>
    </xdr:from>
    <xdr:to>
      <xdr:col>1</xdr:col>
      <xdr:colOff>0</xdr:colOff>
      <xdr:row>191</xdr:row>
      <xdr:rowOff>238125</xdr:rowOff>
    </xdr:to>
    <xdr:pic>
      <xdr:nvPicPr>
        <xdr:cNvPr id="83974" name="Picture 1" descr="C:\WINDOWS\TEMP\Symbol.gif">
          <a:extLst>
            <a:ext uri="{FF2B5EF4-FFF2-40B4-BE49-F238E27FC236}">
              <a16:creationId xmlns:a16="http://schemas.microsoft.com/office/drawing/2014/main" id="{00000000-0008-0000-1500-0000064801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388334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131</xdr:row>
      <xdr:rowOff>0</xdr:rowOff>
    </xdr:from>
    <xdr:to>
      <xdr:col>1</xdr:col>
      <xdr:colOff>0</xdr:colOff>
      <xdr:row>131</xdr:row>
      <xdr:rowOff>238125</xdr:rowOff>
    </xdr:to>
    <xdr:pic>
      <xdr:nvPicPr>
        <xdr:cNvPr id="83975" name="Picture 1" descr="C:\WINDOWS\TEMP\Symbol.gif">
          <a:extLst>
            <a:ext uri="{FF2B5EF4-FFF2-40B4-BE49-F238E27FC236}">
              <a16:creationId xmlns:a16="http://schemas.microsoft.com/office/drawing/2014/main" id="{00000000-0008-0000-1500-0000074801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26755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xdr:row>
      <xdr:rowOff>0</xdr:rowOff>
    </xdr:from>
    <xdr:to>
      <xdr:col>1</xdr:col>
      <xdr:colOff>0</xdr:colOff>
      <xdr:row>63</xdr:row>
      <xdr:rowOff>238125</xdr:rowOff>
    </xdr:to>
    <xdr:pic>
      <xdr:nvPicPr>
        <xdr:cNvPr id="83976" name="Picture 1" descr="C:\WINDOWS\TEMP\Symbol.gif">
          <a:extLst>
            <a:ext uri="{FF2B5EF4-FFF2-40B4-BE49-F238E27FC236}">
              <a16:creationId xmlns:a16="http://schemas.microsoft.com/office/drawing/2014/main" id="{00000000-0008-0000-1500-0000084801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127063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285</xdr:row>
      <xdr:rowOff>0</xdr:rowOff>
    </xdr:from>
    <xdr:to>
      <xdr:col>20</xdr:col>
      <xdr:colOff>800100</xdr:colOff>
      <xdr:row>286</xdr:row>
      <xdr:rowOff>28575</xdr:rowOff>
    </xdr:to>
    <xdr:pic>
      <xdr:nvPicPr>
        <xdr:cNvPr id="83977" name="Picture 10" descr="C:\WINDOWS\TEMP\~0003946.gif">
          <a:extLst>
            <a:ext uri="{FF2B5EF4-FFF2-40B4-BE49-F238E27FC236}">
              <a16:creationId xmlns:a16="http://schemas.microsoft.com/office/drawing/2014/main" id="{00000000-0008-0000-1500-0000094801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2574250" y="577215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190</xdr:row>
      <xdr:rowOff>0</xdr:rowOff>
    </xdr:from>
    <xdr:to>
      <xdr:col>20</xdr:col>
      <xdr:colOff>800100</xdr:colOff>
      <xdr:row>191</xdr:row>
      <xdr:rowOff>28575</xdr:rowOff>
    </xdr:to>
    <xdr:pic>
      <xdr:nvPicPr>
        <xdr:cNvPr id="83978" name="Picture 10" descr="C:\WINDOWS\TEMP\~0003946.gif">
          <a:extLst>
            <a:ext uri="{FF2B5EF4-FFF2-40B4-BE49-F238E27FC236}">
              <a16:creationId xmlns:a16="http://schemas.microsoft.com/office/drawing/2014/main" id="{00000000-0008-0000-1500-00000A4801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2574250" y="386334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130</xdr:row>
      <xdr:rowOff>0</xdr:rowOff>
    </xdr:from>
    <xdr:to>
      <xdr:col>20</xdr:col>
      <xdr:colOff>800100</xdr:colOff>
      <xdr:row>131</xdr:row>
      <xdr:rowOff>28575</xdr:rowOff>
    </xdr:to>
    <xdr:pic>
      <xdr:nvPicPr>
        <xdr:cNvPr id="83979" name="Picture 10" descr="C:\WINDOWS\TEMP\~0003946.gif">
          <a:extLst>
            <a:ext uri="{FF2B5EF4-FFF2-40B4-BE49-F238E27FC236}">
              <a16:creationId xmlns:a16="http://schemas.microsoft.com/office/drawing/2014/main" id="{00000000-0008-0000-1500-00000B4801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2574250" y="265557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62</xdr:row>
      <xdr:rowOff>0</xdr:rowOff>
    </xdr:from>
    <xdr:to>
      <xdr:col>20</xdr:col>
      <xdr:colOff>800100</xdr:colOff>
      <xdr:row>63</xdr:row>
      <xdr:rowOff>28575</xdr:rowOff>
    </xdr:to>
    <xdr:pic>
      <xdr:nvPicPr>
        <xdr:cNvPr id="83980" name="Picture 10" descr="C:\WINDOWS\TEMP\~0003946.gif">
          <a:extLst>
            <a:ext uri="{FF2B5EF4-FFF2-40B4-BE49-F238E27FC236}">
              <a16:creationId xmlns:a16="http://schemas.microsoft.com/office/drawing/2014/main" id="{00000000-0008-0000-1500-00000C4801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2574250" y="125063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20</xdr:col>
      <xdr:colOff>1095375</xdr:colOff>
      <xdr:row>285</xdr:row>
      <xdr:rowOff>123825</xdr:rowOff>
    </xdr:from>
    <xdr:to>
      <xdr:col>20</xdr:col>
      <xdr:colOff>1895475</xdr:colOff>
      <xdr:row>286</xdr:row>
      <xdr:rowOff>152400</xdr:rowOff>
    </xdr:to>
    <xdr:pic>
      <xdr:nvPicPr>
        <xdr:cNvPr id="54157" name="Picture 5" descr="C:\WINDOWS\TEMP\~0003946.gif">
          <a:extLst>
            <a:ext uri="{FF2B5EF4-FFF2-40B4-BE49-F238E27FC236}">
              <a16:creationId xmlns:a16="http://schemas.microsoft.com/office/drawing/2014/main" id="{00000000-0008-0000-1600-00008DD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3583900" y="578453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190</xdr:row>
      <xdr:rowOff>152400</xdr:rowOff>
    </xdr:from>
    <xdr:to>
      <xdr:col>20</xdr:col>
      <xdr:colOff>1924050</xdr:colOff>
      <xdr:row>191</xdr:row>
      <xdr:rowOff>180975</xdr:rowOff>
    </xdr:to>
    <xdr:pic>
      <xdr:nvPicPr>
        <xdr:cNvPr id="54158" name="Picture 6" descr="C:\WINDOWS\TEMP\~0003946.gif">
          <a:extLst>
            <a:ext uri="{FF2B5EF4-FFF2-40B4-BE49-F238E27FC236}">
              <a16:creationId xmlns:a16="http://schemas.microsoft.com/office/drawing/2014/main" id="{00000000-0008-0000-1600-00008ED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3583900" y="38785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130</xdr:row>
      <xdr:rowOff>161925</xdr:rowOff>
    </xdr:from>
    <xdr:to>
      <xdr:col>20</xdr:col>
      <xdr:colOff>1952625</xdr:colOff>
      <xdr:row>131</xdr:row>
      <xdr:rowOff>190500</xdr:rowOff>
    </xdr:to>
    <xdr:pic>
      <xdr:nvPicPr>
        <xdr:cNvPr id="54159" name="Picture 7" descr="C:\WINDOWS\TEMP\~0003946.gif">
          <a:extLst>
            <a:ext uri="{FF2B5EF4-FFF2-40B4-BE49-F238E27FC236}">
              <a16:creationId xmlns:a16="http://schemas.microsoft.com/office/drawing/2014/main" id="{00000000-0008-0000-1600-00008FD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3583900" y="26717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54160" name="Picture 8" descr="C:\WINDOWS\TEMP\~0003946.gif">
          <a:extLst>
            <a:ext uri="{FF2B5EF4-FFF2-40B4-BE49-F238E27FC236}">
              <a16:creationId xmlns:a16="http://schemas.microsoft.com/office/drawing/2014/main" id="{00000000-0008-0000-1600-000090D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54161" name="Picture 13" descr="logoMTL">
          <a:extLst>
            <a:ext uri="{FF2B5EF4-FFF2-40B4-BE49-F238E27FC236}">
              <a16:creationId xmlns:a16="http://schemas.microsoft.com/office/drawing/2014/main" id="{00000000-0008-0000-1600-000091D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130</xdr:row>
      <xdr:rowOff>38100</xdr:rowOff>
    </xdr:from>
    <xdr:to>
      <xdr:col>19</xdr:col>
      <xdr:colOff>1171575</xdr:colOff>
      <xdr:row>131</xdr:row>
      <xdr:rowOff>161925</xdr:rowOff>
    </xdr:to>
    <xdr:pic>
      <xdr:nvPicPr>
        <xdr:cNvPr id="54162" name="Picture 14" descr="logoMTL">
          <a:extLst>
            <a:ext uri="{FF2B5EF4-FFF2-40B4-BE49-F238E27FC236}">
              <a16:creationId xmlns:a16="http://schemas.microsoft.com/office/drawing/2014/main" id="{00000000-0008-0000-1600-000092D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688425" y="26593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190</xdr:row>
      <xdr:rowOff>28575</xdr:rowOff>
    </xdr:from>
    <xdr:to>
      <xdr:col>19</xdr:col>
      <xdr:colOff>1171575</xdr:colOff>
      <xdr:row>191</xdr:row>
      <xdr:rowOff>152400</xdr:rowOff>
    </xdr:to>
    <xdr:pic>
      <xdr:nvPicPr>
        <xdr:cNvPr id="54163" name="Picture 15" descr="logoMTL">
          <a:extLst>
            <a:ext uri="{FF2B5EF4-FFF2-40B4-BE49-F238E27FC236}">
              <a16:creationId xmlns:a16="http://schemas.microsoft.com/office/drawing/2014/main" id="{00000000-0008-0000-1600-000093D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688425" y="386619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285</xdr:row>
      <xdr:rowOff>0</xdr:rowOff>
    </xdr:from>
    <xdr:to>
      <xdr:col>19</xdr:col>
      <xdr:colOff>1228725</xdr:colOff>
      <xdr:row>286</xdr:row>
      <xdr:rowOff>123825</xdr:rowOff>
    </xdr:to>
    <xdr:pic>
      <xdr:nvPicPr>
        <xdr:cNvPr id="54164" name="Picture 16" descr="logoMTL">
          <a:extLst>
            <a:ext uri="{FF2B5EF4-FFF2-40B4-BE49-F238E27FC236}">
              <a16:creationId xmlns:a16="http://schemas.microsoft.com/office/drawing/2014/main" id="{00000000-0008-0000-1600-000094D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736050" y="577215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286</xdr:row>
      <xdr:rowOff>0</xdr:rowOff>
    </xdr:from>
    <xdr:to>
      <xdr:col>1</xdr:col>
      <xdr:colOff>0</xdr:colOff>
      <xdr:row>286</xdr:row>
      <xdr:rowOff>238125</xdr:rowOff>
    </xdr:to>
    <xdr:pic>
      <xdr:nvPicPr>
        <xdr:cNvPr id="54165" name="Picture 1" descr="C:\WINDOWS\TEMP\Symbol.gif">
          <a:extLst>
            <a:ext uri="{FF2B5EF4-FFF2-40B4-BE49-F238E27FC236}">
              <a16:creationId xmlns:a16="http://schemas.microsoft.com/office/drawing/2014/main" id="{00000000-0008-0000-1600-000095D3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579215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191</xdr:row>
      <xdr:rowOff>0</xdr:rowOff>
    </xdr:from>
    <xdr:to>
      <xdr:col>1</xdr:col>
      <xdr:colOff>0</xdr:colOff>
      <xdr:row>191</xdr:row>
      <xdr:rowOff>238125</xdr:rowOff>
    </xdr:to>
    <xdr:pic>
      <xdr:nvPicPr>
        <xdr:cNvPr id="54166" name="Picture 1" descr="C:\WINDOWS\TEMP\Symbol.gif">
          <a:extLst>
            <a:ext uri="{FF2B5EF4-FFF2-40B4-BE49-F238E27FC236}">
              <a16:creationId xmlns:a16="http://schemas.microsoft.com/office/drawing/2014/main" id="{00000000-0008-0000-1600-000096D3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388334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131</xdr:row>
      <xdr:rowOff>0</xdr:rowOff>
    </xdr:from>
    <xdr:to>
      <xdr:col>1</xdr:col>
      <xdr:colOff>0</xdr:colOff>
      <xdr:row>131</xdr:row>
      <xdr:rowOff>238125</xdr:rowOff>
    </xdr:to>
    <xdr:pic>
      <xdr:nvPicPr>
        <xdr:cNvPr id="54167" name="Picture 1" descr="C:\WINDOWS\TEMP\Symbol.gif">
          <a:extLst>
            <a:ext uri="{FF2B5EF4-FFF2-40B4-BE49-F238E27FC236}">
              <a16:creationId xmlns:a16="http://schemas.microsoft.com/office/drawing/2014/main" id="{00000000-0008-0000-1600-000097D3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26755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xdr:row>
      <xdr:rowOff>0</xdr:rowOff>
    </xdr:from>
    <xdr:to>
      <xdr:col>1</xdr:col>
      <xdr:colOff>0</xdr:colOff>
      <xdr:row>63</xdr:row>
      <xdr:rowOff>238125</xdr:rowOff>
    </xdr:to>
    <xdr:pic>
      <xdr:nvPicPr>
        <xdr:cNvPr id="54168" name="Picture 1" descr="C:\WINDOWS\TEMP\Symbol.gif">
          <a:extLst>
            <a:ext uri="{FF2B5EF4-FFF2-40B4-BE49-F238E27FC236}">
              <a16:creationId xmlns:a16="http://schemas.microsoft.com/office/drawing/2014/main" id="{00000000-0008-0000-1600-000098D3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127063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285</xdr:row>
      <xdr:rowOff>0</xdr:rowOff>
    </xdr:from>
    <xdr:to>
      <xdr:col>20</xdr:col>
      <xdr:colOff>800100</xdr:colOff>
      <xdr:row>286</xdr:row>
      <xdr:rowOff>28575</xdr:rowOff>
    </xdr:to>
    <xdr:pic>
      <xdr:nvPicPr>
        <xdr:cNvPr id="54169" name="Picture 10" descr="C:\WINDOWS\TEMP\~0003946.gif">
          <a:extLst>
            <a:ext uri="{FF2B5EF4-FFF2-40B4-BE49-F238E27FC236}">
              <a16:creationId xmlns:a16="http://schemas.microsoft.com/office/drawing/2014/main" id="{00000000-0008-0000-1600-000099D3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2574250" y="577215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190</xdr:row>
      <xdr:rowOff>0</xdr:rowOff>
    </xdr:from>
    <xdr:to>
      <xdr:col>20</xdr:col>
      <xdr:colOff>800100</xdr:colOff>
      <xdr:row>191</xdr:row>
      <xdr:rowOff>28575</xdr:rowOff>
    </xdr:to>
    <xdr:pic>
      <xdr:nvPicPr>
        <xdr:cNvPr id="54170" name="Picture 10" descr="C:\WINDOWS\TEMP\~0003946.gif">
          <a:extLst>
            <a:ext uri="{FF2B5EF4-FFF2-40B4-BE49-F238E27FC236}">
              <a16:creationId xmlns:a16="http://schemas.microsoft.com/office/drawing/2014/main" id="{00000000-0008-0000-1600-00009AD3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2574250" y="386334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130</xdr:row>
      <xdr:rowOff>0</xdr:rowOff>
    </xdr:from>
    <xdr:to>
      <xdr:col>20</xdr:col>
      <xdr:colOff>800100</xdr:colOff>
      <xdr:row>131</xdr:row>
      <xdr:rowOff>28575</xdr:rowOff>
    </xdr:to>
    <xdr:pic>
      <xdr:nvPicPr>
        <xdr:cNvPr id="54171" name="Picture 10" descr="C:\WINDOWS\TEMP\~0003946.gif">
          <a:extLst>
            <a:ext uri="{FF2B5EF4-FFF2-40B4-BE49-F238E27FC236}">
              <a16:creationId xmlns:a16="http://schemas.microsoft.com/office/drawing/2014/main" id="{00000000-0008-0000-1600-00009BD3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2574250" y="265557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62</xdr:row>
      <xdr:rowOff>0</xdr:rowOff>
    </xdr:from>
    <xdr:to>
      <xdr:col>20</xdr:col>
      <xdr:colOff>800100</xdr:colOff>
      <xdr:row>63</xdr:row>
      <xdr:rowOff>28575</xdr:rowOff>
    </xdr:to>
    <xdr:pic>
      <xdr:nvPicPr>
        <xdr:cNvPr id="54172" name="Picture 10" descr="C:\WINDOWS\TEMP\~0003946.gif">
          <a:extLst>
            <a:ext uri="{FF2B5EF4-FFF2-40B4-BE49-F238E27FC236}">
              <a16:creationId xmlns:a16="http://schemas.microsoft.com/office/drawing/2014/main" id="{00000000-0008-0000-1600-00009CD3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2574250" y="125063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20</xdr:col>
      <xdr:colOff>1095375</xdr:colOff>
      <xdr:row>285</xdr:row>
      <xdr:rowOff>123825</xdr:rowOff>
    </xdr:from>
    <xdr:to>
      <xdr:col>20</xdr:col>
      <xdr:colOff>1895475</xdr:colOff>
      <xdr:row>286</xdr:row>
      <xdr:rowOff>152400</xdr:rowOff>
    </xdr:to>
    <xdr:pic>
      <xdr:nvPicPr>
        <xdr:cNvPr id="57005" name="Picture 5" descr="C:\WINDOWS\TEMP\~0003946.gif">
          <a:extLst>
            <a:ext uri="{FF2B5EF4-FFF2-40B4-BE49-F238E27FC236}">
              <a16:creationId xmlns:a16="http://schemas.microsoft.com/office/drawing/2014/main" id="{00000000-0008-0000-1700-0000ADDE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3583900" y="578453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190</xdr:row>
      <xdr:rowOff>152400</xdr:rowOff>
    </xdr:from>
    <xdr:to>
      <xdr:col>20</xdr:col>
      <xdr:colOff>1924050</xdr:colOff>
      <xdr:row>191</xdr:row>
      <xdr:rowOff>180975</xdr:rowOff>
    </xdr:to>
    <xdr:pic>
      <xdr:nvPicPr>
        <xdr:cNvPr id="57006" name="Picture 6" descr="C:\WINDOWS\TEMP\~0003946.gif">
          <a:extLst>
            <a:ext uri="{FF2B5EF4-FFF2-40B4-BE49-F238E27FC236}">
              <a16:creationId xmlns:a16="http://schemas.microsoft.com/office/drawing/2014/main" id="{00000000-0008-0000-1700-0000AEDE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3583900" y="38785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130</xdr:row>
      <xdr:rowOff>161925</xdr:rowOff>
    </xdr:from>
    <xdr:to>
      <xdr:col>20</xdr:col>
      <xdr:colOff>1952625</xdr:colOff>
      <xdr:row>131</xdr:row>
      <xdr:rowOff>190500</xdr:rowOff>
    </xdr:to>
    <xdr:pic>
      <xdr:nvPicPr>
        <xdr:cNvPr id="57007" name="Picture 7" descr="C:\WINDOWS\TEMP\~0003946.gif">
          <a:extLst>
            <a:ext uri="{FF2B5EF4-FFF2-40B4-BE49-F238E27FC236}">
              <a16:creationId xmlns:a16="http://schemas.microsoft.com/office/drawing/2014/main" id="{00000000-0008-0000-1700-0000AFDE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3583900" y="26717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57008" name="Picture 8" descr="C:\WINDOWS\TEMP\~0003946.gif">
          <a:extLst>
            <a:ext uri="{FF2B5EF4-FFF2-40B4-BE49-F238E27FC236}">
              <a16:creationId xmlns:a16="http://schemas.microsoft.com/office/drawing/2014/main" id="{00000000-0008-0000-1700-0000B0DE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57009" name="Picture 13" descr="logoMTL">
          <a:extLst>
            <a:ext uri="{FF2B5EF4-FFF2-40B4-BE49-F238E27FC236}">
              <a16:creationId xmlns:a16="http://schemas.microsoft.com/office/drawing/2014/main" id="{00000000-0008-0000-1700-0000B1DE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130</xdr:row>
      <xdr:rowOff>38100</xdr:rowOff>
    </xdr:from>
    <xdr:to>
      <xdr:col>19</xdr:col>
      <xdr:colOff>1171575</xdr:colOff>
      <xdr:row>131</xdr:row>
      <xdr:rowOff>161925</xdr:rowOff>
    </xdr:to>
    <xdr:pic>
      <xdr:nvPicPr>
        <xdr:cNvPr id="57010" name="Picture 14" descr="logoMTL">
          <a:extLst>
            <a:ext uri="{FF2B5EF4-FFF2-40B4-BE49-F238E27FC236}">
              <a16:creationId xmlns:a16="http://schemas.microsoft.com/office/drawing/2014/main" id="{00000000-0008-0000-1700-0000B2D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688425" y="26593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190</xdr:row>
      <xdr:rowOff>28575</xdr:rowOff>
    </xdr:from>
    <xdr:to>
      <xdr:col>19</xdr:col>
      <xdr:colOff>1171575</xdr:colOff>
      <xdr:row>191</xdr:row>
      <xdr:rowOff>152400</xdr:rowOff>
    </xdr:to>
    <xdr:pic>
      <xdr:nvPicPr>
        <xdr:cNvPr id="57011" name="Picture 15" descr="logoMTL">
          <a:extLst>
            <a:ext uri="{FF2B5EF4-FFF2-40B4-BE49-F238E27FC236}">
              <a16:creationId xmlns:a16="http://schemas.microsoft.com/office/drawing/2014/main" id="{00000000-0008-0000-1700-0000B3D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688425" y="386619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285</xdr:row>
      <xdr:rowOff>0</xdr:rowOff>
    </xdr:from>
    <xdr:to>
      <xdr:col>19</xdr:col>
      <xdr:colOff>1228725</xdr:colOff>
      <xdr:row>286</xdr:row>
      <xdr:rowOff>123825</xdr:rowOff>
    </xdr:to>
    <xdr:pic>
      <xdr:nvPicPr>
        <xdr:cNvPr id="57012" name="Picture 16" descr="logoMTL">
          <a:extLst>
            <a:ext uri="{FF2B5EF4-FFF2-40B4-BE49-F238E27FC236}">
              <a16:creationId xmlns:a16="http://schemas.microsoft.com/office/drawing/2014/main" id="{00000000-0008-0000-1700-0000B4D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736050" y="577215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286</xdr:row>
      <xdr:rowOff>0</xdr:rowOff>
    </xdr:from>
    <xdr:to>
      <xdr:col>1</xdr:col>
      <xdr:colOff>0</xdr:colOff>
      <xdr:row>286</xdr:row>
      <xdr:rowOff>238125</xdr:rowOff>
    </xdr:to>
    <xdr:pic>
      <xdr:nvPicPr>
        <xdr:cNvPr id="57013" name="Picture 1" descr="C:\WINDOWS\TEMP\Symbol.gif">
          <a:extLst>
            <a:ext uri="{FF2B5EF4-FFF2-40B4-BE49-F238E27FC236}">
              <a16:creationId xmlns:a16="http://schemas.microsoft.com/office/drawing/2014/main" id="{00000000-0008-0000-1700-0000B5DE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579215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191</xdr:row>
      <xdr:rowOff>0</xdr:rowOff>
    </xdr:from>
    <xdr:to>
      <xdr:col>1</xdr:col>
      <xdr:colOff>0</xdr:colOff>
      <xdr:row>191</xdr:row>
      <xdr:rowOff>238125</xdr:rowOff>
    </xdr:to>
    <xdr:pic>
      <xdr:nvPicPr>
        <xdr:cNvPr id="57014" name="Picture 1" descr="C:\WINDOWS\TEMP\Symbol.gif">
          <a:extLst>
            <a:ext uri="{FF2B5EF4-FFF2-40B4-BE49-F238E27FC236}">
              <a16:creationId xmlns:a16="http://schemas.microsoft.com/office/drawing/2014/main" id="{00000000-0008-0000-1700-0000B6DE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388334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131</xdr:row>
      <xdr:rowOff>0</xdr:rowOff>
    </xdr:from>
    <xdr:to>
      <xdr:col>1</xdr:col>
      <xdr:colOff>0</xdr:colOff>
      <xdr:row>131</xdr:row>
      <xdr:rowOff>238125</xdr:rowOff>
    </xdr:to>
    <xdr:pic>
      <xdr:nvPicPr>
        <xdr:cNvPr id="57015" name="Picture 1" descr="C:\WINDOWS\TEMP\Symbol.gif">
          <a:extLst>
            <a:ext uri="{FF2B5EF4-FFF2-40B4-BE49-F238E27FC236}">
              <a16:creationId xmlns:a16="http://schemas.microsoft.com/office/drawing/2014/main" id="{00000000-0008-0000-1700-0000B7DE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26755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xdr:row>
      <xdr:rowOff>0</xdr:rowOff>
    </xdr:from>
    <xdr:to>
      <xdr:col>1</xdr:col>
      <xdr:colOff>0</xdr:colOff>
      <xdr:row>63</xdr:row>
      <xdr:rowOff>238125</xdr:rowOff>
    </xdr:to>
    <xdr:pic>
      <xdr:nvPicPr>
        <xdr:cNvPr id="57016" name="Picture 1" descr="C:\WINDOWS\TEMP\Symbol.gif">
          <a:extLst>
            <a:ext uri="{FF2B5EF4-FFF2-40B4-BE49-F238E27FC236}">
              <a16:creationId xmlns:a16="http://schemas.microsoft.com/office/drawing/2014/main" id="{00000000-0008-0000-1700-0000B8DE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127063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285</xdr:row>
      <xdr:rowOff>0</xdr:rowOff>
    </xdr:from>
    <xdr:to>
      <xdr:col>20</xdr:col>
      <xdr:colOff>800100</xdr:colOff>
      <xdr:row>286</xdr:row>
      <xdr:rowOff>28575</xdr:rowOff>
    </xdr:to>
    <xdr:pic>
      <xdr:nvPicPr>
        <xdr:cNvPr id="57017" name="Picture 10" descr="C:\WINDOWS\TEMP\~0003946.gif">
          <a:extLst>
            <a:ext uri="{FF2B5EF4-FFF2-40B4-BE49-F238E27FC236}">
              <a16:creationId xmlns:a16="http://schemas.microsoft.com/office/drawing/2014/main" id="{00000000-0008-0000-1700-0000B9DE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2574250" y="577215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190</xdr:row>
      <xdr:rowOff>0</xdr:rowOff>
    </xdr:from>
    <xdr:to>
      <xdr:col>20</xdr:col>
      <xdr:colOff>800100</xdr:colOff>
      <xdr:row>191</xdr:row>
      <xdr:rowOff>28575</xdr:rowOff>
    </xdr:to>
    <xdr:pic>
      <xdr:nvPicPr>
        <xdr:cNvPr id="57018" name="Picture 10" descr="C:\WINDOWS\TEMP\~0003946.gif">
          <a:extLst>
            <a:ext uri="{FF2B5EF4-FFF2-40B4-BE49-F238E27FC236}">
              <a16:creationId xmlns:a16="http://schemas.microsoft.com/office/drawing/2014/main" id="{00000000-0008-0000-1700-0000BADE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2574250" y="386334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130</xdr:row>
      <xdr:rowOff>0</xdr:rowOff>
    </xdr:from>
    <xdr:to>
      <xdr:col>20</xdr:col>
      <xdr:colOff>800100</xdr:colOff>
      <xdr:row>131</xdr:row>
      <xdr:rowOff>28575</xdr:rowOff>
    </xdr:to>
    <xdr:pic>
      <xdr:nvPicPr>
        <xdr:cNvPr id="57019" name="Picture 10" descr="C:\WINDOWS\TEMP\~0003946.gif">
          <a:extLst>
            <a:ext uri="{FF2B5EF4-FFF2-40B4-BE49-F238E27FC236}">
              <a16:creationId xmlns:a16="http://schemas.microsoft.com/office/drawing/2014/main" id="{00000000-0008-0000-1700-0000BBDE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2574250" y="265557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62</xdr:row>
      <xdr:rowOff>0</xdr:rowOff>
    </xdr:from>
    <xdr:to>
      <xdr:col>20</xdr:col>
      <xdr:colOff>800100</xdr:colOff>
      <xdr:row>63</xdr:row>
      <xdr:rowOff>28575</xdr:rowOff>
    </xdr:to>
    <xdr:pic>
      <xdr:nvPicPr>
        <xdr:cNvPr id="57020" name="Picture 10" descr="C:\WINDOWS\TEMP\~0003946.gif">
          <a:extLst>
            <a:ext uri="{FF2B5EF4-FFF2-40B4-BE49-F238E27FC236}">
              <a16:creationId xmlns:a16="http://schemas.microsoft.com/office/drawing/2014/main" id="{00000000-0008-0000-1700-0000BCDE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2574250" y="125063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20</xdr:col>
      <xdr:colOff>1095375</xdr:colOff>
      <xdr:row>285</xdr:row>
      <xdr:rowOff>123825</xdr:rowOff>
    </xdr:from>
    <xdr:to>
      <xdr:col>20</xdr:col>
      <xdr:colOff>1895475</xdr:colOff>
      <xdr:row>286</xdr:row>
      <xdr:rowOff>152400</xdr:rowOff>
    </xdr:to>
    <xdr:pic>
      <xdr:nvPicPr>
        <xdr:cNvPr id="57789" name="Picture 5" descr="C:\WINDOWS\TEMP\~0003946.gif">
          <a:extLst>
            <a:ext uri="{FF2B5EF4-FFF2-40B4-BE49-F238E27FC236}">
              <a16:creationId xmlns:a16="http://schemas.microsoft.com/office/drawing/2014/main" id="{00000000-0008-0000-1800-0000BDE1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3583900" y="578453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190</xdr:row>
      <xdr:rowOff>152400</xdr:rowOff>
    </xdr:from>
    <xdr:to>
      <xdr:col>20</xdr:col>
      <xdr:colOff>1924050</xdr:colOff>
      <xdr:row>191</xdr:row>
      <xdr:rowOff>180975</xdr:rowOff>
    </xdr:to>
    <xdr:pic>
      <xdr:nvPicPr>
        <xdr:cNvPr id="57790" name="Picture 6" descr="C:\WINDOWS\TEMP\~0003946.gif">
          <a:extLst>
            <a:ext uri="{FF2B5EF4-FFF2-40B4-BE49-F238E27FC236}">
              <a16:creationId xmlns:a16="http://schemas.microsoft.com/office/drawing/2014/main" id="{00000000-0008-0000-1800-0000BEE1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3583900" y="38785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130</xdr:row>
      <xdr:rowOff>161925</xdr:rowOff>
    </xdr:from>
    <xdr:to>
      <xdr:col>20</xdr:col>
      <xdr:colOff>1952625</xdr:colOff>
      <xdr:row>131</xdr:row>
      <xdr:rowOff>190500</xdr:rowOff>
    </xdr:to>
    <xdr:pic>
      <xdr:nvPicPr>
        <xdr:cNvPr id="57791" name="Picture 7" descr="C:\WINDOWS\TEMP\~0003946.gif">
          <a:extLst>
            <a:ext uri="{FF2B5EF4-FFF2-40B4-BE49-F238E27FC236}">
              <a16:creationId xmlns:a16="http://schemas.microsoft.com/office/drawing/2014/main" id="{00000000-0008-0000-1800-0000BFE1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3583900" y="26717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57792" name="Picture 8" descr="C:\WINDOWS\TEMP\~0003946.gif">
          <a:extLst>
            <a:ext uri="{FF2B5EF4-FFF2-40B4-BE49-F238E27FC236}">
              <a16:creationId xmlns:a16="http://schemas.microsoft.com/office/drawing/2014/main" id="{00000000-0008-0000-1800-0000C0E1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57793" name="Picture 13" descr="logoMTL">
          <a:extLst>
            <a:ext uri="{FF2B5EF4-FFF2-40B4-BE49-F238E27FC236}">
              <a16:creationId xmlns:a16="http://schemas.microsoft.com/office/drawing/2014/main" id="{00000000-0008-0000-1800-0000C1E1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130</xdr:row>
      <xdr:rowOff>38100</xdr:rowOff>
    </xdr:from>
    <xdr:to>
      <xdr:col>19</xdr:col>
      <xdr:colOff>1171575</xdr:colOff>
      <xdr:row>131</xdr:row>
      <xdr:rowOff>161925</xdr:rowOff>
    </xdr:to>
    <xdr:pic>
      <xdr:nvPicPr>
        <xdr:cNvPr id="57794" name="Picture 14" descr="logoMTL">
          <a:extLst>
            <a:ext uri="{FF2B5EF4-FFF2-40B4-BE49-F238E27FC236}">
              <a16:creationId xmlns:a16="http://schemas.microsoft.com/office/drawing/2014/main" id="{00000000-0008-0000-1800-0000C2E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688425" y="26593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190</xdr:row>
      <xdr:rowOff>28575</xdr:rowOff>
    </xdr:from>
    <xdr:to>
      <xdr:col>19</xdr:col>
      <xdr:colOff>1171575</xdr:colOff>
      <xdr:row>191</xdr:row>
      <xdr:rowOff>152400</xdr:rowOff>
    </xdr:to>
    <xdr:pic>
      <xdr:nvPicPr>
        <xdr:cNvPr id="57795" name="Picture 15" descr="logoMTL">
          <a:extLst>
            <a:ext uri="{FF2B5EF4-FFF2-40B4-BE49-F238E27FC236}">
              <a16:creationId xmlns:a16="http://schemas.microsoft.com/office/drawing/2014/main" id="{00000000-0008-0000-1800-0000C3E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688425" y="386619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285</xdr:row>
      <xdr:rowOff>0</xdr:rowOff>
    </xdr:from>
    <xdr:to>
      <xdr:col>19</xdr:col>
      <xdr:colOff>1228725</xdr:colOff>
      <xdr:row>286</xdr:row>
      <xdr:rowOff>123825</xdr:rowOff>
    </xdr:to>
    <xdr:pic>
      <xdr:nvPicPr>
        <xdr:cNvPr id="57796" name="Picture 16" descr="logoMTL">
          <a:extLst>
            <a:ext uri="{FF2B5EF4-FFF2-40B4-BE49-F238E27FC236}">
              <a16:creationId xmlns:a16="http://schemas.microsoft.com/office/drawing/2014/main" id="{00000000-0008-0000-1800-0000C4E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736050" y="577215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286</xdr:row>
      <xdr:rowOff>0</xdr:rowOff>
    </xdr:from>
    <xdr:to>
      <xdr:col>1</xdr:col>
      <xdr:colOff>0</xdr:colOff>
      <xdr:row>286</xdr:row>
      <xdr:rowOff>238125</xdr:rowOff>
    </xdr:to>
    <xdr:pic>
      <xdr:nvPicPr>
        <xdr:cNvPr id="57797" name="Picture 1" descr="C:\WINDOWS\TEMP\Symbol.gif">
          <a:extLst>
            <a:ext uri="{FF2B5EF4-FFF2-40B4-BE49-F238E27FC236}">
              <a16:creationId xmlns:a16="http://schemas.microsoft.com/office/drawing/2014/main" id="{00000000-0008-0000-1800-0000C5E1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579215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191</xdr:row>
      <xdr:rowOff>0</xdr:rowOff>
    </xdr:from>
    <xdr:to>
      <xdr:col>1</xdr:col>
      <xdr:colOff>0</xdr:colOff>
      <xdr:row>191</xdr:row>
      <xdr:rowOff>238125</xdr:rowOff>
    </xdr:to>
    <xdr:pic>
      <xdr:nvPicPr>
        <xdr:cNvPr id="57798" name="Picture 1" descr="C:\WINDOWS\TEMP\Symbol.gif">
          <a:extLst>
            <a:ext uri="{FF2B5EF4-FFF2-40B4-BE49-F238E27FC236}">
              <a16:creationId xmlns:a16="http://schemas.microsoft.com/office/drawing/2014/main" id="{00000000-0008-0000-1800-0000C6E1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388334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131</xdr:row>
      <xdr:rowOff>0</xdr:rowOff>
    </xdr:from>
    <xdr:to>
      <xdr:col>1</xdr:col>
      <xdr:colOff>0</xdr:colOff>
      <xdr:row>131</xdr:row>
      <xdr:rowOff>238125</xdr:rowOff>
    </xdr:to>
    <xdr:pic>
      <xdr:nvPicPr>
        <xdr:cNvPr id="57799" name="Picture 1" descr="C:\WINDOWS\TEMP\Symbol.gif">
          <a:extLst>
            <a:ext uri="{FF2B5EF4-FFF2-40B4-BE49-F238E27FC236}">
              <a16:creationId xmlns:a16="http://schemas.microsoft.com/office/drawing/2014/main" id="{00000000-0008-0000-1800-0000C7E1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26755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xdr:row>
      <xdr:rowOff>0</xdr:rowOff>
    </xdr:from>
    <xdr:to>
      <xdr:col>1</xdr:col>
      <xdr:colOff>0</xdr:colOff>
      <xdr:row>63</xdr:row>
      <xdr:rowOff>238125</xdr:rowOff>
    </xdr:to>
    <xdr:pic>
      <xdr:nvPicPr>
        <xdr:cNvPr id="57800" name="Picture 1" descr="C:\WINDOWS\TEMP\Symbol.gif">
          <a:extLst>
            <a:ext uri="{FF2B5EF4-FFF2-40B4-BE49-F238E27FC236}">
              <a16:creationId xmlns:a16="http://schemas.microsoft.com/office/drawing/2014/main" id="{00000000-0008-0000-1800-0000C8E1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127063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62</xdr:row>
      <xdr:rowOff>0</xdr:rowOff>
    </xdr:from>
    <xdr:to>
      <xdr:col>20</xdr:col>
      <xdr:colOff>800100</xdr:colOff>
      <xdr:row>63</xdr:row>
      <xdr:rowOff>28575</xdr:rowOff>
    </xdr:to>
    <xdr:pic>
      <xdr:nvPicPr>
        <xdr:cNvPr id="57801" name="Picture 10" descr="C:\WINDOWS\TEMP\~0003946.gif">
          <a:extLst>
            <a:ext uri="{FF2B5EF4-FFF2-40B4-BE49-F238E27FC236}">
              <a16:creationId xmlns:a16="http://schemas.microsoft.com/office/drawing/2014/main" id="{00000000-0008-0000-1800-0000C9E1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2574250" y="125063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130</xdr:row>
      <xdr:rowOff>0</xdr:rowOff>
    </xdr:from>
    <xdr:to>
      <xdr:col>20</xdr:col>
      <xdr:colOff>800100</xdr:colOff>
      <xdr:row>131</xdr:row>
      <xdr:rowOff>28575</xdr:rowOff>
    </xdr:to>
    <xdr:pic>
      <xdr:nvPicPr>
        <xdr:cNvPr id="57802" name="Picture 10" descr="C:\WINDOWS\TEMP\~0003946.gif">
          <a:extLst>
            <a:ext uri="{FF2B5EF4-FFF2-40B4-BE49-F238E27FC236}">
              <a16:creationId xmlns:a16="http://schemas.microsoft.com/office/drawing/2014/main" id="{00000000-0008-0000-1800-0000CAE1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2574250" y="265557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190</xdr:row>
      <xdr:rowOff>0</xdr:rowOff>
    </xdr:from>
    <xdr:to>
      <xdr:col>20</xdr:col>
      <xdr:colOff>800100</xdr:colOff>
      <xdr:row>191</xdr:row>
      <xdr:rowOff>28575</xdr:rowOff>
    </xdr:to>
    <xdr:pic>
      <xdr:nvPicPr>
        <xdr:cNvPr id="57803" name="Picture 10" descr="C:\WINDOWS\TEMP\~0003946.gif">
          <a:extLst>
            <a:ext uri="{FF2B5EF4-FFF2-40B4-BE49-F238E27FC236}">
              <a16:creationId xmlns:a16="http://schemas.microsoft.com/office/drawing/2014/main" id="{00000000-0008-0000-1800-0000CBE1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2574250" y="386334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285</xdr:row>
      <xdr:rowOff>0</xdr:rowOff>
    </xdr:from>
    <xdr:to>
      <xdr:col>20</xdr:col>
      <xdr:colOff>800100</xdr:colOff>
      <xdr:row>286</xdr:row>
      <xdr:rowOff>28575</xdr:rowOff>
    </xdr:to>
    <xdr:pic>
      <xdr:nvPicPr>
        <xdr:cNvPr id="57804" name="Picture 10" descr="C:\WINDOWS\TEMP\~0003946.gif">
          <a:extLst>
            <a:ext uri="{FF2B5EF4-FFF2-40B4-BE49-F238E27FC236}">
              <a16:creationId xmlns:a16="http://schemas.microsoft.com/office/drawing/2014/main" id="{00000000-0008-0000-1800-0000CCE100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2574250" y="577215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20</xdr:col>
      <xdr:colOff>1095375</xdr:colOff>
      <xdr:row>285</xdr:row>
      <xdr:rowOff>123825</xdr:rowOff>
    </xdr:from>
    <xdr:to>
      <xdr:col>20</xdr:col>
      <xdr:colOff>1895475</xdr:colOff>
      <xdr:row>286</xdr:row>
      <xdr:rowOff>152400</xdr:rowOff>
    </xdr:to>
    <xdr:pic>
      <xdr:nvPicPr>
        <xdr:cNvPr id="79085" name="Picture 5" descr="C:\WINDOWS\TEMP\~0003946.gif">
          <a:extLst>
            <a:ext uri="{FF2B5EF4-FFF2-40B4-BE49-F238E27FC236}">
              <a16:creationId xmlns:a16="http://schemas.microsoft.com/office/drawing/2014/main" id="{00000000-0008-0000-1900-0000ED34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3583900" y="578453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190</xdr:row>
      <xdr:rowOff>152400</xdr:rowOff>
    </xdr:from>
    <xdr:to>
      <xdr:col>20</xdr:col>
      <xdr:colOff>1924050</xdr:colOff>
      <xdr:row>191</xdr:row>
      <xdr:rowOff>180975</xdr:rowOff>
    </xdr:to>
    <xdr:pic>
      <xdr:nvPicPr>
        <xdr:cNvPr id="79086" name="Picture 6" descr="C:\WINDOWS\TEMP\~0003946.gif">
          <a:extLst>
            <a:ext uri="{FF2B5EF4-FFF2-40B4-BE49-F238E27FC236}">
              <a16:creationId xmlns:a16="http://schemas.microsoft.com/office/drawing/2014/main" id="{00000000-0008-0000-1900-0000EE34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3583900" y="38785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130</xdr:row>
      <xdr:rowOff>161925</xdr:rowOff>
    </xdr:from>
    <xdr:to>
      <xdr:col>20</xdr:col>
      <xdr:colOff>1952625</xdr:colOff>
      <xdr:row>131</xdr:row>
      <xdr:rowOff>190500</xdr:rowOff>
    </xdr:to>
    <xdr:pic>
      <xdr:nvPicPr>
        <xdr:cNvPr id="79087" name="Picture 7" descr="C:\WINDOWS\TEMP\~0003946.gif">
          <a:extLst>
            <a:ext uri="{FF2B5EF4-FFF2-40B4-BE49-F238E27FC236}">
              <a16:creationId xmlns:a16="http://schemas.microsoft.com/office/drawing/2014/main" id="{00000000-0008-0000-1900-0000EF34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3583900" y="26717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79088" name="Picture 8" descr="C:\WINDOWS\TEMP\~0003946.gif">
          <a:extLst>
            <a:ext uri="{FF2B5EF4-FFF2-40B4-BE49-F238E27FC236}">
              <a16:creationId xmlns:a16="http://schemas.microsoft.com/office/drawing/2014/main" id="{00000000-0008-0000-1900-0000F034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79089" name="Picture 13" descr="logoMTL">
          <a:extLst>
            <a:ext uri="{FF2B5EF4-FFF2-40B4-BE49-F238E27FC236}">
              <a16:creationId xmlns:a16="http://schemas.microsoft.com/office/drawing/2014/main" id="{00000000-0008-0000-1900-0000F134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130</xdr:row>
      <xdr:rowOff>38100</xdr:rowOff>
    </xdr:from>
    <xdr:to>
      <xdr:col>19</xdr:col>
      <xdr:colOff>1171575</xdr:colOff>
      <xdr:row>131</xdr:row>
      <xdr:rowOff>161925</xdr:rowOff>
    </xdr:to>
    <xdr:pic>
      <xdr:nvPicPr>
        <xdr:cNvPr id="79090" name="Picture 14" descr="logoMTL">
          <a:extLst>
            <a:ext uri="{FF2B5EF4-FFF2-40B4-BE49-F238E27FC236}">
              <a16:creationId xmlns:a16="http://schemas.microsoft.com/office/drawing/2014/main" id="{00000000-0008-0000-1900-0000F2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688425" y="26593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190</xdr:row>
      <xdr:rowOff>28575</xdr:rowOff>
    </xdr:from>
    <xdr:to>
      <xdr:col>19</xdr:col>
      <xdr:colOff>1171575</xdr:colOff>
      <xdr:row>191</xdr:row>
      <xdr:rowOff>152400</xdr:rowOff>
    </xdr:to>
    <xdr:pic>
      <xdr:nvPicPr>
        <xdr:cNvPr id="79091" name="Picture 15" descr="logoMTL">
          <a:extLst>
            <a:ext uri="{FF2B5EF4-FFF2-40B4-BE49-F238E27FC236}">
              <a16:creationId xmlns:a16="http://schemas.microsoft.com/office/drawing/2014/main" id="{00000000-0008-0000-1900-0000F3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688425" y="386619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285</xdr:row>
      <xdr:rowOff>0</xdr:rowOff>
    </xdr:from>
    <xdr:to>
      <xdr:col>19</xdr:col>
      <xdr:colOff>1228725</xdr:colOff>
      <xdr:row>286</xdr:row>
      <xdr:rowOff>123825</xdr:rowOff>
    </xdr:to>
    <xdr:pic>
      <xdr:nvPicPr>
        <xdr:cNvPr id="79092" name="Picture 16" descr="logoMTL">
          <a:extLst>
            <a:ext uri="{FF2B5EF4-FFF2-40B4-BE49-F238E27FC236}">
              <a16:creationId xmlns:a16="http://schemas.microsoft.com/office/drawing/2014/main" id="{00000000-0008-0000-1900-0000F4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736050" y="577215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286</xdr:row>
      <xdr:rowOff>0</xdr:rowOff>
    </xdr:from>
    <xdr:to>
      <xdr:col>1</xdr:col>
      <xdr:colOff>0</xdr:colOff>
      <xdr:row>286</xdr:row>
      <xdr:rowOff>238125</xdr:rowOff>
    </xdr:to>
    <xdr:pic>
      <xdr:nvPicPr>
        <xdr:cNvPr id="79093" name="Picture 1" descr="C:\WINDOWS\TEMP\Symbol.gif">
          <a:extLst>
            <a:ext uri="{FF2B5EF4-FFF2-40B4-BE49-F238E27FC236}">
              <a16:creationId xmlns:a16="http://schemas.microsoft.com/office/drawing/2014/main" id="{00000000-0008-0000-1900-0000F53401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579215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191</xdr:row>
      <xdr:rowOff>0</xdr:rowOff>
    </xdr:from>
    <xdr:to>
      <xdr:col>1</xdr:col>
      <xdr:colOff>0</xdr:colOff>
      <xdr:row>191</xdr:row>
      <xdr:rowOff>238125</xdr:rowOff>
    </xdr:to>
    <xdr:pic>
      <xdr:nvPicPr>
        <xdr:cNvPr id="79094" name="Picture 1" descr="C:\WINDOWS\TEMP\Symbol.gif">
          <a:extLst>
            <a:ext uri="{FF2B5EF4-FFF2-40B4-BE49-F238E27FC236}">
              <a16:creationId xmlns:a16="http://schemas.microsoft.com/office/drawing/2014/main" id="{00000000-0008-0000-1900-0000F63401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388334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131</xdr:row>
      <xdr:rowOff>0</xdr:rowOff>
    </xdr:from>
    <xdr:to>
      <xdr:col>1</xdr:col>
      <xdr:colOff>0</xdr:colOff>
      <xdr:row>131</xdr:row>
      <xdr:rowOff>238125</xdr:rowOff>
    </xdr:to>
    <xdr:pic>
      <xdr:nvPicPr>
        <xdr:cNvPr id="79095" name="Picture 1" descr="C:\WINDOWS\TEMP\Symbol.gif">
          <a:extLst>
            <a:ext uri="{FF2B5EF4-FFF2-40B4-BE49-F238E27FC236}">
              <a16:creationId xmlns:a16="http://schemas.microsoft.com/office/drawing/2014/main" id="{00000000-0008-0000-1900-0000F73401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267557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xdr:row>
      <xdr:rowOff>0</xdr:rowOff>
    </xdr:from>
    <xdr:to>
      <xdr:col>1</xdr:col>
      <xdr:colOff>0</xdr:colOff>
      <xdr:row>63</xdr:row>
      <xdr:rowOff>238125</xdr:rowOff>
    </xdr:to>
    <xdr:pic>
      <xdr:nvPicPr>
        <xdr:cNvPr id="79096" name="Picture 1" descr="C:\WINDOWS\TEMP\Symbol.gif">
          <a:extLst>
            <a:ext uri="{FF2B5EF4-FFF2-40B4-BE49-F238E27FC236}">
              <a16:creationId xmlns:a16="http://schemas.microsoft.com/office/drawing/2014/main" id="{00000000-0008-0000-1900-0000F83401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127063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62</xdr:row>
      <xdr:rowOff>0</xdr:rowOff>
    </xdr:from>
    <xdr:to>
      <xdr:col>20</xdr:col>
      <xdr:colOff>800100</xdr:colOff>
      <xdr:row>63</xdr:row>
      <xdr:rowOff>28575</xdr:rowOff>
    </xdr:to>
    <xdr:pic>
      <xdr:nvPicPr>
        <xdr:cNvPr id="79097" name="Picture 10" descr="C:\WINDOWS\TEMP\~0003946.gif">
          <a:extLst>
            <a:ext uri="{FF2B5EF4-FFF2-40B4-BE49-F238E27FC236}">
              <a16:creationId xmlns:a16="http://schemas.microsoft.com/office/drawing/2014/main" id="{00000000-0008-0000-1900-0000F93401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2574250" y="125063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130</xdr:row>
      <xdr:rowOff>0</xdr:rowOff>
    </xdr:from>
    <xdr:to>
      <xdr:col>20</xdr:col>
      <xdr:colOff>800100</xdr:colOff>
      <xdr:row>131</xdr:row>
      <xdr:rowOff>28575</xdr:rowOff>
    </xdr:to>
    <xdr:pic>
      <xdr:nvPicPr>
        <xdr:cNvPr id="79098" name="Picture 10" descr="C:\WINDOWS\TEMP\~0003946.gif">
          <a:extLst>
            <a:ext uri="{FF2B5EF4-FFF2-40B4-BE49-F238E27FC236}">
              <a16:creationId xmlns:a16="http://schemas.microsoft.com/office/drawing/2014/main" id="{00000000-0008-0000-1900-0000FA3401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2574250" y="265557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190</xdr:row>
      <xdr:rowOff>0</xdr:rowOff>
    </xdr:from>
    <xdr:to>
      <xdr:col>20</xdr:col>
      <xdr:colOff>800100</xdr:colOff>
      <xdr:row>191</xdr:row>
      <xdr:rowOff>28575</xdr:rowOff>
    </xdr:to>
    <xdr:pic>
      <xdr:nvPicPr>
        <xdr:cNvPr id="79099" name="Picture 10" descr="C:\WINDOWS\TEMP\~0003946.gif">
          <a:extLst>
            <a:ext uri="{FF2B5EF4-FFF2-40B4-BE49-F238E27FC236}">
              <a16:creationId xmlns:a16="http://schemas.microsoft.com/office/drawing/2014/main" id="{00000000-0008-0000-1900-0000FB3401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2574250" y="386334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285</xdr:row>
      <xdr:rowOff>0</xdr:rowOff>
    </xdr:from>
    <xdr:to>
      <xdr:col>20</xdr:col>
      <xdr:colOff>800100</xdr:colOff>
      <xdr:row>286</xdr:row>
      <xdr:rowOff>28575</xdr:rowOff>
    </xdr:to>
    <xdr:pic>
      <xdr:nvPicPr>
        <xdr:cNvPr id="79100" name="Picture 10" descr="C:\WINDOWS\TEMP\~0003946.gif">
          <a:extLst>
            <a:ext uri="{FF2B5EF4-FFF2-40B4-BE49-F238E27FC236}">
              <a16:creationId xmlns:a16="http://schemas.microsoft.com/office/drawing/2014/main" id="{00000000-0008-0000-1900-0000FC340100}"/>
            </a:ext>
          </a:extLst>
        </xdr:cNvPr>
        <xdr:cNvPicPr>
          <a:picLocks noChangeAspect="1" noChangeArrowheads="1"/>
        </xdr:cNvPicPr>
      </xdr:nvPicPr>
      <xdr:blipFill>
        <a:blip xmlns:r="http://schemas.openxmlformats.org/officeDocument/2006/relationships" r:embed="rId5" r:link="rId1" cstate="print">
          <a:extLst>
            <a:ext uri="{28A0092B-C50C-407E-A947-70E740481C1C}">
              <a14:useLocalDpi xmlns:a14="http://schemas.microsoft.com/office/drawing/2010/main" val="0"/>
            </a:ext>
          </a:extLst>
        </a:blip>
        <a:srcRect/>
        <a:stretch>
          <a:fillRect/>
        </a:stretch>
      </xdr:blipFill>
      <xdr:spPr bwMode="auto">
        <a:xfrm>
          <a:off x="22574250" y="577215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83009" name="Picture 1" descr="C:\WINDOWS\TEMP\Symbol.gif">
          <a:extLst>
            <a:ext uri="{FF2B5EF4-FFF2-40B4-BE49-F238E27FC236}">
              <a16:creationId xmlns:a16="http://schemas.microsoft.com/office/drawing/2014/main" id="{00000000-0008-0000-1A00-0000414401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130</xdr:row>
      <xdr:rowOff>161925</xdr:rowOff>
    </xdr:from>
    <xdr:to>
      <xdr:col>1</xdr:col>
      <xdr:colOff>28575</xdr:colOff>
      <xdr:row>131</xdr:row>
      <xdr:rowOff>200025</xdr:rowOff>
    </xdr:to>
    <xdr:pic>
      <xdr:nvPicPr>
        <xdr:cNvPr id="83010" name="Picture 2" descr="C:\WINDOWS\TEMP\Symbol.gif">
          <a:extLst>
            <a:ext uri="{FF2B5EF4-FFF2-40B4-BE49-F238E27FC236}">
              <a16:creationId xmlns:a16="http://schemas.microsoft.com/office/drawing/2014/main" id="{00000000-0008-0000-1A00-0000424401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67176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190</xdr:row>
      <xdr:rowOff>171450</xdr:rowOff>
    </xdr:from>
    <xdr:to>
      <xdr:col>1</xdr:col>
      <xdr:colOff>47625</xdr:colOff>
      <xdr:row>191</xdr:row>
      <xdr:rowOff>209550</xdr:rowOff>
    </xdr:to>
    <xdr:pic>
      <xdr:nvPicPr>
        <xdr:cNvPr id="83011" name="Picture 3" descr="C:\WINDOWS\TEMP\Symbol.gif">
          <a:extLst>
            <a:ext uri="{FF2B5EF4-FFF2-40B4-BE49-F238E27FC236}">
              <a16:creationId xmlns:a16="http://schemas.microsoft.com/office/drawing/2014/main" id="{00000000-0008-0000-1A00-0000434401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88048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285</xdr:row>
      <xdr:rowOff>161925</xdr:rowOff>
    </xdr:from>
    <xdr:to>
      <xdr:col>1</xdr:col>
      <xdr:colOff>19050</xdr:colOff>
      <xdr:row>286</xdr:row>
      <xdr:rowOff>200025</xdr:rowOff>
    </xdr:to>
    <xdr:pic>
      <xdr:nvPicPr>
        <xdr:cNvPr id="83012" name="Picture 4" descr="C:\WINDOWS\TEMP\Symbol.gif">
          <a:extLst>
            <a:ext uri="{FF2B5EF4-FFF2-40B4-BE49-F238E27FC236}">
              <a16:creationId xmlns:a16="http://schemas.microsoft.com/office/drawing/2014/main" id="{00000000-0008-0000-1A00-00004444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9525" y="578834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285</xdr:row>
      <xdr:rowOff>123825</xdr:rowOff>
    </xdr:from>
    <xdr:to>
      <xdr:col>20</xdr:col>
      <xdr:colOff>1895475</xdr:colOff>
      <xdr:row>286</xdr:row>
      <xdr:rowOff>152400</xdr:rowOff>
    </xdr:to>
    <xdr:pic>
      <xdr:nvPicPr>
        <xdr:cNvPr id="83013" name="Picture 5" descr="C:\WINDOWS\TEMP\~0003946.gif">
          <a:extLst>
            <a:ext uri="{FF2B5EF4-FFF2-40B4-BE49-F238E27FC236}">
              <a16:creationId xmlns:a16="http://schemas.microsoft.com/office/drawing/2014/main" id="{00000000-0008-0000-1A00-0000454401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3583900" y="578453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190</xdr:row>
      <xdr:rowOff>152400</xdr:rowOff>
    </xdr:from>
    <xdr:to>
      <xdr:col>20</xdr:col>
      <xdr:colOff>1924050</xdr:colOff>
      <xdr:row>191</xdr:row>
      <xdr:rowOff>180975</xdr:rowOff>
    </xdr:to>
    <xdr:pic>
      <xdr:nvPicPr>
        <xdr:cNvPr id="83014" name="Picture 6" descr="C:\WINDOWS\TEMP\~0003946.gif">
          <a:extLst>
            <a:ext uri="{FF2B5EF4-FFF2-40B4-BE49-F238E27FC236}">
              <a16:creationId xmlns:a16="http://schemas.microsoft.com/office/drawing/2014/main" id="{00000000-0008-0000-1A00-0000464401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3583900" y="38785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130</xdr:row>
      <xdr:rowOff>161925</xdr:rowOff>
    </xdr:from>
    <xdr:to>
      <xdr:col>20</xdr:col>
      <xdr:colOff>1952625</xdr:colOff>
      <xdr:row>131</xdr:row>
      <xdr:rowOff>190500</xdr:rowOff>
    </xdr:to>
    <xdr:pic>
      <xdr:nvPicPr>
        <xdr:cNvPr id="83015" name="Picture 7" descr="C:\WINDOWS\TEMP\~0003946.gif">
          <a:extLst>
            <a:ext uri="{FF2B5EF4-FFF2-40B4-BE49-F238E27FC236}">
              <a16:creationId xmlns:a16="http://schemas.microsoft.com/office/drawing/2014/main" id="{00000000-0008-0000-1A00-0000474401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3583900" y="26717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83016" name="Picture 8" descr="C:\WINDOWS\TEMP\~0003946.gif">
          <a:extLst>
            <a:ext uri="{FF2B5EF4-FFF2-40B4-BE49-F238E27FC236}">
              <a16:creationId xmlns:a16="http://schemas.microsoft.com/office/drawing/2014/main" id="{00000000-0008-0000-1A00-0000484401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62</xdr:row>
      <xdr:rowOff>123825</xdr:rowOff>
    </xdr:from>
    <xdr:to>
      <xdr:col>20</xdr:col>
      <xdr:colOff>885825</xdr:colOff>
      <xdr:row>63</xdr:row>
      <xdr:rowOff>152400</xdr:rowOff>
    </xdr:to>
    <xdr:pic>
      <xdr:nvPicPr>
        <xdr:cNvPr id="83017" name="Picture 9" descr="C:\WINDOWS\TEMP\~0003946.gif">
          <a:extLst>
            <a:ext uri="{FF2B5EF4-FFF2-40B4-BE49-F238E27FC236}">
              <a16:creationId xmlns:a16="http://schemas.microsoft.com/office/drawing/2014/main" id="{00000000-0008-0000-1A00-0000494401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130</xdr:row>
      <xdr:rowOff>95250</xdr:rowOff>
    </xdr:from>
    <xdr:to>
      <xdr:col>20</xdr:col>
      <xdr:colOff>895350</xdr:colOff>
      <xdr:row>131</xdr:row>
      <xdr:rowOff>123825</xdr:rowOff>
    </xdr:to>
    <xdr:pic>
      <xdr:nvPicPr>
        <xdr:cNvPr id="83018" name="Picture 10" descr="C:\WINDOWS\TEMP\~0003946.gif">
          <a:extLst>
            <a:ext uri="{FF2B5EF4-FFF2-40B4-BE49-F238E27FC236}">
              <a16:creationId xmlns:a16="http://schemas.microsoft.com/office/drawing/2014/main" id="{00000000-0008-0000-1A00-00004A440100}"/>
            </a:ext>
          </a:extLst>
        </xdr:cNvPr>
        <xdr:cNvPicPr>
          <a:picLocks noChangeAspect="1" noChangeArrowheads="1"/>
        </xdr:cNvPicPr>
      </xdr:nvPicPr>
      <xdr:blipFill>
        <a:blip xmlns:r="http://schemas.openxmlformats.org/officeDocument/2006/relationships" r:embed="rId4" r:link="rId3" cstate="print">
          <a:extLst>
            <a:ext uri="{28A0092B-C50C-407E-A947-70E740481C1C}">
              <a14:useLocalDpi xmlns:a14="http://schemas.microsoft.com/office/drawing/2010/main" val="0"/>
            </a:ext>
          </a:extLst>
        </a:blip>
        <a:srcRect/>
        <a:stretch>
          <a:fillRect/>
        </a:stretch>
      </xdr:blipFill>
      <xdr:spPr bwMode="auto">
        <a:xfrm>
          <a:off x="22669500" y="266509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190</xdr:row>
      <xdr:rowOff>104775</xdr:rowOff>
    </xdr:from>
    <xdr:to>
      <xdr:col>20</xdr:col>
      <xdr:colOff>809625</xdr:colOff>
      <xdr:row>191</xdr:row>
      <xdr:rowOff>133350</xdr:rowOff>
    </xdr:to>
    <xdr:pic>
      <xdr:nvPicPr>
        <xdr:cNvPr id="83019" name="Picture 11" descr="C:\WINDOWS\TEMP\~0003946.gif">
          <a:extLst>
            <a:ext uri="{FF2B5EF4-FFF2-40B4-BE49-F238E27FC236}">
              <a16:creationId xmlns:a16="http://schemas.microsoft.com/office/drawing/2014/main" id="{00000000-0008-0000-1A00-00004B440100}"/>
            </a:ext>
          </a:extLst>
        </xdr:cNvPr>
        <xdr:cNvPicPr>
          <a:picLocks noChangeAspect="1" noChangeArrowheads="1"/>
        </xdr:cNvPicPr>
      </xdr:nvPicPr>
      <xdr:blipFill>
        <a:blip xmlns:r="http://schemas.openxmlformats.org/officeDocument/2006/relationships" r:embed="rId4" r:link="rId3" cstate="print">
          <a:extLst>
            <a:ext uri="{28A0092B-C50C-407E-A947-70E740481C1C}">
              <a14:useLocalDpi xmlns:a14="http://schemas.microsoft.com/office/drawing/2010/main" val="0"/>
            </a:ext>
          </a:extLst>
        </a:blip>
        <a:srcRect/>
        <a:stretch>
          <a:fillRect/>
        </a:stretch>
      </xdr:blipFill>
      <xdr:spPr bwMode="auto">
        <a:xfrm>
          <a:off x="22583775" y="38738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285</xdr:row>
      <xdr:rowOff>104775</xdr:rowOff>
    </xdr:from>
    <xdr:to>
      <xdr:col>20</xdr:col>
      <xdr:colOff>895350</xdr:colOff>
      <xdr:row>286</xdr:row>
      <xdr:rowOff>133350</xdr:rowOff>
    </xdr:to>
    <xdr:pic>
      <xdr:nvPicPr>
        <xdr:cNvPr id="83020" name="Picture 12" descr="C:\WINDOWS\TEMP\~0003946.gif">
          <a:extLst>
            <a:ext uri="{FF2B5EF4-FFF2-40B4-BE49-F238E27FC236}">
              <a16:creationId xmlns:a16="http://schemas.microsoft.com/office/drawing/2014/main" id="{00000000-0008-0000-1A00-00004C440100}"/>
            </a:ext>
          </a:extLst>
        </xdr:cNvPr>
        <xdr:cNvPicPr>
          <a:picLocks noChangeAspect="1" noChangeArrowheads="1"/>
        </xdr:cNvPicPr>
      </xdr:nvPicPr>
      <xdr:blipFill>
        <a:blip xmlns:r="http://schemas.openxmlformats.org/officeDocument/2006/relationships" r:embed="rId4" r:link="rId3" cstate="print">
          <a:extLst>
            <a:ext uri="{28A0092B-C50C-407E-A947-70E740481C1C}">
              <a14:useLocalDpi xmlns:a14="http://schemas.microsoft.com/office/drawing/2010/main" val="0"/>
            </a:ext>
          </a:extLst>
        </a:blip>
        <a:srcRect/>
        <a:stretch>
          <a:fillRect/>
        </a:stretch>
      </xdr:blipFill>
      <xdr:spPr bwMode="auto">
        <a:xfrm>
          <a:off x="22669500" y="578262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83021" name="Picture 13" descr="logoMTL">
          <a:extLst>
            <a:ext uri="{FF2B5EF4-FFF2-40B4-BE49-F238E27FC236}">
              <a16:creationId xmlns:a16="http://schemas.microsoft.com/office/drawing/2014/main" id="{00000000-0008-0000-1A00-00004D4401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130</xdr:row>
      <xdr:rowOff>38100</xdr:rowOff>
    </xdr:from>
    <xdr:to>
      <xdr:col>19</xdr:col>
      <xdr:colOff>1171575</xdr:colOff>
      <xdr:row>131</xdr:row>
      <xdr:rowOff>161925</xdr:rowOff>
    </xdr:to>
    <xdr:pic>
      <xdr:nvPicPr>
        <xdr:cNvPr id="83022" name="Picture 14" descr="logoMTL">
          <a:extLst>
            <a:ext uri="{FF2B5EF4-FFF2-40B4-BE49-F238E27FC236}">
              <a16:creationId xmlns:a16="http://schemas.microsoft.com/office/drawing/2014/main" id="{00000000-0008-0000-1A00-00004E4401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1688425" y="26593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190</xdr:row>
      <xdr:rowOff>28575</xdr:rowOff>
    </xdr:from>
    <xdr:to>
      <xdr:col>19</xdr:col>
      <xdr:colOff>1171575</xdr:colOff>
      <xdr:row>191</xdr:row>
      <xdr:rowOff>152400</xdr:rowOff>
    </xdr:to>
    <xdr:pic>
      <xdr:nvPicPr>
        <xdr:cNvPr id="83023" name="Picture 15" descr="logoMTL">
          <a:extLst>
            <a:ext uri="{FF2B5EF4-FFF2-40B4-BE49-F238E27FC236}">
              <a16:creationId xmlns:a16="http://schemas.microsoft.com/office/drawing/2014/main" id="{00000000-0008-0000-1A00-00004F4401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1688425" y="386619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285</xdr:row>
      <xdr:rowOff>0</xdr:rowOff>
    </xdr:from>
    <xdr:to>
      <xdr:col>19</xdr:col>
      <xdr:colOff>1228725</xdr:colOff>
      <xdr:row>286</xdr:row>
      <xdr:rowOff>123825</xdr:rowOff>
    </xdr:to>
    <xdr:pic>
      <xdr:nvPicPr>
        <xdr:cNvPr id="83024" name="Picture 16" descr="logoMTL">
          <a:extLst>
            <a:ext uri="{FF2B5EF4-FFF2-40B4-BE49-F238E27FC236}">
              <a16:creationId xmlns:a16="http://schemas.microsoft.com/office/drawing/2014/main" id="{00000000-0008-0000-1A00-0000504401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1736050" y="577215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55169" name="Picture 1" descr="C:\WINDOWS\TEMP\Symbol.gif">
          <a:extLst>
            <a:ext uri="{FF2B5EF4-FFF2-40B4-BE49-F238E27FC236}">
              <a16:creationId xmlns:a16="http://schemas.microsoft.com/office/drawing/2014/main" id="{00000000-0008-0000-1B00-000081D7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131</xdr:row>
      <xdr:rowOff>161925</xdr:rowOff>
    </xdr:from>
    <xdr:to>
      <xdr:col>1</xdr:col>
      <xdr:colOff>28575</xdr:colOff>
      <xdr:row>132</xdr:row>
      <xdr:rowOff>200025</xdr:rowOff>
    </xdr:to>
    <xdr:pic>
      <xdr:nvPicPr>
        <xdr:cNvPr id="55170" name="Picture 2" descr="C:\WINDOWS\TEMP\Symbol.gif">
          <a:extLst>
            <a:ext uri="{FF2B5EF4-FFF2-40B4-BE49-F238E27FC236}">
              <a16:creationId xmlns:a16="http://schemas.microsoft.com/office/drawing/2014/main" id="{00000000-0008-0000-1B00-000082D7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69176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191</xdr:row>
      <xdr:rowOff>171450</xdr:rowOff>
    </xdr:from>
    <xdr:to>
      <xdr:col>1</xdr:col>
      <xdr:colOff>47625</xdr:colOff>
      <xdr:row>192</xdr:row>
      <xdr:rowOff>209550</xdr:rowOff>
    </xdr:to>
    <xdr:pic>
      <xdr:nvPicPr>
        <xdr:cNvPr id="55171" name="Picture 3" descr="C:\WINDOWS\TEMP\Symbol.gif">
          <a:extLst>
            <a:ext uri="{FF2B5EF4-FFF2-40B4-BE49-F238E27FC236}">
              <a16:creationId xmlns:a16="http://schemas.microsoft.com/office/drawing/2014/main" id="{00000000-0008-0000-1B00-000083D7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0048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286</xdr:row>
      <xdr:rowOff>161925</xdr:rowOff>
    </xdr:from>
    <xdr:to>
      <xdr:col>1</xdr:col>
      <xdr:colOff>19050</xdr:colOff>
      <xdr:row>287</xdr:row>
      <xdr:rowOff>200025</xdr:rowOff>
    </xdr:to>
    <xdr:pic>
      <xdr:nvPicPr>
        <xdr:cNvPr id="55172" name="Picture 4" descr="C:\WINDOWS\TEMP\Symbol.gif">
          <a:extLst>
            <a:ext uri="{FF2B5EF4-FFF2-40B4-BE49-F238E27FC236}">
              <a16:creationId xmlns:a16="http://schemas.microsoft.com/office/drawing/2014/main" id="{00000000-0008-0000-1B00-000084D7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0834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286</xdr:row>
      <xdr:rowOff>123825</xdr:rowOff>
    </xdr:from>
    <xdr:to>
      <xdr:col>20</xdr:col>
      <xdr:colOff>1895475</xdr:colOff>
      <xdr:row>287</xdr:row>
      <xdr:rowOff>152400</xdr:rowOff>
    </xdr:to>
    <xdr:pic>
      <xdr:nvPicPr>
        <xdr:cNvPr id="55173" name="Picture 5" descr="C:\WINDOWS\TEMP\~0003946.gif">
          <a:extLst>
            <a:ext uri="{FF2B5EF4-FFF2-40B4-BE49-F238E27FC236}">
              <a16:creationId xmlns:a16="http://schemas.microsoft.com/office/drawing/2014/main" id="{00000000-0008-0000-1B00-000085D7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580453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191</xdr:row>
      <xdr:rowOff>152400</xdr:rowOff>
    </xdr:from>
    <xdr:to>
      <xdr:col>20</xdr:col>
      <xdr:colOff>1924050</xdr:colOff>
      <xdr:row>192</xdr:row>
      <xdr:rowOff>180975</xdr:rowOff>
    </xdr:to>
    <xdr:pic>
      <xdr:nvPicPr>
        <xdr:cNvPr id="55174" name="Picture 6" descr="C:\WINDOWS\TEMP\~0003946.gif">
          <a:extLst>
            <a:ext uri="{FF2B5EF4-FFF2-40B4-BE49-F238E27FC236}">
              <a16:creationId xmlns:a16="http://schemas.microsoft.com/office/drawing/2014/main" id="{00000000-0008-0000-1B00-000086D7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389858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131</xdr:row>
      <xdr:rowOff>161925</xdr:rowOff>
    </xdr:from>
    <xdr:to>
      <xdr:col>20</xdr:col>
      <xdr:colOff>1952625</xdr:colOff>
      <xdr:row>132</xdr:row>
      <xdr:rowOff>190500</xdr:rowOff>
    </xdr:to>
    <xdr:pic>
      <xdr:nvPicPr>
        <xdr:cNvPr id="55175" name="Picture 7" descr="C:\WINDOWS\TEMP\~0003946.gif">
          <a:extLst>
            <a:ext uri="{FF2B5EF4-FFF2-40B4-BE49-F238E27FC236}">
              <a16:creationId xmlns:a16="http://schemas.microsoft.com/office/drawing/2014/main" id="{00000000-0008-0000-1B00-000087D7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26917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55176" name="Picture 8" descr="C:\WINDOWS\TEMP\~0003946.gif">
          <a:extLst>
            <a:ext uri="{FF2B5EF4-FFF2-40B4-BE49-F238E27FC236}">
              <a16:creationId xmlns:a16="http://schemas.microsoft.com/office/drawing/2014/main" id="{00000000-0008-0000-1B00-000088D7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62</xdr:row>
      <xdr:rowOff>123825</xdr:rowOff>
    </xdr:from>
    <xdr:to>
      <xdr:col>20</xdr:col>
      <xdr:colOff>885825</xdr:colOff>
      <xdr:row>63</xdr:row>
      <xdr:rowOff>152400</xdr:rowOff>
    </xdr:to>
    <xdr:pic>
      <xdr:nvPicPr>
        <xdr:cNvPr id="55177" name="Picture 9" descr="C:\WINDOWS\TEMP\~0003946.gif">
          <a:extLst>
            <a:ext uri="{FF2B5EF4-FFF2-40B4-BE49-F238E27FC236}">
              <a16:creationId xmlns:a16="http://schemas.microsoft.com/office/drawing/2014/main" id="{00000000-0008-0000-1B00-000089D7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131</xdr:row>
      <xdr:rowOff>123825</xdr:rowOff>
    </xdr:from>
    <xdr:to>
      <xdr:col>20</xdr:col>
      <xdr:colOff>895350</xdr:colOff>
      <xdr:row>132</xdr:row>
      <xdr:rowOff>152400</xdr:rowOff>
    </xdr:to>
    <xdr:pic>
      <xdr:nvPicPr>
        <xdr:cNvPr id="55178" name="Picture 10" descr="C:\WINDOWS\TEMP\~0003946.gif">
          <a:extLst>
            <a:ext uri="{FF2B5EF4-FFF2-40B4-BE49-F238E27FC236}">
              <a16:creationId xmlns:a16="http://schemas.microsoft.com/office/drawing/2014/main" id="{00000000-0008-0000-1B00-00008AD7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268795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191</xdr:row>
      <xdr:rowOff>104775</xdr:rowOff>
    </xdr:from>
    <xdr:to>
      <xdr:col>20</xdr:col>
      <xdr:colOff>809625</xdr:colOff>
      <xdr:row>192</xdr:row>
      <xdr:rowOff>133350</xdr:rowOff>
    </xdr:to>
    <xdr:pic>
      <xdr:nvPicPr>
        <xdr:cNvPr id="55179" name="Picture 11" descr="C:\WINDOWS\TEMP\~0003946.gif">
          <a:extLst>
            <a:ext uri="{FF2B5EF4-FFF2-40B4-BE49-F238E27FC236}">
              <a16:creationId xmlns:a16="http://schemas.microsoft.com/office/drawing/2014/main" id="{00000000-0008-0000-1B00-00008BD7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583775" y="389382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55180" name="Picture 13" descr="logoMTL">
          <a:extLst>
            <a:ext uri="{FF2B5EF4-FFF2-40B4-BE49-F238E27FC236}">
              <a16:creationId xmlns:a16="http://schemas.microsoft.com/office/drawing/2014/main" id="{00000000-0008-0000-1B00-00008CD7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131</xdr:row>
      <xdr:rowOff>38100</xdr:rowOff>
    </xdr:from>
    <xdr:to>
      <xdr:col>19</xdr:col>
      <xdr:colOff>1171575</xdr:colOff>
      <xdr:row>132</xdr:row>
      <xdr:rowOff>161925</xdr:rowOff>
    </xdr:to>
    <xdr:pic>
      <xdr:nvPicPr>
        <xdr:cNvPr id="55181" name="Picture 14" descr="logoMTL">
          <a:extLst>
            <a:ext uri="{FF2B5EF4-FFF2-40B4-BE49-F238E27FC236}">
              <a16:creationId xmlns:a16="http://schemas.microsoft.com/office/drawing/2014/main" id="{00000000-0008-0000-1B00-00008DD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26793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191</xdr:row>
      <xdr:rowOff>28575</xdr:rowOff>
    </xdr:from>
    <xdr:to>
      <xdr:col>19</xdr:col>
      <xdr:colOff>1171575</xdr:colOff>
      <xdr:row>192</xdr:row>
      <xdr:rowOff>152400</xdr:rowOff>
    </xdr:to>
    <xdr:pic>
      <xdr:nvPicPr>
        <xdr:cNvPr id="55182" name="Picture 15" descr="logoMTL">
          <a:extLst>
            <a:ext uri="{FF2B5EF4-FFF2-40B4-BE49-F238E27FC236}">
              <a16:creationId xmlns:a16="http://schemas.microsoft.com/office/drawing/2014/main" id="{00000000-0008-0000-1B00-00008ED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388620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286</xdr:row>
      <xdr:rowOff>0</xdr:rowOff>
    </xdr:from>
    <xdr:to>
      <xdr:col>19</xdr:col>
      <xdr:colOff>1228725</xdr:colOff>
      <xdr:row>287</xdr:row>
      <xdr:rowOff>123825</xdr:rowOff>
    </xdr:to>
    <xdr:pic>
      <xdr:nvPicPr>
        <xdr:cNvPr id="55183" name="Picture 16" descr="logoMTL">
          <a:extLst>
            <a:ext uri="{FF2B5EF4-FFF2-40B4-BE49-F238E27FC236}">
              <a16:creationId xmlns:a16="http://schemas.microsoft.com/office/drawing/2014/main" id="{00000000-0008-0000-1B00-00008FD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36050" y="579215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38100</xdr:colOff>
      <xdr:row>286</xdr:row>
      <xdr:rowOff>38100</xdr:rowOff>
    </xdr:from>
    <xdr:to>
      <xdr:col>20</xdr:col>
      <xdr:colOff>838200</xdr:colOff>
      <xdr:row>287</xdr:row>
      <xdr:rowOff>66675</xdr:rowOff>
    </xdr:to>
    <xdr:pic>
      <xdr:nvPicPr>
        <xdr:cNvPr id="55184" name="Picture 12" descr="C:\WINDOWS\TEMP\~0003946.gif">
          <a:extLst>
            <a:ext uri="{FF2B5EF4-FFF2-40B4-BE49-F238E27FC236}">
              <a16:creationId xmlns:a16="http://schemas.microsoft.com/office/drawing/2014/main" id="{00000000-0008-0000-1B00-000090D7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12350" y="579596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56001" name="Picture 1" descr="C:\WINDOWS\TEMP\Symbol.gif">
          <a:extLst>
            <a:ext uri="{FF2B5EF4-FFF2-40B4-BE49-F238E27FC236}">
              <a16:creationId xmlns:a16="http://schemas.microsoft.com/office/drawing/2014/main" id="{00000000-0008-0000-1C00-0000C1DA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131</xdr:row>
      <xdr:rowOff>161925</xdr:rowOff>
    </xdr:from>
    <xdr:to>
      <xdr:col>1</xdr:col>
      <xdr:colOff>28575</xdr:colOff>
      <xdr:row>132</xdr:row>
      <xdr:rowOff>200025</xdr:rowOff>
    </xdr:to>
    <xdr:pic>
      <xdr:nvPicPr>
        <xdr:cNvPr id="56002" name="Picture 2" descr="C:\WINDOWS\TEMP\Symbol.gif">
          <a:extLst>
            <a:ext uri="{FF2B5EF4-FFF2-40B4-BE49-F238E27FC236}">
              <a16:creationId xmlns:a16="http://schemas.microsoft.com/office/drawing/2014/main" id="{00000000-0008-0000-1C00-0000C2DA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69176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191</xdr:row>
      <xdr:rowOff>171450</xdr:rowOff>
    </xdr:from>
    <xdr:to>
      <xdr:col>1</xdr:col>
      <xdr:colOff>47625</xdr:colOff>
      <xdr:row>192</xdr:row>
      <xdr:rowOff>209550</xdr:rowOff>
    </xdr:to>
    <xdr:pic>
      <xdr:nvPicPr>
        <xdr:cNvPr id="56003" name="Picture 3" descr="C:\WINDOWS\TEMP\Symbol.gif">
          <a:extLst>
            <a:ext uri="{FF2B5EF4-FFF2-40B4-BE49-F238E27FC236}">
              <a16:creationId xmlns:a16="http://schemas.microsoft.com/office/drawing/2014/main" id="{00000000-0008-0000-1C00-0000C3DA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0048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286</xdr:row>
      <xdr:rowOff>161925</xdr:rowOff>
    </xdr:from>
    <xdr:to>
      <xdr:col>1</xdr:col>
      <xdr:colOff>19050</xdr:colOff>
      <xdr:row>287</xdr:row>
      <xdr:rowOff>200025</xdr:rowOff>
    </xdr:to>
    <xdr:pic>
      <xdr:nvPicPr>
        <xdr:cNvPr id="56004" name="Picture 4" descr="C:\WINDOWS\TEMP\Symbol.gif">
          <a:extLst>
            <a:ext uri="{FF2B5EF4-FFF2-40B4-BE49-F238E27FC236}">
              <a16:creationId xmlns:a16="http://schemas.microsoft.com/office/drawing/2014/main" id="{00000000-0008-0000-1C00-0000C4DA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0834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286</xdr:row>
      <xdr:rowOff>123825</xdr:rowOff>
    </xdr:from>
    <xdr:to>
      <xdr:col>20</xdr:col>
      <xdr:colOff>1895475</xdr:colOff>
      <xdr:row>287</xdr:row>
      <xdr:rowOff>152400</xdr:rowOff>
    </xdr:to>
    <xdr:pic>
      <xdr:nvPicPr>
        <xdr:cNvPr id="56005" name="Picture 5" descr="C:\WINDOWS\TEMP\~0003946.gif">
          <a:extLst>
            <a:ext uri="{FF2B5EF4-FFF2-40B4-BE49-F238E27FC236}">
              <a16:creationId xmlns:a16="http://schemas.microsoft.com/office/drawing/2014/main" id="{00000000-0008-0000-1C00-0000C5DA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580453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191</xdr:row>
      <xdr:rowOff>152400</xdr:rowOff>
    </xdr:from>
    <xdr:to>
      <xdr:col>20</xdr:col>
      <xdr:colOff>1924050</xdr:colOff>
      <xdr:row>192</xdr:row>
      <xdr:rowOff>180975</xdr:rowOff>
    </xdr:to>
    <xdr:pic>
      <xdr:nvPicPr>
        <xdr:cNvPr id="56006" name="Picture 6" descr="C:\WINDOWS\TEMP\~0003946.gif">
          <a:extLst>
            <a:ext uri="{FF2B5EF4-FFF2-40B4-BE49-F238E27FC236}">
              <a16:creationId xmlns:a16="http://schemas.microsoft.com/office/drawing/2014/main" id="{00000000-0008-0000-1C00-0000C6DA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389858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131</xdr:row>
      <xdr:rowOff>161925</xdr:rowOff>
    </xdr:from>
    <xdr:to>
      <xdr:col>20</xdr:col>
      <xdr:colOff>1952625</xdr:colOff>
      <xdr:row>132</xdr:row>
      <xdr:rowOff>190500</xdr:rowOff>
    </xdr:to>
    <xdr:pic>
      <xdr:nvPicPr>
        <xdr:cNvPr id="56007" name="Picture 7" descr="C:\WINDOWS\TEMP\~0003946.gif">
          <a:extLst>
            <a:ext uri="{FF2B5EF4-FFF2-40B4-BE49-F238E27FC236}">
              <a16:creationId xmlns:a16="http://schemas.microsoft.com/office/drawing/2014/main" id="{00000000-0008-0000-1C00-0000C7DA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26917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56008" name="Picture 8" descr="C:\WINDOWS\TEMP\~0003946.gif">
          <a:extLst>
            <a:ext uri="{FF2B5EF4-FFF2-40B4-BE49-F238E27FC236}">
              <a16:creationId xmlns:a16="http://schemas.microsoft.com/office/drawing/2014/main" id="{00000000-0008-0000-1C00-0000C8DA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62</xdr:row>
      <xdr:rowOff>123825</xdr:rowOff>
    </xdr:from>
    <xdr:to>
      <xdr:col>20</xdr:col>
      <xdr:colOff>885825</xdr:colOff>
      <xdr:row>63</xdr:row>
      <xdr:rowOff>152400</xdr:rowOff>
    </xdr:to>
    <xdr:pic>
      <xdr:nvPicPr>
        <xdr:cNvPr id="56009" name="Picture 9" descr="C:\WINDOWS\TEMP\~0003946.gif">
          <a:extLst>
            <a:ext uri="{FF2B5EF4-FFF2-40B4-BE49-F238E27FC236}">
              <a16:creationId xmlns:a16="http://schemas.microsoft.com/office/drawing/2014/main" id="{00000000-0008-0000-1C00-0000C9DA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131</xdr:row>
      <xdr:rowOff>123825</xdr:rowOff>
    </xdr:from>
    <xdr:to>
      <xdr:col>20</xdr:col>
      <xdr:colOff>895350</xdr:colOff>
      <xdr:row>132</xdr:row>
      <xdr:rowOff>152400</xdr:rowOff>
    </xdr:to>
    <xdr:pic>
      <xdr:nvPicPr>
        <xdr:cNvPr id="56010" name="Picture 10" descr="C:\WINDOWS\TEMP\~0003946.gif">
          <a:extLst>
            <a:ext uri="{FF2B5EF4-FFF2-40B4-BE49-F238E27FC236}">
              <a16:creationId xmlns:a16="http://schemas.microsoft.com/office/drawing/2014/main" id="{00000000-0008-0000-1C00-0000CADA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268795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191</xdr:row>
      <xdr:rowOff>104775</xdr:rowOff>
    </xdr:from>
    <xdr:to>
      <xdr:col>20</xdr:col>
      <xdr:colOff>809625</xdr:colOff>
      <xdr:row>192</xdr:row>
      <xdr:rowOff>133350</xdr:rowOff>
    </xdr:to>
    <xdr:pic>
      <xdr:nvPicPr>
        <xdr:cNvPr id="56011" name="Picture 11" descr="C:\WINDOWS\TEMP\~0003946.gif">
          <a:extLst>
            <a:ext uri="{FF2B5EF4-FFF2-40B4-BE49-F238E27FC236}">
              <a16:creationId xmlns:a16="http://schemas.microsoft.com/office/drawing/2014/main" id="{00000000-0008-0000-1C00-0000CBDA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583775" y="389382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286</xdr:row>
      <xdr:rowOff>104775</xdr:rowOff>
    </xdr:from>
    <xdr:to>
      <xdr:col>20</xdr:col>
      <xdr:colOff>895350</xdr:colOff>
      <xdr:row>287</xdr:row>
      <xdr:rowOff>133350</xdr:rowOff>
    </xdr:to>
    <xdr:pic>
      <xdr:nvPicPr>
        <xdr:cNvPr id="56012" name="Picture 12" descr="C:\WINDOWS\TEMP\~0003946.gif">
          <a:extLst>
            <a:ext uri="{FF2B5EF4-FFF2-40B4-BE49-F238E27FC236}">
              <a16:creationId xmlns:a16="http://schemas.microsoft.com/office/drawing/2014/main" id="{00000000-0008-0000-1C00-0000CCDA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58026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56013" name="Picture 13" descr="logoMTL">
          <a:extLst>
            <a:ext uri="{FF2B5EF4-FFF2-40B4-BE49-F238E27FC236}">
              <a16:creationId xmlns:a16="http://schemas.microsoft.com/office/drawing/2014/main" id="{00000000-0008-0000-1C00-0000CDDA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131</xdr:row>
      <xdr:rowOff>38100</xdr:rowOff>
    </xdr:from>
    <xdr:to>
      <xdr:col>19</xdr:col>
      <xdr:colOff>1171575</xdr:colOff>
      <xdr:row>132</xdr:row>
      <xdr:rowOff>161925</xdr:rowOff>
    </xdr:to>
    <xdr:pic>
      <xdr:nvPicPr>
        <xdr:cNvPr id="56014" name="Picture 14" descr="logoMTL">
          <a:extLst>
            <a:ext uri="{FF2B5EF4-FFF2-40B4-BE49-F238E27FC236}">
              <a16:creationId xmlns:a16="http://schemas.microsoft.com/office/drawing/2014/main" id="{00000000-0008-0000-1C00-0000CED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26793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191</xdr:row>
      <xdr:rowOff>28575</xdr:rowOff>
    </xdr:from>
    <xdr:to>
      <xdr:col>19</xdr:col>
      <xdr:colOff>1171575</xdr:colOff>
      <xdr:row>192</xdr:row>
      <xdr:rowOff>152400</xdr:rowOff>
    </xdr:to>
    <xdr:pic>
      <xdr:nvPicPr>
        <xdr:cNvPr id="56015" name="Picture 15" descr="logoMTL">
          <a:extLst>
            <a:ext uri="{FF2B5EF4-FFF2-40B4-BE49-F238E27FC236}">
              <a16:creationId xmlns:a16="http://schemas.microsoft.com/office/drawing/2014/main" id="{00000000-0008-0000-1C00-0000CFD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388620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286</xdr:row>
      <xdr:rowOff>0</xdr:rowOff>
    </xdr:from>
    <xdr:to>
      <xdr:col>19</xdr:col>
      <xdr:colOff>1228725</xdr:colOff>
      <xdr:row>287</xdr:row>
      <xdr:rowOff>123825</xdr:rowOff>
    </xdr:to>
    <xdr:pic>
      <xdr:nvPicPr>
        <xdr:cNvPr id="56016" name="Picture 16" descr="logoMTL">
          <a:extLst>
            <a:ext uri="{FF2B5EF4-FFF2-40B4-BE49-F238E27FC236}">
              <a16:creationId xmlns:a16="http://schemas.microsoft.com/office/drawing/2014/main" id="{00000000-0008-0000-1C00-0000D0DA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36050" y="579215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61745" name="Picture 1" descr="C:\WINDOWS\TEMP\Symbol.gif">
          <a:extLst>
            <a:ext uri="{FF2B5EF4-FFF2-40B4-BE49-F238E27FC236}">
              <a16:creationId xmlns:a16="http://schemas.microsoft.com/office/drawing/2014/main" id="{00000000-0008-0000-0200-000031F1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130</xdr:row>
      <xdr:rowOff>161925</xdr:rowOff>
    </xdr:from>
    <xdr:to>
      <xdr:col>1</xdr:col>
      <xdr:colOff>28575</xdr:colOff>
      <xdr:row>131</xdr:row>
      <xdr:rowOff>200025</xdr:rowOff>
    </xdr:to>
    <xdr:pic>
      <xdr:nvPicPr>
        <xdr:cNvPr id="61746" name="Picture 2" descr="C:\WINDOWS\TEMP\Symbol.gif">
          <a:extLst>
            <a:ext uri="{FF2B5EF4-FFF2-40B4-BE49-F238E27FC236}">
              <a16:creationId xmlns:a16="http://schemas.microsoft.com/office/drawing/2014/main" id="{00000000-0008-0000-0200-000032F1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67176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189</xdr:row>
      <xdr:rowOff>171450</xdr:rowOff>
    </xdr:from>
    <xdr:to>
      <xdr:col>1</xdr:col>
      <xdr:colOff>47625</xdr:colOff>
      <xdr:row>190</xdr:row>
      <xdr:rowOff>209550</xdr:rowOff>
    </xdr:to>
    <xdr:pic>
      <xdr:nvPicPr>
        <xdr:cNvPr id="61747" name="Picture 3" descr="C:\WINDOWS\TEMP\Symbol.gif">
          <a:extLst>
            <a:ext uri="{FF2B5EF4-FFF2-40B4-BE49-F238E27FC236}">
              <a16:creationId xmlns:a16="http://schemas.microsoft.com/office/drawing/2014/main" id="{00000000-0008-0000-0200-000033F1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8604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273</xdr:row>
      <xdr:rowOff>161925</xdr:rowOff>
    </xdr:from>
    <xdr:to>
      <xdr:col>1</xdr:col>
      <xdr:colOff>19050</xdr:colOff>
      <xdr:row>274</xdr:row>
      <xdr:rowOff>200025</xdr:rowOff>
    </xdr:to>
    <xdr:pic>
      <xdr:nvPicPr>
        <xdr:cNvPr id="61748" name="Picture 4" descr="C:\WINDOWS\TEMP\Symbol.gif">
          <a:extLst>
            <a:ext uri="{FF2B5EF4-FFF2-40B4-BE49-F238E27FC236}">
              <a16:creationId xmlns:a16="http://schemas.microsoft.com/office/drawing/2014/main" id="{00000000-0008-0000-0200-000034F1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54831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273</xdr:row>
      <xdr:rowOff>123825</xdr:rowOff>
    </xdr:from>
    <xdr:to>
      <xdr:col>20</xdr:col>
      <xdr:colOff>1895475</xdr:colOff>
      <xdr:row>274</xdr:row>
      <xdr:rowOff>152400</xdr:rowOff>
    </xdr:to>
    <xdr:pic>
      <xdr:nvPicPr>
        <xdr:cNvPr id="61749" name="Picture 5" descr="C:\WINDOWS\TEMP\~0003946.gif">
          <a:extLst>
            <a:ext uri="{FF2B5EF4-FFF2-40B4-BE49-F238E27FC236}">
              <a16:creationId xmlns:a16="http://schemas.microsoft.com/office/drawing/2014/main" id="{00000000-0008-0000-0200-000035F1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554450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189</xdr:row>
      <xdr:rowOff>152400</xdr:rowOff>
    </xdr:from>
    <xdr:to>
      <xdr:col>20</xdr:col>
      <xdr:colOff>1924050</xdr:colOff>
      <xdr:row>190</xdr:row>
      <xdr:rowOff>180975</xdr:rowOff>
    </xdr:to>
    <xdr:pic>
      <xdr:nvPicPr>
        <xdr:cNvPr id="61750" name="Picture 6" descr="C:\WINDOWS\TEMP\~0003946.gif">
          <a:extLst>
            <a:ext uri="{FF2B5EF4-FFF2-40B4-BE49-F238E27FC236}">
              <a16:creationId xmlns:a16="http://schemas.microsoft.com/office/drawing/2014/main" id="{00000000-0008-0000-0200-000036F1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38585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130</xdr:row>
      <xdr:rowOff>161925</xdr:rowOff>
    </xdr:from>
    <xdr:to>
      <xdr:col>20</xdr:col>
      <xdr:colOff>1952625</xdr:colOff>
      <xdr:row>131</xdr:row>
      <xdr:rowOff>190500</xdr:rowOff>
    </xdr:to>
    <xdr:pic>
      <xdr:nvPicPr>
        <xdr:cNvPr id="61751" name="Picture 7" descr="C:\WINDOWS\TEMP\~0003946.gif">
          <a:extLst>
            <a:ext uri="{FF2B5EF4-FFF2-40B4-BE49-F238E27FC236}">
              <a16:creationId xmlns:a16="http://schemas.microsoft.com/office/drawing/2014/main" id="{00000000-0008-0000-0200-000037F1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26717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61752" name="Picture 8" descr="C:\WINDOWS\TEMP\~0003946.gif">
          <a:extLst>
            <a:ext uri="{FF2B5EF4-FFF2-40B4-BE49-F238E27FC236}">
              <a16:creationId xmlns:a16="http://schemas.microsoft.com/office/drawing/2014/main" id="{00000000-0008-0000-0200-000038F1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62</xdr:row>
      <xdr:rowOff>123825</xdr:rowOff>
    </xdr:from>
    <xdr:to>
      <xdr:col>20</xdr:col>
      <xdr:colOff>885825</xdr:colOff>
      <xdr:row>63</xdr:row>
      <xdr:rowOff>152400</xdr:rowOff>
    </xdr:to>
    <xdr:pic>
      <xdr:nvPicPr>
        <xdr:cNvPr id="61753" name="Picture 9" descr="C:\WINDOWS\TEMP\~0003946.gif">
          <a:extLst>
            <a:ext uri="{FF2B5EF4-FFF2-40B4-BE49-F238E27FC236}">
              <a16:creationId xmlns:a16="http://schemas.microsoft.com/office/drawing/2014/main" id="{00000000-0008-0000-0200-000039F1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130</xdr:row>
      <xdr:rowOff>123825</xdr:rowOff>
    </xdr:from>
    <xdr:to>
      <xdr:col>20</xdr:col>
      <xdr:colOff>895350</xdr:colOff>
      <xdr:row>131</xdr:row>
      <xdr:rowOff>152400</xdr:rowOff>
    </xdr:to>
    <xdr:pic>
      <xdr:nvPicPr>
        <xdr:cNvPr id="61754" name="Picture 10" descr="C:\WINDOWS\TEMP\~0003946.gif">
          <a:extLst>
            <a:ext uri="{FF2B5EF4-FFF2-40B4-BE49-F238E27FC236}">
              <a16:creationId xmlns:a16="http://schemas.microsoft.com/office/drawing/2014/main" id="{00000000-0008-0000-0200-00003AF1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26679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189</xdr:row>
      <xdr:rowOff>104775</xdr:rowOff>
    </xdr:from>
    <xdr:to>
      <xdr:col>20</xdr:col>
      <xdr:colOff>809625</xdr:colOff>
      <xdr:row>190</xdr:row>
      <xdr:rowOff>133350</xdr:rowOff>
    </xdr:to>
    <xdr:pic>
      <xdr:nvPicPr>
        <xdr:cNvPr id="61755" name="Picture 11" descr="C:\WINDOWS\TEMP\~0003946.gif">
          <a:extLst>
            <a:ext uri="{FF2B5EF4-FFF2-40B4-BE49-F238E27FC236}">
              <a16:creationId xmlns:a16="http://schemas.microsoft.com/office/drawing/2014/main" id="{00000000-0008-0000-0200-00003BF1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583775" y="38538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273</xdr:row>
      <xdr:rowOff>104775</xdr:rowOff>
    </xdr:from>
    <xdr:to>
      <xdr:col>20</xdr:col>
      <xdr:colOff>895350</xdr:colOff>
      <xdr:row>274</xdr:row>
      <xdr:rowOff>133350</xdr:rowOff>
    </xdr:to>
    <xdr:pic>
      <xdr:nvPicPr>
        <xdr:cNvPr id="61756" name="Picture 12" descr="C:\WINDOWS\TEMP\~0003946.gif">
          <a:extLst>
            <a:ext uri="{FF2B5EF4-FFF2-40B4-BE49-F238E27FC236}">
              <a16:creationId xmlns:a16="http://schemas.microsoft.com/office/drawing/2014/main" id="{00000000-0008-0000-0200-00003CF1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554259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61757" name="Picture 13" descr="logoMTL">
          <a:extLst>
            <a:ext uri="{FF2B5EF4-FFF2-40B4-BE49-F238E27FC236}">
              <a16:creationId xmlns:a16="http://schemas.microsoft.com/office/drawing/2014/main" id="{00000000-0008-0000-0200-00003DF1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130</xdr:row>
      <xdr:rowOff>38100</xdr:rowOff>
    </xdr:from>
    <xdr:to>
      <xdr:col>19</xdr:col>
      <xdr:colOff>1171575</xdr:colOff>
      <xdr:row>131</xdr:row>
      <xdr:rowOff>161925</xdr:rowOff>
    </xdr:to>
    <xdr:pic>
      <xdr:nvPicPr>
        <xdr:cNvPr id="61758" name="Picture 14" descr="logoMTL">
          <a:extLst>
            <a:ext uri="{FF2B5EF4-FFF2-40B4-BE49-F238E27FC236}">
              <a16:creationId xmlns:a16="http://schemas.microsoft.com/office/drawing/2014/main" id="{00000000-0008-0000-0200-00003EF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26593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189</xdr:row>
      <xdr:rowOff>28575</xdr:rowOff>
    </xdr:from>
    <xdr:to>
      <xdr:col>19</xdr:col>
      <xdr:colOff>1171575</xdr:colOff>
      <xdr:row>190</xdr:row>
      <xdr:rowOff>152400</xdr:rowOff>
    </xdr:to>
    <xdr:pic>
      <xdr:nvPicPr>
        <xdr:cNvPr id="61759" name="Picture 15" descr="logoMTL">
          <a:extLst>
            <a:ext uri="{FF2B5EF4-FFF2-40B4-BE49-F238E27FC236}">
              <a16:creationId xmlns:a16="http://schemas.microsoft.com/office/drawing/2014/main" id="{00000000-0008-0000-0200-00003FF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384619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273</xdr:row>
      <xdr:rowOff>0</xdr:rowOff>
    </xdr:from>
    <xdr:to>
      <xdr:col>19</xdr:col>
      <xdr:colOff>1228725</xdr:colOff>
      <xdr:row>274</xdr:row>
      <xdr:rowOff>123825</xdr:rowOff>
    </xdr:to>
    <xdr:pic>
      <xdr:nvPicPr>
        <xdr:cNvPr id="61760" name="Picture 16" descr="logoMTL">
          <a:extLst>
            <a:ext uri="{FF2B5EF4-FFF2-40B4-BE49-F238E27FC236}">
              <a16:creationId xmlns:a16="http://schemas.microsoft.com/office/drawing/2014/main" id="{00000000-0008-0000-0200-000040F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36050" y="553212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58769" name="Picture 1" descr="C:\WINDOWS\TEMP\Symbol.gif">
          <a:extLst>
            <a:ext uri="{FF2B5EF4-FFF2-40B4-BE49-F238E27FC236}">
              <a16:creationId xmlns:a16="http://schemas.microsoft.com/office/drawing/2014/main" id="{00000000-0008-0000-1D00-000091E5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131</xdr:row>
      <xdr:rowOff>161925</xdr:rowOff>
    </xdr:from>
    <xdr:to>
      <xdr:col>1</xdr:col>
      <xdr:colOff>28575</xdr:colOff>
      <xdr:row>132</xdr:row>
      <xdr:rowOff>200025</xdr:rowOff>
    </xdr:to>
    <xdr:pic>
      <xdr:nvPicPr>
        <xdr:cNvPr id="58770" name="Picture 2" descr="C:\WINDOWS\TEMP\Symbol.gif">
          <a:extLst>
            <a:ext uri="{FF2B5EF4-FFF2-40B4-BE49-F238E27FC236}">
              <a16:creationId xmlns:a16="http://schemas.microsoft.com/office/drawing/2014/main" id="{00000000-0008-0000-1D00-000092E5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69176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191</xdr:row>
      <xdr:rowOff>171450</xdr:rowOff>
    </xdr:from>
    <xdr:to>
      <xdr:col>1</xdr:col>
      <xdr:colOff>47625</xdr:colOff>
      <xdr:row>192</xdr:row>
      <xdr:rowOff>209550</xdr:rowOff>
    </xdr:to>
    <xdr:pic>
      <xdr:nvPicPr>
        <xdr:cNvPr id="58771" name="Picture 3" descr="C:\WINDOWS\TEMP\Symbol.gif">
          <a:extLst>
            <a:ext uri="{FF2B5EF4-FFF2-40B4-BE49-F238E27FC236}">
              <a16:creationId xmlns:a16="http://schemas.microsoft.com/office/drawing/2014/main" id="{00000000-0008-0000-1D00-000093E5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0048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286</xdr:row>
      <xdr:rowOff>161925</xdr:rowOff>
    </xdr:from>
    <xdr:to>
      <xdr:col>1</xdr:col>
      <xdr:colOff>19050</xdr:colOff>
      <xdr:row>287</xdr:row>
      <xdr:rowOff>200025</xdr:rowOff>
    </xdr:to>
    <xdr:pic>
      <xdr:nvPicPr>
        <xdr:cNvPr id="58772" name="Picture 4" descr="C:\WINDOWS\TEMP\Symbol.gif">
          <a:extLst>
            <a:ext uri="{FF2B5EF4-FFF2-40B4-BE49-F238E27FC236}">
              <a16:creationId xmlns:a16="http://schemas.microsoft.com/office/drawing/2014/main" id="{00000000-0008-0000-1D00-000094E5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0834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286</xdr:row>
      <xdr:rowOff>123825</xdr:rowOff>
    </xdr:from>
    <xdr:to>
      <xdr:col>20</xdr:col>
      <xdr:colOff>1895475</xdr:colOff>
      <xdr:row>287</xdr:row>
      <xdr:rowOff>152400</xdr:rowOff>
    </xdr:to>
    <xdr:pic>
      <xdr:nvPicPr>
        <xdr:cNvPr id="58773" name="Picture 5" descr="C:\WINDOWS\TEMP\~0003946.gif">
          <a:extLst>
            <a:ext uri="{FF2B5EF4-FFF2-40B4-BE49-F238E27FC236}">
              <a16:creationId xmlns:a16="http://schemas.microsoft.com/office/drawing/2014/main" id="{00000000-0008-0000-1D00-000095E5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580453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191</xdr:row>
      <xdr:rowOff>152400</xdr:rowOff>
    </xdr:from>
    <xdr:to>
      <xdr:col>20</xdr:col>
      <xdr:colOff>1924050</xdr:colOff>
      <xdr:row>192</xdr:row>
      <xdr:rowOff>180975</xdr:rowOff>
    </xdr:to>
    <xdr:pic>
      <xdr:nvPicPr>
        <xdr:cNvPr id="58774" name="Picture 6" descr="C:\WINDOWS\TEMP\~0003946.gif">
          <a:extLst>
            <a:ext uri="{FF2B5EF4-FFF2-40B4-BE49-F238E27FC236}">
              <a16:creationId xmlns:a16="http://schemas.microsoft.com/office/drawing/2014/main" id="{00000000-0008-0000-1D00-000096E5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389858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131</xdr:row>
      <xdr:rowOff>161925</xdr:rowOff>
    </xdr:from>
    <xdr:to>
      <xdr:col>20</xdr:col>
      <xdr:colOff>1952625</xdr:colOff>
      <xdr:row>132</xdr:row>
      <xdr:rowOff>190500</xdr:rowOff>
    </xdr:to>
    <xdr:pic>
      <xdr:nvPicPr>
        <xdr:cNvPr id="58775" name="Picture 7" descr="C:\WINDOWS\TEMP\~0003946.gif">
          <a:extLst>
            <a:ext uri="{FF2B5EF4-FFF2-40B4-BE49-F238E27FC236}">
              <a16:creationId xmlns:a16="http://schemas.microsoft.com/office/drawing/2014/main" id="{00000000-0008-0000-1D00-000097E5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26917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58776" name="Picture 8" descr="C:\WINDOWS\TEMP\~0003946.gif">
          <a:extLst>
            <a:ext uri="{FF2B5EF4-FFF2-40B4-BE49-F238E27FC236}">
              <a16:creationId xmlns:a16="http://schemas.microsoft.com/office/drawing/2014/main" id="{00000000-0008-0000-1D00-000098E5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62</xdr:row>
      <xdr:rowOff>123825</xdr:rowOff>
    </xdr:from>
    <xdr:to>
      <xdr:col>20</xdr:col>
      <xdr:colOff>885825</xdr:colOff>
      <xdr:row>63</xdr:row>
      <xdr:rowOff>152400</xdr:rowOff>
    </xdr:to>
    <xdr:pic>
      <xdr:nvPicPr>
        <xdr:cNvPr id="58777" name="Picture 9" descr="C:\WINDOWS\TEMP\~0003946.gif">
          <a:extLst>
            <a:ext uri="{FF2B5EF4-FFF2-40B4-BE49-F238E27FC236}">
              <a16:creationId xmlns:a16="http://schemas.microsoft.com/office/drawing/2014/main" id="{00000000-0008-0000-1D00-000099E5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131</xdr:row>
      <xdr:rowOff>123825</xdr:rowOff>
    </xdr:from>
    <xdr:to>
      <xdr:col>20</xdr:col>
      <xdr:colOff>895350</xdr:colOff>
      <xdr:row>132</xdr:row>
      <xdr:rowOff>152400</xdr:rowOff>
    </xdr:to>
    <xdr:pic>
      <xdr:nvPicPr>
        <xdr:cNvPr id="58778" name="Picture 10" descr="C:\WINDOWS\TEMP\~0003946.gif">
          <a:extLst>
            <a:ext uri="{FF2B5EF4-FFF2-40B4-BE49-F238E27FC236}">
              <a16:creationId xmlns:a16="http://schemas.microsoft.com/office/drawing/2014/main" id="{00000000-0008-0000-1D00-00009AE5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268795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191</xdr:row>
      <xdr:rowOff>104775</xdr:rowOff>
    </xdr:from>
    <xdr:to>
      <xdr:col>20</xdr:col>
      <xdr:colOff>809625</xdr:colOff>
      <xdr:row>192</xdr:row>
      <xdr:rowOff>133350</xdr:rowOff>
    </xdr:to>
    <xdr:pic>
      <xdr:nvPicPr>
        <xdr:cNvPr id="58779" name="Picture 11" descr="C:\WINDOWS\TEMP\~0003946.gif">
          <a:extLst>
            <a:ext uri="{FF2B5EF4-FFF2-40B4-BE49-F238E27FC236}">
              <a16:creationId xmlns:a16="http://schemas.microsoft.com/office/drawing/2014/main" id="{00000000-0008-0000-1D00-00009BE5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583775" y="389382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286</xdr:row>
      <xdr:rowOff>104775</xdr:rowOff>
    </xdr:from>
    <xdr:to>
      <xdr:col>20</xdr:col>
      <xdr:colOff>895350</xdr:colOff>
      <xdr:row>287</xdr:row>
      <xdr:rowOff>133350</xdr:rowOff>
    </xdr:to>
    <xdr:pic>
      <xdr:nvPicPr>
        <xdr:cNvPr id="58780" name="Picture 12" descr="C:\WINDOWS\TEMP\~0003946.gif">
          <a:extLst>
            <a:ext uri="{FF2B5EF4-FFF2-40B4-BE49-F238E27FC236}">
              <a16:creationId xmlns:a16="http://schemas.microsoft.com/office/drawing/2014/main" id="{00000000-0008-0000-1D00-00009CE5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58026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58781" name="Picture 13" descr="logoMTL">
          <a:extLst>
            <a:ext uri="{FF2B5EF4-FFF2-40B4-BE49-F238E27FC236}">
              <a16:creationId xmlns:a16="http://schemas.microsoft.com/office/drawing/2014/main" id="{00000000-0008-0000-1D00-00009DE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131</xdr:row>
      <xdr:rowOff>38100</xdr:rowOff>
    </xdr:from>
    <xdr:to>
      <xdr:col>19</xdr:col>
      <xdr:colOff>1171575</xdr:colOff>
      <xdr:row>132</xdr:row>
      <xdr:rowOff>161925</xdr:rowOff>
    </xdr:to>
    <xdr:pic>
      <xdr:nvPicPr>
        <xdr:cNvPr id="58782" name="Picture 14" descr="logoMTL">
          <a:extLst>
            <a:ext uri="{FF2B5EF4-FFF2-40B4-BE49-F238E27FC236}">
              <a16:creationId xmlns:a16="http://schemas.microsoft.com/office/drawing/2014/main" id="{00000000-0008-0000-1D00-00009EE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26793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191</xdr:row>
      <xdr:rowOff>28575</xdr:rowOff>
    </xdr:from>
    <xdr:to>
      <xdr:col>19</xdr:col>
      <xdr:colOff>1171575</xdr:colOff>
      <xdr:row>192</xdr:row>
      <xdr:rowOff>152400</xdr:rowOff>
    </xdr:to>
    <xdr:pic>
      <xdr:nvPicPr>
        <xdr:cNvPr id="58783" name="Picture 15" descr="logoMTL">
          <a:extLst>
            <a:ext uri="{FF2B5EF4-FFF2-40B4-BE49-F238E27FC236}">
              <a16:creationId xmlns:a16="http://schemas.microsoft.com/office/drawing/2014/main" id="{00000000-0008-0000-1D00-00009FE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388620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286</xdr:row>
      <xdr:rowOff>0</xdr:rowOff>
    </xdr:from>
    <xdr:to>
      <xdr:col>19</xdr:col>
      <xdr:colOff>1228725</xdr:colOff>
      <xdr:row>287</xdr:row>
      <xdr:rowOff>123825</xdr:rowOff>
    </xdr:to>
    <xdr:pic>
      <xdr:nvPicPr>
        <xdr:cNvPr id="58784" name="Picture 16" descr="logoMTL">
          <a:extLst>
            <a:ext uri="{FF2B5EF4-FFF2-40B4-BE49-F238E27FC236}">
              <a16:creationId xmlns:a16="http://schemas.microsoft.com/office/drawing/2014/main" id="{00000000-0008-0000-1D00-0000A0E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36050" y="579215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82017" name="Picture 1" descr="C:\WINDOWS\TEMP\Symbol.gif">
          <a:extLst>
            <a:ext uri="{FF2B5EF4-FFF2-40B4-BE49-F238E27FC236}">
              <a16:creationId xmlns:a16="http://schemas.microsoft.com/office/drawing/2014/main" id="{00000000-0008-0000-1E00-0000614001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131</xdr:row>
      <xdr:rowOff>161925</xdr:rowOff>
    </xdr:from>
    <xdr:to>
      <xdr:col>1</xdr:col>
      <xdr:colOff>28575</xdr:colOff>
      <xdr:row>132</xdr:row>
      <xdr:rowOff>200025</xdr:rowOff>
    </xdr:to>
    <xdr:pic>
      <xdr:nvPicPr>
        <xdr:cNvPr id="82018" name="Picture 2" descr="C:\WINDOWS\TEMP\Symbol.gif">
          <a:extLst>
            <a:ext uri="{FF2B5EF4-FFF2-40B4-BE49-F238E27FC236}">
              <a16:creationId xmlns:a16="http://schemas.microsoft.com/office/drawing/2014/main" id="{00000000-0008-0000-1E00-0000624001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69176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191</xdr:row>
      <xdr:rowOff>171450</xdr:rowOff>
    </xdr:from>
    <xdr:to>
      <xdr:col>1</xdr:col>
      <xdr:colOff>47625</xdr:colOff>
      <xdr:row>192</xdr:row>
      <xdr:rowOff>209550</xdr:rowOff>
    </xdr:to>
    <xdr:pic>
      <xdr:nvPicPr>
        <xdr:cNvPr id="82019" name="Picture 3" descr="C:\WINDOWS\TEMP\Symbol.gif">
          <a:extLst>
            <a:ext uri="{FF2B5EF4-FFF2-40B4-BE49-F238E27FC236}">
              <a16:creationId xmlns:a16="http://schemas.microsoft.com/office/drawing/2014/main" id="{00000000-0008-0000-1E00-0000634001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0048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286</xdr:row>
      <xdr:rowOff>161925</xdr:rowOff>
    </xdr:from>
    <xdr:to>
      <xdr:col>1</xdr:col>
      <xdr:colOff>19050</xdr:colOff>
      <xdr:row>287</xdr:row>
      <xdr:rowOff>200025</xdr:rowOff>
    </xdr:to>
    <xdr:pic>
      <xdr:nvPicPr>
        <xdr:cNvPr id="82020" name="Picture 4" descr="C:\WINDOWS\TEMP\Symbol.gif">
          <a:extLst>
            <a:ext uri="{FF2B5EF4-FFF2-40B4-BE49-F238E27FC236}">
              <a16:creationId xmlns:a16="http://schemas.microsoft.com/office/drawing/2014/main" id="{00000000-0008-0000-1E00-0000644001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0834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286</xdr:row>
      <xdr:rowOff>123825</xdr:rowOff>
    </xdr:from>
    <xdr:to>
      <xdr:col>20</xdr:col>
      <xdr:colOff>1895475</xdr:colOff>
      <xdr:row>287</xdr:row>
      <xdr:rowOff>152400</xdr:rowOff>
    </xdr:to>
    <xdr:pic>
      <xdr:nvPicPr>
        <xdr:cNvPr id="82021" name="Picture 5" descr="C:\WINDOWS\TEMP\~0003946.gif">
          <a:extLst>
            <a:ext uri="{FF2B5EF4-FFF2-40B4-BE49-F238E27FC236}">
              <a16:creationId xmlns:a16="http://schemas.microsoft.com/office/drawing/2014/main" id="{00000000-0008-0000-1E00-0000654001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580453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191</xdr:row>
      <xdr:rowOff>152400</xdr:rowOff>
    </xdr:from>
    <xdr:to>
      <xdr:col>20</xdr:col>
      <xdr:colOff>1924050</xdr:colOff>
      <xdr:row>192</xdr:row>
      <xdr:rowOff>180975</xdr:rowOff>
    </xdr:to>
    <xdr:pic>
      <xdr:nvPicPr>
        <xdr:cNvPr id="82022" name="Picture 6" descr="C:\WINDOWS\TEMP\~0003946.gif">
          <a:extLst>
            <a:ext uri="{FF2B5EF4-FFF2-40B4-BE49-F238E27FC236}">
              <a16:creationId xmlns:a16="http://schemas.microsoft.com/office/drawing/2014/main" id="{00000000-0008-0000-1E00-0000664001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389858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131</xdr:row>
      <xdr:rowOff>161925</xdr:rowOff>
    </xdr:from>
    <xdr:to>
      <xdr:col>20</xdr:col>
      <xdr:colOff>1952625</xdr:colOff>
      <xdr:row>132</xdr:row>
      <xdr:rowOff>190500</xdr:rowOff>
    </xdr:to>
    <xdr:pic>
      <xdr:nvPicPr>
        <xdr:cNvPr id="82023" name="Picture 7" descr="C:\WINDOWS\TEMP\~0003946.gif">
          <a:extLst>
            <a:ext uri="{FF2B5EF4-FFF2-40B4-BE49-F238E27FC236}">
              <a16:creationId xmlns:a16="http://schemas.microsoft.com/office/drawing/2014/main" id="{00000000-0008-0000-1E00-0000674001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26917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82024" name="Picture 8" descr="C:\WINDOWS\TEMP\~0003946.gif">
          <a:extLst>
            <a:ext uri="{FF2B5EF4-FFF2-40B4-BE49-F238E27FC236}">
              <a16:creationId xmlns:a16="http://schemas.microsoft.com/office/drawing/2014/main" id="{00000000-0008-0000-1E00-0000684001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62</xdr:row>
      <xdr:rowOff>123825</xdr:rowOff>
    </xdr:from>
    <xdr:to>
      <xdr:col>20</xdr:col>
      <xdr:colOff>885825</xdr:colOff>
      <xdr:row>63</xdr:row>
      <xdr:rowOff>152400</xdr:rowOff>
    </xdr:to>
    <xdr:pic>
      <xdr:nvPicPr>
        <xdr:cNvPr id="82025" name="Picture 9" descr="C:\WINDOWS\TEMP\~0003946.gif">
          <a:extLst>
            <a:ext uri="{FF2B5EF4-FFF2-40B4-BE49-F238E27FC236}">
              <a16:creationId xmlns:a16="http://schemas.microsoft.com/office/drawing/2014/main" id="{00000000-0008-0000-1E00-0000694001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131</xdr:row>
      <xdr:rowOff>123825</xdr:rowOff>
    </xdr:from>
    <xdr:to>
      <xdr:col>20</xdr:col>
      <xdr:colOff>895350</xdr:colOff>
      <xdr:row>132</xdr:row>
      <xdr:rowOff>152400</xdr:rowOff>
    </xdr:to>
    <xdr:pic>
      <xdr:nvPicPr>
        <xdr:cNvPr id="82026" name="Picture 10" descr="C:\WINDOWS\TEMP\~0003946.gif">
          <a:extLst>
            <a:ext uri="{FF2B5EF4-FFF2-40B4-BE49-F238E27FC236}">
              <a16:creationId xmlns:a16="http://schemas.microsoft.com/office/drawing/2014/main" id="{00000000-0008-0000-1E00-00006A4001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268795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191</xdr:row>
      <xdr:rowOff>104775</xdr:rowOff>
    </xdr:from>
    <xdr:to>
      <xdr:col>20</xdr:col>
      <xdr:colOff>809625</xdr:colOff>
      <xdr:row>192</xdr:row>
      <xdr:rowOff>133350</xdr:rowOff>
    </xdr:to>
    <xdr:pic>
      <xdr:nvPicPr>
        <xdr:cNvPr id="82027" name="Picture 11" descr="C:\WINDOWS\TEMP\~0003946.gif">
          <a:extLst>
            <a:ext uri="{FF2B5EF4-FFF2-40B4-BE49-F238E27FC236}">
              <a16:creationId xmlns:a16="http://schemas.microsoft.com/office/drawing/2014/main" id="{00000000-0008-0000-1E00-00006B4001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583775" y="389382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286</xdr:row>
      <xdr:rowOff>104775</xdr:rowOff>
    </xdr:from>
    <xdr:to>
      <xdr:col>20</xdr:col>
      <xdr:colOff>895350</xdr:colOff>
      <xdr:row>287</xdr:row>
      <xdr:rowOff>133350</xdr:rowOff>
    </xdr:to>
    <xdr:pic>
      <xdr:nvPicPr>
        <xdr:cNvPr id="82028" name="Picture 12" descr="C:\WINDOWS\TEMP\~0003946.gif">
          <a:extLst>
            <a:ext uri="{FF2B5EF4-FFF2-40B4-BE49-F238E27FC236}">
              <a16:creationId xmlns:a16="http://schemas.microsoft.com/office/drawing/2014/main" id="{00000000-0008-0000-1E00-00006C4001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58026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82029" name="Picture 13" descr="logoMTL">
          <a:extLst>
            <a:ext uri="{FF2B5EF4-FFF2-40B4-BE49-F238E27FC236}">
              <a16:creationId xmlns:a16="http://schemas.microsoft.com/office/drawing/2014/main" id="{00000000-0008-0000-1E00-00006D4001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131</xdr:row>
      <xdr:rowOff>38100</xdr:rowOff>
    </xdr:from>
    <xdr:to>
      <xdr:col>19</xdr:col>
      <xdr:colOff>1171575</xdr:colOff>
      <xdr:row>132</xdr:row>
      <xdr:rowOff>161925</xdr:rowOff>
    </xdr:to>
    <xdr:pic>
      <xdr:nvPicPr>
        <xdr:cNvPr id="82030" name="Picture 14" descr="logoMTL">
          <a:extLst>
            <a:ext uri="{FF2B5EF4-FFF2-40B4-BE49-F238E27FC236}">
              <a16:creationId xmlns:a16="http://schemas.microsoft.com/office/drawing/2014/main" id="{00000000-0008-0000-1E00-00006E4001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26793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191</xdr:row>
      <xdr:rowOff>28575</xdr:rowOff>
    </xdr:from>
    <xdr:to>
      <xdr:col>19</xdr:col>
      <xdr:colOff>1171575</xdr:colOff>
      <xdr:row>192</xdr:row>
      <xdr:rowOff>152400</xdr:rowOff>
    </xdr:to>
    <xdr:pic>
      <xdr:nvPicPr>
        <xdr:cNvPr id="82031" name="Picture 15" descr="logoMTL">
          <a:extLst>
            <a:ext uri="{FF2B5EF4-FFF2-40B4-BE49-F238E27FC236}">
              <a16:creationId xmlns:a16="http://schemas.microsoft.com/office/drawing/2014/main" id="{00000000-0008-0000-1E00-00006F4001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388620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286</xdr:row>
      <xdr:rowOff>0</xdr:rowOff>
    </xdr:from>
    <xdr:to>
      <xdr:col>19</xdr:col>
      <xdr:colOff>1228725</xdr:colOff>
      <xdr:row>287</xdr:row>
      <xdr:rowOff>123825</xdr:rowOff>
    </xdr:to>
    <xdr:pic>
      <xdr:nvPicPr>
        <xdr:cNvPr id="82032" name="Picture 16" descr="logoMTL">
          <a:extLst>
            <a:ext uri="{FF2B5EF4-FFF2-40B4-BE49-F238E27FC236}">
              <a16:creationId xmlns:a16="http://schemas.microsoft.com/office/drawing/2014/main" id="{00000000-0008-0000-1E00-0000704001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36050" y="579215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131</xdr:row>
      <xdr:rowOff>161925</xdr:rowOff>
    </xdr:from>
    <xdr:to>
      <xdr:col>1</xdr:col>
      <xdr:colOff>28575</xdr:colOff>
      <xdr:row>132</xdr:row>
      <xdr:rowOff>200025</xdr:rowOff>
    </xdr:to>
    <xdr:pic>
      <xdr:nvPicPr>
        <xdr:cNvPr id="3" name="Picture 2" descr="C:\WINDOWS\TEMP\Symbol.gif">
          <a:extLst>
            <a:ext uri="{FF2B5EF4-FFF2-40B4-BE49-F238E27FC236}">
              <a16:creationId xmlns:a16="http://schemas.microsoft.com/office/drawing/2014/main" id="{00000000-0008-0000-1F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69176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191</xdr:row>
      <xdr:rowOff>171450</xdr:rowOff>
    </xdr:from>
    <xdr:to>
      <xdr:col>1</xdr:col>
      <xdr:colOff>47625</xdr:colOff>
      <xdr:row>192</xdr:row>
      <xdr:rowOff>209550</xdr:rowOff>
    </xdr:to>
    <xdr:pic>
      <xdr:nvPicPr>
        <xdr:cNvPr id="4" name="Picture 3" descr="C:\WINDOWS\TEMP\Symbol.gif">
          <a:extLst>
            <a:ext uri="{FF2B5EF4-FFF2-40B4-BE49-F238E27FC236}">
              <a16:creationId xmlns:a16="http://schemas.microsoft.com/office/drawing/2014/main" id="{00000000-0008-0000-1F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0048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286</xdr:row>
      <xdr:rowOff>161925</xdr:rowOff>
    </xdr:from>
    <xdr:to>
      <xdr:col>1</xdr:col>
      <xdr:colOff>19050</xdr:colOff>
      <xdr:row>287</xdr:row>
      <xdr:rowOff>200025</xdr:rowOff>
    </xdr:to>
    <xdr:pic>
      <xdr:nvPicPr>
        <xdr:cNvPr id="5" name="Picture 4" descr="C:\WINDOWS\TEMP\Symbol.gif">
          <a:extLst>
            <a:ext uri="{FF2B5EF4-FFF2-40B4-BE49-F238E27FC236}">
              <a16:creationId xmlns:a16="http://schemas.microsoft.com/office/drawing/2014/main" id="{00000000-0008-0000-1F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0834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286</xdr:row>
      <xdr:rowOff>123825</xdr:rowOff>
    </xdr:from>
    <xdr:to>
      <xdr:col>20</xdr:col>
      <xdr:colOff>1895475</xdr:colOff>
      <xdr:row>287</xdr:row>
      <xdr:rowOff>152400</xdr:rowOff>
    </xdr:to>
    <xdr:pic>
      <xdr:nvPicPr>
        <xdr:cNvPr id="6" name="Picture 5" descr="C:\WINDOWS\TEMP\~0003946.gif">
          <a:extLst>
            <a:ext uri="{FF2B5EF4-FFF2-40B4-BE49-F238E27FC236}">
              <a16:creationId xmlns:a16="http://schemas.microsoft.com/office/drawing/2014/main" id="{00000000-0008-0000-1F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580453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191</xdr:row>
      <xdr:rowOff>152400</xdr:rowOff>
    </xdr:from>
    <xdr:to>
      <xdr:col>20</xdr:col>
      <xdr:colOff>1924050</xdr:colOff>
      <xdr:row>192</xdr:row>
      <xdr:rowOff>180975</xdr:rowOff>
    </xdr:to>
    <xdr:pic>
      <xdr:nvPicPr>
        <xdr:cNvPr id="7" name="Picture 6" descr="C:\WINDOWS\TEMP\~0003946.gif">
          <a:extLst>
            <a:ext uri="{FF2B5EF4-FFF2-40B4-BE49-F238E27FC236}">
              <a16:creationId xmlns:a16="http://schemas.microsoft.com/office/drawing/2014/main" id="{00000000-0008-0000-1F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389858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131</xdr:row>
      <xdr:rowOff>161925</xdr:rowOff>
    </xdr:from>
    <xdr:to>
      <xdr:col>20</xdr:col>
      <xdr:colOff>1952625</xdr:colOff>
      <xdr:row>132</xdr:row>
      <xdr:rowOff>190500</xdr:rowOff>
    </xdr:to>
    <xdr:pic>
      <xdr:nvPicPr>
        <xdr:cNvPr id="8" name="Picture 7" descr="C:\WINDOWS\TEMP\~0003946.gif">
          <a:extLst>
            <a:ext uri="{FF2B5EF4-FFF2-40B4-BE49-F238E27FC236}">
              <a16:creationId xmlns:a16="http://schemas.microsoft.com/office/drawing/2014/main" id="{00000000-0008-0000-1F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26917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1F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62</xdr:row>
      <xdr:rowOff>123825</xdr:rowOff>
    </xdr:from>
    <xdr:to>
      <xdr:col>20</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1F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131</xdr:row>
      <xdr:rowOff>123825</xdr:rowOff>
    </xdr:from>
    <xdr:to>
      <xdr:col>20</xdr:col>
      <xdr:colOff>895350</xdr:colOff>
      <xdr:row>132</xdr:row>
      <xdr:rowOff>152400</xdr:rowOff>
    </xdr:to>
    <xdr:pic>
      <xdr:nvPicPr>
        <xdr:cNvPr id="11" name="Picture 10" descr="C:\WINDOWS\TEMP\~0003946.gif">
          <a:extLst>
            <a:ext uri="{FF2B5EF4-FFF2-40B4-BE49-F238E27FC236}">
              <a16:creationId xmlns:a16="http://schemas.microsoft.com/office/drawing/2014/main" id="{00000000-0008-0000-1F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268795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191</xdr:row>
      <xdr:rowOff>104775</xdr:rowOff>
    </xdr:from>
    <xdr:to>
      <xdr:col>20</xdr:col>
      <xdr:colOff>809625</xdr:colOff>
      <xdr:row>192</xdr:row>
      <xdr:rowOff>133350</xdr:rowOff>
    </xdr:to>
    <xdr:pic>
      <xdr:nvPicPr>
        <xdr:cNvPr id="12" name="Picture 11" descr="C:\WINDOWS\TEMP\~0003946.gif">
          <a:extLst>
            <a:ext uri="{FF2B5EF4-FFF2-40B4-BE49-F238E27FC236}">
              <a16:creationId xmlns:a16="http://schemas.microsoft.com/office/drawing/2014/main" id="{00000000-0008-0000-1F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583775" y="389382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286</xdr:row>
      <xdr:rowOff>104775</xdr:rowOff>
    </xdr:from>
    <xdr:to>
      <xdr:col>20</xdr:col>
      <xdr:colOff>895350</xdr:colOff>
      <xdr:row>287</xdr:row>
      <xdr:rowOff>133350</xdr:rowOff>
    </xdr:to>
    <xdr:pic>
      <xdr:nvPicPr>
        <xdr:cNvPr id="13" name="Picture 12" descr="C:\WINDOWS\TEMP\~0003946.gif">
          <a:extLst>
            <a:ext uri="{FF2B5EF4-FFF2-40B4-BE49-F238E27FC236}">
              <a16:creationId xmlns:a16="http://schemas.microsoft.com/office/drawing/2014/main" id="{00000000-0008-0000-1F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58026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14" name="Picture 13" descr="logoMTL">
          <a:extLst>
            <a:ext uri="{FF2B5EF4-FFF2-40B4-BE49-F238E27FC236}">
              <a16:creationId xmlns:a16="http://schemas.microsoft.com/office/drawing/2014/main" id="{00000000-0008-0000-1F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131</xdr:row>
      <xdr:rowOff>38100</xdr:rowOff>
    </xdr:from>
    <xdr:to>
      <xdr:col>19</xdr:col>
      <xdr:colOff>1171575</xdr:colOff>
      <xdr:row>132</xdr:row>
      <xdr:rowOff>161925</xdr:rowOff>
    </xdr:to>
    <xdr:pic>
      <xdr:nvPicPr>
        <xdr:cNvPr id="15" name="Picture 14" descr="logoMTL">
          <a:extLst>
            <a:ext uri="{FF2B5EF4-FFF2-40B4-BE49-F238E27FC236}">
              <a16:creationId xmlns:a16="http://schemas.microsoft.com/office/drawing/2014/main" id="{00000000-0008-0000-1F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26793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191</xdr:row>
      <xdr:rowOff>28575</xdr:rowOff>
    </xdr:from>
    <xdr:to>
      <xdr:col>19</xdr:col>
      <xdr:colOff>1171575</xdr:colOff>
      <xdr:row>192</xdr:row>
      <xdr:rowOff>152400</xdr:rowOff>
    </xdr:to>
    <xdr:pic>
      <xdr:nvPicPr>
        <xdr:cNvPr id="16" name="Picture 15" descr="logoMTL">
          <a:extLst>
            <a:ext uri="{FF2B5EF4-FFF2-40B4-BE49-F238E27FC236}">
              <a16:creationId xmlns:a16="http://schemas.microsoft.com/office/drawing/2014/main" id="{00000000-0008-0000-1F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388620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286</xdr:row>
      <xdr:rowOff>0</xdr:rowOff>
    </xdr:from>
    <xdr:to>
      <xdr:col>19</xdr:col>
      <xdr:colOff>1228725</xdr:colOff>
      <xdr:row>287</xdr:row>
      <xdr:rowOff>123825</xdr:rowOff>
    </xdr:to>
    <xdr:pic>
      <xdr:nvPicPr>
        <xdr:cNvPr id="17" name="Picture 16" descr="logoMTL">
          <a:extLst>
            <a:ext uri="{FF2B5EF4-FFF2-40B4-BE49-F238E27FC236}">
              <a16:creationId xmlns:a16="http://schemas.microsoft.com/office/drawing/2014/main" id="{00000000-0008-0000-1F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36050" y="579215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2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131</xdr:row>
      <xdr:rowOff>161925</xdr:rowOff>
    </xdr:from>
    <xdr:to>
      <xdr:col>1</xdr:col>
      <xdr:colOff>28575</xdr:colOff>
      <xdr:row>132</xdr:row>
      <xdr:rowOff>200025</xdr:rowOff>
    </xdr:to>
    <xdr:pic>
      <xdr:nvPicPr>
        <xdr:cNvPr id="3" name="Picture 2" descr="C:\WINDOWS\TEMP\Symbol.gif">
          <a:extLst>
            <a:ext uri="{FF2B5EF4-FFF2-40B4-BE49-F238E27FC236}">
              <a16:creationId xmlns:a16="http://schemas.microsoft.com/office/drawing/2014/main" id="{00000000-0008-0000-20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69176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191</xdr:row>
      <xdr:rowOff>171450</xdr:rowOff>
    </xdr:from>
    <xdr:to>
      <xdr:col>1</xdr:col>
      <xdr:colOff>47625</xdr:colOff>
      <xdr:row>192</xdr:row>
      <xdr:rowOff>209550</xdr:rowOff>
    </xdr:to>
    <xdr:pic>
      <xdr:nvPicPr>
        <xdr:cNvPr id="4" name="Picture 3" descr="C:\WINDOWS\TEMP\Symbol.gif">
          <a:extLst>
            <a:ext uri="{FF2B5EF4-FFF2-40B4-BE49-F238E27FC236}">
              <a16:creationId xmlns:a16="http://schemas.microsoft.com/office/drawing/2014/main" id="{00000000-0008-0000-20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0048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286</xdr:row>
      <xdr:rowOff>161925</xdr:rowOff>
    </xdr:from>
    <xdr:to>
      <xdr:col>1</xdr:col>
      <xdr:colOff>19050</xdr:colOff>
      <xdr:row>287</xdr:row>
      <xdr:rowOff>200025</xdr:rowOff>
    </xdr:to>
    <xdr:pic>
      <xdr:nvPicPr>
        <xdr:cNvPr id="5" name="Picture 4" descr="C:\WINDOWS\TEMP\Symbol.gif">
          <a:extLst>
            <a:ext uri="{FF2B5EF4-FFF2-40B4-BE49-F238E27FC236}">
              <a16:creationId xmlns:a16="http://schemas.microsoft.com/office/drawing/2014/main" id="{00000000-0008-0000-20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0834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286</xdr:row>
      <xdr:rowOff>123825</xdr:rowOff>
    </xdr:from>
    <xdr:to>
      <xdr:col>20</xdr:col>
      <xdr:colOff>1895475</xdr:colOff>
      <xdr:row>287</xdr:row>
      <xdr:rowOff>152400</xdr:rowOff>
    </xdr:to>
    <xdr:pic>
      <xdr:nvPicPr>
        <xdr:cNvPr id="6" name="Picture 5" descr="C:\WINDOWS\TEMP\~0003946.gif">
          <a:extLst>
            <a:ext uri="{FF2B5EF4-FFF2-40B4-BE49-F238E27FC236}">
              <a16:creationId xmlns:a16="http://schemas.microsoft.com/office/drawing/2014/main" id="{00000000-0008-0000-20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580453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191</xdr:row>
      <xdr:rowOff>152400</xdr:rowOff>
    </xdr:from>
    <xdr:to>
      <xdr:col>20</xdr:col>
      <xdr:colOff>1924050</xdr:colOff>
      <xdr:row>192</xdr:row>
      <xdr:rowOff>180975</xdr:rowOff>
    </xdr:to>
    <xdr:pic>
      <xdr:nvPicPr>
        <xdr:cNvPr id="7" name="Picture 6" descr="C:\WINDOWS\TEMP\~0003946.gif">
          <a:extLst>
            <a:ext uri="{FF2B5EF4-FFF2-40B4-BE49-F238E27FC236}">
              <a16:creationId xmlns:a16="http://schemas.microsoft.com/office/drawing/2014/main" id="{00000000-0008-0000-20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389858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131</xdr:row>
      <xdr:rowOff>161925</xdr:rowOff>
    </xdr:from>
    <xdr:to>
      <xdr:col>20</xdr:col>
      <xdr:colOff>1952625</xdr:colOff>
      <xdr:row>132</xdr:row>
      <xdr:rowOff>190500</xdr:rowOff>
    </xdr:to>
    <xdr:pic>
      <xdr:nvPicPr>
        <xdr:cNvPr id="8" name="Picture 7" descr="C:\WINDOWS\TEMP\~0003946.gif">
          <a:extLst>
            <a:ext uri="{FF2B5EF4-FFF2-40B4-BE49-F238E27FC236}">
              <a16:creationId xmlns:a16="http://schemas.microsoft.com/office/drawing/2014/main" id="{00000000-0008-0000-20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26917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20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62</xdr:row>
      <xdr:rowOff>123825</xdr:rowOff>
    </xdr:from>
    <xdr:to>
      <xdr:col>20</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20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131</xdr:row>
      <xdr:rowOff>123825</xdr:rowOff>
    </xdr:from>
    <xdr:to>
      <xdr:col>20</xdr:col>
      <xdr:colOff>895350</xdr:colOff>
      <xdr:row>132</xdr:row>
      <xdr:rowOff>152400</xdr:rowOff>
    </xdr:to>
    <xdr:pic>
      <xdr:nvPicPr>
        <xdr:cNvPr id="11" name="Picture 10" descr="C:\WINDOWS\TEMP\~0003946.gif">
          <a:extLst>
            <a:ext uri="{FF2B5EF4-FFF2-40B4-BE49-F238E27FC236}">
              <a16:creationId xmlns:a16="http://schemas.microsoft.com/office/drawing/2014/main" id="{00000000-0008-0000-20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268795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191</xdr:row>
      <xdr:rowOff>104775</xdr:rowOff>
    </xdr:from>
    <xdr:to>
      <xdr:col>20</xdr:col>
      <xdr:colOff>809625</xdr:colOff>
      <xdr:row>192</xdr:row>
      <xdr:rowOff>133350</xdr:rowOff>
    </xdr:to>
    <xdr:pic>
      <xdr:nvPicPr>
        <xdr:cNvPr id="12" name="Picture 11" descr="C:\WINDOWS\TEMP\~0003946.gif">
          <a:extLst>
            <a:ext uri="{FF2B5EF4-FFF2-40B4-BE49-F238E27FC236}">
              <a16:creationId xmlns:a16="http://schemas.microsoft.com/office/drawing/2014/main" id="{00000000-0008-0000-20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583775" y="389382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286</xdr:row>
      <xdr:rowOff>104775</xdr:rowOff>
    </xdr:from>
    <xdr:to>
      <xdr:col>20</xdr:col>
      <xdr:colOff>895350</xdr:colOff>
      <xdr:row>287</xdr:row>
      <xdr:rowOff>133350</xdr:rowOff>
    </xdr:to>
    <xdr:pic>
      <xdr:nvPicPr>
        <xdr:cNvPr id="13" name="Picture 12" descr="C:\WINDOWS\TEMP\~0003946.gif">
          <a:extLst>
            <a:ext uri="{FF2B5EF4-FFF2-40B4-BE49-F238E27FC236}">
              <a16:creationId xmlns:a16="http://schemas.microsoft.com/office/drawing/2014/main" id="{00000000-0008-0000-20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58026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14" name="Picture 13" descr="logoMTL">
          <a:extLst>
            <a:ext uri="{FF2B5EF4-FFF2-40B4-BE49-F238E27FC236}">
              <a16:creationId xmlns:a16="http://schemas.microsoft.com/office/drawing/2014/main" id="{00000000-0008-0000-20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131</xdr:row>
      <xdr:rowOff>38100</xdr:rowOff>
    </xdr:from>
    <xdr:to>
      <xdr:col>19</xdr:col>
      <xdr:colOff>1171575</xdr:colOff>
      <xdr:row>132</xdr:row>
      <xdr:rowOff>161925</xdr:rowOff>
    </xdr:to>
    <xdr:pic>
      <xdr:nvPicPr>
        <xdr:cNvPr id="15" name="Picture 14" descr="logoMTL">
          <a:extLst>
            <a:ext uri="{FF2B5EF4-FFF2-40B4-BE49-F238E27FC236}">
              <a16:creationId xmlns:a16="http://schemas.microsoft.com/office/drawing/2014/main" id="{00000000-0008-0000-20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26793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191</xdr:row>
      <xdr:rowOff>28575</xdr:rowOff>
    </xdr:from>
    <xdr:to>
      <xdr:col>19</xdr:col>
      <xdr:colOff>1171575</xdr:colOff>
      <xdr:row>192</xdr:row>
      <xdr:rowOff>152400</xdr:rowOff>
    </xdr:to>
    <xdr:pic>
      <xdr:nvPicPr>
        <xdr:cNvPr id="16" name="Picture 15" descr="logoMTL">
          <a:extLst>
            <a:ext uri="{FF2B5EF4-FFF2-40B4-BE49-F238E27FC236}">
              <a16:creationId xmlns:a16="http://schemas.microsoft.com/office/drawing/2014/main" id="{00000000-0008-0000-20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388620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286</xdr:row>
      <xdr:rowOff>0</xdr:rowOff>
    </xdr:from>
    <xdr:to>
      <xdr:col>19</xdr:col>
      <xdr:colOff>1228725</xdr:colOff>
      <xdr:row>287</xdr:row>
      <xdr:rowOff>123825</xdr:rowOff>
    </xdr:to>
    <xdr:pic>
      <xdr:nvPicPr>
        <xdr:cNvPr id="17" name="Picture 16" descr="logoMTL">
          <a:extLst>
            <a:ext uri="{FF2B5EF4-FFF2-40B4-BE49-F238E27FC236}">
              <a16:creationId xmlns:a16="http://schemas.microsoft.com/office/drawing/2014/main" id="{00000000-0008-0000-20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36050" y="579215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131</xdr:row>
      <xdr:rowOff>161925</xdr:rowOff>
    </xdr:from>
    <xdr:to>
      <xdr:col>1</xdr:col>
      <xdr:colOff>28575</xdr:colOff>
      <xdr:row>132</xdr:row>
      <xdr:rowOff>200025</xdr:rowOff>
    </xdr:to>
    <xdr:pic>
      <xdr:nvPicPr>
        <xdr:cNvPr id="3" name="Picture 2" descr="C:\WINDOWS\TEMP\Symbol.gif">
          <a:extLst>
            <a:ext uri="{FF2B5EF4-FFF2-40B4-BE49-F238E27FC236}">
              <a16:creationId xmlns:a16="http://schemas.microsoft.com/office/drawing/2014/main" id="{00000000-0008-0000-21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69176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191</xdr:row>
      <xdr:rowOff>171450</xdr:rowOff>
    </xdr:from>
    <xdr:to>
      <xdr:col>1</xdr:col>
      <xdr:colOff>47625</xdr:colOff>
      <xdr:row>192</xdr:row>
      <xdr:rowOff>209550</xdr:rowOff>
    </xdr:to>
    <xdr:pic>
      <xdr:nvPicPr>
        <xdr:cNvPr id="4" name="Picture 3" descr="C:\WINDOWS\TEMP\Symbol.gif">
          <a:extLst>
            <a:ext uri="{FF2B5EF4-FFF2-40B4-BE49-F238E27FC236}">
              <a16:creationId xmlns:a16="http://schemas.microsoft.com/office/drawing/2014/main" id="{00000000-0008-0000-21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0048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286</xdr:row>
      <xdr:rowOff>161925</xdr:rowOff>
    </xdr:from>
    <xdr:to>
      <xdr:col>1</xdr:col>
      <xdr:colOff>19050</xdr:colOff>
      <xdr:row>287</xdr:row>
      <xdr:rowOff>200025</xdr:rowOff>
    </xdr:to>
    <xdr:pic>
      <xdr:nvPicPr>
        <xdr:cNvPr id="5" name="Picture 4" descr="C:\WINDOWS\TEMP\Symbol.gif">
          <a:extLst>
            <a:ext uri="{FF2B5EF4-FFF2-40B4-BE49-F238E27FC236}">
              <a16:creationId xmlns:a16="http://schemas.microsoft.com/office/drawing/2014/main" id="{00000000-0008-0000-21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0834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286</xdr:row>
      <xdr:rowOff>123825</xdr:rowOff>
    </xdr:from>
    <xdr:to>
      <xdr:col>20</xdr:col>
      <xdr:colOff>1895475</xdr:colOff>
      <xdr:row>287</xdr:row>
      <xdr:rowOff>152400</xdr:rowOff>
    </xdr:to>
    <xdr:pic>
      <xdr:nvPicPr>
        <xdr:cNvPr id="6" name="Picture 5" descr="C:\WINDOWS\TEMP\~0003946.gif">
          <a:extLst>
            <a:ext uri="{FF2B5EF4-FFF2-40B4-BE49-F238E27FC236}">
              <a16:creationId xmlns:a16="http://schemas.microsoft.com/office/drawing/2014/main" id="{00000000-0008-0000-21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580453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191</xdr:row>
      <xdr:rowOff>152400</xdr:rowOff>
    </xdr:from>
    <xdr:to>
      <xdr:col>20</xdr:col>
      <xdr:colOff>1924050</xdr:colOff>
      <xdr:row>192</xdr:row>
      <xdr:rowOff>180975</xdr:rowOff>
    </xdr:to>
    <xdr:pic>
      <xdr:nvPicPr>
        <xdr:cNvPr id="7" name="Picture 6" descr="C:\WINDOWS\TEMP\~0003946.gif">
          <a:extLst>
            <a:ext uri="{FF2B5EF4-FFF2-40B4-BE49-F238E27FC236}">
              <a16:creationId xmlns:a16="http://schemas.microsoft.com/office/drawing/2014/main" id="{00000000-0008-0000-21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389858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131</xdr:row>
      <xdr:rowOff>161925</xdr:rowOff>
    </xdr:from>
    <xdr:to>
      <xdr:col>20</xdr:col>
      <xdr:colOff>1952625</xdr:colOff>
      <xdr:row>132</xdr:row>
      <xdr:rowOff>190500</xdr:rowOff>
    </xdr:to>
    <xdr:pic>
      <xdr:nvPicPr>
        <xdr:cNvPr id="8" name="Picture 7" descr="C:\WINDOWS\TEMP\~0003946.gif">
          <a:extLst>
            <a:ext uri="{FF2B5EF4-FFF2-40B4-BE49-F238E27FC236}">
              <a16:creationId xmlns:a16="http://schemas.microsoft.com/office/drawing/2014/main" id="{00000000-0008-0000-21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26917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21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62</xdr:row>
      <xdr:rowOff>123825</xdr:rowOff>
    </xdr:from>
    <xdr:to>
      <xdr:col>20</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21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131</xdr:row>
      <xdr:rowOff>123825</xdr:rowOff>
    </xdr:from>
    <xdr:to>
      <xdr:col>20</xdr:col>
      <xdr:colOff>895350</xdr:colOff>
      <xdr:row>132</xdr:row>
      <xdr:rowOff>152400</xdr:rowOff>
    </xdr:to>
    <xdr:pic>
      <xdr:nvPicPr>
        <xdr:cNvPr id="11" name="Picture 10" descr="C:\WINDOWS\TEMP\~0003946.gif">
          <a:extLst>
            <a:ext uri="{FF2B5EF4-FFF2-40B4-BE49-F238E27FC236}">
              <a16:creationId xmlns:a16="http://schemas.microsoft.com/office/drawing/2014/main" id="{00000000-0008-0000-21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268795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191</xdr:row>
      <xdr:rowOff>104775</xdr:rowOff>
    </xdr:from>
    <xdr:to>
      <xdr:col>20</xdr:col>
      <xdr:colOff>809625</xdr:colOff>
      <xdr:row>192</xdr:row>
      <xdr:rowOff>133350</xdr:rowOff>
    </xdr:to>
    <xdr:pic>
      <xdr:nvPicPr>
        <xdr:cNvPr id="12" name="Picture 11" descr="C:\WINDOWS\TEMP\~0003946.gif">
          <a:extLst>
            <a:ext uri="{FF2B5EF4-FFF2-40B4-BE49-F238E27FC236}">
              <a16:creationId xmlns:a16="http://schemas.microsoft.com/office/drawing/2014/main" id="{00000000-0008-0000-21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583775" y="389382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286</xdr:row>
      <xdr:rowOff>104775</xdr:rowOff>
    </xdr:from>
    <xdr:to>
      <xdr:col>20</xdr:col>
      <xdr:colOff>895350</xdr:colOff>
      <xdr:row>287</xdr:row>
      <xdr:rowOff>133350</xdr:rowOff>
    </xdr:to>
    <xdr:pic>
      <xdr:nvPicPr>
        <xdr:cNvPr id="13" name="Picture 12" descr="C:\WINDOWS\TEMP\~0003946.gif">
          <a:extLst>
            <a:ext uri="{FF2B5EF4-FFF2-40B4-BE49-F238E27FC236}">
              <a16:creationId xmlns:a16="http://schemas.microsoft.com/office/drawing/2014/main" id="{00000000-0008-0000-21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58026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14" name="Picture 13" descr="logoMTL">
          <a:extLst>
            <a:ext uri="{FF2B5EF4-FFF2-40B4-BE49-F238E27FC236}">
              <a16:creationId xmlns:a16="http://schemas.microsoft.com/office/drawing/2014/main" id="{00000000-0008-0000-21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131</xdr:row>
      <xdr:rowOff>38100</xdr:rowOff>
    </xdr:from>
    <xdr:to>
      <xdr:col>19</xdr:col>
      <xdr:colOff>1171575</xdr:colOff>
      <xdr:row>132</xdr:row>
      <xdr:rowOff>161925</xdr:rowOff>
    </xdr:to>
    <xdr:pic>
      <xdr:nvPicPr>
        <xdr:cNvPr id="15" name="Picture 14" descr="logoMTL">
          <a:extLst>
            <a:ext uri="{FF2B5EF4-FFF2-40B4-BE49-F238E27FC236}">
              <a16:creationId xmlns:a16="http://schemas.microsoft.com/office/drawing/2014/main" id="{00000000-0008-0000-21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26793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191</xdr:row>
      <xdr:rowOff>28575</xdr:rowOff>
    </xdr:from>
    <xdr:to>
      <xdr:col>19</xdr:col>
      <xdr:colOff>1171575</xdr:colOff>
      <xdr:row>192</xdr:row>
      <xdr:rowOff>152400</xdr:rowOff>
    </xdr:to>
    <xdr:pic>
      <xdr:nvPicPr>
        <xdr:cNvPr id="16" name="Picture 15" descr="logoMTL">
          <a:extLst>
            <a:ext uri="{FF2B5EF4-FFF2-40B4-BE49-F238E27FC236}">
              <a16:creationId xmlns:a16="http://schemas.microsoft.com/office/drawing/2014/main" id="{00000000-0008-0000-21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388620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286</xdr:row>
      <xdr:rowOff>0</xdr:rowOff>
    </xdr:from>
    <xdr:to>
      <xdr:col>19</xdr:col>
      <xdr:colOff>1228725</xdr:colOff>
      <xdr:row>287</xdr:row>
      <xdr:rowOff>123825</xdr:rowOff>
    </xdr:to>
    <xdr:pic>
      <xdr:nvPicPr>
        <xdr:cNvPr id="17" name="Picture 16" descr="logoMTL">
          <a:extLst>
            <a:ext uri="{FF2B5EF4-FFF2-40B4-BE49-F238E27FC236}">
              <a16:creationId xmlns:a16="http://schemas.microsoft.com/office/drawing/2014/main" id="{00000000-0008-0000-21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36050" y="579215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131</xdr:row>
      <xdr:rowOff>161925</xdr:rowOff>
    </xdr:from>
    <xdr:to>
      <xdr:col>1</xdr:col>
      <xdr:colOff>28575</xdr:colOff>
      <xdr:row>132</xdr:row>
      <xdr:rowOff>200025</xdr:rowOff>
    </xdr:to>
    <xdr:pic>
      <xdr:nvPicPr>
        <xdr:cNvPr id="3" name="Picture 2" descr="C:\WINDOWS\TEMP\Symbol.gif">
          <a:extLst>
            <a:ext uri="{FF2B5EF4-FFF2-40B4-BE49-F238E27FC236}">
              <a16:creationId xmlns:a16="http://schemas.microsoft.com/office/drawing/2014/main" id="{00000000-0008-0000-22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69176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191</xdr:row>
      <xdr:rowOff>171450</xdr:rowOff>
    </xdr:from>
    <xdr:to>
      <xdr:col>1</xdr:col>
      <xdr:colOff>47625</xdr:colOff>
      <xdr:row>192</xdr:row>
      <xdr:rowOff>209550</xdr:rowOff>
    </xdr:to>
    <xdr:pic>
      <xdr:nvPicPr>
        <xdr:cNvPr id="4" name="Picture 3" descr="C:\WINDOWS\TEMP\Symbol.gif">
          <a:extLst>
            <a:ext uri="{FF2B5EF4-FFF2-40B4-BE49-F238E27FC236}">
              <a16:creationId xmlns:a16="http://schemas.microsoft.com/office/drawing/2014/main" id="{00000000-0008-0000-22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0048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286</xdr:row>
      <xdr:rowOff>161925</xdr:rowOff>
    </xdr:from>
    <xdr:to>
      <xdr:col>1</xdr:col>
      <xdr:colOff>19050</xdr:colOff>
      <xdr:row>287</xdr:row>
      <xdr:rowOff>200025</xdr:rowOff>
    </xdr:to>
    <xdr:pic>
      <xdr:nvPicPr>
        <xdr:cNvPr id="5" name="Picture 4" descr="C:\WINDOWS\TEMP\Symbol.gif">
          <a:extLst>
            <a:ext uri="{FF2B5EF4-FFF2-40B4-BE49-F238E27FC236}">
              <a16:creationId xmlns:a16="http://schemas.microsoft.com/office/drawing/2014/main" id="{00000000-0008-0000-22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0834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286</xdr:row>
      <xdr:rowOff>123825</xdr:rowOff>
    </xdr:from>
    <xdr:to>
      <xdr:col>20</xdr:col>
      <xdr:colOff>1895475</xdr:colOff>
      <xdr:row>287</xdr:row>
      <xdr:rowOff>152400</xdr:rowOff>
    </xdr:to>
    <xdr:pic>
      <xdr:nvPicPr>
        <xdr:cNvPr id="6" name="Picture 5" descr="C:\WINDOWS\TEMP\~0003946.gif">
          <a:extLst>
            <a:ext uri="{FF2B5EF4-FFF2-40B4-BE49-F238E27FC236}">
              <a16:creationId xmlns:a16="http://schemas.microsoft.com/office/drawing/2014/main" id="{00000000-0008-0000-22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580453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191</xdr:row>
      <xdr:rowOff>152400</xdr:rowOff>
    </xdr:from>
    <xdr:to>
      <xdr:col>20</xdr:col>
      <xdr:colOff>1924050</xdr:colOff>
      <xdr:row>192</xdr:row>
      <xdr:rowOff>180975</xdr:rowOff>
    </xdr:to>
    <xdr:pic>
      <xdr:nvPicPr>
        <xdr:cNvPr id="7" name="Picture 6" descr="C:\WINDOWS\TEMP\~0003946.gif">
          <a:extLst>
            <a:ext uri="{FF2B5EF4-FFF2-40B4-BE49-F238E27FC236}">
              <a16:creationId xmlns:a16="http://schemas.microsoft.com/office/drawing/2014/main" id="{00000000-0008-0000-22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389858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131</xdr:row>
      <xdr:rowOff>161925</xdr:rowOff>
    </xdr:from>
    <xdr:to>
      <xdr:col>20</xdr:col>
      <xdr:colOff>1952625</xdr:colOff>
      <xdr:row>132</xdr:row>
      <xdr:rowOff>190500</xdr:rowOff>
    </xdr:to>
    <xdr:pic>
      <xdr:nvPicPr>
        <xdr:cNvPr id="8" name="Picture 7" descr="C:\WINDOWS\TEMP\~0003946.gif">
          <a:extLst>
            <a:ext uri="{FF2B5EF4-FFF2-40B4-BE49-F238E27FC236}">
              <a16:creationId xmlns:a16="http://schemas.microsoft.com/office/drawing/2014/main" id="{00000000-0008-0000-22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26917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22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62</xdr:row>
      <xdr:rowOff>123825</xdr:rowOff>
    </xdr:from>
    <xdr:to>
      <xdr:col>20</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22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131</xdr:row>
      <xdr:rowOff>123825</xdr:rowOff>
    </xdr:from>
    <xdr:to>
      <xdr:col>20</xdr:col>
      <xdr:colOff>895350</xdr:colOff>
      <xdr:row>132</xdr:row>
      <xdr:rowOff>152400</xdr:rowOff>
    </xdr:to>
    <xdr:pic>
      <xdr:nvPicPr>
        <xdr:cNvPr id="11" name="Picture 10" descr="C:\WINDOWS\TEMP\~0003946.gif">
          <a:extLst>
            <a:ext uri="{FF2B5EF4-FFF2-40B4-BE49-F238E27FC236}">
              <a16:creationId xmlns:a16="http://schemas.microsoft.com/office/drawing/2014/main" id="{00000000-0008-0000-22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268795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191</xdr:row>
      <xdr:rowOff>104775</xdr:rowOff>
    </xdr:from>
    <xdr:to>
      <xdr:col>20</xdr:col>
      <xdr:colOff>809625</xdr:colOff>
      <xdr:row>192</xdr:row>
      <xdr:rowOff>133350</xdr:rowOff>
    </xdr:to>
    <xdr:pic>
      <xdr:nvPicPr>
        <xdr:cNvPr id="12" name="Picture 11" descr="C:\WINDOWS\TEMP\~0003946.gif">
          <a:extLst>
            <a:ext uri="{FF2B5EF4-FFF2-40B4-BE49-F238E27FC236}">
              <a16:creationId xmlns:a16="http://schemas.microsoft.com/office/drawing/2014/main" id="{00000000-0008-0000-22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583775" y="389382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286</xdr:row>
      <xdr:rowOff>104775</xdr:rowOff>
    </xdr:from>
    <xdr:to>
      <xdr:col>20</xdr:col>
      <xdr:colOff>895350</xdr:colOff>
      <xdr:row>287</xdr:row>
      <xdr:rowOff>133350</xdr:rowOff>
    </xdr:to>
    <xdr:pic>
      <xdr:nvPicPr>
        <xdr:cNvPr id="13" name="Picture 12" descr="C:\WINDOWS\TEMP\~0003946.gif">
          <a:extLst>
            <a:ext uri="{FF2B5EF4-FFF2-40B4-BE49-F238E27FC236}">
              <a16:creationId xmlns:a16="http://schemas.microsoft.com/office/drawing/2014/main" id="{00000000-0008-0000-22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58026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14" name="Picture 13" descr="logoMTL">
          <a:extLst>
            <a:ext uri="{FF2B5EF4-FFF2-40B4-BE49-F238E27FC236}">
              <a16:creationId xmlns:a16="http://schemas.microsoft.com/office/drawing/2014/main" id="{00000000-0008-0000-22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131</xdr:row>
      <xdr:rowOff>38100</xdr:rowOff>
    </xdr:from>
    <xdr:to>
      <xdr:col>19</xdr:col>
      <xdr:colOff>1171575</xdr:colOff>
      <xdr:row>132</xdr:row>
      <xdr:rowOff>161925</xdr:rowOff>
    </xdr:to>
    <xdr:pic>
      <xdr:nvPicPr>
        <xdr:cNvPr id="15" name="Picture 14" descr="logoMTL">
          <a:extLst>
            <a:ext uri="{FF2B5EF4-FFF2-40B4-BE49-F238E27FC236}">
              <a16:creationId xmlns:a16="http://schemas.microsoft.com/office/drawing/2014/main" id="{00000000-0008-0000-22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26793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191</xdr:row>
      <xdr:rowOff>28575</xdr:rowOff>
    </xdr:from>
    <xdr:to>
      <xdr:col>19</xdr:col>
      <xdr:colOff>1171575</xdr:colOff>
      <xdr:row>192</xdr:row>
      <xdr:rowOff>152400</xdr:rowOff>
    </xdr:to>
    <xdr:pic>
      <xdr:nvPicPr>
        <xdr:cNvPr id="16" name="Picture 15" descr="logoMTL">
          <a:extLst>
            <a:ext uri="{FF2B5EF4-FFF2-40B4-BE49-F238E27FC236}">
              <a16:creationId xmlns:a16="http://schemas.microsoft.com/office/drawing/2014/main" id="{00000000-0008-0000-22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388620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286</xdr:row>
      <xdr:rowOff>0</xdr:rowOff>
    </xdr:from>
    <xdr:to>
      <xdr:col>19</xdr:col>
      <xdr:colOff>1228725</xdr:colOff>
      <xdr:row>287</xdr:row>
      <xdr:rowOff>123825</xdr:rowOff>
    </xdr:to>
    <xdr:pic>
      <xdr:nvPicPr>
        <xdr:cNvPr id="17" name="Picture 16" descr="logoMTL">
          <a:extLst>
            <a:ext uri="{FF2B5EF4-FFF2-40B4-BE49-F238E27FC236}">
              <a16:creationId xmlns:a16="http://schemas.microsoft.com/office/drawing/2014/main" id="{00000000-0008-0000-22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36050" y="579215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131</xdr:row>
      <xdr:rowOff>161925</xdr:rowOff>
    </xdr:from>
    <xdr:to>
      <xdr:col>1</xdr:col>
      <xdr:colOff>28575</xdr:colOff>
      <xdr:row>132</xdr:row>
      <xdr:rowOff>200025</xdr:rowOff>
    </xdr:to>
    <xdr:pic>
      <xdr:nvPicPr>
        <xdr:cNvPr id="3" name="Picture 2" descr="C:\WINDOWS\TEMP\Symbol.gif">
          <a:extLst>
            <a:ext uri="{FF2B5EF4-FFF2-40B4-BE49-F238E27FC236}">
              <a16:creationId xmlns:a16="http://schemas.microsoft.com/office/drawing/2014/main" id="{00000000-0008-0000-23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69176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191</xdr:row>
      <xdr:rowOff>171450</xdr:rowOff>
    </xdr:from>
    <xdr:to>
      <xdr:col>1</xdr:col>
      <xdr:colOff>47625</xdr:colOff>
      <xdr:row>192</xdr:row>
      <xdr:rowOff>209550</xdr:rowOff>
    </xdr:to>
    <xdr:pic>
      <xdr:nvPicPr>
        <xdr:cNvPr id="4" name="Picture 3" descr="C:\WINDOWS\TEMP\Symbol.gif">
          <a:extLst>
            <a:ext uri="{FF2B5EF4-FFF2-40B4-BE49-F238E27FC236}">
              <a16:creationId xmlns:a16="http://schemas.microsoft.com/office/drawing/2014/main" id="{00000000-0008-0000-23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0048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286</xdr:row>
      <xdr:rowOff>161925</xdr:rowOff>
    </xdr:from>
    <xdr:to>
      <xdr:col>1</xdr:col>
      <xdr:colOff>19050</xdr:colOff>
      <xdr:row>287</xdr:row>
      <xdr:rowOff>200025</xdr:rowOff>
    </xdr:to>
    <xdr:pic>
      <xdr:nvPicPr>
        <xdr:cNvPr id="5" name="Picture 4" descr="C:\WINDOWS\TEMP\Symbol.gif">
          <a:extLst>
            <a:ext uri="{FF2B5EF4-FFF2-40B4-BE49-F238E27FC236}">
              <a16:creationId xmlns:a16="http://schemas.microsoft.com/office/drawing/2014/main" id="{00000000-0008-0000-23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0834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286</xdr:row>
      <xdr:rowOff>123825</xdr:rowOff>
    </xdr:from>
    <xdr:to>
      <xdr:col>20</xdr:col>
      <xdr:colOff>1895475</xdr:colOff>
      <xdr:row>287</xdr:row>
      <xdr:rowOff>152400</xdr:rowOff>
    </xdr:to>
    <xdr:pic>
      <xdr:nvPicPr>
        <xdr:cNvPr id="6" name="Picture 5" descr="C:\WINDOWS\TEMP\~0003946.gif">
          <a:extLst>
            <a:ext uri="{FF2B5EF4-FFF2-40B4-BE49-F238E27FC236}">
              <a16:creationId xmlns:a16="http://schemas.microsoft.com/office/drawing/2014/main" id="{00000000-0008-0000-23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580453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191</xdr:row>
      <xdr:rowOff>152400</xdr:rowOff>
    </xdr:from>
    <xdr:to>
      <xdr:col>20</xdr:col>
      <xdr:colOff>1924050</xdr:colOff>
      <xdr:row>192</xdr:row>
      <xdr:rowOff>180975</xdr:rowOff>
    </xdr:to>
    <xdr:pic>
      <xdr:nvPicPr>
        <xdr:cNvPr id="7" name="Picture 6" descr="C:\WINDOWS\TEMP\~0003946.gif">
          <a:extLst>
            <a:ext uri="{FF2B5EF4-FFF2-40B4-BE49-F238E27FC236}">
              <a16:creationId xmlns:a16="http://schemas.microsoft.com/office/drawing/2014/main" id="{00000000-0008-0000-23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389858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131</xdr:row>
      <xdr:rowOff>161925</xdr:rowOff>
    </xdr:from>
    <xdr:to>
      <xdr:col>20</xdr:col>
      <xdr:colOff>1952625</xdr:colOff>
      <xdr:row>132</xdr:row>
      <xdr:rowOff>190500</xdr:rowOff>
    </xdr:to>
    <xdr:pic>
      <xdr:nvPicPr>
        <xdr:cNvPr id="8" name="Picture 7" descr="C:\WINDOWS\TEMP\~0003946.gif">
          <a:extLst>
            <a:ext uri="{FF2B5EF4-FFF2-40B4-BE49-F238E27FC236}">
              <a16:creationId xmlns:a16="http://schemas.microsoft.com/office/drawing/2014/main" id="{00000000-0008-0000-23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26917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23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62</xdr:row>
      <xdr:rowOff>123825</xdr:rowOff>
    </xdr:from>
    <xdr:to>
      <xdr:col>20</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23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131</xdr:row>
      <xdr:rowOff>123825</xdr:rowOff>
    </xdr:from>
    <xdr:to>
      <xdr:col>20</xdr:col>
      <xdr:colOff>895350</xdr:colOff>
      <xdr:row>132</xdr:row>
      <xdr:rowOff>152400</xdr:rowOff>
    </xdr:to>
    <xdr:pic>
      <xdr:nvPicPr>
        <xdr:cNvPr id="11" name="Picture 10" descr="C:\WINDOWS\TEMP\~0003946.gif">
          <a:extLst>
            <a:ext uri="{FF2B5EF4-FFF2-40B4-BE49-F238E27FC236}">
              <a16:creationId xmlns:a16="http://schemas.microsoft.com/office/drawing/2014/main" id="{00000000-0008-0000-23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268795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191</xdr:row>
      <xdr:rowOff>104775</xdr:rowOff>
    </xdr:from>
    <xdr:to>
      <xdr:col>20</xdr:col>
      <xdr:colOff>809625</xdr:colOff>
      <xdr:row>192</xdr:row>
      <xdr:rowOff>133350</xdr:rowOff>
    </xdr:to>
    <xdr:pic>
      <xdr:nvPicPr>
        <xdr:cNvPr id="12" name="Picture 11" descr="C:\WINDOWS\TEMP\~0003946.gif">
          <a:extLst>
            <a:ext uri="{FF2B5EF4-FFF2-40B4-BE49-F238E27FC236}">
              <a16:creationId xmlns:a16="http://schemas.microsoft.com/office/drawing/2014/main" id="{00000000-0008-0000-23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583775" y="389382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286</xdr:row>
      <xdr:rowOff>104775</xdr:rowOff>
    </xdr:from>
    <xdr:to>
      <xdr:col>20</xdr:col>
      <xdr:colOff>895350</xdr:colOff>
      <xdr:row>287</xdr:row>
      <xdr:rowOff>133350</xdr:rowOff>
    </xdr:to>
    <xdr:pic>
      <xdr:nvPicPr>
        <xdr:cNvPr id="13" name="Picture 12" descr="C:\WINDOWS\TEMP\~0003946.gif">
          <a:extLst>
            <a:ext uri="{FF2B5EF4-FFF2-40B4-BE49-F238E27FC236}">
              <a16:creationId xmlns:a16="http://schemas.microsoft.com/office/drawing/2014/main" id="{00000000-0008-0000-23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58026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14" name="Picture 13" descr="logoMTL">
          <a:extLst>
            <a:ext uri="{FF2B5EF4-FFF2-40B4-BE49-F238E27FC236}">
              <a16:creationId xmlns:a16="http://schemas.microsoft.com/office/drawing/2014/main" id="{00000000-0008-0000-23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131</xdr:row>
      <xdr:rowOff>38100</xdr:rowOff>
    </xdr:from>
    <xdr:to>
      <xdr:col>19</xdr:col>
      <xdr:colOff>1171575</xdr:colOff>
      <xdr:row>132</xdr:row>
      <xdr:rowOff>161925</xdr:rowOff>
    </xdr:to>
    <xdr:pic>
      <xdr:nvPicPr>
        <xdr:cNvPr id="15" name="Picture 14" descr="logoMTL">
          <a:extLst>
            <a:ext uri="{FF2B5EF4-FFF2-40B4-BE49-F238E27FC236}">
              <a16:creationId xmlns:a16="http://schemas.microsoft.com/office/drawing/2014/main" id="{00000000-0008-0000-23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26793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191</xdr:row>
      <xdr:rowOff>28575</xdr:rowOff>
    </xdr:from>
    <xdr:to>
      <xdr:col>19</xdr:col>
      <xdr:colOff>1171575</xdr:colOff>
      <xdr:row>192</xdr:row>
      <xdr:rowOff>152400</xdr:rowOff>
    </xdr:to>
    <xdr:pic>
      <xdr:nvPicPr>
        <xdr:cNvPr id="16" name="Picture 15" descr="logoMTL">
          <a:extLst>
            <a:ext uri="{FF2B5EF4-FFF2-40B4-BE49-F238E27FC236}">
              <a16:creationId xmlns:a16="http://schemas.microsoft.com/office/drawing/2014/main" id="{00000000-0008-0000-23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388620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286</xdr:row>
      <xdr:rowOff>0</xdr:rowOff>
    </xdr:from>
    <xdr:to>
      <xdr:col>19</xdr:col>
      <xdr:colOff>1228725</xdr:colOff>
      <xdr:row>287</xdr:row>
      <xdr:rowOff>123825</xdr:rowOff>
    </xdr:to>
    <xdr:pic>
      <xdr:nvPicPr>
        <xdr:cNvPr id="17" name="Picture 16" descr="logoMTL">
          <a:extLst>
            <a:ext uri="{FF2B5EF4-FFF2-40B4-BE49-F238E27FC236}">
              <a16:creationId xmlns:a16="http://schemas.microsoft.com/office/drawing/2014/main" id="{00000000-0008-0000-23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36050" y="579215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131</xdr:row>
      <xdr:rowOff>161925</xdr:rowOff>
    </xdr:from>
    <xdr:to>
      <xdr:col>1</xdr:col>
      <xdr:colOff>28575</xdr:colOff>
      <xdr:row>132</xdr:row>
      <xdr:rowOff>200025</xdr:rowOff>
    </xdr:to>
    <xdr:pic>
      <xdr:nvPicPr>
        <xdr:cNvPr id="3" name="Picture 2" descr="C:\WINDOWS\TEMP\Symbol.gif">
          <a:extLst>
            <a:ext uri="{FF2B5EF4-FFF2-40B4-BE49-F238E27FC236}">
              <a16:creationId xmlns:a16="http://schemas.microsoft.com/office/drawing/2014/main" id="{00000000-0008-0000-24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69176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191</xdr:row>
      <xdr:rowOff>171450</xdr:rowOff>
    </xdr:from>
    <xdr:to>
      <xdr:col>1</xdr:col>
      <xdr:colOff>47625</xdr:colOff>
      <xdr:row>192</xdr:row>
      <xdr:rowOff>209550</xdr:rowOff>
    </xdr:to>
    <xdr:pic>
      <xdr:nvPicPr>
        <xdr:cNvPr id="4" name="Picture 3" descr="C:\WINDOWS\TEMP\Symbol.gif">
          <a:extLst>
            <a:ext uri="{FF2B5EF4-FFF2-40B4-BE49-F238E27FC236}">
              <a16:creationId xmlns:a16="http://schemas.microsoft.com/office/drawing/2014/main" id="{00000000-0008-0000-24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0048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286</xdr:row>
      <xdr:rowOff>161925</xdr:rowOff>
    </xdr:from>
    <xdr:to>
      <xdr:col>1</xdr:col>
      <xdr:colOff>19050</xdr:colOff>
      <xdr:row>287</xdr:row>
      <xdr:rowOff>200025</xdr:rowOff>
    </xdr:to>
    <xdr:pic>
      <xdr:nvPicPr>
        <xdr:cNvPr id="5" name="Picture 4" descr="C:\WINDOWS\TEMP\Symbol.gif">
          <a:extLst>
            <a:ext uri="{FF2B5EF4-FFF2-40B4-BE49-F238E27FC236}">
              <a16:creationId xmlns:a16="http://schemas.microsoft.com/office/drawing/2014/main" id="{00000000-0008-0000-24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0834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286</xdr:row>
      <xdr:rowOff>123825</xdr:rowOff>
    </xdr:from>
    <xdr:to>
      <xdr:col>20</xdr:col>
      <xdr:colOff>1895475</xdr:colOff>
      <xdr:row>287</xdr:row>
      <xdr:rowOff>152400</xdr:rowOff>
    </xdr:to>
    <xdr:pic>
      <xdr:nvPicPr>
        <xdr:cNvPr id="6" name="Picture 5" descr="C:\WINDOWS\TEMP\~0003946.gif">
          <a:extLst>
            <a:ext uri="{FF2B5EF4-FFF2-40B4-BE49-F238E27FC236}">
              <a16:creationId xmlns:a16="http://schemas.microsoft.com/office/drawing/2014/main" id="{00000000-0008-0000-24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580453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191</xdr:row>
      <xdr:rowOff>152400</xdr:rowOff>
    </xdr:from>
    <xdr:to>
      <xdr:col>20</xdr:col>
      <xdr:colOff>1924050</xdr:colOff>
      <xdr:row>192</xdr:row>
      <xdr:rowOff>180975</xdr:rowOff>
    </xdr:to>
    <xdr:pic>
      <xdr:nvPicPr>
        <xdr:cNvPr id="7" name="Picture 6" descr="C:\WINDOWS\TEMP\~0003946.gif">
          <a:extLst>
            <a:ext uri="{FF2B5EF4-FFF2-40B4-BE49-F238E27FC236}">
              <a16:creationId xmlns:a16="http://schemas.microsoft.com/office/drawing/2014/main" id="{00000000-0008-0000-24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389858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131</xdr:row>
      <xdr:rowOff>161925</xdr:rowOff>
    </xdr:from>
    <xdr:to>
      <xdr:col>20</xdr:col>
      <xdr:colOff>1952625</xdr:colOff>
      <xdr:row>132</xdr:row>
      <xdr:rowOff>190500</xdr:rowOff>
    </xdr:to>
    <xdr:pic>
      <xdr:nvPicPr>
        <xdr:cNvPr id="8" name="Picture 7" descr="C:\WINDOWS\TEMP\~0003946.gif">
          <a:extLst>
            <a:ext uri="{FF2B5EF4-FFF2-40B4-BE49-F238E27FC236}">
              <a16:creationId xmlns:a16="http://schemas.microsoft.com/office/drawing/2014/main" id="{00000000-0008-0000-24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26917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24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62</xdr:row>
      <xdr:rowOff>123825</xdr:rowOff>
    </xdr:from>
    <xdr:to>
      <xdr:col>20</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24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131</xdr:row>
      <xdr:rowOff>123825</xdr:rowOff>
    </xdr:from>
    <xdr:to>
      <xdr:col>20</xdr:col>
      <xdr:colOff>895350</xdr:colOff>
      <xdr:row>132</xdr:row>
      <xdr:rowOff>152400</xdr:rowOff>
    </xdr:to>
    <xdr:pic>
      <xdr:nvPicPr>
        <xdr:cNvPr id="11" name="Picture 10" descr="C:\WINDOWS\TEMP\~0003946.gif">
          <a:extLst>
            <a:ext uri="{FF2B5EF4-FFF2-40B4-BE49-F238E27FC236}">
              <a16:creationId xmlns:a16="http://schemas.microsoft.com/office/drawing/2014/main" id="{00000000-0008-0000-24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268795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191</xdr:row>
      <xdr:rowOff>104775</xdr:rowOff>
    </xdr:from>
    <xdr:to>
      <xdr:col>20</xdr:col>
      <xdr:colOff>809625</xdr:colOff>
      <xdr:row>192</xdr:row>
      <xdr:rowOff>133350</xdr:rowOff>
    </xdr:to>
    <xdr:pic>
      <xdr:nvPicPr>
        <xdr:cNvPr id="12" name="Picture 11" descr="C:\WINDOWS\TEMP\~0003946.gif">
          <a:extLst>
            <a:ext uri="{FF2B5EF4-FFF2-40B4-BE49-F238E27FC236}">
              <a16:creationId xmlns:a16="http://schemas.microsoft.com/office/drawing/2014/main" id="{00000000-0008-0000-24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583775" y="389382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286</xdr:row>
      <xdr:rowOff>104775</xdr:rowOff>
    </xdr:from>
    <xdr:to>
      <xdr:col>20</xdr:col>
      <xdr:colOff>895350</xdr:colOff>
      <xdr:row>287</xdr:row>
      <xdr:rowOff>133350</xdr:rowOff>
    </xdr:to>
    <xdr:pic>
      <xdr:nvPicPr>
        <xdr:cNvPr id="13" name="Picture 12" descr="C:\WINDOWS\TEMP\~0003946.gif">
          <a:extLst>
            <a:ext uri="{FF2B5EF4-FFF2-40B4-BE49-F238E27FC236}">
              <a16:creationId xmlns:a16="http://schemas.microsoft.com/office/drawing/2014/main" id="{00000000-0008-0000-24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58026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14" name="Picture 13" descr="logoMTL">
          <a:extLst>
            <a:ext uri="{FF2B5EF4-FFF2-40B4-BE49-F238E27FC236}">
              <a16:creationId xmlns:a16="http://schemas.microsoft.com/office/drawing/2014/main" id="{00000000-0008-0000-24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131</xdr:row>
      <xdr:rowOff>38100</xdr:rowOff>
    </xdr:from>
    <xdr:to>
      <xdr:col>19</xdr:col>
      <xdr:colOff>1171575</xdr:colOff>
      <xdr:row>132</xdr:row>
      <xdr:rowOff>161925</xdr:rowOff>
    </xdr:to>
    <xdr:pic>
      <xdr:nvPicPr>
        <xdr:cNvPr id="15" name="Picture 14" descr="logoMTL">
          <a:extLst>
            <a:ext uri="{FF2B5EF4-FFF2-40B4-BE49-F238E27FC236}">
              <a16:creationId xmlns:a16="http://schemas.microsoft.com/office/drawing/2014/main" id="{00000000-0008-0000-24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26793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191</xdr:row>
      <xdr:rowOff>28575</xdr:rowOff>
    </xdr:from>
    <xdr:to>
      <xdr:col>19</xdr:col>
      <xdr:colOff>1171575</xdr:colOff>
      <xdr:row>192</xdr:row>
      <xdr:rowOff>152400</xdr:rowOff>
    </xdr:to>
    <xdr:pic>
      <xdr:nvPicPr>
        <xdr:cNvPr id="16" name="Picture 15" descr="logoMTL">
          <a:extLst>
            <a:ext uri="{FF2B5EF4-FFF2-40B4-BE49-F238E27FC236}">
              <a16:creationId xmlns:a16="http://schemas.microsoft.com/office/drawing/2014/main" id="{00000000-0008-0000-24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388620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286</xdr:row>
      <xdr:rowOff>0</xdr:rowOff>
    </xdr:from>
    <xdr:to>
      <xdr:col>19</xdr:col>
      <xdr:colOff>1228725</xdr:colOff>
      <xdr:row>287</xdr:row>
      <xdr:rowOff>123825</xdr:rowOff>
    </xdr:to>
    <xdr:pic>
      <xdr:nvPicPr>
        <xdr:cNvPr id="17" name="Picture 16" descr="logoMTL">
          <a:extLst>
            <a:ext uri="{FF2B5EF4-FFF2-40B4-BE49-F238E27FC236}">
              <a16:creationId xmlns:a16="http://schemas.microsoft.com/office/drawing/2014/main" id="{00000000-0008-0000-24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36050" y="579215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25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131</xdr:row>
      <xdr:rowOff>161925</xdr:rowOff>
    </xdr:from>
    <xdr:to>
      <xdr:col>1</xdr:col>
      <xdr:colOff>28575</xdr:colOff>
      <xdr:row>132</xdr:row>
      <xdr:rowOff>200025</xdr:rowOff>
    </xdr:to>
    <xdr:pic>
      <xdr:nvPicPr>
        <xdr:cNvPr id="3" name="Picture 2" descr="C:\WINDOWS\TEMP\Symbol.gif">
          <a:extLst>
            <a:ext uri="{FF2B5EF4-FFF2-40B4-BE49-F238E27FC236}">
              <a16:creationId xmlns:a16="http://schemas.microsoft.com/office/drawing/2014/main" id="{00000000-0008-0000-25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69176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191</xdr:row>
      <xdr:rowOff>171450</xdr:rowOff>
    </xdr:from>
    <xdr:to>
      <xdr:col>1</xdr:col>
      <xdr:colOff>47625</xdr:colOff>
      <xdr:row>192</xdr:row>
      <xdr:rowOff>209550</xdr:rowOff>
    </xdr:to>
    <xdr:pic>
      <xdr:nvPicPr>
        <xdr:cNvPr id="4" name="Picture 3" descr="C:\WINDOWS\TEMP\Symbol.gif">
          <a:extLst>
            <a:ext uri="{FF2B5EF4-FFF2-40B4-BE49-F238E27FC236}">
              <a16:creationId xmlns:a16="http://schemas.microsoft.com/office/drawing/2014/main" id="{00000000-0008-0000-25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0048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286</xdr:row>
      <xdr:rowOff>161925</xdr:rowOff>
    </xdr:from>
    <xdr:to>
      <xdr:col>1</xdr:col>
      <xdr:colOff>19050</xdr:colOff>
      <xdr:row>287</xdr:row>
      <xdr:rowOff>200025</xdr:rowOff>
    </xdr:to>
    <xdr:pic>
      <xdr:nvPicPr>
        <xdr:cNvPr id="5" name="Picture 4" descr="C:\WINDOWS\TEMP\Symbol.gif">
          <a:extLst>
            <a:ext uri="{FF2B5EF4-FFF2-40B4-BE49-F238E27FC236}">
              <a16:creationId xmlns:a16="http://schemas.microsoft.com/office/drawing/2014/main" id="{00000000-0008-0000-25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0834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286</xdr:row>
      <xdr:rowOff>123825</xdr:rowOff>
    </xdr:from>
    <xdr:to>
      <xdr:col>20</xdr:col>
      <xdr:colOff>1895475</xdr:colOff>
      <xdr:row>287</xdr:row>
      <xdr:rowOff>152400</xdr:rowOff>
    </xdr:to>
    <xdr:pic>
      <xdr:nvPicPr>
        <xdr:cNvPr id="6" name="Picture 5" descr="C:\WINDOWS\TEMP\~0003946.gif">
          <a:extLst>
            <a:ext uri="{FF2B5EF4-FFF2-40B4-BE49-F238E27FC236}">
              <a16:creationId xmlns:a16="http://schemas.microsoft.com/office/drawing/2014/main" id="{00000000-0008-0000-25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580453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191</xdr:row>
      <xdr:rowOff>152400</xdr:rowOff>
    </xdr:from>
    <xdr:to>
      <xdr:col>20</xdr:col>
      <xdr:colOff>1924050</xdr:colOff>
      <xdr:row>192</xdr:row>
      <xdr:rowOff>180975</xdr:rowOff>
    </xdr:to>
    <xdr:pic>
      <xdr:nvPicPr>
        <xdr:cNvPr id="7" name="Picture 6" descr="C:\WINDOWS\TEMP\~0003946.gif">
          <a:extLst>
            <a:ext uri="{FF2B5EF4-FFF2-40B4-BE49-F238E27FC236}">
              <a16:creationId xmlns:a16="http://schemas.microsoft.com/office/drawing/2014/main" id="{00000000-0008-0000-25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389858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131</xdr:row>
      <xdr:rowOff>161925</xdr:rowOff>
    </xdr:from>
    <xdr:to>
      <xdr:col>20</xdr:col>
      <xdr:colOff>1952625</xdr:colOff>
      <xdr:row>132</xdr:row>
      <xdr:rowOff>190500</xdr:rowOff>
    </xdr:to>
    <xdr:pic>
      <xdr:nvPicPr>
        <xdr:cNvPr id="8" name="Picture 7" descr="C:\WINDOWS\TEMP\~0003946.gif">
          <a:extLst>
            <a:ext uri="{FF2B5EF4-FFF2-40B4-BE49-F238E27FC236}">
              <a16:creationId xmlns:a16="http://schemas.microsoft.com/office/drawing/2014/main" id="{00000000-0008-0000-25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26917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25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62</xdr:row>
      <xdr:rowOff>123825</xdr:rowOff>
    </xdr:from>
    <xdr:to>
      <xdr:col>20</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25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131</xdr:row>
      <xdr:rowOff>123825</xdr:rowOff>
    </xdr:from>
    <xdr:to>
      <xdr:col>20</xdr:col>
      <xdr:colOff>895350</xdr:colOff>
      <xdr:row>132</xdr:row>
      <xdr:rowOff>152400</xdr:rowOff>
    </xdr:to>
    <xdr:pic>
      <xdr:nvPicPr>
        <xdr:cNvPr id="11" name="Picture 10" descr="C:\WINDOWS\TEMP\~0003946.gif">
          <a:extLst>
            <a:ext uri="{FF2B5EF4-FFF2-40B4-BE49-F238E27FC236}">
              <a16:creationId xmlns:a16="http://schemas.microsoft.com/office/drawing/2014/main" id="{00000000-0008-0000-25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268795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191</xdr:row>
      <xdr:rowOff>104775</xdr:rowOff>
    </xdr:from>
    <xdr:to>
      <xdr:col>20</xdr:col>
      <xdr:colOff>809625</xdr:colOff>
      <xdr:row>192</xdr:row>
      <xdr:rowOff>133350</xdr:rowOff>
    </xdr:to>
    <xdr:pic>
      <xdr:nvPicPr>
        <xdr:cNvPr id="12" name="Picture 11" descr="C:\WINDOWS\TEMP\~0003946.gif">
          <a:extLst>
            <a:ext uri="{FF2B5EF4-FFF2-40B4-BE49-F238E27FC236}">
              <a16:creationId xmlns:a16="http://schemas.microsoft.com/office/drawing/2014/main" id="{00000000-0008-0000-25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583775" y="389382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286</xdr:row>
      <xdr:rowOff>104775</xdr:rowOff>
    </xdr:from>
    <xdr:to>
      <xdr:col>20</xdr:col>
      <xdr:colOff>895350</xdr:colOff>
      <xdr:row>287</xdr:row>
      <xdr:rowOff>133350</xdr:rowOff>
    </xdr:to>
    <xdr:pic>
      <xdr:nvPicPr>
        <xdr:cNvPr id="13" name="Picture 12" descr="C:\WINDOWS\TEMP\~0003946.gif">
          <a:extLst>
            <a:ext uri="{FF2B5EF4-FFF2-40B4-BE49-F238E27FC236}">
              <a16:creationId xmlns:a16="http://schemas.microsoft.com/office/drawing/2014/main" id="{00000000-0008-0000-25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58026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14" name="Picture 13" descr="logoMTL">
          <a:extLst>
            <a:ext uri="{FF2B5EF4-FFF2-40B4-BE49-F238E27FC236}">
              <a16:creationId xmlns:a16="http://schemas.microsoft.com/office/drawing/2014/main" id="{00000000-0008-0000-25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131</xdr:row>
      <xdr:rowOff>38100</xdr:rowOff>
    </xdr:from>
    <xdr:to>
      <xdr:col>19</xdr:col>
      <xdr:colOff>1171575</xdr:colOff>
      <xdr:row>132</xdr:row>
      <xdr:rowOff>161925</xdr:rowOff>
    </xdr:to>
    <xdr:pic>
      <xdr:nvPicPr>
        <xdr:cNvPr id="15" name="Picture 14" descr="logoMTL">
          <a:extLst>
            <a:ext uri="{FF2B5EF4-FFF2-40B4-BE49-F238E27FC236}">
              <a16:creationId xmlns:a16="http://schemas.microsoft.com/office/drawing/2014/main" id="{00000000-0008-0000-25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26793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191</xdr:row>
      <xdr:rowOff>28575</xdr:rowOff>
    </xdr:from>
    <xdr:to>
      <xdr:col>19</xdr:col>
      <xdr:colOff>1171575</xdr:colOff>
      <xdr:row>192</xdr:row>
      <xdr:rowOff>152400</xdr:rowOff>
    </xdr:to>
    <xdr:pic>
      <xdr:nvPicPr>
        <xdr:cNvPr id="16" name="Picture 15" descr="logoMTL">
          <a:extLst>
            <a:ext uri="{FF2B5EF4-FFF2-40B4-BE49-F238E27FC236}">
              <a16:creationId xmlns:a16="http://schemas.microsoft.com/office/drawing/2014/main" id="{00000000-0008-0000-25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388620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286</xdr:row>
      <xdr:rowOff>0</xdr:rowOff>
    </xdr:from>
    <xdr:to>
      <xdr:col>19</xdr:col>
      <xdr:colOff>1228725</xdr:colOff>
      <xdr:row>287</xdr:row>
      <xdr:rowOff>123825</xdr:rowOff>
    </xdr:to>
    <xdr:pic>
      <xdr:nvPicPr>
        <xdr:cNvPr id="17" name="Picture 16" descr="logoMTL">
          <a:extLst>
            <a:ext uri="{FF2B5EF4-FFF2-40B4-BE49-F238E27FC236}">
              <a16:creationId xmlns:a16="http://schemas.microsoft.com/office/drawing/2014/main" id="{00000000-0008-0000-25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36050" y="579215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26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131</xdr:row>
      <xdr:rowOff>161925</xdr:rowOff>
    </xdr:from>
    <xdr:to>
      <xdr:col>1</xdr:col>
      <xdr:colOff>28575</xdr:colOff>
      <xdr:row>132</xdr:row>
      <xdr:rowOff>200025</xdr:rowOff>
    </xdr:to>
    <xdr:pic>
      <xdr:nvPicPr>
        <xdr:cNvPr id="3" name="Picture 2" descr="C:\WINDOWS\TEMP\Symbol.gif">
          <a:extLst>
            <a:ext uri="{FF2B5EF4-FFF2-40B4-BE49-F238E27FC236}">
              <a16:creationId xmlns:a16="http://schemas.microsoft.com/office/drawing/2014/main" id="{00000000-0008-0000-26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69176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191</xdr:row>
      <xdr:rowOff>171450</xdr:rowOff>
    </xdr:from>
    <xdr:to>
      <xdr:col>1</xdr:col>
      <xdr:colOff>47625</xdr:colOff>
      <xdr:row>192</xdr:row>
      <xdr:rowOff>209550</xdr:rowOff>
    </xdr:to>
    <xdr:pic>
      <xdr:nvPicPr>
        <xdr:cNvPr id="4" name="Picture 3" descr="C:\WINDOWS\TEMP\Symbol.gif">
          <a:extLst>
            <a:ext uri="{FF2B5EF4-FFF2-40B4-BE49-F238E27FC236}">
              <a16:creationId xmlns:a16="http://schemas.microsoft.com/office/drawing/2014/main" id="{00000000-0008-0000-26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0048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286</xdr:row>
      <xdr:rowOff>161925</xdr:rowOff>
    </xdr:from>
    <xdr:to>
      <xdr:col>1</xdr:col>
      <xdr:colOff>19050</xdr:colOff>
      <xdr:row>287</xdr:row>
      <xdr:rowOff>200025</xdr:rowOff>
    </xdr:to>
    <xdr:pic>
      <xdr:nvPicPr>
        <xdr:cNvPr id="5" name="Picture 4" descr="C:\WINDOWS\TEMP\Symbol.gif">
          <a:extLst>
            <a:ext uri="{FF2B5EF4-FFF2-40B4-BE49-F238E27FC236}">
              <a16:creationId xmlns:a16="http://schemas.microsoft.com/office/drawing/2014/main" id="{00000000-0008-0000-26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0834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286</xdr:row>
      <xdr:rowOff>123825</xdr:rowOff>
    </xdr:from>
    <xdr:to>
      <xdr:col>20</xdr:col>
      <xdr:colOff>1895475</xdr:colOff>
      <xdr:row>287</xdr:row>
      <xdr:rowOff>152400</xdr:rowOff>
    </xdr:to>
    <xdr:pic>
      <xdr:nvPicPr>
        <xdr:cNvPr id="6" name="Picture 5" descr="C:\WINDOWS\TEMP\~0003946.gif">
          <a:extLst>
            <a:ext uri="{FF2B5EF4-FFF2-40B4-BE49-F238E27FC236}">
              <a16:creationId xmlns:a16="http://schemas.microsoft.com/office/drawing/2014/main" id="{00000000-0008-0000-26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580453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191</xdr:row>
      <xdr:rowOff>152400</xdr:rowOff>
    </xdr:from>
    <xdr:to>
      <xdr:col>20</xdr:col>
      <xdr:colOff>1924050</xdr:colOff>
      <xdr:row>192</xdr:row>
      <xdr:rowOff>180975</xdr:rowOff>
    </xdr:to>
    <xdr:pic>
      <xdr:nvPicPr>
        <xdr:cNvPr id="7" name="Picture 6" descr="C:\WINDOWS\TEMP\~0003946.gif">
          <a:extLst>
            <a:ext uri="{FF2B5EF4-FFF2-40B4-BE49-F238E27FC236}">
              <a16:creationId xmlns:a16="http://schemas.microsoft.com/office/drawing/2014/main" id="{00000000-0008-0000-26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389858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131</xdr:row>
      <xdr:rowOff>161925</xdr:rowOff>
    </xdr:from>
    <xdr:to>
      <xdr:col>20</xdr:col>
      <xdr:colOff>1952625</xdr:colOff>
      <xdr:row>132</xdr:row>
      <xdr:rowOff>190500</xdr:rowOff>
    </xdr:to>
    <xdr:pic>
      <xdr:nvPicPr>
        <xdr:cNvPr id="8" name="Picture 7" descr="C:\WINDOWS\TEMP\~0003946.gif">
          <a:extLst>
            <a:ext uri="{FF2B5EF4-FFF2-40B4-BE49-F238E27FC236}">
              <a16:creationId xmlns:a16="http://schemas.microsoft.com/office/drawing/2014/main" id="{00000000-0008-0000-26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26917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26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62</xdr:row>
      <xdr:rowOff>123825</xdr:rowOff>
    </xdr:from>
    <xdr:to>
      <xdr:col>20</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26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131</xdr:row>
      <xdr:rowOff>123825</xdr:rowOff>
    </xdr:from>
    <xdr:to>
      <xdr:col>20</xdr:col>
      <xdr:colOff>895350</xdr:colOff>
      <xdr:row>132</xdr:row>
      <xdr:rowOff>152400</xdr:rowOff>
    </xdr:to>
    <xdr:pic>
      <xdr:nvPicPr>
        <xdr:cNvPr id="11" name="Picture 10" descr="C:\WINDOWS\TEMP\~0003946.gif">
          <a:extLst>
            <a:ext uri="{FF2B5EF4-FFF2-40B4-BE49-F238E27FC236}">
              <a16:creationId xmlns:a16="http://schemas.microsoft.com/office/drawing/2014/main" id="{00000000-0008-0000-26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268795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191</xdr:row>
      <xdr:rowOff>104775</xdr:rowOff>
    </xdr:from>
    <xdr:to>
      <xdr:col>20</xdr:col>
      <xdr:colOff>809625</xdr:colOff>
      <xdr:row>192</xdr:row>
      <xdr:rowOff>133350</xdr:rowOff>
    </xdr:to>
    <xdr:pic>
      <xdr:nvPicPr>
        <xdr:cNvPr id="12" name="Picture 11" descr="C:\WINDOWS\TEMP\~0003946.gif">
          <a:extLst>
            <a:ext uri="{FF2B5EF4-FFF2-40B4-BE49-F238E27FC236}">
              <a16:creationId xmlns:a16="http://schemas.microsoft.com/office/drawing/2014/main" id="{00000000-0008-0000-26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583775" y="389382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286</xdr:row>
      <xdr:rowOff>104775</xdr:rowOff>
    </xdr:from>
    <xdr:to>
      <xdr:col>20</xdr:col>
      <xdr:colOff>895350</xdr:colOff>
      <xdr:row>287</xdr:row>
      <xdr:rowOff>133350</xdr:rowOff>
    </xdr:to>
    <xdr:pic>
      <xdr:nvPicPr>
        <xdr:cNvPr id="13" name="Picture 12" descr="C:\WINDOWS\TEMP\~0003946.gif">
          <a:extLst>
            <a:ext uri="{FF2B5EF4-FFF2-40B4-BE49-F238E27FC236}">
              <a16:creationId xmlns:a16="http://schemas.microsoft.com/office/drawing/2014/main" id="{00000000-0008-0000-26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58026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14" name="Picture 13" descr="logoMTL">
          <a:extLst>
            <a:ext uri="{FF2B5EF4-FFF2-40B4-BE49-F238E27FC236}">
              <a16:creationId xmlns:a16="http://schemas.microsoft.com/office/drawing/2014/main" id="{00000000-0008-0000-26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131</xdr:row>
      <xdr:rowOff>38100</xdr:rowOff>
    </xdr:from>
    <xdr:to>
      <xdr:col>19</xdr:col>
      <xdr:colOff>1171575</xdr:colOff>
      <xdr:row>132</xdr:row>
      <xdr:rowOff>161925</xdr:rowOff>
    </xdr:to>
    <xdr:pic>
      <xdr:nvPicPr>
        <xdr:cNvPr id="15" name="Picture 14" descr="logoMTL">
          <a:extLst>
            <a:ext uri="{FF2B5EF4-FFF2-40B4-BE49-F238E27FC236}">
              <a16:creationId xmlns:a16="http://schemas.microsoft.com/office/drawing/2014/main" id="{00000000-0008-0000-26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26793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191</xdr:row>
      <xdr:rowOff>28575</xdr:rowOff>
    </xdr:from>
    <xdr:to>
      <xdr:col>19</xdr:col>
      <xdr:colOff>1171575</xdr:colOff>
      <xdr:row>192</xdr:row>
      <xdr:rowOff>152400</xdr:rowOff>
    </xdr:to>
    <xdr:pic>
      <xdr:nvPicPr>
        <xdr:cNvPr id="16" name="Picture 15" descr="logoMTL">
          <a:extLst>
            <a:ext uri="{FF2B5EF4-FFF2-40B4-BE49-F238E27FC236}">
              <a16:creationId xmlns:a16="http://schemas.microsoft.com/office/drawing/2014/main" id="{00000000-0008-0000-26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388620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286</xdr:row>
      <xdr:rowOff>0</xdr:rowOff>
    </xdr:from>
    <xdr:to>
      <xdr:col>19</xdr:col>
      <xdr:colOff>1228725</xdr:colOff>
      <xdr:row>287</xdr:row>
      <xdr:rowOff>123825</xdr:rowOff>
    </xdr:to>
    <xdr:pic>
      <xdr:nvPicPr>
        <xdr:cNvPr id="17" name="Picture 16" descr="logoMTL">
          <a:extLst>
            <a:ext uri="{FF2B5EF4-FFF2-40B4-BE49-F238E27FC236}">
              <a16:creationId xmlns:a16="http://schemas.microsoft.com/office/drawing/2014/main" id="{00000000-0008-0000-26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36050" y="579215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62769" name="Picture 1" descr="C:\WINDOWS\TEMP\Symbol.gif">
          <a:extLst>
            <a:ext uri="{FF2B5EF4-FFF2-40B4-BE49-F238E27FC236}">
              <a16:creationId xmlns:a16="http://schemas.microsoft.com/office/drawing/2014/main" id="{00000000-0008-0000-0300-000031F5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130</xdr:row>
      <xdr:rowOff>161925</xdr:rowOff>
    </xdr:from>
    <xdr:to>
      <xdr:col>1</xdr:col>
      <xdr:colOff>28575</xdr:colOff>
      <xdr:row>131</xdr:row>
      <xdr:rowOff>200025</xdr:rowOff>
    </xdr:to>
    <xdr:pic>
      <xdr:nvPicPr>
        <xdr:cNvPr id="62770" name="Picture 2" descr="C:\WINDOWS\TEMP\Symbol.gif">
          <a:extLst>
            <a:ext uri="{FF2B5EF4-FFF2-40B4-BE49-F238E27FC236}">
              <a16:creationId xmlns:a16="http://schemas.microsoft.com/office/drawing/2014/main" id="{00000000-0008-0000-0300-000032F5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67176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189</xdr:row>
      <xdr:rowOff>171450</xdr:rowOff>
    </xdr:from>
    <xdr:to>
      <xdr:col>1</xdr:col>
      <xdr:colOff>47625</xdr:colOff>
      <xdr:row>190</xdr:row>
      <xdr:rowOff>209550</xdr:rowOff>
    </xdr:to>
    <xdr:pic>
      <xdr:nvPicPr>
        <xdr:cNvPr id="62771" name="Picture 3" descr="C:\WINDOWS\TEMP\Symbol.gif">
          <a:extLst>
            <a:ext uri="{FF2B5EF4-FFF2-40B4-BE49-F238E27FC236}">
              <a16:creationId xmlns:a16="http://schemas.microsoft.com/office/drawing/2014/main" id="{00000000-0008-0000-0300-000033F5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8604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273</xdr:row>
      <xdr:rowOff>161925</xdr:rowOff>
    </xdr:from>
    <xdr:to>
      <xdr:col>1</xdr:col>
      <xdr:colOff>19050</xdr:colOff>
      <xdr:row>274</xdr:row>
      <xdr:rowOff>200025</xdr:rowOff>
    </xdr:to>
    <xdr:pic>
      <xdr:nvPicPr>
        <xdr:cNvPr id="62772" name="Picture 4" descr="C:\WINDOWS\TEMP\Symbol.gif">
          <a:extLst>
            <a:ext uri="{FF2B5EF4-FFF2-40B4-BE49-F238E27FC236}">
              <a16:creationId xmlns:a16="http://schemas.microsoft.com/office/drawing/2014/main" id="{00000000-0008-0000-0300-000034F5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54831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273</xdr:row>
      <xdr:rowOff>123825</xdr:rowOff>
    </xdr:from>
    <xdr:to>
      <xdr:col>20</xdr:col>
      <xdr:colOff>1895475</xdr:colOff>
      <xdr:row>274</xdr:row>
      <xdr:rowOff>152400</xdr:rowOff>
    </xdr:to>
    <xdr:pic>
      <xdr:nvPicPr>
        <xdr:cNvPr id="62773" name="Picture 5" descr="C:\WINDOWS\TEMP\~0003946.gif">
          <a:extLst>
            <a:ext uri="{FF2B5EF4-FFF2-40B4-BE49-F238E27FC236}">
              <a16:creationId xmlns:a16="http://schemas.microsoft.com/office/drawing/2014/main" id="{00000000-0008-0000-0300-000035F5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3583900" y="554450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189</xdr:row>
      <xdr:rowOff>152400</xdr:rowOff>
    </xdr:from>
    <xdr:to>
      <xdr:col>20</xdr:col>
      <xdr:colOff>1924050</xdr:colOff>
      <xdr:row>190</xdr:row>
      <xdr:rowOff>180975</xdr:rowOff>
    </xdr:to>
    <xdr:pic>
      <xdr:nvPicPr>
        <xdr:cNvPr id="62774" name="Picture 6" descr="C:\WINDOWS\TEMP\~0003946.gif">
          <a:extLst>
            <a:ext uri="{FF2B5EF4-FFF2-40B4-BE49-F238E27FC236}">
              <a16:creationId xmlns:a16="http://schemas.microsoft.com/office/drawing/2014/main" id="{00000000-0008-0000-0300-000036F50000}"/>
            </a:ext>
          </a:extLst>
        </xdr:cNvPr>
        <xdr:cNvPicPr>
          <a:picLocks noChangeAspect="1" noChangeArrowheads="1"/>
        </xdr:cNvPicPr>
      </xdr:nvPicPr>
      <xdr:blipFill>
        <a:blip xmlns:r="http://schemas.openxmlformats.org/officeDocument/2006/relationships" r:embed="rId4" r:link="rId3">
          <a:extLst>
            <a:ext uri="{28A0092B-C50C-407E-A947-70E740481C1C}">
              <a14:useLocalDpi xmlns:a14="http://schemas.microsoft.com/office/drawing/2010/main" val="0"/>
            </a:ext>
          </a:extLst>
        </a:blip>
        <a:srcRect/>
        <a:stretch>
          <a:fillRect/>
        </a:stretch>
      </xdr:blipFill>
      <xdr:spPr bwMode="auto">
        <a:xfrm>
          <a:off x="23583900" y="38585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130</xdr:row>
      <xdr:rowOff>161925</xdr:rowOff>
    </xdr:from>
    <xdr:to>
      <xdr:col>20</xdr:col>
      <xdr:colOff>1952625</xdr:colOff>
      <xdr:row>131</xdr:row>
      <xdr:rowOff>190500</xdr:rowOff>
    </xdr:to>
    <xdr:pic>
      <xdr:nvPicPr>
        <xdr:cNvPr id="62775" name="Picture 7" descr="C:\WINDOWS\TEMP\~0003946.gif">
          <a:extLst>
            <a:ext uri="{FF2B5EF4-FFF2-40B4-BE49-F238E27FC236}">
              <a16:creationId xmlns:a16="http://schemas.microsoft.com/office/drawing/2014/main" id="{00000000-0008-0000-0300-000037F50000}"/>
            </a:ext>
          </a:extLst>
        </xdr:cNvPr>
        <xdr:cNvPicPr>
          <a:picLocks noChangeAspect="1" noChangeArrowheads="1"/>
        </xdr:cNvPicPr>
      </xdr:nvPicPr>
      <xdr:blipFill>
        <a:blip xmlns:r="http://schemas.openxmlformats.org/officeDocument/2006/relationships" r:embed="rId4" r:link="rId3">
          <a:extLst>
            <a:ext uri="{28A0092B-C50C-407E-A947-70E740481C1C}">
              <a14:useLocalDpi xmlns:a14="http://schemas.microsoft.com/office/drawing/2010/main" val="0"/>
            </a:ext>
          </a:extLst>
        </a:blip>
        <a:srcRect/>
        <a:stretch>
          <a:fillRect/>
        </a:stretch>
      </xdr:blipFill>
      <xdr:spPr bwMode="auto">
        <a:xfrm>
          <a:off x="23583900" y="26717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62776" name="Picture 8" descr="C:\WINDOWS\TEMP\~0003946.gif">
          <a:extLst>
            <a:ext uri="{FF2B5EF4-FFF2-40B4-BE49-F238E27FC236}">
              <a16:creationId xmlns:a16="http://schemas.microsoft.com/office/drawing/2014/main" id="{00000000-0008-0000-0300-000038F50000}"/>
            </a:ext>
          </a:extLst>
        </xdr:cNvPr>
        <xdr:cNvPicPr>
          <a:picLocks noChangeAspect="1" noChangeArrowheads="1"/>
        </xdr:cNvPicPr>
      </xdr:nvPicPr>
      <xdr:blipFill>
        <a:blip xmlns:r="http://schemas.openxmlformats.org/officeDocument/2006/relationships" r:embed="rId4" r:link="rId3">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62</xdr:row>
      <xdr:rowOff>123825</xdr:rowOff>
    </xdr:from>
    <xdr:to>
      <xdr:col>20</xdr:col>
      <xdr:colOff>885825</xdr:colOff>
      <xdr:row>63</xdr:row>
      <xdr:rowOff>152400</xdr:rowOff>
    </xdr:to>
    <xdr:pic>
      <xdr:nvPicPr>
        <xdr:cNvPr id="62777" name="Picture 9" descr="C:\WINDOWS\TEMP\~0003946.gif">
          <a:extLst>
            <a:ext uri="{FF2B5EF4-FFF2-40B4-BE49-F238E27FC236}">
              <a16:creationId xmlns:a16="http://schemas.microsoft.com/office/drawing/2014/main" id="{00000000-0008-0000-0300-000039F50000}"/>
            </a:ext>
          </a:extLst>
        </xdr:cNvPr>
        <xdr:cNvPicPr>
          <a:picLocks noChangeAspect="1" noChangeArrowheads="1"/>
        </xdr:cNvPicPr>
      </xdr:nvPicPr>
      <xdr:blipFill>
        <a:blip xmlns:r="http://schemas.openxmlformats.org/officeDocument/2006/relationships" r:embed="rId5" r:link="rId3" cstate="print">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130</xdr:row>
      <xdr:rowOff>123825</xdr:rowOff>
    </xdr:from>
    <xdr:to>
      <xdr:col>20</xdr:col>
      <xdr:colOff>895350</xdr:colOff>
      <xdr:row>131</xdr:row>
      <xdr:rowOff>152400</xdr:rowOff>
    </xdr:to>
    <xdr:pic>
      <xdr:nvPicPr>
        <xdr:cNvPr id="62778" name="Picture 10" descr="C:\WINDOWS\TEMP\~0003946.gif">
          <a:extLst>
            <a:ext uri="{FF2B5EF4-FFF2-40B4-BE49-F238E27FC236}">
              <a16:creationId xmlns:a16="http://schemas.microsoft.com/office/drawing/2014/main" id="{00000000-0008-0000-0300-00003AF50000}"/>
            </a:ext>
          </a:extLst>
        </xdr:cNvPr>
        <xdr:cNvPicPr>
          <a:picLocks noChangeAspect="1" noChangeArrowheads="1"/>
        </xdr:cNvPicPr>
      </xdr:nvPicPr>
      <xdr:blipFill>
        <a:blip xmlns:r="http://schemas.openxmlformats.org/officeDocument/2006/relationships" r:embed="rId5" r:link="rId3" cstate="print">
          <a:extLst>
            <a:ext uri="{28A0092B-C50C-407E-A947-70E740481C1C}">
              <a14:useLocalDpi xmlns:a14="http://schemas.microsoft.com/office/drawing/2010/main" val="0"/>
            </a:ext>
          </a:extLst>
        </a:blip>
        <a:srcRect/>
        <a:stretch>
          <a:fillRect/>
        </a:stretch>
      </xdr:blipFill>
      <xdr:spPr bwMode="auto">
        <a:xfrm>
          <a:off x="22669500" y="26679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189</xdr:row>
      <xdr:rowOff>104775</xdr:rowOff>
    </xdr:from>
    <xdr:to>
      <xdr:col>20</xdr:col>
      <xdr:colOff>809625</xdr:colOff>
      <xdr:row>190</xdr:row>
      <xdr:rowOff>133350</xdr:rowOff>
    </xdr:to>
    <xdr:pic>
      <xdr:nvPicPr>
        <xdr:cNvPr id="62779" name="Picture 11" descr="C:\WINDOWS\TEMP\~0003946.gif">
          <a:extLst>
            <a:ext uri="{FF2B5EF4-FFF2-40B4-BE49-F238E27FC236}">
              <a16:creationId xmlns:a16="http://schemas.microsoft.com/office/drawing/2014/main" id="{00000000-0008-0000-0300-00003BF50000}"/>
            </a:ext>
          </a:extLst>
        </xdr:cNvPr>
        <xdr:cNvPicPr>
          <a:picLocks noChangeAspect="1" noChangeArrowheads="1"/>
        </xdr:cNvPicPr>
      </xdr:nvPicPr>
      <xdr:blipFill>
        <a:blip xmlns:r="http://schemas.openxmlformats.org/officeDocument/2006/relationships" r:embed="rId5" r:link="rId3" cstate="print">
          <a:extLst>
            <a:ext uri="{28A0092B-C50C-407E-A947-70E740481C1C}">
              <a14:useLocalDpi xmlns:a14="http://schemas.microsoft.com/office/drawing/2010/main" val="0"/>
            </a:ext>
          </a:extLst>
        </a:blip>
        <a:srcRect/>
        <a:stretch>
          <a:fillRect/>
        </a:stretch>
      </xdr:blipFill>
      <xdr:spPr bwMode="auto">
        <a:xfrm>
          <a:off x="22583775" y="38538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273</xdr:row>
      <xdr:rowOff>104775</xdr:rowOff>
    </xdr:from>
    <xdr:to>
      <xdr:col>20</xdr:col>
      <xdr:colOff>895350</xdr:colOff>
      <xdr:row>274</xdr:row>
      <xdr:rowOff>133350</xdr:rowOff>
    </xdr:to>
    <xdr:pic>
      <xdr:nvPicPr>
        <xdr:cNvPr id="62780" name="Picture 12" descr="C:\WINDOWS\TEMP\~0003946.gif">
          <a:extLst>
            <a:ext uri="{FF2B5EF4-FFF2-40B4-BE49-F238E27FC236}">
              <a16:creationId xmlns:a16="http://schemas.microsoft.com/office/drawing/2014/main" id="{00000000-0008-0000-0300-00003CF50000}"/>
            </a:ext>
          </a:extLst>
        </xdr:cNvPr>
        <xdr:cNvPicPr>
          <a:picLocks noChangeAspect="1" noChangeArrowheads="1"/>
        </xdr:cNvPicPr>
      </xdr:nvPicPr>
      <xdr:blipFill>
        <a:blip xmlns:r="http://schemas.openxmlformats.org/officeDocument/2006/relationships" r:embed="rId5" r:link="rId3" cstate="print">
          <a:extLst>
            <a:ext uri="{28A0092B-C50C-407E-A947-70E740481C1C}">
              <a14:useLocalDpi xmlns:a14="http://schemas.microsoft.com/office/drawing/2010/main" val="0"/>
            </a:ext>
          </a:extLst>
        </a:blip>
        <a:srcRect/>
        <a:stretch>
          <a:fillRect/>
        </a:stretch>
      </xdr:blipFill>
      <xdr:spPr bwMode="auto">
        <a:xfrm>
          <a:off x="22669500" y="554259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62781" name="Picture 13" descr="logoMTL">
          <a:extLst>
            <a:ext uri="{FF2B5EF4-FFF2-40B4-BE49-F238E27FC236}">
              <a16:creationId xmlns:a16="http://schemas.microsoft.com/office/drawing/2014/main" id="{00000000-0008-0000-0300-00003DF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130</xdr:row>
      <xdr:rowOff>38100</xdr:rowOff>
    </xdr:from>
    <xdr:to>
      <xdr:col>19</xdr:col>
      <xdr:colOff>1171575</xdr:colOff>
      <xdr:row>131</xdr:row>
      <xdr:rowOff>161925</xdr:rowOff>
    </xdr:to>
    <xdr:pic>
      <xdr:nvPicPr>
        <xdr:cNvPr id="62782" name="Picture 14" descr="logoMTL">
          <a:extLst>
            <a:ext uri="{FF2B5EF4-FFF2-40B4-BE49-F238E27FC236}">
              <a16:creationId xmlns:a16="http://schemas.microsoft.com/office/drawing/2014/main" id="{00000000-0008-0000-0300-00003EF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26593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189</xdr:row>
      <xdr:rowOff>28575</xdr:rowOff>
    </xdr:from>
    <xdr:to>
      <xdr:col>19</xdr:col>
      <xdr:colOff>1171575</xdr:colOff>
      <xdr:row>190</xdr:row>
      <xdr:rowOff>152400</xdr:rowOff>
    </xdr:to>
    <xdr:pic>
      <xdr:nvPicPr>
        <xdr:cNvPr id="62783" name="Picture 15" descr="logoMTL">
          <a:extLst>
            <a:ext uri="{FF2B5EF4-FFF2-40B4-BE49-F238E27FC236}">
              <a16:creationId xmlns:a16="http://schemas.microsoft.com/office/drawing/2014/main" id="{00000000-0008-0000-0300-00003FF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384619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273</xdr:row>
      <xdr:rowOff>0</xdr:rowOff>
    </xdr:from>
    <xdr:to>
      <xdr:col>19</xdr:col>
      <xdr:colOff>1228725</xdr:colOff>
      <xdr:row>274</xdr:row>
      <xdr:rowOff>123825</xdr:rowOff>
    </xdr:to>
    <xdr:pic>
      <xdr:nvPicPr>
        <xdr:cNvPr id="62784" name="Picture 16" descr="logoMTL">
          <a:extLst>
            <a:ext uri="{FF2B5EF4-FFF2-40B4-BE49-F238E27FC236}">
              <a16:creationId xmlns:a16="http://schemas.microsoft.com/office/drawing/2014/main" id="{00000000-0008-0000-0300-000040F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36050" y="553212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27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131</xdr:row>
      <xdr:rowOff>161925</xdr:rowOff>
    </xdr:from>
    <xdr:to>
      <xdr:col>1</xdr:col>
      <xdr:colOff>28575</xdr:colOff>
      <xdr:row>132</xdr:row>
      <xdr:rowOff>200025</xdr:rowOff>
    </xdr:to>
    <xdr:pic>
      <xdr:nvPicPr>
        <xdr:cNvPr id="3" name="Picture 2" descr="C:\WINDOWS\TEMP\Symbol.gif">
          <a:extLst>
            <a:ext uri="{FF2B5EF4-FFF2-40B4-BE49-F238E27FC236}">
              <a16:creationId xmlns:a16="http://schemas.microsoft.com/office/drawing/2014/main" id="{00000000-0008-0000-27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69176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191</xdr:row>
      <xdr:rowOff>171450</xdr:rowOff>
    </xdr:from>
    <xdr:to>
      <xdr:col>1</xdr:col>
      <xdr:colOff>47625</xdr:colOff>
      <xdr:row>192</xdr:row>
      <xdr:rowOff>209550</xdr:rowOff>
    </xdr:to>
    <xdr:pic>
      <xdr:nvPicPr>
        <xdr:cNvPr id="4" name="Picture 3" descr="C:\WINDOWS\TEMP\Symbol.gif">
          <a:extLst>
            <a:ext uri="{FF2B5EF4-FFF2-40B4-BE49-F238E27FC236}">
              <a16:creationId xmlns:a16="http://schemas.microsoft.com/office/drawing/2014/main" id="{00000000-0008-0000-27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0048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286</xdr:row>
      <xdr:rowOff>161925</xdr:rowOff>
    </xdr:from>
    <xdr:to>
      <xdr:col>1</xdr:col>
      <xdr:colOff>19050</xdr:colOff>
      <xdr:row>287</xdr:row>
      <xdr:rowOff>200025</xdr:rowOff>
    </xdr:to>
    <xdr:pic>
      <xdr:nvPicPr>
        <xdr:cNvPr id="5" name="Picture 4" descr="C:\WINDOWS\TEMP\Symbol.gif">
          <a:extLst>
            <a:ext uri="{FF2B5EF4-FFF2-40B4-BE49-F238E27FC236}">
              <a16:creationId xmlns:a16="http://schemas.microsoft.com/office/drawing/2014/main" id="{00000000-0008-0000-27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0834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286</xdr:row>
      <xdr:rowOff>123825</xdr:rowOff>
    </xdr:from>
    <xdr:to>
      <xdr:col>20</xdr:col>
      <xdr:colOff>1895475</xdr:colOff>
      <xdr:row>287</xdr:row>
      <xdr:rowOff>152400</xdr:rowOff>
    </xdr:to>
    <xdr:pic>
      <xdr:nvPicPr>
        <xdr:cNvPr id="6" name="Picture 5" descr="C:\WINDOWS\TEMP\~0003946.gif">
          <a:extLst>
            <a:ext uri="{FF2B5EF4-FFF2-40B4-BE49-F238E27FC236}">
              <a16:creationId xmlns:a16="http://schemas.microsoft.com/office/drawing/2014/main" id="{00000000-0008-0000-27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580453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191</xdr:row>
      <xdr:rowOff>152400</xdr:rowOff>
    </xdr:from>
    <xdr:to>
      <xdr:col>20</xdr:col>
      <xdr:colOff>1924050</xdr:colOff>
      <xdr:row>192</xdr:row>
      <xdr:rowOff>180975</xdr:rowOff>
    </xdr:to>
    <xdr:pic>
      <xdr:nvPicPr>
        <xdr:cNvPr id="7" name="Picture 6" descr="C:\WINDOWS\TEMP\~0003946.gif">
          <a:extLst>
            <a:ext uri="{FF2B5EF4-FFF2-40B4-BE49-F238E27FC236}">
              <a16:creationId xmlns:a16="http://schemas.microsoft.com/office/drawing/2014/main" id="{00000000-0008-0000-27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389858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131</xdr:row>
      <xdr:rowOff>161925</xdr:rowOff>
    </xdr:from>
    <xdr:to>
      <xdr:col>20</xdr:col>
      <xdr:colOff>1952625</xdr:colOff>
      <xdr:row>132</xdr:row>
      <xdr:rowOff>190500</xdr:rowOff>
    </xdr:to>
    <xdr:pic>
      <xdr:nvPicPr>
        <xdr:cNvPr id="8" name="Picture 7" descr="C:\WINDOWS\TEMP\~0003946.gif">
          <a:extLst>
            <a:ext uri="{FF2B5EF4-FFF2-40B4-BE49-F238E27FC236}">
              <a16:creationId xmlns:a16="http://schemas.microsoft.com/office/drawing/2014/main" id="{00000000-0008-0000-27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26917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27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62</xdr:row>
      <xdr:rowOff>123825</xdr:rowOff>
    </xdr:from>
    <xdr:to>
      <xdr:col>20</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27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131</xdr:row>
      <xdr:rowOff>123825</xdr:rowOff>
    </xdr:from>
    <xdr:to>
      <xdr:col>20</xdr:col>
      <xdr:colOff>895350</xdr:colOff>
      <xdr:row>132</xdr:row>
      <xdr:rowOff>152400</xdr:rowOff>
    </xdr:to>
    <xdr:pic>
      <xdr:nvPicPr>
        <xdr:cNvPr id="11" name="Picture 10" descr="C:\WINDOWS\TEMP\~0003946.gif">
          <a:extLst>
            <a:ext uri="{FF2B5EF4-FFF2-40B4-BE49-F238E27FC236}">
              <a16:creationId xmlns:a16="http://schemas.microsoft.com/office/drawing/2014/main" id="{00000000-0008-0000-27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268795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191</xdr:row>
      <xdr:rowOff>104775</xdr:rowOff>
    </xdr:from>
    <xdr:to>
      <xdr:col>20</xdr:col>
      <xdr:colOff>809625</xdr:colOff>
      <xdr:row>192</xdr:row>
      <xdr:rowOff>133350</xdr:rowOff>
    </xdr:to>
    <xdr:pic>
      <xdr:nvPicPr>
        <xdr:cNvPr id="12" name="Picture 11" descr="C:\WINDOWS\TEMP\~0003946.gif">
          <a:extLst>
            <a:ext uri="{FF2B5EF4-FFF2-40B4-BE49-F238E27FC236}">
              <a16:creationId xmlns:a16="http://schemas.microsoft.com/office/drawing/2014/main" id="{00000000-0008-0000-27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583775" y="389382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286</xdr:row>
      <xdr:rowOff>104775</xdr:rowOff>
    </xdr:from>
    <xdr:to>
      <xdr:col>20</xdr:col>
      <xdr:colOff>895350</xdr:colOff>
      <xdr:row>287</xdr:row>
      <xdr:rowOff>133350</xdr:rowOff>
    </xdr:to>
    <xdr:pic>
      <xdr:nvPicPr>
        <xdr:cNvPr id="13" name="Picture 12" descr="C:\WINDOWS\TEMP\~0003946.gif">
          <a:extLst>
            <a:ext uri="{FF2B5EF4-FFF2-40B4-BE49-F238E27FC236}">
              <a16:creationId xmlns:a16="http://schemas.microsoft.com/office/drawing/2014/main" id="{00000000-0008-0000-27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58026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14" name="Picture 13" descr="logoMTL">
          <a:extLst>
            <a:ext uri="{FF2B5EF4-FFF2-40B4-BE49-F238E27FC236}">
              <a16:creationId xmlns:a16="http://schemas.microsoft.com/office/drawing/2014/main" id="{00000000-0008-0000-27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131</xdr:row>
      <xdr:rowOff>38100</xdr:rowOff>
    </xdr:from>
    <xdr:to>
      <xdr:col>19</xdr:col>
      <xdr:colOff>1171575</xdr:colOff>
      <xdr:row>132</xdr:row>
      <xdr:rowOff>161925</xdr:rowOff>
    </xdr:to>
    <xdr:pic>
      <xdr:nvPicPr>
        <xdr:cNvPr id="15" name="Picture 14" descr="logoMTL">
          <a:extLst>
            <a:ext uri="{FF2B5EF4-FFF2-40B4-BE49-F238E27FC236}">
              <a16:creationId xmlns:a16="http://schemas.microsoft.com/office/drawing/2014/main" id="{00000000-0008-0000-27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26793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191</xdr:row>
      <xdr:rowOff>28575</xdr:rowOff>
    </xdr:from>
    <xdr:to>
      <xdr:col>19</xdr:col>
      <xdr:colOff>1171575</xdr:colOff>
      <xdr:row>192</xdr:row>
      <xdr:rowOff>152400</xdr:rowOff>
    </xdr:to>
    <xdr:pic>
      <xdr:nvPicPr>
        <xdr:cNvPr id="16" name="Picture 15" descr="logoMTL">
          <a:extLst>
            <a:ext uri="{FF2B5EF4-FFF2-40B4-BE49-F238E27FC236}">
              <a16:creationId xmlns:a16="http://schemas.microsoft.com/office/drawing/2014/main" id="{00000000-0008-0000-27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388620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286</xdr:row>
      <xdr:rowOff>0</xdr:rowOff>
    </xdr:from>
    <xdr:to>
      <xdr:col>19</xdr:col>
      <xdr:colOff>1228725</xdr:colOff>
      <xdr:row>287</xdr:row>
      <xdr:rowOff>123825</xdr:rowOff>
    </xdr:to>
    <xdr:pic>
      <xdr:nvPicPr>
        <xdr:cNvPr id="17" name="Picture 16" descr="logoMTL">
          <a:extLst>
            <a:ext uri="{FF2B5EF4-FFF2-40B4-BE49-F238E27FC236}">
              <a16:creationId xmlns:a16="http://schemas.microsoft.com/office/drawing/2014/main" id="{00000000-0008-0000-27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36050" y="579215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28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131</xdr:row>
      <xdr:rowOff>161925</xdr:rowOff>
    </xdr:from>
    <xdr:to>
      <xdr:col>1</xdr:col>
      <xdr:colOff>28575</xdr:colOff>
      <xdr:row>132</xdr:row>
      <xdr:rowOff>200025</xdr:rowOff>
    </xdr:to>
    <xdr:pic>
      <xdr:nvPicPr>
        <xdr:cNvPr id="3" name="Picture 2" descr="C:\WINDOWS\TEMP\Symbol.gif">
          <a:extLst>
            <a:ext uri="{FF2B5EF4-FFF2-40B4-BE49-F238E27FC236}">
              <a16:creationId xmlns:a16="http://schemas.microsoft.com/office/drawing/2014/main" id="{00000000-0008-0000-28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69176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191</xdr:row>
      <xdr:rowOff>171450</xdr:rowOff>
    </xdr:from>
    <xdr:to>
      <xdr:col>1</xdr:col>
      <xdr:colOff>47625</xdr:colOff>
      <xdr:row>192</xdr:row>
      <xdr:rowOff>209550</xdr:rowOff>
    </xdr:to>
    <xdr:pic>
      <xdr:nvPicPr>
        <xdr:cNvPr id="4" name="Picture 3" descr="C:\WINDOWS\TEMP\Symbol.gif">
          <a:extLst>
            <a:ext uri="{FF2B5EF4-FFF2-40B4-BE49-F238E27FC236}">
              <a16:creationId xmlns:a16="http://schemas.microsoft.com/office/drawing/2014/main" id="{00000000-0008-0000-28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0048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286</xdr:row>
      <xdr:rowOff>161925</xdr:rowOff>
    </xdr:from>
    <xdr:to>
      <xdr:col>1</xdr:col>
      <xdr:colOff>19050</xdr:colOff>
      <xdr:row>287</xdr:row>
      <xdr:rowOff>200025</xdr:rowOff>
    </xdr:to>
    <xdr:pic>
      <xdr:nvPicPr>
        <xdr:cNvPr id="5" name="Picture 4" descr="C:\WINDOWS\TEMP\Symbol.gif">
          <a:extLst>
            <a:ext uri="{FF2B5EF4-FFF2-40B4-BE49-F238E27FC236}">
              <a16:creationId xmlns:a16="http://schemas.microsoft.com/office/drawing/2014/main" id="{00000000-0008-0000-28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0834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286</xdr:row>
      <xdr:rowOff>123825</xdr:rowOff>
    </xdr:from>
    <xdr:to>
      <xdr:col>20</xdr:col>
      <xdr:colOff>1895475</xdr:colOff>
      <xdr:row>287</xdr:row>
      <xdr:rowOff>152400</xdr:rowOff>
    </xdr:to>
    <xdr:pic>
      <xdr:nvPicPr>
        <xdr:cNvPr id="6" name="Picture 5" descr="C:\WINDOWS\TEMP\~0003946.gif">
          <a:extLst>
            <a:ext uri="{FF2B5EF4-FFF2-40B4-BE49-F238E27FC236}">
              <a16:creationId xmlns:a16="http://schemas.microsoft.com/office/drawing/2014/main" id="{00000000-0008-0000-28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580453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191</xdr:row>
      <xdr:rowOff>152400</xdr:rowOff>
    </xdr:from>
    <xdr:to>
      <xdr:col>20</xdr:col>
      <xdr:colOff>1924050</xdr:colOff>
      <xdr:row>192</xdr:row>
      <xdr:rowOff>180975</xdr:rowOff>
    </xdr:to>
    <xdr:pic>
      <xdr:nvPicPr>
        <xdr:cNvPr id="7" name="Picture 6" descr="C:\WINDOWS\TEMP\~0003946.gif">
          <a:extLst>
            <a:ext uri="{FF2B5EF4-FFF2-40B4-BE49-F238E27FC236}">
              <a16:creationId xmlns:a16="http://schemas.microsoft.com/office/drawing/2014/main" id="{00000000-0008-0000-28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389858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131</xdr:row>
      <xdr:rowOff>161925</xdr:rowOff>
    </xdr:from>
    <xdr:to>
      <xdr:col>20</xdr:col>
      <xdr:colOff>1952625</xdr:colOff>
      <xdr:row>132</xdr:row>
      <xdr:rowOff>190500</xdr:rowOff>
    </xdr:to>
    <xdr:pic>
      <xdr:nvPicPr>
        <xdr:cNvPr id="8" name="Picture 7" descr="C:\WINDOWS\TEMP\~0003946.gif">
          <a:extLst>
            <a:ext uri="{FF2B5EF4-FFF2-40B4-BE49-F238E27FC236}">
              <a16:creationId xmlns:a16="http://schemas.microsoft.com/office/drawing/2014/main" id="{00000000-0008-0000-28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26917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28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62</xdr:row>
      <xdr:rowOff>123825</xdr:rowOff>
    </xdr:from>
    <xdr:to>
      <xdr:col>20</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28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131</xdr:row>
      <xdr:rowOff>123825</xdr:rowOff>
    </xdr:from>
    <xdr:to>
      <xdr:col>20</xdr:col>
      <xdr:colOff>895350</xdr:colOff>
      <xdr:row>132</xdr:row>
      <xdr:rowOff>152400</xdr:rowOff>
    </xdr:to>
    <xdr:pic>
      <xdr:nvPicPr>
        <xdr:cNvPr id="11" name="Picture 10" descr="C:\WINDOWS\TEMP\~0003946.gif">
          <a:extLst>
            <a:ext uri="{FF2B5EF4-FFF2-40B4-BE49-F238E27FC236}">
              <a16:creationId xmlns:a16="http://schemas.microsoft.com/office/drawing/2014/main" id="{00000000-0008-0000-28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268795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191</xdr:row>
      <xdr:rowOff>104775</xdr:rowOff>
    </xdr:from>
    <xdr:to>
      <xdr:col>20</xdr:col>
      <xdr:colOff>809625</xdr:colOff>
      <xdr:row>192</xdr:row>
      <xdr:rowOff>133350</xdr:rowOff>
    </xdr:to>
    <xdr:pic>
      <xdr:nvPicPr>
        <xdr:cNvPr id="12" name="Picture 11" descr="C:\WINDOWS\TEMP\~0003946.gif">
          <a:extLst>
            <a:ext uri="{FF2B5EF4-FFF2-40B4-BE49-F238E27FC236}">
              <a16:creationId xmlns:a16="http://schemas.microsoft.com/office/drawing/2014/main" id="{00000000-0008-0000-28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583775" y="389382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286</xdr:row>
      <xdr:rowOff>104775</xdr:rowOff>
    </xdr:from>
    <xdr:to>
      <xdr:col>20</xdr:col>
      <xdr:colOff>895350</xdr:colOff>
      <xdr:row>287</xdr:row>
      <xdr:rowOff>133350</xdr:rowOff>
    </xdr:to>
    <xdr:pic>
      <xdr:nvPicPr>
        <xdr:cNvPr id="13" name="Picture 12" descr="C:\WINDOWS\TEMP\~0003946.gif">
          <a:extLst>
            <a:ext uri="{FF2B5EF4-FFF2-40B4-BE49-F238E27FC236}">
              <a16:creationId xmlns:a16="http://schemas.microsoft.com/office/drawing/2014/main" id="{00000000-0008-0000-28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58026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14" name="Picture 13" descr="logoMTL">
          <a:extLst>
            <a:ext uri="{FF2B5EF4-FFF2-40B4-BE49-F238E27FC236}">
              <a16:creationId xmlns:a16="http://schemas.microsoft.com/office/drawing/2014/main" id="{00000000-0008-0000-28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131</xdr:row>
      <xdr:rowOff>38100</xdr:rowOff>
    </xdr:from>
    <xdr:to>
      <xdr:col>19</xdr:col>
      <xdr:colOff>1171575</xdr:colOff>
      <xdr:row>132</xdr:row>
      <xdr:rowOff>161925</xdr:rowOff>
    </xdr:to>
    <xdr:pic>
      <xdr:nvPicPr>
        <xdr:cNvPr id="15" name="Picture 14" descr="logoMTL">
          <a:extLst>
            <a:ext uri="{FF2B5EF4-FFF2-40B4-BE49-F238E27FC236}">
              <a16:creationId xmlns:a16="http://schemas.microsoft.com/office/drawing/2014/main" id="{00000000-0008-0000-28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26793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191</xdr:row>
      <xdr:rowOff>28575</xdr:rowOff>
    </xdr:from>
    <xdr:to>
      <xdr:col>19</xdr:col>
      <xdr:colOff>1171575</xdr:colOff>
      <xdr:row>192</xdr:row>
      <xdr:rowOff>152400</xdr:rowOff>
    </xdr:to>
    <xdr:pic>
      <xdr:nvPicPr>
        <xdr:cNvPr id="16" name="Picture 15" descr="logoMTL">
          <a:extLst>
            <a:ext uri="{FF2B5EF4-FFF2-40B4-BE49-F238E27FC236}">
              <a16:creationId xmlns:a16="http://schemas.microsoft.com/office/drawing/2014/main" id="{00000000-0008-0000-28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388620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286</xdr:row>
      <xdr:rowOff>0</xdr:rowOff>
    </xdr:from>
    <xdr:to>
      <xdr:col>19</xdr:col>
      <xdr:colOff>1228725</xdr:colOff>
      <xdr:row>287</xdr:row>
      <xdr:rowOff>123825</xdr:rowOff>
    </xdr:to>
    <xdr:pic>
      <xdr:nvPicPr>
        <xdr:cNvPr id="17" name="Picture 16" descr="logoMTL">
          <a:extLst>
            <a:ext uri="{FF2B5EF4-FFF2-40B4-BE49-F238E27FC236}">
              <a16:creationId xmlns:a16="http://schemas.microsoft.com/office/drawing/2014/main" id="{00000000-0008-0000-28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36050" y="579215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29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131</xdr:row>
      <xdr:rowOff>161925</xdr:rowOff>
    </xdr:from>
    <xdr:to>
      <xdr:col>1</xdr:col>
      <xdr:colOff>28575</xdr:colOff>
      <xdr:row>132</xdr:row>
      <xdr:rowOff>200025</xdr:rowOff>
    </xdr:to>
    <xdr:pic>
      <xdr:nvPicPr>
        <xdr:cNvPr id="3" name="Picture 2" descr="C:\WINDOWS\TEMP\Symbol.gif">
          <a:extLst>
            <a:ext uri="{FF2B5EF4-FFF2-40B4-BE49-F238E27FC236}">
              <a16:creationId xmlns:a16="http://schemas.microsoft.com/office/drawing/2014/main" id="{00000000-0008-0000-29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69176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191</xdr:row>
      <xdr:rowOff>171450</xdr:rowOff>
    </xdr:from>
    <xdr:to>
      <xdr:col>1</xdr:col>
      <xdr:colOff>47625</xdr:colOff>
      <xdr:row>192</xdr:row>
      <xdr:rowOff>209550</xdr:rowOff>
    </xdr:to>
    <xdr:pic>
      <xdr:nvPicPr>
        <xdr:cNvPr id="4" name="Picture 3" descr="C:\WINDOWS\TEMP\Symbol.gif">
          <a:extLst>
            <a:ext uri="{FF2B5EF4-FFF2-40B4-BE49-F238E27FC236}">
              <a16:creationId xmlns:a16="http://schemas.microsoft.com/office/drawing/2014/main" id="{00000000-0008-0000-29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0048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286</xdr:row>
      <xdr:rowOff>161925</xdr:rowOff>
    </xdr:from>
    <xdr:to>
      <xdr:col>1</xdr:col>
      <xdr:colOff>19050</xdr:colOff>
      <xdr:row>287</xdr:row>
      <xdr:rowOff>200025</xdr:rowOff>
    </xdr:to>
    <xdr:pic>
      <xdr:nvPicPr>
        <xdr:cNvPr id="5" name="Picture 4" descr="C:\WINDOWS\TEMP\Symbol.gif">
          <a:extLst>
            <a:ext uri="{FF2B5EF4-FFF2-40B4-BE49-F238E27FC236}">
              <a16:creationId xmlns:a16="http://schemas.microsoft.com/office/drawing/2014/main" id="{00000000-0008-0000-29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0834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286</xdr:row>
      <xdr:rowOff>123825</xdr:rowOff>
    </xdr:from>
    <xdr:to>
      <xdr:col>20</xdr:col>
      <xdr:colOff>1895475</xdr:colOff>
      <xdr:row>287</xdr:row>
      <xdr:rowOff>152400</xdr:rowOff>
    </xdr:to>
    <xdr:pic>
      <xdr:nvPicPr>
        <xdr:cNvPr id="6" name="Picture 5" descr="C:\WINDOWS\TEMP\~0003946.gif">
          <a:extLst>
            <a:ext uri="{FF2B5EF4-FFF2-40B4-BE49-F238E27FC236}">
              <a16:creationId xmlns:a16="http://schemas.microsoft.com/office/drawing/2014/main" id="{00000000-0008-0000-29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580453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191</xdr:row>
      <xdr:rowOff>152400</xdr:rowOff>
    </xdr:from>
    <xdr:to>
      <xdr:col>20</xdr:col>
      <xdr:colOff>1924050</xdr:colOff>
      <xdr:row>192</xdr:row>
      <xdr:rowOff>180975</xdr:rowOff>
    </xdr:to>
    <xdr:pic>
      <xdr:nvPicPr>
        <xdr:cNvPr id="7" name="Picture 6" descr="C:\WINDOWS\TEMP\~0003946.gif">
          <a:extLst>
            <a:ext uri="{FF2B5EF4-FFF2-40B4-BE49-F238E27FC236}">
              <a16:creationId xmlns:a16="http://schemas.microsoft.com/office/drawing/2014/main" id="{00000000-0008-0000-29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389858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131</xdr:row>
      <xdr:rowOff>161925</xdr:rowOff>
    </xdr:from>
    <xdr:to>
      <xdr:col>20</xdr:col>
      <xdr:colOff>1952625</xdr:colOff>
      <xdr:row>132</xdr:row>
      <xdr:rowOff>190500</xdr:rowOff>
    </xdr:to>
    <xdr:pic>
      <xdr:nvPicPr>
        <xdr:cNvPr id="8" name="Picture 7" descr="C:\WINDOWS\TEMP\~0003946.gif">
          <a:extLst>
            <a:ext uri="{FF2B5EF4-FFF2-40B4-BE49-F238E27FC236}">
              <a16:creationId xmlns:a16="http://schemas.microsoft.com/office/drawing/2014/main" id="{00000000-0008-0000-29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26917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29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62</xdr:row>
      <xdr:rowOff>123825</xdr:rowOff>
    </xdr:from>
    <xdr:to>
      <xdr:col>20</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29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131</xdr:row>
      <xdr:rowOff>123825</xdr:rowOff>
    </xdr:from>
    <xdr:to>
      <xdr:col>20</xdr:col>
      <xdr:colOff>895350</xdr:colOff>
      <xdr:row>132</xdr:row>
      <xdr:rowOff>152400</xdr:rowOff>
    </xdr:to>
    <xdr:pic>
      <xdr:nvPicPr>
        <xdr:cNvPr id="11" name="Picture 10" descr="C:\WINDOWS\TEMP\~0003946.gif">
          <a:extLst>
            <a:ext uri="{FF2B5EF4-FFF2-40B4-BE49-F238E27FC236}">
              <a16:creationId xmlns:a16="http://schemas.microsoft.com/office/drawing/2014/main" id="{00000000-0008-0000-29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268795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191</xdr:row>
      <xdr:rowOff>104775</xdr:rowOff>
    </xdr:from>
    <xdr:to>
      <xdr:col>20</xdr:col>
      <xdr:colOff>809625</xdr:colOff>
      <xdr:row>192</xdr:row>
      <xdr:rowOff>133350</xdr:rowOff>
    </xdr:to>
    <xdr:pic>
      <xdr:nvPicPr>
        <xdr:cNvPr id="12" name="Picture 11" descr="C:\WINDOWS\TEMP\~0003946.gif">
          <a:extLst>
            <a:ext uri="{FF2B5EF4-FFF2-40B4-BE49-F238E27FC236}">
              <a16:creationId xmlns:a16="http://schemas.microsoft.com/office/drawing/2014/main" id="{00000000-0008-0000-29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583775" y="389382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286</xdr:row>
      <xdr:rowOff>104775</xdr:rowOff>
    </xdr:from>
    <xdr:to>
      <xdr:col>20</xdr:col>
      <xdr:colOff>895350</xdr:colOff>
      <xdr:row>287</xdr:row>
      <xdr:rowOff>133350</xdr:rowOff>
    </xdr:to>
    <xdr:pic>
      <xdr:nvPicPr>
        <xdr:cNvPr id="13" name="Picture 12" descr="C:\WINDOWS\TEMP\~0003946.gif">
          <a:extLst>
            <a:ext uri="{FF2B5EF4-FFF2-40B4-BE49-F238E27FC236}">
              <a16:creationId xmlns:a16="http://schemas.microsoft.com/office/drawing/2014/main" id="{00000000-0008-0000-29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58026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14" name="Picture 13" descr="logoMTL">
          <a:extLst>
            <a:ext uri="{FF2B5EF4-FFF2-40B4-BE49-F238E27FC236}">
              <a16:creationId xmlns:a16="http://schemas.microsoft.com/office/drawing/2014/main" id="{00000000-0008-0000-29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131</xdr:row>
      <xdr:rowOff>38100</xdr:rowOff>
    </xdr:from>
    <xdr:to>
      <xdr:col>19</xdr:col>
      <xdr:colOff>1171575</xdr:colOff>
      <xdr:row>132</xdr:row>
      <xdr:rowOff>161925</xdr:rowOff>
    </xdr:to>
    <xdr:pic>
      <xdr:nvPicPr>
        <xdr:cNvPr id="15" name="Picture 14" descr="logoMTL">
          <a:extLst>
            <a:ext uri="{FF2B5EF4-FFF2-40B4-BE49-F238E27FC236}">
              <a16:creationId xmlns:a16="http://schemas.microsoft.com/office/drawing/2014/main" id="{00000000-0008-0000-29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26793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191</xdr:row>
      <xdr:rowOff>28575</xdr:rowOff>
    </xdr:from>
    <xdr:to>
      <xdr:col>19</xdr:col>
      <xdr:colOff>1171575</xdr:colOff>
      <xdr:row>192</xdr:row>
      <xdr:rowOff>152400</xdr:rowOff>
    </xdr:to>
    <xdr:pic>
      <xdr:nvPicPr>
        <xdr:cNvPr id="16" name="Picture 15" descr="logoMTL">
          <a:extLst>
            <a:ext uri="{FF2B5EF4-FFF2-40B4-BE49-F238E27FC236}">
              <a16:creationId xmlns:a16="http://schemas.microsoft.com/office/drawing/2014/main" id="{00000000-0008-0000-29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388620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286</xdr:row>
      <xdr:rowOff>0</xdr:rowOff>
    </xdr:from>
    <xdr:to>
      <xdr:col>19</xdr:col>
      <xdr:colOff>1228725</xdr:colOff>
      <xdr:row>287</xdr:row>
      <xdr:rowOff>123825</xdr:rowOff>
    </xdr:to>
    <xdr:pic>
      <xdr:nvPicPr>
        <xdr:cNvPr id="17" name="Picture 16" descr="logoMTL">
          <a:extLst>
            <a:ext uri="{FF2B5EF4-FFF2-40B4-BE49-F238E27FC236}">
              <a16:creationId xmlns:a16="http://schemas.microsoft.com/office/drawing/2014/main" id="{00000000-0008-0000-29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36050" y="579215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2" name="Picture 1" descr="C:\WINDOWS\TEMP\Symbol.gif">
          <a:extLst>
            <a:ext uri="{FF2B5EF4-FFF2-40B4-BE49-F238E27FC236}">
              <a16:creationId xmlns:a16="http://schemas.microsoft.com/office/drawing/2014/main" id="{00000000-0008-0000-2A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131</xdr:row>
      <xdr:rowOff>161925</xdr:rowOff>
    </xdr:from>
    <xdr:to>
      <xdr:col>1</xdr:col>
      <xdr:colOff>28575</xdr:colOff>
      <xdr:row>132</xdr:row>
      <xdr:rowOff>200025</xdr:rowOff>
    </xdr:to>
    <xdr:pic>
      <xdr:nvPicPr>
        <xdr:cNvPr id="3" name="Picture 2" descr="C:\WINDOWS\TEMP\Symbol.gif">
          <a:extLst>
            <a:ext uri="{FF2B5EF4-FFF2-40B4-BE49-F238E27FC236}">
              <a16:creationId xmlns:a16="http://schemas.microsoft.com/office/drawing/2014/main" id="{00000000-0008-0000-2A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69176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191</xdr:row>
      <xdr:rowOff>171450</xdr:rowOff>
    </xdr:from>
    <xdr:to>
      <xdr:col>1</xdr:col>
      <xdr:colOff>47625</xdr:colOff>
      <xdr:row>192</xdr:row>
      <xdr:rowOff>209550</xdr:rowOff>
    </xdr:to>
    <xdr:pic>
      <xdr:nvPicPr>
        <xdr:cNvPr id="4" name="Picture 3" descr="C:\WINDOWS\TEMP\Symbol.gif">
          <a:extLst>
            <a:ext uri="{FF2B5EF4-FFF2-40B4-BE49-F238E27FC236}">
              <a16:creationId xmlns:a16="http://schemas.microsoft.com/office/drawing/2014/main" id="{00000000-0008-0000-2A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0048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286</xdr:row>
      <xdr:rowOff>161925</xdr:rowOff>
    </xdr:from>
    <xdr:to>
      <xdr:col>1</xdr:col>
      <xdr:colOff>19050</xdr:colOff>
      <xdr:row>287</xdr:row>
      <xdr:rowOff>200025</xdr:rowOff>
    </xdr:to>
    <xdr:pic>
      <xdr:nvPicPr>
        <xdr:cNvPr id="5" name="Picture 4" descr="C:\WINDOWS\TEMP\Symbol.gif">
          <a:extLst>
            <a:ext uri="{FF2B5EF4-FFF2-40B4-BE49-F238E27FC236}">
              <a16:creationId xmlns:a16="http://schemas.microsoft.com/office/drawing/2014/main" id="{00000000-0008-0000-2A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0834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286</xdr:row>
      <xdr:rowOff>123825</xdr:rowOff>
    </xdr:from>
    <xdr:to>
      <xdr:col>20</xdr:col>
      <xdr:colOff>1895475</xdr:colOff>
      <xdr:row>287</xdr:row>
      <xdr:rowOff>152400</xdr:rowOff>
    </xdr:to>
    <xdr:pic>
      <xdr:nvPicPr>
        <xdr:cNvPr id="6" name="Picture 5" descr="C:\WINDOWS\TEMP\~0003946.gif">
          <a:extLst>
            <a:ext uri="{FF2B5EF4-FFF2-40B4-BE49-F238E27FC236}">
              <a16:creationId xmlns:a16="http://schemas.microsoft.com/office/drawing/2014/main" id="{00000000-0008-0000-2A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580453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191</xdr:row>
      <xdr:rowOff>152400</xdr:rowOff>
    </xdr:from>
    <xdr:to>
      <xdr:col>20</xdr:col>
      <xdr:colOff>1924050</xdr:colOff>
      <xdr:row>192</xdr:row>
      <xdr:rowOff>180975</xdr:rowOff>
    </xdr:to>
    <xdr:pic>
      <xdr:nvPicPr>
        <xdr:cNvPr id="7" name="Picture 6" descr="C:\WINDOWS\TEMP\~0003946.gif">
          <a:extLst>
            <a:ext uri="{FF2B5EF4-FFF2-40B4-BE49-F238E27FC236}">
              <a16:creationId xmlns:a16="http://schemas.microsoft.com/office/drawing/2014/main" id="{00000000-0008-0000-2A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389858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131</xdr:row>
      <xdr:rowOff>161925</xdr:rowOff>
    </xdr:from>
    <xdr:to>
      <xdr:col>20</xdr:col>
      <xdr:colOff>1952625</xdr:colOff>
      <xdr:row>132</xdr:row>
      <xdr:rowOff>190500</xdr:rowOff>
    </xdr:to>
    <xdr:pic>
      <xdr:nvPicPr>
        <xdr:cNvPr id="8" name="Picture 7" descr="C:\WINDOWS\TEMP\~0003946.gif">
          <a:extLst>
            <a:ext uri="{FF2B5EF4-FFF2-40B4-BE49-F238E27FC236}">
              <a16:creationId xmlns:a16="http://schemas.microsoft.com/office/drawing/2014/main" id="{00000000-0008-0000-2A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26917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9" name="Picture 8" descr="C:\WINDOWS\TEMP\~0003946.gif">
          <a:extLst>
            <a:ext uri="{FF2B5EF4-FFF2-40B4-BE49-F238E27FC236}">
              <a16:creationId xmlns:a16="http://schemas.microsoft.com/office/drawing/2014/main" id="{00000000-0008-0000-2A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62</xdr:row>
      <xdr:rowOff>123825</xdr:rowOff>
    </xdr:from>
    <xdr:to>
      <xdr:col>20</xdr:col>
      <xdr:colOff>885825</xdr:colOff>
      <xdr:row>63</xdr:row>
      <xdr:rowOff>152400</xdr:rowOff>
    </xdr:to>
    <xdr:pic>
      <xdr:nvPicPr>
        <xdr:cNvPr id="10" name="Picture 9" descr="C:\WINDOWS\TEMP\~0003946.gif">
          <a:extLst>
            <a:ext uri="{FF2B5EF4-FFF2-40B4-BE49-F238E27FC236}">
              <a16:creationId xmlns:a16="http://schemas.microsoft.com/office/drawing/2014/main" id="{00000000-0008-0000-2A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131</xdr:row>
      <xdr:rowOff>123825</xdr:rowOff>
    </xdr:from>
    <xdr:to>
      <xdr:col>20</xdr:col>
      <xdr:colOff>895350</xdr:colOff>
      <xdr:row>132</xdr:row>
      <xdr:rowOff>152400</xdr:rowOff>
    </xdr:to>
    <xdr:pic>
      <xdr:nvPicPr>
        <xdr:cNvPr id="11" name="Picture 10" descr="C:\WINDOWS\TEMP\~0003946.gif">
          <a:extLst>
            <a:ext uri="{FF2B5EF4-FFF2-40B4-BE49-F238E27FC236}">
              <a16:creationId xmlns:a16="http://schemas.microsoft.com/office/drawing/2014/main" id="{00000000-0008-0000-2A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268795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191</xdr:row>
      <xdr:rowOff>104775</xdr:rowOff>
    </xdr:from>
    <xdr:to>
      <xdr:col>20</xdr:col>
      <xdr:colOff>809625</xdr:colOff>
      <xdr:row>192</xdr:row>
      <xdr:rowOff>133350</xdr:rowOff>
    </xdr:to>
    <xdr:pic>
      <xdr:nvPicPr>
        <xdr:cNvPr id="12" name="Picture 11" descr="C:\WINDOWS\TEMP\~0003946.gif">
          <a:extLst>
            <a:ext uri="{FF2B5EF4-FFF2-40B4-BE49-F238E27FC236}">
              <a16:creationId xmlns:a16="http://schemas.microsoft.com/office/drawing/2014/main" id="{00000000-0008-0000-2A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583775" y="389382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286</xdr:row>
      <xdr:rowOff>104775</xdr:rowOff>
    </xdr:from>
    <xdr:to>
      <xdr:col>20</xdr:col>
      <xdr:colOff>895350</xdr:colOff>
      <xdr:row>287</xdr:row>
      <xdr:rowOff>133350</xdr:rowOff>
    </xdr:to>
    <xdr:pic>
      <xdr:nvPicPr>
        <xdr:cNvPr id="13" name="Picture 12" descr="C:\WINDOWS\TEMP\~0003946.gif">
          <a:extLst>
            <a:ext uri="{FF2B5EF4-FFF2-40B4-BE49-F238E27FC236}">
              <a16:creationId xmlns:a16="http://schemas.microsoft.com/office/drawing/2014/main" id="{00000000-0008-0000-2A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58026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14" name="Picture 13" descr="logoMTL">
          <a:extLst>
            <a:ext uri="{FF2B5EF4-FFF2-40B4-BE49-F238E27FC236}">
              <a16:creationId xmlns:a16="http://schemas.microsoft.com/office/drawing/2014/main" id="{00000000-0008-0000-2A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131</xdr:row>
      <xdr:rowOff>38100</xdr:rowOff>
    </xdr:from>
    <xdr:to>
      <xdr:col>19</xdr:col>
      <xdr:colOff>1171575</xdr:colOff>
      <xdr:row>132</xdr:row>
      <xdr:rowOff>161925</xdr:rowOff>
    </xdr:to>
    <xdr:pic>
      <xdr:nvPicPr>
        <xdr:cNvPr id="15" name="Picture 14" descr="logoMTL">
          <a:extLst>
            <a:ext uri="{FF2B5EF4-FFF2-40B4-BE49-F238E27FC236}">
              <a16:creationId xmlns:a16="http://schemas.microsoft.com/office/drawing/2014/main" id="{00000000-0008-0000-2A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26793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191</xdr:row>
      <xdr:rowOff>28575</xdr:rowOff>
    </xdr:from>
    <xdr:to>
      <xdr:col>19</xdr:col>
      <xdr:colOff>1171575</xdr:colOff>
      <xdr:row>192</xdr:row>
      <xdr:rowOff>152400</xdr:rowOff>
    </xdr:to>
    <xdr:pic>
      <xdr:nvPicPr>
        <xdr:cNvPr id="16" name="Picture 15" descr="logoMTL">
          <a:extLst>
            <a:ext uri="{FF2B5EF4-FFF2-40B4-BE49-F238E27FC236}">
              <a16:creationId xmlns:a16="http://schemas.microsoft.com/office/drawing/2014/main" id="{00000000-0008-0000-2A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388620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286</xdr:row>
      <xdr:rowOff>0</xdr:rowOff>
    </xdr:from>
    <xdr:to>
      <xdr:col>19</xdr:col>
      <xdr:colOff>1228725</xdr:colOff>
      <xdr:row>287</xdr:row>
      <xdr:rowOff>123825</xdr:rowOff>
    </xdr:to>
    <xdr:pic>
      <xdr:nvPicPr>
        <xdr:cNvPr id="17" name="Picture 16" descr="logoMTL">
          <a:extLst>
            <a:ext uri="{FF2B5EF4-FFF2-40B4-BE49-F238E27FC236}">
              <a16:creationId xmlns:a16="http://schemas.microsoft.com/office/drawing/2014/main" id="{00000000-0008-0000-2A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36050" y="579215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61</xdr:row>
      <xdr:rowOff>190500</xdr:rowOff>
    </xdr:from>
    <xdr:to>
      <xdr:col>1</xdr:col>
      <xdr:colOff>0</xdr:colOff>
      <xdr:row>62</xdr:row>
      <xdr:rowOff>228600</xdr:rowOff>
    </xdr:to>
    <xdr:pic>
      <xdr:nvPicPr>
        <xdr:cNvPr id="2" name="Picture 1" descr="C:\WINDOWS\TEMP\Symbol.gif">
          <a:extLst>
            <a:ext uri="{FF2B5EF4-FFF2-40B4-BE49-F238E27FC236}">
              <a16:creationId xmlns:a16="http://schemas.microsoft.com/office/drawing/2014/main" id="{00000000-0008-0000-2B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130</xdr:row>
      <xdr:rowOff>161925</xdr:rowOff>
    </xdr:from>
    <xdr:to>
      <xdr:col>1</xdr:col>
      <xdr:colOff>28575</xdr:colOff>
      <xdr:row>131</xdr:row>
      <xdr:rowOff>200025</xdr:rowOff>
    </xdr:to>
    <xdr:pic>
      <xdr:nvPicPr>
        <xdr:cNvPr id="3" name="Picture 2" descr="C:\WINDOWS\TEMP\Symbol.gif">
          <a:extLst>
            <a:ext uri="{FF2B5EF4-FFF2-40B4-BE49-F238E27FC236}">
              <a16:creationId xmlns:a16="http://schemas.microsoft.com/office/drawing/2014/main" id="{00000000-0008-0000-2B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69176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190</xdr:row>
      <xdr:rowOff>171450</xdr:rowOff>
    </xdr:from>
    <xdr:to>
      <xdr:col>1</xdr:col>
      <xdr:colOff>47625</xdr:colOff>
      <xdr:row>191</xdr:row>
      <xdr:rowOff>209550</xdr:rowOff>
    </xdr:to>
    <xdr:pic>
      <xdr:nvPicPr>
        <xdr:cNvPr id="4" name="Picture 3" descr="C:\WINDOWS\TEMP\Symbol.gif">
          <a:extLst>
            <a:ext uri="{FF2B5EF4-FFF2-40B4-BE49-F238E27FC236}">
              <a16:creationId xmlns:a16="http://schemas.microsoft.com/office/drawing/2014/main" id="{00000000-0008-0000-2B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0048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290</xdr:row>
      <xdr:rowOff>161925</xdr:rowOff>
    </xdr:from>
    <xdr:to>
      <xdr:col>1</xdr:col>
      <xdr:colOff>19050</xdr:colOff>
      <xdr:row>291</xdr:row>
      <xdr:rowOff>200025</xdr:rowOff>
    </xdr:to>
    <xdr:pic>
      <xdr:nvPicPr>
        <xdr:cNvPr id="5" name="Picture 4" descr="C:\WINDOWS\TEMP\Symbol.gif">
          <a:extLst>
            <a:ext uri="{FF2B5EF4-FFF2-40B4-BE49-F238E27FC236}">
              <a16:creationId xmlns:a16="http://schemas.microsoft.com/office/drawing/2014/main" id="{00000000-0008-0000-2B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0834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290</xdr:row>
      <xdr:rowOff>123825</xdr:rowOff>
    </xdr:from>
    <xdr:to>
      <xdr:col>20</xdr:col>
      <xdr:colOff>1895475</xdr:colOff>
      <xdr:row>291</xdr:row>
      <xdr:rowOff>152400</xdr:rowOff>
    </xdr:to>
    <xdr:pic>
      <xdr:nvPicPr>
        <xdr:cNvPr id="6" name="Picture 5" descr="C:\WINDOWS\TEMP\~0003946.gif">
          <a:extLst>
            <a:ext uri="{FF2B5EF4-FFF2-40B4-BE49-F238E27FC236}">
              <a16:creationId xmlns:a16="http://schemas.microsoft.com/office/drawing/2014/main" id="{00000000-0008-0000-2B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580453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190</xdr:row>
      <xdr:rowOff>152400</xdr:rowOff>
    </xdr:from>
    <xdr:to>
      <xdr:col>20</xdr:col>
      <xdr:colOff>1924050</xdr:colOff>
      <xdr:row>191</xdr:row>
      <xdr:rowOff>180975</xdr:rowOff>
    </xdr:to>
    <xdr:pic>
      <xdr:nvPicPr>
        <xdr:cNvPr id="7" name="Picture 6" descr="C:\WINDOWS\TEMP\~0003946.gif">
          <a:extLst>
            <a:ext uri="{FF2B5EF4-FFF2-40B4-BE49-F238E27FC236}">
              <a16:creationId xmlns:a16="http://schemas.microsoft.com/office/drawing/2014/main" id="{00000000-0008-0000-2B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389858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130</xdr:row>
      <xdr:rowOff>161925</xdr:rowOff>
    </xdr:from>
    <xdr:to>
      <xdr:col>20</xdr:col>
      <xdr:colOff>1952625</xdr:colOff>
      <xdr:row>131</xdr:row>
      <xdr:rowOff>190500</xdr:rowOff>
    </xdr:to>
    <xdr:pic>
      <xdr:nvPicPr>
        <xdr:cNvPr id="8" name="Picture 7" descr="C:\WINDOWS\TEMP\~0003946.gif">
          <a:extLst>
            <a:ext uri="{FF2B5EF4-FFF2-40B4-BE49-F238E27FC236}">
              <a16:creationId xmlns:a16="http://schemas.microsoft.com/office/drawing/2014/main" id="{00000000-0008-0000-2B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26917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61</xdr:row>
      <xdr:rowOff>161925</xdr:rowOff>
    </xdr:from>
    <xdr:to>
      <xdr:col>20</xdr:col>
      <xdr:colOff>1952625</xdr:colOff>
      <xdr:row>62</xdr:row>
      <xdr:rowOff>190500</xdr:rowOff>
    </xdr:to>
    <xdr:pic>
      <xdr:nvPicPr>
        <xdr:cNvPr id="9" name="Picture 8" descr="C:\WINDOWS\TEMP\~0003946.gif">
          <a:extLst>
            <a:ext uri="{FF2B5EF4-FFF2-40B4-BE49-F238E27FC236}">
              <a16:creationId xmlns:a16="http://schemas.microsoft.com/office/drawing/2014/main" id="{00000000-0008-0000-2B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61</xdr:row>
      <xdr:rowOff>123825</xdr:rowOff>
    </xdr:from>
    <xdr:to>
      <xdr:col>20</xdr:col>
      <xdr:colOff>885825</xdr:colOff>
      <xdr:row>62</xdr:row>
      <xdr:rowOff>152400</xdr:rowOff>
    </xdr:to>
    <xdr:pic>
      <xdr:nvPicPr>
        <xdr:cNvPr id="10" name="Picture 9" descr="C:\WINDOWS\TEMP\~0003946.gif">
          <a:extLst>
            <a:ext uri="{FF2B5EF4-FFF2-40B4-BE49-F238E27FC236}">
              <a16:creationId xmlns:a16="http://schemas.microsoft.com/office/drawing/2014/main" id="{00000000-0008-0000-2B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130</xdr:row>
      <xdr:rowOff>123825</xdr:rowOff>
    </xdr:from>
    <xdr:to>
      <xdr:col>20</xdr:col>
      <xdr:colOff>895350</xdr:colOff>
      <xdr:row>131</xdr:row>
      <xdr:rowOff>152400</xdr:rowOff>
    </xdr:to>
    <xdr:pic>
      <xdr:nvPicPr>
        <xdr:cNvPr id="11" name="Picture 10" descr="C:\WINDOWS\TEMP\~0003946.gif">
          <a:extLst>
            <a:ext uri="{FF2B5EF4-FFF2-40B4-BE49-F238E27FC236}">
              <a16:creationId xmlns:a16="http://schemas.microsoft.com/office/drawing/2014/main" id="{00000000-0008-0000-2B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268795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190</xdr:row>
      <xdr:rowOff>104775</xdr:rowOff>
    </xdr:from>
    <xdr:to>
      <xdr:col>20</xdr:col>
      <xdr:colOff>809625</xdr:colOff>
      <xdr:row>191</xdr:row>
      <xdr:rowOff>133350</xdr:rowOff>
    </xdr:to>
    <xdr:pic>
      <xdr:nvPicPr>
        <xdr:cNvPr id="12" name="Picture 11" descr="C:\WINDOWS\TEMP\~0003946.gif">
          <a:extLst>
            <a:ext uri="{FF2B5EF4-FFF2-40B4-BE49-F238E27FC236}">
              <a16:creationId xmlns:a16="http://schemas.microsoft.com/office/drawing/2014/main" id="{00000000-0008-0000-2B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583775" y="389382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290</xdr:row>
      <xdr:rowOff>104775</xdr:rowOff>
    </xdr:from>
    <xdr:to>
      <xdr:col>20</xdr:col>
      <xdr:colOff>895350</xdr:colOff>
      <xdr:row>291</xdr:row>
      <xdr:rowOff>133350</xdr:rowOff>
    </xdr:to>
    <xdr:pic>
      <xdr:nvPicPr>
        <xdr:cNvPr id="13" name="Picture 12" descr="C:\WINDOWS\TEMP\~0003946.gif">
          <a:extLst>
            <a:ext uri="{FF2B5EF4-FFF2-40B4-BE49-F238E27FC236}">
              <a16:creationId xmlns:a16="http://schemas.microsoft.com/office/drawing/2014/main" id="{00000000-0008-0000-2B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580263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61</xdr:row>
      <xdr:rowOff>38100</xdr:rowOff>
    </xdr:from>
    <xdr:to>
      <xdr:col>20</xdr:col>
      <xdr:colOff>0</xdr:colOff>
      <xdr:row>62</xdr:row>
      <xdr:rowOff>161924</xdr:rowOff>
    </xdr:to>
    <xdr:pic>
      <xdr:nvPicPr>
        <xdr:cNvPr id="14" name="Picture 13" descr="logoMTL">
          <a:extLst>
            <a:ext uri="{FF2B5EF4-FFF2-40B4-BE49-F238E27FC236}">
              <a16:creationId xmlns:a16="http://schemas.microsoft.com/office/drawing/2014/main" id="{00000000-0008-0000-2B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130</xdr:row>
      <xdr:rowOff>38100</xdr:rowOff>
    </xdr:from>
    <xdr:to>
      <xdr:col>19</xdr:col>
      <xdr:colOff>1171575</xdr:colOff>
      <xdr:row>131</xdr:row>
      <xdr:rowOff>161925</xdr:rowOff>
    </xdr:to>
    <xdr:pic>
      <xdr:nvPicPr>
        <xdr:cNvPr id="15" name="Picture 14" descr="logoMTL">
          <a:extLst>
            <a:ext uri="{FF2B5EF4-FFF2-40B4-BE49-F238E27FC236}">
              <a16:creationId xmlns:a16="http://schemas.microsoft.com/office/drawing/2014/main" id="{00000000-0008-0000-2B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26793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190</xdr:row>
      <xdr:rowOff>28575</xdr:rowOff>
    </xdr:from>
    <xdr:to>
      <xdr:col>19</xdr:col>
      <xdr:colOff>1171575</xdr:colOff>
      <xdr:row>191</xdr:row>
      <xdr:rowOff>152400</xdr:rowOff>
    </xdr:to>
    <xdr:pic>
      <xdr:nvPicPr>
        <xdr:cNvPr id="16" name="Picture 15" descr="logoMTL">
          <a:extLst>
            <a:ext uri="{FF2B5EF4-FFF2-40B4-BE49-F238E27FC236}">
              <a16:creationId xmlns:a16="http://schemas.microsoft.com/office/drawing/2014/main" id="{00000000-0008-0000-2B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388620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290</xdr:row>
      <xdr:rowOff>0</xdr:rowOff>
    </xdr:from>
    <xdr:to>
      <xdr:col>19</xdr:col>
      <xdr:colOff>1228725</xdr:colOff>
      <xdr:row>291</xdr:row>
      <xdr:rowOff>123825</xdr:rowOff>
    </xdr:to>
    <xdr:pic>
      <xdr:nvPicPr>
        <xdr:cNvPr id="17" name="Picture 16" descr="logoMTL">
          <a:extLst>
            <a:ext uri="{FF2B5EF4-FFF2-40B4-BE49-F238E27FC236}">
              <a16:creationId xmlns:a16="http://schemas.microsoft.com/office/drawing/2014/main" id="{00000000-0008-0000-2B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36050" y="579215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61</xdr:row>
      <xdr:rowOff>190500</xdr:rowOff>
    </xdr:from>
    <xdr:to>
      <xdr:col>1</xdr:col>
      <xdr:colOff>0</xdr:colOff>
      <xdr:row>62</xdr:row>
      <xdr:rowOff>228600</xdr:rowOff>
    </xdr:to>
    <xdr:pic>
      <xdr:nvPicPr>
        <xdr:cNvPr id="2" name="Picture 1" descr="C:\WINDOWS\TEMP\Symbol.gif">
          <a:extLst>
            <a:ext uri="{FF2B5EF4-FFF2-40B4-BE49-F238E27FC236}">
              <a16:creationId xmlns:a16="http://schemas.microsoft.com/office/drawing/2014/main" id="{0D55C5EE-82CF-4F86-A48B-DBC2C9E407FC}"/>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4968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130</xdr:row>
      <xdr:rowOff>161925</xdr:rowOff>
    </xdr:from>
    <xdr:to>
      <xdr:col>1</xdr:col>
      <xdr:colOff>28575</xdr:colOff>
      <xdr:row>131</xdr:row>
      <xdr:rowOff>200025</xdr:rowOff>
    </xdr:to>
    <xdr:pic>
      <xdr:nvPicPr>
        <xdr:cNvPr id="3" name="Picture 2" descr="C:\WINDOWS\TEMP\Symbol.gif">
          <a:extLst>
            <a:ext uri="{FF2B5EF4-FFF2-40B4-BE49-F238E27FC236}">
              <a16:creationId xmlns:a16="http://schemas.microsoft.com/office/drawing/2014/main" id="{861408E5-82EC-464D-BAD4-78729806233E}"/>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67176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190</xdr:row>
      <xdr:rowOff>171450</xdr:rowOff>
    </xdr:from>
    <xdr:to>
      <xdr:col>1</xdr:col>
      <xdr:colOff>47625</xdr:colOff>
      <xdr:row>191</xdr:row>
      <xdr:rowOff>209550</xdr:rowOff>
    </xdr:to>
    <xdr:pic>
      <xdr:nvPicPr>
        <xdr:cNvPr id="4" name="Picture 3" descr="C:\WINDOWS\TEMP\Symbol.gif">
          <a:extLst>
            <a:ext uri="{FF2B5EF4-FFF2-40B4-BE49-F238E27FC236}">
              <a16:creationId xmlns:a16="http://schemas.microsoft.com/office/drawing/2014/main" id="{056E8196-EF3C-4073-97FC-7CF0542690CF}"/>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88048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290</xdr:row>
      <xdr:rowOff>161925</xdr:rowOff>
    </xdr:from>
    <xdr:to>
      <xdr:col>1</xdr:col>
      <xdr:colOff>19050</xdr:colOff>
      <xdr:row>291</xdr:row>
      <xdr:rowOff>200025</xdr:rowOff>
    </xdr:to>
    <xdr:pic>
      <xdr:nvPicPr>
        <xdr:cNvPr id="5" name="Picture 4" descr="C:\WINDOWS\TEMP\Symbol.gif">
          <a:extLst>
            <a:ext uri="{FF2B5EF4-FFF2-40B4-BE49-F238E27FC236}">
              <a16:creationId xmlns:a16="http://schemas.microsoft.com/office/drawing/2014/main" id="{A9DB840C-FBD0-4C72-9F79-565F7C122B69}"/>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76834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290</xdr:row>
      <xdr:rowOff>123825</xdr:rowOff>
    </xdr:from>
    <xdr:to>
      <xdr:col>20</xdr:col>
      <xdr:colOff>1895475</xdr:colOff>
      <xdr:row>291</xdr:row>
      <xdr:rowOff>152400</xdr:rowOff>
    </xdr:to>
    <xdr:pic>
      <xdr:nvPicPr>
        <xdr:cNvPr id="6" name="Picture 5" descr="C:\WINDOWS\TEMP\~0003946.gif">
          <a:extLst>
            <a:ext uri="{FF2B5EF4-FFF2-40B4-BE49-F238E27FC236}">
              <a16:creationId xmlns:a16="http://schemas.microsoft.com/office/drawing/2014/main" id="{9FF1FD47-0738-4517-8819-597C5B0BF3EA}"/>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576453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190</xdr:row>
      <xdr:rowOff>152400</xdr:rowOff>
    </xdr:from>
    <xdr:to>
      <xdr:col>20</xdr:col>
      <xdr:colOff>1924050</xdr:colOff>
      <xdr:row>191</xdr:row>
      <xdr:rowOff>180975</xdr:rowOff>
    </xdr:to>
    <xdr:pic>
      <xdr:nvPicPr>
        <xdr:cNvPr id="7" name="Picture 6" descr="C:\WINDOWS\TEMP\~0003946.gif">
          <a:extLst>
            <a:ext uri="{FF2B5EF4-FFF2-40B4-BE49-F238E27FC236}">
              <a16:creationId xmlns:a16="http://schemas.microsoft.com/office/drawing/2014/main" id="{F966A9CB-2F9B-4351-A7EB-FE6DC9DF7334}"/>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38785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130</xdr:row>
      <xdr:rowOff>161925</xdr:rowOff>
    </xdr:from>
    <xdr:to>
      <xdr:col>20</xdr:col>
      <xdr:colOff>1952625</xdr:colOff>
      <xdr:row>131</xdr:row>
      <xdr:rowOff>190500</xdr:rowOff>
    </xdr:to>
    <xdr:pic>
      <xdr:nvPicPr>
        <xdr:cNvPr id="8" name="Picture 7" descr="C:\WINDOWS\TEMP\~0003946.gif">
          <a:extLst>
            <a:ext uri="{FF2B5EF4-FFF2-40B4-BE49-F238E27FC236}">
              <a16:creationId xmlns:a16="http://schemas.microsoft.com/office/drawing/2014/main" id="{98E49ECE-9E69-4C9F-8D1F-C84CF737D10B}"/>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26717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61</xdr:row>
      <xdr:rowOff>161925</xdr:rowOff>
    </xdr:from>
    <xdr:to>
      <xdr:col>20</xdr:col>
      <xdr:colOff>1952625</xdr:colOff>
      <xdr:row>62</xdr:row>
      <xdr:rowOff>190500</xdr:rowOff>
    </xdr:to>
    <xdr:pic>
      <xdr:nvPicPr>
        <xdr:cNvPr id="9" name="Picture 8" descr="C:\WINDOWS\TEMP\~0003946.gif">
          <a:extLst>
            <a:ext uri="{FF2B5EF4-FFF2-40B4-BE49-F238E27FC236}">
              <a16:creationId xmlns:a16="http://schemas.microsoft.com/office/drawing/2014/main" id="{B14348E8-FFD6-4EAD-90E2-5F8ADA7A8623}"/>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124682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61</xdr:row>
      <xdr:rowOff>123825</xdr:rowOff>
    </xdr:from>
    <xdr:to>
      <xdr:col>20</xdr:col>
      <xdr:colOff>885825</xdr:colOff>
      <xdr:row>62</xdr:row>
      <xdr:rowOff>152400</xdr:rowOff>
    </xdr:to>
    <xdr:pic>
      <xdr:nvPicPr>
        <xdr:cNvPr id="10" name="Picture 9" descr="C:\WINDOWS\TEMP\~0003946.gif">
          <a:extLst>
            <a:ext uri="{FF2B5EF4-FFF2-40B4-BE49-F238E27FC236}">
              <a16:creationId xmlns:a16="http://schemas.microsoft.com/office/drawing/2014/main" id="{12CE97E1-5C09-4307-90E2-CB7614E83FA8}"/>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59975" y="124301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130</xdr:row>
      <xdr:rowOff>123825</xdr:rowOff>
    </xdr:from>
    <xdr:to>
      <xdr:col>20</xdr:col>
      <xdr:colOff>895350</xdr:colOff>
      <xdr:row>131</xdr:row>
      <xdr:rowOff>152400</xdr:rowOff>
    </xdr:to>
    <xdr:pic>
      <xdr:nvPicPr>
        <xdr:cNvPr id="11" name="Picture 10" descr="C:\WINDOWS\TEMP\~0003946.gif">
          <a:extLst>
            <a:ext uri="{FF2B5EF4-FFF2-40B4-BE49-F238E27FC236}">
              <a16:creationId xmlns:a16="http://schemas.microsoft.com/office/drawing/2014/main" id="{92906E41-043C-4440-87DB-8196B6963682}"/>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26679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190</xdr:row>
      <xdr:rowOff>104775</xdr:rowOff>
    </xdr:from>
    <xdr:to>
      <xdr:col>20</xdr:col>
      <xdr:colOff>809625</xdr:colOff>
      <xdr:row>191</xdr:row>
      <xdr:rowOff>133350</xdr:rowOff>
    </xdr:to>
    <xdr:pic>
      <xdr:nvPicPr>
        <xdr:cNvPr id="12" name="Picture 11" descr="C:\WINDOWS\TEMP\~0003946.gif">
          <a:extLst>
            <a:ext uri="{FF2B5EF4-FFF2-40B4-BE49-F238E27FC236}">
              <a16:creationId xmlns:a16="http://schemas.microsoft.com/office/drawing/2014/main" id="{3640B11E-1146-4DC0-ACDA-8C355B347578}"/>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583775" y="38738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290</xdr:row>
      <xdr:rowOff>104775</xdr:rowOff>
    </xdr:from>
    <xdr:to>
      <xdr:col>20</xdr:col>
      <xdr:colOff>895350</xdr:colOff>
      <xdr:row>291</xdr:row>
      <xdr:rowOff>133350</xdr:rowOff>
    </xdr:to>
    <xdr:pic>
      <xdr:nvPicPr>
        <xdr:cNvPr id="13" name="Picture 12" descr="C:\WINDOWS\TEMP\~0003946.gif">
          <a:extLst>
            <a:ext uri="{FF2B5EF4-FFF2-40B4-BE49-F238E27FC236}">
              <a16:creationId xmlns:a16="http://schemas.microsoft.com/office/drawing/2014/main" id="{2589FCC2-F27C-49F2-A89C-2F613BA2935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57626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61</xdr:row>
      <xdr:rowOff>38100</xdr:rowOff>
    </xdr:from>
    <xdr:to>
      <xdr:col>20</xdr:col>
      <xdr:colOff>0</xdr:colOff>
      <xdr:row>62</xdr:row>
      <xdr:rowOff>161924</xdr:rowOff>
    </xdr:to>
    <xdr:pic>
      <xdr:nvPicPr>
        <xdr:cNvPr id="14" name="Picture 13" descr="logoMTL">
          <a:extLst>
            <a:ext uri="{FF2B5EF4-FFF2-40B4-BE49-F238E27FC236}">
              <a16:creationId xmlns:a16="http://schemas.microsoft.com/office/drawing/2014/main" id="{791A3D82-46B2-4FFE-BF54-8198AE8CEB1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1764625" y="12344400"/>
          <a:ext cx="809625" cy="323849"/>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130</xdr:row>
      <xdr:rowOff>38100</xdr:rowOff>
    </xdr:from>
    <xdr:to>
      <xdr:col>19</xdr:col>
      <xdr:colOff>1171575</xdr:colOff>
      <xdr:row>131</xdr:row>
      <xdr:rowOff>161925</xdr:rowOff>
    </xdr:to>
    <xdr:pic>
      <xdr:nvPicPr>
        <xdr:cNvPr id="15" name="Picture 14" descr="logoMTL">
          <a:extLst>
            <a:ext uri="{FF2B5EF4-FFF2-40B4-BE49-F238E27FC236}">
              <a16:creationId xmlns:a16="http://schemas.microsoft.com/office/drawing/2014/main" id="{54DC590C-770E-48E2-87B5-BD666B9FFBF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26593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190</xdr:row>
      <xdr:rowOff>28575</xdr:rowOff>
    </xdr:from>
    <xdr:to>
      <xdr:col>19</xdr:col>
      <xdr:colOff>1171575</xdr:colOff>
      <xdr:row>191</xdr:row>
      <xdr:rowOff>152400</xdr:rowOff>
    </xdr:to>
    <xdr:pic>
      <xdr:nvPicPr>
        <xdr:cNvPr id="16" name="Picture 15" descr="logoMTL">
          <a:extLst>
            <a:ext uri="{FF2B5EF4-FFF2-40B4-BE49-F238E27FC236}">
              <a16:creationId xmlns:a16="http://schemas.microsoft.com/office/drawing/2014/main" id="{62A16DAF-84E9-48D3-BCE5-0F5942FB61E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386619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290</xdr:row>
      <xdr:rowOff>0</xdr:rowOff>
    </xdr:from>
    <xdr:to>
      <xdr:col>19</xdr:col>
      <xdr:colOff>1228725</xdr:colOff>
      <xdr:row>291</xdr:row>
      <xdr:rowOff>123825</xdr:rowOff>
    </xdr:to>
    <xdr:pic>
      <xdr:nvPicPr>
        <xdr:cNvPr id="17" name="Picture 16" descr="logoMTL">
          <a:extLst>
            <a:ext uri="{FF2B5EF4-FFF2-40B4-BE49-F238E27FC236}">
              <a16:creationId xmlns:a16="http://schemas.microsoft.com/office/drawing/2014/main" id="{04E7BB91-8217-4F0F-BCF0-4B1AC2BC3B7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36050" y="575214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20</xdr:col>
      <xdr:colOff>1095375</xdr:colOff>
      <xdr:row>290</xdr:row>
      <xdr:rowOff>123825</xdr:rowOff>
    </xdr:from>
    <xdr:to>
      <xdr:col>20</xdr:col>
      <xdr:colOff>1895475</xdr:colOff>
      <xdr:row>291</xdr:row>
      <xdr:rowOff>152400</xdr:rowOff>
    </xdr:to>
    <xdr:pic>
      <xdr:nvPicPr>
        <xdr:cNvPr id="6" name="Picture 5" descr="C:\WINDOWS\TEMP\~0003946.gif">
          <a:extLst>
            <a:ext uri="{FF2B5EF4-FFF2-40B4-BE49-F238E27FC236}">
              <a16:creationId xmlns:a16="http://schemas.microsoft.com/office/drawing/2014/main" id="{5856E34A-53D8-472C-ADFA-8C34EB118C15}"/>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83900" y="588835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190</xdr:row>
      <xdr:rowOff>152400</xdr:rowOff>
    </xdr:from>
    <xdr:to>
      <xdr:col>20</xdr:col>
      <xdr:colOff>1924050</xdr:colOff>
      <xdr:row>191</xdr:row>
      <xdr:rowOff>180975</xdr:rowOff>
    </xdr:to>
    <xdr:pic>
      <xdr:nvPicPr>
        <xdr:cNvPr id="7" name="Picture 6" descr="C:\WINDOWS\TEMP\~0003946.gif">
          <a:extLst>
            <a:ext uri="{FF2B5EF4-FFF2-40B4-BE49-F238E27FC236}">
              <a16:creationId xmlns:a16="http://schemas.microsoft.com/office/drawing/2014/main" id="{23DFEC17-EB9C-4698-989C-62AF7F201BCC}"/>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83900" y="38785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130</xdr:row>
      <xdr:rowOff>161925</xdr:rowOff>
    </xdr:from>
    <xdr:to>
      <xdr:col>20</xdr:col>
      <xdr:colOff>1952625</xdr:colOff>
      <xdr:row>131</xdr:row>
      <xdr:rowOff>190500</xdr:rowOff>
    </xdr:to>
    <xdr:pic>
      <xdr:nvPicPr>
        <xdr:cNvPr id="8" name="Picture 7" descr="C:\WINDOWS\TEMP\~0003946.gif">
          <a:extLst>
            <a:ext uri="{FF2B5EF4-FFF2-40B4-BE49-F238E27FC236}">
              <a16:creationId xmlns:a16="http://schemas.microsoft.com/office/drawing/2014/main" id="{DF303BF3-2361-4EB0-A3ED-1B18FADBF69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83900" y="26717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61</xdr:row>
      <xdr:rowOff>161925</xdr:rowOff>
    </xdr:from>
    <xdr:to>
      <xdr:col>20</xdr:col>
      <xdr:colOff>1952625</xdr:colOff>
      <xdr:row>62</xdr:row>
      <xdr:rowOff>190500</xdr:rowOff>
    </xdr:to>
    <xdr:pic>
      <xdr:nvPicPr>
        <xdr:cNvPr id="9" name="Picture 8" descr="C:\WINDOWS\TEMP\~0003946.gif">
          <a:extLst>
            <a:ext uri="{FF2B5EF4-FFF2-40B4-BE49-F238E27FC236}">
              <a16:creationId xmlns:a16="http://schemas.microsoft.com/office/drawing/2014/main" id="{39A28CBE-63FE-4086-B650-1970F7B9E58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83900" y="124682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122464</xdr:colOff>
      <xdr:row>61</xdr:row>
      <xdr:rowOff>122464</xdr:rowOff>
    </xdr:from>
    <xdr:to>
      <xdr:col>0</xdr:col>
      <xdr:colOff>293167</xdr:colOff>
      <xdr:row>62</xdr:row>
      <xdr:rowOff>150024</xdr:rowOff>
    </xdr:to>
    <xdr:pic>
      <xdr:nvPicPr>
        <xdr:cNvPr id="18" name="Picture 17">
          <a:extLst>
            <a:ext uri="{FF2B5EF4-FFF2-40B4-BE49-F238E27FC236}">
              <a16:creationId xmlns:a16="http://schemas.microsoft.com/office/drawing/2014/main" id="{01680A8B-8A39-46B6-962F-1935E6686D46}"/>
            </a:ext>
          </a:extLst>
        </xdr:cNvPr>
        <xdr:cNvPicPr>
          <a:picLocks noChangeAspect="1"/>
        </xdr:cNvPicPr>
      </xdr:nvPicPr>
      <xdr:blipFill>
        <a:blip xmlns:r="http://schemas.openxmlformats.org/officeDocument/2006/relationships" r:embed="rId3"/>
        <a:stretch>
          <a:fillRect/>
        </a:stretch>
      </xdr:blipFill>
      <xdr:spPr>
        <a:xfrm>
          <a:off x="122464" y="12668250"/>
          <a:ext cx="170703" cy="231668"/>
        </a:xfrm>
        <a:prstGeom prst="rect">
          <a:avLst/>
        </a:prstGeom>
      </xdr:spPr>
    </xdr:pic>
    <xdr:clientData/>
  </xdr:twoCellAnchor>
  <xdr:twoCellAnchor editAs="oneCell">
    <xdr:from>
      <xdr:col>0</xdr:col>
      <xdr:colOff>108857</xdr:colOff>
      <xdr:row>130</xdr:row>
      <xdr:rowOff>108857</xdr:rowOff>
    </xdr:from>
    <xdr:to>
      <xdr:col>0</xdr:col>
      <xdr:colOff>279560</xdr:colOff>
      <xdr:row>131</xdr:row>
      <xdr:rowOff>136418</xdr:rowOff>
    </xdr:to>
    <xdr:pic>
      <xdr:nvPicPr>
        <xdr:cNvPr id="19" name="Picture 18">
          <a:extLst>
            <a:ext uri="{FF2B5EF4-FFF2-40B4-BE49-F238E27FC236}">
              <a16:creationId xmlns:a16="http://schemas.microsoft.com/office/drawing/2014/main" id="{631DAA52-BCD6-4F87-B2A9-C62354951266}"/>
            </a:ext>
          </a:extLst>
        </xdr:cNvPr>
        <xdr:cNvPicPr>
          <a:picLocks noChangeAspect="1"/>
        </xdr:cNvPicPr>
      </xdr:nvPicPr>
      <xdr:blipFill>
        <a:blip xmlns:r="http://schemas.openxmlformats.org/officeDocument/2006/relationships" r:embed="rId3"/>
        <a:stretch>
          <a:fillRect/>
        </a:stretch>
      </xdr:blipFill>
      <xdr:spPr>
        <a:xfrm>
          <a:off x="108857" y="27173464"/>
          <a:ext cx="170703" cy="231668"/>
        </a:xfrm>
        <a:prstGeom prst="rect">
          <a:avLst/>
        </a:prstGeom>
      </xdr:spPr>
    </xdr:pic>
    <xdr:clientData/>
  </xdr:twoCellAnchor>
  <xdr:twoCellAnchor editAs="oneCell">
    <xdr:from>
      <xdr:col>0</xdr:col>
      <xdr:colOff>149679</xdr:colOff>
      <xdr:row>190</xdr:row>
      <xdr:rowOff>81643</xdr:rowOff>
    </xdr:from>
    <xdr:to>
      <xdr:col>0</xdr:col>
      <xdr:colOff>320382</xdr:colOff>
      <xdr:row>191</xdr:row>
      <xdr:rowOff>109204</xdr:rowOff>
    </xdr:to>
    <xdr:pic>
      <xdr:nvPicPr>
        <xdr:cNvPr id="20" name="Picture 19">
          <a:extLst>
            <a:ext uri="{FF2B5EF4-FFF2-40B4-BE49-F238E27FC236}">
              <a16:creationId xmlns:a16="http://schemas.microsoft.com/office/drawing/2014/main" id="{A82D854A-3E1B-4C21-9528-C62A5D9405BB}"/>
            </a:ext>
          </a:extLst>
        </xdr:cNvPr>
        <xdr:cNvPicPr>
          <a:picLocks noChangeAspect="1"/>
        </xdr:cNvPicPr>
      </xdr:nvPicPr>
      <xdr:blipFill>
        <a:blip xmlns:r="http://schemas.openxmlformats.org/officeDocument/2006/relationships" r:embed="rId3"/>
        <a:stretch>
          <a:fillRect/>
        </a:stretch>
      </xdr:blipFill>
      <xdr:spPr>
        <a:xfrm>
          <a:off x="149679" y="39433500"/>
          <a:ext cx="170703" cy="231668"/>
        </a:xfrm>
        <a:prstGeom prst="rect">
          <a:avLst/>
        </a:prstGeom>
      </xdr:spPr>
    </xdr:pic>
    <xdr:clientData/>
  </xdr:twoCellAnchor>
  <xdr:twoCellAnchor editAs="oneCell">
    <xdr:from>
      <xdr:col>0</xdr:col>
      <xdr:colOff>81643</xdr:colOff>
      <xdr:row>290</xdr:row>
      <xdr:rowOff>122464</xdr:rowOff>
    </xdr:from>
    <xdr:to>
      <xdr:col>0</xdr:col>
      <xdr:colOff>252346</xdr:colOff>
      <xdr:row>291</xdr:row>
      <xdr:rowOff>150024</xdr:rowOff>
    </xdr:to>
    <xdr:pic>
      <xdr:nvPicPr>
        <xdr:cNvPr id="21" name="Picture 20">
          <a:extLst>
            <a:ext uri="{FF2B5EF4-FFF2-40B4-BE49-F238E27FC236}">
              <a16:creationId xmlns:a16="http://schemas.microsoft.com/office/drawing/2014/main" id="{DABC0592-44CC-4A11-B896-245593320786}"/>
            </a:ext>
          </a:extLst>
        </xdr:cNvPr>
        <xdr:cNvPicPr>
          <a:picLocks noChangeAspect="1"/>
        </xdr:cNvPicPr>
      </xdr:nvPicPr>
      <xdr:blipFill>
        <a:blip xmlns:r="http://schemas.openxmlformats.org/officeDocument/2006/relationships" r:embed="rId3"/>
        <a:stretch>
          <a:fillRect/>
        </a:stretch>
      </xdr:blipFill>
      <xdr:spPr>
        <a:xfrm>
          <a:off x="81643" y="60007500"/>
          <a:ext cx="170703" cy="231668"/>
        </a:xfrm>
        <a:prstGeom prst="rect">
          <a:avLst/>
        </a:prstGeom>
      </xdr:spPr>
    </xdr:pic>
    <xdr:clientData/>
  </xdr:twoCellAnchor>
  <xdr:twoCellAnchor editAs="oneCell">
    <xdr:from>
      <xdr:col>20</xdr:col>
      <xdr:colOff>95250</xdr:colOff>
      <xdr:row>289</xdr:row>
      <xdr:rowOff>199213</xdr:rowOff>
    </xdr:from>
    <xdr:to>
      <xdr:col>20</xdr:col>
      <xdr:colOff>924631</xdr:colOff>
      <xdr:row>291</xdr:row>
      <xdr:rowOff>44341</xdr:rowOff>
    </xdr:to>
    <xdr:pic>
      <xdr:nvPicPr>
        <xdr:cNvPr id="24" name="Picture 23">
          <a:extLst>
            <a:ext uri="{FF2B5EF4-FFF2-40B4-BE49-F238E27FC236}">
              <a16:creationId xmlns:a16="http://schemas.microsoft.com/office/drawing/2014/main" id="{94C58A6A-BE18-4D29-92A6-ED0B507713C1}"/>
            </a:ext>
          </a:extLst>
        </xdr:cNvPr>
        <xdr:cNvPicPr>
          <a:picLocks noChangeAspect="1"/>
        </xdr:cNvPicPr>
      </xdr:nvPicPr>
      <xdr:blipFill>
        <a:blip xmlns:r="http://schemas.openxmlformats.org/officeDocument/2006/relationships" r:embed="rId4"/>
        <a:stretch>
          <a:fillRect/>
        </a:stretch>
      </xdr:blipFill>
      <xdr:spPr>
        <a:xfrm>
          <a:off x="22683107" y="59839320"/>
          <a:ext cx="829381" cy="294165"/>
        </a:xfrm>
        <a:prstGeom prst="rect">
          <a:avLst/>
        </a:prstGeom>
      </xdr:spPr>
    </xdr:pic>
    <xdr:clientData/>
  </xdr:twoCellAnchor>
  <xdr:twoCellAnchor editAs="oneCell">
    <xdr:from>
      <xdr:col>20</xdr:col>
      <xdr:colOff>81644</xdr:colOff>
      <xdr:row>189</xdr:row>
      <xdr:rowOff>176893</xdr:rowOff>
    </xdr:from>
    <xdr:to>
      <xdr:col>20</xdr:col>
      <xdr:colOff>911025</xdr:colOff>
      <xdr:row>191</xdr:row>
      <xdr:rowOff>62844</xdr:rowOff>
    </xdr:to>
    <xdr:pic>
      <xdr:nvPicPr>
        <xdr:cNvPr id="25" name="Picture 24">
          <a:extLst>
            <a:ext uri="{FF2B5EF4-FFF2-40B4-BE49-F238E27FC236}">
              <a16:creationId xmlns:a16="http://schemas.microsoft.com/office/drawing/2014/main" id="{1E67909E-A931-4896-A0D4-C38F9004431C}"/>
            </a:ext>
          </a:extLst>
        </xdr:cNvPr>
        <xdr:cNvPicPr>
          <a:picLocks noChangeAspect="1"/>
        </xdr:cNvPicPr>
      </xdr:nvPicPr>
      <xdr:blipFill>
        <a:blip xmlns:r="http://schemas.openxmlformats.org/officeDocument/2006/relationships" r:embed="rId4"/>
        <a:stretch>
          <a:fillRect/>
        </a:stretch>
      </xdr:blipFill>
      <xdr:spPr>
        <a:xfrm>
          <a:off x="22669501" y="39324643"/>
          <a:ext cx="829381" cy="294165"/>
        </a:xfrm>
        <a:prstGeom prst="rect">
          <a:avLst/>
        </a:prstGeom>
      </xdr:spPr>
    </xdr:pic>
    <xdr:clientData/>
  </xdr:twoCellAnchor>
  <xdr:twoCellAnchor editAs="oneCell">
    <xdr:from>
      <xdr:col>20</xdr:col>
      <xdr:colOff>40821</xdr:colOff>
      <xdr:row>130</xdr:row>
      <xdr:rowOff>40821</xdr:rowOff>
    </xdr:from>
    <xdr:to>
      <xdr:col>20</xdr:col>
      <xdr:colOff>870202</xdr:colOff>
      <xdr:row>131</xdr:row>
      <xdr:rowOff>130879</xdr:rowOff>
    </xdr:to>
    <xdr:pic>
      <xdr:nvPicPr>
        <xdr:cNvPr id="26" name="Picture 25">
          <a:extLst>
            <a:ext uri="{FF2B5EF4-FFF2-40B4-BE49-F238E27FC236}">
              <a16:creationId xmlns:a16="http://schemas.microsoft.com/office/drawing/2014/main" id="{9E087B26-DBDA-4391-A844-C9F1B087DDE2}"/>
            </a:ext>
          </a:extLst>
        </xdr:cNvPr>
        <xdr:cNvPicPr>
          <a:picLocks noChangeAspect="1"/>
        </xdr:cNvPicPr>
      </xdr:nvPicPr>
      <xdr:blipFill>
        <a:blip xmlns:r="http://schemas.openxmlformats.org/officeDocument/2006/relationships" r:embed="rId4"/>
        <a:stretch>
          <a:fillRect/>
        </a:stretch>
      </xdr:blipFill>
      <xdr:spPr>
        <a:xfrm>
          <a:off x="22628678" y="27105428"/>
          <a:ext cx="829381" cy="294165"/>
        </a:xfrm>
        <a:prstGeom prst="rect">
          <a:avLst/>
        </a:prstGeom>
      </xdr:spPr>
    </xdr:pic>
    <xdr:clientData/>
  </xdr:twoCellAnchor>
  <xdr:twoCellAnchor editAs="oneCell">
    <xdr:from>
      <xdr:col>20</xdr:col>
      <xdr:colOff>95251</xdr:colOff>
      <xdr:row>61</xdr:row>
      <xdr:rowOff>27214</xdr:rowOff>
    </xdr:from>
    <xdr:to>
      <xdr:col>20</xdr:col>
      <xdr:colOff>924632</xdr:colOff>
      <xdr:row>62</xdr:row>
      <xdr:rowOff>117271</xdr:rowOff>
    </xdr:to>
    <xdr:pic>
      <xdr:nvPicPr>
        <xdr:cNvPr id="28" name="Picture 27">
          <a:extLst>
            <a:ext uri="{FF2B5EF4-FFF2-40B4-BE49-F238E27FC236}">
              <a16:creationId xmlns:a16="http://schemas.microsoft.com/office/drawing/2014/main" id="{03F4F857-F2AB-4C0C-98CD-D034CC74F0EB}"/>
            </a:ext>
          </a:extLst>
        </xdr:cNvPr>
        <xdr:cNvPicPr>
          <a:picLocks noChangeAspect="1"/>
        </xdr:cNvPicPr>
      </xdr:nvPicPr>
      <xdr:blipFill>
        <a:blip xmlns:r="http://schemas.openxmlformats.org/officeDocument/2006/relationships" r:embed="rId4"/>
        <a:stretch>
          <a:fillRect/>
        </a:stretch>
      </xdr:blipFill>
      <xdr:spPr>
        <a:xfrm>
          <a:off x="22683108" y="12573000"/>
          <a:ext cx="829381" cy="29416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20</xdr:col>
      <xdr:colOff>1095375</xdr:colOff>
      <xdr:row>290</xdr:row>
      <xdr:rowOff>123825</xdr:rowOff>
    </xdr:from>
    <xdr:to>
      <xdr:col>20</xdr:col>
      <xdr:colOff>1895475</xdr:colOff>
      <xdr:row>291</xdr:row>
      <xdr:rowOff>152400</xdr:rowOff>
    </xdr:to>
    <xdr:pic>
      <xdr:nvPicPr>
        <xdr:cNvPr id="2" name="Picture 1" descr="C:\WINDOWS\TEMP\~0003946.gif">
          <a:extLst>
            <a:ext uri="{FF2B5EF4-FFF2-40B4-BE49-F238E27FC236}">
              <a16:creationId xmlns:a16="http://schemas.microsoft.com/office/drawing/2014/main" id="{4B5E8D29-2BFE-47E7-9C76-728BAEC9A97D}"/>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83900" y="588549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190</xdr:row>
      <xdr:rowOff>152400</xdr:rowOff>
    </xdr:from>
    <xdr:to>
      <xdr:col>20</xdr:col>
      <xdr:colOff>1924050</xdr:colOff>
      <xdr:row>191</xdr:row>
      <xdr:rowOff>180975</xdr:rowOff>
    </xdr:to>
    <xdr:pic>
      <xdr:nvPicPr>
        <xdr:cNvPr id="3" name="Picture 2" descr="C:\WINDOWS\TEMP\~0003946.gif">
          <a:extLst>
            <a:ext uri="{FF2B5EF4-FFF2-40B4-BE49-F238E27FC236}">
              <a16:creationId xmlns:a16="http://schemas.microsoft.com/office/drawing/2014/main" id="{79C00C3B-A24A-4B8A-8037-670A5CE8D161}"/>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83900" y="387572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130</xdr:row>
      <xdr:rowOff>161925</xdr:rowOff>
    </xdr:from>
    <xdr:to>
      <xdr:col>20</xdr:col>
      <xdr:colOff>1952625</xdr:colOff>
      <xdr:row>131</xdr:row>
      <xdr:rowOff>190500</xdr:rowOff>
    </xdr:to>
    <xdr:pic>
      <xdr:nvPicPr>
        <xdr:cNvPr id="4" name="Picture 3" descr="C:\WINDOWS\TEMP\~0003946.gif">
          <a:extLst>
            <a:ext uri="{FF2B5EF4-FFF2-40B4-BE49-F238E27FC236}">
              <a16:creationId xmlns:a16="http://schemas.microsoft.com/office/drawing/2014/main" id="{AF5F6E16-A862-4745-A67A-E3929C015EEE}"/>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83900" y="266890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61</xdr:row>
      <xdr:rowOff>161925</xdr:rowOff>
    </xdr:from>
    <xdr:to>
      <xdr:col>20</xdr:col>
      <xdr:colOff>1952625</xdr:colOff>
      <xdr:row>62</xdr:row>
      <xdr:rowOff>190500</xdr:rowOff>
    </xdr:to>
    <xdr:pic>
      <xdr:nvPicPr>
        <xdr:cNvPr id="5" name="Picture 4" descr="C:\WINDOWS\TEMP\~0003946.gif">
          <a:extLst>
            <a:ext uri="{FF2B5EF4-FFF2-40B4-BE49-F238E27FC236}">
              <a16:creationId xmlns:a16="http://schemas.microsoft.com/office/drawing/2014/main" id="{4B379130-FC0C-4DDB-8A10-DBF927D06D4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83900" y="12439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122464</xdr:colOff>
      <xdr:row>61</xdr:row>
      <xdr:rowOff>122464</xdr:rowOff>
    </xdr:from>
    <xdr:to>
      <xdr:col>0</xdr:col>
      <xdr:colOff>293167</xdr:colOff>
      <xdr:row>62</xdr:row>
      <xdr:rowOff>150024</xdr:rowOff>
    </xdr:to>
    <xdr:pic>
      <xdr:nvPicPr>
        <xdr:cNvPr id="6" name="Picture 5">
          <a:extLst>
            <a:ext uri="{FF2B5EF4-FFF2-40B4-BE49-F238E27FC236}">
              <a16:creationId xmlns:a16="http://schemas.microsoft.com/office/drawing/2014/main" id="{E322F74E-41AA-4E46-BD3C-0BA172D99AEF}"/>
            </a:ext>
          </a:extLst>
        </xdr:cNvPr>
        <xdr:cNvPicPr>
          <a:picLocks noChangeAspect="1"/>
        </xdr:cNvPicPr>
      </xdr:nvPicPr>
      <xdr:blipFill>
        <a:blip xmlns:r="http://schemas.openxmlformats.org/officeDocument/2006/relationships" r:embed="rId3"/>
        <a:stretch>
          <a:fillRect/>
        </a:stretch>
      </xdr:blipFill>
      <xdr:spPr>
        <a:xfrm>
          <a:off x="122464" y="12400189"/>
          <a:ext cx="170703" cy="227585"/>
        </a:xfrm>
        <a:prstGeom prst="rect">
          <a:avLst/>
        </a:prstGeom>
      </xdr:spPr>
    </xdr:pic>
    <xdr:clientData/>
  </xdr:twoCellAnchor>
  <xdr:twoCellAnchor editAs="oneCell">
    <xdr:from>
      <xdr:col>0</xdr:col>
      <xdr:colOff>108857</xdr:colOff>
      <xdr:row>130</xdr:row>
      <xdr:rowOff>108857</xdr:rowOff>
    </xdr:from>
    <xdr:to>
      <xdr:col>0</xdr:col>
      <xdr:colOff>279560</xdr:colOff>
      <xdr:row>131</xdr:row>
      <xdr:rowOff>136418</xdr:rowOff>
    </xdr:to>
    <xdr:pic>
      <xdr:nvPicPr>
        <xdr:cNvPr id="7" name="Picture 6">
          <a:extLst>
            <a:ext uri="{FF2B5EF4-FFF2-40B4-BE49-F238E27FC236}">
              <a16:creationId xmlns:a16="http://schemas.microsoft.com/office/drawing/2014/main" id="{35666DAB-9D99-4FBC-9357-3ED79E7F319B}"/>
            </a:ext>
          </a:extLst>
        </xdr:cNvPr>
        <xdr:cNvPicPr>
          <a:picLocks noChangeAspect="1"/>
        </xdr:cNvPicPr>
      </xdr:nvPicPr>
      <xdr:blipFill>
        <a:blip xmlns:r="http://schemas.openxmlformats.org/officeDocument/2006/relationships" r:embed="rId3"/>
        <a:stretch>
          <a:fillRect/>
        </a:stretch>
      </xdr:blipFill>
      <xdr:spPr>
        <a:xfrm>
          <a:off x="108857" y="26635982"/>
          <a:ext cx="170703" cy="227586"/>
        </a:xfrm>
        <a:prstGeom prst="rect">
          <a:avLst/>
        </a:prstGeom>
      </xdr:spPr>
    </xdr:pic>
    <xdr:clientData/>
  </xdr:twoCellAnchor>
  <xdr:twoCellAnchor editAs="oneCell">
    <xdr:from>
      <xdr:col>0</xdr:col>
      <xdr:colOff>149679</xdr:colOff>
      <xdr:row>190</xdr:row>
      <xdr:rowOff>81643</xdr:rowOff>
    </xdr:from>
    <xdr:to>
      <xdr:col>0</xdr:col>
      <xdr:colOff>320382</xdr:colOff>
      <xdr:row>191</xdr:row>
      <xdr:rowOff>109204</xdr:rowOff>
    </xdr:to>
    <xdr:pic>
      <xdr:nvPicPr>
        <xdr:cNvPr id="8" name="Picture 7">
          <a:extLst>
            <a:ext uri="{FF2B5EF4-FFF2-40B4-BE49-F238E27FC236}">
              <a16:creationId xmlns:a16="http://schemas.microsoft.com/office/drawing/2014/main" id="{09A29833-BAAE-4E69-A792-1EACE3301954}"/>
            </a:ext>
          </a:extLst>
        </xdr:cNvPr>
        <xdr:cNvPicPr>
          <a:picLocks noChangeAspect="1"/>
        </xdr:cNvPicPr>
      </xdr:nvPicPr>
      <xdr:blipFill>
        <a:blip xmlns:r="http://schemas.openxmlformats.org/officeDocument/2006/relationships" r:embed="rId3"/>
        <a:stretch>
          <a:fillRect/>
        </a:stretch>
      </xdr:blipFill>
      <xdr:spPr>
        <a:xfrm>
          <a:off x="149679" y="38686468"/>
          <a:ext cx="170703" cy="227586"/>
        </a:xfrm>
        <a:prstGeom prst="rect">
          <a:avLst/>
        </a:prstGeom>
      </xdr:spPr>
    </xdr:pic>
    <xdr:clientData/>
  </xdr:twoCellAnchor>
  <xdr:twoCellAnchor editAs="oneCell">
    <xdr:from>
      <xdr:col>0</xdr:col>
      <xdr:colOff>81643</xdr:colOff>
      <xdr:row>290</xdr:row>
      <xdr:rowOff>122464</xdr:rowOff>
    </xdr:from>
    <xdr:to>
      <xdr:col>0</xdr:col>
      <xdr:colOff>252346</xdr:colOff>
      <xdr:row>291</xdr:row>
      <xdr:rowOff>150024</xdr:rowOff>
    </xdr:to>
    <xdr:pic>
      <xdr:nvPicPr>
        <xdr:cNvPr id="9" name="Picture 8">
          <a:extLst>
            <a:ext uri="{FF2B5EF4-FFF2-40B4-BE49-F238E27FC236}">
              <a16:creationId xmlns:a16="http://schemas.microsoft.com/office/drawing/2014/main" id="{110FF837-9973-4541-9C47-1C054BE255DC}"/>
            </a:ext>
          </a:extLst>
        </xdr:cNvPr>
        <xdr:cNvPicPr>
          <a:picLocks noChangeAspect="1"/>
        </xdr:cNvPicPr>
      </xdr:nvPicPr>
      <xdr:blipFill>
        <a:blip xmlns:r="http://schemas.openxmlformats.org/officeDocument/2006/relationships" r:embed="rId3"/>
        <a:stretch>
          <a:fillRect/>
        </a:stretch>
      </xdr:blipFill>
      <xdr:spPr>
        <a:xfrm>
          <a:off x="81643" y="58853614"/>
          <a:ext cx="170703" cy="227585"/>
        </a:xfrm>
        <a:prstGeom prst="rect">
          <a:avLst/>
        </a:prstGeom>
      </xdr:spPr>
    </xdr:pic>
    <xdr:clientData/>
  </xdr:twoCellAnchor>
  <xdr:twoCellAnchor editAs="oneCell">
    <xdr:from>
      <xdr:col>20</xdr:col>
      <xdr:colOff>95250</xdr:colOff>
      <xdr:row>289</xdr:row>
      <xdr:rowOff>199213</xdr:rowOff>
    </xdr:from>
    <xdr:to>
      <xdr:col>20</xdr:col>
      <xdr:colOff>924631</xdr:colOff>
      <xdr:row>291</xdr:row>
      <xdr:rowOff>44341</xdr:rowOff>
    </xdr:to>
    <xdr:pic>
      <xdr:nvPicPr>
        <xdr:cNvPr id="10" name="Picture 9">
          <a:extLst>
            <a:ext uri="{FF2B5EF4-FFF2-40B4-BE49-F238E27FC236}">
              <a16:creationId xmlns:a16="http://schemas.microsoft.com/office/drawing/2014/main" id="{034EB135-6483-4F01-A596-D9A21FD356B5}"/>
            </a:ext>
          </a:extLst>
        </xdr:cNvPr>
        <xdr:cNvPicPr>
          <a:picLocks noChangeAspect="1"/>
        </xdr:cNvPicPr>
      </xdr:nvPicPr>
      <xdr:blipFill>
        <a:blip xmlns:r="http://schemas.openxmlformats.org/officeDocument/2006/relationships" r:embed="rId4"/>
        <a:stretch>
          <a:fillRect/>
        </a:stretch>
      </xdr:blipFill>
      <xdr:spPr>
        <a:xfrm>
          <a:off x="22669500" y="58692238"/>
          <a:ext cx="829381" cy="283278"/>
        </a:xfrm>
        <a:prstGeom prst="rect">
          <a:avLst/>
        </a:prstGeom>
      </xdr:spPr>
    </xdr:pic>
    <xdr:clientData/>
  </xdr:twoCellAnchor>
  <xdr:twoCellAnchor editAs="oneCell">
    <xdr:from>
      <xdr:col>20</xdr:col>
      <xdr:colOff>81644</xdr:colOff>
      <xdr:row>189</xdr:row>
      <xdr:rowOff>176893</xdr:rowOff>
    </xdr:from>
    <xdr:to>
      <xdr:col>20</xdr:col>
      <xdr:colOff>911025</xdr:colOff>
      <xdr:row>191</xdr:row>
      <xdr:rowOff>62844</xdr:rowOff>
    </xdr:to>
    <xdr:pic>
      <xdr:nvPicPr>
        <xdr:cNvPr id="11" name="Picture 10">
          <a:extLst>
            <a:ext uri="{FF2B5EF4-FFF2-40B4-BE49-F238E27FC236}">
              <a16:creationId xmlns:a16="http://schemas.microsoft.com/office/drawing/2014/main" id="{172198C3-695B-4E46-9344-6F6592FF5586}"/>
            </a:ext>
          </a:extLst>
        </xdr:cNvPr>
        <xdr:cNvPicPr>
          <a:picLocks noChangeAspect="1"/>
        </xdr:cNvPicPr>
      </xdr:nvPicPr>
      <xdr:blipFill>
        <a:blip xmlns:r="http://schemas.openxmlformats.org/officeDocument/2006/relationships" r:embed="rId4"/>
        <a:stretch>
          <a:fillRect/>
        </a:stretch>
      </xdr:blipFill>
      <xdr:spPr>
        <a:xfrm>
          <a:off x="22655894" y="38581693"/>
          <a:ext cx="829381" cy="286001"/>
        </a:xfrm>
        <a:prstGeom prst="rect">
          <a:avLst/>
        </a:prstGeom>
      </xdr:spPr>
    </xdr:pic>
    <xdr:clientData/>
  </xdr:twoCellAnchor>
  <xdr:twoCellAnchor editAs="oneCell">
    <xdr:from>
      <xdr:col>20</xdr:col>
      <xdr:colOff>40821</xdr:colOff>
      <xdr:row>130</xdr:row>
      <xdr:rowOff>40821</xdr:rowOff>
    </xdr:from>
    <xdr:to>
      <xdr:col>20</xdr:col>
      <xdr:colOff>870202</xdr:colOff>
      <xdr:row>131</xdr:row>
      <xdr:rowOff>130879</xdr:rowOff>
    </xdr:to>
    <xdr:pic>
      <xdr:nvPicPr>
        <xdr:cNvPr id="12" name="Picture 11">
          <a:extLst>
            <a:ext uri="{FF2B5EF4-FFF2-40B4-BE49-F238E27FC236}">
              <a16:creationId xmlns:a16="http://schemas.microsoft.com/office/drawing/2014/main" id="{2161C7A4-44A5-474F-A9B9-DD44878234EF}"/>
            </a:ext>
          </a:extLst>
        </xdr:cNvPr>
        <xdr:cNvPicPr>
          <a:picLocks noChangeAspect="1"/>
        </xdr:cNvPicPr>
      </xdr:nvPicPr>
      <xdr:blipFill>
        <a:blip xmlns:r="http://schemas.openxmlformats.org/officeDocument/2006/relationships" r:embed="rId4"/>
        <a:stretch>
          <a:fillRect/>
        </a:stretch>
      </xdr:blipFill>
      <xdr:spPr>
        <a:xfrm>
          <a:off x="22615071" y="26567946"/>
          <a:ext cx="829381" cy="290083"/>
        </a:xfrm>
        <a:prstGeom prst="rect">
          <a:avLst/>
        </a:prstGeom>
      </xdr:spPr>
    </xdr:pic>
    <xdr:clientData/>
  </xdr:twoCellAnchor>
  <xdr:twoCellAnchor editAs="oneCell">
    <xdr:from>
      <xdr:col>20</xdr:col>
      <xdr:colOff>95251</xdr:colOff>
      <xdr:row>61</xdr:row>
      <xdr:rowOff>27214</xdr:rowOff>
    </xdr:from>
    <xdr:to>
      <xdr:col>20</xdr:col>
      <xdr:colOff>924632</xdr:colOff>
      <xdr:row>62</xdr:row>
      <xdr:rowOff>117271</xdr:rowOff>
    </xdr:to>
    <xdr:pic>
      <xdr:nvPicPr>
        <xdr:cNvPr id="13" name="Picture 12">
          <a:extLst>
            <a:ext uri="{FF2B5EF4-FFF2-40B4-BE49-F238E27FC236}">
              <a16:creationId xmlns:a16="http://schemas.microsoft.com/office/drawing/2014/main" id="{5E71C83C-37B4-44F4-9D06-D45FA7B7EAB2}"/>
            </a:ext>
          </a:extLst>
        </xdr:cNvPr>
        <xdr:cNvPicPr>
          <a:picLocks noChangeAspect="1"/>
        </xdr:cNvPicPr>
      </xdr:nvPicPr>
      <xdr:blipFill>
        <a:blip xmlns:r="http://schemas.openxmlformats.org/officeDocument/2006/relationships" r:embed="rId4"/>
        <a:stretch>
          <a:fillRect/>
        </a:stretch>
      </xdr:blipFill>
      <xdr:spPr>
        <a:xfrm>
          <a:off x="22669501" y="12304939"/>
          <a:ext cx="829381" cy="290082"/>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xdr:from>
      <xdr:col>20</xdr:col>
      <xdr:colOff>1095375</xdr:colOff>
      <xdr:row>290</xdr:row>
      <xdr:rowOff>123825</xdr:rowOff>
    </xdr:from>
    <xdr:to>
      <xdr:col>20</xdr:col>
      <xdr:colOff>1895475</xdr:colOff>
      <xdr:row>291</xdr:row>
      <xdr:rowOff>152400</xdr:rowOff>
    </xdr:to>
    <xdr:pic>
      <xdr:nvPicPr>
        <xdr:cNvPr id="2" name="Picture 1" descr="C:\WINDOWS\TEMP\~0003946.gif">
          <a:extLst>
            <a:ext uri="{FF2B5EF4-FFF2-40B4-BE49-F238E27FC236}">
              <a16:creationId xmlns:a16="http://schemas.microsoft.com/office/drawing/2014/main" id="{F4AA67AA-8987-48CA-A759-A342EDD2464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36275" y="588549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190</xdr:row>
      <xdr:rowOff>152400</xdr:rowOff>
    </xdr:from>
    <xdr:to>
      <xdr:col>20</xdr:col>
      <xdr:colOff>1924050</xdr:colOff>
      <xdr:row>191</xdr:row>
      <xdr:rowOff>180975</xdr:rowOff>
    </xdr:to>
    <xdr:pic>
      <xdr:nvPicPr>
        <xdr:cNvPr id="3" name="Picture 2" descr="C:\WINDOWS\TEMP\~0003946.gif">
          <a:extLst>
            <a:ext uri="{FF2B5EF4-FFF2-40B4-BE49-F238E27FC236}">
              <a16:creationId xmlns:a16="http://schemas.microsoft.com/office/drawing/2014/main" id="{08CE7BCB-806E-455A-A405-F3997D8D228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36275" y="387572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130</xdr:row>
      <xdr:rowOff>161925</xdr:rowOff>
    </xdr:from>
    <xdr:to>
      <xdr:col>20</xdr:col>
      <xdr:colOff>1952625</xdr:colOff>
      <xdr:row>131</xdr:row>
      <xdr:rowOff>190500</xdr:rowOff>
    </xdr:to>
    <xdr:pic>
      <xdr:nvPicPr>
        <xdr:cNvPr id="4" name="Picture 3" descr="C:\WINDOWS\TEMP\~0003946.gif">
          <a:extLst>
            <a:ext uri="{FF2B5EF4-FFF2-40B4-BE49-F238E27FC236}">
              <a16:creationId xmlns:a16="http://schemas.microsoft.com/office/drawing/2014/main" id="{45F2DE07-AAC4-4DFF-A07B-85666C2E1DA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36275" y="266890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61</xdr:row>
      <xdr:rowOff>161925</xdr:rowOff>
    </xdr:from>
    <xdr:to>
      <xdr:col>20</xdr:col>
      <xdr:colOff>1952625</xdr:colOff>
      <xdr:row>62</xdr:row>
      <xdr:rowOff>190500</xdr:rowOff>
    </xdr:to>
    <xdr:pic>
      <xdr:nvPicPr>
        <xdr:cNvPr id="5" name="Picture 4" descr="C:\WINDOWS\TEMP\~0003946.gif">
          <a:extLst>
            <a:ext uri="{FF2B5EF4-FFF2-40B4-BE49-F238E27FC236}">
              <a16:creationId xmlns:a16="http://schemas.microsoft.com/office/drawing/2014/main" id="{3AB9B857-D125-4FD5-AB92-2D99B48BF31D}"/>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36275" y="12439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122464</xdr:colOff>
      <xdr:row>61</xdr:row>
      <xdr:rowOff>122464</xdr:rowOff>
    </xdr:from>
    <xdr:to>
      <xdr:col>0</xdr:col>
      <xdr:colOff>293167</xdr:colOff>
      <xdr:row>62</xdr:row>
      <xdr:rowOff>150024</xdr:rowOff>
    </xdr:to>
    <xdr:pic>
      <xdr:nvPicPr>
        <xdr:cNvPr id="6" name="Picture 5">
          <a:extLst>
            <a:ext uri="{FF2B5EF4-FFF2-40B4-BE49-F238E27FC236}">
              <a16:creationId xmlns:a16="http://schemas.microsoft.com/office/drawing/2014/main" id="{73E0D077-1AF3-465C-8E87-A69A3DD024AC}"/>
            </a:ext>
          </a:extLst>
        </xdr:cNvPr>
        <xdr:cNvPicPr>
          <a:picLocks noChangeAspect="1"/>
        </xdr:cNvPicPr>
      </xdr:nvPicPr>
      <xdr:blipFill>
        <a:blip xmlns:r="http://schemas.openxmlformats.org/officeDocument/2006/relationships" r:embed="rId3"/>
        <a:stretch>
          <a:fillRect/>
        </a:stretch>
      </xdr:blipFill>
      <xdr:spPr>
        <a:xfrm>
          <a:off x="122464" y="12400189"/>
          <a:ext cx="170703" cy="227585"/>
        </a:xfrm>
        <a:prstGeom prst="rect">
          <a:avLst/>
        </a:prstGeom>
      </xdr:spPr>
    </xdr:pic>
    <xdr:clientData/>
  </xdr:twoCellAnchor>
  <xdr:twoCellAnchor editAs="oneCell">
    <xdr:from>
      <xdr:col>0</xdr:col>
      <xdr:colOff>108857</xdr:colOff>
      <xdr:row>130</xdr:row>
      <xdr:rowOff>108857</xdr:rowOff>
    </xdr:from>
    <xdr:to>
      <xdr:col>0</xdr:col>
      <xdr:colOff>279560</xdr:colOff>
      <xdr:row>131</xdr:row>
      <xdr:rowOff>136418</xdr:rowOff>
    </xdr:to>
    <xdr:pic>
      <xdr:nvPicPr>
        <xdr:cNvPr id="7" name="Picture 6">
          <a:extLst>
            <a:ext uri="{FF2B5EF4-FFF2-40B4-BE49-F238E27FC236}">
              <a16:creationId xmlns:a16="http://schemas.microsoft.com/office/drawing/2014/main" id="{DA0BFBB7-C7A2-4B85-A90F-D54880839294}"/>
            </a:ext>
          </a:extLst>
        </xdr:cNvPr>
        <xdr:cNvPicPr>
          <a:picLocks noChangeAspect="1"/>
        </xdr:cNvPicPr>
      </xdr:nvPicPr>
      <xdr:blipFill>
        <a:blip xmlns:r="http://schemas.openxmlformats.org/officeDocument/2006/relationships" r:embed="rId3"/>
        <a:stretch>
          <a:fillRect/>
        </a:stretch>
      </xdr:blipFill>
      <xdr:spPr>
        <a:xfrm>
          <a:off x="108857" y="26635982"/>
          <a:ext cx="170703" cy="227586"/>
        </a:xfrm>
        <a:prstGeom prst="rect">
          <a:avLst/>
        </a:prstGeom>
      </xdr:spPr>
    </xdr:pic>
    <xdr:clientData/>
  </xdr:twoCellAnchor>
  <xdr:twoCellAnchor editAs="oneCell">
    <xdr:from>
      <xdr:col>0</xdr:col>
      <xdr:colOff>149679</xdr:colOff>
      <xdr:row>190</xdr:row>
      <xdr:rowOff>81643</xdr:rowOff>
    </xdr:from>
    <xdr:to>
      <xdr:col>0</xdr:col>
      <xdr:colOff>320382</xdr:colOff>
      <xdr:row>191</xdr:row>
      <xdr:rowOff>109204</xdr:rowOff>
    </xdr:to>
    <xdr:pic>
      <xdr:nvPicPr>
        <xdr:cNvPr id="8" name="Picture 7">
          <a:extLst>
            <a:ext uri="{FF2B5EF4-FFF2-40B4-BE49-F238E27FC236}">
              <a16:creationId xmlns:a16="http://schemas.microsoft.com/office/drawing/2014/main" id="{42FF3E60-C3A0-444F-BE2E-DB604E97261C}"/>
            </a:ext>
          </a:extLst>
        </xdr:cNvPr>
        <xdr:cNvPicPr>
          <a:picLocks noChangeAspect="1"/>
        </xdr:cNvPicPr>
      </xdr:nvPicPr>
      <xdr:blipFill>
        <a:blip xmlns:r="http://schemas.openxmlformats.org/officeDocument/2006/relationships" r:embed="rId3"/>
        <a:stretch>
          <a:fillRect/>
        </a:stretch>
      </xdr:blipFill>
      <xdr:spPr>
        <a:xfrm>
          <a:off x="149679" y="38686468"/>
          <a:ext cx="170703" cy="227586"/>
        </a:xfrm>
        <a:prstGeom prst="rect">
          <a:avLst/>
        </a:prstGeom>
      </xdr:spPr>
    </xdr:pic>
    <xdr:clientData/>
  </xdr:twoCellAnchor>
  <xdr:twoCellAnchor editAs="oneCell">
    <xdr:from>
      <xdr:col>0</xdr:col>
      <xdr:colOff>81643</xdr:colOff>
      <xdr:row>290</xdr:row>
      <xdr:rowOff>122464</xdr:rowOff>
    </xdr:from>
    <xdr:to>
      <xdr:col>0</xdr:col>
      <xdr:colOff>252346</xdr:colOff>
      <xdr:row>291</xdr:row>
      <xdr:rowOff>150024</xdr:rowOff>
    </xdr:to>
    <xdr:pic>
      <xdr:nvPicPr>
        <xdr:cNvPr id="9" name="Picture 8">
          <a:extLst>
            <a:ext uri="{FF2B5EF4-FFF2-40B4-BE49-F238E27FC236}">
              <a16:creationId xmlns:a16="http://schemas.microsoft.com/office/drawing/2014/main" id="{3F142536-E9E2-4E98-B20C-13B6A0C92007}"/>
            </a:ext>
          </a:extLst>
        </xdr:cNvPr>
        <xdr:cNvPicPr>
          <a:picLocks noChangeAspect="1"/>
        </xdr:cNvPicPr>
      </xdr:nvPicPr>
      <xdr:blipFill>
        <a:blip xmlns:r="http://schemas.openxmlformats.org/officeDocument/2006/relationships" r:embed="rId3"/>
        <a:stretch>
          <a:fillRect/>
        </a:stretch>
      </xdr:blipFill>
      <xdr:spPr>
        <a:xfrm>
          <a:off x="81643" y="58853614"/>
          <a:ext cx="170703" cy="227585"/>
        </a:xfrm>
        <a:prstGeom prst="rect">
          <a:avLst/>
        </a:prstGeom>
      </xdr:spPr>
    </xdr:pic>
    <xdr:clientData/>
  </xdr:twoCellAnchor>
  <xdr:twoCellAnchor editAs="oneCell">
    <xdr:from>
      <xdr:col>20</xdr:col>
      <xdr:colOff>95250</xdr:colOff>
      <xdr:row>289</xdr:row>
      <xdr:rowOff>199213</xdr:rowOff>
    </xdr:from>
    <xdr:to>
      <xdr:col>20</xdr:col>
      <xdr:colOff>924631</xdr:colOff>
      <xdr:row>291</xdr:row>
      <xdr:rowOff>44341</xdr:rowOff>
    </xdr:to>
    <xdr:pic>
      <xdr:nvPicPr>
        <xdr:cNvPr id="10" name="Picture 9">
          <a:extLst>
            <a:ext uri="{FF2B5EF4-FFF2-40B4-BE49-F238E27FC236}">
              <a16:creationId xmlns:a16="http://schemas.microsoft.com/office/drawing/2014/main" id="{6D4B5135-435C-4E51-AD8A-E81604754DEC}"/>
            </a:ext>
          </a:extLst>
        </xdr:cNvPr>
        <xdr:cNvPicPr>
          <a:picLocks noChangeAspect="1"/>
        </xdr:cNvPicPr>
      </xdr:nvPicPr>
      <xdr:blipFill>
        <a:blip xmlns:r="http://schemas.openxmlformats.org/officeDocument/2006/relationships" r:embed="rId4"/>
        <a:stretch>
          <a:fillRect/>
        </a:stretch>
      </xdr:blipFill>
      <xdr:spPr>
        <a:xfrm>
          <a:off x="22612350" y="58692238"/>
          <a:ext cx="829381" cy="283278"/>
        </a:xfrm>
        <a:prstGeom prst="rect">
          <a:avLst/>
        </a:prstGeom>
      </xdr:spPr>
    </xdr:pic>
    <xdr:clientData/>
  </xdr:twoCellAnchor>
  <xdr:twoCellAnchor editAs="oneCell">
    <xdr:from>
      <xdr:col>20</xdr:col>
      <xdr:colOff>81644</xdr:colOff>
      <xdr:row>189</xdr:row>
      <xdr:rowOff>176893</xdr:rowOff>
    </xdr:from>
    <xdr:to>
      <xdr:col>20</xdr:col>
      <xdr:colOff>911025</xdr:colOff>
      <xdr:row>191</xdr:row>
      <xdr:rowOff>62844</xdr:rowOff>
    </xdr:to>
    <xdr:pic>
      <xdr:nvPicPr>
        <xdr:cNvPr id="11" name="Picture 10">
          <a:extLst>
            <a:ext uri="{FF2B5EF4-FFF2-40B4-BE49-F238E27FC236}">
              <a16:creationId xmlns:a16="http://schemas.microsoft.com/office/drawing/2014/main" id="{79899992-B5BB-43F5-A715-B1FD0B04ED23}"/>
            </a:ext>
          </a:extLst>
        </xdr:cNvPr>
        <xdr:cNvPicPr>
          <a:picLocks noChangeAspect="1"/>
        </xdr:cNvPicPr>
      </xdr:nvPicPr>
      <xdr:blipFill>
        <a:blip xmlns:r="http://schemas.openxmlformats.org/officeDocument/2006/relationships" r:embed="rId4"/>
        <a:stretch>
          <a:fillRect/>
        </a:stretch>
      </xdr:blipFill>
      <xdr:spPr>
        <a:xfrm>
          <a:off x="22598744" y="38581693"/>
          <a:ext cx="829381" cy="286001"/>
        </a:xfrm>
        <a:prstGeom prst="rect">
          <a:avLst/>
        </a:prstGeom>
      </xdr:spPr>
    </xdr:pic>
    <xdr:clientData/>
  </xdr:twoCellAnchor>
  <xdr:twoCellAnchor editAs="oneCell">
    <xdr:from>
      <xdr:col>20</xdr:col>
      <xdr:colOff>40821</xdr:colOff>
      <xdr:row>130</xdr:row>
      <xdr:rowOff>40821</xdr:rowOff>
    </xdr:from>
    <xdr:to>
      <xdr:col>20</xdr:col>
      <xdr:colOff>870202</xdr:colOff>
      <xdr:row>131</xdr:row>
      <xdr:rowOff>130879</xdr:rowOff>
    </xdr:to>
    <xdr:pic>
      <xdr:nvPicPr>
        <xdr:cNvPr id="12" name="Picture 11">
          <a:extLst>
            <a:ext uri="{FF2B5EF4-FFF2-40B4-BE49-F238E27FC236}">
              <a16:creationId xmlns:a16="http://schemas.microsoft.com/office/drawing/2014/main" id="{E427AB14-8B1B-4BB9-86FE-9891296B6F39}"/>
            </a:ext>
          </a:extLst>
        </xdr:cNvPr>
        <xdr:cNvPicPr>
          <a:picLocks noChangeAspect="1"/>
        </xdr:cNvPicPr>
      </xdr:nvPicPr>
      <xdr:blipFill>
        <a:blip xmlns:r="http://schemas.openxmlformats.org/officeDocument/2006/relationships" r:embed="rId4"/>
        <a:stretch>
          <a:fillRect/>
        </a:stretch>
      </xdr:blipFill>
      <xdr:spPr>
        <a:xfrm>
          <a:off x="22557921" y="26567946"/>
          <a:ext cx="829381" cy="290083"/>
        </a:xfrm>
        <a:prstGeom prst="rect">
          <a:avLst/>
        </a:prstGeom>
      </xdr:spPr>
    </xdr:pic>
    <xdr:clientData/>
  </xdr:twoCellAnchor>
  <xdr:twoCellAnchor editAs="oneCell">
    <xdr:from>
      <xdr:col>20</xdr:col>
      <xdr:colOff>95251</xdr:colOff>
      <xdr:row>61</xdr:row>
      <xdr:rowOff>27214</xdr:rowOff>
    </xdr:from>
    <xdr:to>
      <xdr:col>20</xdr:col>
      <xdr:colOff>924632</xdr:colOff>
      <xdr:row>62</xdr:row>
      <xdr:rowOff>117271</xdr:rowOff>
    </xdr:to>
    <xdr:pic>
      <xdr:nvPicPr>
        <xdr:cNvPr id="13" name="Picture 12">
          <a:extLst>
            <a:ext uri="{FF2B5EF4-FFF2-40B4-BE49-F238E27FC236}">
              <a16:creationId xmlns:a16="http://schemas.microsoft.com/office/drawing/2014/main" id="{80D13BD7-2E7A-473A-97DD-6BE97E939E5E}"/>
            </a:ext>
          </a:extLst>
        </xdr:cNvPr>
        <xdr:cNvPicPr>
          <a:picLocks noChangeAspect="1"/>
        </xdr:cNvPicPr>
      </xdr:nvPicPr>
      <xdr:blipFill>
        <a:blip xmlns:r="http://schemas.openxmlformats.org/officeDocument/2006/relationships" r:embed="rId4"/>
        <a:stretch>
          <a:fillRect/>
        </a:stretch>
      </xdr:blipFill>
      <xdr:spPr>
        <a:xfrm>
          <a:off x="22612351" y="12304939"/>
          <a:ext cx="829381" cy="290082"/>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xdr:from>
      <xdr:col>20</xdr:col>
      <xdr:colOff>1095375</xdr:colOff>
      <xdr:row>290</xdr:row>
      <xdr:rowOff>123825</xdr:rowOff>
    </xdr:from>
    <xdr:to>
      <xdr:col>20</xdr:col>
      <xdr:colOff>1895475</xdr:colOff>
      <xdr:row>291</xdr:row>
      <xdr:rowOff>152400</xdr:rowOff>
    </xdr:to>
    <xdr:pic>
      <xdr:nvPicPr>
        <xdr:cNvPr id="2" name="Picture 1" descr="C:\WINDOWS\TEMP\~0003946.gif">
          <a:extLst>
            <a:ext uri="{FF2B5EF4-FFF2-40B4-BE49-F238E27FC236}">
              <a16:creationId xmlns:a16="http://schemas.microsoft.com/office/drawing/2014/main" id="{78BA6646-E374-4402-93A1-1BC0CA4BE7FD}"/>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36275" y="588549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190</xdr:row>
      <xdr:rowOff>152400</xdr:rowOff>
    </xdr:from>
    <xdr:to>
      <xdr:col>20</xdr:col>
      <xdr:colOff>1924050</xdr:colOff>
      <xdr:row>191</xdr:row>
      <xdr:rowOff>180975</xdr:rowOff>
    </xdr:to>
    <xdr:pic>
      <xdr:nvPicPr>
        <xdr:cNvPr id="3" name="Picture 2" descr="C:\WINDOWS\TEMP\~0003946.gif">
          <a:extLst>
            <a:ext uri="{FF2B5EF4-FFF2-40B4-BE49-F238E27FC236}">
              <a16:creationId xmlns:a16="http://schemas.microsoft.com/office/drawing/2014/main" id="{9406B145-EC4B-4AC2-B52F-5D2418D23C1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36275" y="387572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130</xdr:row>
      <xdr:rowOff>161925</xdr:rowOff>
    </xdr:from>
    <xdr:to>
      <xdr:col>20</xdr:col>
      <xdr:colOff>1952625</xdr:colOff>
      <xdr:row>131</xdr:row>
      <xdr:rowOff>190500</xdr:rowOff>
    </xdr:to>
    <xdr:pic>
      <xdr:nvPicPr>
        <xdr:cNvPr id="4" name="Picture 3" descr="C:\WINDOWS\TEMP\~0003946.gif">
          <a:extLst>
            <a:ext uri="{FF2B5EF4-FFF2-40B4-BE49-F238E27FC236}">
              <a16:creationId xmlns:a16="http://schemas.microsoft.com/office/drawing/2014/main" id="{65803747-6C57-4D7D-BAB2-D7F2D34E7A2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36275" y="266890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61</xdr:row>
      <xdr:rowOff>161925</xdr:rowOff>
    </xdr:from>
    <xdr:to>
      <xdr:col>20</xdr:col>
      <xdr:colOff>1952625</xdr:colOff>
      <xdr:row>62</xdr:row>
      <xdr:rowOff>190500</xdr:rowOff>
    </xdr:to>
    <xdr:pic>
      <xdr:nvPicPr>
        <xdr:cNvPr id="5" name="Picture 4" descr="C:\WINDOWS\TEMP\~0003946.gif">
          <a:extLst>
            <a:ext uri="{FF2B5EF4-FFF2-40B4-BE49-F238E27FC236}">
              <a16:creationId xmlns:a16="http://schemas.microsoft.com/office/drawing/2014/main" id="{08CEFA0B-FAAA-4B4A-942A-7255B2E496E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36275" y="12439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122464</xdr:colOff>
      <xdr:row>61</xdr:row>
      <xdr:rowOff>122464</xdr:rowOff>
    </xdr:from>
    <xdr:to>
      <xdr:col>0</xdr:col>
      <xdr:colOff>293167</xdr:colOff>
      <xdr:row>62</xdr:row>
      <xdr:rowOff>150024</xdr:rowOff>
    </xdr:to>
    <xdr:pic>
      <xdr:nvPicPr>
        <xdr:cNvPr id="6" name="Picture 5">
          <a:extLst>
            <a:ext uri="{FF2B5EF4-FFF2-40B4-BE49-F238E27FC236}">
              <a16:creationId xmlns:a16="http://schemas.microsoft.com/office/drawing/2014/main" id="{A91E5B10-694C-40AF-9187-B510A2813F70}"/>
            </a:ext>
          </a:extLst>
        </xdr:cNvPr>
        <xdr:cNvPicPr>
          <a:picLocks noChangeAspect="1"/>
        </xdr:cNvPicPr>
      </xdr:nvPicPr>
      <xdr:blipFill>
        <a:blip xmlns:r="http://schemas.openxmlformats.org/officeDocument/2006/relationships" r:embed="rId3"/>
        <a:stretch>
          <a:fillRect/>
        </a:stretch>
      </xdr:blipFill>
      <xdr:spPr>
        <a:xfrm>
          <a:off x="122464" y="12400189"/>
          <a:ext cx="170703" cy="227585"/>
        </a:xfrm>
        <a:prstGeom prst="rect">
          <a:avLst/>
        </a:prstGeom>
      </xdr:spPr>
    </xdr:pic>
    <xdr:clientData/>
  </xdr:twoCellAnchor>
  <xdr:twoCellAnchor editAs="oneCell">
    <xdr:from>
      <xdr:col>0</xdr:col>
      <xdr:colOff>108857</xdr:colOff>
      <xdr:row>130</xdr:row>
      <xdr:rowOff>108857</xdr:rowOff>
    </xdr:from>
    <xdr:to>
      <xdr:col>0</xdr:col>
      <xdr:colOff>279560</xdr:colOff>
      <xdr:row>131</xdr:row>
      <xdr:rowOff>136418</xdr:rowOff>
    </xdr:to>
    <xdr:pic>
      <xdr:nvPicPr>
        <xdr:cNvPr id="7" name="Picture 6">
          <a:extLst>
            <a:ext uri="{FF2B5EF4-FFF2-40B4-BE49-F238E27FC236}">
              <a16:creationId xmlns:a16="http://schemas.microsoft.com/office/drawing/2014/main" id="{54BDE749-19E6-4314-8020-8BEEA34255C7}"/>
            </a:ext>
          </a:extLst>
        </xdr:cNvPr>
        <xdr:cNvPicPr>
          <a:picLocks noChangeAspect="1"/>
        </xdr:cNvPicPr>
      </xdr:nvPicPr>
      <xdr:blipFill>
        <a:blip xmlns:r="http://schemas.openxmlformats.org/officeDocument/2006/relationships" r:embed="rId3"/>
        <a:stretch>
          <a:fillRect/>
        </a:stretch>
      </xdr:blipFill>
      <xdr:spPr>
        <a:xfrm>
          <a:off x="108857" y="26635982"/>
          <a:ext cx="170703" cy="227586"/>
        </a:xfrm>
        <a:prstGeom prst="rect">
          <a:avLst/>
        </a:prstGeom>
      </xdr:spPr>
    </xdr:pic>
    <xdr:clientData/>
  </xdr:twoCellAnchor>
  <xdr:twoCellAnchor editAs="oneCell">
    <xdr:from>
      <xdr:col>0</xdr:col>
      <xdr:colOff>149679</xdr:colOff>
      <xdr:row>190</xdr:row>
      <xdr:rowOff>81643</xdr:rowOff>
    </xdr:from>
    <xdr:to>
      <xdr:col>0</xdr:col>
      <xdr:colOff>320382</xdr:colOff>
      <xdr:row>191</xdr:row>
      <xdr:rowOff>109204</xdr:rowOff>
    </xdr:to>
    <xdr:pic>
      <xdr:nvPicPr>
        <xdr:cNvPr id="8" name="Picture 7">
          <a:extLst>
            <a:ext uri="{FF2B5EF4-FFF2-40B4-BE49-F238E27FC236}">
              <a16:creationId xmlns:a16="http://schemas.microsoft.com/office/drawing/2014/main" id="{37EBEA0A-19FE-47DD-847A-0BB259D7FE5C}"/>
            </a:ext>
          </a:extLst>
        </xdr:cNvPr>
        <xdr:cNvPicPr>
          <a:picLocks noChangeAspect="1"/>
        </xdr:cNvPicPr>
      </xdr:nvPicPr>
      <xdr:blipFill>
        <a:blip xmlns:r="http://schemas.openxmlformats.org/officeDocument/2006/relationships" r:embed="rId3"/>
        <a:stretch>
          <a:fillRect/>
        </a:stretch>
      </xdr:blipFill>
      <xdr:spPr>
        <a:xfrm>
          <a:off x="149679" y="38686468"/>
          <a:ext cx="170703" cy="227586"/>
        </a:xfrm>
        <a:prstGeom prst="rect">
          <a:avLst/>
        </a:prstGeom>
      </xdr:spPr>
    </xdr:pic>
    <xdr:clientData/>
  </xdr:twoCellAnchor>
  <xdr:twoCellAnchor editAs="oneCell">
    <xdr:from>
      <xdr:col>0</xdr:col>
      <xdr:colOff>81643</xdr:colOff>
      <xdr:row>290</xdr:row>
      <xdr:rowOff>122464</xdr:rowOff>
    </xdr:from>
    <xdr:to>
      <xdr:col>0</xdr:col>
      <xdr:colOff>252346</xdr:colOff>
      <xdr:row>291</xdr:row>
      <xdr:rowOff>150024</xdr:rowOff>
    </xdr:to>
    <xdr:pic>
      <xdr:nvPicPr>
        <xdr:cNvPr id="9" name="Picture 8">
          <a:extLst>
            <a:ext uri="{FF2B5EF4-FFF2-40B4-BE49-F238E27FC236}">
              <a16:creationId xmlns:a16="http://schemas.microsoft.com/office/drawing/2014/main" id="{4BECCC0B-5039-4728-A2A1-54F73D24F1D9}"/>
            </a:ext>
          </a:extLst>
        </xdr:cNvPr>
        <xdr:cNvPicPr>
          <a:picLocks noChangeAspect="1"/>
        </xdr:cNvPicPr>
      </xdr:nvPicPr>
      <xdr:blipFill>
        <a:blip xmlns:r="http://schemas.openxmlformats.org/officeDocument/2006/relationships" r:embed="rId3"/>
        <a:stretch>
          <a:fillRect/>
        </a:stretch>
      </xdr:blipFill>
      <xdr:spPr>
        <a:xfrm>
          <a:off x="81643" y="58853614"/>
          <a:ext cx="170703" cy="227585"/>
        </a:xfrm>
        <a:prstGeom prst="rect">
          <a:avLst/>
        </a:prstGeom>
      </xdr:spPr>
    </xdr:pic>
    <xdr:clientData/>
  </xdr:twoCellAnchor>
  <xdr:twoCellAnchor editAs="oneCell">
    <xdr:from>
      <xdr:col>20</xdr:col>
      <xdr:colOff>95250</xdr:colOff>
      <xdr:row>289</xdr:row>
      <xdr:rowOff>199213</xdr:rowOff>
    </xdr:from>
    <xdr:to>
      <xdr:col>20</xdr:col>
      <xdr:colOff>924631</xdr:colOff>
      <xdr:row>291</xdr:row>
      <xdr:rowOff>44341</xdr:rowOff>
    </xdr:to>
    <xdr:pic>
      <xdr:nvPicPr>
        <xdr:cNvPr id="10" name="Picture 9">
          <a:extLst>
            <a:ext uri="{FF2B5EF4-FFF2-40B4-BE49-F238E27FC236}">
              <a16:creationId xmlns:a16="http://schemas.microsoft.com/office/drawing/2014/main" id="{14D57E89-6E7D-47D4-A908-C3884E01DBBA}"/>
            </a:ext>
          </a:extLst>
        </xdr:cNvPr>
        <xdr:cNvPicPr>
          <a:picLocks noChangeAspect="1"/>
        </xdr:cNvPicPr>
      </xdr:nvPicPr>
      <xdr:blipFill>
        <a:blip xmlns:r="http://schemas.openxmlformats.org/officeDocument/2006/relationships" r:embed="rId4"/>
        <a:stretch>
          <a:fillRect/>
        </a:stretch>
      </xdr:blipFill>
      <xdr:spPr>
        <a:xfrm>
          <a:off x="22612350" y="58692238"/>
          <a:ext cx="829381" cy="283278"/>
        </a:xfrm>
        <a:prstGeom prst="rect">
          <a:avLst/>
        </a:prstGeom>
      </xdr:spPr>
    </xdr:pic>
    <xdr:clientData/>
  </xdr:twoCellAnchor>
  <xdr:twoCellAnchor editAs="oneCell">
    <xdr:from>
      <xdr:col>20</xdr:col>
      <xdr:colOff>81644</xdr:colOff>
      <xdr:row>189</xdr:row>
      <xdr:rowOff>176893</xdr:rowOff>
    </xdr:from>
    <xdr:to>
      <xdr:col>20</xdr:col>
      <xdr:colOff>911025</xdr:colOff>
      <xdr:row>191</xdr:row>
      <xdr:rowOff>62844</xdr:rowOff>
    </xdr:to>
    <xdr:pic>
      <xdr:nvPicPr>
        <xdr:cNvPr id="11" name="Picture 10">
          <a:extLst>
            <a:ext uri="{FF2B5EF4-FFF2-40B4-BE49-F238E27FC236}">
              <a16:creationId xmlns:a16="http://schemas.microsoft.com/office/drawing/2014/main" id="{FE3E5D8A-E941-47C2-918F-A55B84383ACB}"/>
            </a:ext>
          </a:extLst>
        </xdr:cNvPr>
        <xdr:cNvPicPr>
          <a:picLocks noChangeAspect="1"/>
        </xdr:cNvPicPr>
      </xdr:nvPicPr>
      <xdr:blipFill>
        <a:blip xmlns:r="http://schemas.openxmlformats.org/officeDocument/2006/relationships" r:embed="rId4"/>
        <a:stretch>
          <a:fillRect/>
        </a:stretch>
      </xdr:blipFill>
      <xdr:spPr>
        <a:xfrm>
          <a:off x="22598744" y="38581693"/>
          <a:ext cx="829381" cy="286001"/>
        </a:xfrm>
        <a:prstGeom prst="rect">
          <a:avLst/>
        </a:prstGeom>
      </xdr:spPr>
    </xdr:pic>
    <xdr:clientData/>
  </xdr:twoCellAnchor>
  <xdr:twoCellAnchor editAs="oneCell">
    <xdr:from>
      <xdr:col>20</xdr:col>
      <xdr:colOff>40821</xdr:colOff>
      <xdr:row>130</xdr:row>
      <xdr:rowOff>40821</xdr:rowOff>
    </xdr:from>
    <xdr:to>
      <xdr:col>20</xdr:col>
      <xdr:colOff>870202</xdr:colOff>
      <xdr:row>131</xdr:row>
      <xdr:rowOff>130879</xdr:rowOff>
    </xdr:to>
    <xdr:pic>
      <xdr:nvPicPr>
        <xdr:cNvPr id="12" name="Picture 11">
          <a:extLst>
            <a:ext uri="{FF2B5EF4-FFF2-40B4-BE49-F238E27FC236}">
              <a16:creationId xmlns:a16="http://schemas.microsoft.com/office/drawing/2014/main" id="{8F85B043-85FF-4CF8-82CA-9CF7D8954F7F}"/>
            </a:ext>
          </a:extLst>
        </xdr:cNvPr>
        <xdr:cNvPicPr>
          <a:picLocks noChangeAspect="1"/>
        </xdr:cNvPicPr>
      </xdr:nvPicPr>
      <xdr:blipFill>
        <a:blip xmlns:r="http://schemas.openxmlformats.org/officeDocument/2006/relationships" r:embed="rId4"/>
        <a:stretch>
          <a:fillRect/>
        </a:stretch>
      </xdr:blipFill>
      <xdr:spPr>
        <a:xfrm>
          <a:off x="22557921" y="26567946"/>
          <a:ext cx="829381" cy="290083"/>
        </a:xfrm>
        <a:prstGeom prst="rect">
          <a:avLst/>
        </a:prstGeom>
      </xdr:spPr>
    </xdr:pic>
    <xdr:clientData/>
  </xdr:twoCellAnchor>
  <xdr:twoCellAnchor editAs="oneCell">
    <xdr:from>
      <xdr:col>20</xdr:col>
      <xdr:colOff>95251</xdr:colOff>
      <xdr:row>61</xdr:row>
      <xdr:rowOff>27214</xdr:rowOff>
    </xdr:from>
    <xdr:to>
      <xdr:col>20</xdr:col>
      <xdr:colOff>924632</xdr:colOff>
      <xdr:row>62</xdr:row>
      <xdr:rowOff>117271</xdr:rowOff>
    </xdr:to>
    <xdr:pic>
      <xdr:nvPicPr>
        <xdr:cNvPr id="13" name="Picture 12">
          <a:extLst>
            <a:ext uri="{FF2B5EF4-FFF2-40B4-BE49-F238E27FC236}">
              <a16:creationId xmlns:a16="http://schemas.microsoft.com/office/drawing/2014/main" id="{0367BF19-DF09-47A0-87E5-24CFF6E81C05}"/>
            </a:ext>
          </a:extLst>
        </xdr:cNvPr>
        <xdr:cNvPicPr>
          <a:picLocks noChangeAspect="1"/>
        </xdr:cNvPicPr>
      </xdr:nvPicPr>
      <xdr:blipFill>
        <a:blip xmlns:r="http://schemas.openxmlformats.org/officeDocument/2006/relationships" r:embed="rId4"/>
        <a:stretch>
          <a:fillRect/>
        </a:stretch>
      </xdr:blipFill>
      <xdr:spPr>
        <a:xfrm>
          <a:off x="22612351" y="12304939"/>
          <a:ext cx="829381" cy="29008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63793" name="Picture 1" descr="C:\WINDOWS\TEMP\Symbol.gif">
          <a:extLst>
            <a:ext uri="{FF2B5EF4-FFF2-40B4-BE49-F238E27FC236}">
              <a16:creationId xmlns:a16="http://schemas.microsoft.com/office/drawing/2014/main" id="{00000000-0008-0000-0400-000031F9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130</xdr:row>
      <xdr:rowOff>161925</xdr:rowOff>
    </xdr:from>
    <xdr:to>
      <xdr:col>1</xdr:col>
      <xdr:colOff>28575</xdr:colOff>
      <xdr:row>131</xdr:row>
      <xdr:rowOff>200025</xdr:rowOff>
    </xdr:to>
    <xdr:pic>
      <xdr:nvPicPr>
        <xdr:cNvPr id="63794" name="Picture 2" descr="C:\WINDOWS\TEMP\Symbol.gif">
          <a:extLst>
            <a:ext uri="{FF2B5EF4-FFF2-40B4-BE49-F238E27FC236}">
              <a16:creationId xmlns:a16="http://schemas.microsoft.com/office/drawing/2014/main" id="{00000000-0008-0000-0400-000032F9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67176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189</xdr:row>
      <xdr:rowOff>171450</xdr:rowOff>
    </xdr:from>
    <xdr:to>
      <xdr:col>1</xdr:col>
      <xdr:colOff>47625</xdr:colOff>
      <xdr:row>190</xdr:row>
      <xdr:rowOff>209550</xdr:rowOff>
    </xdr:to>
    <xdr:pic>
      <xdr:nvPicPr>
        <xdr:cNvPr id="63795" name="Picture 3" descr="C:\WINDOWS\TEMP\Symbol.gif">
          <a:extLst>
            <a:ext uri="{FF2B5EF4-FFF2-40B4-BE49-F238E27FC236}">
              <a16:creationId xmlns:a16="http://schemas.microsoft.com/office/drawing/2014/main" id="{00000000-0008-0000-0400-000033F9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8604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272</xdr:row>
      <xdr:rowOff>161925</xdr:rowOff>
    </xdr:from>
    <xdr:to>
      <xdr:col>1</xdr:col>
      <xdr:colOff>19050</xdr:colOff>
      <xdr:row>273</xdr:row>
      <xdr:rowOff>200025</xdr:rowOff>
    </xdr:to>
    <xdr:pic>
      <xdr:nvPicPr>
        <xdr:cNvPr id="63796" name="Picture 4" descr="C:\WINDOWS\TEMP\Symbol.gif">
          <a:extLst>
            <a:ext uri="{FF2B5EF4-FFF2-40B4-BE49-F238E27FC236}">
              <a16:creationId xmlns:a16="http://schemas.microsoft.com/office/drawing/2014/main" id="{00000000-0008-0000-0400-000034F9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52831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272</xdr:row>
      <xdr:rowOff>123825</xdr:rowOff>
    </xdr:from>
    <xdr:to>
      <xdr:col>20</xdr:col>
      <xdr:colOff>1895475</xdr:colOff>
      <xdr:row>273</xdr:row>
      <xdr:rowOff>152400</xdr:rowOff>
    </xdr:to>
    <xdr:pic>
      <xdr:nvPicPr>
        <xdr:cNvPr id="63797" name="Picture 5" descr="C:\WINDOWS\TEMP\~0003946.gif">
          <a:extLst>
            <a:ext uri="{FF2B5EF4-FFF2-40B4-BE49-F238E27FC236}">
              <a16:creationId xmlns:a16="http://schemas.microsoft.com/office/drawing/2014/main" id="{00000000-0008-0000-0400-000035F9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552450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189</xdr:row>
      <xdr:rowOff>152400</xdr:rowOff>
    </xdr:from>
    <xdr:to>
      <xdr:col>20</xdr:col>
      <xdr:colOff>1924050</xdr:colOff>
      <xdr:row>190</xdr:row>
      <xdr:rowOff>180975</xdr:rowOff>
    </xdr:to>
    <xdr:pic>
      <xdr:nvPicPr>
        <xdr:cNvPr id="63798" name="Picture 6" descr="C:\WINDOWS\TEMP\~0003946.gif">
          <a:extLst>
            <a:ext uri="{FF2B5EF4-FFF2-40B4-BE49-F238E27FC236}">
              <a16:creationId xmlns:a16="http://schemas.microsoft.com/office/drawing/2014/main" id="{00000000-0008-0000-0400-000036F9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38585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130</xdr:row>
      <xdr:rowOff>161925</xdr:rowOff>
    </xdr:from>
    <xdr:to>
      <xdr:col>20</xdr:col>
      <xdr:colOff>1952625</xdr:colOff>
      <xdr:row>131</xdr:row>
      <xdr:rowOff>190500</xdr:rowOff>
    </xdr:to>
    <xdr:pic>
      <xdr:nvPicPr>
        <xdr:cNvPr id="63799" name="Picture 7" descr="C:\WINDOWS\TEMP\~0003946.gif">
          <a:extLst>
            <a:ext uri="{FF2B5EF4-FFF2-40B4-BE49-F238E27FC236}">
              <a16:creationId xmlns:a16="http://schemas.microsoft.com/office/drawing/2014/main" id="{00000000-0008-0000-0400-000037F9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26717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63800" name="Picture 8" descr="C:\WINDOWS\TEMP\~0003946.gif">
          <a:extLst>
            <a:ext uri="{FF2B5EF4-FFF2-40B4-BE49-F238E27FC236}">
              <a16:creationId xmlns:a16="http://schemas.microsoft.com/office/drawing/2014/main" id="{00000000-0008-0000-0400-000038F9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62</xdr:row>
      <xdr:rowOff>123825</xdr:rowOff>
    </xdr:from>
    <xdr:to>
      <xdr:col>20</xdr:col>
      <xdr:colOff>885825</xdr:colOff>
      <xdr:row>63</xdr:row>
      <xdr:rowOff>152400</xdr:rowOff>
    </xdr:to>
    <xdr:pic>
      <xdr:nvPicPr>
        <xdr:cNvPr id="63801" name="Picture 9" descr="C:\WINDOWS\TEMP\~0003946.gif">
          <a:extLst>
            <a:ext uri="{FF2B5EF4-FFF2-40B4-BE49-F238E27FC236}">
              <a16:creationId xmlns:a16="http://schemas.microsoft.com/office/drawing/2014/main" id="{00000000-0008-0000-0400-000039F9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130</xdr:row>
      <xdr:rowOff>123825</xdr:rowOff>
    </xdr:from>
    <xdr:to>
      <xdr:col>20</xdr:col>
      <xdr:colOff>895350</xdr:colOff>
      <xdr:row>131</xdr:row>
      <xdr:rowOff>152400</xdr:rowOff>
    </xdr:to>
    <xdr:pic>
      <xdr:nvPicPr>
        <xdr:cNvPr id="63802" name="Picture 10" descr="C:\WINDOWS\TEMP\~0003946.gif">
          <a:extLst>
            <a:ext uri="{FF2B5EF4-FFF2-40B4-BE49-F238E27FC236}">
              <a16:creationId xmlns:a16="http://schemas.microsoft.com/office/drawing/2014/main" id="{00000000-0008-0000-0400-00003AF9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26679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189</xdr:row>
      <xdr:rowOff>104775</xdr:rowOff>
    </xdr:from>
    <xdr:to>
      <xdr:col>20</xdr:col>
      <xdr:colOff>809625</xdr:colOff>
      <xdr:row>190</xdr:row>
      <xdr:rowOff>133350</xdr:rowOff>
    </xdr:to>
    <xdr:pic>
      <xdr:nvPicPr>
        <xdr:cNvPr id="63803" name="Picture 11" descr="C:\WINDOWS\TEMP\~0003946.gif">
          <a:extLst>
            <a:ext uri="{FF2B5EF4-FFF2-40B4-BE49-F238E27FC236}">
              <a16:creationId xmlns:a16="http://schemas.microsoft.com/office/drawing/2014/main" id="{00000000-0008-0000-0400-00003BF9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583775" y="38538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272</xdr:row>
      <xdr:rowOff>104775</xdr:rowOff>
    </xdr:from>
    <xdr:to>
      <xdr:col>20</xdr:col>
      <xdr:colOff>895350</xdr:colOff>
      <xdr:row>273</xdr:row>
      <xdr:rowOff>133350</xdr:rowOff>
    </xdr:to>
    <xdr:pic>
      <xdr:nvPicPr>
        <xdr:cNvPr id="63804" name="Picture 12" descr="C:\WINDOWS\TEMP\~0003946.gif">
          <a:extLst>
            <a:ext uri="{FF2B5EF4-FFF2-40B4-BE49-F238E27FC236}">
              <a16:creationId xmlns:a16="http://schemas.microsoft.com/office/drawing/2014/main" id="{00000000-0008-0000-0400-00003CF9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552259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63805" name="Picture 13" descr="logoMTL">
          <a:extLst>
            <a:ext uri="{FF2B5EF4-FFF2-40B4-BE49-F238E27FC236}">
              <a16:creationId xmlns:a16="http://schemas.microsoft.com/office/drawing/2014/main" id="{00000000-0008-0000-0400-00003DF9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130</xdr:row>
      <xdr:rowOff>38100</xdr:rowOff>
    </xdr:from>
    <xdr:to>
      <xdr:col>19</xdr:col>
      <xdr:colOff>1171575</xdr:colOff>
      <xdr:row>131</xdr:row>
      <xdr:rowOff>161925</xdr:rowOff>
    </xdr:to>
    <xdr:pic>
      <xdr:nvPicPr>
        <xdr:cNvPr id="63806" name="Picture 14" descr="logoMTL">
          <a:extLst>
            <a:ext uri="{FF2B5EF4-FFF2-40B4-BE49-F238E27FC236}">
              <a16:creationId xmlns:a16="http://schemas.microsoft.com/office/drawing/2014/main" id="{00000000-0008-0000-0400-00003EF9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26593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189</xdr:row>
      <xdr:rowOff>28575</xdr:rowOff>
    </xdr:from>
    <xdr:to>
      <xdr:col>19</xdr:col>
      <xdr:colOff>1171575</xdr:colOff>
      <xdr:row>190</xdr:row>
      <xdr:rowOff>152400</xdr:rowOff>
    </xdr:to>
    <xdr:pic>
      <xdr:nvPicPr>
        <xdr:cNvPr id="63807" name="Picture 15" descr="logoMTL">
          <a:extLst>
            <a:ext uri="{FF2B5EF4-FFF2-40B4-BE49-F238E27FC236}">
              <a16:creationId xmlns:a16="http://schemas.microsoft.com/office/drawing/2014/main" id="{00000000-0008-0000-0400-00003FF9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384619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272</xdr:row>
      <xdr:rowOff>0</xdr:rowOff>
    </xdr:from>
    <xdr:to>
      <xdr:col>19</xdr:col>
      <xdr:colOff>1228725</xdr:colOff>
      <xdr:row>273</xdr:row>
      <xdr:rowOff>123825</xdr:rowOff>
    </xdr:to>
    <xdr:pic>
      <xdr:nvPicPr>
        <xdr:cNvPr id="63808" name="Picture 16" descr="logoMTL">
          <a:extLst>
            <a:ext uri="{FF2B5EF4-FFF2-40B4-BE49-F238E27FC236}">
              <a16:creationId xmlns:a16="http://schemas.microsoft.com/office/drawing/2014/main" id="{00000000-0008-0000-0400-000040F9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36050" y="551211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20</xdr:col>
      <xdr:colOff>1095375</xdr:colOff>
      <xdr:row>290</xdr:row>
      <xdr:rowOff>123825</xdr:rowOff>
    </xdr:from>
    <xdr:to>
      <xdr:col>20</xdr:col>
      <xdr:colOff>1895475</xdr:colOff>
      <xdr:row>291</xdr:row>
      <xdr:rowOff>152400</xdr:rowOff>
    </xdr:to>
    <xdr:pic>
      <xdr:nvPicPr>
        <xdr:cNvPr id="2" name="Picture 1" descr="C:\WINDOWS\TEMP\~0003946.gif">
          <a:extLst>
            <a:ext uri="{FF2B5EF4-FFF2-40B4-BE49-F238E27FC236}">
              <a16:creationId xmlns:a16="http://schemas.microsoft.com/office/drawing/2014/main" id="{A866D8AE-8AB0-41A6-ADBD-1D90C2F0899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36275" y="588549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190</xdr:row>
      <xdr:rowOff>152400</xdr:rowOff>
    </xdr:from>
    <xdr:to>
      <xdr:col>20</xdr:col>
      <xdr:colOff>1924050</xdr:colOff>
      <xdr:row>191</xdr:row>
      <xdr:rowOff>180975</xdr:rowOff>
    </xdr:to>
    <xdr:pic>
      <xdr:nvPicPr>
        <xdr:cNvPr id="3" name="Picture 2" descr="C:\WINDOWS\TEMP\~0003946.gif">
          <a:extLst>
            <a:ext uri="{FF2B5EF4-FFF2-40B4-BE49-F238E27FC236}">
              <a16:creationId xmlns:a16="http://schemas.microsoft.com/office/drawing/2014/main" id="{4CA14C9D-8405-4D56-8FC0-04D50A29C9D1}"/>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36275" y="387572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130</xdr:row>
      <xdr:rowOff>161925</xdr:rowOff>
    </xdr:from>
    <xdr:to>
      <xdr:col>20</xdr:col>
      <xdr:colOff>1952625</xdr:colOff>
      <xdr:row>131</xdr:row>
      <xdr:rowOff>190500</xdr:rowOff>
    </xdr:to>
    <xdr:pic>
      <xdr:nvPicPr>
        <xdr:cNvPr id="4" name="Picture 3" descr="C:\WINDOWS\TEMP\~0003946.gif">
          <a:extLst>
            <a:ext uri="{FF2B5EF4-FFF2-40B4-BE49-F238E27FC236}">
              <a16:creationId xmlns:a16="http://schemas.microsoft.com/office/drawing/2014/main" id="{F1A6EF7B-5F3A-4FF7-B3CF-C05EAB8B4FEE}"/>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36275" y="266890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61</xdr:row>
      <xdr:rowOff>161925</xdr:rowOff>
    </xdr:from>
    <xdr:to>
      <xdr:col>20</xdr:col>
      <xdr:colOff>1952625</xdr:colOff>
      <xdr:row>62</xdr:row>
      <xdr:rowOff>190500</xdr:rowOff>
    </xdr:to>
    <xdr:pic>
      <xdr:nvPicPr>
        <xdr:cNvPr id="5" name="Picture 4" descr="C:\WINDOWS\TEMP\~0003946.gif">
          <a:extLst>
            <a:ext uri="{FF2B5EF4-FFF2-40B4-BE49-F238E27FC236}">
              <a16:creationId xmlns:a16="http://schemas.microsoft.com/office/drawing/2014/main" id="{A02E241C-A2E7-48FA-BABF-6F90D0FDEF6D}"/>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36275" y="12439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122464</xdr:colOff>
      <xdr:row>61</xdr:row>
      <xdr:rowOff>122464</xdr:rowOff>
    </xdr:from>
    <xdr:to>
      <xdr:col>0</xdr:col>
      <xdr:colOff>293167</xdr:colOff>
      <xdr:row>62</xdr:row>
      <xdr:rowOff>150024</xdr:rowOff>
    </xdr:to>
    <xdr:pic>
      <xdr:nvPicPr>
        <xdr:cNvPr id="6" name="Picture 5">
          <a:extLst>
            <a:ext uri="{FF2B5EF4-FFF2-40B4-BE49-F238E27FC236}">
              <a16:creationId xmlns:a16="http://schemas.microsoft.com/office/drawing/2014/main" id="{FC91D825-9CEB-4ABF-82E1-10AB9FF9A19D}"/>
            </a:ext>
          </a:extLst>
        </xdr:cNvPr>
        <xdr:cNvPicPr>
          <a:picLocks noChangeAspect="1"/>
        </xdr:cNvPicPr>
      </xdr:nvPicPr>
      <xdr:blipFill>
        <a:blip xmlns:r="http://schemas.openxmlformats.org/officeDocument/2006/relationships" r:embed="rId3"/>
        <a:stretch>
          <a:fillRect/>
        </a:stretch>
      </xdr:blipFill>
      <xdr:spPr>
        <a:xfrm>
          <a:off x="122464" y="12400189"/>
          <a:ext cx="170703" cy="227585"/>
        </a:xfrm>
        <a:prstGeom prst="rect">
          <a:avLst/>
        </a:prstGeom>
      </xdr:spPr>
    </xdr:pic>
    <xdr:clientData/>
  </xdr:twoCellAnchor>
  <xdr:twoCellAnchor editAs="oneCell">
    <xdr:from>
      <xdr:col>0</xdr:col>
      <xdr:colOff>108857</xdr:colOff>
      <xdr:row>130</xdr:row>
      <xdr:rowOff>108857</xdr:rowOff>
    </xdr:from>
    <xdr:to>
      <xdr:col>0</xdr:col>
      <xdr:colOff>279560</xdr:colOff>
      <xdr:row>131</xdr:row>
      <xdr:rowOff>136418</xdr:rowOff>
    </xdr:to>
    <xdr:pic>
      <xdr:nvPicPr>
        <xdr:cNvPr id="7" name="Picture 6">
          <a:extLst>
            <a:ext uri="{FF2B5EF4-FFF2-40B4-BE49-F238E27FC236}">
              <a16:creationId xmlns:a16="http://schemas.microsoft.com/office/drawing/2014/main" id="{4D5CA548-032F-4C2A-A2E0-3A2456F1B62F}"/>
            </a:ext>
          </a:extLst>
        </xdr:cNvPr>
        <xdr:cNvPicPr>
          <a:picLocks noChangeAspect="1"/>
        </xdr:cNvPicPr>
      </xdr:nvPicPr>
      <xdr:blipFill>
        <a:blip xmlns:r="http://schemas.openxmlformats.org/officeDocument/2006/relationships" r:embed="rId3"/>
        <a:stretch>
          <a:fillRect/>
        </a:stretch>
      </xdr:blipFill>
      <xdr:spPr>
        <a:xfrm>
          <a:off x="108857" y="26635982"/>
          <a:ext cx="170703" cy="227586"/>
        </a:xfrm>
        <a:prstGeom prst="rect">
          <a:avLst/>
        </a:prstGeom>
      </xdr:spPr>
    </xdr:pic>
    <xdr:clientData/>
  </xdr:twoCellAnchor>
  <xdr:twoCellAnchor editAs="oneCell">
    <xdr:from>
      <xdr:col>0</xdr:col>
      <xdr:colOff>149679</xdr:colOff>
      <xdr:row>190</xdr:row>
      <xdr:rowOff>81643</xdr:rowOff>
    </xdr:from>
    <xdr:to>
      <xdr:col>0</xdr:col>
      <xdr:colOff>320382</xdr:colOff>
      <xdr:row>191</xdr:row>
      <xdr:rowOff>109204</xdr:rowOff>
    </xdr:to>
    <xdr:pic>
      <xdr:nvPicPr>
        <xdr:cNvPr id="8" name="Picture 7">
          <a:extLst>
            <a:ext uri="{FF2B5EF4-FFF2-40B4-BE49-F238E27FC236}">
              <a16:creationId xmlns:a16="http://schemas.microsoft.com/office/drawing/2014/main" id="{DAA9BBC4-5115-420D-98AB-B1F6F44FF77A}"/>
            </a:ext>
          </a:extLst>
        </xdr:cNvPr>
        <xdr:cNvPicPr>
          <a:picLocks noChangeAspect="1"/>
        </xdr:cNvPicPr>
      </xdr:nvPicPr>
      <xdr:blipFill>
        <a:blip xmlns:r="http://schemas.openxmlformats.org/officeDocument/2006/relationships" r:embed="rId3"/>
        <a:stretch>
          <a:fillRect/>
        </a:stretch>
      </xdr:blipFill>
      <xdr:spPr>
        <a:xfrm>
          <a:off x="149679" y="38686468"/>
          <a:ext cx="170703" cy="227586"/>
        </a:xfrm>
        <a:prstGeom prst="rect">
          <a:avLst/>
        </a:prstGeom>
      </xdr:spPr>
    </xdr:pic>
    <xdr:clientData/>
  </xdr:twoCellAnchor>
  <xdr:twoCellAnchor editAs="oneCell">
    <xdr:from>
      <xdr:col>0</xdr:col>
      <xdr:colOff>81643</xdr:colOff>
      <xdr:row>290</xdr:row>
      <xdr:rowOff>122464</xdr:rowOff>
    </xdr:from>
    <xdr:to>
      <xdr:col>0</xdr:col>
      <xdr:colOff>252346</xdr:colOff>
      <xdr:row>291</xdr:row>
      <xdr:rowOff>150024</xdr:rowOff>
    </xdr:to>
    <xdr:pic>
      <xdr:nvPicPr>
        <xdr:cNvPr id="9" name="Picture 8">
          <a:extLst>
            <a:ext uri="{FF2B5EF4-FFF2-40B4-BE49-F238E27FC236}">
              <a16:creationId xmlns:a16="http://schemas.microsoft.com/office/drawing/2014/main" id="{ADCB5926-A2B6-4A70-8471-E865C62792B3}"/>
            </a:ext>
          </a:extLst>
        </xdr:cNvPr>
        <xdr:cNvPicPr>
          <a:picLocks noChangeAspect="1"/>
        </xdr:cNvPicPr>
      </xdr:nvPicPr>
      <xdr:blipFill>
        <a:blip xmlns:r="http://schemas.openxmlformats.org/officeDocument/2006/relationships" r:embed="rId3"/>
        <a:stretch>
          <a:fillRect/>
        </a:stretch>
      </xdr:blipFill>
      <xdr:spPr>
        <a:xfrm>
          <a:off x="81643" y="58853614"/>
          <a:ext cx="170703" cy="227585"/>
        </a:xfrm>
        <a:prstGeom prst="rect">
          <a:avLst/>
        </a:prstGeom>
      </xdr:spPr>
    </xdr:pic>
    <xdr:clientData/>
  </xdr:twoCellAnchor>
  <xdr:twoCellAnchor editAs="oneCell">
    <xdr:from>
      <xdr:col>20</xdr:col>
      <xdr:colOff>95250</xdr:colOff>
      <xdr:row>289</xdr:row>
      <xdr:rowOff>199213</xdr:rowOff>
    </xdr:from>
    <xdr:to>
      <xdr:col>20</xdr:col>
      <xdr:colOff>924631</xdr:colOff>
      <xdr:row>291</xdr:row>
      <xdr:rowOff>44341</xdr:rowOff>
    </xdr:to>
    <xdr:pic>
      <xdr:nvPicPr>
        <xdr:cNvPr id="10" name="Picture 9">
          <a:extLst>
            <a:ext uri="{FF2B5EF4-FFF2-40B4-BE49-F238E27FC236}">
              <a16:creationId xmlns:a16="http://schemas.microsoft.com/office/drawing/2014/main" id="{31FF8F08-228C-427D-B6BC-677F210A5388}"/>
            </a:ext>
          </a:extLst>
        </xdr:cNvPr>
        <xdr:cNvPicPr>
          <a:picLocks noChangeAspect="1"/>
        </xdr:cNvPicPr>
      </xdr:nvPicPr>
      <xdr:blipFill>
        <a:blip xmlns:r="http://schemas.openxmlformats.org/officeDocument/2006/relationships" r:embed="rId4"/>
        <a:stretch>
          <a:fillRect/>
        </a:stretch>
      </xdr:blipFill>
      <xdr:spPr>
        <a:xfrm>
          <a:off x="22612350" y="58692238"/>
          <a:ext cx="829381" cy="283278"/>
        </a:xfrm>
        <a:prstGeom prst="rect">
          <a:avLst/>
        </a:prstGeom>
      </xdr:spPr>
    </xdr:pic>
    <xdr:clientData/>
  </xdr:twoCellAnchor>
  <xdr:twoCellAnchor editAs="oneCell">
    <xdr:from>
      <xdr:col>20</xdr:col>
      <xdr:colOff>81644</xdr:colOff>
      <xdr:row>189</xdr:row>
      <xdr:rowOff>176893</xdr:rowOff>
    </xdr:from>
    <xdr:to>
      <xdr:col>20</xdr:col>
      <xdr:colOff>911025</xdr:colOff>
      <xdr:row>191</xdr:row>
      <xdr:rowOff>62844</xdr:rowOff>
    </xdr:to>
    <xdr:pic>
      <xdr:nvPicPr>
        <xdr:cNvPr id="11" name="Picture 10">
          <a:extLst>
            <a:ext uri="{FF2B5EF4-FFF2-40B4-BE49-F238E27FC236}">
              <a16:creationId xmlns:a16="http://schemas.microsoft.com/office/drawing/2014/main" id="{D600BB76-CEEC-4A7C-A517-72DB9F328A08}"/>
            </a:ext>
          </a:extLst>
        </xdr:cNvPr>
        <xdr:cNvPicPr>
          <a:picLocks noChangeAspect="1"/>
        </xdr:cNvPicPr>
      </xdr:nvPicPr>
      <xdr:blipFill>
        <a:blip xmlns:r="http://schemas.openxmlformats.org/officeDocument/2006/relationships" r:embed="rId4"/>
        <a:stretch>
          <a:fillRect/>
        </a:stretch>
      </xdr:blipFill>
      <xdr:spPr>
        <a:xfrm>
          <a:off x="22598744" y="38581693"/>
          <a:ext cx="829381" cy="286001"/>
        </a:xfrm>
        <a:prstGeom prst="rect">
          <a:avLst/>
        </a:prstGeom>
      </xdr:spPr>
    </xdr:pic>
    <xdr:clientData/>
  </xdr:twoCellAnchor>
  <xdr:twoCellAnchor editAs="oneCell">
    <xdr:from>
      <xdr:col>20</xdr:col>
      <xdr:colOff>40821</xdr:colOff>
      <xdr:row>130</xdr:row>
      <xdr:rowOff>40821</xdr:rowOff>
    </xdr:from>
    <xdr:to>
      <xdr:col>20</xdr:col>
      <xdr:colOff>870202</xdr:colOff>
      <xdr:row>131</xdr:row>
      <xdr:rowOff>130879</xdr:rowOff>
    </xdr:to>
    <xdr:pic>
      <xdr:nvPicPr>
        <xdr:cNvPr id="12" name="Picture 11">
          <a:extLst>
            <a:ext uri="{FF2B5EF4-FFF2-40B4-BE49-F238E27FC236}">
              <a16:creationId xmlns:a16="http://schemas.microsoft.com/office/drawing/2014/main" id="{FA5E86BE-CC65-40D5-BE39-702E36594824}"/>
            </a:ext>
          </a:extLst>
        </xdr:cNvPr>
        <xdr:cNvPicPr>
          <a:picLocks noChangeAspect="1"/>
        </xdr:cNvPicPr>
      </xdr:nvPicPr>
      <xdr:blipFill>
        <a:blip xmlns:r="http://schemas.openxmlformats.org/officeDocument/2006/relationships" r:embed="rId4"/>
        <a:stretch>
          <a:fillRect/>
        </a:stretch>
      </xdr:blipFill>
      <xdr:spPr>
        <a:xfrm>
          <a:off x="22557921" y="26567946"/>
          <a:ext cx="829381" cy="290083"/>
        </a:xfrm>
        <a:prstGeom prst="rect">
          <a:avLst/>
        </a:prstGeom>
      </xdr:spPr>
    </xdr:pic>
    <xdr:clientData/>
  </xdr:twoCellAnchor>
  <xdr:twoCellAnchor editAs="oneCell">
    <xdr:from>
      <xdr:col>20</xdr:col>
      <xdr:colOff>95251</xdr:colOff>
      <xdr:row>61</xdr:row>
      <xdr:rowOff>27214</xdr:rowOff>
    </xdr:from>
    <xdr:to>
      <xdr:col>20</xdr:col>
      <xdr:colOff>924632</xdr:colOff>
      <xdr:row>62</xdr:row>
      <xdr:rowOff>117271</xdr:rowOff>
    </xdr:to>
    <xdr:pic>
      <xdr:nvPicPr>
        <xdr:cNvPr id="13" name="Picture 12">
          <a:extLst>
            <a:ext uri="{FF2B5EF4-FFF2-40B4-BE49-F238E27FC236}">
              <a16:creationId xmlns:a16="http://schemas.microsoft.com/office/drawing/2014/main" id="{165FC057-FE6B-4B40-A18A-8F6173923B11}"/>
            </a:ext>
          </a:extLst>
        </xdr:cNvPr>
        <xdr:cNvPicPr>
          <a:picLocks noChangeAspect="1"/>
        </xdr:cNvPicPr>
      </xdr:nvPicPr>
      <xdr:blipFill>
        <a:blip xmlns:r="http://schemas.openxmlformats.org/officeDocument/2006/relationships" r:embed="rId4"/>
        <a:stretch>
          <a:fillRect/>
        </a:stretch>
      </xdr:blipFill>
      <xdr:spPr>
        <a:xfrm>
          <a:off x="22612351" y="12304939"/>
          <a:ext cx="829381" cy="290082"/>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xdr:from>
      <xdr:col>20</xdr:col>
      <xdr:colOff>1095375</xdr:colOff>
      <xdr:row>290</xdr:row>
      <xdr:rowOff>123825</xdr:rowOff>
    </xdr:from>
    <xdr:to>
      <xdr:col>20</xdr:col>
      <xdr:colOff>1895475</xdr:colOff>
      <xdr:row>291</xdr:row>
      <xdr:rowOff>152400</xdr:rowOff>
    </xdr:to>
    <xdr:pic>
      <xdr:nvPicPr>
        <xdr:cNvPr id="2" name="Picture 1" descr="C:\WINDOWS\TEMP\~0003946.gif">
          <a:extLst>
            <a:ext uri="{FF2B5EF4-FFF2-40B4-BE49-F238E27FC236}">
              <a16:creationId xmlns:a16="http://schemas.microsoft.com/office/drawing/2014/main" id="{4D2559C9-44FE-43D2-9D37-439D30C45CD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36275" y="588549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190</xdr:row>
      <xdr:rowOff>152400</xdr:rowOff>
    </xdr:from>
    <xdr:to>
      <xdr:col>20</xdr:col>
      <xdr:colOff>1924050</xdr:colOff>
      <xdr:row>191</xdr:row>
      <xdr:rowOff>180975</xdr:rowOff>
    </xdr:to>
    <xdr:pic>
      <xdr:nvPicPr>
        <xdr:cNvPr id="3" name="Picture 2" descr="C:\WINDOWS\TEMP\~0003946.gif">
          <a:extLst>
            <a:ext uri="{FF2B5EF4-FFF2-40B4-BE49-F238E27FC236}">
              <a16:creationId xmlns:a16="http://schemas.microsoft.com/office/drawing/2014/main" id="{AA5F1BFD-EC95-4633-A87E-73BA69D466F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36275" y="387572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130</xdr:row>
      <xdr:rowOff>161925</xdr:rowOff>
    </xdr:from>
    <xdr:to>
      <xdr:col>20</xdr:col>
      <xdr:colOff>1952625</xdr:colOff>
      <xdr:row>131</xdr:row>
      <xdr:rowOff>190500</xdr:rowOff>
    </xdr:to>
    <xdr:pic>
      <xdr:nvPicPr>
        <xdr:cNvPr id="4" name="Picture 3" descr="C:\WINDOWS\TEMP\~0003946.gif">
          <a:extLst>
            <a:ext uri="{FF2B5EF4-FFF2-40B4-BE49-F238E27FC236}">
              <a16:creationId xmlns:a16="http://schemas.microsoft.com/office/drawing/2014/main" id="{61F96760-33AD-4533-8A8A-46E8ED2E770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36275" y="266890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61</xdr:row>
      <xdr:rowOff>161925</xdr:rowOff>
    </xdr:from>
    <xdr:to>
      <xdr:col>20</xdr:col>
      <xdr:colOff>1952625</xdr:colOff>
      <xdr:row>62</xdr:row>
      <xdr:rowOff>190500</xdr:rowOff>
    </xdr:to>
    <xdr:pic>
      <xdr:nvPicPr>
        <xdr:cNvPr id="5" name="Picture 4" descr="C:\WINDOWS\TEMP\~0003946.gif">
          <a:extLst>
            <a:ext uri="{FF2B5EF4-FFF2-40B4-BE49-F238E27FC236}">
              <a16:creationId xmlns:a16="http://schemas.microsoft.com/office/drawing/2014/main" id="{0CD5EE15-CBA5-4CE4-A00D-A027D67A576B}"/>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36275" y="12439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122464</xdr:colOff>
      <xdr:row>61</xdr:row>
      <xdr:rowOff>122464</xdr:rowOff>
    </xdr:from>
    <xdr:to>
      <xdr:col>0</xdr:col>
      <xdr:colOff>293167</xdr:colOff>
      <xdr:row>62</xdr:row>
      <xdr:rowOff>150024</xdr:rowOff>
    </xdr:to>
    <xdr:pic>
      <xdr:nvPicPr>
        <xdr:cNvPr id="6" name="Picture 5">
          <a:extLst>
            <a:ext uri="{FF2B5EF4-FFF2-40B4-BE49-F238E27FC236}">
              <a16:creationId xmlns:a16="http://schemas.microsoft.com/office/drawing/2014/main" id="{B1B5C189-F00F-4DE2-AC83-7A0D0075E934}"/>
            </a:ext>
          </a:extLst>
        </xdr:cNvPr>
        <xdr:cNvPicPr>
          <a:picLocks noChangeAspect="1"/>
        </xdr:cNvPicPr>
      </xdr:nvPicPr>
      <xdr:blipFill>
        <a:blip xmlns:r="http://schemas.openxmlformats.org/officeDocument/2006/relationships" r:embed="rId3"/>
        <a:stretch>
          <a:fillRect/>
        </a:stretch>
      </xdr:blipFill>
      <xdr:spPr>
        <a:xfrm>
          <a:off x="122464" y="12400189"/>
          <a:ext cx="170703" cy="227585"/>
        </a:xfrm>
        <a:prstGeom prst="rect">
          <a:avLst/>
        </a:prstGeom>
      </xdr:spPr>
    </xdr:pic>
    <xdr:clientData/>
  </xdr:twoCellAnchor>
  <xdr:twoCellAnchor editAs="oneCell">
    <xdr:from>
      <xdr:col>0</xdr:col>
      <xdr:colOff>108857</xdr:colOff>
      <xdr:row>130</xdr:row>
      <xdr:rowOff>108857</xdr:rowOff>
    </xdr:from>
    <xdr:to>
      <xdr:col>0</xdr:col>
      <xdr:colOff>279560</xdr:colOff>
      <xdr:row>131</xdr:row>
      <xdr:rowOff>136418</xdr:rowOff>
    </xdr:to>
    <xdr:pic>
      <xdr:nvPicPr>
        <xdr:cNvPr id="7" name="Picture 6">
          <a:extLst>
            <a:ext uri="{FF2B5EF4-FFF2-40B4-BE49-F238E27FC236}">
              <a16:creationId xmlns:a16="http://schemas.microsoft.com/office/drawing/2014/main" id="{004EC0B2-51D4-4FAA-BAA3-14D989886446}"/>
            </a:ext>
          </a:extLst>
        </xdr:cNvPr>
        <xdr:cNvPicPr>
          <a:picLocks noChangeAspect="1"/>
        </xdr:cNvPicPr>
      </xdr:nvPicPr>
      <xdr:blipFill>
        <a:blip xmlns:r="http://schemas.openxmlformats.org/officeDocument/2006/relationships" r:embed="rId3"/>
        <a:stretch>
          <a:fillRect/>
        </a:stretch>
      </xdr:blipFill>
      <xdr:spPr>
        <a:xfrm>
          <a:off x="108857" y="26635982"/>
          <a:ext cx="170703" cy="227586"/>
        </a:xfrm>
        <a:prstGeom prst="rect">
          <a:avLst/>
        </a:prstGeom>
      </xdr:spPr>
    </xdr:pic>
    <xdr:clientData/>
  </xdr:twoCellAnchor>
  <xdr:twoCellAnchor editAs="oneCell">
    <xdr:from>
      <xdr:col>0</xdr:col>
      <xdr:colOff>149679</xdr:colOff>
      <xdr:row>190</xdr:row>
      <xdr:rowOff>81643</xdr:rowOff>
    </xdr:from>
    <xdr:to>
      <xdr:col>0</xdr:col>
      <xdr:colOff>320382</xdr:colOff>
      <xdr:row>191</xdr:row>
      <xdr:rowOff>109204</xdr:rowOff>
    </xdr:to>
    <xdr:pic>
      <xdr:nvPicPr>
        <xdr:cNvPr id="8" name="Picture 7">
          <a:extLst>
            <a:ext uri="{FF2B5EF4-FFF2-40B4-BE49-F238E27FC236}">
              <a16:creationId xmlns:a16="http://schemas.microsoft.com/office/drawing/2014/main" id="{EB1C6648-DECA-46EC-B252-76E13589093D}"/>
            </a:ext>
          </a:extLst>
        </xdr:cNvPr>
        <xdr:cNvPicPr>
          <a:picLocks noChangeAspect="1"/>
        </xdr:cNvPicPr>
      </xdr:nvPicPr>
      <xdr:blipFill>
        <a:blip xmlns:r="http://schemas.openxmlformats.org/officeDocument/2006/relationships" r:embed="rId3"/>
        <a:stretch>
          <a:fillRect/>
        </a:stretch>
      </xdr:blipFill>
      <xdr:spPr>
        <a:xfrm>
          <a:off x="149679" y="38686468"/>
          <a:ext cx="170703" cy="227586"/>
        </a:xfrm>
        <a:prstGeom prst="rect">
          <a:avLst/>
        </a:prstGeom>
      </xdr:spPr>
    </xdr:pic>
    <xdr:clientData/>
  </xdr:twoCellAnchor>
  <xdr:twoCellAnchor editAs="oneCell">
    <xdr:from>
      <xdr:col>0</xdr:col>
      <xdr:colOff>81643</xdr:colOff>
      <xdr:row>290</xdr:row>
      <xdr:rowOff>122464</xdr:rowOff>
    </xdr:from>
    <xdr:to>
      <xdr:col>0</xdr:col>
      <xdr:colOff>252346</xdr:colOff>
      <xdr:row>291</xdr:row>
      <xdr:rowOff>150024</xdr:rowOff>
    </xdr:to>
    <xdr:pic>
      <xdr:nvPicPr>
        <xdr:cNvPr id="9" name="Picture 8">
          <a:extLst>
            <a:ext uri="{FF2B5EF4-FFF2-40B4-BE49-F238E27FC236}">
              <a16:creationId xmlns:a16="http://schemas.microsoft.com/office/drawing/2014/main" id="{059967E3-4FCD-4766-B02D-801CD5F18D36}"/>
            </a:ext>
          </a:extLst>
        </xdr:cNvPr>
        <xdr:cNvPicPr>
          <a:picLocks noChangeAspect="1"/>
        </xdr:cNvPicPr>
      </xdr:nvPicPr>
      <xdr:blipFill>
        <a:blip xmlns:r="http://schemas.openxmlformats.org/officeDocument/2006/relationships" r:embed="rId3"/>
        <a:stretch>
          <a:fillRect/>
        </a:stretch>
      </xdr:blipFill>
      <xdr:spPr>
        <a:xfrm>
          <a:off x="81643" y="58853614"/>
          <a:ext cx="170703" cy="227585"/>
        </a:xfrm>
        <a:prstGeom prst="rect">
          <a:avLst/>
        </a:prstGeom>
      </xdr:spPr>
    </xdr:pic>
    <xdr:clientData/>
  </xdr:twoCellAnchor>
  <xdr:twoCellAnchor editAs="oneCell">
    <xdr:from>
      <xdr:col>20</xdr:col>
      <xdr:colOff>95250</xdr:colOff>
      <xdr:row>289</xdr:row>
      <xdr:rowOff>199213</xdr:rowOff>
    </xdr:from>
    <xdr:to>
      <xdr:col>20</xdr:col>
      <xdr:colOff>924631</xdr:colOff>
      <xdr:row>291</xdr:row>
      <xdr:rowOff>44341</xdr:rowOff>
    </xdr:to>
    <xdr:pic>
      <xdr:nvPicPr>
        <xdr:cNvPr id="10" name="Picture 9">
          <a:extLst>
            <a:ext uri="{FF2B5EF4-FFF2-40B4-BE49-F238E27FC236}">
              <a16:creationId xmlns:a16="http://schemas.microsoft.com/office/drawing/2014/main" id="{A2340CCA-5EC8-446D-9290-AEDEF561E3AA}"/>
            </a:ext>
          </a:extLst>
        </xdr:cNvPr>
        <xdr:cNvPicPr>
          <a:picLocks noChangeAspect="1"/>
        </xdr:cNvPicPr>
      </xdr:nvPicPr>
      <xdr:blipFill>
        <a:blip xmlns:r="http://schemas.openxmlformats.org/officeDocument/2006/relationships" r:embed="rId4"/>
        <a:stretch>
          <a:fillRect/>
        </a:stretch>
      </xdr:blipFill>
      <xdr:spPr>
        <a:xfrm>
          <a:off x="22612350" y="58692238"/>
          <a:ext cx="829381" cy="283278"/>
        </a:xfrm>
        <a:prstGeom prst="rect">
          <a:avLst/>
        </a:prstGeom>
      </xdr:spPr>
    </xdr:pic>
    <xdr:clientData/>
  </xdr:twoCellAnchor>
  <xdr:twoCellAnchor editAs="oneCell">
    <xdr:from>
      <xdr:col>20</xdr:col>
      <xdr:colOff>81644</xdr:colOff>
      <xdr:row>189</xdr:row>
      <xdr:rowOff>176893</xdr:rowOff>
    </xdr:from>
    <xdr:to>
      <xdr:col>20</xdr:col>
      <xdr:colOff>911025</xdr:colOff>
      <xdr:row>191</xdr:row>
      <xdr:rowOff>62844</xdr:rowOff>
    </xdr:to>
    <xdr:pic>
      <xdr:nvPicPr>
        <xdr:cNvPr id="11" name="Picture 10">
          <a:extLst>
            <a:ext uri="{FF2B5EF4-FFF2-40B4-BE49-F238E27FC236}">
              <a16:creationId xmlns:a16="http://schemas.microsoft.com/office/drawing/2014/main" id="{0318BB75-E77E-459F-BE83-BB86FBB2F760}"/>
            </a:ext>
          </a:extLst>
        </xdr:cNvPr>
        <xdr:cNvPicPr>
          <a:picLocks noChangeAspect="1"/>
        </xdr:cNvPicPr>
      </xdr:nvPicPr>
      <xdr:blipFill>
        <a:blip xmlns:r="http://schemas.openxmlformats.org/officeDocument/2006/relationships" r:embed="rId4"/>
        <a:stretch>
          <a:fillRect/>
        </a:stretch>
      </xdr:blipFill>
      <xdr:spPr>
        <a:xfrm>
          <a:off x="22598744" y="38581693"/>
          <a:ext cx="829381" cy="286001"/>
        </a:xfrm>
        <a:prstGeom prst="rect">
          <a:avLst/>
        </a:prstGeom>
      </xdr:spPr>
    </xdr:pic>
    <xdr:clientData/>
  </xdr:twoCellAnchor>
  <xdr:twoCellAnchor editAs="oneCell">
    <xdr:from>
      <xdr:col>20</xdr:col>
      <xdr:colOff>40821</xdr:colOff>
      <xdr:row>130</xdr:row>
      <xdr:rowOff>40821</xdr:rowOff>
    </xdr:from>
    <xdr:to>
      <xdr:col>20</xdr:col>
      <xdr:colOff>870202</xdr:colOff>
      <xdr:row>131</xdr:row>
      <xdr:rowOff>130879</xdr:rowOff>
    </xdr:to>
    <xdr:pic>
      <xdr:nvPicPr>
        <xdr:cNvPr id="12" name="Picture 11">
          <a:extLst>
            <a:ext uri="{FF2B5EF4-FFF2-40B4-BE49-F238E27FC236}">
              <a16:creationId xmlns:a16="http://schemas.microsoft.com/office/drawing/2014/main" id="{E943D9C5-4606-4BF0-99E4-3B1ABF7FB1A1}"/>
            </a:ext>
          </a:extLst>
        </xdr:cNvPr>
        <xdr:cNvPicPr>
          <a:picLocks noChangeAspect="1"/>
        </xdr:cNvPicPr>
      </xdr:nvPicPr>
      <xdr:blipFill>
        <a:blip xmlns:r="http://schemas.openxmlformats.org/officeDocument/2006/relationships" r:embed="rId4"/>
        <a:stretch>
          <a:fillRect/>
        </a:stretch>
      </xdr:blipFill>
      <xdr:spPr>
        <a:xfrm>
          <a:off x="22557921" y="26567946"/>
          <a:ext cx="829381" cy="290083"/>
        </a:xfrm>
        <a:prstGeom prst="rect">
          <a:avLst/>
        </a:prstGeom>
      </xdr:spPr>
    </xdr:pic>
    <xdr:clientData/>
  </xdr:twoCellAnchor>
  <xdr:twoCellAnchor editAs="oneCell">
    <xdr:from>
      <xdr:col>20</xdr:col>
      <xdr:colOff>95251</xdr:colOff>
      <xdr:row>61</xdr:row>
      <xdr:rowOff>27214</xdr:rowOff>
    </xdr:from>
    <xdr:to>
      <xdr:col>20</xdr:col>
      <xdr:colOff>924632</xdr:colOff>
      <xdr:row>62</xdr:row>
      <xdr:rowOff>117271</xdr:rowOff>
    </xdr:to>
    <xdr:pic>
      <xdr:nvPicPr>
        <xdr:cNvPr id="13" name="Picture 12">
          <a:extLst>
            <a:ext uri="{FF2B5EF4-FFF2-40B4-BE49-F238E27FC236}">
              <a16:creationId xmlns:a16="http://schemas.microsoft.com/office/drawing/2014/main" id="{8BE29EEE-B305-4214-8BE6-25EFAA296445}"/>
            </a:ext>
          </a:extLst>
        </xdr:cNvPr>
        <xdr:cNvPicPr>
          <a:picLocks noChangeAspect="1"/>
        </xdr:cNvPicPr>
      </xdr:nvPicPr>
      <xdr:blipFill>
        <a:blip xmlns:r="http://schemas.openxmlformats.org/officeDocument/2006/relationships" r:embed="rId4"/>
        <a:stretch>
          <a:fillRect/>
        </a:stretch>
      </xdr:blipFill>
      <xdr:spPr>
        <a:xfrm>
          <a:off x="22612351" y="12304939"/>
          <a:ext cx="829381" cy="290082"/>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xdr:from>
      <xdr:col>20</xdr:col>
      <xdr:colOff>1095375</xdr:colOff>
      <xdr:row>290</xdr:row>
      <xdr:rowOff>123825</xdr:rowOff>
    </xdr:from>
    <xdr:to>
      <xdr:col>20</xdr:col>
      <xdr:colOff>1895475</xdr:colOff>
      <xdr:row>291</xdr:row>
      <xdr:rowOff>152400</xdr:rowOff>
    </xdr:to>
    <xdr:pic>
      <xdr:nvPicPr>
        <xdr:cNvPr id="2" name="Picture 1" descr="C:\WINDOWS\TEMP\~0003946.gif">
          <a:extLst>
            <a:ext uri="{FF2B5EF4-FFF2-40B4-BE49-F238E27FC236}">
              <a16:creationId xmlns:a16="http://schemas.microsoft.com/office/drawing/2014/main" id="{6A4FF9D3-055D-4717-AE4D-A4BCB3C1D69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36275" y="588549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190</xdr:row>
      <xdr:rowOff>152400</xdr:rowOff>
    </xdr:from>
    <xdr:to>
      <xdr:col>20</xdr:col>
      <xdr:colOff>1924050</xdr:colOff>
      <xdr:row>191</xdr:row>
      <xdr:rowOff>180975</xdr:rowOff>
    </xdr:to>
    <xdr:pic>
      <xdr:nvPicPr>
        <xdr:cNvPr id="3" name="Picture 2" descr="C:\WINDOWS\TEMP\~0003946.gif">
          <a:extLst>
            <a:ext uri="{FF2B5EF4-FFF2-40B4-BE49-F238E27FC236}">
              <a16:creationId xmlns:a16="http://schemas.microsoft.com/office/drawing/2014/main" id="{C2363DDE-F251-44B5-869C-CD40EAD1426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36275" y="387572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130</xdr:row>
      <xdr:rowOff>161925</xdr:rowOff>
    </xdr:from>
    <xdr:to>
      <xdr:col>20</xdr:col>
      <xdr:colOff>1952625</xdr:colOff>
      <xdr:row>131</xdr:row>
      <xdr:rowOff>190500</xdr:rowOff>
    </xdr:to>
    <xdr:pic>
      <xdr:nvPicPr>
        <xdr:cNvPr id="4" name="Picture 3" descr="C:\WINDOWS\TEMP\~0003946.gif">
          <a:extLst>
            <a:ext uri="{FF2B5EF4-FFF2-40B4-BE49-F238E27FC236}">
              <a16:creationId xmlns:a16="http://schemas.microsoft.com/office/drawing/2014/main" id="{7728974B-2340-4F13-BCE8-10CF62A1D1E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36275" y="266890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61</xdr:row>
      <xdr:rowOff>161925</xdr:rowOff>
    </xdr:from>
    <xdr:to>
      <xdr:col>20</xdr:col>
      <xdr:colOff>1952625</xdr:colOff>
      <xdr:row>62</xdr:row>
      <xdr:rowOff>190500</xdr:rowOff>
    </xdr:to>
    <xdr:pic>
      <xdr:nvPicPr>
        <xdr:cNvPr id="5" name="Picture 4" descr="C:\WINDOWS\TEMP\~0003946.gif">
          <a:extLst>
            <a:ext uri="{FF2B5EF4-FFF2-40B4-BE49-F238E27FC236}">
              <a16:creationId xmlns:a16="http://schemas.microsoft.com/office/drawing/2014/main" id="{60BEE250-6C99-47A7-927A-AD3A7A89CA3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36275" y="12439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122464</xdr:colOff>
      <xdr:row>61</xdr:row>
      <xdr:rowOff>122464</xdr:rowOff>
    </xdr:from>
    <xdr:to>
      <xdr:col>0</xdr:col>
      <xdr:colOff>293167</xdr:colOff>
      <xdr:row>62</xdr:row>
      <xdr:rowOff>150024</xdr:rowOff>
    </xdr:to>
    <xdr:pic>
      <xdr:nvPicPr>
        <xdr:cNvPr id="6" name="Picture 5">
          <a:extLst>
            <a:ext uri="{FF2B5EF4-FFF2-40B4-BE49-F238E27FC236}">
              <a16:creationId xmlns:a16="http://schemas.microsoft.com/office/drawing/2014/main" id="{079D88C0-563D-4C18-86D7-2E44E2025F05}"/>
            </a:ext>
          </a:extLst>
        </xdr:cNvPr>
        <xdr:cNvPicPr>
          <a:picLocks noChangeAspect="1"/>
        </xdr:cNvPicPr>
      </xdr:nvPicPr>
      <xdr:blipFill>
        <a:blip xmlns:r="http://schemas.openxmlformats.org/officeDocument/2006/relationships" r:embed="rId3"/>
        <a:stretch>
          <a:fillRect/>
        </a:stretch>
      </xdr:blipFill>
      <xdr:spPr>
        <a:xfrm>
          <a:off x="122464" y="12400189"/>
          <a:ext cx="170703" cy="227585"/>
        </a:xfrm>
        <a:prstGeom prst="rect">
          <a:avLst/>
        </a:prstGeom>
      </xdr:spPr>
    </xdr:pic>
    <xdr:clientData/>
  </xdr:twoCellAnchor>
  <xdr:twoCellAnchor editAs="oneCell">
    <xdr:from>
      <xdr:col>0</xdr:col>
      <xdr:colOff>108857</xdr:colOff>
      <xdr:row>130</xdr:row>
      <xdr:rowOff>108857</xdr:rowOff>
    </xdr:from>
    <xdr:to>
      <xdr:col>0</xdr:col>
      <xdr:colOff>279560</xdr:colOff>
      <xdr:row>131</xdr:row>
      <xdr:rowOff>136418</xdr:rowOff>
    </xdr:to>
    <xdr:pic>
      <xdr:nvPicPr>
        <xdr:cNvPr id="7" name="Picture 6">
          <a:extLst>
            <a:ext uri="{FF2B5EF4-FFF2-40B4-BE49-F238E27FC236}">
              <a16:creationId xmlns:a16="http://schemas.microsoft.com/office/drawing/2014/main" id="{3AB6B38F-038D-4F01-AF3E-322A5B6F3255}"/>
            </a:ext>
          </a:extLst>
        </xdr:cNvPr>
        <xdr:cNvPicPr>
          <a:picLocks noChangeAspect="1"/>
        </xdr:cNvPicPr>
      </xdr:nvPicPr>
      <xdr:blipFill>
        <a:blip xmlns:r="http://schemas.openxmlformats.org/officeDocument/2006/relationships" r:embed="rId3"/>
        <a:stretch>
          <a:fillRect/>
        </a:stretch>
      </xdr:blipFill>
      <xdr:spPr>
        <a:xfrm>
          <a:off x="108857" y="26635982"/>
          <a:ext cx="170703" cy="227586"/>
        </a:xfrm>
        <a:prstGeom prst="rect">
          <a:avLst/>
        </a:prstGeom>
      </xdr:spPr>
    </xdr:pic>
    <xdr:clientData/>
  </xdr:twoCellAnchor>
  <xdr:twoCellAnchor editAs="oneCell">
    <xdr:from>
      <xdr:col>0</xdr:col>
      <xdr:colOff>149679</xdr:colOff>
      <xdr:row>190</xdr:row>
      <xdr:rowOff>81643</xdr:rowOff>
    </xdr:from>
    <xdr:to>
      <xdr:col>0</xdr:col>
      <xdr:colOff>320382</xdr:colOff>
      <xdr:row>191</xdr:row>
      <xdr:rowOff>109204</xdr:rowOff>
    </xdr:to>
    <xdr:pic>
      <xdr:nvPicPr>
        <xdr:cNvPr id="8" name="Picture 7">
          <a:extLst>
            <a:ext uri="{FF2B5EF4-FFF2-40B4-BE49-F238E27FC236}">
              <a16:creationId xmlns:a16="http://schemas.microsoft.com/office/drawing/2014/main" id="{C21DB81C-26FF-438E-839C-CAE40AB096AD}"/>
            </a:ext>
          </a:extLst>
        </xdr:cNvPr>
        <xdr:cNvPicPr>
          <a:picLocks noChangeAspect="1"/>
        </xdr:cNvPicPr>
      </xdr:nvPicPr>
      <xdr:blipFill>
        <a:blip xmlns:r="http://schemas.openxmlformats.org/officeDocument/2006/relationships" r:embed="rId3"/>
        <a:stretch>
          <a:fillRect/>
        </a:stretch>
      </xdr:blipFill>
      <xdr:spPr>
        <a:xfrm>
          <a:off x="149679" y="38686468"/>
          <a:ext cx="170703" cy="227586"/>
        </a:xfrm>
        <a:prstGeom prst="rect">
          <a:avLst/>
        </a:prstGeom>
      </xdr:spPr>
    </xdr:pic>
    <xdr:clientData/>
  </xdr:twoCellAnchor>
  <xdr:twoCellAnchor editAs="oneCell">
    <xdr:from>
      <xdr:col>0</xdr:col>
      <xdr:colOff>81643</xdr:colOff>
      <xdr:row>290</xdr:row>
      <xdr:rowOff>122464</xdr:rowOff>
    </xdr:from>
    <xdr:to>
      <xdr:col>0</xdr:col>
      <xdr:colOff>252346</xdr:colOff>
      <xdr:row>291</xdr:row>
      <xdr:rowOff>150024</xdr:rowOff>
    </xdr:to>
    <xdr:pic>
      <xdr:nvPicPr>
        <xdr:cNvPr id="9" name="Picture 8">
          <a:extLst>
            <a:ext uri="{FF2B5EF4-FFF2-40B4-BE49-F238E27FC236}">
              <a16:creationId xmlns:a16="http://schemas.microsoft.com/office/drawing/2014/main" id="{CB1BCA09-143B-459E-8584-DA9CFEE4514A}"/>
            </a:ext>
          </a:extLst>
        </xdr:cNvPr>
        <xdr:cNvPicPr>
          <a:picLocks noChangeAspect="1"/>
        </xdr:cNvPicPr>
      </xdr:nvPicPr>
      <xdr:blipFill>
        <a:blip xmlns:r="http://schemas.openxmlformats.org/officeDocument/2006/relationships" r:embed="rId3"/>
        <a:stretch>
          <a:fillRect/>
        </a:stretch>
      </xdr:blipFill>
      <xdr:spPr>
        <a:xfrm>
          <a:off x="81643" y="58853614"/>
          <a:ext cx="170703" cy="227585"/>
        </a:xfrm>
        <a:prstGeom prst="rect">
          <a:avLst/>
        </a:prstGeom>
      </xdr:spPr>
    </xdr:pic>
    <xdr:clientData/>
  </xdr:twoCellAnchor>
  <xdr:twoCellAnchor editAs="oneCell">
    <xdr:from>
      <xdr:col>20</xdr:col>
      <xdr:colOff>95250</xdr:colOff>
      <xdr:row>289</xdr:row>
      <xdr:rowOff>199213</xdr:rowOff>
    </xdr:from>
    <xdr:to>
      <xdr:col>20</xdr:col>
      <xdr:colOff>924631</xdr:colOff>
      <xdr:row>291</xdr:row>
      <xdr:rowOff>44341</xdr:rowOff>
    </xdr:to>
    <xdr:pic>
      <xdr:nvPicPr>
        <xdr:cNvPr id="10" name="Picture 9">
          <a:extLst>
            <a:ext uri="{FF2B5EF4-FFF2-40B4-BE49-F238E27FC236}">
              <a16:creationId xmlns:a16="http://schemas.microsoft.com/office/drawing/2014/main" id="{753C712C-F7FB-4000-A25E-2A4892156FC5}"/>
            </a:ext>
          </a:extLst>
        </xdr:cNvPr>
        <xdr:cNvPicPr>
          <a:picLocks noChangeAspect="1"/>
        </xdr:cNvPicPr>
      </xdr:nvPicPr>
      <xdr:blipFill>
        <a:blip xmlns:r="http://schemas.openxmlformats.org/officeDocument/2006/relationships" r:embed="rId4"/>
        <a:stretch>
          <a:fillRect/>
        </a:stretch>
      </xdr:blipFill>
      <xdr:spPr>
        <a:xfrm>
          <a:off x="22612350" y="58692238"/>
          <a:ext cx="829381" cy="283278"/>
        </a:xfrm>
        <a:prstGeom prst="rect">
          <a:avLst/>
        </a:prstGeom>
      </xdr:spPr>
    </xdr:pic>
    <xdr:clientData/>
  </xdr:twoCellAnchor>
  <xdr:twoCellAnchor editAs="oneCell">
    <xdr:from>
      <xdr:col>20</xdr:col>
      <xdr:colOff>81644</xdr:colOff>
      <xdr:row>189</xdr:row>
      <xdr:rowOff>176893</xdr:rowOff>
    </xdr:from>
    <xdr:to>
      <xdr:col>20</xdr:col>
      <xdr:colOff>911025</xdr:colOff>
      <xdr:row>191</xdr:row>
      <xdr:rowOff>62844</xdr:rowOff>
    </xdr:to>
    <xdr:pic>
      <xdr:nvPicPr>
        <xdr:cNvPr id="11" name="Picture 10">
          <a:extLst>
            <a:ext uri="{FF2B5EF4-FFF2-40B4-BE49-F238E27FC236}">
              <a16:creationId xmlns:a16="http://schemas.microsoft.com/office/drawing/2014/main" id="{796FAC25-72A5-4873-B471-BA81B1448303}"/>
            </a:ext>
          </a:extLst>
        </xdr:cNvPr>
        <xdr:cNvPicPr>
          <a:picLocks noChangeAspect="1"/>
        </xdr:cNvPicPr>
      </xdr:nvPicPr>
      <xdr:blipFill>
        <a:blip xmlns:r="http://schemas.openxmlformats.org/officeDocument/2006/relationships" r:embed="rId4"/>
        <a:stretch>
          <a:fillRect/>
        </a:stretch>
      </xdr:blipFill>
      <xdr:spPr>
        <a:xfrm>
          <a:off x="22598744" y="38581693"/>
          <a:ext cx="829381" cy="286001"/>
        </a:xfrm>
        <a:prstGeom prst="rect">
          <a:avLst/>
        </a:prstGeom>
      </xdr:spPr>
    </xdr:pic>
    <xdr:clientData/>
  </xdr:twoCellAnchor>
  <xdr:twoCellAnchor editAs="oneCell">
    <xdr:from>
      <xdr:col>20</xdr:col>
      <xdr:colOff>40821</xdr:colOff>
      <xdr:row>130</xdr:row>
      <xdr:rowOff>40821</xdr:rowOff>
    </xdr:from>
    <xdr:to>
      <xdr:col>20</xdr:col>
      <xdr:colOff>870202</xdr:colOff>
      <xdr:row>131</xdr:row>
      <xdr:rowOff>130879</xdr:rowOff>
    </xdr:to>
    <xdr:pic>
      <xdr:nvPicPr>
        <xdr:cNvPr id="12" name="Picture 11">
          <a:extLst>
            <a:ext uri="{FF2B5EF4-FFF2-40B4-BE49-F238E27FC236}">
              <a16:creationId xmlns:a16="http://schemas.microsoft.com/office/drawing/2014/main" id="{65E2E94C-FFC2-4A88-B22A-3E15D3A5A99A}"/>
            </a:ext>
          </a:extLst>
        </xdr:cNvPr>
        <xdr:cNvPicPr>
          <a:picLocks noChangeAspect="1"/>
        </xdr:cNvPicPr>
      </xdr:nvPicPr>
      <xdr:blipFill>
        <a:blip xmlns:r="http://schemas.openxmlformats.org/officeDocument/2006/relationships" r:embed="rId4"/>
        <a:stretch>
          <a:fillRect/>
        </a:stretch>
      </xdr:blipFill>
      <xdr:spPr>
        <a:xfrm>
          <a:off x="22557921" y="26567946"/>
          <a:ext cx="829381" cy="290083"/>
        </a:xfrm>
        <a:prstGeom prst="rect">
          <a:avLst/>
        </a:prstGeom>
      </xdr:spPr>
    </xdr:pic>
    <xdr:clientData/>
  </xdr:twoCellAnchor>
  <xdr:twoCellAnchor editAs="oneCell">
    <xdr:from>
      <xdr:col>20</xdr:col>
      <xdr:colOff>95251</xdr:colOff>
      <xdr:row>61</xdr:row>
      <xdr:rowOff>27214</xdr:rowOff>
    </xdr:from>
    <xdr:to>
      <xdr:col>20</xdr:col>
      <xdr:colOff>924632</xdr:colOff>
      <xdr:row>62</xdr:row>
      <xdr:rowOff>117271</xdr:rowOff>
    </xdr:to>
    <xdr:pic>
      <xdr:nvPicPr>
        <xdr:cNvPr id="13" name="Picture 12">
          <a:extLst>
            <a:ext uri="{FF2B5EF4-FFF2-40B4-BE49-F238E27FC236}">
              <a16:creationId xmlns:a16="http://schemas.microsoft.com/office/drawing/2014/main" id="{46AF3528-CC8F-4A6C-A687-434914A37B7C}"/>
            </a:ext>
          </a:extLst>
        </xdr:cNvPr>
        <xdr:cNvPicPr>
          <a:picLocks noChangeAspect="1"/>
        </xdr:cNvPicPr>
      </xdr:nvPicPr>
      <xdr:blipFill>
        <a:blip xmlns:r="http://schemas.openxmlformats.org/officeDocument/2006/relationships" r:embed="rId4"/>
        <a:stretch>
          <a:fillRect/>
        </a:stretch>
      </xdr:blipFill>
      <xdr:spPr>
        <a:xfrm>
          <a:off x="22612351" y="12304939"/>
          <a:ext cx="829381" cy="290082"/>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xdr:from>
      <xdr:col>20</xdr:col>
      <xdr:colOff>1095375</xdr:colOff>
      <xdr:row>290</xdr:row>
      <xdr:rowOff>123825</xdr:rowOff>
    </xdr:from>
    <xdr:to>
      <xdr:col>20</xdr:col>
      <xdr:colOff>1895475</xdr:colOff>
      <xdr:row>291</xdr:row>
      <xdr:rowOff>152400</xdr:rowOff>
    </xdr:to>
    <xdr:pic>
      <xdr:nvPicPr>
        <xdr:cNvPr id="2" name="Picture 1" descr="C:\WINDOWS\TEMP\~0003946.gif">
          <a:extLst>
            <a:ext uri="{FF2B5EF4-FFF2-40B4-BE49-F238E27FC236}">
              <a16:creationId xmlns:a16="http://schemas.microsoft.com/office/drawing/2014/main" id="{9CBC6842-23F8-4FBC-ADAF-A3D0D4605B8C}"/>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36275" y="588549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190</xdr:row>
      <xdr:rowOff>152400</xdr:rowOff>
    </xdr:from>
    <xdr:to>
      <xdr:col>20</xdr:col>
      <xdr:colOff>1924050</xdr:colOff>
      <xdr:row>191</xdr:row>
      <xdr:rowOff>180975</xdr:rowOff>
    </xdr:to>
    <xdr:pic>
      <xdr:nvPicPr>
        <xdr:cNvPr id="3" name="Picture 2" descr="C:\WINDOWS\TEMP\~0003946.gif">
          <a:extLst>
            <a:ext uri="{FF2B5EF4-FFF2-40B4-BE49-F238E27FC236}">
              <a16:creationId xmlns:a16="http://schemas.microsoft.com/office/drawing/2014/main" id="{361AA816-1D6E-4623-9C7D-E21EA6BB59DC}"/>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36275" y="387572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130</xdr:row>
      <xdr:rowOff>161925</xdr:rowOff>
    </xdr:from>
    <xdr:to>
      <xdr:col>20</xdr:col>
      <xdr:colOff>1952625</xdr:colOff>
      <xdr:row>131</xdr:row>
      <xdr:rowOff>190500</xdr:rowOff>
    </xdr:to>
    <xdr:pic>
      <xdr:nvPicPr>
        <xdr:cNvPr id="4" name="Picture 3" descr="C:\WINDOWS\TEMP\~0003946.gif">
          <a:extLst>
            <a:ext uri="{FF2B5EF4-FFF2-40B4-BE49-F238E27FC236}">
              <a16:creationId xmlns:a16="http://schemas.microsoft.com/office/drawing/2014/main" id="{B85C16DE-4805-4A0B-B5BF-FE5BE2D1DA8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36275" y="266890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61</xdr:row>
      <xdr:rowOff>161925</xdr:rowOff>
    </xdr:from>
    <xdr:to>
      <xdr:col>20</xdr:col>
      <xdr:colOff>1952625</xdr:colOff>
      <xdr:row>62</xdr:row>
      <xdr:rowOff>190500</xdr:rowOff>
    </xdr:to>
    <xdr:pic>
      <xdr:nvPicPr>
        <xdr:cNvPr id="5" name="Picture 4" descr="C:\WINDOWS\TEMP\~0003946.gif">
          <a:extLst>
            <a:ext uri="{FF2B5EF4-FFF2-40B4-BE49-F238E27FC236}">
              <a16:creationId xmlns:a16="http://schemas.microsoft.com/office/drawing/2014/main" id="{957C4325-C740-457B-B1D4-0846860AA2A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36275" y="12439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122464</xdr:colOff>
      <xdr:row>61</xdr:row>
      <xdr:rowOff>122464</xdr:rowOff>
    </xdr:from>
    <xdr:to>
      <xdr:col>0</xdr:col>
      <xdr:colOff>293167</xdr:colOff>
      <xdr:row>62</xdr:row>
      <xdr:rowOff>150024</xdr:rowOff>
    </xdr:to>
    <xdr:pic>
      <xdr:nvPicPr>
        <xdr:cNvPr id="6" name="Picture 5">
          <a:extLst>
            <a:ext uri="{FF2B5EF4-FFF2-40B4-BE49-F238E27FC236}">
              <a16:creationId xmlns:a16="http://schemas.microsoft.com/office/drawing/2014/main" id="{64404733-19F9-4E1E-BE16-9F49F427D85C}"/>
            </a:ext>
          </a:extLst>
        </xdr:cNvPr>
        <xdr:cNvPicPr>
          <a:picLocks noChangeAspect="1"/>
        </xdr:cNvPicPr>
      </xdr:nvPicPr>
      <xdr:blipFill>
        <a:blip xmlns:r="http://schemas.openxmlformats.org/officeDocument/2006/relationships" r:embed="rId3"/>
        <a:stretch>
          <a:fillRect/>
        </a:stretch>
      </xdr:blipFill>
      <xdr:spPr>
        <a:xfrm>
          <a:off x="122464" y="12400189"/>
          <a:ext cx="170703" cy="227585"/>
        </a:xfrm>
        <a:prstGeom prst="rect">
          <a:avLst/>
        </a:prstGeom>
      </xdr:spPr>
    </xdr:pic>
    <xdr:clientData/>
  </xdr:twoCellAnchor>
  <xdr:twoCellAnchor editAs="oneCell">
    <xdr:from>
      <xdr:col>0</xdr:col>
      <xdr:colOff>108857</xdr:colOff>
      <xdr:row>130</xdr:row>
      <xdr:rowOff>108857</xdr:rowOff>
    </xdr:from>
    <xdr:to>
      <xdr:col>0</xdr:col>
      <xdr:colOff>279560</xdr:colOff>
      <xdr:row>131</xdr:row>
      <xdr:rowOff>136418</xdr:rowOff>
    </xdr:to>
    <xdr:pic>
      <xdr:nvPicPr>
        <xdr:cNvPr id="7" name="Picture 6">
          <a:extLst>
            <a:ext uri="{FF2B5EF4-FFF2-40B4-BE49-F238E27FC236}">
              <a16:creationId xmlns:a16="http://schemas.microsoft.com/office/drawing/2014/main" id="{7B27A16A-E262-4CAF-9309-C79C48762B7B}"/>
            </a:ext>
          </a:extLst>
        </xdr:cNvPr>
        <xdr:cNvPicPr>
          <a:picLocks noChangeAspect="1"/>
        </xdr:cNvPicPr>
      </xdr:nvPicPr>
      <xdr:blipFill>
        <a:blip xmlns:r="http://schemas.openxmlformats.org/officeDocument/2006/relationships" r:embed="rId3"/>
        <a:stretch>
          <a:fillRect/>
        </a:stretch>
      </xdr:blipFill>
      <xdr:spPr>
        <a:xfrm>
          <a:off x="108857" y="26635982"/>
          <a:ext cx="170703" cy="227586"/>
        </a:xfrm>
        <a:prstGeom prst="rect">
          <a:avLst/>
        </a:prstGeom>
      </xdr:spPr>
    </xdr:pic>
    <xdr:clientData/>
  </xdr:twoCellAnchor>
  <xdr:twoCellAnchor editAs="oneCell">
    <xdr:from>
      <xdr:col>0</xdr:col>
      <xdr:colOff>149679</xdr:colOff>
      <xdr:row>190</xdr:row>
      <xdr:rowOff>81643</xdr:rowOff>
    </xdr:from>
    <xdr:to>
      <xdr:col>0</xdr:col>
      <xdr:colOff>320382</xdr:colOff>
      <xdr:row>191</xdr:row>
      <xdr:rowOff>109204</xdr:rowOff>
    </xdr:to>
    <xdr:pic>
      <xdr:nvPicPr>
        <xdr:cNvPr id="8" name="Picture 7">
          <a:extLst>
            <a:ext uri="{FF2B5EF4-FFF2-40B4-BE49-F238E27FC236}">
              <a16:creationId xmlns:a16="http://schemas.microsoft.com/office/drawing/2014/main" id="{CDCDFA60-1C6F-49F1-BC93-B2F3056D464F}"/>
            </a:ext>
          </a:extLst>
        </xdr:cNvPr>
        <xdr:cNvPicPr>
          <a:picLocks noChangeAspect="1"/>
        </xdr:cNvPicPr>
      </xdr:nvPicPr>
      <xdr:blipFill>
        <a:blip xmlns:r="http://schemas.openxmlformats.org/officeDocument/2006/relationships" r:embed="rId3"/>
        <a:stretch>
          <a:fillRect/>
        </a:stretch>
      </xdr:blipFill>
      <xdr:spPr>
        <a:xfrm>
          <a:off x="149679" y="38686468"/>
          <a:ext cx="170703" cy="227586"/>
        </a:xfrm>
        <a:prstGeom prst="rect">
          <a:avLst/>
        </a:prstGeom>
      </xdr:spPr>
    </xdr:pic>
    <xdr:clientData/>
  </xdr:twoCellAnchor>
  <xdr:twoCellAnchor editAs="oneCell">
    <xdr:from>
      <xdr:col>0</xdr:col>
      <xdr:colOff>81643</xdr:colOff>
      <xdr:row>290</xdr:row>
      <xdr:rowOff>122464</xdr:rowOff>
    </xdr:from>
    <xdr:to>
      <xdr:col>0</xdr:col>
      <xdr:colOff>252346</xdr:colOff>
      <xdr:row>291</xdr:row>
      <xdr:rowOff>150024</xdr:rowOff>
    </xdr:to>
    <xdr:pic>
      <xdr:nvPicPr>
        <xdr:cNvPr id="9" name="Picture 8">
          <a:extLst>
            <a:ext uri="{FF2B5EF4-FFF2-40B4-BE49-F238E27FC236}">
              <a16:creationId xmlns:a16="http://schemas.microsoft.com/office/drawing/2014/main" id="{60F3EBD9-27E4-44AF-89CE-3DC4293E6579}"/>
            </a:ext>
          </a:extLst>
        </xdr:cNvPr>
        <xdr:cNvPicPr>
          <a:picLocks noChangeAspect="1"/>
        </xdr:cNvPicPr>
      </xdr:nvPicPr>
      <xdr:blipFill>
        <a:blip xmlns:r="http://schemas.openxmlformats.org/officeDocument/2006/relationships" r:embed="rId3"/>
        <a:stretch>
          <a:fillRect/>
        </a:stretch>
      </xdr:blipFill>
      <xdr:spPr>
        <a:xfrm>
          <a:off x="81643" y="58853614"/>
          <a:ext cx="170703" cy="227585"/>
        </a:xfrm>
        <a:prstGeom prst="rect">
          <a:avLst/>
        </a:prstGeom>
      </xdr:spPr>
    </xdr:pic>
    <xdr:clientData/>
  </xdr:twoCellAnchor>
  <xdr:twoCellAnchor editAs="oneCell">
    <xdr:from>
      <xdr:col>20</xdr:col>
      <xdr:colOff>95250</xdr:colOff>
      <xdr:row>289</xdr:row>
      <xdr:rowOff>199213</xdr:rowOff>
    </xdr:from>
    <xdr:to>
      <xdr:col>20</xdr:col>
      <xdr:colOff>924631</xdr:colOff>
      <xdr:row>291</xdr:row>
      <xdr:rowOff>44341</xdr:rowOff>
    </xdr:to>
    <xdr:pic>
      <xdr:nvPicPr>
        <xdr:cNvPr id="10" name="Picture 9">
          <a:extLst>
            <a:ext uri="{FF2B5EF4-FFF2-40B4-BE49-F238E27FC236}">
              <a16:creationId xmlns:a16="http://schemas.microsoft.com/office/drawing/2014/main" id="{2421EC6E-CA08-4501-B137-8E5F199C8972}"/>
            </a:ext>
          </a:extLst>
        </xdr:cNvPr>
        <xdr:cNvPicPr>
          <a:picLocks noChangeAspect="1"/>
        </xdr:cNvPicPr>
      </xdr:nvPicPr>
      <xdr:blipFill>
        <a:blip xmlns:r="http://schemas.openxmlformats.org/officeDocument/2006/relationships" r:embed="rId4"/>
        <a:stretch>
          <a:fillRect/>
        </a:stretch>
      </xdr:blipFill>
      <xdr:spPr>
        <a:xfrm>
          <a:off x="22612350" y="58692238"/>
          <a:ext cx="829381" cy="283278"/>
        </a:xfrm>
        <a:prstGeom prst="rect">
          <a:avLst/>
        </a:prstGeom>
      </xdr:spPr>
    </xdr:pic>
    <xdr:clientData/>
  </xdr:twoCellAnchor>
  <xdr:twoCellAnchor editAs="oneCell">
    <xdr:from>
      <xdr:col>20</xdr:col>
      <xdr:colOff>81644</xdr:colOff>
      <xdr:row>189</xdr:row>
      <xdr:rowOff>176893</xdr:rowOff>
    </xdr:from>
    <xdr:to>
      <xdr:col>20</xdr:col>
      <xdr:colOff>911025</xdr:colOff>
      <xdr:row>191</xdr:row>
      <xdr:rowOff>62844</xdr:rowOff>
    </xdr:to>
    <xdr:pic>
      <xdr:nvPicPr>
        <xdr:cNvPr id="11" name="Picture 10">
          <a:extLst>
            <a:ext uri="{FF2B5EF4-FFF2-40B4-BE49-F238E27FC236}">
              <a16:creationId xmlns:a16="http://schemas.microsoft.com/office/drawing/2014/main" id="{EA1D16C6-A5B4-4954-B63C-8D33BE46145C}"/>
            </a:ext>
          </a:extLst>
        </xdr:cNvPr>
        <xdr:cNvPicPr>
          <a:picLocks noChangeAspect="1"/>
        </xdr:cNvPicPr>
      </xdr:nvPicPr>
      <xdr:blipFill>
        <a:blip xmlns:r="http://schemas.openxmlformats.org/officeDocument/2006/relationships" r:embed="rId4"/>
        <a:stretch>
          <a:fillRect/>
        </a:stretch>
      </xdr:blipFill>
      <xdr:spPr>
        <a:xfrm>
          <a:off x="22598744" y="38581693"/>
          <a:ext cx="829381" cy="286001"/>
        </a:xfrm>
        <a:prstGeom prst="rect">
          <a:avLst/>
        </a:prstGeom>
      </xdr:spPr>
    </xdr:pic>
    <xdr:clientData/>
  </xdr:twoCellAnchor>
  <xdr:twoCellAnchor editAs="oneCell">
    <xdr:from>
      <xdr:col>20</xdr:col>
      <xdr:colOff>40821</xdr:colOff>
      <xdr:row>130</xdr:row>
      <xdr:rowOff>40821</xdr:rowOff>
    </xdr:from>
    <xdr:to>
      <xdr:col>20</xdr:col>
      <xdr:colOff>870202</xdr:colOff>
      <xdr:row>131</xdr:row>
      <xdr:rowOff>130879</xdr:rowOff>
    </xdr:to>
    <xdr:pic>
      <xdr:nvPicPr>
        <xdr:cNvPr id="12" name="Picture 11">
          <a:extLst>
            <a:ext uri="{FF2B5EF4-FFF2-40B4-BE49-F238E27FC236}">
              <a16:creationId xmlns:a16="http://schemas.microsoft.com/office/drawing/2014/main" id="{91392513-58DC-4319-91F2-FF2123E5B795}"/>
            </a:ext>
          </a:extLst>
        </xdr:cNvPr>
        <xdr:cNvPicPr>
          <a:picLocks noChangeAspect="1"/>
        </xdr:cNvPicPr>
      </xdr:nvPicPr>
      <xdr:blipFill>
        <a:blip xmlns:r="http://schemas.openxmlformats.org/officeDocument/2006/relationships" r:embed="rId4"/>
        <a:stretch>
          <a:fillRect/>
        </a:stretch>
      </xdr:blipFill>
      <xdr:spPr>
        <a:xfrm>
          <a:off x="22557921" y="26567946"/>
          <a:ext cx="829381" cy="290083"/>
        </a:xfrm>
        <a:prstGeom prst="rect">
          <a:avLst/>
        </a:prstGeom>
      </xdr:spPr>
    </xdr:pic>
    <xdr:clientData/>
  </xdr:twoCellAnchor>
  <xdr:twoCellAnchor editAs="oneCell">
    <xdr:from>
      <xdr:col>20</xdr:col>
      <xdr:colOff>95251</xdr:colOff>
      <xdr:row>61</xdr:row>
      <xdr:rowOff>27214</xdr:rowOff>
    </xdr:from>
    <xdr:to>
      <xdr:col>20</xdr:col>
      <xdr:colOff>924632</xdr:colOff>
      <xdr:row>62</xdr:row>
      <xdr:rowOff>117271</xdr:rowOff>
    </xdr:to>
    <xdr:pic>
      <xdr:nvPicPr>
        <xdr:cNvPr id="13" name="Picture 12">
          <a:extLst>
            <a:ext uri="{FF2B5EF4-FFF2-40B4-BE49-F238E27FC236}">
              <a16:creationId xmlns:a16="http://schemas.microsoft.com/office/drawing/2014/main" id="{06266AF5-E527-4D89-A8A0-FAD28BA362BF}"/>
            </a:ext>
          </a:extLst>
        </xdr:cNvPr>
        <xdr:cNvPicPr>
          <a:picLocks noChangeAspect="1"/>
        </xdr:cNvPicPr>
      </xdr:nvPicPr>
      <xdr:blipFill>
        <a:blip xmlns:r="http://schemas.openxmlformats.org/officeDocument/2006/relationships" r:embed="rId4"/>
        <a:stretch>
          <a:fillRect/>
        </a:stretch>
      </xdr:blipFill>
      <xdr:spPr>
        <a:xfrm>
          <a:off x="22612351" y="12304939"/>
          <a:ext cx="829381" cy="290082"/>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xdr:from>
      <xdr:col>20</xdr:col>
      <xdr:colOff>1095375</xdr:colOff>
      <xdr:row>293</xdr:row>
      <xdr:rowOff>123825</xdr:rowOff>
    </xdr:from>
    <xdr:to>
      <xdr:col>20</xdr:col>
      <xdr:colOff>1895475</xdr:colOff>
      <xdr:row>294</xdr:row>
      <xdr:rowOff>152400</xdr:rowOff>
    </xdr:to>
    <xdr:pic>
      <xdr:nvPicPr>
        <xdr:cNvPr id="2" name="Picture 1" descr="C:\WINDOWS\TEMP\~0003946.gif">
          <a:extLst>
            <a:ext uri="{FF2B5EF4-FFF2-40B4-BE49-F238E27FC236}">
              <a16:creationId xmlns:a16="http://schemas.microsoft.com/office/drawing/2014/main" id="{01CF4B42-5782-4C58-963B-B732319B4A1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36275" y="588549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193</xdr:row>
      <xdr:rowOff>152400</xdr:rowOff>
    </xdr:from>
    <xdr:to>
      <xdr:col>20</xdr:col>
      <xdr:colOff>1924050</xdr:colOff>
      <xdr:row>194</xdr:row>
      <xdr:rowOff>180975</xdr:rowOff>
    </xdr:to>
    <xdr:pic>
      <xdr:nvPicPr>
        <xdr:cNvPr id="3" name="Picture 2" descr="C:\WINDOWS\TEMP\~0003946.gif">
          <a:extLst>
            <a:ext uri="{FF2B5EF4-FFF2-40B4-BE49-F238E27FC236}">
              <a16:creationId xmlns:a16="http://schemas.microsoft.com/office/drawing/2014/main" id="{AC5550C1-C76D-4A3E-9720-7F6DA827BE6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36275" y="387572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133</xdr:row>
      <xdr:rowOff>161925</xdr:rowOff>
    </xdr:from>
    <xdr:to>
      <xdr:col>20</xdr:col>
      <xdr:colOff>1952625</xdr:colOff>
      <xdr:row>134</xdr:row>
      <xdr:rowOff>190500</xdr:rowOff>
    </xdr:to>
    <xdr:pic>
      <xdr:nvPicPr>
        <xdr:cNvPr id="4" name="Picture 3" descr="C:\WINDOWS\TEMP\~0003946.gif">
          <a:extLst>
            <a:ext uri="{FF2B5EF4-FFF2-40B4-BE49-F238E27FC236}">
              <a16:creationId xmlns:a16="http://schemas.microsoft.com/office/drawing/2014/main" id="{483E61E4-AD31-43BB-9960-947FBBBD0D2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36275" y="266890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61</xdr:row>
      <xdr:rowOff>161925</xdr:rowOff>
    </xdr:from>
    <xdr:to>
      <xdr:col>20</xdr:col>
      <xdr:colOff>1952625</xdr:colOff>
      <xdr:row>62</xdr:row>
      <xdr:rowOff>190500</xdr:rowOff>
    </xdr:to>
    <xdr:pic>
      <xdr:nvPicPr>
        <xdr:cNvPr id="5" name="Picture 4" descr="C:\WINDOWS\TEMP\~0003946.gif">
          <a:extLst>
            <a:ext uri="{FF2B5EF4-FFF2-40B4-BE49-F238E27FC236}">
              <a16:creationId xmlns:a16="http://schemas.microsoft.com/office/drawing/2014/main" id="{3A9CC365-D73B-4015-A78A-D3DB0181882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36275" y="12439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122464</xdr:colOff>
      <xdr:row>61</xdr:row>
      <xdr:rowOff>122464</xdr:rowOff>
    </xdr:from>
    <xdr:to>
      <xdr:col>0</xdr:col>
      <xdr:colOff>293167</xdr:colOff>
      <xdr:row>62</xdr:row>
      <xdr:rowOff>150024</xdr:rowOff>
    </xdr:to>
    <xdr:pic>
      <xdr:nvPicPr>
        <xdr:cNvPr id="6" name="Picture 5">
          <a:extLst>
            <a:ext uri="{FF2B5EF4-FFF2-40B4-BE49-F238E27FC236}">
              <a16:creationId xmlns:a16="http://schemas.microsoft.com/office/drawing/2014/main" id="{2DF85CF5-6B2C-4844-9A24-AA475C510C65}"/>
            </a:ext>
          </a:extLst>
        </xdr:cNvPr>
        <xdr:cNvPicPr>
          <a:picLocks noChangeAspect="1"/>
        </xdr:cNvPicPr>
      </xdr:nvPicPr>
      <xdr:blipFill>
        <a:blip xmlns:r="http://schemas.openxmlformats.org/officeDocument/2006/relationships" r:embed="rId3"/>
        <a:stretch>
          <a:fillRect/>
        </a:stretch>
      </xdr:blipFill>
      <xdr:spPr>
        <a:xfrm>
          <a:off x="122464" y="12400189"/>
          <a:ext cx="170703" cy="227585"/>
        </a:xfrm>
        <a:prstGeom prst="rect">
          <a:avLst/>
        </a:prstGeom>
      </xdr:spPr>
    </xdr:pic>
    <xdr:clientData/>
  </xdr:twoCellAnchor>
  <xdr:twoCellAnchor editAs="oneCell">
    <xdr:from>
      <xdr:col>0</xdr:col>
      <xdr:colOff>108857</xdr:colOff>
      <xdr:row>133</xdr:row>
      <xdr:rowOff>108857</xdr:rowOff>
    </xdr:from>
    <xdr:to>
      <xdr:col>0</xdr:col>
      <xdr:colOff>279560</xdr:colOff>
      <xdr:row>134</xdr:row>
      <xdr:rowOff>136418</xdr:rowOff>
    </xdr:to>
    <xdr:pic>
      <xdr:nvPicPr>
        <xdr:cNvPr id="7" name="Picture 6">
          <a:extLst>
            <a:ext uri="{FF2B5EF4-FFF2-40B4-BE49-F238E27FC236}">
              <a16:creationId xmlns:a16="http://schemas.microsoft.com/office/drawing/2014/main" id="{8067F612-DD7F-4466-A963-E3A503DA8C47}"/>
            </a:ext>
          </a:extLst>
        </xdr:cNvPr>
        <xdr:cNvPicPr>
          <a:picLocks noChangeAspect="1"/>
        </xdr:cNvPicPr>
      </xdr:nvPicPr>
      <xdr:blipFill>
        <a:blip xmlns:r="http://schemas.openxmlformats.org/officeDocument/2006/relationships" r:embed="rId3"/>
        <a:stretch>
          <a:fillRect/>
        </a:stretch>
      </xdr:blipFill>
      <xdr:spPr>
        <a:xfrm>
          <a:off x="108857" y="26635982"/>
          <a:ext cx="170703" cy="227586"/>
        </a:xfrm>
        <a:prstGeom prst="rect">
          <a:avLst/>
        </a:prstGeom>
      </xdr:spPr>
    </xdr:pic>
    <xdr:clientData/>
  </xdr:twoCellAnchor>
  <xdr:twoCellAnchor editAs="oneCell">
    <xdr:from>
      <xdr:col>0</xdr:col>
      <xdr:colOff>149679</xdr:colOff>
      <xdr:row>193</xdr:row>
      <xdr:rowOff>81643</xdr:rowOff>
    </xdr:from>
    <xdr:to>
      <xdr:col>0</xdr:col>
      <xdr:colOff>320382</xdr:colOff>
      <xdr:row>194</xdr:row>
      <xdr:rowOff>109204</xdr:rowOff>
    </xdr:to>
    <xdr:pic>
      <xdr:nvPicPr>
        <xdr:cNvPr id="8" name="Picture 7">
          <a:extLst>
            <a:ext uri="{FF2B5EF4-FFF2-40B4-BE49-F238E27FC236}">
              <a16:creationId xmlns:a16="http://schemas.microsoft.com/office/drawing/2014/main" id="{FC130465-19CF-4646-877C-9611777E5E02}"/>
            </a:ext>
          </a:extLst>
        </xdr:cNvPr>
        <xdr:cNvPicPr>
          <a:picLocks noChangeAspect="1"/>
        </xdr:cNvPicPr>
      </xdr:nvPicPr>
      <xdr:blipFill>
        <a:blip xmlns:r="http://schemas.openxmlformats.org/officeDocument/2006/relationships" r:embed="rId3"/>
        <a:stretch>
          <a:fillRect/>
        </a:stretch>
      </xdr:blipFill>
      <xdr:spPr>
        <a:xfrm>
          <a:off x="149679" y="38686468"/>
          <a:ext cx="170703" cy="227586"/>
        </a:xfrm>
        <a:prstGeom prst="rect">
          <a:avLst/>
        </a:prstGeom>
      </xdr:spPr>
    </xdr:pic>
    <xdr:clientData/>
  </xdr:twoCellAnchor>
  <xdr:twoCellAnchor editAs="oneCell">
    <xdr:from>
      <xdr:col>0</xdr:col>
      <xdr:colOff>81643</xdr:colOff>
      <xdr:row>293</xdr:row>
      <xdr:rowOff>122464</xdr:rowOff>
    </xdr:from>
    <xdr:to>
      <xdr:col>0</xdr:col>
      <xdr:colOff>252346</xdr:colOff>
      <xdr:row>294</xdr:row>
      <xdr:rowOff>150024</xdr:rowOff>
    </xdr:to>
    <xdr:pic>
      <xdr:nvPicPr>
        <xdr:cNvPr id="9" name="Picture 8">
          <a:extLst>
            <a:ext uri="{FF2B5EF4-FFF2-40B4-BE49-F238E27FC236}">
              <a16:creationId xmlns:a16="http://schemas.microsoft.com/office/drawing/2014/main" id="{B6748E46-D8A4-4BFB-B9A1-ED77FAABB471}"/>
            </a:ext>
          </a:extLst>
        </xdr:cNvPr>
        <xdr:cNvPicPr>
          <a:picLocks noChangeAspect="1"/>
        </xdr:cNvPicPr>
      </xdr:nvPicPr>
      <xdr:blipFill>
        <a:blip xmlns:r="http://schemas.openxmlformats.org/officeDocument/2006/relationships" r:embed="rId3"/>
        <a:stretch>
          <a:fillRect/>
        </a:stretch>
      </xdr:blipFill>
      <xdr:spPr>
        <a:xfrm>
          <a:off x="81643" y="58853614"/>
          <a:ext cx="170703" cy="227585"/>
        </a:xfrm>
        <a:prstGeom prst="rect">
          <a:avLst/>
        </a:prstGeom>
      </xdr:spPr>
    </xdr:pic>
    <xdr:clientData/>
  </xdr:twoCellAnchor>
  <xdr:twoCellAnchor editAs="oneCell">
    <xdr:from>
      <xdr:col>20</xdr:col>
      <xdr:colOff>95250</xdr:colOff>
      <xdr:row>292</xdr:row>
      <xdr:rowOff>199213</xdr:rowOff>
    </xdr:from>
    <xdr:to>
      <xdr:col>20</xdr:col>
      <xdr:colOff>924631</xdr:colOff>
      <xdr:row>294</xdr:row>
      <xdr:rowOff>44341</xdr:rowOff>
    </xdr:to>
    <xdr:pic>
      <xdr:nvPicPr>
        <xdr:cNvPr id="10" name="Picture 9">
          <a:extLst>
            <a:ext uri="{FF2B5EF4-FFF2-40B4-BE49-F238E27FC236}">
              <a16:creationId xmlns:a16="http://schemas.microsoft.com/office/drawing/2014/main" id="{96899AD1-2EC7-48FB-B83D-5151E08EC9AC}"/>
            </a:ext>
          </a:extLst>
        </xdr:cNvPr>
        <xdr:cNvPicPr>
          <a:picLocks noChangeAspect="1"/>
        </xdr:cNvPicPr>
      </xdr:nvPicPr>
      <xdr:blipFill>
        <a:blip xmlns:r="http://schemas.openxmlformats.org/officeDocument/2006/relationships" r:embed="rId4"/>
        <a:stretch>
          <a:fillRect/>
        </a:stretch>
      </xdr:blipFill>
      <xdr:spPr>
        <a:xfrm>
          <a:off x="22612350" y="58692238"/>
          <a:ext cx="829381" cy="283278"/>
        </a:xfrm>
        <a:prstGeom prst="rect">
          <a:avLst/>
        </a:prstGeom>
      </xdr:spPr>
    </xdr:pic>
    <xdr:clientData/>
  </xdr:twoCellAnchor>
  <xdr:twoCellAnchor editAs="oneCell">
    <xdr:from>
      <xdr:col>20</xdr:col>
      <xdr:colOff>81644</xdr:colOff>
      <xdr:row>192</xdr:row>
      <xdr:rowOff>176893</xdr:rowOff>
    </xdr:from>
    <xdr:to>
      <xdr:col>20</xdr:col>
      <xdr:colOff>911025</xdr:colOff>
      <xdr:row>194</xdr:row>
      <xdr:rowOff>62845</xdr:rowOff>
    </xdr:to>
    <xdr:pic>
      <xdr:nvPicPr>
        <xdr:cNvPr id="11" name="Picture 10">
          <a:extLst>
            <a:ext uri="{FF2B5EF4-FFF2-40B4-BE49-F238E27FC236}">
              <a16:creationId xmlns:a16="http://schemas.microsoft.com/office/drawing/2014/main" id="{0F517F61-438C-4E51-BBAF-68C597328A21}"/>
            </a:ext>
          </a:extLst>
        </xdr:cNvPr>
        <xdr:cNvPicPr>
          <a:picLocks noChangeAspect="1"/>
        </xdr:cNvPicPr>
      </xdr:nvPicPr>
      <xdr:blipFill>
        <a:blip xmlns:r="http://schemas.openxmlformats.org/officeDocument/2006/relationships" r:embed="rId4"/>
        <a:stretch>
          <a:fillRect/>
        </a:stretch>
      </xdr:blipFill>
      <xdr:spPr>
        <a:xfrm>
          <a:off x="22598744" y="38581693"/>
          <a:ext cx="829381" cy="286001"/>
        </a:xfrm>
        <a:prstGeom prst="rect">
          <a:avLst/>
        </a:prstGeom>
      </xdr:spPr>
    </xdr:pic>
    <xdr:clientData/>
  </xdr:twoCellAnchor>
  <xdr:twoCellAnchor editAs="oneCell">
    <xdr:from>
      <xdr:col>20</xdr:col>
      <xdr:colOff>40821</xdr:colOff>
      <xdr:row>133</xdr:row>
      <xdr:rowOff>40821</xdr:rowOff>
    </xdr:from>
    <xdr:to>
      <xdr:col>20</xdr:col>
      <xdr:colOff>870202</xdr:colOff>
      <xdr:row>134</xdr:row>
      <xdr:rowOff>130879</xdr:rowOff>
    </xdr:to>
    <xdr:pic>
      <xdr:nvPicPr>
        <xdr:cNvPr id="12" name="Picture 11">
          <a:extLst>
            <a:ext uri="{FF2B5EF4-FFF2-40B4-BE49-F238E27FC236}">
              <a16:creationId xmlns:a16="http://schemas.microsoft.com/office/drawing/2014/main" id="{942CED8C-B897-48B3-B433-21D41130DFE3}"/>
            </a:ext>
          </a:extLst>
        </xdr:cNvPr>
        <xdr:cNvPicPr>
          <a:picLocks noChangeAspect="1"/>
        </xdr:cNvPicPr>
      </xdr:nvPicPr>
      <xdr:blipFill>
        <a:blip xmlns:r="http://schemas.openxmlformats.org/officeDocument/2006/relationships" r:embed="rId4"/>
        <a:stretch>
          <a:fillRect/>
        </a:stretch>
      </xdr:blipFill>
      <xdr:spPr>
        <a:xfrm>
          <a:off x="22557921" y="26567946"/>
          <a:ext cx="829381" cy="290083"/>
        </a:xfrm>
        <a:prstGeom prst="rect">
          <a:avLst/>
        </a:prstGeom>
      </xdr:spPr>
    </xdr:pic>
    <xdr:clientData/>
  </xdr:twoCellAnchor>
  <xdr:twoCellAnchor editAs="oneCell">
    <xdr:from>
      <xdr:col>20</xdr:col>
      <xdr:colOff>95251</xdr:colOff>
      <xdr:row>61</xdr:row>
      <xdr:rowOff>27214</xdr:rowOff>
    </xdr:from>
    <xdr:to>
      <xdr:col>20</xdr:col>
      <xdr:colOff>924632</xdr:colOff>
      <xdr:row>62</xdr:row>
      <xdr:rowOff>117271</xdr:rowOff>
    </xdr:to>
    <xdr:pic>
      <xdr:nvPicPr>
        <xdr:cNvPr id="13" name="Picture 12">
          <a:extLst>
            <a:ext uri="{FF2B5EF4-FFF2-40B4-BE49-F238E27FC236}">
              <a16:creationId xmlns:a16="http://schemas.microsoft.com/office/drawing/2014/main" id="{4E86089E-19BD-46A2-ACF7-D19780EB91F1}"/>
            </a:ext>
          </a:extLst>
        </xdr:cNvPr>
        <xdr:cNvPicPr>
          <a:picLocks noChangeAspect="1"/>
        </xdr:cNvPicPr>
      </xdr:nvPicPr>
      <xdr:blipFill>
        <a:blip xmlns:r="http://schemas.openxmlformats.org/officeDocument/2006/relationships" r:embed="rId4"/>
        <a:stretch>
          <a:fillRect/>
        </a:stretch>
      </xdr:blipFill>
      <xdr:spPr>
        <a:xfrm>
          <a:off x="22612351" y="12304939"/>
          <a:ext cx="829381" cy="290082"/>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xdr:from>
      <xdr:col>20</xdr:col>
      <xdr:colOff>1095375</xdr:colOff>
      <xdr:row>293</xdr:row>
      <xdr:rowOff>123825</xdr:rowOff>
    </xdr:from>
    <xdr:to>
      <xdr:col>20</xdr:col>
      <xdr:colOff>1895475</xdr:colOff>
      <xdr:row>294</xdr:row>
      <xdr:rowOff>152400</xdr:rowOff>
    </xdr:to>
    <xdr:pic>
      <xdr:nvPicPr>
        <xdr:cNvPr id="2" name="Picture 1" descr="C:\WINDOWS\TEMP\~0003946.gif">
          <a:extLst>
            <a:ext uri="{FF2B5EF4-FFF2-40B4-BE49-F238E27FC236}">
              <a16:creationId xmlns:a16="http://schemas.microsoft.com/office/drawing/2014/main" id="{12D9B97A-C80C-429A-B82A-A7362F4036C7}"/>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36275" y="594550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193</xdr:row>
      <xdr:rowOff>152400</xdr:rowOff>
    </xdr:from>
    <xdr:to>
      <xdr:col>20</xdr:col>
      <xdr:colOff>1924050</xdr:colOff>
      <xdr:row>194</xdr:row>
      <xdr:rowOff>180975</xdr:rowOff>
    </xdr:to>
    <xdr:pic>
      <xdr:nvPicPr>
        <xdr:cNvPr id="3" name="Picture 2" descr="C:\WINDOWS\TEMP\~0003946.gif">
          <a:extLst>
            <a:ext uri="{FF2B5EF4-FFF2-40B4-BE49-F238E27FC236}">
              <a16:creationId xmlns:a16="http://schemas.microsoft.com/office/drawing/2014/main" id="{6DFF9401-BF39-4AE2-816F-89AAF4FC652C}"/>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36275" y="393573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133</xdr:row>
      <xdr:rowOff>161925</xdr:rowOff>
    </xdr:from>
    <xdr:to>
      <xdr:col>20</xdr:col>
      <xdr:colOff>1952625</xdr:colOff>
      <xdr:row>134</xdr:row>
      <xdr:rowOff>190500</xdr:rowOff>
    </xdr:to>
    <xdr:pic>
      <xdr:nvPicPr>
        <xdr:cNvPr id="4" name="Picture 3" descr="C:\WINDOWS\TEMP\~0003946.gif">
          <a:extLst>
            <a:ext uri="{FF2B5EF4-FFF2-40B4-BE49-F238E27FC236}">
              <a16:creationId xmlns:a16="http://schemas.microsoft.com/office/drawing/2014/main" id="{A600DF43-DE80-4E91-BF91-2B97D6E8008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36275" y="272891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61</xdr:row>
      <xdr:rowOff>161925</xdr:rowOff>
    </xdr:from>
    <xdr:to>
      <xdr:col>20</xdr:col>
      <xdr:colOff>1952625</xdr:colOff>
      <xdr:row>62</xdr:row>
      <xdr:rowOff>190500</xdr:rowOff>
    </xdr:to>
    <xdr:pic>
      <xdr:nvPicPr>
        <xdr:cNvPr id="5" name="Picture 4" descr="C:\WINDOWS\TEMP\~0003946.gif">
          <a:extLst>
            <a:ext uri="{FF2B5EF4-FFF2-40B4-BE49-F238E27FC236}">
              <a16:creationId xmlns:a16="http://schemas.microsoft.com/office/drawing/2014/main" id="{FB5D3543-C515-4A03-8150-C5A85C28CBFD}"/>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36275" y="12439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122464</xdr:colOff>
      <xdr:row>61</xdr:row>
      <xdr:rowOff>122464</xdr:rowOff>
    </xdr:from>
    <xdr:to>
      <xdr:col>0</xdr:col>
      <xdr:colOff>293167</xdr:colOff>
      <xdr:row>62</xdr:row>
      <xdr:rowOff>150024</xdr:rowOff>
    </xdr:to>
    <xdr:pic>
      <xdr:nvPicPr>
        <xdr:cNvPr id="6" name="Picture 5">
          <a:extLst>
            <a:ext uri="{FF2B5EF4-FFF2-40B4-BE49-F238E27FC236}">
              <a16:creationId xmlns:a16="http://schemas.microsoft.com/office/drawing/2014/main" id="{19B43958-B7A5-4DAA-B052-8E28208C66B0}"/>
            </a:ext>
          </a:extLst>
        </xdr:cNvPr>
        <xdr:cNvPicPr>
          <a:picLocks noChangeAspect="1"/>
        </xdr:cNvPicPr>
      </xdr:nvPicPr>
      <xdr:blipFill>
        <a:blip xmlns:r="http://schemas.openxmlformats.org/officeDocument/2006/relationships" r:embed="rId3"/>
        <a:stretch>
          <a:fillRect/>
        </a:stretch>
      </xdr:blipFill>
      <xdr:spPr>
        <a:xfrm>
          <a:off x="122464" y="12400189"/>
          <a:ext cx="170703" cy="227585"/>
        </a:xfrm>
        <a:prstGeom prst="rect">
          <a:avLst/>
        </a:prstGeom>
      </xdr:spPr>
    </xdr:pic>
    <xdr:clientData/>
  </xdr:twoCellAnchor>
  <xdr:twoCellAnchor editAs="oneCell">
    <xdr:from>
      <xdr:col>0</xdr:col>
      <xdr:colOff>108857</xdr:colOff>
      <xdr:row>133</xdr:row>
      <xdr:rowOff>108857</xdr:rowOff>
    </xdr:from>
    <xdr:to>
      <xdr:col>0</xdr:col>
      <xdr:colOff>279560</xdr:colOff>
      <xdr:row>134</xdr:row>
      <xdr:rowOff>136418</xdr:rowOff>
    </xdr:to>
    <xdr:pic>
      <xdr:nvPicPr>
        <xdr:cNvPr id="7" name="Picture 6">
          <a:extLst>
            <a:ext uri="{FF2B5EF4-FFF2-40B4-BE49-F238E27FC236}">
              <a16:creationId xmlns:a16="http://schemas.microsoft.com/office/drawing/2014/main" id="{22E95B1D-426E-4E0E-A37F-80AD1DE47E66}"/>
            </a:ext>
          </a:extLst>
        </xdr:cNvPr>
        <xdr:cNvPicPr>
          <a:picLocks noChangeAspect="1"/>
        </xdr:cNvPicPr>
      </xdr:nvPicPr>
      <xdr:blipFill>
        <a:blip xmlns:r="http://schemas.openxmlformats.org/officeDocument/2006/relationships" r:embed="rId3"/>
        <a:stretch>
          <a:fillRect/>
        </a:stretch>
      </xdr:blipFill>
      <xdr:spPr>
        <a:xfrm>
          <a:off x="108857" y="27236057"/>
          <a:ext cx="170703" cy="227586"/>
        </a:xfrm>
        <a:prstGeom prst="rect">
          <a:avLst/>
        </a:prstGeom>
      </xdr:spPr>
    </xdr:pic>
    <xdr:clientData/>
  </xdr:twoCellAnchor>
  <xdr:twoCellAnchor editAs="oneCell">
    <xdr:from>
      <xdr:col>0</xdr:col>
      <xdr:colOff>149679</xdr:colOff>
      <xdr:row>193</xdr:row>
      <xdr:rowOff>81643</xdr:rowOff>
    </xdr:from>
    <xdr:to>
      <xdr:col>0</xdr:col>
      <xdr:colOff>320382</xdr:colOff>
      <xdr:row>194</xdr:row>
      <xdr:rowOff>109204</xdr:rowOff>
    </xdr:to>
    <xdr:pic>
      <xdr:nvPicPr>
        <xdr:cNvPr id="8" name="Picture 7">
          <a:extLst>
            <a:ext uri="{FF2B5EF4-FFF2-40B4-BE49-F238E27FC236}">
              <a16:creationId xmlns:a16="http://schemas.microsoft.com/office/drawing/2014/main" id="{A74AC844-08A7-4672-A91F-D4E37050E625}"/>
            </a:ext>
          </a:extLst>
        </xdr:cNvPr>
        <xdr:cNvPicPr>
          <a:picLocks noChangeAspect="1"/>
        </xdr:cNvPicPr>
      </xdr:nvPicPr>
      <xdr:blipFill>
        <a:blip xmlns:r="http://schemas.openxmlformats.org/officeDocument/2006/relationships" r:embed="rId3"/>
        <a:stretch>
          <a:fillRect/>
        </a:stretch>
      </xdr:blipFill>
      <xdr:spPr>
        <a:xfrm>
          <a:off x="149679" y="39286543"/>
          <a:ext cx="170703" cy="227586"/>
        </a:xfrm>
        <a:prstGeom prst="rect">
          <a:avLst/>
        </a:prstGeom>
      </xdr:spPr>
    </xdr:pic>
    <xdr:clientData/>
  </xdr:twoCellAnchor>
  <xdr:twoCellAnchor editAs="oneCell">
    <xdr:from>
      <xdr:col>0</xdr:col>
      <xdr:colOff>81643</xdr:colOff>
      <xdr:row>293</xdr:row>
      <xdr:rowOff>122464</xdr:rowOff>
    </xdr:from>
    <xdr:to>
      <xdr:col>0</xdr:col>
      <xdr:colOff>252346</xdr:colOff>
      <xdr:row>294</xdr:row>
      <xdr:rowOff>150024</xdr:rowOff>
    </xdr:to>
    <xdr:pic>
      <xdr:nvPicPr>
        <xdr:cNvPr id="9" name="Picture 8">
          <a:extLst>
            <a:ext uri="{FF2B5EF4-FFF2-40B4-BE49-F238E27FC236}">
              <a16:creationId xmlns:a16="http://schemas.microsoft.com/office/drawing/2014/main" id="{D2A99801-CB50-47EB-BBD6-5AA1B47E6756}"/>
            </a:ext>
          </a:extLst>
        </xdr:cNvPr>
        <xdr:cNvPicPr>
          <a:picLocks noChangeAspect="1"/>
        </xdr:cNvPicPr>
      </xdr:nvPicPr>
      <xdr:blipFill>
        <a:blip xmlns:r="http://schemas.openxmlformats.org/officeDocument/2006/relationships" r:embed="rId3"/>
        <a:stretch>
          <a:fillRect/>
        </a:stretch>
      </xdr:blipFill>
      <xdr:spPr>
        <a:xfrm>
          <a:off x="81643" y="59453689"/>
          <a:ext cx="170703" cy="227585"/>
        </a:xfrm>
        <a:prstGeom prst="rect">
          <a:avLst/>
        </a:prstGeom>
      </xdr:spPr>
    </xdr:pic>
    <xdr:clientData/>
  </xdr:twoCellAnchor>
  <xdr:twoCellAnchor editAs="oneCell">
    <xdr:from>
      <xdr:col>20</xdr:col>
      <xdr:colOff>95250</xdr:colOff>
      <xdr:row>292</xdr:row>
      <xdr:rowOff>199213</xdr:rowOff>
    </xdr:from>
    <xdr:to>
      <xdr:col>20</xdr:col>
      <xdr:colOff>924631</xdr:colOff>
      <xdr:row>294</xdr:row>
      <xdr:rowOff>44341</xdr:rowOff>
    </xdr:to>
    <xdr:pic>
      <xdr:nvPicPr>
        <xdr:cNvPr id="10" name="Picture 9">
          <a:extLst>
            <a:ext uri="{FF2B5EF4-FFF2-40B4-BE49-F238E27FC236}">
              <a16:creationId xmlns:a16="http://schemas.microsoft.com/office/drawing/2014/main" id="{492563AB-9678-4DDB-AF34-03452C6989A5}"/>
            </a:ext>
          </a:extLst>
        </xdr:cNvPr>
        <xdr:cNvPicPr>
          <a:picLocks noChangeAspect="1"/>
        </xdr:cNvPicPr>
      </xdr:nvPicPr>
      <xdr:blipFill>
        <a:blip xmlns:r="http://schemas.openxmlformats.org/officeDocument/2006/relationships" r:embed="rId4"/>
        <a:stretch>
          <a:fillRect/>
        </a:stretch>
      </xdr:blipFill>
      <xdr:spPr>
        <a:xfrm>
          <a:off x="22612350" y="59292313"/>
          <a:ext cx="829381" cy="283278"/>
        </a:xfrm>
        <a:prstGeom prst="rect">
          <a:avLst/>
        </a:prstGeom>
      </xdr:spPr>
    </xdr:pic>
    <xdr:clientData/>
  </xdr:twoCellAnchor>
  <xdr:twoCellAnchor editAs="oneCell">
    <xdr:from>
      <xdr:col>20</xdr:col>
      <xdr:colOff>81644</xdr:colOff>
      <xdr:row>192</xdr:row>
      <xdr:rowOff>176893</xdr:rowOff>
    </xdr:from>
    <xdr:to>
      <xdr:col>20</xdr:col>
      <xdr:colOff>911025</xdr:colOff>
      <xdr:row>194</xdr:row>
      <xdr:rowOff>62845</xdr:rowOff>
    </xdr:to>
    <xdr:pic>
      <xdr:nvPicPr>
        <xdr:cNvPr id="11" name="Picture 10">
          <a:extLst>
            <a:ext uri="{FF2B5EF4-FFF2-40B4-BE49-F238E27FC236}">
              <a16:creationId xmlns:a16="http://schemas.microsoft.com/office/drawing/2014/main" id="{8062C7DD-3361-4053-B9ED-6A3A201A935D}"/>
            </a:ext>
          </a:extLst>
        </xdr:cNvPr>
        <xdr:cNvPicPr>
          <a:picLocks noChangeAspect="1"/>
        </xdr:cNvPicPr>
      </xdr:nvPicPr>
      <xdr:blipFill>
        <a:blip xmlns:r="http://schemas.openxmlformats.org/officeDocument/2006/relationships" r:embed="rId4"/>
        <a:stretch>
          <a:fillRect/>
        </a:stretch>
      </xdr:blipFill>
      <xdr:spPr>
        <a:xfrm>
          <a:off x="22598744" y="39181768"/>
          <a:ext cx="829381" cy="286002"/>
        </a:xfrm>
        <a:prstGeom prst="rect">
          <a:avLst/>
        </a:prstGeom>
      </xdr:spPr>
    </xdr:pic>
    <xdr:clientData/>
  </xdr:twoCellAnchor>
  <xdr:twoCellAnchor editAs="oneCell">
    <xdr:from>
      <xdr:col>20</xdr:col>
      <xdr:colOff>40821</xdr:colOff>
      <xdr:row>133</xdr:row>
      <xdr:rowOff>40821</xdr:rowOff>
    </xdr:from>
    <xdr:to>
      <xdr:col>20</xdr:col>
      <xdr:colOff>870202</xdr:colOff>
      <xdr:row>134</xdr:row>
      <xdr:rowOff>130879</xdr:rowOff>
    </xdr:to>
    <xdr:pic>
      <xdr:nvPicPr>
        <xdr:cNvPr id="12" name="Picture 11">
          <a:extLst>
            <a:ext uri="{FF2B5EF4-FFF2-40B4-BE49-F238E27FC236}">
              <a16:creationId xmlns:a16="http://schemas.microsoft.com/office/drawing/2014/main" id="{FEBD44B9-E3E7-4311-8D9A-FC60349B610F}"/>
            </a:ext>
          </a:extLst>
        </xdr:cNvPr>
        <xdr:cNvPicPr>
          <a:picLocks noChangeAspect="1"/>
        </xdr:cNvPicPr>
      </xdr:nvPicPr>
      <xdr:blipFill>
        <a:blip xmlns:r="http://schemas.openxmlformats.org/officeDocument/2006/relationships" r:embed="rId4"/>
        <a:stretch>
          <a:fillRect/>
        </a:stretch>
      </xdr:blipFill>
      <xdr:spPr>
        <a:xfrm>
          <a:off x="22557921" y="27168021"/>
          <a:ext cx="829381" cy="290083"/>
        </a:xfrm>
        <a:prstGeom prst="rect">
          <a:avLst/>
        </a:prstGeom>
      </xdr:spPr>
    </xdr:pic>
    <xdr:clientData/>
  </xdr:twoCellAnchor>
  <xdr:twoCellAnchor editAs="oneCell">
    <xdr:from>
      <xdr:col>20</xdr:col>
      <xdr:colOff>95251</xdr:colOff>
      <xdr:row>61</xdr:row>
      <xdr:rowOff>27214</xdr:rowOff>
    </xdr:from>
    <xdr:to>
      <xdr:col>20</xdr:col>
      <xdr:colOff>924632</xdr:colOff>
      <xdr:row>62</xdr:row>
      <xdr:rowOff>117271</xdr:rowOff>
    </xdr:to>
    <xdr:pic>
      <xdr:nvPicPr>
        <xdr:cNvPr id="13" name="Picture 12">
          <a:extLst>
            <a:ext uri="{FF2B5EF4-FFF2-40B4-BE49-F238E27FC236}">
              <a16:creationId xmlns:a16="http://schemas.microsoft.com/office/drawing/2014/main" id="{422BB7E5-A673-4A5C-A0B6-434A087D5917}"/>
            </a:ext>
          </a:extLst>
        </xdr:cNvPr>
        <xdr:cNvPicPr>
          <a:picLocks noChangeAspect="1"/>
        </xdr:cNvPicPr>
      </xdr:nvPicPr>
      <xdr:blipFill>
        <a:blip xmlns:r="http://schemas.openxmlformats.org/officeDocument/2006/relationships" r:embed="rId4"/>
        <a:stretch>
          <a:fillRect/>
        </a:stretch>
      </xdr:blipFill>
      <xdr:spPr>
        <a:xfrm>
          <a:off x="22612351" y="12304939"/>
          <a:ext cx="829381" cy="290082"/>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xdr:from>
      <xdr:col>20</xdr:col>
      <xdr:colOff>1095375</xdr:colOff>
      <xdr:row>307</xdr:row>
      <xdr:rowOff>123825</xdr:rowOff>
    </xdr:from>
    <xdr:to>
      <xdr:col>20</xdr:col>
      <xdr:colOff>1895475</xdr:colOff>
      <xdr:row>308</xdr:row>
      <xdr:rowOff>152400</xdr:rowOff>
    </xdr:to>
    <xdr:pic>
      <xdr:nvPicPr>
        <xdr:cNvPr id="2" name="Picture 1" descr="C:\WINDOWS\TEMP\~0003946.gif">
          <a:extLst>
            <a:ext uri="{FF2B5EF4-FFF2-40B4-BE49-F238E27FC236}">
              <a16:creationId xmlns:a16="http://schemas.microsoft.com/office/drawing/2014/main" id="{7BA9F3D0-7540-4436-90DB-49B6C0AD7FC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36275" y="594550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193</xdr:row>
      <xdr:rowOff>152400</xdr:rowOff>
    </xdr:from>
    <xdr:to>
      <xdr:col>20</xdr:col>
      <xdr:colOff>1924050</xdr:colOff>
      <xdr:row>194</xdr:row>
      <xdr:rowOff>180975</xdr:rowOff>
    </xdr:to>
    <xdr:pic>
      <xdr:nvPicPr>
        <xdr:cNvPr id="3" name="Picture 2" descr="C:\WINDOWS\TEMP\~0003946.gif">
          <a:extLst>
            <a:ext uri="{FF2B5EF4-FFF2-40B4-BE49-F238E27FC236}">
              <a16:creationId xmlns:a16="http://schemas.microsoft.com/office/drawing/2014/main" id="{F6A61421-0D41-4475-842D-89D6450F475E}"/>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36275" y="393573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133</xdr:row>
      <xdr:rowOff>161925</xdr:rowOff>
    </xdr:from>
    <xdr:to>
      <xdr:col>20</xdr:col>
      <xdr:colOff>1952625</xdr:colOff>
      <xdr:row>134</xdr:row>
      <xdr:rowOff>190500</xdr:rowOff>
    </xdr:to>
    <xdr:pic>
      <xdr:nvPicPr>
        <xdr:cNvPr id="4" name="Picture 3" descr="C:\WINDOWS\TEMP\~0003946.gif">
          <a:extLst>
            <a:ext uri="{FF2B5EF4-FFF2-40B4-BE49-F238E27FC236}">
              <a16:creationId xmlns:a16="http://schemas.microsoft.com/office/drawing/2014/main" id="{BA62B0EB-6B54-494F-A56F-CB3EC6DC56E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36275" y="272891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61</xdr:row>
      <xdr:rowOff>161925</xdr:rowOff>
    </xdr:from>
    <xdr:to>
      <xdr:col>20</xdr:col>
      <xdr:colOff>1952625</xdr:colOff>
      <xdr:row>62</xdr:row>
      <xdr:rowOff>190500</xdr:rowOff>
    </xdr:to>
    <xdr:pic>
      <xdr:nvPicPr>
        <xdr:cNvPr id="5" name="Picture 4" descr="C:\WINDOWS\TEMP\~0003946.gif">
          <a:extLst>
            <a:ext uri="{FF2B5EF4-FFF2-40B4-BE49-F238E27FC236}">
              <a16:creationId xmlns:a16="http://schemas.microsoft.com/office/drawing/2014/main" id="{7577373D-36D2-4072-B3D6-55576A5BBE0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36275" y="12439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122464</xdr:colOff>
      <xdr:row>61</xdr:row>
      <xdr:rowOff>122464</xdr:rowOff>
    </xdr:from>
    <xdr:to>
      <xdr:col>0</xdr:col>
      <xdr:colOff>288722</xdr:colOff>
      <xdr:row>62</xdr:row>
      <xdr:rowOff>150024</xdr:rowOff>
    </xdr:to>
    <xdr:pic>
      <xdr:nvPicPr>
        <xdr:cNvPr id="6" name="Picture 5">
          <a:extLst>
            <a:ext uri="{FF2B5EF4-FFF2-40B4-BE49-F238E27FC236}">
              <a16:creationId xmlns:a16="http://schemas.microsoft.com/office/drawing/2014/main" id="{741DB140-CB8E-4BA1-AB6C-3D6E6D157371}"/>
            </a:ext>
          </a:extLst>
        </xdr:cNvPr>
        <xdr:cNvPicPr>
          <a:picLocks noChangeAspect="1"/>
        </xdr:cNvPicPr>
      </xdr:nvPicPr>
      <xdr:blipFill>
        <a:blip xmlns:r="http://schemas.openxmlformats.org/officeDocument/2006/relationships" r:embed="rId3"/>
        <a:stretch>
          <a:fillRect/>
        </a:stretch>
      </xdr:blipFill>
      <xdr:spPr>
        <a:xfrm>
          <a:off x="122464" y="12400189"/>
          <a:ext cx="170703" cy="227585"/>
        </a:xfrm>
        <a:prstGeom prst="rect">
          <a:avLst/>
        </a:prstGeom>
      </xdr:spPr>
    </xdr:pic>
    <xdr:clientData/>
  </xdr:twoCellAnchor>
  <xdr:twoCellAnchor editAs="oneCell">
    <xdr:from>
      <xdr:col>0</xdr:col>
      <xdr:colOff>108857</xdr:colOff>
      <xdr:row>133</xdr:row>
      <xdr:rowOff>108857</xdr:rowOff>
    </xdr:from>
    <xdr:to>
      <xdr:col>0</xdr:col>
      <xdr:colOff>285910</xdr:colOff>
      <xdr:row>134</xdr:row>
      <xdr:rowOff>132608</xdr:rowOff>
    </xdr:to>
    <xdr:pic>
      <xdr:nvPicPr>
        <xdr:cNvPr id="7" name="Picture 6">
          <a:extLst>
            <a:ext uri="{FF2B5EF4-FFF2-40B4-BE49-F238E27FC236}">
              <a16:creationId xmlns:a16="http://schemas.microsoft.com/office/drawing/2014/main" id="{A6C3EC97-1F7C-4E96-A106-6274BD940ED2}"/>
            </a:ext>
          </a:extLst>
        </xdr:cNvPr>
        <xdr:cNvPicPr>
          <a:picLocks noChangeAspect="1"/>
        </xdr:cNvPicPr>
      </xdr:nvPicPr>
      <xdr:blipFill>
        <a:blip xmlns:r="http://schemas.openxmlformats.org/officeDocument/2006/relationships" r:embed="rId3"/>
        <a:stretch>
          <a:fillRect/>
        </a:stretch>
      </xdr:blipFill>
      <xdr:spPr>
        <a:xfrm>
          <a:off x="108857" y="27236057"/>
          <a:ext cx="170703" cy="227586"/>
        </a:xfrm>
        <a:prstGeom prst="rect">
          <a:avLst/>
        </a:prstGeom>
      </xdr:spPr>
    </xdr:pic>
    <xdr:clientData/>
  </xdr:twoCellAnchor>
  <xdr:twoCellAnchor editAs="oneCell">
    <xdr:from>
      <xdr:col>0</xdr:col>
      <xdr:colOff>149679</xdr:colOff>
      <xdr:row>193</xdr:row>
      <xdr:rowOff>81643</xdr:rowOff>
    </xdr:from>
    <xdr:to>
      <xdr:col>0</xdr:col>
      <xdr:colOff>321017</xdr:colOff>
      <xdr:row>194</xdr:row>
      <xdr:rowOff>98409</xdr:rowOff>
    </xdr:to>
    <xdr:pic>
      <xdr:nvPicPr>
        <xdr:cNvPr id="8" name="Picture 7">
          <a:extLst>
            <a:ext uri="{FF2B5EF4-FFF2-40B4-BE49-F238E27FC236}">
              <a16:creationId xmlns:a16="http://schemas.microsoft.com/office/drawing/2014/main" id="{AF3B607F-CF10-439B-B261-0E862FB253D6}"/>
            </a:ext>
          </a:extLst>
        </xdr:cNvPr>
        <xdr:cNvPicPr>
          <a:picLocks noChangeAspect="1"/>
        </xdr:cNvPicPr>
      </xdr:nvPicPr>
      <xdr:blipFill>
        <a:blip xmlns:r="http://schemas.openxmlformats.org/officeDocument/2006/relationships" r:embed="rId3"/>
        <a:stretch>
          <a:fillRect/>
        </a:stretch>
      </xdr:blipFill>
      <xdr:spPr>
        <a:xfrm>
          <a:off x="149679" y="39286543"/>
          <a:ext cx="170703" cy="227586"/>
        </a:xfrm>
        <a:prstGeom prst="rect">
          <a:avLst/>
        </a:prstGeom>
      </xdr:spPr>
    </xdr:pic>
    <xdr:clientData/>
  </xdr:twoCellAnchor>
  <xdr:twoCellAnchor editAs="oneCell">
    <xdr:from>
      <xdr:col>0</xdr:col>
      <xdr:colOff>81643</xdr:colOff>
      <xdr:row>307</xdr:row>
      <xdr:rowOff>122464</xdr:rowOff>
    </xdr:from>
    <xdr:to>
      <xdr:col>0</xdr:col>
      <xdr:colOff>245996</xdr:colOff>
      <xdr:row>308</xdr:row>
      <xdr:rowOff>150024</xdr:rowOff>
    </xdr:to>
    <xdr:pic>
      <xdr:nvPicPr>
        <xdr:cNvPr id="9" name="Picture 8">
          <a:extLst>
            <a:ext uri="{FF2B5EF4-FFF2-40B4-BE49-F238E27FC236}">
              <a16:creationId xmlns:a16="http://schemas.microsoft.com/office/drawing/2014/main" id="{C8214A8F-662E-4C38-8995-EFCD911074D2}"/>
            </a:ext>
          </a:extLst>
        </xdr:cNvPr>
        <xdr:cNvPicPr>
          <a:picLocks noChangeAspect="1"/>
        </xdr:cNvPicPr>
      </xdr:nvPicPr>
      <xdr:blipFill>
        <a:blip xmlns:r="http://schemas.openxmlformats.org/officeDocument/2006/relationships" r:embed="rId3"/>
        <a:stretch>
          <a:fillRect/>
        </a:stretch>
      </xdr:blipFill>
      <xdr:spPr>
        <a:xfrm>
          <a:off x="81643" y="59453689"/>
          <a:ext cx="170703" cy="227585"/>
        </a:xfrm>
        <a:prstGeom prst="rect">
          <a:avLst/>
        </a:prstGeom>
      </xdr:spPr>
    </xdr:pic>
    <xdr:clientData/>
  </xdr:twoCellAnchor>
  <xdr:twoCellAnchor editAs="oneCell">
    <xdr:from>
      <xdr:col>20</xdr:col>
      <xdr:colOff>95250</xdr:colOff>
      <xdr:row>306</xdr:row>
      <xdr:rowOff>199213</xdr:rowOff>
    </xdr:from>
    <xdr:to>
      <xdr:col>20</xdr:col>
      <xdr:colOff>934791</xdr:colOff>
      <xdr:row>308</xdr:row>
      <xdr:rowOff>55136</xdr:rowOff>
    </xdr:to>
    <xdr:pic>
      <xdr:nvPicPr>
        <xdr:cNvPr id="10" name="Picture 9">
          <a:extLst>
            <a:ext uri="{FF2B5EF4-FFF2-40B4-BE49-F238E27FC236}">
              <a16:creationId xmlns:a16="http://schemas.microsoft.com/office/drawing/2014/main" id="{A72B5F69-6DDB-4A94-B774-4664410C7FC4}"/>
            </a:ext>
          </a:extLst>
        </xdr:cNvPr>
        <xdr:cNvPicPr>
          <a:picLocks noChangeAspect="1"/>
        </xdr:cNvPicPr>
      </xdr:nvPicPr>
      <xdr:blipFill>
        <a:blip xmlns:r="http://schemas.openxmlformats.org/officeDocument/2006/relationships" r:embed="rId4"/>
        <a:stretch>
          <a:fillRect/>
        </a:stretch>
      </xdr:blipFill>
      <xdr:spPr>
        <a:xfrm>
          <a:off x="22612350" y="59292313"/>
          <a:ext cx="829381" cy="283278"/>
        </a:xfrm>
        <a:prstGeom prst="rect">
          <a:avLst/>
        </a:prstGeom>
      </xdr:spPr>
    </xdr:pic>
    <xdr:clientData/>
  </xdr:twoCellAnchor>
  <xdr:twoCellAnchor editAs="oneCell">
    <xdr:from>
      <xdr:col>20</xdr:col>
      <xdr:colOff>81644</xdr:colOff>
      <xdr:row>192</xdr:row>
      <xdr:rowOff>176893</xdr:rowOff>
    </xdr:from>
    <xdr:to>
      <xdr:col>20</xdr:col>
      <xdr:colOff>894515</xdr:colOff>
      <xdr:row>194</xdr:row>
      <xdr:rowOff>56495</xdr:rowOff>
    </xdr:to>
    <xdr:pic>
      <xdr:nvPicPr>
        <xdr:cNvPr id="11" name="Picture 10">
          <a:extLst>
            <a:ext uri="{FF2B5EF4-FFF2-40B4-BE49-F238E27FC236}">
              <a16:creationId xmlns:a16="http://schemas.microsoft.com/office/drawing/2014/main" id="{3C0095B3-B002-4B65-9010-C8D04BFC3A3F}"/>
            </a:ext>
          </a:extLst>
        </xdr:cNvPr>
        <xdr:cNvPicPr>
          <a:picLocks noChangeAspect="1"/>
        </xdr:cNvPicPr>
      </xdr:nvPicPr>
      <xdr:blipFill>
        <a:blip xmlns:r="http://schemas.openxmlformats.org/officeDocument/2006/relationships" r:embed="rId4"/>
        <a:stretch>
          <a:fillRect/>
        </a:stretch>
      </xdr:blipFill>
      <xdr:spPr>
        <a:xfrm>
          <a:off x="22598744" y="39181768"/>
          <a:ext cx="829381" cy="286002"/>
        </a:xfrm>
        <a:prstGeom prst="rect">
          <a:avLst/>
        </a:prstGeom>
      </xdr:spPr>
    </xdr:pic>
    <xdr:clientData/>
  </xdr:twoCellAnchor>
  <xdr:twoCellAnchor editAs="oneCell">
    <xdr:from>
      <xdr:col>20</xdr:col>
      <xdr:colOff>40821</xdr:colOff>
      <xdr:row>133</xdr:row>
      <xdr:rowOff>40821</xdr:rowOff>
    </xdr:from>
    <xdr:to>
      <xdr:col>20</xdr:col>
      <xdr:colOff>859407</xdr:colOff>
      <xdr:row>134</xdr:row>
      <xdr:rowOff>134689</xdr:rowOff>
    </xdr:to>
    <xdr:pic>
      <xdr:nvPicPr>
        <xdr:cNvPr id="12" name="Picture 11">
          <a:extLst>
            <a:ext uri="{FF2B5EF4-FFF2-40B4-BE49-F238E27FC236}">
              <a16:creationId xmlns:a16="http://schemas.microsoft.com/office/drawing/2014/main" id="{A16D5202-A866-4213-997B-F03E13E5BFE9}"/>
            </a:ext>
          </a:extLst>
        </xdr:cNvPr>
        <xdr:cNvPicPr>
          <a:picLocks noChangeAspect="1"/>
        </xdr:cNvPicPr>
      </xdr:nvPicPr>
      <xdr:blipFill>
        <a:blip xmlns:r="http://schemas.openxmlformats.org/officeDocument/2006/relationships" r:embed="rId4"/>
        <a:stretch>
          <a:fillRect/>
        </a:stretch>
      </xdr:blipFill>
      <xdr:spPr>
        <a:xfrm>
          <a:off x="22557921" y="27168021"/>
          <a:ext cx="829381" cy="290083"/>
        </a:xfrm>
        <a:prstGeom prst="rect">
          <a:avLst/>
        </a:prstGeom>
      </xdr:spPr>
    </xdr:pic>
    <xdr:clientData/>
  </xdr:twoCellAnchor>
  <xdr:twoCellAnchor editAs="oneCell">
    <xdr:from>
      <xdr:col>20</xdr:col>
      <xdr:colOff>95251</xdr:colOff>
      <xdr:row>61</xdr:row>
      <xdr:rowOff>27214</xdr:rowOff>
    </xdr:from>
    <xdr:to>
      <xdr:col>20</xdr:col>
      <xdr:colOff>934792</xdr:colOff>
      <xdr:row>62</xdr:row>
      <xdr:rowOff>117271</xdr:rowOff>
    </xdr:to>
    <xdr:pic>
      <xdr:nvPicPr>
        <xdr:cNvPr id="13" name="Picture 12">
          <a:extLst>
            <a:ext uri="{FF2B5EF4-FFF2-40B4-BE49-F238E27FC236}">
              <a16:creationId xmlns:a16="http://schemas.microsoft.com/office/drawing/2014/main" id="{E5E9C62F-2E63-4B0F-ABFE-AFC87544EAC3}"/>
            </a:ext>
          </a:extLst>
        </xdr:cNvPr>
        <xdr:cNvPicPr>
          <a:picLocks noChangeAspect="1"/>
        </xdr:cNvPicPr>
      </xdr:nvPicPr>
      <xdr:blipFill>
        <a:blip xmlns:r="http://schemas.openxmlformats.org/officeDocument/2006/relationships" r:embed="rId4"/>
        <a:stretch>
          <a:fillRect/>
        </a:stretch>
      </xdr:blipFill>
      <xdr:spPr>
        <a:xfrm>
          <a:off x="22612351" y="12304939"/>
          <a:ext cx="829381" cy="290082"/>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xdr:from>
      <xdr:col>20</xdr:col>
      <xdr:colOff>1095375</xdr:colOff>
      <xdr:row>319</xdr:row>
      <xdr:rowOff>123825</xdr:rowOff>
    </xdr:from>
    <xdr:to>
      <xdr:col>20</xdr:col>
      <xdr:colOff>1895475</xdr:colOff>
      <xdr:row>320</xdr:row>
      <xdr:rowOff>152400</xdr:rowOff>
    </xdr:to>
    <xdr:pic>
      <xdr:nvPicPr>
        <xdr:cNvPr id="2" name="Picture 1" descr="C:\WINDOWS\TEMP\~0003946.gif">
          <a:extLst>
            <a:ext uri="{FF2B5EF4-FFF2-40B4-BE49-F238E27FC236}">
              <a16:creationId xmlns:a16="http://schemas.microsoft.com/office/drawing/2014/main" id="{EBC5B384-861A-462E-8E9B-C8A671D51EE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2609175" y="6217602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193</xdr:row>
      <xdr:rowOff>152400</xdr:rowOff>
    </xdr:from>
    <xdr:to>
      <xdr:col>20</xdr:col>
      <xdr:colOff>1924050</xdr:colOff>
      <xdr:row>194</xdr:row>
      <xdr:rowOff>180975</xdr:rowOff>
    </xdr:to>
    <xdr:pic>
      <xdr:nvPicPr>
        <xdr:cNvPr id="3" name="Picture 2" descr="C:\WINDOWS\TEMP\~0003946.gif">
          <a:extLst>
            <a:ext uri="{FF2B5EF4-FFF2-40B4-BE49-F238E27FC236}">
              <a16:creationId xmlns:a16="http://schemas.microsoft.com/office/drawing/2014/main" id="{904155DE-2034-4308-B945-EC0CA495C3FE}"/>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2612350" y="3929062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133</xdr:row>
      <xdr:rowOff>161925</xdr:rowOff>
    </xdr:from>
    <xdr:to>
      <xdr:col>20</xdr:col>
      <xdr:colOff>1952625</xdr:colOff>
      <xdr:row>134</xdr:row>
      <xdr:rowOff>190500</xdr:rowOff>
    </xdr:to>
    <xdr:pic>
      <xdr:nvPicPr>
        <xdr:cNvPr id="4" name="Picture 3" descr="C:\WINDOWS\TEMP\~0003946.gif">
          <a:extLst>
            <a:ext uri="{FF2B5EF4-FFF2-40B4-BE49-F238E27FC236}">
              <a16:creationId xmlns:a16="http://schemas.microsoft.com/office/drawing/2014/main" id="{050F0B05-FD7A-4129-ABA1-CDA0DC8CC03C}"/>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2609175" y="2725737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61</xdr:row>
      <xdr:rowOff>161925</xdr:rowOff>
    </xdr:from>
    <xdr:to>
      <xdr:col>20</xdr:col>
      <xdr:colOff>1952625</xdr:colOff>
      <xdr:row>62</xdr:row>
      <xdr:rowOff>190500</xdr:rowOff>
    </xdr:to>
    <xdr:pic>
      <xdr:nvPicPr>
        <xdr:cNvPr id="5" name="Picture 4" descr="C:\WINDOWS\TEMP\~0003946.gif">
          <a:extLst>
            <a:ext uri="{FF2B5EF4-FFF2-40B4-BE49-F238E27FC236}">
              <a16:creationId xmlns:a16="http://schemas.microsoft.com/office/drawing/2014/main" id="{3EFEF1B4-DF11-472D-AF55-7144408076B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2609175" y="12426950"/>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122464</xdr:colOff>
      <xdr:row>61</xdr:row>
      <xdr:rowOff>122464</xdr:rowOff>
    </xdr:from>
    <xdr:to>
      <xdr:col>0</xdr:col>
      <xdr:colOff>288722</xdr:colOff>
      <xdr:row>62</xdr:row>
      <xdr:rowOff>150024</xdr:rowOff>
    </xdr:to>
    <xdr:pic>
      <xdr:nvPicPr>
        <xdr:cNvPr id="6" name="Picture 5">
          <a:extLst>
            <a:ext uri="{FF2B5EF4-FFF2-40B4-BE49-F238E27FC236}">
              <a16:creationId xmlns:a16="http://schemas.microsoft.com/office/drawing/2014/main" id="{B0FD5431-15ED-42F5-A5AC-D0740C12153F}"/>
            </a:ext>
          </a:extLst>
        </xdr:cNvPr>
        <xdr:cNvPicPr>
          <a:picLocks noChangeAspect="1"/>
        </xdr:cNvPicPr>
      </xdr:nvPicPr>
      <xdr:blipFill>
        <a:blip xmlns:r="http://schemas.openxmlformats.org/officeDocument/2006/relationships" r:embed="rId3"/>
        <a:stretch>
          <a:fillRect/>
        </a:stretch>
      </xdr:blipFill>
      <xdr:spPr>
        <a:xfrm>
          <a:off x="125639" y="12393839"/>
          <a:ext cx="163083" cy="224410"/>
        </a:xfrm>
        <a:prstGeom prst="rect">
          <a:avLst/>
        </a:prstGeom>
      </xdr:spPr>
    </xdr:pic>
    <xdr:clientData/>
  </xdr:twoCellAnchor>
  <xdr:twoCellAnchor editAs="oneCell">
    <xdr:from>
      <xdr:col>0</xdr:col>
      <xdr:colOff>108857</xdr:colOff>
      <xdr:row>133</xdr:row>
      <xdr:rowOff>108857</xdr:rowOff>
    </xdr:from>
    <xdr:to>
      <xdr:col>0</xdr:col>
      <xdr:colOff>285910</xdr:colOff>
      <xdr:row>134</xdr:row>
      <xdr:rowOff>132608</xdr:rowOff>
    </xdr:to>
    <xdr:pic>
      <xdr:nvPicPr>
        <xdr:cNvPr id="7" name="Picture 6">
          <a:extLst>
            <a:ext uri="{FF2B5EF4-FFF2-40B4-BE49-F238E27FC236}">
              <a16:creationId xmlns:a16="http://schemas.microsoft.com/office/drawing/2014/main" id="{ABCA33E0-C4FE-4B8C-9698-BC56A1AA167D}"/>
            </a:ext>
          </a:extLst>
        </xdr:cNvPr>
        <xdr:cNvPicPr>
          <a:picLocks noChangeAspect="1"/>
        </xdr:cNvPicPr>
      </xdr:nvPicPr>
      <xdr:blipFill>
        <a:blip xmlns:r="http://schemas.openxmlformats.org/officeDocument/2006/relationships" r:embed="rId3"/>
        <a:stretch>
          <a:fillRect/>
        </a:stretch>
      </xdr:blipFill>
      <xdr:spPr>
        <a:xfrm>
          <a:off x="105682" y="27204307"/>
          <a:ext cx="180228" cy="226951"/>
        </a:xfrm>
        <a:prstGeom prst="rect">
          <a:avLst/>
        </a:prstGeom>
      </xdr:spPr>
    </xdr:pic>
    <xdr:clientData/>
  </xdr:twoCellAnchor>
  <xdr:twoCellAnchor editAs="oneCell">
    <xdr:from>
      <xdr:col>0</xdr:col>
      <xdr:colOff>149679</xdr:colOff>
      <xdr:row>193</xdr:row>
      <xdr:rowOff>81643</xdr:rowOff>
    </xdr:from>
    <xdr:to>
      <xdr:col>0</xdr:col>
      <xdr:colOff>321017</xdr:colOff>
      <xdr:row>194</xdr:row>
      <xdr:rowOff>98409</xdr:rowOff>
    </xdr:to>
    <xdr:pic>
      <xdr:nvPicPr>
        <xdr:cNvPr id="8" name="Picture 7">
          <a:extLst>
            <a:ext uri="{FF2B5EF4-FFF2-40B4-BE49-F238E27FC236}">
              <a16:creationId xmlns:a16="http://schemas.microsoft.com/office/drawing/2014/main" id="{CCFF6CB5-4577-4377-8374-59DEA083C723}"/>
            </a:ext>
          </a:extLst>
        </xdr:cNvPr>
        <xdr:cNvPicPr>
          <a:picLocks noChangeAspect="1"/>
        </xdr:cNvPicPr>
      </xdr:nvPicPr>
      <xdr:blipFill>
        <a:blip xmlns:r="http://schemas.openxmlformats.org/officeDocument/2006/relationships" r:embed="rId3"/>
        <a:stretch>
          <a:fillRect/>
        </a:stretch>
      </xdr:blipFill>
      <xdr:spPr>
        <a:xfrm>
          <a:off x="149679" y="39223043"/>
          <a:ext cx="171338" cy="213616"/>
        </a:xfrm>
        <a:prstGeom prst="rect">
          <a:avLst/>
        </a:prstGeom>
      </xdr:spPr>
    </xdr:pic>
    <xdr:clientData/>
  </xdr:twoCellAnchor>
  <xdr:twoCellAnchor editAs="oneCell">
    <xdr:from>
      <xdr:col>0</xdr:col>
      <xdr:colOff>81643</xdr:colOff>
      <xdr:row>319</xdr:row>
      <xdr:rowOff>122464</xdr:rowOff>
    </xdr:from>
    <xdr:to>
      <xdr:col>0</xdr:col>
      <xdr:colOff>245996</xdr:colOff>
      <xdr:row>320</xdr:row>
      <xdr:rowOff>150024</xdr:rowOff>
    </xdr:to>
    <xdr:pic>
      <xdr:nvPicPr>
        <xdr:cNvPr id="9" name="Picture 8">
          <a:extLst>
            <a:ext uri="{FF2B5EF4-FFF2-40B4-BE49-F238E27FC236}">
              <a16:creationId xmlns:a16="http://schemas.microsoft.com/office/drawing/2014/main" id="{5681CCA5-8F13-4D50-82C1-EC7579FD8398}"/>
            </a:ext>
          </a:extLst>
        </xdr:cNvPr>
        <xdr:cNvPicPr>
          <a:picLocks noChangeAspect="1"/>
        </xdr:cNvPicPr>
      </xdr:nvPicPr>
      <xdr:blipFill>
        <a:blip xmlns:r="http://schemas.openxmlformats.org/officeDocument/2006/relationships" r:embed="rId3"/>
        <a:stretch>
          <a:fillRect/>
        </a:stretch>
      </xdr:blipFill>
      <xdr:spPr>
        <a:xfrm>
          <a:off x="84818" y="62181014"/>
          <a:ext cx="161178" cy="224410"/>
        </a:xfrm>
        <a:prstGeom prst="rect">
          <a:avLst/>
        </a:prstGeom>
      </xdr:spPr>
    </xdr:pic>
    <xdr:clientData/>
  </xdr:twoCellAnchor>
  <xdr:twoCellAnchor editAs="oneCell">
    <xdr:from>
      <xdr:col>20</xdr:col>
      <xdr:colOff>95250</xdr:colOff>
      <xdr:row>318</xdr:row>
      <xdr:rowOff>199213</xdr:rowOff>
    </xdr:from>
    <xdr:to>
      <xdr:col>20</xdr:col>
      <xdr:colOff>934791</xdr:colOff>
      <xdr:row>320</xdr:row>
      <xdr:rowOff>55136</xdr:rowOff>
    </xdr:to>
    <xdr:pic>
      <xdr:nvPicPr>
        <xdr:cNvPr id="10" name="Picture 9">
          <a:extLst>
            <a:ext uri="{FF2B5EF4-FFF2-40B4-BE49-F238E27FC236}">
              <a16:creationId xmlns:a16="http://schemas.microsoft.com/office/drawing/2014/main" id="{5FED9DE5-4C34-4763-AE9E-BBB3593F42A7}"/>
            </a:ext>
          </a:extLst>
        </xdr:cNvPr>
        <xdr:cNvPicPr>
          <a:picLocks noChangeAspect="1"/>
        </xdr:cNvPicPr>
      </xdr:nvPicPr>
      <xdr:blipFill>
        <a:blip xmlns:r="http://schemas.openxmlformats.org/officeDocument/2006/relationships" r:embed="rId4"/>
        <a:stretch>
          <a:fillRect/>
        </a:stretch>
      </xdr:blipFill>
      <xdr:spPr>
        <a:xfrm>
          <a:off x="21726525" y="62019638"/>
          <a:ext cx="839541" cy="290898"/>
        </a:xfrm>
        <a:prstGeom prst="rect">
          <a:avLst/>
        </a:prstGeom>
      </xdr:spPr>
    </xdr:pic>
    <xdr:clientData/>
  </xdr:twoCellAnchor>
  <xdr:twoCellAnchor editAs="oneCell">
    <xdr:from>
      <xdr:col>20</xdr:col>
      <xdr:colOff>81644</xdr:colOff>
      <xdr:row>192</xdr:row>
      <xdr:rowOff>176893</xdr:rowOff>
    </xdr:from>
    <xdr:to>
      <xdr:col>20</xdr:col>
      <xdr:colOff>894515</xdr:colOff>
      <xdr:row>194</xdr:row>
      <xdr:rowOff>56495</xdr:rowOff>
    </xdr:to>
    <xdr:pic>
      <xdr:nvPicPr>
        <xdr:cNvPr id="11" name="Picture 10">
          <a:extLst>
            <a:ext uri="{FF2B5EF4-FFF2-40B4-BE49-F238E27FC236}">
              <a16:creationId xmlns:a16="http://schemas.microsoft.com/office/drawing/2014/main" id="{74F1BCE0-C6AD-4392-B38B-38C41CA57B3B}"/>
            </a:ext>
          </a:extLst>
        </xdr:cNvPr>
        <xdr:cNvPicPr>
          <a:picLocks noChangeAspect="1"/>
        </xdr:cNvPicPr>
      </xdr:nvPicPr>
      <xdr:blipFill>
        <a:blip xmlns:r="http://schemas.openxmlformats.org/officeDocument/2006/relationships" r:embed="rId4"/>
        <a:stretch>
          <a:fillRect/>
        </a:stretch>
      </xdr:blipFill>
      <xdr:spPr>
        <a:xfrm>
          <a:off x="21716094" y="39118268"/>
          <a:ext cx="809696" cy="276477"/>
        </a:xfrm>
        <a:prstGeom prst="rect">
          <a:avLst/>
        </a:prstGeom>
      </xdr:spPr>
    </xdr:pic>
    <xdr:clientData/>
  </xdr:twoCellAnchor>
  <xdr:twoCellAnchor editAs="oneCell">
    <xdr:from>
      <xdr:col>20</xdr:col>
      <xdr:colOff>40821</xdr:colOff>
      <xdr:row>133</xdr:row>
      <xdr:rowOff>40821</xdr:rowOff>
    </xdr:from>
    <xdr:to>
      <xdr:col>20</xdr:col>
      <xdr:colOff>859407</xdr:colOff>
      <xdr:row>134</xdr:row>
      <xdr:rowOff>134689</xdr:rowOff>
    </xdr:to>
    <xdr:pic>
      <xdr:nvPicPr>
        <xdr:cNvPr id="12" name="Picture 11">
          <a:extLst>
            <a:ext uri="{FF2B5EF4-FFF2-40B4-BE49-F238E27FC236}">
              <a16:creationId xmlns:a16="http://schemas.microsoft.com/office/drawing/2014/main" id="{7508A2C7-F02A-4A56-AA5D-142CACDB3D90}"/>
            </a:ext>
          </a:extLst>
        </xdr:cNvPr>
        <xdr:cNvPicPr>
          <a:picLocks noChangeAspect="1"/>
        </xdr:cNvPicPr>
      </xdr:nvPicPr>
      <xdr:blipFill>
        <a:blip xmlns:r="http://schemas.openxmlformats.org/officeDocument/2006/relationships" r:embed="rId4"/>
        <a:stretch>
          <a:fillRect/>
        </a:stretch>
      </xdr:blipFill>
      <xdr:spPr>
        <a:xfrm>
          <a:off x="21672096" y="27139446"/>
          <a:ext cx="818586" cy="293893"/>
        </a:xfrm>
        <a:prstGeom prst="rect">
          <a:avLst/>
        </a:prstGeom>
      </xdr:spPr>
    </xdr:pic>
    <xdr:clientData/>
  </xdr:twoCellAnchor>
  <xdr:twoCellAnchor editAs="oneCell">
    <xdr:from>
      <xdr:col>20</xdr:col>
      <xdr:colOff>95251</xdr:colOff>
      <xdr:row>61</xdr:row>
      <xdr:rowOff>27214</xdr:rowOff>
    </xdr:from>
    <xdr:to>
      <xdr:col>20</xdr:col>
      <xdr:colOff>934792</xdr:colOff>
      <xdr:row>62</xdr:row>
      <xdr:rowOff>117271</xdr:rowOff>
    </xdr:to>
    <xdr:pic>
      <xdr:nvPicPr>
        <xdr:cNvPr id="13" name="Picture 12">
          <a:extLst>
            <a:ext uri="{FF2B5EF4-FFF2-40B4-BE49-F238E27FC236}">
              <a16:creationId xmlns:a16="http://schemas.microsoft.com/office/drawing/2014/main" id="{3FB18644-6779-4098-9675-C1E8EFC1667A}"/>
            </a:ext>
          </a:extLst>
        </xdr:cNvPr>
        <xdr:cNvPicPr>
          <a:picLocks noChangeAspect="1"/>
        </xdr:cNvPicPr>
      </xdr:nvPicPr>
      <xdr:blipFill>
        <a:blip xmlns:r="http://schemas.openxmlformats.org/officeDocument/2006/relationships" r:embed="rId4"/>
        <a:stretch>
          <a:fillRect/>
        </a:stretch>
      </xdr:blipFill>
      <xdr:spPr>
        <a:xfrm>
          <a:off x="21726526" y="12298589"/>
          <a:ext cx="839541" cy="286907"/>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xdr:from>
      <xdr:col>20</xdr:col>
      <xdr:colOff>1095375</xdr:colOff>
      <xdr:row>320</xdr:row>
      <xdr:rowOff>123825</xdr:rowOff>
    </xdr:from>
    <xdr:to>
      <xdr:col>20</xdr:col>
      <xdr:colOff>1895475</xdr:colOff>
      <xdr:row>321</xdr:row>
      <xdr:rowOff>152400</xdr:rowOff>
    </xdr:to>
    <xdr:pic>
      <xdr:nvPicPr>
        <xdr:cNvPr id="2" name="Picture 1" descr="C:\WINDOWS\TEMP\~0003946.gif">
          <a:extLst>
            <a:ext uri="{FF2B5EF4-FFF2-40B4-BE49-F238E27FC236}">
              <a16:creationId xmlns:a16="http://schemas.microsoft.com/office/drawing/2014/main" id="{751C5361-F9B8-4367-B34A-104BB01B771D}"/>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2609175" y="6457632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194</xdr:row>
      <xdr:rowOff>152400</xdr:rowOff>
    </xdr:from>
    <xdr:to>
      <xdr:col>20</xdr:col>
      <xdr:colOff>1924050</xdr:colOff>
      <xdr:row>195</xdr:row>
      <xdr:rowOff>180975</xdr:rowOff>
    </xdr:to>
    <xdr:pic>
      <xdr:nvPicPr>
        <xdr:cNvPr id="3" name="Picture 2" descr="C:\WINDOWS\TEMP\~0003946.gif">
          <a:extLst>
            <a:ext uri="{FF2B5EF4-FFF2-40B4-BE49-F238E27FC236}">
              <a16:creationId xmlns:a16="http://schemas.microsoft.com/office/drawing/2014/main" id="{BBD5ED73-2229-4A99-BBB8-B14C809BC6F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2612350" y="3929062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134</xdr:row>
      <xdr:rowOff>161925</xdr:rowOff>
    </xdr:from>
    <xdr:to>
      <xdr:col>20</xdr:col>
      <xdr:colOff>1952625</xdr:colOff>
      <xdr:row>135</xdr:row>
      <xdr:rowOff>190500</xdr:rowOff>
    </xdr:to>
    <xdr:pic>
      <xdr:nvPicPr>
        <xdr:cNvPr id="4" name="Picture 3" descr="C:\WINDOWS\TEMP\~0003946.gif">
          <a:extLst>
            <a:ext uri="{FF2B5EF4-FFF2-40B4-BE49-F238E27FC236}">
              <a16:creationId xmlns:a16="http://schemas.microsoft.com/office/drawing/2014/main" id="{3AD9E802-6434-44B2-887C-C2E45810927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2609175" y="2725737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61</xdr:row>
      <xdr:rowOff>161925</xdr:rowOff>
    </xdr:from>
    <xdr:to>
      <xdr:col>20</xdr:col>
      <xdr:colOff>1952625</xdr:colOff>
      <xdr:row>62</xdr:row>
      <xdr:rowOff>190500</xdr:rowOff>
    </xdr:to>
    <xdr:pic>
      <xdr:nvPicPr>
        <xdr:cNvPr id="5" name="Picture 4" descr="C:\WINDOWS\TEMP\~0003946.gif">
          <a:extLst>
            <a:ext uri="{FF2B5EF4-FFF2-40B4-BE49-F238E27FC236}">
              <a16:creationId xmlns:a16="http://schemas.microsoft.com/office/drawing/2014/main" id="{1EB1A0CC-B54B-4DA2-9E60-55045DDABBE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2609175" y="12426950"/>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122464</xdr:colOff>
      <xdr:row>61</xdr:row>
      <xdr:rowOff>122464</xdr:rowOff>
    </xdr:from>
    <xdr:to>
      <xdr:col>0</xdr:col>
      <xdr:colOff>288722</xdr:colOff>
      <xdr:row>62</xdr:row>
      <xdr:rowOff>150024</xdr:rowOff>
    </xdr:to>
    <xdr:pic>
      <xdr:nvPicPr>
        <xdr:cNvPr id="6" name="Picture 5">
          <a:extLst>
            <a:ext uri="{FF2B5EF4-FFF2-40B4-BE49-F238E27FC236}">
              <a16:creationId xmlns:a16="http://schemas.microsoft.com/office/drawing/2014/main" id="{CAF65BED-84DF-40D0-A0E9-CB3F515A4523}"/>
            </a:ext>
          </a:extLst>
        </xdr:cNvPr>
        <xdr:cNvPicPr>
          <a:picLocks noChangeAspect="1"/>
        </xdr:cNvPicPr>
      </xdr:nvPicPr>
      <xdr:blipFill>
        <a:blip xmlns:r="http://schemas.openxmlformats.org/officeDocument/2006/relationships" r:embed="rId3"/>
        <a:stretch>
          <a:fillRect/>
        </a:stretch>
      </xdr:blipFill>
      <xdr:spPr>
        <a:xfrm>
          <a:off x="125639" y="12393839"/>
          <a:ext cx="163083" cy="224410"/>
        </a:xfrm>
        <a:prstGeom prst="rect">
          <a:avLst/>
        </a:prstGeom>
      </xdr:spPr>
    </xdr:pic>
    <xdr:clientData/>
  </xdr:twoCellAnchor>
  <xdr:twoCellAnchor editAs="oneCell">
    <xdr:from>
      <xdr:col>0</xdr:col>
      <xdr:colOff>108857</xdr:colOff>
      <xdr:row>134</xdr:row>
      <xdr:rowOff>108857</xdr:rowOff>
    </xdr:from>
    <xdr:to>
      <xdr:col>0</xdr:col>
      <xdr:colOff>285910</xdr:colOff>
      <xdr:row>135</xdr:row>
      <xdr:rowOff>132608</xdr:rowOff>
    </xdr:to>
    <xdr:pic>
      <xdr:nvPicPr>
        <xdr:cNvPr id="7" name="Picture 6">
          <a:extLst>
            <a:ext uri="{FF2B5EF4-FFF2-40B4-BE49-F238E27FC236}">
              <a16:creationId xmlns:a16="http://schemas.microsoft.com/office/drawing/2014/main" id="{0F22231A-160F-46E7-B2E9-AA43AAE324CD}"/>
            </a:ext>
          </a:extLst>
        </xdr:cNvPr>
        <xdr:cNvPicPr>
          <a:picLocks noChangeAspect="1"/>
        </xdr:cNvPicPr>
      </xdr:nvPicPr>
      <xdr:blipFill>
        <a:blip xmlns:r="http://schemas.openxmlformats.org/officeDocument/2006/relationships" r:embed="rId3"/>
        <a:stretch>
          <a:fillRect/>
        </a:stretch>
      </xdr:blipFill>
      <xdr:spPr>
        <a:xfrm>
          <a:off x="105682" y="27204307"/>
          <a:ext cx="180228" cy="226951"/>
        </a:xfrm>
        <a:prstGeom prst="rect">
          <a:avLst/>
        </a:prstGeom>
      </xdr:spPr>
    </xdr:pic>
    <xdr:clientData/>
  </xdr:twoCellAnchor>
  <xdr:twoCellAnchor editAs="oneCell">
    <xdr:from>
      <xdr:col>0</xdr:col>
      <xdr:colOff>149679</xdr:colOff>
      <xdr:row>194</xdr:row>
      <xdr:rowOff>81643</xdr:rowOff>
    </xdr:from>
    <xdr:to>
      <xdr:col>0</xdr:col>
      <xdr:colOff>321017</xdr:colOff>
      <xdr:row>195</xdr:row>
      <xdr:rowOff>98409</xdr:rowOff>
    </xdr:to>
    <xdr:pic>
      <xdr:nvPicPr>
        <xdr:cNvPr id="8" name="Picture 7">
          <a:extLst>
            <a:ext uri="{FF2B5EF4-FFF2-40B4-BE49-F238E27FC236}">
              <a16:creationId xmlns:a16="http://schemas.microsoft.com/office/drawing/2014/main" id="{C2DDD7F3-EC40-4990-9382-A7C8E99F9205}"/>
            </a:ext>
          </a:extLst>
        </xdr:cNvPr>
        <xdr:cNvPicPr>
          <a:picLocks noChangeAspect="1"/>
        </xdr:cNvPicPr>
      </xdr:nvPicPr>
      <xdr:blipFill>
        <a:blip xmlns:r="http://schemas.openxmlformats.org/officeDocument/2006/relationships" r:embed="rId3"/>
        <a:stretch>
          <a:fillRect/>
        </a:stretch>
      </xdr:blipFill>
      <xdr:spPr>
        <a:xfrm>
          <a:off x="149679" y="39223043"/>
          <a:ext cx="171338" cy="213616"/>
        </a:xfrm>
        <a:prstGeom prst="rect">
          <a:avLst/>
        </a:prstGeom>
      </xdr:spPr>
    </xdr:pic>
    <xdr:clientData/>
  </xdr:twoCellAnchor>
  <xdr:twoCellAnchor editAs="oneCell">
    <xdr:from>
      <xdr:col>0</xdr:col>
      <xdr:colOff>81643</xdr:colOff>
      <xdr:row>320</xdr:row>
      <xdr:rowOff>122464</xdr:rowOff>
    </xdr:from>
    <xdr:to>
      <xdr:col>0</xdr:col>
      <xdr:colOff>245996</xdr:colOff>
      <xdr:row>321</xdr:row>
      <xdr:rowOff>150024</xdr:rowOff>
    </xdr:to>
    <xdr:pic>
      <xdr:nvPicPr>
        <xdr:cNvPr id="9" name="Picture 8">
          <a:extLst>
            <a:ext uri="{FF2B5EF4-FFF2-40B4-BE49-F238E27FC236}">
              <a16:creationId xmlns:a16="http://schemas.microsoft.com/office/drawing/2014/main" id="{0B45D09A-24C7-45AF-946C-B6F6E902CA54}"/>
            </a:ext>
          </a:extLst>
        </xdr:cNvPr>
        <xdr:cNvPicPr>
          <a:picLocks noChangeAspect="1"/>
        </xdr:cNvPicPr>
      </xdr:nvPicPr>
      <xdr:blipFill>
        <a:blip xmlns:r="http://schemas.openxmlformats.org/officeDocument/2006/relationships" r:embed="rId3"/>
        <a:stretch>
          <a:fillRect/>
        </a:stretch>
      </xdr:blipFill>
      <xdr:spPr>
        <a:xfrm>
          <a:off x="84818" y="64581314"/>
          <a:ext cx="161178" cy="224410"/>
        </a:xfrm>
        <a:prstGeom prst="rect">
          <a:avLst/>
        </a:prstGeom>
      </xdr:spPr>
    </xdr:pic>
    <xdr:clientData/>
  </xdr:twoCellAnchor>
  <xdr:twoCellAnchor editAs="oneCell">
    <xdr:from>
      <xdr:col>20</xdr:col>
      <xdr:colOff>95250</xdr:colOff>
      <xdr:row>319</xdr:row>
      <xdr:rowOff>199213</xdr:rowOff>
    </xdr:from>
    <xdr:to>
      <xdr:col>20</xdr:col>
      <xdr:colOff>934791</xdr:colOff>
      <xdr:row>321</xdr:row>
      <xdr:rowOff>55136</xdr:rowOff>
    </xdr:to>
    <xdr:pic>
      <xdr:nvPicPr>
        <xdr:cNvPr id="10" name="Picture 9">
          <a:extLst>
            <a:ext uri="{FF2B5EF4-FFF2-40B4-BE49-F238E27FC236}">
              <a16:creationId xmlns:a16="http://schemas.microsoft.com/office/drawing/2014/main" id="{9E364237-845B-4703-87B3-E76E3626C89F}"/>
            </a:ext>
          </a:extLst>
        </xdr:cNvPr>
        <xdr:cNvPicPr>
          <a:picLocks noChangeAspect="1"/>
        </xdr:cNvPicPr>
      </xdr:nvPicPr>
      <xdr:blipFill>
        <a:blip xmlns:r="http://schemas.openxmlformats.org/officeDocument/2006/relationships" r:embed="rId4"/>
        <a:stretch>
          <a:fillRect/>
        </a:stretch>
      </xdr:blipFill>
      <xdr:spPr>
        <a:xfrm>
          <a:off x="21726525" y="64419938"/>
          <a:ext cx="839541" cy="290898"/>
        </a:xfrm>
        <a:prstGeom prst="rect">
          <a:avLst/>
        </a:prstGeom>
      </xdr:spPr>
    </xdr:pic>
    <xdr:clientData/>
  </xdr:twoCellAnchor>
  <xdr:twoCellAnchor editAs="oneCell">
    <xdr:from>
      <xdr:col>20</xdr:col>
      <xdr:colOff>81644</xdr:colOff>
      <xdr:row>193</xdr:row>
      <xdr:rowOff>176893</xdr:rowOff>
    </xdr:from>
    <xdr:to>
      <xdr:col>20</xdr:col>
      <xdr:colOff>894515</xdr:colOff>
      <xdr:row>195</xdr:row>
      <xdr:rowOff>56495</xdr:rowOff>
    </xdr:to>
    <xdr:pic>
      <xdr:nvPicPr>
        <xdr:cNvPr id="11" name="Picture 10">
          <a:extLst>
            <a:ext uri="{FF2B5EF4-FFF2-40B4-BE49-F238E27FC236}">
              <a16:creationId xmlns:a16="http://schemas.microsoft.com/office/drawing/2014/main" id="{01DB08BD-7989-4E78-82E2-20FA6D737856}"/>
            </a:ext>
          </a:extLst>
        </xdr:cNvPr>
        <xdr:cNvPicPr>
          <a:picLocks noChangeAspect="1"/>
        </xdr:cNvPicPr>
      </xdr:nvPicPr>
      <xdr:blipFill>
        <a:blip xmlns:r="http://schemas.openxmlformats.org/officeDocument/2006/relationships" r:embed="rId4"/>
        <a:stretch>
          <a:fillRect/>
        </a:stretch>
      </xdr:blipFill>
      <xdr:spPr>
        <a:xfrm>
          <a:off x="21716094" y="39118268"/>
          <a:ext cx="809696" cy="276477"/>
        </a:xfrm>
        <a:prstGeom prst="rect">
          <a:avLst/>
        </a:prstGeom>
      </xdr:spPr>
    </xdr:pic>
    <xdr:clientData/>
  </xdr:twoCellAnchor>
  <xdr:twoCellAnchor editAs="oneCell">
    <xdr:from>
      <xdr:col>20</xdr:col>
      <xdr:colOff>40821</xdr:colOff>
      <xdr:row>134</xdr:row>
      <xdr:rowOff>40821</xdr:rowOff>
    </xdr:from>
    <xdr:to>
      <xdr:col>20</xdr:col>
      <xdr:colOff>859407</xdr:colOff>
      <xdr:row>135</xdr:row>
      <xdr:rowOff>134689</xdr:rowOff>
    </xdr:to>
    <xdr:pic>
      <xdr:nvPicPr>
        <xdr:cNvPr id="12" name="Picture 11">
          <a:extLst>
            <a:ext uri="{FF2B5EF4-FFF2-40B4-BE49-F238E27FC236}">
              <a16:creationId xmlns:a16="http://schemas.microsoft.com/office/drawing/2014/main" id="{46CE6CFE-5FFB-4947-AC8E-87FB93ADEB89}"/>
            </a:ext>
          </a:extLst>
        </xdr:cNvPr>
        <xdr:cNvPicPr>
          <a:picLocks noChangeAspect="1"/>
        </xdr:cNvPicPr>
      </xdr:nvPicPr>
      <xdr:blipFill>
        <a:blip xmlns:r="http://schemas.openxmlformats.org/officeDocument/2006/relationships" r:embed="rId4"/>
        <a:stretch>
          <a:fillRect/>
        </a:stretch>
      </xdr:blipFill>
      <xdr:spPr>
        <a:xfrm>
          <a:off x="21672096" y="27139446"/>
          <a:ext cx="818586" cy="293893"/>
        </a:xfrm>
        <a:prstGeom prst="rect">
          <a:avLst/>
        </a:prstGeom>
      </xdr:spPr>
    </xdr:pic>
    <xdr:clientData/>
  </xdr:twoCellAnchor>
  <xdr:twoCellAnchor editAs="oneCell">
    <xdr:from>
      <xdr:col>20</xdr:col>
      <xdr:colOff>95251</xdr:colOff>
      <xdr:row>61</xdr:row>
      <xdr:rowOff>27214</xdr:rowOff>
    </xdr:from>
    <xdr:to>
      <xdr:col>20</xdr:col>
      <xdr:colOff>934792</xdr:colOff>
      <xdr:row>62</xdr:row>
      <xdr:rowOff>117271</xdr:rowOff>
    </xdr:to>
    <xdr:pic>
      <xdr:nvPicPr>
        <xdr:cNvPr id="13" name="Picture 12">
          <a:extLst>
            <a:ext uri="{FF2B5EF4-FFF2-40B4-BE49-F238E27FC236}">
              <a16:creationId xmlns:a16="http://schemas.microsoft.com/office/drawing/2014/main" id="{F3997F89-B767-45FF-A8DC-68B5ABE2345E}"/>
            </a:ext>
          </a:extLst>
        </xdr:cNvPr>
        <xdr:cNvPicPr>
          <a:picLocks noChangeAspect="1"/>
        </xdr:cNvPicPr>
      </xdr:nvPicPr>
      <xdr:blipFill>
        <a:blip xmlns:r="http://schemas.openxmlformats.org/officeDocument/2006/relationships" r:embed="rId4"/>
        <a:stretch>
          <a:fillRect/>
        </a:stretch>
      </xdr:blipFill>
      <xdr:spPr>
        <a:xfrm>
          <a:off x="21726526" y="12298589"/>
          <a:ext cx="839541" cy="2869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64817" name="Picture 1" descr="C:\WINDOWS\TEMP\Symbol.gif">
          <a:extLst>
            <a:ext uri="{FF2B5EF4-FFF2-40B4-BE49-F238E27FC236}">
              <a16:creationId xmlns:a16="http://schemas.microsoft.com/office/drawing/2014/main" id="{00000000-0008-0000-0500-000031FD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130</xdr:row>
      <xdr:rowOff>161925</xdr:rowOff>
    </xdr:from>
    <xdr:to>
      <xdr:col>1</xdr:col>
      <xdr:colOff>28575</xdr:colOff>
      <xdr:row>131</xdr:row>
      <xdr:rowOff>200025</xdr:rowOff>
    </xdr:to>
    <xdr:pic>
      <xdr:nvPicPr>
        <xdr:cNvPr id="64818" name="Picture 2" descr="C:\WINDOWS\TEMP\Symbol.gif">
          <a:extLst>
            <a:ext uri="{FF2B5EF4-FFF2-40B4-BE49-F238E27FC236}">
              <a16:creationId xmlns:a16="http://schemas.microsoft.com/office/drawing/2014/main" id="{00000000-0008-0000-0500-000032FD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67176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189</xdr:row>
      <xdr:rowOff>171450</xdr:rowOff>
    </xdr:from>
    <xdr:to>
      <xdr:col>1</xdr:col>
      <xdr:colOff>47625</xdr:colOff>
      <xdr:row>190</xdr:row>
      <xdr:rowOff>209550</xdr:rowOff>
    </xdr:to>
    <xdr:pic>
      <xdr:nvPicPr>
        <xdr:cNvPr id="64819" name="Picture 3" descr="C:\WINDOWS\TEMP\Symbol.gif">
          <a:extLst>
            <a:ext uri="{FF2B5EF4-FFF2-40B4-BE49-F238E27FC236}">
              <a16:creationId xmlns:a16="http://schemas.microsoft.com/office/drawing/2014/main" id="{00000000-0008-0000-0500-000033FD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8604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272</xdr:row>
      <xdr:rowOff>161925</xdr:rowOff>
    </xdr:from>
    <xdr:to>
      <xdr:col>1</xdr:col>
      <xdr:colOff>19050</xdr:colOff>
      <xdr:row>273</xdr:row>
      <xdr:rowOff>200025</xdr:rowOff>
    </xdr:to>
    <xdr:pic>
      <xdr:nvPicPr>
        <xdr:cNvPr id="64820" name="Picture 4" descr="C:\WINDOWS\TEMP\Symbol.gif">
          <a:extLst>
            <a:ext uri="{FF2B5EF4-FFF2-40B4-BE49-F238E27FC236}">
              <a16:creationId xmlns:a16="http://schemas.microsoft.com/office/drawing/2014/main" id="{00000000-0008-0000-0500-000034FD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52831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272</xdr:row>
      <xdr:rowOff>123825</xdr:rowOff>
    </xdr:from>
    <xdr:to>
      <xdr:col>20</xdr:col>
      <xdr:colOff>1895475</xdr:colOff>
      <xdr:row>273</xdr:row>
      <xdr:rowOff>152400</xdr:rowOff>
    </xdr:to>
    <xdr:pic>
      <xdr:nvPicPr>
        <xdr:cNvPr id="64821" name="Picture 5" descr="C:\WINDOWS\TEMP\~0003946.gif">
          <a:extLst>
            <a:ext uri="{FF2B5EF4-FFF2-40B4-BE49-F238E27FC236}">
              <a16:creationId xmlns:a16="http://schemas.microsoft.com/office/drawing/2014/main" id="{00000000-0008-0000-0500-000035FD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552450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189</xdr:row>
      <xdr:rowOff>152400</xdr:rowOff>
    </xdr:from>
    <xdr:to>
      <xdr:col>20</xdr:col>
      <xdr:colOff>1924050</xdr:colOff>
      <xdr:row>190</xdr:row>
      <xdr:rowOff>180975</xdr:rowOff>
    </xdr:to>
    <xdr:pic>
      <xdr:nvPicPr>
        <xdr:cNvPr id="64822" name="Picture 6" descr="C:\WINDOWS\TEMP\~0003946.gif">
          <a:extLst>
            <a:ext uri="{FF2B5EF4-FFF2-40B4-BE49-F238E27FC236}">
              <a16:creationId xmlns:a16="http://schemas.microsoft.com/office/drawing/2014/main" id="{00000000-0008-0000-0500-000036FD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385857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130</xdr:row>
      <xdr:rowOff>161925</xdr:rowOff>
    </xdr:from>
    <xdr:to>
      <xdr:col>20</xdr:col>
      <xdr:colOff>1952625</xdr:colOff>
      <xdr:row>131</xdr:row>
      <xdr:rowOff>190500</xdr:rowOff>
    </xdr:to>
    <xdr:pic>
      <xdr:nvPicPr>
        <xdr:cNvPr id="64823" name="Picture 7" descr="C:\WINDOWS\TEMP\~0003946.gif">
          <a:extLst>
            <a:ext uri="{FF2B5EF4-FFF2-40B4-BE49-F238E27FC236}">
              <a16:creationId xmlns:a16="http://schemas.microsoft.com/office/drawing/2014/main" id="{00000000-0008-0000-0500-000037FD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26717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64824" name="Picture 8" descr="C:\WINDOWS\TEMP\~0003946.gif">
          <a:extLst>
            <a:ext uri="{FF2B5EF4-FFF2-40B4-BE49-F238E27FC236}">
              <a16:creationId xmlns:a16="http://schemas.microsoft.com/office/drawing/2014/main" id="{00000000-0008-0000-0500-000038FD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62</xdr:row>
      <xdr:rowOff>123825</xdr:rowOff>
    </xdr:from>
    <xdr:to>
      <xdr:col>20</xdr:col>
      <xdr:colOff>885825</xdr:colOff>
      <xdr:row>63</xdr:row>
      <xdr:rowOff>152400</xdr:rowOff>
    </xdr:to>
    <xdr:pic>
      <xdr:nvPicPr>
        <xdr:cNvPr id="64825" name="Picture 9" descr="C:\WINDOWS\TEMP\~0003946.gif">
          <a:extLst>
            <a:ext uri="{FF2B5EF4-FFF2-40B4-BE49-F238E27FC236}">
              <a16:creationId xmlns:a16="http://schemas.microsoft.com/office/drawing/2014/main" id="{00000000-0008-0000-0500-000039FD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130</xdr:row>
      <xdr:rowOff>123825</xdr:rowOff>
    </xdr:from>
    <xdr:to>
      <xdr:col>20</xdr:col>
      <xdr:colOff>895350</xdr:colOff>
      <xdr:row>131</xdr:row>
      <xdr:rowOff>152400</xdr:rowOff>
    </xdr:to>
    <xdr:pic>
      <xdr:nvPicPr>
        <xdr:cNvPr id="64826" name="Picture 10" descr="C:\WINDOWS\TEMP\~0003946.gif">
          <a:extLst>
            <a:ext uri="{FF2B5EF4-FFF2-40B4-BE49-F238E27FC236}">
              <a16:creationId xmlns:a16="http://schemas.microsoft.com/office/drawing/2014/main" id="{00000000-0008-0000-0500-00003AFD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26679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189</xdr:row>
      <xdr:rowOff>104775</xdr:rowOff>
    </xdr:from>
    <xdr:to>
      <xdr:col>20</xdr:col>
      <xdr:colOff>809625</xdr:colOff>
      <xdr:row>190</xdr:row>
      <xdr:rowOff>133350</xdr:rowOff>
    </xdr:to>
    <xdr:pic>
      <xdr:nvPicPr>
        <xdr:cNvPr id="64827" name="Picture 11" descr="C:\WINDOWS\TEMP\~0003946.gif">
          <a:extLst>
            <a:ext uri="{FF2B5EF4-FFF2-40B4-BE49-F238E27FC236}">
              <a16:creationId xmlns:a16="http://schemas.microsoft.com/office/drawing/2014/main" id="{00000000-0008-0000-0500-00003BFD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583775" y="38538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272</xdr:row>
      <xdr:rowOff>104775</xdr:rowOff>
    </xdr:from>
    <xdr:to>
      <xdr:col>20</xdr:col>
      <xdr:colOff>895350</xdr:colOff>
      <xdr:row>273</xdr:row>
      <xdr:rowOff>133350</xdr:rowOff>
    </xdr:to>
    <xdr:pic>
      <xdr:nvPicPr>
        <xdr:cNvPr id="64828" name="Picture 12" descr="C:\WINDOWS\TEMP\~0003946.gif">
          <a:extLst>
            <a:ext uri="{FF2B5EF4-FFF2-40B4-BE49-F238E27FC236}">
              <a16:creationId xmlns:a16="http://schemas.microsoft.com/office/drawing/2014/main" id="{00000000-0008-0000-0500-00003CFD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552259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64829" name="Picture 13" descr="logoMTL">
          <a:extLst>
            <a:ext uri="{FF2B5EF4-FFF2-40B4-BE49-F238E27FC236}">
              <a16:creationId xmlns:a16="http://schemas.microsoft.com/office/drawing/2014/main" id="{00000000-0008-0000-0500-00003DF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130</xdr:row>
      <xdr:rowOff>38100</xdr:rowOff>
    </xdr:from>
    <xdr:to>
      <xdr:col>19</xdr:col>
      <xdr:colOff>1171575</xdr:colOff>
      <xdr:row>131</xdr:row>
      <xdr:rowOff>161925</xdr:rowOff>
    </xdr:to>
    <xdr:pic>
      <xdr:nvPicPr>
        <xdr:cNvPr id="64830" name="Picture 14" descr="logoMTL">
          <a:extLst>
            <a:ext uri="{FF2B5EF4-FFF2-40B4-BE49-F238E27FC236}">
              <a16:creationId xmlns:a16="http://schemas.microsoft.com/office/drawing/2014/main" id="{00000000-0008-0000-0500-00003EFD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26593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189</xdr:row>
      <xdr:rowOff>28575</xdr:rowOff>
    </xdr:from>
    <xdr:to>
      <xdr:col>19</xdr:col>
      <xdr:colOff>1171575</xdr:colOff>
      <xdr:row>190</xdr:row>
      <xdr:rowOff>152400</xdr:rowOff>
    </xdr:to>
    <xdr:pic>
      <xdr:nvPicPr>
        <xdr:cNvPr id="64831" name="Picture 15" descr="logoMTL">
          <a:extLst>
            <a:ext uri="{FF2B5EF4-FFF2-40B4-BE49-F238E27FC236}">
              <a16:creationId xmlns:a16="http://schemas.microsoft.com/office/drawing/2014/main" id="{00000000-0008-0000-0500-00003FFD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384619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272</xdr:row>
      <xdr:rowOff>0</xdr:rowOff>
    </xdr:from>
    <xdr:to>
      <xdr:col>19</xdr:col>
      <xdr:colOff>1228725</xdr:colOff>
      <xdr:row>273</xdr:row>
      <xdr:rowOff>123825</xdr:rowOff>
    </xdr:to>
    <xdr:pic>
      <xdr:nvPicPr>
        <xdr:cNvPr id="64832" name="Picture 16" descr="logoMTL">
          <a:extLst>
            <a:ext uri="{FF2B5EF4-FFF2-40B4-BE49-F238E27FC236}">
              <a16:creationId xmlns:a16="http://schemas.microsoft.com/office/drawing/2014/main" id="{00000000-0008-0000-0500-000040FD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36050" y="551211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65841" name="Picture 1" descr="C:\WINDOWS\TEMP\Symbol.gif">
          <a:extLst>
            <a:ext uri="{FF2B5EF4-FFF2-40B4-BE49-F238E27FC236}">
              <a16:creationId xmlns:a16="http://schemas.microsoft.com/office/drawing/2014/main" id="{00000000-0008-0000-0600-00003101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131</xdr:row>
      <xdr:rowOff>161925</xdr:rowOff>
    </xdr:from>
    <xdr:to>
      <xdr:col>1</xdr:col>
      <xdr:colOff>28575</xdr:colOff>
      <xdr:row>132</xdr:row>
      <xdr:rowOff>200025</xdr:rowOff>
    </xdr:to>
    <xdr:pic>
      <xdr:nvPicPr>
        <xdr:cNvPr id="65842" name="Picture 2" descr="C:\WINDOWS\TEMP\Symbol.gif">
          <a:extLst>
            <a:ext uri="{FF2B5EF4-FFF2-40B4-BE49-F238E27FC236}">
              <a16:creationId xmlns:a16="http://schemas.microsoft.com/office/drawing/2014/main" id="{00000000-0008-0000-0600-00003201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69176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190</xdr:row>
      <xdr:rowOff>171450</xdr:rowOff>
    </xdr:from>
    <xdr:to>
      <xdr:col>1</xdr:col>
      <xdr:colOff>47625</xdr:colOff>
      <xdr:row>191</xdr:row>
      <xdr:rowOff>209550</xdr:rowOff>
    </xdr:to>
    <xdr:pic>
      <xdr:nvPicPr>
        <xdr:cNvPr id="65843" name="Picture 3" descr="C:\WINDOWS\TEMP\Symbol.gif">
          <a:extLst>
            <a:ext uri="{FF2B5EF4-FFF2-40B4-BE49-F238E27FC236}">
              <a16:creationId xmlns:a16="http://schemas.microsoft.com/office/drawing/2014/main" id="{00000000-0008-0000-0600-00003301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88048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273</xdr:row>
      <xdr:rowOff>161925</xdr:rowOff>
    </xdr:from>
    <xdr:to>
      <xdr:col>1</xdr:col>
      <xdr:colOff>19050</xdr:colOff>
      <xdr:row>274</xdr:row>
      <xdr:rowOff>200025</xdr:rowOff>
    </xdr:to>
    <xdr:pic>
      <xdr:nvPicPr>
        <xdr:cNvPr id="65844" name="Picture 4" descr="C:\WINDOWS\TEMP\Symbol.gif">
          <a:extLst>
            <a:ext uri="{FF2B5EF4-FFF2-40B4-BE49-F238E27FC236}">
              <a16:creationId xmlns:a16="http://schemas.microsoft.com/office/drawing/2014/main" id="{00000000-0008-0000-0600-00003401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54831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273</xdr:row>
      <xdr:rowOff>123825</xdr:rowOff>
    </xdr:from>
    <xdr:to>
      <xdr:col>20</xdr:col>
      <xdr:colOff>1895475</xdr:colOff>
      <xdr:row>274</xdr:row>
      <xdr:rowOff>152400</xdr:rowOff>
    </xdr:to>
    <xdr:pic>
      <xdr:nvPicPr>
        <xdr:cNvPr id="65845" name="Picture 5" descr="C:\WINDOWS\TEMP\~0003946.gif">
          <a:extLst>
            <a:ext uri="{FF2B5EF4-FFF2-40B4-BE49-F238E27FC236}">
              <a16:creationId xmlns:a16="http://schemas.microsoft.com/office/drawing/2014/main" id="{00000000-0008-0000-0600-00003501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554450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190</xdr:row>
      <xdr:rowOff>152400</xdr:rowOff>
    </xdr:from>
    <xdr:to>
      <xdr:col>20</xdr:col>
      <xdr:colOff>1924050</xdr:colOff>
      <xdr:row>191</xdr:row>
      <xdr:rowOff>180975</xdr:rowOff>
    </xdr:to>
    <xdr:pic>
      <xdr:nvPicPr>
        <xdr:cNvPr id="65846" name="Picture 6" descr="C:\WINDOWS\TEMP\~0003946.gif">
          <a:extLst>
            <a:ext uri="{FF2B5EF4-FFF2-40B4-BE49-F238E27FC236}">
              <a16:creationId xmlns:a16="http://schemas.microsoft.com/office/drawing/2014/main" id="{00000000-0008-0000-0600-00003601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38785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131</xdr:row>
      <xdr:rowOff>161925</xdr:rowOff>
    </xdr:from>
    <xdr:to>
      <xdr:col>20</xdr:col>
      <xdr:colOff>1952625</xdr:colOff>
      <xdr:row>132</xdr:row>
      <xdr:rowOff>190500</xdr:rowOff>
    </xdr:to>
    <xdr:pic>
      <xdr:nvPicPr>
        <xdr:cNvPr id="65847" name="Picture 7" descr="C:\WINDOWS\TEMP\~0003946.gif">
          <a:extLst>
            <a:ext uri="{FF2B5EF4-FFF2-40B4-BE49-F238E27FC236}">
              <a16:creationId xmlns:a16="http://schemas.microsoft.com/office/drawing/2014/main" id="{00000000-0008-0000-0600-00003701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26917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65848" name="Picture 8" descr="C:\WINDOWS\TEMP\~0003946.gif">
          <a:extLst>
            <a:ext uri="{FF2B5EF4-FFF2-40B4-BE49-F238E27FC236}">
              <a16:creationId xmlns:a16="http://schemas.microsoft.com/office/drawing/2014/main" id="{00000000-0008-0000-0600-00003801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62</xdr:row>
      <xdr:rowOff>123825</xdr:rowOff>
    </xdr:from>
    <xdr:to>
      <xdr:col>20</xdr:col>
      <xdr:colOff>885825</xdr:colOff>
      <xdr:row>63</xdr:row>
      <xdr:rowOff>152400</xdr:rowOff>
    </xdr:to>
    <xdr:pic>
      <xdr:nvPicPr>
        <xdr:cNvPr id="65849" name="Picture 9" descr="C:\WINDOWS\TEMP\~0003946.gif">
          <a:extLst>
            <a:ext uri="{FF2B5EF4-FFF2-40B4-BE49-F238E27FC236}">
              <a16:creationId xmlns:a16="http://schemas.microsoft.com/office/drawing/2014/main" id="{00000000-0008-0000-0600-00003901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131</xdr:row>
      <xdr:rowOff>123825</xdr:rowOff>
    </xdr:from>
    <xdr:to>
      <xdr:col>20</xdr:col>
      <xdr:colOff>895350</xdr:colOff>
      <xdr:row>132</xdr:row>
      <xdr:rowOff>152400</xdr:rowOff>
    </xdr:to>
    <xdr:pic>
      <xdr:nvPicPr>
        <xdr:cNvPr id="65850" name="Picture 10" descr="C:\WINDOWS\TEMP\~0003946.gif">
          <a:extLst>
            <a:ext uri="{FF2B5EF4-FFF2-40B4-BE49-F238E27FC236}">
              <a16:creationId xmlns:a16="http://schemas.microsoft.com/office/drawing/2014/main" id="{00000000-0008-0000-0600-00003A01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268795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190</xdr:row>
      <xdr:rowOff>104775</xdr:rowOff>
    </xdr:from>
    <xdr:to>
      <xdr:col>20</xdr:col>
      <xdr:colOff>809625</xdr:colOff>
      <xdr:row>191</xdr:row>
      <xdr:rowOff>133350</xdr:rowOff>
    </xdr:to>
    <xdr:pic>
      <xdr:nvPicPr>
        <xdr:cNvPr id="65851" name="Picture 11" descr="C:\WINDOWS\TEMP\~0003946.gif">
          <a:extLst>
            <a:ext uri="{FF2B5EF4-FFF2-40B4-BE49-F238E27FC236}">
              <a16:creationId xmlns:a16="http://schemas.microsoft.com/office/drawing/2014/main" id="{00000000-0008-0000-0600-00003B01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583775" y="38738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273</xdr:row>
      <xdr:rowOff>104775</xdr:rowOff>
    </xdr:from>
    <xdr:to>
      <xdr:col>20</xdr:col>
      <xdr:colOff>895350</xdr:colOff>
      <xdr:row>274</xdr:row>
      <xdr:rowOff>133350</xdr:rowOff>
    </xdr:to>
    <xdr:pic>
      <xdr:nvPicPr>
        <xdr:cNvPr id="65852" name="Picture 12" descr="C:\WINDOWS\TEMP\~0003946.gif">
          <a:extLst>
            <a:ext uri="{FF2B5EF4-FFF2-40B4-BE49-F238E27FC236}">
              <a16:creationId xmlns:a16="http://schemas.microsoft.com/office/drawing/2014/main" id="{00000000-0008-0000-0600-00003C01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554259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65853" name="Picture 13" descr="logoMTL">
          <a:extLst>
            <a:ext uri="{FF2B5EF4-FFF2-40B4-BE49-F238E27FC236}">
              <a16:creationId xmlns:a16="http://schemas.microsoft.com/office/drawing/2014/main" id="{00000000-0008-0000-0600-00003D01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131</xdr:row>
      <xdr:rowOff>38100</xdr:rowOff>
    </xdr:from>
    <xdr:to>
      <xdr:col>19</xdr:col>
      <xdr:colOff>1171575</xdr:colOff>
      <xdr:row>132</xdr:row>
      <xdr:rowOff>161925</xdr:rowOff>
    </xdr:to>
    <xdr:pic>
      <xdr:nvPicPr>
        <xdr:cNvPr id="65854" name="Picture 14" descr="logoMTL">
          <a:extLst>
            <a:ext uri="{FF2B5EF4-FFF2-40B4-BE49-F238E27FC236}">
              <a16:creationId xmlns:a16="http://schemas.microsoft.com/office/drawing/2014/main" id="{00000000-0008-0000-0600-00003E01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26793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190</xdr:row>
      <xdr:rowOff>28575</xdr:rowOff>
    </xdr:from>
    <xdr:to>
      <xdr:col>19</xdr:col>
      <xdr:colOff>1171575</xdr:colOff>
      <xdr:row>191</xdr:row>
      <xdr:rowOff>152400</xdr:rowOff>
    </xdr:to>
    <xdr:pic>
      <xdr:nvPicPr>
        <xdr:cNvPr id="65855" name="Picture 15" descr="logoMTL">
          <a:extLst>
            <a:ext uri="{FF2B5EF4-FFF2-40B4-BE49-F238E27FC236}">
              <a16:creationId xmlns:a16="http://schemas.microsoft.com/office/drawing/2014/main" id="{00000000-0008-0000-0600-00003F01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386619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273</xdr:row>
      <xdr:rowOff>0</xdr:rowOff>
    </xdr:from>
    <xdr:to>
      <xdr:col>19</xdr:col>
      <xdr:colOff>1228725</xdr:colOff>
      <xdr:row>274</xdr:row>
      <xdr:rowOff>123825</xdr:rowOff>
    </xdr:to>
    <xdr:pic>
      <xdr:nvPicPr>
        <xdr:cNvPr id="65856" name="Picture 16" descr="logoMTL">
          <a:extLst>
            <a:ext uri="{FF2B5EF4-FFF2-40B4-BE49-F238E27FC236}">
              <a16:creationId xmlns:a16="http://schemas.microsoft.com/office/drawing/2014/main" id="{00000000-0008-0000-0600-00004001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36050" y="553212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66865" name="Picture 1" descr="C:\WINDOWS\TEMP\Symbol.gif">
          <a:extLst>
            <a:ext uri="{FF2B5EF4-FFF2-40B4-BE49-F238E27FC236}">
              <a16:creationId xmlns:a16="http://schemas.microsoft.com/office/drawing/2014/main" id="{00000000-0008-0000-0700-00003105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131</xdr:row>
      <xdr:rowOff>161925</xdr:rowOff>
    </xdr:from>
    <xdr:to>
      <xdr:col>1</xdr:col>
      <xdr:colOff>28575</xdr:colOff>
      <xdr:row>132</xdr:row>
      <xdr:rowOff>200025</xdr:rowOff>
    </xdr:to>
    <xdr:pic>
      <xdr:nvPicPr>
        <xdr:cNvPr id="66866" name="Picture 2" descr="C:\WINDOWS\TEMP\Symbol.gif">
          <a:extLst>
            <a:ext uri="{FF2B5EF4-FFF2-40B4-BE49-F238E27FC236}">
              <a16:creationId xmlns:a16="http://schemas.microsoft.com/office/drawing/2014/main" id="{00000000-0008-0000-0700-00003205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69176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190</xdr:row>
      <xdr:rowOff>171450</xdr:rowOff>
    </xdr:from>
    <xdr:to>
      <xdr:col>1</xdr:col>
      <xdr:colOff>47625</xdr:colOff>
      <xdr:row>191</xdr:row>
      <xdr:rowOff>209550</xdr:rowOff>
    </xdr:to>
    <xdr:pic>
      <xdr:nvPicPr>
        <xdr:cNvPr id="66867" name="Picture 3" descr="C:\WINDOWS\TEMP\Symbol.gif">
          <a:extLst>
            <a:ext uri="{FF2B5EF4-FFF2-40B4-BE49-F238E27FC236}">
              <a16:creationId xmlns:a16="http://schemas.microsoft.com/office/drawing/2014/main" id="{00000000-0008-0000-0700-00003305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88048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273</xdr:row>
      <xdr:rowOff>161925</xdr:rowOff>
    </xdr:from>
    <xdr:to>
      <xdr:col>1</xdr:col>
      <xdr:colOff>19050</xdr:colOff>
      <xdr:row>274</xdr:row>
      <xdr:rowOff>200025</xdr:rowOff>
    </xdr:to>
    <xdr:pic>
      <xdr:nvPicPr>
        <xdr:cNvPr id="66868" name="Picture 4" descr="C:\WINDOWS\TEMP\Symbol.gif">
          <a:extLst>
            <a:ext uri="{FF2B5EF4-FFF2-40B4-BE49-F238E27FC236}">
              <a16:creationId xmlns:a16="http://schemas.microsoft.com/office/drawing/2014/main" id="{00000000-0008-0000-0700-00003405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54831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273</xdr:row>
      <xdr:rowOff>123825</xdr:rowOff>
    </xdr:from>
    <xdr:to>
      <xdr:col>20</xdr:col>
      <xdr:colOff>1895475</xdr:colOff>
      <xdr:row>274</xdr:row>
      <xdr:rowOff>152400</xdr:rowOff>
    </xdr:to>
    <xdr:pic>
      <xdr:nvPicPr>
        <xdr:cNvPr id="66869" name="Picture 5" descr="C:\WINDOWS\TEMP\~0003946.gif">
          <a:extLst>
            <a:ext uri="{FF2B5EF4-FFF2-40B4-BE49-F238E27FC236}">
              <a16:creationId xmlns:a16="http://schemas.microsoft.com/office/drawing/2014/main" id="{00000000-0008-0000-0700-00003505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554450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190</xdr:row>
      <xdr:rowOff>152400</xdr:rowOff>
    </xdr:from>
    <xdr:to>
      <xdr:col>20</xdr:col>
      <xdr:colOff>1924050</xdr:colOff>
      <xdr:row>191</xdr:row>
      <xdr:rowOff>180975</xdr:rowOff>
    </xdr:to>
    <xdr:pic>
      <xdr:nvPicPr>
        <xdr:cNvPr id="66870" name="Picture 6" descr="C:\WINDOWS\TEMP\~0003946.gif">
          <a:extLst>
            <a:ext uri="{FF2B5EF4-FFF2-40B4-BE49-F238E27FC236}">
              <a16:creationId xmlns:a16="http://schemas.microsoft.com/office/drawing/2014/main" id="{00000000-0008-0000-0700-00003605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38785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131</xdr:row>
      <xdr:rowOff>161925</xdr:rowOff>
    </xdr:from>
    <xdr:to>
      <xdr:col>20</xdr:col>
      <xdr:colOff>1952625</xdr:colOff>
      <xdr:row>132</xdr:row>
      <xdr:rowOff>190500</xdr:rowOff>
    </xdr:to>
    <xdr:pic>
      <xdr:nvPicPr>
        <xdr:cNvPr id="66871" name="Picture 7" descr="C:\WINDOWS\TEMP\~0003946.gif">
          <a:extLst>
            <a:ext uri="{FF2B5EF4-FFF2-40B4-BE49-F238E27FC236}">
              <a16:creationId xmlns:a16="http://schemas.microsoft.com/office/drawing/2014/main" id="{00000000-0008-0000-0700-00003705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26917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66872" name="Picture 8" descr="C:\WINDOWS\TEMP\~0003946.gif">
          <a:extLst>
            <a:ext uri="{FF2B5EF4-FFF2-40B4-BE49-F238E27FC236}">
              <a16:creationId xmlns:a16="http://schemas.microsoft.com/office/drawing/2014/main" id="{00000000-0008-0000-0700-00003805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62</xdr:row>
      <xdr:rowOff>123825</xdr:rowOff>
    </xdr:from>
    <xdr:to>
      <xdr:col>20</xdr:col>
      <xdr:colOff>885825</xdr:colOff>
      <xdr:row>63</xdr:row>
      <xdr:rowOff>152400</xdr:rowOff>
    </xdr:to>
    <xdr:pic>
      <xdr:nvPicPr>
        <xdr:cNvPr id="66873" name="Picture 9" descr="C:\WINDOWS\TEMP\~0003946.gif">
          <a:extLst>
            <a:ext uri="{FF2B5EF4-FFF2-40B4-BE49-F238E27FC236}">
              <a16:creationId xmlns:a16="http://schemas.microsoft.com/office/drawing/2014/main" id="{00000000-0008-0000-0700-00003905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131</xdr:row>
      <xdr:rowOff>123825</xdr:rowOff>
    </xdr:from>
    <xdr:to>
      <xdr:col>20</xdr:col>
      <xdr:colOff>895350</xdr:colOff>
      <xdr:row>132</xdr:row>
      <xdr:rowOff>152400</xdr:rowOff>
    </xdr:to>
    <xdr:pic>
      <xdr:nvPicPr>
        <xdr:cNvPr id="66874" name="Picture 10" descr="C:\WINDOWS\TEMP\~0003946.gif">
          <a:extLst>
            <a:ext uri="{FF2B5EF4-FFF2-40B4-BE49-F238E27FC236}">
              <a16:creationId xmlns:a16="http://schemas.microsoft.com/office/drawing/2014/main" id="{00000000-0008-0000-0700-00003A05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268795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190</xdr:row>
      <xdr:rowOff>104775</xdr:rowOff>
    </xdr:from>
    <xdr:to>
      <xdr:col>20</xdr:col>
      <xdr:colOff>809625</xdr:colOff>
      <xdr:row>191</xdr:row>
      <xdr:rowOff>133350</xdr:rowOff>
    </xdr:to>
    <xdr:pic>
      <xdr:nvPicPr>
        <xdr:cNvPr id="66875" name="Picture 11" descr="C:\WINDOWS\TEMP\~0003946.gif">
          <a:extLst>
            <a:ext uri="{FF2B5EF4-FFF2-40B4-BE49-F238E27FC236}">
              <a16:creationId xmlns:a16="http://schemas.microsoft.com/office/drawing/2014/main" id="{00000000-0008-0000-0700-00003B05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583775" y="38738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273</xdr:row>
      <xdr:rowOff>104775</xdr:rowOff>
    </xdr:from>
    <xdr:to>
      <xdr:col>20</xdr:col>
      <xdr:colOff>895350</xdr:colOff>
      <xdr:row>274</xdr:row>
      <xdr:rowOff>133350</xdr:rowOff>
    </xdr:to>
    <xdr:pic>
      <xdr:nvPicPr>
        <xdr:cNvPr id="66876" name="Picture 12" descr="C:\WINDOWS\TEMP\~0003946.gif">
          <a:extLst>
            <a:ext uri="{FF2B5EF4-FFF2-40B4-BE49-F238E27FC236}">
              <a16:creationId xmlns:a16="http://schemas.microsoft.com/office/drawing/2014/main" id="{00000000-0008-0000-0700-00003C05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554259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66877" name="Picture 13" descr="logoMTL">
          <a:extLst>
            <a:ext uri="{FF2B5EF4-FFF2-40B4-BE49-F238E27FC236}">
              <a16:creationId xmlns:a16="http://schemas.microsoft.com/office/drawing/2014/main" id="{00000000-0008-0000-0700-00003D05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131</xdr:row>
      <xdr:rowOff>38100</xdr:rowOff>
    </xdr:from>
    <xdr:to>
      <xdr:col>19</xdr:col>
      <xdr:colOff>1171575</xdr:colOff>
      <xdr:row>132</xdr:row>
      <xdr:rowOff>161925</xdr:rowOff>
    </xdr:to>
    <xdr:pic>
      <xdr:nvPicPr>
        <xdr:cNvPr id="66878" name="Picture 14" descr="logoMTL">
          <a:extLst>
            <a:ext uri="{FF2B5EF4-FFF2-40B4-BE49-F238E27FC236}">
              <a16:creationId xmlns:a16="http://schemas.microsoft.com/office/drawing/2014/main" id="{00000000-0008-0000-0700-00003E05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26793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190</xdr:row>
      <xdr:rowOff>28575</xdr:rowOff>
    </xdr:from>
    <xdr:to>
      <xdr:col>19</xdr:col>
      <xdr:colOff>1171575</xdr:colOff>
      <xdr:row>191</xdr:row>
      <xdr:rowOff>152400</xdr:rowOff>
    </xdr:to>
    <xdr:pic>
      <xdr:nvPicPr>
        <xdr:cNvPr id="66879" name="Picture 15" descr="logoMTL">
          <a:extLst>
            <a:ext uri="{FF2B5EF4-FFF2-40B4-BE49-F238E27FC236}">
              <a16:creationId xmlns:a16="http://schemas.microsoft.com/office/drawing/2014/main" id="{00000000-0008-0000-0700-00003F05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386619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273</xdr:row>
      <xdr:rowOff>0</xdr:rowOff>
    </xdr:from>
    <xdr:to>
      <xdr:col>19</xdr:col>
      <xdr:colOff>1228725</xdr:colOff>
      <xdr:row>274</xdr:row>
      <xdr:rowOff>123825</xdr:rowOff>
    </xdr:to>
    <xdr:pic>
      <xdr:nvPicPr>
        <xdr:cNvPr id="66880" name="Picture 16" descr="logoMTL">
          <a:extLst>
            <a:ext uri="{FF2B5EF4-FFF2-40B4-BE49-F238E27FC236}">
              <a16:creationId xmlns:a16="http://schemas.microsoft.com/office/drawing/2014/main" id="{00000000-0008-0000-0700-00004005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36050" y="553212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62</xdr:row>
      <xdr:rowOff>190500</xdr:rowOff>
    </xdr:from>
    <xdr:to>
      <xdr:col>1</xdr:col>
      <xdr:colOff>0</xdr:colOff>
      <xdr:row>63</xdr:row>
      <xdr:rowOff>228600</xdr:rowOff>
    </xdr:to>
    <xdr:pic>
      <xdr:nvPicPr>
        <xdr:cNvPr id="67889" name="Picture 1" descr="C:\WINDOWS\TEMP\Symbol.gif">
          <a:extLst>
            <a:ext uri="{FF2B5EF4-FFF2-40B4-BE49-F238E27FC236}">
              <a16:creationId xmlns:a16="http://schemas.microsoft.com/office/drawing/2014/main" id="{00000000-0008-0000-0800-00003109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6968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131</xdr:row>
      <xdr:rowOff>161925</xdr:rowOff>
    </xdr:from>
    <xdr:to>
      <xdr:col>1</xdr:col>
      <xdr:colOff>28575</xdr:colOff>
      <xdr:row>132</xdr:row>
      <xdr:rowOff>200025</xdr:rowOff>
    </xdr:to>
    <xdr:pic>
      <xdr:nvPicPr>
        <xdr:cNvPr id="67890" name="Picture 2" descr="C:\WINDOWS\TEMP\Symbol.gif">
          <a:extLst>
            <a:ext uri="{FF2B5EF4-FFF2-40B4-BE49-F238E27FC236}">
              <a16:creationId xmlns:a16="http://schemas.microsoft.com/office/drawing/2014/main" id="{00000000-0008-0000-0800-00003209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69176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190</xdr:row>
      <xdr:rowOff>171450</xdr:rowOff>
    </xdr:from>
    <xdr:to>
      <xdr:col>1</xdr:col>
      <xdr:colOff>47625</xdr:colOff>
      <xdr:row>191</xdr:row>
      <xdr:rowOff>209550</xdr:rowOff>
    </xdr:to>
    <xdr:pic>
      <xdr:nvPicPr>
        <xdr:cNvPr id="67891" name="Picture 3" descr="C:\WINDOWS\TEMP\Symbol.gif">
          <a:extLst>
            <a:ext uri="{FF2B5EF4-FFF2-40B4-BE49-F238E27FC236}">
              <a16:creationId xmlns:a16="http://schemas.microsoft.com/office/drawing/2014/main" id="{00000000-0008-0000-0800-00003309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88048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273</xdr:row>
      <xdr:rowOff>161925</xdr:rowOff>
    </xdr:from>
    <xdr:to>
      <xdr:col>1</xdr:col>
      <xdr:colOff>19050</xdr:colOff>
      <xdr:row>274</xdr:row>
      <xdr:rowOff>200025</xdr:rowOff>
    </xdr:to>
    <xdr:pic>
      <xdr:nvPicPr>
        <xdr:cNvPr id="67892" name="Picture 4" descr="C:\WINDOWS\TEMP\Symbol.gif">
          <a:extLst>
            <a:ext uri="{FF2B5EF4-FFF2-40B4-BE49-F238E27FC236}">
              <a16:creationId xmlns:a16="http://schemas.microsoft.com/office/drawing/2014/main" id="{00000000-0008-0000-0800-0000340901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54831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273</xdr:row>
      <xdr:rowOff>123825</xdr:rowOff>
    </xdr:from>
    <xdr:to>
      <xdr:col>20</xdr:col>
      <xdr:colOff>1895475</xdr:colOff>
      <xdr:row>274</xdr:row>
      <xdr:rowOff>152400</xdr:rowOff>
    </xdr:to>
    <xdr:pic>
      <xdr:nvPicPr>
        <xdr:cNvPr id="67893" name="Picture 5" descr="C:\WINDOWS\TEMP\~0003946.gif">
          <a:extLst>
            <a:ext uri="{FF2B5EF4-FFF2-40B4-BE49-F238E27FC236}">
              <a16:creationId xmlns:a16="http://schemas.microsoft.com/office/drawing/2014/main" id="{00000000-0008-0000-0800-00003509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554450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190</xdr:row>
      <xdr:rowOff>152400</xdr:rowOff>
    </xdr:from>
    <xdr:to>
      <xdr:col>20</xdr:col>
      <xdr:colOff>1924050</xdr:colOff>
      <xdr:row>191</xdr:row>
      <xdr:rowOff>180975</xdr:rowOff>
    </xdr:to>
    <xdr:pic>
      <xdr:nvPicPr>
        <xdr:cNvPr id="67894" name="Picture 6" descr="C:\WINDOWS\TEMP\~0003946.gif">
          <a:extLst>
            <a:ext uri="{FF2B5EF4-FFF2-40B4-BE49-F238E27FC236}">
              <a16:creationId xmlns:a16="http://schemas.microsoft.com/office/drawing/2014/main" id="{00000000-0008-0000-0800-00003609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38785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131</xdr:row>
      <xdr:rowOff>161925</xdr:rowOff>
    </xdr:from>
    <xdr:to>
      <xdr:col>20</xdr:col>
      <xdr:colOff>1952625</xdr:colOff>
      <xdr:row>132</xdr:row>
      <xdr:rowOff>190500</xdr:rowOff>
    </xdr:to>
    <xdr:pic>
      <xdr:nvPicPr>
        <xdr:cNvPr id="67895" name="Picture 7" descr="C:\WINDOWS\TEMP\~0003946.gif">
          <a:extLst>
            <a:ext uri="{FF2B5EF4-FFF2-40B4-BE49-F238E27FC236}">
              <a16:creationId xmlns:a16="http://schemas.microsoft.com/office/drawing/2014/main" id="{00000000-0008-0000-0800-00003709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26917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62</xdr:row>
      <xdr:rowOff>161925</xdr:rowOff>
    </xdr:from>
    <xdr:to>
      <xdr:col>20</xdr:col>
      <xdr:colOff>1952625</xdr:colOff>
      <xdr:row>63</xdr:row>
      <xdr:rowOff>190500</xdr:rowOff>
    </xdr:to>
    <xdr:pic>
      <xdr:nvPicPr>
        <xdr:cNvPr id="67896" name="Picture 8" descr="C:\WINDOWS\TEMP\~0003946.gif">
          <a:extLst>
            <a:ext uri="{FF2B5EF4-FFF2-40B4-BE49-F238E27FC236}">
              <a16:creationId xmlns:a16="http://schemas.microsoft.com/office/drawing/2014/main" id="{00000000-0008-0000-0800-00003809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12668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62</xdr:row>
      <xdr:rowOff>123825</xdr:rowOff>
    </xdr:from>
    <xdr:to>
      <xdr:col>20</xdr:col>
      <xdr:colOff>885825</xdr:colOff>
      <xdr:row>63</xdr:row>
      <xdr:rowOff>152400</xdr:rowOff>
    </xdr:to>
    <xdr:pic>
      <xdr:nvPicPr>
        <xdr:cNvPr id="67897" name="Picture 9" descr="C:\WINDOWS\TEMP\~0003946.gif">
          <a:extLst>
            <a:ext uri="{FF2B5EF4-FFF2-40B4-BE49-F238E27FC236}">
              <a16:creationId xmlns:a16="http://schemas.microsoft.com/office/drawing/2014/main" id="{00000000-0008-0000-0800-00003909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59975" y="126301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131</xdr:row>
      <xdr:rowOff>123825</xdr:rowOff>
    </xdr:from>
    <xdr:to>
      <xdr:col>20</xdr:col>
      <xdr:colOff>895350</xdr:colOff>
      <xdr:row>132</xdr:row>
      <xdr:rowOff>152400</xdr:rowOff>
    </xdr:to>
    <xdr:pic>
      <xdr:nvPicPr>
        <xdr:cNvPr id="67898" name="Picture 10" descr="C:\WINDOWS\TEMP\~0003946.gif">
          <a:extLst>
            <a:ext uri="{FF2B5EF4-FFF2-40B4-BE49-F238E27FC236}">
              <a16:creationId xmlns:a16="http://schemas.microsoft.com/office/drawing/2014/main" id="{00000000-0008-0000-0800-00003A09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268795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190</xdr:row>
      <xdr:rowOff>104775</xdr:rowOff>
    </xdr:from>
    <xdr:to>
      <xdr:col>20</xdr:col>
      <xdr:colOff>809625</xdr:colOff>
      <xdr:row>191</xdr:row>
      <xdr:rowOff>133350</xdr:rowOff>
    </xdr:to>
    <xdr:pic>
      <xdr:nvPicPr>
        <xdr:cNvPr id="67899" name="Picture 11" descr="C:\WINDOWS\TEMP\~0003946.gif">
          <a:extLst>
            <a:ext uri="{FF2B5EF4-FFF2-40B4-BE49-F238E27FC236}">
              <a16:creationId xmlns:a16="http://schemas.microsoft.com/office/drawing/2014/main" id="{00000000-0008-0000-0800-00003B09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583775" y="38738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273</xdr:row>
      <xdr:rowOff>104775</xdr:rowOff>
    </xdr:from>
    <xdr:to>
      <xdr:col>20</xdr:col>
      <xdr:colOff>895350</xdr:colOff>
      <xdr:row>274</xdr:row>
      <xdr:rowOff>133350</xdr:rowOff>
    </xdr:to>
    <xdr:pic>
      <xdr:nvPicPr>
        <xdr:cNvPr id="67900" name="Picture 12" descr="C:\WINDOWS\TEMP\~0003946.gif">
          <a:extLst>
            <a:ext uri="{FF2B5EF4-FFF2-40B4-BE49-F238E27FC236}">
              <a16:creationId xmlns:a16="http://schemas.microsoft.com/office/drawing/2014/main" id="{00000000-0008-0000-0800-00003C0901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554259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62</xdr:row>
      <xdr:rowOff>38100</xdr:rowOff>
    </xdr:from>
    <xdr:to>
      <xdr:col>20</xdr:col>
      <xdr:colOff>0</xdr:colOff>
      <xdr:row>63</xdr:row>
      <xdr:rowOff>161925</xdr:rowOff>
    </xdr:to>
    <xdr:pic>
      <xdr:nvPicPr>
        <xdr:cNvPr id="67901" name="Picture 13" descr="logoMTL">
          <a:extLst>
            <a:ext uri="{FF2B5EF4-FFF2-40B4-BE49-F238E27FC236}">
              <a16:creationId xmlns:a16="http://schemas.microsoft.com/office/drawing/2014/main" id="{00000000-0008-0000-0800-00003D09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764625" y="125444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131</xdr:row>
      <xdr:rowOff>38100</xdr:rowOff>
    </xdr:from>
    <xdr:to>
      <xdr:col>19</xdr:col>
      <xdr:colOff>1171575</xdr:colOff>
      <xdr:row>132</xdr:row>
      <xdr:rowOff>161925</xdr:rowOff>
    </xdr:to>
    <xdr:pic>
      <xdr:nvPicPr>
        <xdr:cNvPr id="67902" name="Picture 14" descr="logoMTL">
          <a:extLst>
            <a:ext uri="{FF2B5EF4-FFF2-40B4-BE49-F238E27FC236}">
              <a16:creationId xmlns:a16="http://schemas.microsoft.com/office/drawing/2014/main" id="{00000000-0008-0000-0800-00003E09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26793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190</xdr:row>
      <xdr:rowOff>28575</xdr:rowOff>
    </xdr:from>
    <xdr:to>
      <xdr:col>19</xdr:col>
      <xdr:colOff>1171575</xdr:colOff>
      <xdr:row>191</xdr:row>
      <xdr:rowOff>152400</xdr:rowOff>
    </xdr:to>
    <xdr:pic>
      <xdr:nvPicPr>
        <xdr:cNvPr id="67903" name="Picture 15" descr="logoMTL">
          <a:extLst>
            <a:ext uri="{FF2B5EF4-FFF2-40B4-BE49-F238E27FC236}">
              <a16:creationId xmlns:a16="http://schemas.microsoft.com/office/drawing/2014/main" id="{00000000-0008-0000-0800-00003F09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386619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273</xdr:row>
      <xdr:rowOff>0</xdr:rowOff>
    </xdr:from>
    <xdr:to>
      <xdr:col>19</xdr:col>
      <xdr:colOff>1228725</xdr:colOff>
      <xdr:row>274</xdr:row>
      <xdr:rowOff>123825</xdr:rowOff>
    </xdr:to>
    <xdr:pic>
      <xdr:nvPicPr>
        <xdr:cNvPr id="67904" name="Picture 16" descr="logoMTL">
          <a:extLst>
            <a:ext uri="{FF2B5EF4-FFF2-40B4-BE49-F238E27FC236}">
              <a16:creationId xmlns:a16="http://schemas.microsoft.com/office/drawing/2014/main" id="{00000000-0008-0000-0800-00004009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36050" y="553212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3" Type="http://schemas.openxmlformats.org/officeDocument/2006/relationships/hyperlink" Target="http://www.paragon-group.co.uk/" TargetMode="External"/><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44.xml"/><Relationship Id="rId4"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hyperlink" Target="http://www.paragon-group.co.uk/" TargetMode="External"/><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45.xml"/><Relationship Id="rId4"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hyperlink" Target="http://www.paragon-group.co.uk/" TargetMode="External"/><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46.xml"/><Relationship Id="rId4"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hyperlink" Target="http://www.paragon-group.co.uk/" TargetMode="External"/><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47.xml"/><Relationship Id="rId4"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hyperlink" Target="http://www.paragon-group.co.uk/" TargetMode="External"/><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48.xml"/><Relationship Id="rId4"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hyperlink" Target="http://www.paragon-group.co.uk/" TargetMode="External"/><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49.xml"/><Relationship Id="rId4"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3" Type="http://schemas.openxmlformats.org/officeDocument/2006/relationships/hyperlink" Target="http://www.paragon-group.co.uk/" TargetMode="External"/><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50.xml"/><Relationship Id="rId4"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hyperlink" Target="http://www.paragon-group.co.uk/" TargetMode="External"/><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51.xml"/><Relationship Id="rId4"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hyperlink" Target="http://www.paragon-group.co.uk/" TargetMode="External"/><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52.xml"/><Relationship Id="rId4"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hyperlink" Target="http://www.paragon-group.co.uk/" TargetMode="External"/><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53.xml"/><Relationship Id="rId4"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hyperlink" Target="http://www.paragon-group.co.uk/" TargetMode="External"/><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54.xml"/><Relationship Id="rId4"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hyperlink" Target="http://www.paragon-group.co.uk/" TargetMode="External"/><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55.xml"/><Relationship Id="rId4"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hyperlink" Target="http://www.paragon-group.co.uk/" TargetMode="External"/><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56.xml"/><Relationship Id="rId4"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hyperlink" Target="http://www.paragon-group.co.uk/" TargetMode="External"/><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57.xml"/><Relationship Id="rId4"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hyperlink" Target="http://www.paragon-group.co.uk/" TargetMode="External"/><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58.xml"/><Relationship Id="rId4"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9CB31"/>
  </sheetPr>
  <dimension ref="A1:X275"/>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08984375" style="1" customWidth="1"/>
    <col min="10" max="10" width="17.81640625" style="1" customWidth="1"/>
    <col min="11" max="11" width="2.1796875" style="1" customWidth="1"/>
    <col min="12" max="12" width="14.81640625" style="1" customWidth="1"/>
    <col min="13" max="13" width="2.1796875" style="1" customWidth="1"/>
    <col min="14" max="14" width="15.54296875" style="1" customWidth="1"/>
    <col min="15" max="15" width="2.08984375" style="1" customWidth="1"/>
    <col min="16" max="16" width="15.54296875" style="1" customWidth="1"/>
    <col min="17" max="18" width="12.81640625" style="1" customWidth="1"/>
    <col min="19" max="19" width="7.81640625" style="1" customWidth="1"/>
    <col min="20" max="20" width="14.81640625" style="1" customWidth="1"/>
    <col min="21" max="21" width="11.81640625" style="1" customWidth="1"/>
    <col min="22" max="16384" width="9.81640625" style="1"/>
  </cols>
  <sheetData>
    <row r="1" spans="1:22" ht="20.399999999999999" x14ac:dyDescent="0.35">
      <c r="A1" s="2"/>
      <c r="B1" s="3" t="s">
        <v>228</v>
      </c>
      <c r="C1" s="4"/>
      <c r="D1" s="4"/>
      <c r="E1" s="4"/>
      <c r="F1" s="4"/>
      <c r="G1" s="4"/>
      <c r="H1" s="4"/>
      <c r="I1" s="4"/>
      <c r="J1" s="4"/>
      <c r="K1" s="4"/>
      <c r="L1" s="4"/>
      <c r="M1" s="4"/>
      <c r="N1" s="4"/>
      <c r="O1" s="4"/>
      <c r="P1" s="4"/>
      <c r="Q1" s="4"/>
      <c r="R1" s="4"/>
      <c r="S1" s="4"/>
      <c r="T1" s="4"/>
      <c r="U1" s="4"/>
      <c r="V1" s="5"/>
    </row>
    <row r="2" spans="1:22" ht="15.6" x14ac:dyDescent="0.3">
      <c r="A2" s="6"/>
      <c r="B2" s="7"/>
      <c r="C2" s="8"/>
      <c r="D2" s="8"/>
      <c r="E2" s="8"/>
      <c r="F2" s="8"/>
      <c r="G2" s="8"/>
      <c r="H2" s="8"/>
      <c r="I2" s="8"/>
      <c r="J2" s="8"/>
      <c r="K2" s="8"/>
      <c r="L2" s="8"/>
      <c r="M2" s="8"/>
      <c r="N2" s="8"/>
      <c r="O2" s="8"/>
      <c r="P2" s="8"/>
      <c r="Q2" s="8"/>
      <c r="R2" s="8"/>
      <c r="S2" s="8"/>
      <c r="T2" s="8"/>
      <c r="U2" s="8"/>
      <c r="V2" s="5"/>
    </row>
    <row r="3" spans="1:22" ht="15.6" x14ac:dyDescent="0.3">
      <c r="A3" s="9"/>
      <c r="B3" s="111" t="s">
        <v>229</v>
      </c>
      <c r="C3" s="8"/>
      <c r="D3" s="8"/>
      <c r="E3" s="8"/>
      <c r="F3" s="8"/>
      <c r="G3" s="8"/>
      <c r="H3" s="8"/>
      <c r="I3" s="8"/>
      <c r="J3" s="8"/>
      <c r="K3" s="8"/>
      <c r="L3" s="8"/>
      <c r="M3" s="8"/>
      <c r="N3" s="8"/>
      <c r="O3" s="8"/>
      <c r="P3" s="8"/>
      <c r="Q3" s="8"/>
      <c r="R3" s="8"/>
      <c r="S3" s="8"/>
      <c r="T3" s="8"/>
      <c r="U3" s="8"/>
      <c r="V3" s="5"/>
    </row>
    <row r="4" spans="1:22" ht="15.6" x14ac:dyDescent="0.3">
      <c r="A4" s="6"/>
      <c r="B4" s="7"/>
      <c r="C4" s="8"/>
      <c r="D4" s="8"/>
      <c r="E4" s="8"/>
      <c r="F4" s="8"/>
      <c r="G4" s="8"/>
      <c r="H4" s="8"/>
      <c r="I4" s="8"/>
      <c r="J4" s="8"/>
      <c r="K4" s="8"/>
      <c r="L4" s="8"/>
      <c r="M4" s="8"/>
      <c r="N4" s="8"/>
      <c r="O4" s="8"/>
      <c r="P4" s="8"/>
      <c r="Q4" s="8"/>
      <c r="R4" s="8"/>
      <c r="S4" s="8"/>
      <c r="T4" s="8"/>
      <c r="U4" s="8"/>
      <c r="V4" s="5"/>
    </row>
    <row r="5" spans="1:22" ht="15.6" x14ac:dyDescent="0.3">
      <c r="A5" s="6"/>
      <c r="B5" s="11" t="s">
        <v>143</v>
      </c>
      <c r="C5" s="8"/>
      <c r="D5" s="8"/>
      <c r="E5" s="8"/>
      <c r="F5" s="8"/>
      <c r="G5" s="8"/>
      <c r="H5" s="8"/>
      <c r="I5" s="8"/>
      <c r="J5" s="8"/>
      <c r="K5" s="8"/>
      <c r="L5" s="8"/>
      <c r="M5" s="8"/>
      <c r="N5" s="8"/>
      <c r="O5" s="8"/>
      <c r="P5" s="8"/>
      <c r="Q5" s="8"/>
      <c r="R5" s="8"/>
      <c r="S5" s="8"/>
      <c r="T5" s="8"/>
      <c r="U5" s="8"/>
      <c r="V5" s="5"/>
    </row>
    <row r="6" spans="1:22" ht="15.6" x14ac:dyDescent="0.3">
      <c r="A6" s="6"/>
      <c r="B6" s="11" t="s">
        <v>145</v>
      </c>
      <c r="C6" s="8"/>
      <c r="D6" s="8"/>
      <c r="E6" s="8"/>
      <c r="F6" s="8"/>
      <c r="G6" s="8"/>
      <c r="H6" s="8"/>
      <c r="I6" s="8"/>
      <c r="J6" s="8"/>
      <c r="K6" s="8"/>
      <c r="L6" s="8"/>
      <c r="M6" s="8"/>
      <c r="N6" s="8"/>
      <c r="O6" s="8"/>
      <c r="P6" s="8"/>
      <c r="Q6" s="8"/>
      <c r="R6" s="8"/>
      <c r="S6" s="8"/>
      <c r="T6" s="8"/>
      <c r="U6" s="8"/>
      <c r="V6" s="5"/>
    </row>
    <row r="7" spans="1:22" ht="15.6" x14ac:dyDescent="0.3">
      <c r="A7" s="6"/>
      <c r="B7" s="11" t="s">
        <v>144</v>
      </c>
      <c r="C7" s="8"/>
      <c r="D7" s="8"/>
      <c r="E7" s="8"/>
      <c r="F7" s="8"/>
      <c r="G7" s="8"/>
      <c r="H7" s="8"/>
      <c r="I7" s="8"/>
      <c r="J7" s="8"/>
      <c r="K7" s="8"/>
      <c r="L7" s="8"/>
      <c r="M7" s="8"/>
      <c r="N7" s="8"/>
      <c r="O7" s="8"/>
      <c r="P7" s="8"/>
      <c r="Q7" s="8"/>
      <c r="R7" s="8"/>
      <c r="S7" s="8"/>
      <c r="T7" s="8"/>
      <c r="U7" s="8"/>
      <c r="V7" s="5"/>
    </row>
    <row r="8" spans="1:22" ht="15.6" x14ac:dyDescent="0.3">
      <c r="A8" s="6"/>
      <c r="B8" s="11"/>
      <c r="C8" s="8"/>
      <c r="D8" s="8"/>
      <c r="E8" s="8"/>
      <c r="F8" s="8"/>
      <c r="G8" s="8"/>
      <c r="H8" s="8"/>
      <c r="I8" s="8"/>
      <c r="J8" s="8"/>
      <c r="K8" s="8"/>
      <c r="L8" s="8"/>
      <c r="M8" s="8"/>
      <c r="N8" s="8"/>
      <c r="O8" s="8"/>
      <c r="P8" s="8"/>
      <c r="Q8" s="8"/>
      <c r="R8" s="8"/>
      <c r="S8" s="8"/>
      <c r="T8" s="8"/>
      <c r="U8" s="8"/>
      <c r="V8" s="5"/>
    </row>
    <row r="9" spans="1:22" ht="17.399999999999999" x14ac:dyDescent="0.3">
      <c r="A9" s="6"/>
      <c r="B9" s="147" t="s">
        <v>173</v>
      </c>
      <c r="C9" s="8"/>
      <c r="D9" s="8"/>
      <c r="E9" s="8"/>
      <c r="F9" s="8"/>
      <c r="G9" s="8"/>
      <c r="H9" s="8"/>
      <c r="I9" s="8"/>
      <c r="J9" s="148" t="s">
        <v>174</v>
      </c>
      <c r="K9" s="8"/>
      <c r="L9" s="148"/>
      <c r="M9" s="8"/>
      <c r="N9" s="8"/>
      <c r="O9" s="8"/>
      <c r="P9" s="8"/>
      <c r="Q9" s="8"/>
      <c r="R9" s="8"/>
      <c r="S9" s="8"/>
      <c r="T9" s="8"/>
      <c r="U9" s="8"/>
      <c r="V9" s="5"/>
    </row>
    <row r="10" spans="1:22" ht="15.6" x14ac:dyDescent="0.3">
      <c r="A10" s="6"/>
      <c r="B10" s="11"/>
      <c r="C10" s="13"/>
      <c r="D10" s="13"/>
      <c r="E10" s="13"/>
      <c r="F10" s="8"/>
      <c r="G10" s="8"/>
      <c r="H10" s="8"/>
      <c r="I10" s="8"/>
      <c r="J10" s="8"/>
      <c r="K10" s="8"/>
      <c r="L10" s="8"/>
      <c r="M10" s="8"/>
      <c r="N10" s="8"/>
      <c r="O10" s="8"/>
      <c r="P10" s="8"/>
      <c r="Q10" s="8"/>
      <c r="R10" s="8"/>
      <c r="S10" s="8"/>
      <c r="T10" s="8"/>
      <c r="U10" s="8"/>
      <c r="V10" s="5"/>
    </row>
    <row r="11" spans="1:22" ht="15.6" x14ac:dyDescent="0.3">
      <c r="A11" s="6"/>
      <c r="B11" s="14" t="s">
        <v>0</v>
      </c>
      <c r="C11" s="8"/>
      <c r="D11" s="8"/>
      <c r="E11" s="8"/>
      <c r="F11" s="8"/>
      <c r="G11" s="8"/>
      <c r="H11" s="8"/>
      <c r="I11" s="8"/>
      <c r="J11" s="8"/>
      <c r="K11" s="8"/>
      <c r="L11" s="8"/>
      <c r="M11" s="8"/>
      <c r="N11" s="8"/>
      <c r="O11" s="8"/>
      <c r="P11" s="8"/>
      <c r="Q11" s="8"/>
      <c r="R11" s="8"/>
      <c r="S11" s="8"/>
      <c r="T11" s="8"/>
      <c r="U11" s="8"/>
      <c r="V11" s="5"/>
    </row>
    <row r="12" spans="1:22" ht="16.2" thickBot="1" x14ac:dyDescent="0.35">
      <c r="A12" s="6"/>
      <c r="B12" s="13"/>
      <c r="C12" s="8"/>
      <c r="D12" s="8"/>
      <c r="E12" s="8"/>
      <c r="F12" s="8"/>
      <c r="G12" s="8"/>
      <c r="H12" s="8"/>
      <c r="I12" s="8"/>
      <c r="J12" s="8"/>
      <c r="K12" s="8"/>
      <c r="L12" s="8"/>
      <c r="M12" s="8"/>
      <c r="N12" s="8"/>
      <c r="O12" s="8"/>
      <c r="P12" s="8"/>
      <c r="Q12" s="8"/>
      <c r="R12" s="8"/>
      <c r="S12" s="8"/>
      <c r="T12" s="8"/>
      <c r="U12" s="8"/>
      <c r="V12" s="5"/>
    </row>
    <row r="13" spans="1:22" ht="15.6" x14ac:dyDescent="0.3">
      <c r="A13" s="2"/>
      <c r="B13" s="4"/>
      <c r="C13" s="4"/>
      <c r="D13" s="4"/>
      <c r="E13" s="4"/>
      <c r="F13" s="4"/>
      <c r="G13" s="4"/>
      <c r="H13" s="4"/>
      <c r="I13" s="4"/>
      <c r="J13" s="4"/>
      <c r="K13" s="4"/>
      <c r="L13" s="4"/>
      <c r="M13" s="4"/>
      <c r="N13" s="4"/>
      <c r="O13" s="4"/>
      <c r="P13" s="4"/>
      <c r="Q13" s="4"/>
      <c r="R13" s="4"/>
      <c r="S13" s="4"/>
      <c r="T13" s="4"/>
      <c r="U13" s="4"/>
      <c r="V13" s="5"/>
    </row>
    <row r="14" spans="1:22" ht="15.6" x14ac:dyDescent="0.3">
      <c r="A14" s="6"/>
      <c r="B14" s="14" t="s">
        <v>1</v>
      </c>
      <c r="C14" s="15"/>
      <c r="D14" s="15"/>
      <c r="E14" s="15"/>
      <c r="F14" s="15"/>
      <c r="G14" s="15"/>
      <c r="H14" s="15"/>
      <c r="I14" s="15"/>
      <c r="J14" s="15"/>
      <c r="K14" s="15"/>
      <c r="L14" s="15"/>
      <c r="M14" s="15"/>
      <c r="N14" s="15"/>
      <c r="O14" s="15"/>
      <c r="P14" s="15"/>
      <c r="Q14" s="15"/>
      <c r="R14" s="15"/>
      <c r="S14" s="15"/>
      <c r="T14" s="16" t="s">
        <v>230</v>
      </c>
      <c r="U14" s="15"/>
      <c r="V14" s="5"/>
    </row>
    <row r="15" spans="1:22" ht="15.6" x14ac:dyDescent="0.3">
      <c r="A15" s="6"/>
      <c r="B15" s="14" t="s">
        <v>2</v>
      </c>
      <c r="C15" s="15"/>
      <c r="D15" s="15"/>
      <c r="E15" s="15"/>
      <c r="F15" s="15"/>
      <c r="G15" s="15"/>
      <c r="H15" s="18"/>
      <c r="I15" s="18"/>
      <c r="J15" s="18"/>
      <c r="K15" s="18"/>
      <c r="L15" s="18"/>
      <c r="M15" s="18"/>
      <c r="N15" s="18"/>
      <c r="O15" s="18"/>
      <c r="P15" s="18" t="s">
        <v>107</v>
      </c>
      <c r="Q15" s="137">
        <v>0.40749999999999997</v>
      </c>
      <c r="R15" s="17" t="s">
        <v>146</v>
      </c>
      <c r="S15" s="137">
        <v>0.59250000000000003</v>
      </c>
      <c r="T15" s="16"/>
      <c r="U15" s="15"/>
      <c r="V15" s="5"/>
    </row>
    <row r="16" spans="1:22" ht="15.6" x14ac:dyDescent="0.3">
      <c r="A16" s="6"/>
      <c r="B16" s="14" t="s">
        <v>3</v>
      </c>
      <c r="C16" s="15"/>
      <c r="D16" s="15"/>
      <c r="E16" s="15"/>
      <c r="F16" s="15"/>
      <c r="G16" s="15"/>
      <c r="H16" s="18"/>
      <c r="I16" s="18"/>
      <c r="J16" s="18"/>
      <c r="K16" s="18"/>
      <c r="L16" s="18"/>
      <c r="M16" s="18"/>
      <c r="N16" s="18"/>
      <c r="O16" s="18"/>
      <c r="P16" s="18" t="s">
        <v>107</v>
      </c>
      <c r="Q16" s="137">
        <v>0.40160000000000001</v>
      </c>
      <c r="R16" s="17" t="s">
        <v>146</v>
      </c>
      <c r="S16" s="137">
        <v>0.59840000000000004</v>
      </c>
      <c r="T16" s="16"/>
      <c r="U16" s="15"/>
      <c r="V16" s="5"/>
    </row>
    <row r="17" spans="1:22" ht="15.6" x14ac:dyDescent="0.3">
      <c r="A17" s="6"/>
      <c r="B17" s="14" t="s">
        <v>4</v>
      </c>
      <c r="C17" s="15"/>
      <c r="D17" s="15"/>
      <c r="E17" s="15"/>
      <c r="F17" s="15"/>
      <c r="G17" s="15"/>
      <c r="H17" s="15"/>
      <c r="I17" s="15"/>
      <c r="J17" s="15"/>
      <c r="K17" s="15"/>
      <c r="L17" s="15"/>
      <c r="M17" s="15"/>
      <c r="N17" s="15"/>
      <c r="O17" s="15"/>
      <c r="P17" s="15"/>
      <c r="Q17" s="15"/>
      <c r="R17" s="15"/>
      <c r="S17" s="15"/>
      <c r="T17" s="19">
        <v>38799</v>
      </c>
      <c r="U17" s="15"/>
      <c r="V17" s="5"/>
    </row>
    <row r="18" spans="1:22" ht="15.6" x14ac:dyDescent="0.3">
      <c r="A18" s="6"/>
      <c r="B18" s="14" t="s">
        <v>5</v>
      </c>
      <c r="C18" s="15"/>
      <c r="D18" s="15"/>
      <c r="E18" s="15"/>
      <c r="F18" s="15"/>
      <c r="G18" s="15"/>
      <c r="H18" s="15"/>
      <c r="I18" s="15"/>
      <c r="J18" s="15"/>
      <c r="K18" s="15"/>
      <c r="L18" s="15"/>
      <c r="M18" s="15"/>
      <c r="N18" s="15"/>
      <c r="O18" s="15"/>
      <c r="P18" s="15"/>
      <c r="Q18" s="15"/>
      <c r="R18" s="15"/>
      <c r="S18" s="15"/>
      <c r="T18" s="19">
        <v>38922</v>
      </c>
      <c r="U18" s="15"/>
      <c r="V18" s="5"/>
    </row>
    <row r="19" spans="1:22" ht="15.6" x14ac:dyDescent="0.3">
      <c r="A19" s="6"/>
      <c r="B19" s="8"/>
      <c r="C19" s="8"/>
      <c r="D19" s="8"/>
      <c r="E19" s="8"/>
      <c r="F19" s="8"/>
      <c r="G19" s="8"/>
      <c r="H19" s="8"/>
      <c r="I19" s="8"/>
      <c r="J19" s="8"/>
      <c r="K19" s="8"/>
      <c r="L19" s="8"/>
      <c r="M19" s="8"/>
      <c r="N19" s="8"/>
      <c r="O19" s="8"/>
      <c r="P19" s="8"/>
      <c r="Q19" s="8"/>
      <c r="R19" s="8"/>
      <c r="S19" s="8"/>
      <c r="T19" s="20"/>
      <c r="U19" s="8"/>
      <c r="V19" s="5"/>
    </row>
    <row r="20" spans="1:22" ht="15.6" x14ac:dyDescent="0.3">
      <c r="A20" s="6"/>
      <c r="B20" s="21" t="s">
        <v>6</v>
      </c>
      <c r="C20" s="8"/>
      <c r="D20" s="8"/>
      <c r="E20" s="8"/>
      <c r="F20" s="8"/>
      <c r="G20" s="8"/>
      <c r="H20" s="8"/>
      <c r="I20" s="8"/>
      <c r="J20" s="8"/>
      <c r="K20" s="8"/>
      <c r="L20" s="8"/>
      <c r="M20" s="8"/>
      <c r="N20" s="8"/>
      <c r="O20" s="8"/>
      <c r="P20" s="8"/>
      <c r="Q20" s="8"/>
      <c r="R20" s="20" t="s">
        <v>108</v>
      </c>
      <c r="S20" s="8"/>
      <c r="T20" s="12"/>
      <c r="U20" s="8"/>
      <c r="V20" s="5"/>
    </row>
    <row r="21" spans="1:22" ht="15.6" x14ac:dyDescent="0.3">
      <c r="A21" s="6"/>
      <c r="B21" s="8"/>
      <c r="C21" s="8"/>
      <c r="D21" s="8"/>
      <c r="E21" s="8"/>
      <c r="F21" s="8"/>
      <c r="G21" s="8"/>
      <c r="H21" s="8"/>
      <c r="I21" s="8"/>
      <c r="J21" s="8"/>
      <c r="K21" s="8"/>
      <c r="L21" s="8"/>
      <c r="M21" s="8"/>
      <c r="N21" s="8"/>
      <c r="O21" s="8"/>
      <c r="P21" s="8"/>
      <c r="Q21" s="8"/>
      <c r="R21" s="8"/>
      <c r="S21" s="8"/>
      <c r="T21" s="22"/>
      <c r="U21" s="8"/>
      <c r="V21" s="5"/>
    </row>
    <row r="22" spans="1:22" ht="15.6" x14ac:dyDescent="0.3">
      <c r="A22" s="6"/>
      <c r="B22" s="8"/>
      <c r="C22" s="112"/>
      <c r="D22" s="112" t="s">
        <v>184</v>
      </c>
      <c r="E22" s="112"/>
      <c r="F22" s="112" t="s">
        <v>185</v>
      </c>
      <c r="G22" s="112"/>
      <c r="H22" s="112" t="s">
        <v>186</v>
      </c>
      <c r="I22" s="112"/>
      <c r="J22" s="112" t="s">
        <v>187</v>
      </c>
      <c r="K22" s="112"/>
      <c r="L22" s="112" t="s">
        <v>188</v>
      </c>
      <c r="M22" s="112"/>
      <c r="N22" s="112" t="s">
        <v>189</v>
      </c>
      <c r="O22" s="112"/>
      <c r="P22" s="112"/>
      <c r="Q22" s="113"/>
      <c r="R22" s="23"/>
      <c r="S22" s="12"/>
      <c r="T22" s="12"/>
      <c r="U22" s="8"/>
      <c r="V22" s="5"/>
    </row>
    <row r="23" spans="1:22" ht="15.6" x14ac:dyDescent="0.3">
      <c r="A23" s="24"/>
      <c r="B23" s="25" t="s">
        <v>7</v>
      </c>
      <c r="C23" s="26"/>
      <c r="D23" s="26" t="s">
        <v>222</v>
      </c>
      <c r="E23" s="26"/>
      <c r="F23" s="26" t="s">
        <v>147</v>
      </c>
      <c r="G23" s="26"/>
      <c r="H23" s="26" t="s">
        <v>147</v>
      </c>
      <c r="I23" s="26"/>
      <c r="J23" s="26" t="s">
        <v>190</v>
      </c>
      <c r="K23" s="26"/>
      <c r="L23" s="26" t="s">
        <v>190</v>
      </c>
      <c r="M23" s="26"/>
      <c r="N23" s="26" t="s">
        <v>148</v>
      </c>
      <c r="O23" s="26"/>
      <c r="P23" s="26"/>
      <c r="Q23" s="26"/>
      <c r="R23" s="26"/>
      <c r="S23" s="27"/>
      <c r="T23" s="27"/>
      <c r="U23" s="25"/>
      <c r="V23" s="5"/>
    </row>
    <row r="24" spans="1:22" ht="15.6" x14ac:dyDescent="0.3">
      <c r="A24" s="24"/>
      <c r="B24" s="25" t="s">
        <v>8</v>
      </c>
      <c r="C24" s="26"/>
      <c r="D24" s="26" t="s">
        <v>223</v>
      </c>
      <c r="E24" s="26"/>
      <c r="F24" s="26" t="s">
        <v>149</v>
      </c>
      <c r="G24" s="26"/>
      <c r="H24" s="26" t="s">
        <v>149</v>
      </c>
      <c r="I24" s="26"/>
      <c r="J24" s="26" t="s">
        <v>172</v>
      </c>
      <c r="K24" s="26"/>
      <c r="L24" s="26" t="s">
        <v>172</v>
      </c>
      <c r="M24" s="26"/>
      <c r="N24" s="26" t="s">
        <v>150</v>
      </c>
      <c r="O24" s="26"/>
      <c r="P24" s="26"/>
      <c r="Q24" s="26"/>
      <c r="R24" s="26"/>
      <c r="S24" s="27"/>
      <c r="T24" s="27"/>
      <c r="U24" s="25"/>
      <c r="V24" s="5"/>
    </row>
    <row r="25" spans="1:22" ht="15.6" x14ac:dyDescent="0.3">
      <c r="A25" s="28"/>
      <c r="B25" s="131" t="s">
        <v>198</v>
      </c>
      <c r="C25" s="123"/>
      <c r="D25" s="26" t="s">
        <v>224</v>
      </c>
      <c r="E25" s="26"/>
      <c r="F25" s="26" t="s">
        <v>149</v>
      </c>
      <c r="G25" s="26"/>
      <c r="H25" s="26" t="s">
        <v>149</v>
      </c>
      <c r="I25" s="26"/>
      <c r="J25" s="26" t="s">
        <v>172</v>
      </c>
      <c r="K25" s="26"/>
      <c r="L25" s="26" t="s">
        <v>172</v>
      </c>
      <c r="M25" s="26"/>
      <c r="N25" s="26" t="s">
        <v>150</v>
      </c>
      <c r="O25" s="26"/>
      <c r="P25" s="26"/>
      <c r="Q25" s="123"/>
      <c r="R25" s="26"/>
      <c r="S25" s="27"/>
      <c r="T25" s="27"/>
      <c r="U25" s="25"/>
      <c r="V25" s="5"/>
    </row>
    <row r="26" spans="1:22" ht="15.6" x14ac:dyDescent="0.3">
      <c r="A26" s="28"/>
      <c r="B26" s="29" t="s">
        <v>9</v>
      </c>
      <c r="C26" s="123"/>
      <c r="D26" s="123" t="s">
        <v>222</v>
      </c>
      <c r="E26" s="123"/>
      <c r="F26" s="123" t="s">
        <v>147</v>
      </c>
      <c r="G26" s="123"/>
      <c r="H26" s="123" t="s">
        <v>147</v>
      </c>
      <c r="I26" s="123"/>
      <c r="J26" s="123" t="s">
        <v>190</v>
      </c>
      <c r="K26" s="123"/>
      <c r="L26" s="123" t="s">
        <v>190</v>
      </c>
      <c r="M26" s="123"/>
      <c r="N26" s="123" t="s">
        <v>148</v>
      </c>
      <c r="O26" s="123"/>
      <c r="P26" s="123"/>
      <c r="Q26" s="123"/>
      <c r="R26" s="26"/>
      <c r="S26" s="27"/>
      <c r="T26" s="27"/>
      <c r="U26" s="25"/>
      <c r="V26" s="5"/>
    </row>
    <row r="27" spans="1:22" ht="15.6" x14ac:dyDescent="0.3">
      <c r="A27" s="24"/>
      <c r="B27" s="29" t="s">
        <v>199</v>
      </c>
      <c r="C27" s="26"/>
      <c r="D27" s="123" t="s">
        <v>223</v>
      </c>
      <c r="E27" s="123"/>
      <c r="F27" s="123" t="s">
        <v>149</v>
      </c>
      <c r="G27" s="123"/>
      <c r="H27" s="123" t="s">
        <v>149</v>
      </c>
      <c r="I27" s="123"/>
      <c r="J27" s="123" t="s">
        <v>172</v>
      </c>
      <c r="K27" s="123"/>
      <c r="L27" s="123" t="s">
        <v>172</v>
      </c>
      <c r="M27" s="123"/>
      <c r="N27" s="123" t="s">
        <v>150</v>
      </c>
      <c r="O27" s="123"/>
      <c r="P27" s="123"/>
      <c r="Q27" s="26"/>
      <c r="R27" s="30"/>
      <c r="S27" s="27"/>
      <c r="T27" s="27"/>
      <c r="U27" s="25"/>
      <c r="V27" s="5"/>
    </row>
    <row r="28" spans="1:22" ht="15.6" x14ac:dyDescent="0.3">
      <c r="A28" s="24"/>
      <c r="B28" s="153" t="s">
        <v>200</v>
      </c>
      <c r="C28" s="26"/>
      <c r="D28" s="123" t="s">
        <v>224</v>
      </c>
      <c r="E28" s="123"/>
      <c r="F28" s="123" t="s">
        <v>149</v>
      </c>
      <c r="G28" s="123"/>
      <c r="H28" s="123" t="s">
        <v>149</v>
      </c>
      <c r="I28" s="123"/>
      <c r="J28" s="123" t="s">
        <v>172</v>
      </c>
      <c r="K28" s="123"/>
      <c r="L28" s="123" t="s">
        <v>172</v>
      </c>
      <c r="M28" s="123"/>
      <c r="N28" s="123" t="s">
        <v>150</v>
      </c>
      <c r="O28" s="123"/>
      <c r="P28" s="123"/>
      <c r="Q28" s="26"/>
      <c r="R28" s="30"/>
      <c r="S28" s="27"/>
      <c r="T28" s="27"/>
      <c r="U28" s="25"/>
      <c r="V28" s="5"/>
    </row>
    <row r="29" spans="1:22" ht="15.6" x14ac:dyDescent="0.3">
      <c r="A29" s="24"/>
      <c r="B29" s="25" t="s">
        <v>10</v>
      </c>
      <c r="C29" s="32"/>
      <c r="D29" s="26" t="s">
        <v>237</v>
      </c>
      <c r="E29" s="26"/>
      <c r="F29" s="30" t="s">
        <v>238</v>
      </c>
      <c r="G29" s="26"/>
      <c r="H29" s="26" t="s">
        <v>239</v>
      </c>
      <c r="I29" s="26"/>
      <c r="J29" s="26" t="s">
        <v>240</v>
      </c>
      <c r="K29" s="26"/>
      <c r="L29" s="26" t="s">
        <v>241</v>
      </c>
      <c r="M29" s="26"/>
      <c r="N29" s="26" t="s">
        <v>242</v>
      </c>
      <c r="O29" s="26"/>
      <c r="P29" s="26"/>
      <c r="Q29" s="31"/>
      <c r="R29" s="31"/>
      <c r="S29" s="33"/>
      <c r="T29" s="31"/>
      <c r="U29" s="34"/>
      <c r="V29" s="5"/>
    </row>
    <row r="30" spans="1:22" ht="15.6" x14ac:dyDescent="0.3">
      <c r="A30" s="24"/>
      <c r="B30" s="25" t="s">
        <v>10</v>
      </c>
      <c r="C30" s="32"/>
      <c r="D30" s="26" t="s">
        <v>236</v>
      </c>
      <c r="E30" s="26"/>
      <c r="F30" s="30" t="s">
        <v>124</v>
      </c>
      <c r="G30" s="26"/>
      <c r="H30" s="26" t="s">
        <v>124</v>
      </c>
      <c r="I30" s="26"/>
      <c r="J30" s="26" t="s">
        <v>124</v>
      </c>
      <c r="K30" s="26"/>
      <c r="L30" s="26" t="s">
        <v>124</v>
      </c>
      <c r="M30" s="26"/>
      <c r="N30" s="26" t="s">
        <v>124</v>
      </c>
      <c r="O30" s="26"/>
      <c r="P30" s="26"/>
      <c r="Q30" s="31"/>
      <c r="R30" s="31"/>
      <c r="S30" s="33"/>
      <c r="T30" s="31"/>
      <c r="U30" s="34"/>
      <c r="V30" s="5"/>
    </row>
    <row r="31" spans="1:22" ht="15.6" x14ac:dyDescent="0.3">
      <c r="A31" s="28"/>
      <c r="B31" s="25" t="s">
        <v>139</v>
      </c>
      <c r="C31" s="36"/>
      <c r="D31" s="146">
        <v>985000</v>
      </c>
      <c r="E31" s="32"/>
      <c r="F31" s="31">
        <v>149500</v>
      </c>
      <c r="G31" s="31"/>
      <c r="H31" s="124">
        <v>219700</v>
      </c>
      <c r="I31" s="31"/>
      <c r="J31" s="31">
        <v>16000</v>
      </c>
      <c r="K31" s="31"/>
      <c r="L31" s="124">
        <v>82400</v>
      </c>
      <c r="M31" s="31"/>
      <c r="N31" s="124">
        <v>87500</v>
      </c>
      <c r="O31" s="31"/>
      <c r="P31" s="124"/>
      <c r="Q31" s="35"/>
      <c r="R31" s="35"/>
      <c r="S31" s="37"/>
      <c r="T31" s="35"/>
      <c r="U31" s="34"/>
      <c r="V31" s="5"/>
    </row>
    <row r="32" spans="1:22" ht="15.6" x14ac:dyDescent="0.3">
      <c r="A32" s="24"/>
      <c r="B32" s="25" t="s">
        <v>138</v>
      </c>
      <c r="C32" s="32"/>
      <c r="D32" s="146">
        <v>0</v>
      </c>
      <c r="E32" s="32"/>
      <c r="F32" s="31">
        <v>0</v>
      </c>
      <c r="G32" s="31"/>
      <c r="H32" s="124">
        <v>0</v>
      </c>
      <c r="I32" s="31"/>
      <c r="J32" s="31">
        <v>0</v>
      </c>
      <c r="K32" s="31"/>
      <c r="L32" s="124">
        <v>0</v>
      </c>
      <c r="M32" s="31"/>
      <c r="N32" s="124">
        <v>0</v>
      </c>
      <c r="O32" s="31"/>
      <c r="P32" s="124"/>
      <c r="Q32" s="31"/>
      <c r="R32" s="31"/>
      <c r="S32" s="33"/>
      <c r="T32" s="31"/>
      <c r="U32" s="34"/>
      <c r="V32" s="5"/>
    </row>
    <row r="33" spans="1:22" ht="15.6" x14ac:dyDescent="0.3">
      <c r="A33" s="24"/>
      <c r="B33" s="29" t="s">
        <v>140</v>
      </c>
      <c r="C33" s="32"/>
      <c r="D33" s="151">
        <f>D37*D31</f>
        <v>963645.2</v>
      </c>
      <c r="E33" s="36"/>
      <c r="F33" s="35">
        <f>F37*F31</f>
        <v>146258.84</v>
      </c>
      <c r="G33" s="35"/>
      <c r="H33" s="125">
        <f>H31*H37</f>
        <v>214936.90399999998</v>
      </c>
      <c r="I33" s="35"/>
      <c r="J33" s="35">
        <f>J31*J37</f>
        <v>16000</v>
      </c>
      <c r="K33" s="35"/>
      <c r="L33" s="125">
        <f>L31*L37</f>
        <v>82400</v>
      </c>
      <c r="M33" s="35"/>
      <c r="N33" s="125">
        <f>N31*N37</f>
        <v>87500</v>
      </c>
      <c r="O33" s="35"/>
      <c r="P33" s="125"/>
      <c r="Q33" s="31"/>
      <c r="R33" s="31"/>
      <c r="S33" s="33"/>
      <c r="T33" s="31"/>
      <c r="U33" s="34"/>
      <c r="V33" s="5"/>
    </row>
    <row r="34" spans="1:22" ht="15.6" x14ac:dyDescent="0.3">
      <c r="A34" s="28"/>
      <c r="B34" s="25" t="s">
        <v>283</v>
      </c>
      <c r="C34" s="36"/>
      <c r="D34" s="31">
        <v>567282</v>
      </c>
      <c r="E34" s="32"/>
      <c r="F34" s="31">
        <v>149500</v>
      </c>
      <c r="G34" s="31"/>
      <c r="H34" s="31">
        <v>150716</v>
      </c>
      <c r="I34" s="31"/>
      <c r="J34" s="31">
        <v>16000</v>
      </c>
      <c r="K34" s="31"/>
      <c r="L34" s="31">
        <v>56527</v>
      </c>
      <c r="M34" s="31"/>
      <c r="N34" s="31">
        <v>60025</v>
      </c>
      <c r="O34" s="31"/>
      <c r="P34" s="31"/>
      <c r="Q34" s="35"/>
      <c r="R34" s="35"/>
      <c r="S34" s="37"/>
      <c r="T34" s="154">
        <f>SUM(C34:P34)</f>
        <v>1000050</v>
      </c>
      <c r="U34" s="34"/>
      <c r="V34" s="5"/>
    </row>
    <row r="35" spans="1:22" ht="15.6" x14ac:dyDescent="0.3">
      <c r="A35" s="28"/>
      <c r="B35" s="25" t="s">
        <v>284</v>
      </c>
      <c r="C35" s="126"/>
      <c r="D35" s="31">
        <v>0</v>
      </c>
      <c r="E35" s="32"/>
      <c r="F35" s="31">
        <v>0</v>
      </c>
      <c r="G35" s="31"/>
      <c r="H35" s="31">
        <v>0</v>
      </c>
      <c r="I35" s="31"/>
      <c r="J35" s="31">
        <v>0</v>
      </c>
      <c r="K35" s="31"/>
      <c r="L35" s="31">
        <v>0</v>
      </c>
      <c r="M35" s="31"/>
      <c r="N35" s="31">
        <v>0</v>
      </c>
      <c r="O35" s="31"/>
      <c r="P35" s="31"/>
      <c r="Q35" s="31"/>
      <c r="R35" s="31"/>
      <c r="S35" s="33"/>
      <c r="T35" s="154">
        <f>SUM(C35:P35)</f>
        <v>0</v>
      </c>
      <c r="U35" s="34"/>
      <c r="V35" s="5"/>
    </row>
    <row r="36" spans="1:22" ht="15.6" x14ac:dyDescent="0.3">
      <c r="A36" s="28"/>
      <c r="B36" s="29" t="s">
        <v>285</v>
      </c>
      <c r="C36" s="126"/>
      <c r="D36" s="35">
        <f>D37*D34</f>
        <v>554983.32623999997</v>
      </c>
      <c r="E36" s="36"/>
      <c r="F36" s="35">
        <f>F37*F34</f>
        <v>146258.84</v>
      </c>
      <c r="G36" s="35"/>
      <c r="H36" s="35">
        <f>H37*H34</f>
        <v>147448.47712</v>
      </c>
      <c r="I36" s="35"/>
      <c r="J36" s="35">
        <f>+J34</f>
        <v>16000</v>
      </c>
      <c r="K36" s="35"/>
      <c r="L36" s="35">
        <f>+L34</f>
        <v>56527</v>
      </c>
      <c r="M36" s="35"/>
      <c r="N36" s="35">
        <f>+N34</f>
        <v>60025</v>
      </c>
      <c r="O36" s="35"/>
      <c r="P36" s="35"/>
      <c r="Q36" s="128"/>
      <c r="R36" s="128"/>
      <c r="S36" s="33"/>
      <c r="T36" s="155">
        <f>SUM(C36:P36)</f>
        <v>981242.64335999987</v>
      </c>
      <c r="U36" s="34"/>
      <c r="V36" s="5"/>
    </row>
    <row r="37" spans="1:22" ht="15.6" x14ac:dyDescent="0.3">
      <c r="A37" s="24"/>
      <c r="B37" s="122" t="s">
        <v>136</v>
      </c>
      <c r="C37" s="25"/>
      <c r="D37" s="135">
        <v>0.97831999999999997</v>
      </c>
      <c r="E37" s="136"/>
      <c r="F37" s="135">
        <v>0.97831999999999997</v>
      </c>
      <c r="G37" s="135"/>
      <c r="H37" s="135">
        <v>0.97831999999999997</v>
      </c>
      <c r="I37" s="135"/>
      <c r="J37" s="135">
        <v>1</v>
      </c>
      <c r="K37" s="135"/>
      <c r="L37" s="135">
        <v>1</v>
      </c>
      <c r="M37" s="135"/>
      <c r="N37" s="135">
        <v>1</v>
      </c>
      <c r="O37" s="135"/>
      <c r="P37" s="135"/>
      <c r="Q37" s="30"/>
      <c r="R37" s="30"/>
      <c r="S37" s="27"/>
      <c r="T37" s="27"/>
      <c r="U37" s="25"/>
      <c r="V37" s="5"/>
    </row>
    <row r="38" spans="1:22" ht="15.6" x14ac:dyDescent="0.3">
      <c r="A38" s="24"/>
      <c r="B38" s="122" t="s">
        <v>137</v>
      </c>
      <c r="C38" s="25"/>
      <c r="D38" s="135">
        <v>1</v>
      </c>
      <c r="E38" s="136"/>
      <c r="F38" s="135">
        <v>1</v>
      </c>
      <c r="G38" s="135"/>
      <c r="H38" s="135">
        <v>1</v>
      </c>
      <c r="I38" s="135"/>
      <c r="J38" s="135">
        <v>1</v>
      </c>
      <c r="K38" s="135"/>
      <c r="L38" s="135">
        <v>1</v>
      </c>
      <c r="M38" s="135"/>
      <c r="N38" s="135">
        <v>1</v>
      </c>
      <c r="O38" s="135"/>
      <c r="P38" s="135"/>
      <c r="Q38" s="39"/>
      <c r="R38" s="38"/>
      <c r="S38" s="27"/>
      <c r="T38" s="39"/>
      <c r="U38" s="25"/>
      <c r="V38" s="5"/>
    </row>
    <row r="39" spans="1:22" ht="15.6" x14ac:dyDescent="0.3">
      <c r="A39" s="24"/>
      <c r="B39" s="25" t="s">
        <v>11</v>
      </c>
      <c r="C39" s="25"/>
      <c r="D39" s="30" t="s">
        <v>252</v>
      </c>
      <c r="E39" s="25"/>
      <c r="F39" s="30" t="s">
        <v>231</v>
      </c>
      <c r="G39" s="30"/>
      <c r="H39" s="30" t="s">
        <v>231</v>
      </c>
      <c r="I39" s="30"/>
      <c r="J39" s="30" t="s">
        <v>232</v>
      </c>
      <c r="K39" s="30"/>
      <c r="L39" s="30" t="s">
        <v>232</v>
      </c>
      <c r="M39" s="30"/>
      <c r="N39" s="30" t="s">
        <v>233</v>
      </c>
      <c r="O39" s="30"/>
      <c r="P39" s="30"/>
      <c r="Q39" s="39"/>
      <c r="R39" s="38"/>
      <c r="S39" s="27"/>
      <c r="T39" s="27"/>
      <c r="U39" s="25"/>
      <c r="V39" s="5"/>
    </row>
    <row r="40" spans="1:22" ht="15.6" x14ac:dyDescent="0.3">
      <c r="A40" s="24"/>
      <c r="B40" s="25" t="s">
        <v>12</v>
      </c>
      <c r="C40" s="25"/>
      <c r="D40" s="38">
        <v>5.1887500000000003E-2</v>
      </c>
      <c r="E40" s="25"/>
      <c r="F40" s="38">
        <v>4.7183000000000003E-2</v>
      </c>
      <c r="G40" s="39"/>
      <c r="H40" s="38">
        <v>2.896E-2</v>
      </c>
      <c r="I40" s="39"/>
      <c r="J40" s="38">
        <v>4.8383000000000002E-2</v>
      </c>
      <c r="K40" s="39"/>
      <c r="L40" s="38">
        <v>3.0159999999999999E-2</v>
      </c>
      <c r="M40" s="39"/>
      <c r="N40" s="38">
        <v>3.2259999999999997E-2</v>
      </c>
      <c r="O40" s="39"/>
      <c r="P40" s="38"/>
      <c r="Q40" s="39"/>
      <c r="R40" s="38"/>
      <c r="S40" s="27"/>
      <c r="T40" s="30"/>
      <c r="U40" s="25"/>
      <c r="V40" s="5"/>
    </row>
    <row r="41" spans="1:22" ht="15.6" x14ac:dyDescent="0.3">
      <c r="A41" s="24"/>
      <c r="B41" s="25" t="s">
        <v>13</v>
      </c>
      <c r="C41" s="25"/>
      <c r="D41" s="38">
        <v>0</v>
      </c>
      <c r="E41" s="25"/>
      <c r="F41" s="38">
        <v>0</v>
      </c>
      <c r="G41" s="39"/>
      <c r="H41" s="38">
        <v>0</v>
      </c>
      <c r="I41" s="38"/>
      <c r="J41" s="38">
        <v>0</v>
      </c>
      <c r="K41" s="38"/>
      <c r="L41" s="38">
        <v>0</v>
      </c>
      <c r="M41" s="38"/>
      <c r="N41" s="38">
        <v>0</v>
      </c>
      <c r="O41" s="38"/>
      <c r="P41" s="38"/>
      <c r="Q41" s="39"/>
      <c r="R41" s="38"/>
      <c r="S41" s="27"/>
      <c r="T41" s="39" t="s">
        <v>201</v>
      </c>
      <c r="U41" s="25"/>
      <c r="V41" s="5"/>
    </row>
    <row r="42" spans="1:22" ht="15.6" x14ac:dyDescent="0.3">
      <c r="A42" s="24"/>
      <c r="B42" s="25" t="s">
        <v>286</v>
      </c>
      <c r="C42" s="25"/>
      <c r="D42" s="30" t="s">
        <v>256</v>
      </c>
      <c r="E42" s="25"/>
      <c r="F42" s="30" t="s">
        <v>231</v>
      </c>
      <c r="G42" s="30"/>
      <c r="H42" s="30" t="s">
        <v>243</v>
      </c>
      <c r="I42" s="30"/>
      <c r="J42" s="30" t="s">
        <v>232</v>
      </c>
      <c r="K42" s="30"/>
      <c r="L42" s="30" t="s">
        <v>244</v>
      </c>
      <c r="M42" s="30"/>
      <c r="N42" s="30" t="s">
        <v>246</v>
      </c>
      <c r="O42" s="30"/>
      <c r="P42" s="30"/>
      <c r="Q42" s="39"/>
      <c r="R42" s="38"/>
      <c r="S42" s="27"/>
      <c r="T42" s="27"/>
      <c r="U42" s="25"/>
      <c r="V42" s="5"/>
    </row>
    <row r="43" spans="1:22" ht="15.6" x14ac:dyDescent="0.3">
      <c r="A43" s="24"/>
      <c r="B43" s="25" t="s">
        <v>287</v>
      </c>
      <c r="C43" s="110"/>
      <c r="D43" s="38">
        <v>4.6109999999999998E-2</v>
      </c>
      <c r="E43" s="38"/>
      <c r="F43" s="38">
        <v>4.7183000000000003E-2</v>
      </c>
      <c r="G43" s="38"/>
      <c r="H43" s="38">
        <v>4.7181000000000001E-2</v>
      </c>
      <c r="I43" s="38"/>
      <c r="J43" s="38">
        <v>4.838303E-2</v>
      </c>
      <c r="K43" s="38"/>
      <c r="L43" s="38">
        <v>4.8536000000000003E-2</v>
      </c>
      <c r="M43" s="38"/>
      <c r="N43" s="38">
        <v>5.0880000000000002E-2</v>
      </c>
      <c r="O43" s="39"/>
      <c r="P43" s="38"/>
      <c r="Q43" s="30"/>
      <c r="R43" s="30"/>
      <c r="S43" s="27"/>
      <c r="T43" s="39">
        <f>SUMPRODUCT(D43:P43,D34:P34)/T34</f>
        <v>4.6891613487325637E-2</v>
      </c>
      <c r="U43" s="25"/>
      <c r="V43" s="5"/>
    </row>
    <row r="44" spans="1:22" ht="15.6" x14ac:dyDescent="0.3">
      <c r="A44" s="24"/>
      <c r="B44" s="25" t="s">
        <v>288</v>
      </c>
      <c r="C44" s="110"/>
      <c r="D44" s="38">
        <v>0</v>
      </c>
      <c r="E44" s="25"/>
      <c r="F44" s="38">
        <v>0</v>
      </c>
      <c r="G44" s="39"/>
      <c r="H44" s="38">
        <v>0</v>
      </c>
      <c r="I44" s="39"/>
      <c r="J44" s="38">
        <v>0</v>
      </c>
      <c r="K44" s="39"/>
      <c r="L44" s="38">
        <v>0</v>
      </c>
      <c r="M44" s="39"/>
      <c r="N44" s="38">
        <v>0</v>
      </c>
      <c r="O44" s="39"/>
      <c r="P44" s="38"/>
      <c r="Q44" s="30"/>
      <c r="R44" s="30"/>
      <c r="S44" s="27"/>
      <c r="T44" s="27"/>
      <c r="U44" s="25"/>
      <c r="V44" s="5"/>
    </row>
    <row r="45" spans="1:22" ht="15.6" x14ac:dyDescent="0.3">
      <c r="A45" s="24"/>
      <c r="B45" s="25" t="s">
        <v>14</v>
      </c>
      <c r="C45" s="25"/>
      <c r="D45" s="110">
        <v>40283</v>
      </c>
      <c r="E45" s="110"/>
      <c r="F45" s="110">
        <v>40283</v>
      </c>
      <c r="G45" s="110"/>
      <c r="H45" s="110">
        <v>40283</v>
      </c>
      <c r="I45" s="110"/>
      <c r="J45" s="110">
        <v>40283</v>
      </c>
      <c r="K45" s="110"/>
      <c r="L45" s="110">
        <v>40283</v>
      </c>
      <c r="M45" s="110"/>
      <c r="N45" s="110">
        <v>40283</v>
      </c>
      <c r="O45" s="110"/>
      <c r="P45" s="110"/>
      <c r="Q45" s="30"/>
      <c r="R45" s="30"/>
      <c r="S45" s="27"/>
      <c r="T45" s="27"/>
      <c r="U45" s="25"/>
      <c r="V45" s="5"/>
    </row>
    <row r="46" spans="1:22" ht="15.6" x14ac:dyDescent="0.3">
      <c r="A46" s="24"/>
      <c r="B46" s="25" t="s">
        <v>15</v>
      </c>
      <c r="C46" s="25"/>
      <c r="D46" s="110">
        <v>40648</v>
      </c>
      <c r="E46" s="110"/>
      <c r="F46" s="110">
        <v>40648</v>
      </c>
      <c r="G46" s="110"/>
      <c r="H46" s="110">
        <v>40648</v>
      </c>
      <c r="I46" s="30"/>
      <c r="J46" s="110">
        <v>40648</v>
      </c>
      <c r="K46" s="30"/>
      <c r="L46" s="110">
        <v>40648</v>
      </c>
      <c r="M46" s="30"/>
      <c r="N46" s="110">
        <v>40648</v>
      </c>
      <c r="O46" s="30"/>
      <c r="P46" s="110"/>
      <c r="Q46" s="30"/>
      <c r="R46" s="30"/>
      <c r="S46" s="27"/>
      <c r="T46" s="27"/>
      <c r="U46" s="25"/>
      <c r="V46" s="5"/>
    </row>
    <row r="47" spans="1:22" ht="15.6" x14ac:dyDescent="0.3">
      <c r="A47" s="24"/>
      <c r="B47" s="25" t="s">
        <v>125</v>
      </c>
      <c r="C47" s="25"/>
      <c r="D47" s="160" t="s">
        <v>124</v>
      </c>
      <c r="E47" s="25"/>
      <c r="F47" s="30" t="s">
        <v>232</v>
      </c>
      <c r="G47" s="30"/>
      <c r="H47" s="30" t="s">
        <v>232</v>
      </c>
      <c r="I47" s="30"/>
      <c r="J47" s="30" t="s">
        <v>234</v>
      </c>
      <c r="K47" s="30"/>
      <c r="L47" s="30" t="s">
        <v>234</v>
      </c>
      <c r="M47" s="30"/>
      <c r="N47" s="30" t="s">
        <v>235</v>
      </c>
      <c r="O47" s="30"/>
      <c r="P47" s="30"/>
      <c r="Q47" s="40"/>
      <c r="R47" s="40"/>
      <c r="S47" s="40"/>
      <c r="T47" s="40"/>
      <c r="U47" s="25"/>
      <c r="V47" s="5"/>
    </row>
    <row r="48" spans="1:22" ht="15.6" x14ac:dyDescent="0.3">
      <c r="A48" s="24"/>
      <c r="B48" s="25" t="s">
        <v>289</v>
      </c>
      <c r="C48" s="25"/>
      <c r="D48" s="30" t="s">
        <v>208</v>
      </c>
      <c r="E48" s="25"/>
      <c r="F48" s="30" t="s">
        <v>232</v>
      </c>
      <c r="G48" s="30"/>
      <c r="H48" s="30" t="s">
        <v>232</v>
      </c>
      <c r="I48" s="30"/>
      <c r="J48" s="30" t="s">
        <v>234</v>
      </c>
      <c r="K48" s="30"/>
      <c r="L48" s="30" t="s">
        <v>245</v>
      </c>
      <c r="M48" s="30"/>
      <c r="N48" s="30" t="s">
        <v>247</v>
      </c>
      <c r="O48" s="30"/>
      <c r="P48" s="30"/>
      <c r="Q48" s="25"/>
      <c r="R48" s="25"/>
      <c r="S48" s="25"/>
      <c r="T48" s="39"/>
      <c r="U48" s="25"/>
      <c r="V48" s="5"/>
    </row>
    <row r="49" spans="1:23" ht="15.6" x14ac:dyDescent="0.3">
      <c r="A49" s="24"/>
      <c r="B49" s="25"/>
      <c r="C49" s="25"/>
      <c r="D49" s="30"/>
      <c r="E49" s="25"/>
      <c r="F49" s="30"/>
      <c r="G49" s="30"/>
      <c r="H49" s="30"/>
      <c r="I49" s="30"/>
      <c r="J49" s="30"/>
      <c r="K49" s="30"/>
      <c r="L49" s="30"/>
      <c r="M49" s="30"/>
      <c r="N49" s="30"/>
      <c r="O49" s="30"/>
      <c r="P49" s="30"/>
      <c r="Q49" s="25"/>
      <c r="R49" s="25"/>
      <c r="S49" s="25"/>
      <c r="T49" s="39" t="s">
        <v>201</v>
      </c>
      <c r="U49" s="25"/>
      <c r="V49" s="5"/>
    </row>
    <row r="50" spans="1:23" ht="15.6" x14ac:dyDescent="0.3">
      <c r="A50" s="24"/>
      <c r="B50" s="25" t="s">
        <v>176</v>
      </c>
      <c r="C50" s="25"/>
      <c r="D50" s="30"/>
      <c r="E50" s="25"/>
      <c r="F50" s="30"/>
      <c r="G50" s="30"/>
      <c r="H50" s="30"/>
      <c r="I50" s="30"/>
      <c r="J50" s="30"/>
      <c r="K50" s="30"/>
      <c r="L50" s="30"/>
      <c r="M50" s="30"/>
      <c r="N50" s="30"/>
      <c r="O50" s="30"/>
      <c r="P50" s="30"/>
      <c r="Q50" s="25"/>
      <c r="R50" s="25"/>
      <c r="S50" s="25"/>
      <c r="T50" s="39">
        <f>SUM(J34:P34)/SUM(D34:H34)</f>
        <v>0.15279804679664968</v>
      </c>
      <c r="U50" s="25"/>
      <c r="V50" s="5"/>
    </row>
    <row r="51" spans="1:23" ht="15.6" x14ac:dyDescent="0.3">
      <c r="A51" s="24"/>
      <c r="B51" s="25" t="s">
        <v>177</v>
      </c>
      <c r="C51" s="25"/>
      <c r="D51" s="25"/>
      <c r="E51" s="25"/>
      <c r="F51" s="41"/>
      <c r="G51" s="25"/>
      <c r="H51" s="25"/>
      <c r="I51" s="25"/>
      <c r="J51" s="25"/>
      <c r="K51" s="25"/>
      <c r="L51" s="25"/>
      <c r="M51" s="25"/>
      <c r="N51" s="25"/>
      <c r="O51" s="25"/>
      <c r="P51" s="25"/>
      <c r="Q51" s="25"/>
      <c r="R51" s="25"/>
      <c r="S51" s="25"/>
      <c r="T51" s="39">
        <f>SUM(J36:P36)/SUM(D36:H36)</f>
        <v>0.15618411848541347</v>
      </c>
      <c r="U51" s="25"/>
      <c r="V51" s="5"/>
    </row>
    <row r="52" spans="1:23" ht="15.6" x14ac:dyDescent="0.3">
      <c r="A52" s="24"/>
      <c r="B52" s="25" t="s">
        <v>178</v>
      </c>
      <c r="C52" s="25"/>
      <c r="D52" s="25"/>
      <c r="E52" s="25"/>
      <c r="F52" s="25"/>
      <c r="G52" s="25"/>
      <c r="H52" s="25"/>
      <c r="I52" s="25"/>
      <c r="J52" s="25"/>
      <c r="K52" s="25"/>
      <c r="L52" s="25"/>
      <c r="M52" s="25"/>
      <c r="N52" s="25"/>
      <c r="O52" s="25"/>
      <c r="P52" s="25"/>
      <c r="Q52" s="25"/>
      <c r="R52" s="30" t="s">
        <v>109</v>
      </c>
      <c r="S52" s="30" t="s">
        <v>115</v>
      </c>
      <c r="T52" s="31">
        <f>+T34/2-SUM(J34:P34)</f>
        <v>367473</v>
      </c>
      <c r="U52" s="25"/>
      <c r="V52" s="5"/>
    </row>
    <row r="53" spans="1:23" ht="15.6" x14ac:dyDescent="0.3">
      <c r="A53" s="24"/>
      <c r="B53" s="25"/>
      <c r="C53" s="25"/>
      <c r="D53" s="25"/>
      <c r="E53" s="25"/>
      <c r="F53" s="25"/>
      <c r="G53" s="25"/>
      <c r="H53" s="25"/>
      <c r="I53" s="25"/>
      <c r="J53" s="25"/>
      <c r="K53" s="25"/>
      <c r="L53" s="25"/>
      <c r="M53" s="25"/>
      <c r="N53" s="25"/>
      <c r="O53" s="25"/>
      <c r="P53" s="25"/>
      <c r="Q53" s="25"/>
      <c r="R53" s="25"/>
      <c r="S53" s="25"/>
      <c r="T53" s="42"/>
      <c r="U53" s="25"/>
      <c r="V53" s="5"/>
    </row>
    <row r="54" spans="1:23" ht="15.6" x14ac:dyDescent="0.3">
      <c r="A54" s="24"/>
      <c r="B54" s="25" t="s">
        <v>211</v>
      </c>
      <c r="C54" s="25"/>
      <c r="D54" s="25"/>
      <c r="E54" s="25"/>
      <c r="F54" s="25"/>
      <c r="G54" s="25"/>
      <c r="H54" s="25"/>
      <c r="I54" s="25"/>
      <c r="J54" s="25"/>
      <c r="K54" s="25"/>
      <c r="L54" s="25"/>
      <c r="M54" s="25"/>
      <c r="N54" s="25"/>
      <c r="O54" s="25"/>
      <c r="P54" s="25"/>
      <c r="Q54" s="25"/>
      <c r="R54" s="25"/>
      <c r="S54" s="25"/>
      <c r="T54" s="156" t="s">
        <v>212</v>
      </c>
      <c r="U54" s="25"/>
      <c r="V54" s="5"/>
    </row>
    <row r="55" spans="1:23" ht="15.6" x14ac:dyDescent="0.3">
      <c r="A55" s="24"/>
      <c r="B55" s="25" t="s">
        <v>253</v>
      </c>
      <c r="C55" s="25"/>
      <c r="D55" s="25"/>
      <c r="E55" s="25"/>
      <c r="F55" s="25"/>
      <c r="G55" s="25"/>
      <c r="H55" s="25"/>
      <c r="I55" s="25"/>
      <c r="J55" s="25"/>
      <c r="K55" s="25"/>
      <c r="L55" s="25"/>
      <c r="M55" s="25"/>
      <c r="N55" s="25"/>
      <c r="O55" s="25"/>
      <c r="P55" s="25"/>
      <c r="Q55" s="25"/>
      <c r="R55" s="30"/>
      <c r="S55" s="30"/>
      <c r="T55" s="157" t="s">
        <v>117</v>
      </c>
      <c r="U55" s="25"/>
      <c r="V55" s="5"/>
    </row>
    <row r="56" spans="1:23" ht="15.6" x14ac:dyDescent="0.3">
      <c r="A56" s="24"/>
      <c r="B56" s="29" t="s">
        <v>210</v>
      </c>
      <c r="C56" s="29"/>
      <c r="D56" s="29"/>
      <c r="E56" s="29"/>
      <c r="F56" s="29"/>
      <c r="G56" s="29"/>
      <c r="H56" s="29"/>
      <c r="I56" s="29"/>
      <c r="J56" s="29"/>
      <c r="K56" s="29"/>
      <c r="L56" s="29"/>
      <c r="M56" s="29"/>
      <c r="N56" s="29"/>
      <c r="O56" s="29"/>
      <c r="P56" s="29"/>
      <c r="Q56" s="29"/>
      <c r="R56" s="43"/>
      <c r="S56" s="43"/>
      <c r="T56" s="44">
        <v>38915</v>
      </c>
      <c r="U56" s="25"/>
      <c r="V56" s="5"/>
    </row>
    <row r="57" spans="1:23" ht="15.6" x14ac:dyDescent="0.3">
      <c r="A57" s="24"/>
      <c r="B57" s="25" t="s">
        <v>127</v>
      </c>
      <c r="C57" s="25"/>
      <c r="D57" s="25"/>
      <c r="E57" s="25"/>
      <c r="F57" s="25"/>
      <c r="G57" s="25"/>
      <c r="H57" s="58"/>
      <c r="I57" s="58"/>
      <c r="J57" s="58"/>
      <c r="K57" s="58"/>
      <c r="L57" s="58"/>
      <c r="M57" s="58"/>
      <c r="N57" s="58"/>
      <c r="O57" s="58"/>
      <c r="P57" s="58"/>
      <c r="Q57" s="58"/>
      <c r="R57" s="45"/>
      <c r="S57" s="46"/>
      <c r="T57" s="45"/>
      <c r="U57" s="25"/>
      <c r="V57" s="5"/>
    </row>
    <row r="58" spans="1:23" ht="15.6" x14ac:dyDescent="0.3">
      <c r="A58" s="24"/>
      <c r="B58" s="25" t="s">
        <v>128</v>
      </c>
      <c r="C58" s="25"/>
      <c r="D58" s="25"/>
      <c r="E58" s="25"/>
      <c r="F58" s="25"/>
      <c r="G58" s="25"/>
      <c r="H58" s="25"/>
      <c r="I58" s="25"/>
      <c r="J58" s="25"/>
      <c r="K58" s="25"/>
      <c r="L58" s="25"/>
      <c r="M58" s="25"/>
      <c r="N58" s="25"/>
      <c r="O58" s="25"/>
      <c r="P58" s="25">
        <f>+T58-R58+1</f>
        <v>116</v>
      </c>
      <c r="Q58" s="25"/>
      <c r="R58" s="45">
        <v>38799</v>
      </c>
      <c r="S58" s="46"/>
      <c r="T58" s="45">
        <v>38914</v>
      </c>
      <c r="U58" s="25"/>
      <c r="V58" s="5"/>
    </row>
    <row r="59" spans="1:23" ht="15.6" x14ac:dyDescent="0.3">
      <c r="A59" s="24"/>
      <c r="B59" s="25" t="s">
        <v>209</v>
      </c>
      <c r="C59" s="25"/>
      <c r="D59" s="25"/>
      <c r="E59" s="25"/>
      <c r="F59" s="25"/>
      <c r="G59" s="25"/>
      <c r="H59" s="25"/>
      <c r="I59" s="25"/>
      <c r="J59" s="25"/>
      <c r="K59" s="25"/>
      <c r="L59" s="25"/>
      <c r="M59" s="25"/>
      <c r="N59" s="25"/>
      <c r="O59" s="25"/>
      <c r="P59" s="25"/>
      <c r="Q59" s="25"/>
      <c r="R59" s="45"/>
      <c r="S59" s="46"/>
      <c r="T59" s="45" t="s">
        <v>126</v>
      </c>
      <c r="U59" s="25"/>
      <c r="V59" s="5"/>
    </row>
    <row r="60" spans="1:23" ht="15.6" x14ac:dyDescent="0.3">
      <c r="A60" s="24"/>
      <c r="B60" s="25" t="s">
        <v>249</v>
      </c>
      <c r="C60" s="25"/>
      <c r="D60" s="25"/>
      <c r="E60" s="25"/>
      <c r="F60" s="25"/>
      <c r="G60" s="25"/>
      <c r="H60" s="25"/>
      <c r="I60" s="25"/>
      <c r="J60" s="25"/>
      <c r="K60" s="25"/>
      <c r="L60" s="25"/>
      <c r="M60" s="25"/>
      <c r="N60" s="25"/>
      <c r="O60" s="25"/>
      <c r="P60" s="25"/>
      <c r="Q60" s="25"/>
      <c r="R60" s="45"/>
      <c r="S60" s="46"/>
      <c r="T60" s="45" t="s">
        <v>160</v>
      </c>
      <c r="U60" s="25"/>
      <c r="V60" s="5"/>
      <c r="W60" s="134"/>
    </row>
    <row r="61" spans="1:23" ht="15.6" x14ac:dyDescent="0.3">
      <c r="A61" s="24"/>
      <c r="B61" s="25" t="s">
        <v>16</v>
      </c>
      <c r="C61" s="25"/>
      <c r="D61" s="25"/>
      <c r="E61" s="25"/>
      <c r="F61" s="25"/>
      <c r="G61" s="25"/>
      <c r="H61" s="25"/>
      <c r="I61" s="25"/>
      <c r="J61" s="25"/>
      <c r="K61" s="25"/>
      <c r="L61" s="25"/>
      <c r="M61" s="25"/>
      <c r="N61" s="25"/>
      <c r="O61" s="25"/>
      <c r="P61" s="25"/>
      <c r="Q61" s="25"/>
      <c r="R61" s="45"/>
      <c r="S61" s="46"/>
      <c r="T61" s="45">
        <v>38901</v>
      </c>
      <c r="U61" s="25"/>
      <c r="V61" s="5"/>
    </row>
    <row r="62" spans="1:23" ht="15.6" x14ac:dyDescent="0.3">
      <c r="A62" s="24"/>
      <c r="B62" s="25"/>
      <c r="C62" s="25"/>
      <c r="D62" s="25"/>
      <c r="E62" s="25"/>
      <c r="F62" s="25"/>
      <c r="G62" s="25"/>
      <c r="H62" s="25"/>
      <c r="I62" s="25"/>
      <c r="J62" s="25"/>
      <c r="K62" s="25"/>
      <c r="L62" s="25"/>
      <c r="M62" s="25"/>
      <c r="N62" s="25"/>
      <c r="O62" s="25"/>
      <c r="P62" s="25"/>
      <c r="Q62" s="25"/>
      <c r="R62" s="45"/>
      <c r="S62" s="46"/>
      <c r="T62" s="45"/>
      <c r="U62" s="25"/>
      <c r="V62" s="5"/>
    </row>
    <row r="63" spans="1:23" ht="15.6" x14ac:dyDescent="0.3">
      <c r="A63" s="6"/>
      <c r="B63" s="8"/>
      <c r="C63" s="8"/>
      <c r="D63" s="8"/>
      <c r="E63" s="8"/>
      <c r="F63" s="8"/>
      <c r="G63" s="8"/>
      <c r="H63" s="8"/>
      <c r="I63" s="8"/>
      <c r="J63" s="8"/>
      <c r="K63" s="8"/>
      <c r="L63" s="8"/>
      <c r="M63" s="8"/>
      <c r="N63" s="8"/>
      <c r="O63" s="8"/>
      <c r="P63" s="8"/>
      <c r="Q63" s="8"/>
      <c r="R63" s="47"/>
      <c r="S63" s="48"/>
      <c r="T63" s="47"/>
      <c r="U63" s="8"/>
      <c r="V63" s="5"/>
    </row>
    <row r="64" spans="1:23" ht="18" thickBot="1" x14ac:dyDescent="0.35">
      <c r="A64" s="101"/>
      <c r="B64" s="102" t="s">
        <v>248</v>
      </c>
      <c r="C64" s="103"/>
      <c r="D64" s="103"/>
      <c r="E64" s="103"/>
      <c r="F64" s="103"/>
      <c r="G64" s="103"/>
      <c r="H64" s="103"/>
      <c r="I64" s="103"/>
      <c r="J64" s="103"/>
      <c r="K64" s="103"/>
      <c r="L64" s="103"/>
      <c r="M64" s="103"/>
      <c r="N64" s="103"/>
      <c r="O64" s="103"/>
      <c r="P64" s="103"/>
      <c r="Q64" s="103"/>
      <c r="R64" s="103"/>
      <c r="S64" s="103"/>
      <c r="T64" s="104"/>
      <c r="U64" s="105"/>
      <c r="V64" s="5"/>
    </row>
    <row r="65" spans="1:22" ht="15.6" x14ac:dyDescent="0.3">
      <c r="A65" s="2"/>
      <c r="B65" s="4"/>
      <c r="C65" s="4"/>
      <c r="D65" s="4"/>
      <c r="E65" s="4"/>
      <c r="F65" s="4"/>
      <c r="G65" s="4"/>
      <c r="H65" s="4"/>
      <c r="I65" s="4"/>
      <c r="J65" s="4"/>
      <c r="K65" s="4"/>
      <c r="L65" s="4"/>
      <c r="M65" s="4"/>
      <c r="N65" s="4"/>
      <c r="O65" s="4"/>
      <c r="P65" s="4"/>
      <c r="Q65" s="4"/>
      <c r="R65" s="4"/>
      <c r="S65" s="4"/>
      <c r="T65" s="50"/>
      <c r="U65" s="4"/>
      <c r="V65" s="5"/>
    </row>
    <row r="66" spans="1:22" ht="15.6" x14ac:dyDescent="0.3">
      <c r="A66" s="6"/>
      <c r="B66" s="51" t="s">
        <v>17</v>
      </c>
      <c r="C66" s="8"/>
      <c r="D66" s="8"/>
      <c r="E66" s="8"/>
      <c r="F66" s="8"/>
      <c r="G66" s="8"/>
      <c r="H66" s="8"/>
      <c r="I66" s="8"/>
      <c r="J66" s="8"/>
      <c r="K66" s="8"/>
      <c r="L66" s="8"/>
      <c r="M66" s="8"/>
      <c r="N66" s="8"/>
      <c r="O66" s="8"/>
      <c r="P66" s="8"/>
      <c r="Q66" s="8"/>
      <c r="R66" s="8"/>
      <c r="S66" s="8"/>
      <c r="T66" s="52"/>
      <c r="U66" s="8"/>
      <c r="V66" s="5"/>
    </row>
    <row r="67" spans="1:22" ht="15.6" x14ac:dyDescent="0.3">
      <c r="A67" s="6"/>
      <c r="B67" s="13"/>
      <c r="C67" s="8"/>
      <c r="D67" s="8"/>
      <c r="E67" s="8"/>
      <c r="F67" s="8"/>
      <c r="G67" s="8"/>
      <c r="H67" s="8"/>
      <c r="I67" s="8"/>
      <c r="J67" s="8"/>
      <c r="K67" s="8"/>
      <c r="L67" s="8"/>
      <c r="M67" s="8"/>
      <c r="N67" s="8"/>
      <c r="O67" s="8"/>
      <c r="P67" s="8"/>
      <c r="Q67" s="8"/>
      <c r="R67" s="8"/>
      <c r="S67" s="8"/>
      <c r="T67" s="52"/>
      <c r="U67" s="8"/>
      <c r="V67" s="5"/>
    </row>
    <row r="68" spans="1:22" ht="46.8" x14ac:dyDescent="0.3">
      <c r="A68" s="6"/>
      <c r="B68" s="114" t="s">
        <v>18</v>
      </c>
      <c r="C68" s="115"/>
      <c r="D68" s="115"/>
      <c r="E68" s="115"/>
      <c r="F68" s="115"/>
      <c r="G68" s="115"/>
      <c r="H68" s="115"/>
      <c r="I68" s="115"/>
      <c r="J68" s="115" t="s">
        <v>97</v>
      </c>
      <c r="K68" s="115"/>
      <c r="L68" s="115" t="s">
        <v>99</v>
      </c>
      <c r="M68" s="115"/>
      <c r="N68" s="115" t="s">
        <v>101</v>
      </c>
      <c r="O68" s="115"/>
      <c r="P68" s="115" t="s">
        <v>103</v>
      </c>
      <c r="Q68" s="115"/>
      <c r="R68" s="115" t="s">
        <v>110</v>
      </c>
      <c r="S68" s="115"/>
      <c r="T68" s="116" t="s">
        <v>118</v>
      </c>
      <c r="U68" s="117"/>
      <c r="V68" s="5"/>
    </row>
    <row r="69" spans="1:22" ht="15.6" x14ac:dyDescent="0.3">
      <c r="A69" s="24"/>
      <c r="B69" s="25" t="s">
        <v>19</v>
      </c>
      <c r="C69" s="34"/>
      <c r="D69" s="34"/>
      <c r="E69" s="34"/>
      <c r="F69" s="34"/>
      <c r="G69" s="34"/>
      <c r="H69" s="34"/>
      <c r="I69" s="34"/>
      <c r="J69" s="34">
        <v>1000039</v>
      </c>
      <c r="K69" s="34"/>
      <c r="L69" s="53">
        <v>1000039</v>
      </c>
      <c r="M69" s="34"/>
      <c r="N69" s="34">
        <f>18807-10+5805+242-1</f>
        <v>24843</v>
      </c>
      <c r="O69" s="34"/>
      <c r="P69" s="34">
        <f>5805+242</f>
        <v>6047</v>
      </c>
      <c r="Q69" s="34"/>
      <c r="R69" s="34">
        <v>0</v>
      </c>
      <c r="S69" s="34"/>
      <c r="T69" s="53">
        <f>+J69-N69+P69-R69</f>
        <v>981243</v>
      </c>
      <c r="U69" s="25"/>
      <c r="V69" s="5"/>
    </row>
    <row r="70" spans="1:22" ht="15.6" x14ac:dyDescent="0.3">
      <c r="A70" s="24"/>
      <c r="B70" s="25" t="s">
        <v>20</v>
      </c>
      <c r="C70" s="34"/>
      <c r="D70" s="34"/>
      <c r="E70" s="34"/>
      <c r="F70" s="34"/>
      <c r="G70" s="34"/>
      <c r="H70" s="34"/>
      <c r="I70" s="34"/>
      <c r="J70" s="34">
        <v>10</v>
      </c>
      <c r="K70" s="34"/>
      <c r="L70" s="53">
        <v>10</v>
      </c>
      <c r="M70" s="34"/>
      <c r="N70" s="34">
        <v>10</v>
      </c>
      <c r="O70" s="34"/>
      <c r="P70" s="34">
        <v>0</v>
      </c>
      <c r="Q70" s="34"/>
      <c r="R70" s="34">
        <v>0</v>
      </c>
      <c r="S70" s="34"/>
      <c r="T70" s="53">
        <f>+J70-N70</f>
        <v>0</v>
      </c>
      <c r="U70" s="25"/>
      <c r="V70" s="5"/>
    </row>
    <row r="71" spans="1:22" ht="15.6" x14ac:dyDescent="0.3">
      <c r="A71" s="24"/>
      <c r="B71" s="25"/>
      <c r="C71" s="34"/>
      <c r="D71" s="34"/>
      <c r="E71" s="34"/>
      <c r="F71" s="34"/>
      <c r="G71" s="34"/>
      <c r="H71" s="34"/>
      <c r="I71" s="34"/>
      <c r="J71" s="34"/>
      <c r="K71" s="34"/>
      <c r="L71" s="53"/>
      <c r="M71" s="34"/>
      <c r="N71" s="34"/>
      <c r="O71" s="34"/>
      <c r="P71" s="34"/>
      <c r="Q71" s="34"/>
      <c r="R71" s="34"/>
      <c r="S71" s="34"/>
      <c r="T71" s="53"/>
      <c r="U71" s="25"/>
      <c r="V71" s="5"/>
    </row>
    <row r="72" spans="1:22" ht="15.6" x14ac:dyDescent="0.3">
      <c r="A72" s="24"/>
      <c r="B72" s="25" t="s">
        <v>21</v>
      </c>
      <c r="C72" s="34"/>
      <c r="D72" s="34"/>
      <c r="E72" s="34"/>
      <c r="F72" s="34"/>
      <c r="G72" s="34"/>
      <c r="H72" s="34"/>
      <c r="I72" s="34"/>
      <c r="J72" s="34">
        <f>SUM(J69:J71)</f>
        <v>1000049</v>
      </c>
      <c r="K72" s="34"/>
      <c r="L72" s="54">
        <f>L69+L70</f>
        <v>1000049</v>
      </c>
      <c r="M72" s="34"/>
      <c r="N72" s="34">
        <f>SUM(N69:N71)</f>
        <v>24853</v>
      </c>
      <c r="O72" s="34"/>
      <c r="P72" s="34">
        <f>SUM(P69:P71)</f>
        <v>6047</v>
      </c>
      <c r="Q72" s="34"/>
      <c r="R72" s="34">
        <f>SUM(R69:R71)</f>
        <v>0</v>
      </c>
      <c r="S72" s="34"/>
      <c r="T72" s="54">
        <f>SUM(T69:T71)</f>
        <v>981243</v>
      </c>
      <c r="U72" s="25"/>
      <c r="V72" s="5"/>
    </row>
    <row r="73" spans="1:22" ht="15.6" x14ac:dyDescent="0.3">
      <c r="A73" s="24"/>
      <c r="B73" s="25"/>
      <c r="C73" s="34"/>
      <c r="D73" s="34"/>
      <c r="E73" s="34"/>
      <c r="F73" s="34"/>
      <c r="G73" s="34"/>
      <c r="H73" s="34"/>
      <c r="I73" s="34"/>
      <c r="J73" s="34"/>
      <c r="K73" s="34"/>
      <c r="L73" s="34"/>
      <c r="M73" s="34"/>
      <c r="N73" s="34"/>
      <c r="O73" s="34"/>
      <c r="P73" s="34"/>
      <c r="Q73" s="34"/>
      <c r="R73" s="34"/>
      <c r="S73" s="34"/>
      <c r="T73" s="54"/>
      <c r="U73" s="25"/>
      <c r="V73" s="5"/>
    </row>
    <row r="74" spans="1:22" ht="15.6" x14ac:dyDescent="0.3">
      <c r="A74" s="6"/>
      <c r="B74" s="111" t="s">
        <v>22</v>
      </c>
      <c r="C74" s="55"/>
      <c r="D74" s="55"/>
      <c r="E74" s="55"/>
      <c r="F74" s="55"/>
      <c r="G74" s="55"/>
      <c r="H74" s="55"/>
      <c r="I74" s="55"/>
      <c r="J74" s="55"/>
      <c r="K74" s="55"/>
      <c r="L74" s="55"/>
      <c r="M74" s="55"/>
      <c r="N74" s="55"/>
      <c r="O74" s="55"/>
      <c r="P74" s="55"/>
      <c r="Q74" s="55"/>
      <c r="R74" s="55"/>
      <c r="S74" s="55"/>
      <c r="T74" s="56"/>
      <c r="U74" s="8"/>
      <c r="V74" s="5"/>
    </row>
    <row r="75" spans="1:22" ht="15.6" x14ac:dyDescent="0.3">
      <c r="A75" s="6"/>
      <c r="B75" s="8"/>
      <c r="C75" s="55"/>
      <c r="D75" s="55"/>
      <c r="E75" s="55"/>
      <c r="F75" s="55"/>
      <c r="G75" s="55"/>
      <c r="H75" s="55"/>
      <c r="I75" s="55"/>
      <c r="J75" s="55"/>
      <c r="K75" s="55"/>
      <c r="L75" s="55"/>
      <c r="M75" s="55"/>
      <c r="N75" s="55"/>
      <c r="O75" s="55"/>
      <c r="P75" s="55"/>
      <c r="Q75" s="55"/>
      <c r="R75" s="55"/>
      <c r="S75" s="55"/>
      <c r="T75" s="56"/>
      <c r="U75" s="8"/>
      <c r="V75" s="5"/>
    </row>
    <row r="76" spans="1:22" ht="15.6" x14ac:dyDescent="0.3">
      <c r="A76" s="24"/>
      <c r="B76" s="25" t="s">
        <v>19</v>
      </c>
      <c r="C76" s="34"/>
      <c r="D76" s="34"/>
      <c r="E76" s="34"/>
      <c r="F76" s="34"/>
      <c r="G76" s="34"/>
      <c r="H76" s="34"/>
      <c r="I76" s="34"/>
      <c r="J76" s="34"/>
      <c r="K76" s="34"/>
      <c r="L76" s="34"/>
      <c r="M76" s="34"/>
      <c r="N76" s="34"/>
      <c r="O76" s="34"/>
      <c r="P76" s="34"/>
      <c r="Q76" s="34"/>
      <c r="R76" s="34"/>
      <c r="S76" s="34"/>
      <c r="T76" s="54"/>
      <c r="U76" s="25"/>
      <c r="V76" s="5"/>
    </row>
    <row r="77" spans="1:22" ht="15.6" x14ac:dyDescent="0.3">
      <c r="A77" s="24"/>
      <c r="B77" s="25" t="s">
        <v>20</v>
      </c>
      <c r="C77" s="34"/>
      <c r="D77" s="34"/>
      <c r="E77" s="34"/>
      <c r="F77" s="34"/>
      <c r="G77" s="34"/>
      <c r="H77" s="34"/>
      <c r="I77" s="34"/>
      <c r="J77" s="34"/>
      <c r="K77" s="34"/>
      <c r="L77" s="34"/>
      <c r="M77" s="34"/>
      <c r="N77" s="34"/>
      <c r="O77" s="34"/>
      <c r="P77" s="34"/>
      <c r="Q77" s="34"/>
      <c r="R77" s="34"/>
      <c r="S77" s="34"/>
      <c r="T77" s="54"/>
      <c r="U77" s="25"/>
      <c r="V77" s="5"/>
    </row>
    <row r="78" spans="1:22" ht="15.6" x14ac:dyDescent="0.3">
      <c r="A78" s="24"/>
      <c r="B78" s="25"/>
      <c r="C78" s="34"/>
      <c r="D78" s="34"/>
      <c r="E78" s="34"/>
      <c r="F78" s="34"/>
      <c r="G78" s="34"/>
      <c r="H78" s="34"/>
      <c r="I78" s="34"/>
      <c r="J78" s="34"/>
      <c r="K78" s="34"/>
      <c r="L78" s="34"/>
      <c r="M78" s="34"/>
      <c r="N78" s="34"/>
      <c r="O78" s="34"/>
      <c r="P78" s="34"/>
      <c r="Q78" s="34"/>
      <c r="R78" s="34"/>
      <c r="S78" s="34"/>
      <c r="T78" s="54"/>
      <c r="U78" s="25"/>
      <c r="V78" s="5"/>
    </row>
    <row r="79" spans="1:22" ht="15.6" x14ac:dyDescent="0.3">
      <c r="A79" s="24"/>
      <c r="B79" s="25" t="s">
        <v>21</v>
      </c>
      <c r="C79" s="34"/>
      <c r="D79" s="34"/>
      <c r="E79" s="34"/>
      <c r="F79" s="34"/>
      <c r="G79" s="34"/>
      <c r="H79" s="34"/>
      <c r="I79" s="34"/>
      <c r="J79" s="34"/>
      <c r="K79" s="34"/>
      <c r="L79" s="34"/>
      <c r="M79" s="34"/>
      <c r="N79" s="34"/>
      <c r="O79" s="34"/>
      <c r="P79" s="34"/>
      <c r="Q79" s="34"/>
      <c r="R79" s="34"/>
      <c r="S79" s="34"/>
      <c r="T79" s="34"/>
      <c r="U79" s="25"/>
      <c r="V79" s="5"/>
    </row>
    <row r="80" spans="1:22" ht="15.6" x14ac:dyDescent="0.3">
      <c r="A80" s="24"/>
      <c r="B80" s="25"/>
      <c r="C80" s="34"/>
      <c r="D80" s="34"/>
      <c r="E80" s="34"/>
      <c r="F80" s="34"/>
      <c r="G80" s="34"/>
      <c r="H80" s="34"/>
      <c r="I80" s="34"/>
      <c r="J80" s="34"/>
      <c r="K80" s="34"/>
      <c r="L80" s="34"/>
      <c r="M80" s="34"/>
      <c r="N80" s="34"/>
      <c r="O80" s="34"/>
      <c r="P80" s="34"/>
      <c r="Q80" s="34"/>
      <c r="R80" s="34"/>
      <c r="S80" s="34"/>
      <c r="T80" s="34"/>
      <c r="U80" s="25"/>
      <c r="V80" s="5"/>
    </row>
    <row r="81" spans="1:22" ht="15.6" x14ac:dyDescent="0.3">
      <c r="A81" s="24"/>
      <c r="B81" s="25" t="s">
        <v>23</v>
      </c>
      <c r="C81" s="34"/>
      <c r="D81" s="34"/>
      <c r="E81" s="34"/>
      <c r="F81" s="34"/>
      <c r="G81" s="34"/>
      <c r="H81" s="34"/>
      <c r="I81" s="34"/>
      <c r="J81" s="34">
        <v>0</v>
      </c>
      <c r="K81" s="34"/>
      <c r="L81" s="34">
        <v>0</v>
      </c>
      <c r="M81" s="34"/>
      <c r="N81" s="34"/>
      <c r="O81" s="34"/>
      <c r="P81" s="34"/>
      <c r="Q81" s="34"/>
      <c r="R81" s="34"/>
      <c r="S81" s="34"/>
      <c r="T81" s="53">
        <v>0</v>
      </c>
      <c r="U81" s="25"/>
      <c r="V81" s="5"/>
    </row>
    <row r="82" spans="1:22" ht="15.6" x14ac:dyDescent="0.3">
      <c r="A82" s="24"/>
      <c r="B82" s="25" t="s">
        <v>123</v>
      </c>
      <c r="C82" s="34"/>
      <c r="D82" s="34"/>
      <c r="E82" s="34"/>
      <c r="F82" s="34"/>
      <c r="G82" s="34"/>
      <c r="H82" s="34"/>
      <c r="I82" s="34"/>
      <c r="J82" s="34">
        <v>0</v>
      </c>
      <c r="K82" s="34"/>
      <c r="L82" s="34">
        <v>0</v>
      </c>
      <c r="M82" s="34"/>
      <c r="N82" s="34"/>
      <c r="O82" s="34"/>
      <c r="P82" s="34"/>
      <c r="Q82" s="34"/>
      <c r="R82" s="34"/>
      <c r="S82" s="34"/>
      <c r="T82" s="54">
        <f>SUM(J82:P82)</f>
        <v>0</v>
      </c>
      <c r="U82" s="25"/>
      <c r="V82" s="5"/>
    </row>
    <row r="83" spans="1:22" ht="15.6" x14ac:dyDescent="0.3">
      <c r="A83" s="24"/>
      <c r="B83" s="25" t="s">
        <v>152</v>
      </c>
      <c r="C83" s="34"/>
      <c r="D83" s="34"/>
      <c r="E83" s="34"/>
      <c r="F83" s="34"/>
      <c r="G83" s="34"/>
      <c r="H83" s="34"/>
      <c r="I83" s="34"/>
      <c r="J83" s="34">
        <v>1</v>
      </c>
      <c r="K83" s="34"/>
      <c r="L83" s="34">
        <v>1</v>
      </c>
      <c r="M83" s="34"/>
      <c r="N83" s="34">
        <v>-1</v>
      </c>
      <c r="O83" s="34"/>
      <c r="P83" s="34"/>
      <c r="Q83" s="34"/>
      <c r="R83" s="34"/>
      <c r="S83" s="34"/>
      <c r="T83" s="54">
        <f>+L83+N83</f>
        <v>0</v>
      </c>
      <c r="U83" s="25"/>
      <c r="V83" s="5"/>
    </row>
    <row r="84" spans="1:22" ht="15.6" x14ac:dyDescent="0.3">
      <c r="A84" s="24"/>
      <c r="B84" s="25" t="s">
        <v>25</v>
      </c>
      <c r="C84" s="34"/>
      <c r="D84" s="34"/>
      <c r="E84" s="34"/>
      <c r="F84" s="34"/>
      <c r="G84" s="34"/>
      <c r="H84" s="34"/>
      <c r="I84" s="34"/>
      <c r="J84" s="34">
        <v>0</v>
      </c>
      <c r="K84" s="34"/>
      <c r="L84" s="34">
        <v>0</v>
      </c>
      <c r="M84" s="34"/>
      <c r="N84" s="34"/>
      <c r="O84" s="34"/>
      <c r="P84" s="34"/>
      <c r="Q84" s="34"/>
      <c r="R84" s="34"/>
      <c r="S84" s="34"/>
      <c r="T84" s="54">
        <v>0</v>
      </c>
      <c r="U84" s="25"/>
      <c r="V84" s="5"/>
    </row>
    <row r="85" spans="1:22" ht="15.6" x14ac:dyDescent="0.3">
      <c r="A85" s="24"/>
      <c r="B85" s="25" t="s">
        <v>26</v>
      </c>
      <c r="C85" s="34"/>
      <c r="D85" s="34"/>
      <c r="E85" s="34"/>
      <c r="F85" s="54"/>
      <c r="G85" s="34"/>
      <c r="H85" s="54"/>
      <c r="I85" s="54"/>
      <c r="J85" s="54">
        <f>SUM(J72:J84)</f>
        <v>1000050</v>
      </c>
      <c r="K85" s="34"/>
      <c r="L85" s="54">
        <f>SUM(L72:L84)</f>
        <v>1000050</v>
      </c>
      <c r="M85" s="34"/>
      <c r="N85" s="34"/>
      <c r="O85" s="34"/>
      <c r="P85" s="34"/>
      <c r="Q85" s="34"/>
      <c r="R85" s="54"/>
      <c r="S85" s="34"/>
      <c r="T85" s="54">
        <f>SUM(T72:T84)</f>
        <v>981243</v>
      </c>
      <c r="U85" s="25"/>
      <c r="V85" s="5"/>
    </row>
    <row r="86" spans="1:22" ht="15.6" x14ac:dyDescent="0.3">
      <c r="A86" s="24"/>
      <c r="B86" s="25"/>
      <c r="C86" s="34"/>
      <c r="D86" s="34"/>
      <c r="E86" s="34"/>
      <c r="F86" s="34"/>
      <c r="G86" s="34"/>
      <c r="H86" s="34"/>
      <c r="I86" s="34"/>
      <c r="J86" s="34"/>
      <c r="K86" s="34"/>
      <c r="L86" s="34"/>
      <c r="M86" s="34"/>
      <c r="N86" s="34"/>
      <c r="O86" s="34"/>
      <c r="P86" s="34"/>
      <c r="Q86" s="34"/>
      <c r="R86" s="34"/>
      <c r="S86" s="34"/>
      <c r="T86" s="54"/>
      <c r="U86" s="25"/>
      <c r="V86" s="5"/>
    </row>
    <row r="87" spans="1:22" ht="15.6" x14ac:dyDescent="0.3">
      <c r="A87" s="6"/>
      <c r="B87" s="8"/>
      <c r="C87" s="8"/>
      <c r="D87" s="8"/>
      <c r="E87" s="8"/>
      <c r="F87" s="8"/>
      <c r="G87" s="8"/>
      <c r="H87" s="8"/>
      <c r="I87" s="8"/>
      <c r="J87" s="8"/>
      <c r="K87" s="8"/>
      <c r="L87" s="8"/>
      <c r="M87" s="8"/>
      <c r="N87" s="8"/>
      <c r="O87" s="8"/>
      <c r="P87" s="8"/>
      <c r="Q87" s="8"/>
      <c r="R87" s="8"/>
      <c r="S87" s="8"/>
      <c r="T87" s="8"/>
      <c r="U87" s="8"/>
      <c r="V87" s="5"/>
    </row>
    <row r="88" spans="1:22" ht="15.6" x14ac:dyDescent="0.3">
      <c r="A88" s="6"/>
      <c r="B88" s="51" t="s">
        <v>27</v>
      </c>
      <c r="C88" s="14"/>
      <c r="D88" s="14"/>
      <c r="E88" s="14"/>
      <c r="F88" s="14"/>
      <c r="G88" s="14"/>
      <c r="H88" s="17"/>
      <c r="I88" s="17"/>
      <c r="J88" s="159" t="s">
        <v>98</v>
      </c>
      <c r="K88" s="17"/>
      <c r="L88" s="158">
        <f>+R191</f>
        <v>38898</v>
      </c>
      <c r="M88" s="17"/>
      <c r="N88" s="17"/>
      <c r="O88" s="17"/>
      <c r="P88" s="17"/>
      <c r="Q88" s="17"/>
      <c r="R88" s="17" t="s">
        <v>111</v>
      </c>
      <c r="S88" s="17"/>
      <c r="T88" s="17" t="s">
        <v>119</v>
      </c>
      <c r="U88" s="8"/>
      <c r="V88" s="5"/>
    </row>
    <row r="89" spans="1:22" ht="15.6" x14ac:dyDescent="0.3">
      <c r="A89" s="24"/>
      <c r="B89" s="25" t="s">
        <v>28</v>
      </c>
      <c r="C89" s="25"/>
      <c r="D89" s="25"/>
      <c r="E89" s="25"/>
      <c r="F89" s="25"/>
      <c r="G89" s="25"/>
      <c r="H89" s="25"/>
      <c r="I89" s="25"/>
      <c r="J89" s="25"/>
      <c r="K89" s="25"/>
      <c r="L89" s="25"/>
      <c r="M89" s="25"/>
      <c r="N89" s="25"/>
      <c r="O89" s="25"/>
      <c r="P89" s="25"/>
      <c r="Q89" s="25"/>
      <c r="R89" s="34">
        <v>1</v>
      </c>
      <c r="S89" s="25"/>
      <c r="T89" s="53">
        <v>12</v>
      </c>
      <c r="U89" s="25"/>
      <c r="V89" s="5"/>
    </row>
    <row r="90" spans="1:22" ht="15.6" x14ac:dyDescent="0.3">
      <c r="A90" s="24"/>
      <c r="B90" s="25" t="s">
        <v>29</v>
      </c>
      <c r="C90" s="25"/>
      <c r="D90" s="25"/>
      <c r="E90" s="25"/>
      <c r="F90" s="25"/>
      <c r="G90" s="25"/>
      <c r="H90" s="40"/>
      <c r="I90" s="57"/>
      <c r="J90" s="40"/>
      <c r="K90" s="25"/>
      <c r="L90" s="127"/>
      <c r="M90" s="25"/>
      <c r="N90" s="25"/>
      <c r="O90" s="25"/>
      <c r="P90" s="25"/>
      <c r="Q90" s="25"/>
      <c r="R90" s="34">
        <v>24843</v>
      </c>
      <c r="S90" s="25"/>
      <c r="T90" s="53"/>
      <c r="U90" s="25"/>
      <c r="V90" s="5"/>
    </row>
    <row r="91" spans="1:22" ht="15.6" x14ac:dyDescent="0.3">
      <c r="A91" s="24"/>
      <c r="B91" s="25" t="s">
        <v>225</v>
      </c>
      <c r="C91" s="25"/>
      <c r="D91" s="25"/>
      <c r="E91" s="25"/>
      <c r="F91" s="25"/>
      <c r="G91" s="25"/>
      <c r="H91" s="40"/>
      <c r="I91" s="57"/>
      <c r="J91" s="40"/>
      <c r="K91" s="25"/>
      <c r="L91" s="127"/>
      <c r="M91" s="25"/>
      <c r="N91" s="25"/>
      <c r="O91" s="25"/>
      <c r="P91" s="25"/>
      <c r="Q91" s="25"/>
      <c r="R91" s="34"/>
      <c r="S91" s="25"/>
      <c r="T91" s="53">
        <f>8288+9309-796-336+9</f>
        <v>16474</v>
      </c>
      <c r="U91" s="25"/>
      <c r="V91" s="5"/>
    </row>
    <row r="92" spans="1:22" ht="15.6" x14ac:dyDescent="0.3">
      <c r="A92" s="24"/>
      <c r="B92" s="25" t="s">
        <v>220</v>
      </c>
      <c r="C92" s="25"/>
      <c r="D92" s="25"/>
      <c r="E92" s="25"/>
      <c r="F92" s="25"/>
      <c r="G92" s="25"/>
      <c r="H92" s="40"/>
      <c r="I92" s="57"/>
      <c r="J92" s="40"/>
      <c r="K92" s="25"/>
      <c r="L92" s="127"/>
      <c r="M92" s="25"/>
      <c r="N92" s="25"/>
      <c r="O92" s="25"/>
      <c r="P92" s="25"/>
      <c r="Q92" s="25"/>
      <c r="R92" s="34"/>
      <c r="S92" s="25"/>
      <c r="T92" s="53">
        <f>158+115</f>
        <v>273</v>
      </c>
      <c r="U92" s="25"/>
      <c r="V92" s="5"/>
    </row>
    <row r="93" spans="1:22" ht="15.6" x14ac:dyDescent="0.3">
      <c r="A93" s="24"/>
      <c r="B93" s="25" t="s">
        <v>221</v>
      </c>
      <c r="C93" s="25"/>
      <c r="D93" s="25"/>
      <c r="E93" s="25"/>
      <c r="F93" s="25"/>
      <c r="G93" s="25"/>
      <c r="H93" s="40"/>
      <c r="I93" s="57"/>
      <c r="J93" s="40"/>
      <c r="K93" s="25"/>
      <c r="L93" s="127"/>
      <c r="M93" s="25"/>
      <c r="N93" s="25"/>
      <c r="O93" s="25"/>
      <c r="P93" s="25"/>
      <c r="Q93" s="25"/>
      <c r="R93" s="34"/>
      <c r="S93" s="25"/>
      <c r="T93" s="53">
        <v>195</v>
      </c>
      <c r="U93" s="25"/>
      <c r="V93" s="5"/>
    </row>
    <row r="94" spans="1:22" ht="15.6" x14ac:dyDescent="0.3">
      <c r="A94" s="24"/>
      <c r="B94" s="25" t="s">
        <v>141</v>
      </c>
      <c r="C94" s="25"/>
      <c r="D94" s="25"/>
      <c r="E94" s="25"/>
      <c r="F94" s="25"/>
      <c r="G94" s="25"/>
      <c r="H94" s="25"/>
      <c r="I94" s="25"/>
      <c r="J94" s="25"/>
      <c r="K94" s="25"/>
      <c r="L94" s="25"/>
      <c r="M94" s="25"/>
      <c r="N94" s="25"/>
      <c r="O94" s="25"/>
      <c r="P94" s="25"/>
      <c r="Q94" s="25"/>
      <c r="R94" s="34"/>
      <c r="S94" s="25"/>
      <c r="T94" s="53">
        <v>0</v>
      </c>
      <c r="U94" s="25"/>
      <c r="V94" s="5"/>
    </row>
    <row r="95" spans="1:22" ht="15.6" x14ac:dyDescent="0.3">
      <c r="A95" s="24"/>
      <c r="B95" s="25" t="s">
        <v>250</v>
      </c>
      <c r="C95" s="25"/>
      <c r="D95" s="25"/>
      <c r="E95" s="25"/>
      <c r="F95" s="25"/>
      <c r="G95" s="25"/>
      <c r="H95" s="25"/>
      <c r="I95" s="25"/>
      <c r="J95" s="25"/>
      <c r="K95" s="25"/>
      <c r="L95" s="25"/>
      <c r="M95" s="25"/>
      <c r="N95" s="25"/>
      <c r="O95" s="25"/>
      <c r="P95" s="25"/>
      <c r="Q95" s="25"/>
      <c r="R95" s="34"/>
      <c r="S95" s="25"/>
      <c r="T95" s="53">
        <v>3029</v>
      </c>
      <c r="U95" s="25"/>
      <c r="V95" s="5"/>
    </row>
    <row r="96" spans="1:22" ht="15.6" x14ac:dyDescent="0.3">
      <c r="A96" s="24"/>
      <c r="B96" s="25" t="s">
        <v>30</v>
      </c>
      <c r="C96" s="25"/>
      <c r="D96" s="25"/>
      <c r="E96" s="25"/>
      <c r="F96" s="25"/>
      <c r="G96" s="25"/>
      <c r="H96" s="25"/>
      <c r="I96" s="25"/>
      <c r="J96" s="25"/>
      <c r="K96" s="25"/>
      <c r="L96" s="25"/>
      <c r="M96" s="25"/>
      <c r="N96" s="25"/>
      <c r="O96" s="25"/>
      <c r="P96" s="25"/>
      <c r="Q96" s="25"/>
      <c r="R96" s="34">
        <f>SUM(R89:R95)</f>
        <v>24844</v>
      </c>
      <c r="S96" s="25"/>
      <c r="T96" s="54">
        <f>SUM(T89:T95)</f>
        <v>19983</v>
      </c>
      <c r="U96" s="25"/>
      <c r="V96" s="5"/>
    </row>
    <row r="97" spans="1:24" ht="15.6" x14ac:dyDescent="0.3">
      <c r="A97" s="24"/>
      <c r="B97" s="25" t="s">
        <v>168</v>
      </c>
      <c r="C97" s="25"/>
      <c r="D97" s="25"/>
      <c r="E97" s="25"/>
      <c r="F97" s="25"/>
      <c r="G97" s="25"/>
      <c r="H97" s="25"/>
      <c r="I97" s="25"/>
      <c r="J97" s="25"/>
      <c r="K97" s="25"/>
      <c r="L97" s="25"/>
      <c r="M97" s="25"/>
      <c r="N97" s="25"/>
      <c r="O97" s="25"/>
      <c r="P97" s="25"/>
      <c r="Q97" s="25"/>
      <c r="R97" s="34">
        <f>-T97</f>
        <v>-27</v>
      </c>
      <c r="S97" s="25"/>
      <c r="T97" s="54">
        <v>27</v>
      </c>
      <c r="U97" s="25"/>
      <c r="V97" s="5"/>
    </row>
    <row r="98" spans="1:24" ht="15.6" x14ac:dyDescent="0.3">
      <c r="A98" s="24"/>
      <c r="B98" s="25" t="s">
        <v>31</v>
      </c>
      <c r="C98" s="25"/>
      <c r="D98" s="25"/>
      <c r="E98" s="25"/>
      <c r="F98" s="25"/>
      <c r="G98" s="25"/>
      <c r="H98" s="25"/>
      <c r="I98" s="25"/>
      <c r="J98" s="25"/>
      <c r="K98" s="25"/>
      <c r="L98" s="25"/>
      <c r="M98" s="25"/>
      <c r="N98" s="25"/>
      <c r="O98" s="25"/>
      <c r="P98" s="25"/>
      <c r="Q98" s="25"/>
      <c r="R98" s="34">
        <f>-T98</f>
        <v>10</v>
      </c>
      <c r="S98" s="25"/>
      <c r="T98" s="53">
        <v>-10</v>
      </c>
      <c r="U98" s="25"/>
      <c r="V98" s="5"/>
    </row>
    <row r="99" spans="1:24" ht="15.6" x14ac:dyDescent="0.3">
      <c r="A99" s="24"/>
      <c r="B99" s="25" t="s">
        <v>32</v>
      </c>
      <c r="C99" s="25"/>
      <c r="D99" s="25"/>
      <c r="E99" s="25"/>
      <c r="F99" s="25"/>
      <c r="G99" s="25"/>
      <c r="H99" s="25"/>
      <c r="I99" s="25"/>
      <c r="J99" s="25"/>
      <c r="K99" s="25"/>
      <c r="L99" s="25"/>
      <c r="M99" s="25"/>
      <c r="N99" s="25"/>
      <c r="O99" s="25"/>
      <c r="P99" s="25"/>
      <c r="Q99" s="25"/>
      <c r="R99" s="34">
        <f>R96+R98+R97</f>
        <v>24827</v>
      </c>
      <c r="S99" s="25"/>
      <c r="T99" s="54">
        <f>T96+T98+T97</f>
        <v>20000</v>
      </c>
      <c r="U99" s="25"/>
      <c r="V99" s="5"/>
    </row>
    <row r="100" spans="1:24" ht="15.6" x14ac:dyDescent="0.3">
      <c r="A100" s="24"/>
      <c r="B100" s="118" t="s">
        <v>33</v>
      </c>
      <c r="C100" s="25"/>
      <c r="D100" s="25"/>
      <c r="E100" s="25"/>
      <c r="F100" s="25"/>
      <c r="G100" s="25"/>
      <c r="H100" s="25"/>
      <c r="I100" s="25"/>
      <c r="J100" s="25"/>
      <c r="K100" s="25"/>
      <c r="L100" s="25"/>
      <c r="M100" s="25"/>
      <c r="N100" s="25"/>
      <c r="O100" s="25"/>
      <c r="P100" s="25"/>
      <c r="Q100" s="25"/>
      <c r="R100" s="34"/>
      <c r="S100" s="25"/>
      <c r="T100" s="53"/>
      <c r="U100" s="25"/>
      <c r="V100" s="5"/>
    </row>
    <row r="101" spans="1:24" ht="15.6" x14ac:dyDescent="0.3">
      <c r="A101" s="24">
        <v>1</v>
      </c>
      <c r="B101" s="25" t="s">
        <v>34</v>
      </c>
      <c r="C101" s="25"/>
      <c r="D101" s="25"/>
      <c r="E101" s="25"/>
      <c r="F101" s="25"/>
      <c r="G101" s="25"/>
      <c r="H101" s="25"/>
      <c r="I101" s="25"/>
      <c r="J101" s="25"/>
      <c r="K101" s="25"/>
      <c r="L101" s="25"/>
      <c r="M101" s="25"/>
      <c r="N101" s="25"/>
      <c r="O101" s="25"/>
      <c r="P101" s="25"/>
      <c r="Q101" s="25"/>
      <c r="R101" s="25"/>
      <c r="S101" s="25"/>
      <c r="T101" s="53">
        <f>-1372-1785</f>
        <v>-3157</v>
      </c>
      <c r="U101" s="25"/>
      <c r="V101" s="5"/>
    </row>
    <row r="102" spans="1:24" ht="15.6" x14ac:dyDescent="0.3">
      <c r="A102" s="24">
        <f>+A101+1</f>
        <v>2</v>
      </c>
      <c r="B102" s="25" t="s">
        <v>255</v>
      </c>
      <c r="C102" s="25"/>
      <c r="D102" s="25"/>
      <c r="E102" s="25"/>
      <c r="F102" s="25"/>
      <c r="G102" s="25"/>
      <c r="H102" s="25"/>
      <c r="I102" s="25"/>
      <c r="J102" s="25"/>
      <c r="K102" s="25"/>
      <c r="L102" s="25"/>
      <c r="M102" s="25"/>
      <c r="N102" s="25"/>
      <c r="O102" s="25"/>
      <c r="P102" s="25"/>
      <c r="Q102" s="25"/>
      <c r="R102" s="25"/>
      <c r="S102" s="25"/>
      <c r="T102" s="53">
        <v>-2</v>
      </c>
      <c r="U102" s="25"/>
      <c r="V102" s="5"/>
    </row>
    <row r="103" spans="1:24" ht="15.6" x14ac:dyDescent="0.3">
      <c r="A103" s="24">
        <f>+A102+1</f>
        <v>3</v>
      </c>
      <c r="B103" s="25" t="s">
        <v>213</v>
      </c>
      <c r="C103" s="25"/>
      <c r="D103" s="25"/>
      <c r="E103" s="25"/>
      <c r="F103" s="25"/>
      <c r="G103" s="25"/>
      <c r="H103" s="25"/>
      <c r="I103" s="25"/>
      <c r="J103" s="25"/>
      <c r="K103" s="25"/>
      <c r="L103" s="25"/>
      <c r="M103" s="25"/>
      <c r="N103" s="25"/>
      <c r="O103" s="25"/>
      <c r="P103" s="25"/>
      <c r="Q103" s="25"/>
      <c r="R103" s="25"/>
      <c r="S103" s="25"/>
      <c r="T103" s="53">
        <f>-411-2-15</f>
        <v>-428</v>
      </c>
      <c r="U103" s="25"/>
      <c r="V103" s="5"/>
    </row>
    <row r="104" spans="1:24" ht="15.6" x14ac:dyDescent="0.3">
      <c r="A104" s="24" t="s">
        <v>133</v>
      </c>
      <c r="B104" s="25" t="s">
        <v>122</v>
      </c>
      <c r="C104" s="25"/>
      <c r="D104" s="25"/>
      <c r="E104" s="25"/>
      <c r="F104" s="25"/>
      <c r="G104" s="25"/>
      <c r="H104" s="25"/>
      <c r="I104" s="25"/>
      <c r="J104" s="25"/>
      <c r="K104" s="25"/>
      <c r="L104" s="25"/>
      <c r="M104" s="25"/>
      <c r="N104" s="25"/>
      <c r="O104" s="25"/>
      <c r="P104" s="25"/>
      <c r="Q104" s="25"/>
      <c r="R104" s="25"/>
      <c r="S104" s="25"/>
      <c r="T104" s="53">
        <v>-85</v>
      </c>
      <c r="U104" s="25"/>
      <c r="V104" s="5"/>
    </row>
    <row r="105" spans="1:24" ht="15.6" x14ac:dyDescent="0.3">
      <c r="A105" s="24" t="s">
        <v>134</v>
      </c>
      <c r="B105" s="25" t="s">
        <v>194</v>
      </c>
      <c r="C105" s="25"/>
      <c r="D105" s="25"/>
      <c r="E105" s="25"/>
      <c r="F105" s="25"/>
      <c r="G105" s="25"/>
      <c r="H105" s="25"/>
      <c r="I105" s="25"/>
      <c r="J105" s="25"/>
      <c r="K105" s="25"/>
      <c r="L105" s="25"/>
      <c r="M105" s="25"/>
      <c r="N105" s="25"/>
      <c r="O105" s="25"/>
      <c r="P105" s="25"/>
      <c r="Q105" s="25"/>
      <c r="R105" s="25"/>
      <c r="S105" s="25"/>
      <c r="T105" s="53">
        <f>-8313-2259</f>
        <v>-10572</v>
      </c>
      <c r="U105" s="25"/>
      <c r="V105" s="5"/>
      <c r="W105" s="109"/>
    </row>
    <row r="106" spans="1:24" ht="15.6" x14ac:dyDescent="0.3">
      <c r="A106" s="24" t="s">
        <v>156</v>
      </c>
      <c r="B106" s="25" t="s">
        <v>191</v>
      </c>
      <c r="C106" s="25"/>
      <c r="D106" s="25"/>
      <c r="E106" s="25"/>
      <c r="F106" s="25"/>
      <c r="G106" s="25"/>
      <c r="H106" s="25"/>
      <c r="I106" s="25"/>
      <c r="J106" s="25"/>
      <c r="K106" s="25"/>
      <c r="L106" s="25"/>
      <c r="M106" s="25"/>
      <c r="N106" s="25"/>
      <c r="O106" s="25"/>
      <c r="P106" s="25"/>
      <c r="Q106" s="25"/>
      <c r="R106" s="25"/>
      <c r="S106" s="25"/>
      <c r="T106" s="53">
        <v>-2243</v>
      </c>
      <c r="U106" s="25"/>
      <c r="V106" s="5"/>
    </row>
    <row r="107" spans="1:24" ht="15.6" x14ac:dyDescent="0.3">
      <c r="A107" s="24" t="s">
        <v>214</v>
      </c>
      <c r="B107" s="25" t="s">
        <v>192</v>
      </c>
      <c r="C107" s="25"/>
      <c r="D107" s="25"/>
      <c r="E107" s="25"/>
      <c r="F107" s="25"/>
      <c r="G107" s="25"/>
      <c r="H107" s="25"/>
      <c r="I107" s="25"/>
      <c r="J107" s="25"/>
      <c r="K107" s="25"/>
      <c r="L107" s="25"/>
      <c r="M107" s="25"/>
      <c r="N107" s="25"/>
      <c r="O107" s="25"/>
      <c r="P107" s="25"/>
      <c r="Q107" s="25"/>
      <c r="R107" s="25"/>
      <c r="S107" s="25"/>
      <c r="T107" s="53">
        <v>-872</v>
      </c>
      <c r="U107" s="25"/>
      <c r="V107" s="5"/>
      <c r="W107" s="109"/>
      <c r="X107" s="109"/>
    </row>
    <row r="108" spans="1:24" ht="15.6" x14ac:dyDescent="0.3">
      <c r="A108" s="24" t="s">
        <v>215</v>
      </c>
      <c r="B108" s="25" t="s">
        <v>193</v>
      </c>
      <c r="C108" s="25"/>
      <c r="D108" s="25"/>
      <c r="E108" s="25"/>
      <c r="F108" s="25"/>
      <c r="G108" s="25"/>
      <c r="H108" s="25"/>
      <c r="I108" s="25"/>
      <c r="J108" s="25"/>
      <c r="K108" s="25"/>
      <c r="L108" s="25"/>
      <c r="M108" s="25"/>
      <c r="N108" s="25"/>
      <c r="O108" s="25"/>
      <c r="P108" s="25"/>
      <c r="Q108" s="25"/>
      <c r="R108" s="25"/>
      <c r="S108" s="25"/>
      <c r="T108" s="53">
        <v>-246</v>
      </c>
      <c r="U108" s="25"/>
      <c r="V108" s="5"/>
      <c r="W108" s="109"/>
    </row>
    <row r="109" spans="1:24" ht="15.6" x14ac:dyDescent="0.3">
      <c r="A109" s="24" t="s">
        <v>216</v>
      </c>
      <c r="B109" s="25" t="s">
        <v>204</v>
      </c>
      <c r="C109" s="25"/>
      <c r="D109" s="25"/>
      <c r="E109" s="25"/>
      <c r="F109" s="25"/>
      <c r="G109" s="25"/>
      <c r="H109" s="25"/>
      <c r="I109" s="25"/>
      <c r="J109" s="25"/>
      <c r="K109" s="25"/>
      <c r="L109" s="25"/>
      <c r="M109" s="25"/>
      <c r="N109" s="25"/>
      <c r="O109" s="25"/>
      <c r="P109" s="25"/>
      <c r="Q109" s="25"/>
      <c r="R109" s="25"/>
      <c r="S109" s="25"/>
      <c r="T109" s="53">
        <v>-971</v>
      </c>
      <c r="U109" s="25"/>
      <c r="V109" s="5"/>
      <c r="W109" s="109"/>
    </row>
    <row r="110" spans="1:24" ht="15.6" x14ac:dyDescent="0.3">
      <c r="A110" s="24">
        <v>7</v>
      </c>
      <c r="B110" s="25" t="s">
        <v>35</v>
      </c>
      <c r="C110" s="25"/>
      <c r="D110" s="25"/>
      <c r="E110" s="25"/>
      <c r="F110" s="25"/>
      <c r="G110" s="25"/>
      <c r="H110" s="25"/>
      <c r="I110" s="25"/>
      <c r="J110" s="25"/>
      <c r="K110" s="25"/>
      <c r="L110" s="25"/>
      <c r="M110" s="25"/>
      <c r="N110" s="25"/>
      <c r="O110" s="25"/>
      <c r="P110" s="25"/>
      <c r="Q110" s="25"/>
      <c r="R110" s="25"/>
      <c r="S110" s="25"/>
      <c r="T110" s="53">
        <v>-10</v>
      </c>
      <c r="U110" s="25"/>
      <c r="V110" s="5"/>
    </row>
    <row r="111" spans="1:24" ht="15.6" x14ac:dyDescent="0.3">
      <c r="A111" s="24">
        <f t="shared" ref="A111:A116" si="0">+A110+1</f>
        <v>8</v>
      </c>
      <c r="B111" s="25" t="s">
        <v>46</v>
      </c>
      <c r="C111" s="25"/>
      <c r="D111" s="25"/>
      <c r="E111" s="25"/>
      <c r="F111" s="25"/>
      <c r="G111" s="25"/>
      <c r="H111" s="25"/>
      <c r="I111" s="25"/>
      <c r="J111" s="25"/>
      <c r="K111" s="25"/>
      <c r="L111" s="25"/>
      <c r="M111" s="25"/>
      <c r="N111" s="25"/>
      <c r="O111" s="25"/>
      <c r="P111" s="25"/>
      <c r="Q111" s="25"/>
      <c r="R111" s="25"/>
      <c r="S111" s="25"/>
      <c r="T111" s="53">
        <v>0</v>
      </c>
      <c r="U111" s="25"/>
      <c r="V111" s="5"/>
    </row>
    <row r="112" spans="1:24" ht="15.6" x14ac:dyDescent="0.3">
      <c r="A112" s="24">
        <f t="shared" si="0"/>
        <v>9</v>
      </c>
      <c r="B112" s="25" t="s">
        <v>131</v>
      </c>
      <c r="C112" s="25"/>
      <c r="D112" s="25"/>
      <c r="E112" s="25"/>
      <c r="F112" s="25"/>
      <c r="G112" s="25"/>
      <c r="H112" s="25"/>
      <c r="I112" s="25"/>
      <c r="J112" s="25"/>
      <c r="K112" s="25"/>
      <c r="L112" s="25"/>
      <c r="M112" s="25"/>
      <c r="N112" s="25"/>
      <c r="O112" s="25"/>
      <c r="P112" s="25"/>
      <c r="Q112" s="25"/>
      <c r="R112" s="25"/>
      <c r="S112" s="25"/>
      <c r="T112" s="53">
        <v>0</v>
      </c>
      <c r="U112" s="25"/>
      <c r="V112" s="5"/>
    </row>
    <row r="113" spans="1:22" ht="15.6" x14ac:dyDescent="0.3">
      <c r="A113" s="24">
        <f t="shared" si="0"/>
        <v>10</v>
      </c>
      <c r="B113" s="25" t="s">
        <v>36</v>
      </c>
      <c r="C113" s="25"/>
      <c r="D113" s="25"/>
      <c r="E113" s="25"/>
      <c r="F113" s="25"/>
      <c r="G113" s="25"/>
      <c r="H113" s="25"/>
      <c r="I113" s="25"/>
      <c r="J113" s="25"/>
      <c r="K113" s="25"/>
      <c r="L113" s="25"/>
      <c r="M113" s="25"/>
      <c r="N113" s="25"/>
      <c r="O113" s="25"/>
      <c r="P113" s="25"/>
      <c r="Q113" s="25"/>
      <c r="R113" s="25"/>
      <c r="S113" s="25"/>
      <c r="T113" s="53">
        <v>0</v>
      </c>
      <c r="U113" s="25"/>
      <c r="V113" s="5"/>
    </row>
    <row r="114" spans="1:22" ht="15.6" x14ac:dyDescent="0.3">
      <c r="A114" s="24">
        <f t="shared" si="0"/>
        <v>11</v>
      </c>
      <c r="B114" s="25" t="s">
        <v>37</v>
      </c>
      <c r="C114" s="25"/>
      <c r="D114" s="25"/>
      <c r="E114" s="25"/>
      <c r="F114" s="25"/>
      <c r="G114" s="25"/>
      <c r="H114" s="25"/>
      <c r="I114" s="25"/>
      <c r="J114" s="25"/>
      <c r="K114" s="25"/>
      <c r="L114" s="25"/>
      <c r="M114" s="25"/>
      <c r="N114" s="25"/>
      <c r="O114" s="25"/>
      <c r="P114" s="25"/>
      <c r="Q114" s="25"/>
      <c r="R114" s="25"/>
      <c r="S114" s="25"/>
      <c r="T114" s="53">
        <v>0</v>
      </c>
      <c r="U114" s="25"/>
      <c r="V114" s="5"/>
    </row>
    <row r="115" spans="1:22" ht="15.6" x14ac:dyDescent="0.3">
      <c r="A115" s="24">
        <f t="shared" si="0"/>
        <v>12</v>
      </c>
      <c r="B115" s="25" t="s">
        <v>155</v>
      </c>
      <c r="C115" s="25"/>
      <c r="D115" s="25"/>
      <c r="E115" s="25"/>
      <c r="F115" s="25"/>
      <c r="G115" s="25"/>
      <c r="H115" s="25"/>
      <c r="I115" s="25"/>
      <c r="J115" s="25"/>
      <c r="K115" s="25"/>
      <c r="L115" s="25"/>
      <c r="M115" s="25"/>
      <c r="N115" s="25"/>
      <c r="O115" s="25"/>
      <c r="P115" s="25"/>
      <c r="Q115" s="25"/>
      <c r="R115" s="25"/>
      <c r="S115" s="25"/>
      <c r="T115" s="53">
        <v>-411</v>
      </c>
      <c r="U115" s="25"/>
      <c r="V115" s="5"/>
    </row>
    <row r="116" spans="1:22" ht="15.6" x14ac:dyDescent="0.3">
      <c r="A116" s="24">
        <f t="shared" si="0"/>
        <v>13</v>
      </c>
      <c r="B116" s="25" t="s">
        <v>132</v>
      </c>
      <c r="C116" s="25"/>
      <c r="D116" s="25"/>
      <c r="E116" s="25"/>
      <c r="F116" s="25"/>
      <c r="G116" s="25"/>
      <c r="H116" s="25"/>
      <c r="I116" s="25"/>
      <c r="J116" s="25"/>
      <c r="K116" s="25"/>
      <c r="L116" s="25"/>
      <c r="M116" s="25"/>
      <c r="N116" s="25"/>
      <c r="O116" s="25"/>
      <c r="P116" s="25"/>
      <c r="Q116" s="25"/>
      <c r="R116" s="25"/>
      <c r="S116" s="25"/>
      <c r="T116" s="53">
        <f>-T99-SUM(T101:T115)</f>
        <v>-1003</v>
      </c>
      <c r="U116" s="25"/>
      <c r="V116" s="5"/>
    </row>
    <row r="117" spans="1:22" ht="15.6" x14ac:dyDescent="0.3">
      <c r="A117" s="24"/>
      <c r="B117" s="118" t="s">
        <v>38</v>
      </c>
      <c r="C117" s="25"/>
      <c r="D117" s="25"/>
      <c r="E117" s="25"/>
      <c r="F117" s="25"/>
      <c r="G117" s="25"/>
      <c r="H117" s="25"/>
      <c r="I117" s="25"/>
      <c r="J117" s="25"/>
      <c r="K117" s="25"/>
      <c r="L117" s="25"/>
      <c r="M117" s="25"/>
      <c r="N117" s="25"/>
      <c r="O117" s="25"/>
      <c r="P117" s="25"/>
      <c r="Q117" s="25"/>
      <c r="R117" s="25"/>
      <c r="S117" s="25"/>
      <c r="T117" s="59"/>
      <c r="U117" s="25"/>
      <c r="V117" s="5"/>
    </row>
    <row r="118" spans="1:22" ht="15.6" x14ac:dyDescent="0.3">
      <c r="A118" s="24"/>
      <c r="B118" s="25" t="s">
        <v>180</v>
      </c>
      <c r="C118" s="25"/>
      <c r="D118" s="25"/>
      <c r="E118" s="25"/>
      <c r="F118" s="25"/>
      <c r="G118" s="25"/>
      <c r="H118" s="25"/>
      <c r="I118" s="25"/>
      <c r="J118" s="25"/>
      <c r="K118" s="25"/>
      <c r="L118" s="25"/>
      <c r="M118" s="25"/>
      <c r="N118" s="25"/>
      <c r="O118" s="25"/>
      <c r="P118" s="25"/>
      <c r="Q118" s="25"/>
      <c r="R118" s="34">
        <f>-R175</f>
        <v>-2234</v>
      </c>
      <c r="S118" s="34"/>
      <c r="T118" s="53"/>
      <c r="U118" s="25"/>
      <c r="V118" s="5"/>
    </row>
    <row r="119" spans="1:22" ht="15.6" x14ac:dyDescent="0.3">
      <c r="A119" s="24"/>
      <c r="B119" s="25" t="s">
        <v>181</v>
      </c>
      <c r="C119" s="25"/>
      <c r="D119" s="25"/>
      <c r="E119" s="25"/>
      <c r="F119" s="25"/>
      <c r="G119" s="25"/>
      <c r="H119" s="25"/>
      <c r="I119" s="25"/>
      <c r="J119" s="25"/>
      <c r="K119" s="25"/>
      <c r="L119" s="25"/>
      <c r="M119" s="25"/>
      <c r="N119" s="25"/>
      <c r="O119" s="25"/>
      <c r="P119" s="25"/>
      <c r="Q119" s="25"/>
      <c r="R119" s="34">
        <v>-147</v>
      </c>
      <c r="S119" s="34"/>
      <c r="T119" s="53"/>
      <c r="U119" s="25"/>
      <c r="V119" s="5"/>
    </row>
    <row r="120" spans="1:22" ht="15.6" x14ac:dyDescent="0.3">
      <c r="A120" s="24"/>
      <c r="B120" s="25" t="s">
        <v>39</v>
      </c>
      <c r="C120" s="25"/>
      <c r="D120" s="25"/>
      <c r="E120" s="25"/>
      <c r="F120" s="25"/>
      <c r="G120" s="25"/>
      <c r="H120" s="25"/>
      <c r="I120" s="25"/>
      <c r="J120" s="25"/>
      <c r="K120" s="25"/>
      <c r="L120" s="25"/>
      <c r="M120" s="25"/>
      <c r="N120" s="25"/>
      <c r="O120" s="25"/>
      <c r="P120" s="25"/>
      <c r="Q120" s="25"/>
      <c r="R120" s="34">
        <f>-Q175</f>
        <v>-3639</v>
      </c>
      <c r="S120" s="34"/>
      <c r="T120" s="53"/>
      <c r="U120" s="25"/>
      <c r="V120" s="5"/>
    </row>
    <row r="121" spans="1:22" ht="15.6" x14ac:dyDescent="0.3">
      <c r="A121" s="24"/>
      <c r="B121" s="25" t="s">
        <v>205</v>
      </c>
      <c r="C121" s="25"/>
      <c r="D121" s="25"/>
      <c r="E121" s="25"/>
      <c r="F121" s="25"/>
      <c r="G121" s="25"/>
      <c r="H121" s="25"/>
      <c r="I121" s="25"/>
      <c r="J121" s="25"/>
      <c r="K121" s="25"/>
      <c r="L121" s="25"/>
      <c r="M121" s="25"/>
      <c r="N121" s="25"/>
      <c r="O121" s="25"/>
      <c r="P121" s="25"/>
      <c r="Q121" s="25"/>
      <c r="R121" s="34">
        <v>-12298</v>
      </c>
      <c r="S121" s="34"/>
      <c r="T121" s="53"/>
      <c r="U121" s="25"/>
      <c r="V121" s="5"/>
    </row>
    <row r="122" spans="1:22" ht="15.6" x14ac:dyDescent="0.3">
      <c r="A122" s="24"/>
      <c r="B122" s="25" t="s">
        <v>203</v>
      </c>
      <c r="C122" s="25"/>
      <c r="D122" s="25"/>
      <c r="E122" s="25"/>
      <c r="F122" s="25"/>
      <c r="G122" s="25"/>
      <c r="H122" s="25"/>
      <c r="I122" s="25"/>
      <c r="J122" s="25"/>
      <c r="K122" s="25"/>
      <c r="L122" s="25"/>
      <c r="M122" s="25"/>
      <c r="N122" s="25"/>
      <c r="O122" s="25"/>
      <c r="P122" s="25"/>
      <c r="Q122" s="25"/>
      <c r="R122" s="34">
        <v>-3241</v>
      </c>
      <c r="S122" s="34"/>
      <c r="T122" s="53"/>
      <c r="U122" s="25"/>
      <c r="V122" s="5"/>
    </row>
    <row r="123" spans="1:22" ht="15.6" x14ac:dyDescent="0.3">
      <c r="A123" s="24"/>
      <c r="B123" s="25" t="s">
        <v>202</v>
      </c>
      <c r="C123" s="25"/>
      <c r="D123" s="25"/>
      <c r="E123" s="25"/>
      <c r="F123" s="25"/>
      <c r="G123" s="25"/>
      <c r="H123" s="25"/>
      <c r="I123" s="25"/>
      <c r="J123" s="25"/>
      <c r="K123" s="25"/>
      <c r="L123" s="25"/>
      <c r="M123" s="25"/>
      <c r="N123" s="25"/>
      <c r="O123" s="25"/>
      <c r="P123" s="25"/>
      <c r="Q123" s="25"/>
      <c r="R123" s="34">
        <v>-3268</v>
      </c>
      <c r="S123" s="34"/>
      <c r="T123" s="53"/>
      <c r="U123" s="25"/>
      <c r="V123" s="5"/>
    </row>
    <row r="124" spans="1:22" ht="15.6" x14ac:dyDescent="0.3">
      <c r="A124" s="24"/>
      <c r="B124" s="25" t="s">
        <v>197</v>
      </c>
      <c r="C124" s="25"/>
      <c r="D124" s="25"/>
      <c r="E124" s="25"/>
      <c r="F124" s="25"/>
      <c r="G124" s="25"/>
      <c r="H124" s="25"/>
      <c r="I124" s="25"/>
      <c r="J124" s="25"/>
      <c r="K124" s="25"/>
      <c r="L124" s="25"/>
      <c r="M124" s="25"/>
      <c r="N124" s="25"/>
      <c r="O124" s="25"/>
      <c r="P124" s="25"/>
      <c r="Q124" s="25"/>
      <c r="R124" s="34">
        <v>0</v>
      </c>
      <c r="S124" s="34"/>
      <c r="T124" s="53"/>
      <c r="U124" s="25"/>
      <c r="V124" s="5"/>
    </row>
    <row r="125" spans="1:22" ht="15.6" x14ac:dyDescent="0.3">
      <c r="A125" s="24"/>
      <c r="B125" s="25" t="s">
        <v>196</v>
      </c>
      <c r="C125" s="25"/>
      <c r="D125" s="25"/>
      <c r="E125" s="25"/>
      <c r="F125" s="25"/>
      <c r="G125" s="25"/>
      <c r="H125" s="25"/>
      <c r="I125" s="25"/>
      <c r="J125" s="25"/>
      <c r="K125" s="25"/>
      <c r="L125" s="25"/>
      <c r="M125" s="25"/>
      <c r="N125" s="25"/>
      <c r="O125" s="25"/>
      <c r="P125" s="25"/>
      <c r="Q125" s="25"/>
      <c r="R125" s="34">
        <v>0</v>
      </c>
      <c r="S125" s="34"/>
      <c r="T125" s="53"/>
      <c r="U125" s="25"/>
      <c r="V125" s="5"/>
    </row>
    <row r="126" spans="1:22" ht="15.6" x14ac:dyDescent="0.3">
      <c r="A126" s="24"/>
      <c r="B126" s="25" t="s">
        <v>195</v>
      </c>
      <c r="C126" s="25"/>
      <c r="D126" s="25"/>
      <c r="E126" s="25"/>
      <c r="F126" s="25"/>
      <c r="G126" s="25"/>
      <c r="H126" s="25"/>
      <c r="I126" s="25"/>
      <c r="J126" s="25"/>
      <c r="K126" s="25"/>
      <c r="L126" s="25"/>
      <c r="M126" s="25"/>
      <c r="N126" s="25"/>
      <c r="O126" s="25"/>
      <c r="P126" s="25"/>
      <c r="Q126" s="25"/>
      <c r="R126" s="34">
        <v>0</v>
      </c>
      <c r="S126" s="34"/>
      <c r="T126" s="53"/>
      <c r="U126" s="25"/>
      <c r="V126" s="5"/>
    </row>
    <row r="127" spans="1:22" ht="15.6" x14ac:dyDescent="0.3">
      <c r="A127" s="24"/>
      <c r="B127" s="25" t="s">
        <v>40</v>
      </c>
      <c r="C127" s="25"/>
      <c r="D127" s="25"/>
      <c r="E127" s="25"/>
      <c r="F127" s="25"/>
      <c r="G127" s="25"/>
      <c r="H127" s="25"/>
      <c r="I127" s="25"/>
      <c r="J127" s="25"/>
      <c r="K127" s="25"/>
      <c r="L127" s="25"/>
      <c r="M127" s="25"/>
      <c r="N127" s="25"/>
      <c r="O127" s="25"/>
      <c r="P127" s="25"/>
      <c r="Q127" s="25"/>
      <c r="R127" s="34">
        <f>SUM(R118:R126)</f>
        <v>-24827</v>
      </c>
      <c r="S127" s="34"/>
      <c r="T127" s="34">
        <f>SUM(T100:T125)</f>
        <v>-20000</v>
      </c>
      <c r="U127" s="25"/>
      <c r="V127" s="5"/>
    </row>
    <row r="128" spans="1:22" ht="15.6" x14ac:dyDescent="0.3">
      <c r="A128" s="24"/>
      <c r="B128" s="25" t="s">
        <v>41</v>
      </c>
      <c r="C128" s="25"/>
      <c r="D128" s="25"/>
      <c r="E128" s="25"/>
      <c r="F128" s="25"/>
      <c r="G128" s="25"/>
      <c r="H128" s="25"/>
      <c r="I128" s="25"/>
      <c r="J128" s="25"/>
      <c r="K128" s="25"/>
      <c r="L128" s="25"/>
      <c r="M128" s="25"/>
      <c r="N128" s="25"/>
      <c r="O128" s="25"/>
      <c r="P128" s="25"/>
      <c r="Q128" s="25"/>
      <c r="R128" s="34">
        <f>R99+R127</f>
        <v>0</v>
      </c>
      <c r="S128" s="34"/>
      <c r="T128" s="34">
        <f>T99+T127</f>
        <v>0</v>
      </c>
      <c r="U128" s="25"/>
      <c r="V128" s="5"/>
    </row>
    <row r="129" spans="1:23" ht="15.6" x14ac:dyDescent="0.3">
      <c r="A129" s="24"/>
      <c r="B129" s="25"/>
      <c r="C129" s="25"/>
      <c r="D129" s="25"/>
      <c r="E129" s="25"/>
      <c r="F129" s="25"/>
      <c r="G129" s="25"/>
      <c r="H129" s="25"/>
      <c r="I129" s="25"/>
      <c r="J129" s="25"/>
      <c r="K129" s="25"/>
      <c r="L129" s="25"/>
      <c r="M129" s="25"/>
      <c r="N129" s="25"/>
      <c r="O129" s="25"/>
      <c r="P129" s="25"/>
      <c r="Q129" s="25"/>
      <c r="R129" s="34"/>
      <c r="S129" s="34"/>
      <c r="T129" s="34"/>
      <c r="U129" s="25"/>
      <c r="V129" s="5"/>
    </row>
    <row r="130" spans="1:23" ht="15.6" x14ac:dyDescent="0.3">
      <c r="A130" s="6"/>
      <c r="B130" s="8"/>
      <c r="C130" s="8"/>
      <c r="D130" s="8"/>
      <c r="E130" s="8"/>
      <c r="F130" s="8"/>
      <c r="G130" s="8"/>
      <c r="H130" s="8"/>
      <c r="I130" s="8"/>
      <c r="J130" s="8"/>
      <c r="K130" s="8"/>
      <c r="L130" s="8"/>
      <c r="M130" s="8"/>
      <c r="N130" s="8"/>
      <c r="O130" s="8"/>
      <c r="P130" s="8"/>
      <c r="Q130" s="8"/>
      <c r="R130" s="8"/>
      <c r="S130" s="8"/>
      <c r="T130" s="52"/>
      <c r="U130" s="8"/>
      <c r="V130" s="5"/>
    </row>
    <row r="131" spans="1:23" ht="18" thickBot="1" x14ac:dyDescent="0.35">
      <c r="A131" s="101"/>
      <c r="B131" s="102" t="str">
        <f>B64</f>
        <v>PM11 INVESTOR REPORT QUARTER ENDING JUNE 2006</v>
      </c>
      <c r="C131" s="103"/>
      <c r="D131" s="103"/>
      <c r="E131" s="103"/>
      <c r="F131" s="103"/>
      <c r="G131" s="103"/>
      <c r="H131" s="103"/>
      <c r="I131" s="103"/>
      <c r="J131" s="103"/>
      <c r="K131" s="103"/>
      <c r="L131" s="103"/>
      <c r="M131" s="103"/>
      <c r="N131" s="103"/>
      <c r="O131" s="103"/>
      <c r="P131" s="103"/>
      <c r="Q131" s="103"/>
      <c r="R131" s="103"/>
      <c r="S131" s="103"/>
      <c r="T131" s="106"/>
      <c r="U131" s="105"/>
      <c r="V131" s="5"/>
    </row>
    <row r="132" spans="1:23" ht="15.6" x14ac:dyDescent="0.3">
      <c r="A132" s="2"/>
      <c r="B132" s="60" t="s">
        <v>42</v>
      </c>
      <c r="C132" s="4"/>
      <c r="D132" s="4"/>
      <c r="E132" s="4"/>
      <c r="F132" s="4"/>
      <c r="G132" s="4"/>
      <c r="H132" s="4"/>
      <c r="I132" s="4"/>
      <c r="J132" s="4"/>
      <c r="K132" s="4"/>
      <c r="L132" s="4"/>
      <c r="M132" s="4"/>
      <c r="N132" s="4"/>
      <c r="O132" s="4"/>
      <c r="P132" s="4"/>
      <c r="Q132" s="4"/>
      <c r="R132" s="4"/>
      <c r="S132" s="4"/>
      <c r="T132" s="50"/>
      <c r="U132" s="4"/>
      <c r="V132" s="5"/>
    </row>
    <row r="133" spans="1:23" ht="15.6" x14ac:dyDescent="0.3">
      <c r="A133" s="6"/>
      <c r="B133" s="21"/>
      <c r="C133" s="8"/>
      <c r="D133" s="8"/>
      <c r="E133" s="8"/>
      <c r="F133" s="8"/>
      <c r="G133" s="8"/>
      <c r="H133" s="8"/>
      <c r="I133" s="8"/>
      <c r="J133" s="8"/>
      <c r="K133" s="8"/>
      <c r="L133" s="8"/>
      <c r="M133" s="8"/>
      <c r="N133" s="8"/>
      <c r="O133" s="8"/>
      <c r="P133" s="8"/>
      <c r="Q133" s="8"/>
      <c r="R133" s="8"/>
      <c r="S133" s="8"/>
      <c r="T133" s="52"/>
      <c r="U133" s="8"/>
      <c r="V133" s="5"/>
    </row>
    <row r="134" spans="1:23" ht="15.6" x14ac:dyDescent="0.3">
      <c r="A134" s="6"/>
      <c r="B134" s="119" t="s">
        <v>43</v>
      </c>
      <c r="C134" s="8"/>
      <c r="D134" s="8"/>
      <c r="E134" s="8"/>
      <c r="F134" s="8"/>
      <c r="G134" s="8"/>
      <c r="H134" s="8"/>
      <c r="I134" s="8"/>
      <c r="J134" s="8"/>
      <c r="K134" s="8"/>
      <c r="L134" s="8"/>
      <c r="M134" s="8"/>
      <c r="N134" s="8"/>
      <c r="O134" s="8"/>
      <c r="P134" s="8"/>
      <c r="Q134" s="8"/>
      <c r="R134" s="8"/>
      <c r="S134" s="8"/>
      <c r="T134" s="52"/>
      <c r="U134" s="8"/>
      <c r="V134" s="5"/>
    </row>
    <row r="135" spans="1:23" ht="15.6" x14ac:dyDescent="0.3">
      <c r="A135" s="24"/>
      <c r="B135" s="25" t="s">
        <v>44</v>
      </c>
      <c r="C135" s="25"/>
      <c r="D135" s="25"/>
      <c r="E135" s="25"/>
      <c r="F135" s="25"/>
      <c r="G135" s="25"/>
      <c r="H135" s="25"/>
      <c r="I135" s="25"/>
      <c r="J135" s="25"/>
      <c r="K135" s="25"/>
      <c r="L135" s="25"/>
      <c r="M135" s="25"/>
      <c r="N135" s="25"/>
      <c r="O135" s="25"/>
      <c r="P135" s="25"/>
      <c r="Q135" s="25"/>
      <c r="R135" s="25"/>
      <c r="S135" s="25"/>
      <c r="T135" s="53">
        <f>+T34*0.019</f>
        <v>19000.95</v>
      </c>
      <c r="U135" s="25"/>
      <c r="V135" s="5"/>
    </row>
    <row r="136" spans="1:23" ht="15.6" x14ac:dyDescent="0.3">
      <c r="A136" s="24"/>
      <c r="B136" s="25" t="s">
        <v>45</v>
      </c>
      <c r="C136" s="25"/>
      <c r="D136" s="25"/>
      <c r="E136" s="25"/>
      <c r="F136" s="25"/>
      <c r="G136" s="25"/>
      <c r="H136" s="25"/>
      <c r="I136" s="25"/>
      <c r="J136" s="25"/>
      <c r="K136" s="25"/>
      <c r="L136" s="25"/>
      <c r="M136" s="25"/>
      <c r="N136" s="25"/>
      <c r="O136" s="25"/>
      <c r="P136" s="25"/>
      <c r="Q136" s="25"/>
      <c r="R136" s="25"/>
      <c r="S136" s="25"/>
      <c r="T136" s="53">
        <v>19001</v>
      </c>
      <c r="U136" s="25"/>
      <c r="V136" s="5"/>
    </row>
    <row r="137" spans="1:23" ht="15.6" x14ac:dyDescent="0.3">
      <c r="A137" s="24"/>
      <c r="B137" s="25" t="s">
        <v>142</v>
      </c>
      <c r="C137" s="25"/>
      <c r="D137" s="25"/>
      <c r="E137" s="25"/>
      <c r="F137" s="25"/>
      <c r="G137" s="25"/>
      <c r="H137" s="25"/>
      <c r="I137" s="25"/>
      <c r="J137" s="25"/>
      <c r="K137" s="25"/>
      <c r="L137" s="25"/>
      <c r="M137" s="25"/>
      <c r="N137" s="25"/>
      <c r="O137" s="25"/>
      <c r="P137" s="25"/>
      <c r="Q137" s="25"/>
      <c r="R137" s="25"/>
      <c r="S137" s="25"/>
      <c r="T137" s="53">
        <v>0</v>
      </c>
      <c r="U137" s="25"/>
      <c r="V137" s="5"/>
    </row>
    <row r="138" spans="1:23" ht="15.6" x14ac:dyDescent="0.3">
      <c r="A138" s="24"/>
      <c r="B138" s="25" t="s">
        <v>129</v>
      </c>
      <c r="C138" s="25"/>
      <c r="D138" s="25"/>
      <c r="E138" s="25"/>
      <c r="F138" s="25"/>
      <c r="G138" s="25"/>
      <c r="H138" s="25"/>
      <c r="I138" s="25"/>
      <c r="J138" s="25"/>
      <c r="K138" s="25"/>
      <c r="L138" s="25"/>
      <c r="M138" s="25"/>
      <c r="N138" s="25"/>
      <c r="O138" s="25"/>
      <c r="P138" s="25"/>
      <c r="Q138" s="25"/>
      <c r="R138" s="25"/>
      <c r="S138" s="25"/>
      <c r="T138" s="53">
        <v>0</v>
      </c>
      <c r="U138" s="25"/>
      <c r="V138" s="5"/>
    </row>
    <row r="139" spans="1:23" ht="15.6" x14ac:dyDescent="0.3">
      <c r="A139" s="24"/>
      <c r="B139" s="25" t="s">
        <v>130</v>
      </c>
      <c r="C139" s="25"/>
      <c r="D139" s="25"/>
      <c r="E139" s="25"/>
      <c r="F139" s="25"/>
      <c r="G139" s="25"/>
      <c r="H139" s="25"/>
      <c r="I139" s="25"/>
      <c r="J139" s="25"/>
      <c r="K139" s="25"/>
      <c r="L139" s="25"/>
      <c r="M139" s="25"/>
      <c r="N139" s="25"/>
      <c r="O139" s="25"/>
      <c r="P139" s="25"/>
      <c r="Q139" s="25"/>
      <c r="R139" s="25"/>
      <c r="S139" s="25"/>
      <c r="T139" s="53">
        <v>0</v>
      </c>
      <c r="U139" s="25"/>
      <c r="V139" s="5"/>
    </row>
    <row r="140" spans="1:23" ht="15.6" x14ac:dyDescent="0.3">
      <c r="A140" s="24"/>
      <c r="B140" s="25" t="s">
        <v>182</v>
      </c>
      <c r="C140" s="25"/>
      <c r="D140" s="25"/>
      <c r="E140" s="25"/>
      <c r="F140" s="25"/>
      <c r="G140" s="25"/>
      <c r="H140" s="25"/>
      <c r="I140" s="25"/>
      <c r="J140" s="25"/>
      <c r="K140" s="25"/>
      <c r="L140" s="25"/>
      <c r="M140" s="25"/>
      <c r="N140" s="25"/>
      <c r="O140" s="25"/>
      <c r="P140" s="25"/>
      <c r="Q140" s="25"/>
      <c r="R140" s="25"/>
      <c r="S140" s="25"/>
      <c r="T140" s="53">
        <v>0</v>
      </c>
      <c r="U140" s="25"/>
      <c r="V140" s="5"/>
    </row>
    <row r="141" spans="1:23" ht="15.6" x14ac:dyDescent="0.3">
      <c r="A141" s="24"/>
      <c r="B141" s="25" t="s">
        <v>46</v>
      </c>
      <c r="C141" s="25"/>
      <c r="D141" s="25"/>
      <c r="E141" s="25"/>
      <c r="F141" s="25"/>
      <c r="G141" s="25"/>
      <c r="H141" s="25"/>
      <c r="I141" s="25"/>
      <c r="J141" s="25"/>
      <c r="K141" s="25"/>
      <c r="L141" s="25"/>
      <c r="M141" s="25"/>
      <c r="N141" s="25"/>
      <c r="O141" s="25"/>
      <c r="P141" s="25"/>
      <c r="Q141" s="25"/>
      <c r="R141" s="25"/>
      <c r="S141" s="25"/>
      <c r="T141" s="53">
        <v>0</v>
      </c>
      <c r="U141" s="25"/>
      <c r="V141" s="5"/>
    </row>
    <row r="142" spans="1:23" ht="15.6" x14ac:dyDescent="0.3">
      <c r="A142" s="24"/>
      <c r="B142" s="25" t="s">
        <v>135</v>
      </c>
      <c r="C142" s="25"/>
      <c r="D142" s="25"/>
      <c r="E142" s="25"/>
      <c r="F142" s="25"/>
      <c r="G142" s="25"/>
      <c r="H142" s="25"/>
      <c r="I142" s="25"/>
      <c r="J142" s="25"/>
      <c r="K142" s="25"/>
      <c r="L142" s="25"/>
      <c r="M142" s="25"/>
      <c r="N142" s="25"/>
      <c r="O142" s="25"/>
      <c r="P142" s="25"/>
      <c r="Q142" s="25"/>
      <c r="R142" s="25"/>
      <c r="S142" s="25"/>
      <c r="T142" s="53">
        <v>0</v>
      </c>
      <c r="U142" s="25"/>
      <c r="V142" s="5"/>
    </row>
    <row r="143" spans="1:23" ht="15.6" x14ac:dyDescent="0.3">
      <c r="A143" s="24"/>
      <c r="B143" s="25" t="s">
        <v>251</v>
      </c>
      <c r="C143" s="25"/>
      <c r="D143" s="25"/>
      <c r="E143" s="25"/>
      <c r="F143" s="25"/>
      <c r="G143" s="25"/>
      <c r="H143" s="25"/>
      <c r="I143" s="25"/>
      <c r="J143" s="25"/>
      <c r="K143" s="25"/>
      <c r="L143" s="25"/>
      <c r="M143" s="25"/>
      <c r="N143" s="25"/>
      <c r="O143" s="25"/>
      <c r="P143" s="25"/>
      <c r="Q143" s="25"/>
      <c r="R143" s="25"/>
      <c r="S143" s="25"/>
      <c r="T143" s="53">
        <v>0</v>
      </c>
      <c r="U143" s="25"/>
      <c r="V143" s="5"/>
      <c r="W143" s="109"/>
    </row>
    <row r="144" spans="1:23" ht="15.6" x14ac:dyDescent="0.3">
      <c r="A144" s="24"/>
      <c r="B144" s="25" t="s">
        <v>47</v>
      </c>
      <c r="C144" s="25"/>
      <c r="D144" s="25"/>
      <c r="E144" s="25"/>
      <c r="F144" s="25"/>
      <c r="G144" s="25"/>
      <c r="H144" s="25"/>
      <c r="I144" s="25"/>
      <c r="J144" s="25"/>
      <c r="K144" s="25"/>
      <c r="L144" s="25"/>
      <c r="M144" s="25"/>
      <c r="N144" s="25"/>
      <c r="O144" s="25"/>
      <c r="P144" s="25"/>
      <c r="Q144" s="25"/>
      <c r="R144" s="25"/>
      <c r="S144" s="25"/>
      <c r="T144" s="53">
        <f>SUM(T136:T143)</f>
        <v>19001</v>
      </c>
      <c r="U144" s="25"/>
      <c r="V144" s="5"/>
    </row>
    <row r="145" spans="1:22" ht="15.6" x14ac:dyDescent="0.3">
      <c r="A145" s="24"/>
      <c r="B145" s="25"/>
      <c r="C145" s="25"/>
      <c r="D145" s="25"/>
      <c r="E145" s="25"/>
      <c r="F145" s="25"/>
      <c r="G145" s="25"/>
      <c r="H145" s="25"/>
      <c r="I145" s="25"/>
      <c r="J145" s="25"/>
      <c r="K145" s="25"/>
      <c r="L145" s="25"/>
      <c r="M145" s="25"/>
      <c r="N145" s="25"/>
      <c r="O145" s="25"/>
      <c r="P145" s="25"/>
      <c r="Q145" s="25"/>
      <c r="R145" s="25"/>
      <c r="S145" s="25"/>
      <c r="T145" s="53"/>
      <c r="U145" s="25"/>
      <c r="V145" s="5"/>
    </row>
    <row r="146" spans="1:22" ht="15.6" x14ac:dyDescent="0.3">
      <c r="A146" s="24"/>
      <c r="B146" s="138" t="s">
        <v>254</v>
      </c>
      <c r="C146" s="25"/>
      <c r="D146" s="25"/>
      <c r="E146" s="25"/>
      <c r="F146" s="25"/>
      <c r="G146" s="25"/>
      <c r="H146" s="25"/>
      <c r="I146" s="25"/>
      <c r="J146" s="25"/>
      <c r="K146" s="25"/>
      <c r="L146" s="25"/>
      <c r="M146" s="25"/>
      <c r="N146" s="25"/>
      <c r="O146" s="25"/>
      <c r="P146" s="25"/>
      <c r="Q146" s="25"/>
      <c r="R146" s="25"/>
      <c r="S146" s="25"/>
      <c r="T146" s="53"/>
      <c r="U146" s="25"/>
      <c r="V146" s="5"/>
    </row>
    <row r="147" spans="1:22" ht="15.6" x14ac:dyDescent="0.3">
      <c r="A147" s="24"/>
      <c r="B147" s="25" t="s">
        <v>161</v>
      </c>
      <c r="C147" s="25"/>
      <c r="D147" s="25"/>
      <c r="E147" s="25"/>
      <c r="F147" s="25"/>
      <c r="G147" s="25"/>
      <c r="H147" s="25"/>
      <c r="I147" s="25"/>
      <c r="J147" s="25"/>
      <c r="K147" s="25"/>
      <c r="L147" s="25"/>
      <c r="M147" s="25"/>
      <c r="N147" s="25"/>
      <c r="O147" s="25"/>
      <c r="P147" s="25"/>
      <c r="Q147" s="25"/>
      <c r="R147" s="25"/>
      <c r="S147" s="25"/>
      <c r="T147" s="53">
        <v>0</v>
      </c>
      <c r="U147" s="25"/>
      <c r="V147" s="5"/>
    </row>
    <row r="148" spans="1:22" ht="15.6" x14ac:dyDescent="0.3">
      <c r="A148" s="24"/>
      <c r="B148" s="25" t="s">
        <v>179</v>
      </c>
      <c r="C148" s="25"/>
      <c r="D148" s="25"/>
      <c r="E148" s="25"/>
      <c r="F148" s="25"/>
      <c r="G148" s="25"/>
      <c r="H148" s="25"/>
      <c r="I148" s="25"/>
      <c r="J148" s="25"/>
      <c r="K148" s="25"/>
      <c r="L148" s="25"/>
      <c r="M148" s="25"/>
      <c r="N148" s="25"/>
      <c r="O148" s="25"/>
      <c r="P148" s="25"/>
      <c r="Q148" s="25"/>
      <c r="R148" s="25"/>
      <c r="S148" s="25"/>
      <c r="T148" s="53">
        <v>0</v>
      </c>
      <c r="U148" s="25"/>
      <c r="V148" s="5"/>
    </row>
    <row r="149" spans="1:22" ht="15.6" x14ac:dyDescent="0.3">
      <c r="A149" s="24"/>
      <c r="B149" s="25" t="s">
        <v>162</v>
      </c>
      <c r="C149" s="25"/>
      <c r="D149" s="25"/>
      <c r="E149" s="25"/>
      <c r="F149" s="25"/>
      <c r="G149" s="25"/>
      <c r="H149" s="25"/>
      <c r="I149" s="25"/>
      <c r="J149" s="25"/>
      <c r="K149" s="25"/>
      <c r="L149" s="25"/>
      <c r="M149" s="25"/>
      <c r="N149" s="25"/>
      <c r="O149" s="25"/>
      <c r="P149" s="25"/>
      <c r="Q149" s="25"/>
      <c r="R149" s="25"/>
      <c r="S149" s="25"/>
      <c r="T149" s="53">
        <v>0</v>
      </c>
      <c r="U149" s="25"/>
      <c r="V149" s="5"/>
    </row>
    <row r="150" spans="1:22" ht="15.6" x14ac:dyDescent="0.3">
      <c r="A150" s="24"/>
      <c r="B150" s="25"/>
      <c r="C150" s="25"/>
      <c r="D150" s="25"/>
      <c r="E150" s="25"/>
      <c r="F150" s="25"/>
      <c r="G150" s="25"/>
      <c r="H150" s="25"/>
      <c r="I150" s="25"/>
      <c r="J150" s="25"/>
      <c r="K150" s="25"/>
      <c r="L150" s="25"/>
      <c r="M150" s="25"/>
      <c r="N150" s="25"/>
      <c r="O150" s="25"/>
      <c r="P150" s="25"/>
      <c r="Q150" s="25"/>
      <c r="R150" s="25"/>
      <c r="S150" s="25"/>
      <c r="T150" s="53"/>
      <c r="U150" s="25"/>
      <c r="V150" s="5"/>
    </row>
    <row r="151" spans="1:22" ht="15.6" x14ac:dyDescent="0.3">
      <c r="A151" s="24"/>
      <c r="B151" s="25"/>
      <c r="C151" s="25"/>
      <c r="D151" s="25"/>
      <c r="E151" s="25"/>
      <c r="F151" s="25"/>
      <c r="G151" s="25"/>
      <c r="H151" s="25"/>
      <c r="I151" s="25"/>
      <c r="J151" s="25"/>
      <c r="K151" s="25"/>
      <c r="L151" s="25"/>
      <c r="M151" s="25"/>
      <c r="N151" s="25"/>
      <c r="O151" s="25"/>
      <c r="P151" s="25"/>
      <c r="Q151" s="25"/>
      <c r="R151" s="25"/>
      <c r="S151" s="25"/>
      <c r="T151" s="61"/>
      <c r="U151" s="25"/>
      <c r="V151" s="5"/>
    </row>
    <row r="152" spans="1:22" ht="15.6" x14ac:dyDescent="0.3">
      <c r="A152" s="6"/>
      <c r="B152" s="119" t="s">
        <v>24</v>
      </c>
      <c r="C152" s="8"/>
      <c r="D152" s="8"/>
      <c r="E152" s="8"/>
      <c r="F152" s="8"/>
      <c r="G152" s="8"/>
      <c r="H152" s="8"/>
      <c r="I152" s="8"/>
      <c r="J152" s="8"/>
      <c r="K152" s="8"/>
      <c r="L152" s="8"/>
      <c r="M152" s="8"/>
      <c r="N152" s="8"/>
      <c r="O152" s="8"/>
      <c r="P152" s="8"/>
      <c r="Q152" s="8"/>
      <c r="R152" s="8"/>
      <c r="S152" s="8"/>
      <c r="T152" s="52"/>
      <c r="U152" s="8"/>
      <c r="V152" s="5"/>
    </row>
    <row r="153" spans="1:22" ht="15.6" x14ac:dyDescent="0.3">
      <c r="A153" s="24"/>
      <c r="B153" s="25" t="s">
        <v>48</v>
      </c>
      <c r="C153" s="25"/>
      <c r="D153" s="25"/>
      <c r="E153" s="25"/>
      <c r="F153" s="25"/>
      <c r="G153" s="25"/>
      <c r="H153" s="25"/>
      <c r="I153" s="25"/>
      <c r="J153" s="25"/>
      <c r="K153" s="25"/>
      <c r="L153" s="25"/>
      <c r="M153" s="25"/>
      <c r="N153" s="25"/>
      <c r="O153" s="25"/>
      <c r="P153" s="25"/>
      <c r="Q153" s="25"/>
      <c r="R153" s="25"/>
      <c r="S153" s="25"/>
      <c r="T153" s="59" t="s">
        <v>124</v>
      </c>
      <c r="U153" s="25"/>
      <c r="V153" s="5"/>
    </row>
    <row r="154" spans="1:22" ht="15.6" x14ac:dyDescent="0.3">
      <c r="A154" s="24"/>
      <c r="B154" s="25" t="s">
        <v>49</v>
      </c>
      <c r="C154" s="27"/>
      <c r="D154" s="27"/>
      <c r="E154" s="27"/>
      <c r="F154" s="27"/>
      <c r="G154" s="27"/>
      <c r="H154" s="27"/>
      <c r="I154" s="27"/>
      <c r="J154" s="27"/>
      <c r="K154" s="27"/>
      <c r="L154" s="27"/>
      <c r="M154" s="27"/>
      <c r="N154" s="27"/>
      <c r="O154" s="27"/>
      <c r="P154" s="27"/>
      <c r="Q154" s="27"/>
      <c r="R154" s="27"/>
      <c r="S154" s="27"/>
      <c r="T154" s="59" t="s">
        <v>124</v>
      </c>
      <c r="U154" s="25"/>
      <c r="V154" s="5"/>
    </row>
    <row r="155" spans="1:22" ht="15.6" x14ac:dyDescent="0.3">
      <c r="A155" s="24"/>
      <c r="B155" s="25" t="s">
        <v>50</v>
      </c>
      <c r="C155" s="25"/>
      <c r="D155" s="25"/>
      <c r="E155" s="25"/>
      <c r="F155" s="25"/>
      <c r="G155" s="25"/>
      <c r="H155" s="25"/>
      <c r="I155" s="25"/>
      <c r="J155" s="25"/>
      <c r="K155" s="25"/>
      <c r="L155" s="25"/>
      <c r="M155" s="25"/>
      <c r="N155" s="25"/>
      <c r="O155" s="25"/>
      <c r="P155" s="25"/>
      <c r="Q155" s="25"/>
      <c r="R155" s="25"/>
      <c r="S155" s="25"/>
      <c r="T155" s="59" t="s">
        <v>124</v>
      </c>
      <c r="U155" s="25"/>
      <c r="V155" s="5"/>
    </row>
    <row r="156" spans="1:22" ht="15.6" x14ac:dyDescent="0.3">
      <c r="A156" s="24"/>
      <c r="B156" s="25" t="s">
        <v>51</v>
      </c>
      <c r="C156" s="25"/>
      <c r="D156" s="25"/>
      <c r="E156" s="25"/>
      <c r="F156" s="25"/>
      <c r="G156" s="25"/>
      <c r="H156" s="25"/>
      <c r="I156" s="25"/>
      <c r="J156" s="25"/>
      <c r="K156" s="25"/>
      <c r="L156" s="25"/>
      <c r="M156" s="25"/>
      <c r="N156" s="25"/>
      <c r="O156" s="25"/>
      <c r="P156" s="25"/>
      <c r="Q156" s="25"/>
      <c r="R156" s="25"/>
      <c r="S156" s="25"/>
      <c r="T156" s="59" t="s">
        <v>124</v>
      </c>
      <c r="U156" s="25"/>
      <c r="V156" s="5"/>
    </row>
    <row r="157" spans="1:22" ht="15.6" x14ac:dyDescent="0.3">
      <c r="A157" s="24"/>
      <c r="B157" s="25"/>
      <c r="C157" s="25"/>
      <c r="D157" s="25"/>
      <c r="E157" s="25"/>
      <c r="F157" s="25"/>
      <c r="G157" s="25"/>
      <c r="H157" s="25"/>
      <c r="I157" s="25"/>
      <c r="J157" s="25"/>
      <c r="K157" s="25"/>
      <c r="L157" s="25"/>
      <c r="M157" s="25"/>
      <c r="N157" s="25"/>
      <c r="O157" s="25"/>
      <c r="P157" s="25"/>
      <c r="Q157" s="25"/>
      <c r="R157" s="25"/>
      <c r="S157" s="25"/>
      <c r="T157" s="61"/>
      <c r="U157" s="25"/>
      <c r="V157" s="5"/>
    </row>
    <row r="158" spans="1:22" ht="15.6" x14ac:dyDescent="0.3">
      <c r="A158" s="6"/>
      <c r="B158" s="119" t="s">
        <v>52</v>
      </c>
      <c r="C158" s="8"/>
      <c r="D158" s="8"/>
      <c r="E158" s="8"/>
      <c r="F158" s="8"/>
      <c r="G158" s="8"/>
      <c r="H158" s="8"/>
      <c r="I158" s="8"/>
      <c r="J158" s="8"/>
      <c r="K158" s="8"/>
      <c r="L158" s="8"/>
      <c r="M158" s="8"/>
      <c r="N158" s="8"/>
      <c r="O158" s="8"/>
      <c r="P158" s="8"/>
      <c r="Q158" s="8"/>
      <c r="R158" s="8"/>
      <c r="S158" s="8"/>
      <c r="T158" s="63"/>
      <c r="U158" s="8"/>
      <c r="V158" s="5"/>
    </row>
    <row r="159" spans="1:22" ht="15.6" x14ac:dyDescent="0.3">
      <c r="A159" s="24"/>
      <c r="B159" s="25" t="s">
        <v>53</v>
      </c>
      <c r="C159" s="25"/>
      <c r="D159" s="25"/>
      <c r="E159" s="25"/>
      <c r="F159" s="25"/>
      <c r="G159" s="25"/>
      <c r="H159" s="25"/>
      <c r="I159" s="25"/>
      <c r="J159" s="25"/>
      <c r="K159" s="25"/>
      <c r="L159" s="25"/>
      <c r="M159" s="25"/>
      <c r="N159" s="25"/>
      <c r="O159" s="25"/>
      <c r="P159" s="25"/>
      <c r="Q159" s="25"/>
      <c r="R159" s="25"/>
      <c r="S159" s="25"/>
      <c r="T159" s="53">
        <v>0</v>
      </c>
      <c r="U159" s="25"/>
      <c r="V159" s="5"/>
    </row>
    <row r="160" spans="1:22" ht="15.6" x14ac:dyDescent="0.3">
      <c r="A160" s="24"/>
      <c r="B160" s="25" t="s">
        <v>54</v>
      </c>
      <c r="C160" s="25"/>
      <c r="D160" s="25"/>
      <c r="E160" s="25"/>
      <c r="F160" s="25"/>
      <c r="G160" s="25"/>
      <c r="H160" s="25"/>
      <c r="I160" s="25"/>
      <c r="J160" s="25"/>
      <c r="K160" s="25"/>
      <c r="L160" s="25"/>
      <c r="M160" s="25"/>
      <c r="N160" s="25"/>
      <c r="O160" s="25"/>
      <c r="P160" s="25"/>
      <c r="Q160" s="25"/>
      <c r="R160" s="25"/>
      <c r="S160" s="25"/>
      <c r="T160" s="53">
        <v>0</v>
      </c>
      <c r="U160" s="25"/>
      <c r="V160" s="5"/>
    </row>
    <row r="161" spans="1:22" ht="15.6" x14ac:dyDescent="0.3">
      <c r="A161" s="24"/>
      <c r="B161" s="25" t="s">
        <v>55</v>
      </c>
      <c r="C161" s="25"/>
      <c r="D161" s="25"/>
      <c r="E161" s="25"/>
      <c r="F161" s="25"/>
      <c r="G161" s="25"/>
      <c r="H161" s="25"/>
      <c r="I161" s="25"/>
      <c r="J161" s="25"/>
      <c r="K161" s="25"/>
      <c r="L161" s="25"/>
      <c r="M161" s="25"/>
      <c r="N161" s="25"/>
      <c r="O161" s="25"/>
      <c r="P161" s="25"/>
      <c r="Q161" s="25"/>
      <c r="R161" s="25"/>
      <c r="S161" s="25"/>
      <c r="T161" s="53">
        <f>T160+T159</f>
        <v>0</v>
      </c>
      <c r="U161" s="25"/>
      <c r="V161" s="5"/>
    </row>
    <row r="162" spans="1:22" ht="15.6" x14ac:dyDescent="0.3">
      <c r="A162" s="24"/>
      <c r="B162" s="405" t="s">
        <v>301</v>
      </c>
      <c r="C162" s="25"/>
      <c r="D162" s="25"/>
      <c r="E162" s="25"/>
      <c r="F162" s="25"/>
      <c r="G162" s="25"/>
      <c r="H162" s="25"/>
      <c r="I162" s="25"/>
      <c r="J162" s="25"/>
      <c r="K162" s="25"/>
      <c r="L162" s="25"/>
      <c r="M162" s="25"/>
      <c r="N162" s="25"/>
      <c r="O162" s="25"/>
      <c r="P162" s="25"/>
      <c r="Q162" s="25"/>
      <c r="R162" s="25"/>
      <c r="S162" s="25"/>
      <c r="T162" s="53">
        <f>T112</f>
        <v>0</v>
      </c>
      <c r="U162" s="25"/>
      <c r="V162" s="5"/>
    </row>
    <row r="163" spans="1:22" ht="15.6" x14ac:dyDescent="0.3">
      <c r="A163" s="24"/>
      <c r="B163" s="25" t="s">
        <v>56</v>
      </c>
      <c r="C163" s="25"/>
      <c r="D163" s="25"/>
      <c r="E163" s="25"/>
      <c r="F163" s="25"/>
      <c r="G163" s="25"/>
      <c r="H163" s="25"/>
      <c r="I163" s="25"/>
      <c r="J163" s="25"/>
      <c r="K163" s="25"/>
      <c r="L163" s="25"/>
      <c r="M163" s="25"/>
      <c r="N163" s="25"/>
      <c r="O163" s="25"/>
      <c r="P163" s="25"/>
      <c r="Q163" s="25"/>
      <c r="R163" s="25"/>
      <c r="S163" s="25"/>
      <c r="T163" s="53">
        <f>T161+T162</f>
        <v>0</v>
      </c>
      <c r="U163" s="25"/>
      <c r="V163" s="5"/>
    </row>
    <row r="164" spans="1:22" ht="16.2" thickBot="1" x14ac:dyDescent="0.35">
      <c r="A164" s="24"/>
      <c r="B164" s="25"/>
      <c r="C164" s="25"/>
      <c r="D164" s="25"/>
      <c r="E164" s="25"/>
      <c r="F164" s="25"/>
      <c r="G164" s="25"/>
      <c r="H164" s="25"/>
      <c r="I164" s="25"/>
      <c r="J164" s="25"/>
      <c r="K164" s="25"/>
      <c r="L164" s="25"/>
      <c r="M164" s="25"/>
      <c r="N164" s="25"/>
      <c r="O164" s="25"/>
      <c r="P164" s="25"/>
      <c r="Q164" s="25"/>
      <c r="R164" s="25"/>
      <c r="S164" s="25"/>
      <c r="T164" s="61"/>
      <c r="U164" s="25"/>
      <c r="V164" s="5"/>
    </row>
    <row r="165" spans="1:22" ht="15.6" x14ac:dyDescent="0.3">
      <c r="A165" s="2"/>
      <c r="B165" s="4"/>
      <c r="C165" s="4"/>
      <c r="D165" s="4"/>
      <c r="E165" s="4"/>
      <c r="F165" s="4"/>
      <c r="G165" s="4"/>
      <c r="H165" s="4"/>
      <c r="I165" s="4"/>
      <c r="J165" s="4"/>
      <c r="K165" s="4"/>
      <c r="L165" s="4"/>
      <c r="M165" s="4"/>
      <c r="N165" s="4"/>
      <c r="O165" s="4"/>
      <c r="P165" s="4"/>
      <c r="Q165" s="4"/>
      <c r="R165" s="4"/>
      <c r="S165" s="4"/>
      <c r="T165" s="50"/>
      <c r="U165" s="4"/>
      <c r="V165" s="5"/>
    </row>
    <row r="166" spans="1:22" ht="15.6" x14ac:dyDescent="0.3">
      <c r="A166" s="6"/>
      <c r="B166" s="119" t="s">
        <v>57</v>
      </c>
      <c r="C166" s="8"/>
      <c r="D166" s="8"/>
      <c r="E166" s="8"/>
      <c r="F166" s="8"/>
      <c r="G166" s="8"/>
      <c r="H166" s="8"/>
      <c r="I166" s="8"/>
      <c r="J166" s="8"/>
      <c r="K166" s="8"/>
      <c r="L166" s="8"/>
      <c r="M166" s="8"/>
      <c r="N166" s="8"/>
      <c r="O166" s="8"/>
      <c r="P166" s="8"/>
      <c r="Q166" s="8"/>
      <c r="R166" s="8"/>
      <c r="S166" s="8"/>
      <c r="T166" s="52"/>
      <c r="U166" s="8"/>
      <c r="V166" s="5"/>
    </row>
    <row r="167" spans="1:22" ht="15.6" x14ac:dyDescent="0.3">
      <c r="A167" s="6"/>
      <c r="B167" s="21"/>
      <c r="C167" s="8"/>
      <c r="D167" s="8"/>
      <c r="E167" s="8"/>
      <c r="F167" s="8"/>
      <c r="G167" s="8"/>
      <c r="H167" s="8"/>
      <c r="I167" s="8"/>
      <c r="J167" s="8"/>
      <c r="K167" s="8"/>
      <c r="L167" s="8"/>
      <c r="M167" s="8"/>
      <c r="N167" s="8"/>
      <c r="O167" s="8"/>
      <c r="P167" s="8"/>
      <c r="Q167" s="8"/>
      <c r="R167" s="8"/>
      <c r="S167" s="8"/>
      <c r="T167" s="52"/>
      <c r="U167" s="8"/>
      <c r="V167" s="5"/>
    </row>
    <row r="168" spans="1:22" ht="15.6" x14ac:dyDescent="0.3">
      <c r="A168" s="24"/>
      <c r="B168" s="25" t="s">
        <v>58</v>
      </c>
      <c r="C168" s="25"/>
      <c r="D168" s="25"/>
      <c r="E168" s="25"/>
      <c r="F168" s="25"/>
      <c r="G168" s="25"/>
      <c r="H168" s="25"/>
      <c r="I168" s="25"/>
      <c r="J168" s="25"/>
      <c r="K168" s="25"/>
      <c r="L168" s="25"/>
      <c r="M168" s="25"/>
      <c r="N168" s="25"/>
      <c r="O168" s="25"/>
      <c r="P168" s="25"/>
      <c r="Q168" s="25"/>
      <c r="R168" s="25"/>
      <c r="S168" s="25"/>
      <c r="T168" s="53">
        <f>T72</f>
        <v>981243</v>
      </c>
      <c r="U168" s="25"/>
      <c r="V168" s="5"/>
    </row>
    <row r="169" spans="1:22" ht="15.6" x14ac:dyDescent="0.3">
      <c r="A169" s="24"/>
      <c r="B169" s="25" t="s">
        <v>59</v>
      </c>
      <c r="C169" s="25"/>
      <c r="D169" s="25"/>
      <c r="E169" s="25"/>
      <c r="F169" s="25"/>
      <c r="G169" s="25"/>
      <c r="H169" s="25"/>
      <c r="I169" s="25"/>
      <c r="J169" s="25"/>
      <c r="K169" s="25"/>
      <c r="L169" s="25"/>
      <c r="M169" s="25"/>
      <c r="N169" s="25"/>
      <c r="O169" s="25"/>
      <c r="P169" s="25"/>
      <c r="Q169" s="25"/>
      <c r="R169" s="25"/>
      <c r="S169" s="25"/>
      <c r="T169" s="53">
        <f>T85</f>
        <v>981243</v>
      </c>
      <c r="U169" s="25"/>
      <c r="V169" s="5"/>
    </row>
    <row r="170" spans="1:22" ht="16.2" thickBot="1" x14ac:dyDescent="0.35">
      <c r="A170" s="24"/>
      <c r="B170" s="25"/>
      <c r="C170" s="25"/>
      <c r="D170" s="25"/>
      <c r="E170" s="25"/>
      <c r="F170" s="25"/>
      <c r="G170" s="25"/>
      <c r="H170" s="25"/>
      <c r="I170" s="25"/>
      <c r="J170" s="25"/>
      <c r="K170" s="25"/>
      <c r="L170" s="25"/>
      <c r="M170" s="25"/>
      <c r="N170" s="25"/>
      <c r="O170" s="25"/>
      <c r="P170" s="25"/>
      <c r="Q170" s="25"/>
      <c r="R170" s="25"/>
      <c r="S170" s="25"/>
      <c r="T170" s="61"/>
      <c r="U170" s="25"/>
      <c r="V170" s="5"/>
    </row>
    <row r="171" spans="1:22" ht="15.6" x14ac:dyDescent="0.3">
      <c r="A171" s="2"/>
      <c r="B171" s="4"/>
      <c r="C171" s="4"/>
      <c r="D171" s="4"/>
      <c r="E171" s="4"/>
      <c r="F171" s="4"/>
      <c r="G171" s="4"/>
      <c r="H171" s="4"/>
      <c r="I171" s="4"/>
      <c r="J171" s="4"/>
      <c r="K171" s="4"/>
      <c r="L171" s="4"/>
      <c r="M171" s="4"/>
      <c r="N171" s="4"/>
      <c r="O171" s="4"/>
      <c r="P171" s="4"/>
      <c r="Q171" s="4"/>
      <c r="R171" s="4"/>
      <c r="S171" s="4"/>
      <c r="T171" s="50"/>
      <c r="U171" s="4"/>
      <c r="V171" s="5"/>
    </row>
    <row r="172" spans="1:22" ht="15.6" x14ac:dyDescent="0.3">
      <c r="A172" s="6"/>
      <c r="B172" s="119" t="s">
        <v>60</v>
      </c>
      <c r="C172" s="117"/>
      <c r="D172" s="117"/>
      <c r="E172" s="117"/>
      <c r="F172" s="117"/>
      <c r="G172" s="117"/>
      <c r="H172" s="120"/>
      <c r="I172" s="120"/>
      <c r="J172" s="120"/>
      <c r="K172" s="120"/>
      <c r="L172" s="120"/>
      <c r="M172" s="120"/>
      <c r="N172" s="120"/>
      <c r="O172" s="120"/>
      <c r="P172" s="120"/>
      <c r="Q172" s="120" t="s">
        <v>104</v>
      </c>
      <c r="R172" s="120" t="s">
        <v>183</v>
      </c>
      <c r="S172" s="111"/>
      <c r="T172" s="121" t="s">
        <v>120</v>
      </c>
      <c r="U172" s="10"/>
      <c r="V172" s="5"/>
    </row>
    <row r="173" spans="1:22" ht="15.6" x14ac:dyDescent="0.3">
      <c r="A173" s="24"/>
      <c r="B173" s="25" t="s">
        <v>61</v>
      </c>
      <c r="C173" s="25"/>
      <c r="D173" s="25"/>
      <c r="E173" s="25"/>
      <c r="F173" s="25"/>
      <c r="G173" s="25"/>
      <c r="H173" s="25"/>
      <c r="I173" s="25"/>
      <c r="J173" s="25"/>
      <c r="K173" s="25"/>
      <c r="L173" s="25"/>
      <c r="M173" s="25"/>
      <c r="N173" s="25"/>
      <c r="O173" s="25"/>
      <c r="P173" s="25"/>
      <c r="Q173" s="53">
        <v>160008</v>
      </c>
      <c r="R173" s="40"/>
      <c r="S173" s="25"/>
      <c r="T173" s="53"/>
      <c r="U173" s="25"/>
      <c r="V173" s="5"/>
    </row>
    <row r="174" spans="1:22" ht="15.6" x14ac:dyDescent="0.3">
      <c r="A174" s="24"/>
      <c r="B174" s="25" t="s">
        <v>62</v>
      </c>
      <c r="C174" s="25"/>
      <c r="D174" s="25"/>
      <c r="E174" s="25"/>
      <c r="F174" s="25"/>
      <c r="G174" s="25"/>
      <c r="H174" s="25"/>
      <c r="I174" s="25"/>
      <c r="J174" s="25"/>
      <c r="K174" s="25"/>
      <c r="L174" s="25"/>
      <c r="M174" s="25"/>
      <c r="N174" s="25"/>
      <c r="O174" s="25"/>
      <c r="P174" s="25"/>
      <c r="Q174" s="53">
        <v>0</v>
      </c>
      <c r="R174" s="53">
        <v>0</v>
      </c>
      <c r="S174" s="25"/>
      <c r="T174" s="53">
        <f>Q174+R174</f>
        <v>0</v>
      </c>
      <c r="U174" s="25"/>
      <c r="V174" s="5"/>
    </row>
    <row r="175" spans="1:22" ht="15.6" x14ac:dyDescent="0.3">
      <c r="A175" s="24"/>
      <c r="B175" s="25" t="s">
        <v>63</v>
      </c>
      <c r="C175" s="25"/>
      <c r="D175" s="25"/>
      <c r="E175" s="25"/>
      <c r="F175" s="25"/>
      <c r="G175" s="25"/>
      <c r="H175" s="25"/>
      <c r="I175" s="25"/>
      <c r="J175" s="25"/>
      <c r="K175" s="25"/>
      <c r="L175" s="25"/>
      <c r="M175" s="25"/>
      <c r="N175" s="25"/>
      <c r="O175" s="25"/>
      <c r="P175" s="25"/>
      <c r="Q175" s="34">
        <v>3639</v>
      </c>
      <c r="R175" s="34">
        <v>2234</v>
      </c>
      <c r="S175" s="25"/>
      <c r="T175" s="53">
        <f>Q175+R175</f>
        <v>5873</v>
      </c>
      <c r="U175" s="25"/>
      <c r="V175" s="5"/>
    </row>
    <row r="176" spans="1:22" ht="15.6" x14ac:dyDescent="0.3">
      <c r="A176" s="24"/>
      <c r="B176" s="25" t="s">
        <v>64</v>
      </c>
      <c r="C176" s="25"/>
      <c r="D176" s="25"/>
      <c r="E176" s="25"/>
      <c r="F176" s="25"/>
      <c r="G176" s="25"/>
      <c r="H176" s="25"/>
      <c r="I176" s="25"/>
      <c r="J176" s="25"/>
      <c r="K176" s="25"/>
      <c r="L176" s="25"/>
      <c r="M176" s="25"/>
      <c r="N176" s="25"/>
      <c r="O176" s="25"/>
      <c r="P176" s="25"/>
      <c r="Q176" s="53">
        <f>Q174+Q175</f>
        <v>3639</v>
      </c>
      <c r="R176" s="53">
        <f>R175+R174</f>
        <v>2234</v>
      </c>
      <c r="S176" s="25"/>
      <c r="T176" s="53">
        <f>Q176+R176</f>
        <v>5873</v>
      </c>
      <c r="U176" s="25"/>
      <c r="V176" s="5"/>
    </row>
    <row r="177" spans="1:22" ht="15.6" x14ac:dyDescent="0.3">
      <c r="A177" s="24"/>
      <c r="B177" s="25" t="s">
        <v>65</v>
      </c>
      <c r="C177" s="25"/>
      <c r="D177" s="25"/>
      <c r="E177" s="25"/>
      <c r="F177" s="25"/>
      <c r="G177" s="25"/>
      <c r="H177" s="25"/>
      <c r="I177" s="25"/>
      <c r="J177" s="25"/>
      <c r="K177" s="25"/>
      <c r="L177" s="25"/>
      <c r="M177" s="25"/>
      <c r="N177" s="25"/>
      <c r="O177" s="25"/>
      <c r="P177" s="25"/>
      <c r="Q177" s="53">
        <f>Q173-Q176-R176</f>
        <v>154135</v>
      </c>
      <c r="R177" s="40"/>
      <c r="S177" s="25"/>
      <c r="T177" s="53"/>
      <c r="U177" s="25"/>
      <c r="V177" s="5"/>
    </row>
    <row r="178" spans="1:22" ht="16.2" thickBot="1" x14ac:dyDescent="0.35">
      <c r="A178" s="24"/>
      <c r="B178" s="25"/>
      <c r="C178" s="25"/>
      <c r="D178" s="25"/>
      <c r="E178" s="25"/>
      <c r="F178" s="25"/>
      <c r="G178" s="25"/>
      <c r="H178" s="25"/>
      <c r="I178" s="25"/>
      <c r="J178" s="25"/>
      <c r="K178" s="25"/>
      <c r="L178" s="25"/>
      <c r="M178" s="25"/>
      <c r="N178" s="25"/>
      <c r="O178" s="25"/>
      <c r="P178" s="25"/>
      <c r="Q178" s="25"/>
      <c r="R178" s="25"/>
      <c r="S178" s="25"/>
      <c r="T178" s="61"/>
      <c r="U178" s="25"/>
      <c r="V178" s="5"/>
    </row>
    <row r="179" spans="1:22" ht="15.6" x14ac:dyDescent="0.3">
      <c r="A179" s="2"/>
      <c r="B179" s="4"/>
      <c r="C179" s="4"/>
      <c r="D179" s="4"/>
      <c r="E179" s="4"/>
      <c r="F179" s="4"/>
      <c r="G179" s="4"/>
      <c r="H179" s="4"/>
      <c r="I179" s="4"/>
      <c r="J179" s="4"/>
      <c r="K179" s="4"/>
      <c r="L179" s="4"/>
      <c r="M179" s="4"/>
      <c r="N179" s="4"/>
      <c r="O179" s="4"/>
      <c r="P179" s="4"/>
      <c r="Q179" s="4"/>
      <c r="R179" s="4"/>
      <c r="S179" s="4"/>
      <c r="T179" s="50"/>
      <c r="U179" s="4"/>
      <c r="V179" s="5"/>
    </row>
    <row r="180" spans="1:22" ht="15.6" x14ac:dyDescent="0.3">
      <c r="A180" s="6"/>
      <c r="B180" s="119" t="s">
        <v>66</v>
      </c>
      <c r="C180" s="8"/>
      <c r="D180" s="8"/>
      <c r="E180" s="8"/>
      <c r="F180" s="8"/>
      <c r="G180" s="8"/>
      <c r="H180" s="8"/>
      <c r="I180" s="8"/>
      <c r="J180" s="8"/>
      <c r="K180" s="8"/>
      <c r="L180" s="8"/>
      <c r="M180" s="8"/>
      <c r="N180" s="8"/>
      <c r="O180" s="8"/>
      <c r="P180" s="8"/>
      <c r="Q180" s="8"/>
      <c r="R180" s="8"/>
      <c r="S180" s="8"/>
      <c r="T180" s="65"/>
      <c r="U180" s="8"/>
      <c r="V180" s="5"/>
    </row>
    <row r="181" spans="1:22" ht="15.6" x14ac:dyDescent="0.3">
      <c r="A181" s="24"/>
      <c r="B181" s="25" t="s">
        <v>67</v>
      </c>
      <c r="C181" s="25"/>
      <c r="D181" s="25"/>
      <c r="E181" s="25"/>
      <c r="F181" s="25"/>
      <c r="G181" s="25"/>
      <c r="H181" s="25"/>
      <c r="I181" s="25"/>
      <c r="J181" s="25"/>
      <c r="K181" s="25"/>
      <c r="L181" s="25"/>
      <c r="M181" s="25"/>
      <c r="N181" s="25"/>
      <c r="O181" s="25"/>
      <c r="P181" s="25"/>
      <c r="Q181" s="25"/>
      <c r="R181" s="25"/>
      <c r="S181" s="25"/>
      <c r="T181" s="59">
        <f>(T99+T101+T102+T103+T104)/-(T105+T106)</f>
        <v>1.274131876706984</v>
      </c>
      <c r="U181" s="25" t="s">
        <v>121</v>
      </c>
      <c r="V181" s="5"/>
    </row>
    <row r="182" spans="1:22" ht="15.6" x14ac:dyDescent="0.3">
      <c r="A182" s="24"/>
      <c r="B182" s="25" t="s">
        <v>68</v>
      </c>
      <c r="C182" s="25"/>
      <c r="D182" s="25"/>
      <c r="E182" s="25"/>
      <c r="F182" s="25"/>
      <c r="G182" s="25"/>
      <c r="H182" s="25"/>
      <c r="I182" s="25"/>
      <c r="J182" s="25"/>
      <c r="K182" s="25"/>
      <c r="L182" s="25"/>
      <c r="M182" s="25"/>
      <c r="N182" s="25"/>
      <c r="O182" s="25"/>
      <c r="P182" s="25"/>
      <c r="Q182" s="25"/>
      <c r="R182" s="25"/>
      <c r="S182" s="25"/>
      <c r="T182" s="66">
        <v>1.27</v>
      </c>
      <c r="U182" s="25" t="s">
        <v>121</v>
      </c>
      <c r="V182" s="5"/>
    </row>
    <row r="183" spans="1:22" ht="15.6" x14ac:dyDescent="0.3">
      <c r="A183" s="24"/>
      <c r="B183" s="25" t="s">
        <v>69</v>
      </c>
      <c r="C183" s="25"/>
      <c r="D183" s="25"/>
      <c r="E183" s="25"/>
      <c r="F183" s="25"/>
      <c r="G183" s="25"/>
      <c r="H183" s="25"/>
      <c r="I183" s="25"/>
      <c r="J183" s="25"/>
      <c r="K183" s="25"/>
      <c r="L183" s="25"/>
      <c r="M183" s="25"/>
      <c r="N183" s="25"/>
      <c r="O183" s="25"/>
      <c r="P183" s="25"/>
      <c r="Q183" s="25"/>
      <c r="R183" s="25"/>
      <c r="S183" s="25"/>
      <c r="T183" s="59">
        <f>(T99+T101+T102+T103+T104+T105+T106)/-(T107+T108)</f>
        <v>3.1422182468694095</v>
      </c>
      <c r="U183" s="25" t="s">
        <v>121</v>
      </c>
      <c r="V183" s="5"/>
    </row>
    <row r="184" spans="1:22" ht="15.6" x14ac:dyDescent="0.3">
      <c r="A184" s="24"/>
      <c r="B184" s="25" t="s">
        <v>70</v>
      </c>
      <c r="C184" s="25"/>
      <c r="D184" s="25"/>
      <c r="E184" s="25"/>
      <c r="F184" s="25"/>
      <c r="G184" s="25"/>
      <c r="H184" s="25"/>
      <c r="I184" s="25"/>
      <c r="J184" s="25"/>
      <c r="K184" s="25"/>
      <c r="L184" s="25"/>
      <c r="M184" s="25"/>
      <c r="N184" s="25"/>
      <c r="O184" s="25"/>
      <c r="P184" s="25"/>
      <c r="Q184" s="25"/>
      <c r="R184" s="25"/>
      <c r="S184" s="25"/>
      <c r="T184" s="66">
        <v>3.14</v>
      </c>
      <c r="U184" s="25" t="s">
        <v>121</v>
      </c>
      <c r="V184" s="5"/>
    </row>
    <row r="185" spans="1:22" ht="15.6" x14ac:dyDescent="0.3">
      <c r="A185" s="24"/>
      <c r="B185" s="25" t="s">
        <v>206</v>
      </c>
      <c r="C185" s="25"/>
      <c r="D185" s="25"/>
      <c r="E185" s="25"/>
      <c r="F185" s="25"/>
      <c r="G185" s="25"/>
      <c r="H185" s="25"/>
      <c r="I185" s="25"/>
      <c r="J185" s="25"/>
      <c r="K185" s="25"/>
      <c r="L185" s="25"/>
      <c r="M185" s="25"/>
      <c r="N185" s="25"/>
      <c r="O185" s="25"/>
      <c r="P185" s="25"/>
      <c r="Q185" s="25"/>
      <c r="R185" s="25"/>
      <c r="S185" s="25"/>
      <c r="T185" s="59">
        <f>(T99+T101+T102+T103+T104+T105+T106+T107+T108)/-(T109)</f>
        <v>2.466529351184346</v>
      </c>
      <c r="U185" s="25" t="s">
        <v>121</v>
      </c>
      <c r="V185" s="5"/>
    </row>
    <row r="186" spans="1:22" ht="15.6" x14ac:dyDescent="0.3">
      <c r="A186" s="24"/>
      <c r="B186" s="25" t="s">
        <v>207</v>
      </c>
      <c r="C186" s="25"/>
      <c r="D186" s="25"/>
      <c r="E186" s="25"/>
      <c r="F186" s="25"/>
      <c r="G186" s="25"/>
      <c r="H186" s="25"/>
      <c r="I186" s="25"/>
      <c r="J186" s="25"/>
      <c r="K186" s="25"/>
      <c r="L186" s="25"/>
      <c r="M186" s="25"/>
      <c r="N186" s="25"/>
      <c r="O186" s="25"/>
      <c r="P186" s="25"/>
      <c r="Q186" s="25"/>
      <c r="R186" s="25"/>
      <c r="S186" s="25"/>
      <c r="T186" s="66">
        <v>2.4700000000000002</v>
      </c>
      <c r="U186" s="25" t="s">
        <v>121</v>
      </c>
      <c r="V186" s="5"/>
    </row>
    <row r="187" spans="1:22" ht="15.6" x14ac:dyDescent="0.3">
      <c r="A187" s="24"/>
      <c r="B187" s="25"/>
      <c r="C187" s="25"/>
      <c r="D187" s="25"/>
      <c r="E187" s="25"/>
      <c r="F187" s="25"/>
      <c r="G187" s="25"/>
      <c r="H187" s="25"/>
      <c r="I187" s="25"/>
      <c r="J187" s="25"/>
      <c r="K187" s="25"/>
      <c r="L187" s="25"/>
      <c r="M187" s="25"/>
      <c r="N187" s="25"/>
      <c r="O187" s="25"/>
      <c r="P187" s="25"/>
      <c r="Q187" s="25"/>
      <c r="R187" s="25"/>
      <c r="S187" s="25"/>
      <c r="T187" s="25"/>
      <c r="U187" s="25"/>
      <c r="V187" s="5"/>
    </row>
    <row r="188" spans="1:22" ht="15.6" x14ac:dyDescent="0.3">
      <c r="A188" s="24"/>
      <c r="B188" s="25"/>
      <c r="C188" s="25"/>
      <c r="D188" s="25"/>
      <c r="E188" s="25"/>
      <c r="F188" s="25"/>
      <c r="G188" s="25"/>
      <c r="H188" s="25"/>
      <c r="I188" s="25"/>
      <c r="J188" s="25"/>
      <c r="K188" s="25"/>
      <c r="L188" s="25"/>
      <c r="M188" s="25"/>
      <c r="N188" s="25"/>
      <c r="O188" s="25"/>
      <c r="P188" s="25"/>
      <c r="Q188" s="25"/>
      <c r="R188" s="25"/>
      <c r="S188" s="25"/>
      <c r="T188" s="25"/>
      <c r="U188" s="25"/>
      <c r="V188" s="5"/>
    </row>
    <row r="189" spans="1:22" ht="15.6" x14ac:dyDescent="0.3">
      <c r="A189" s="6"/>
      <c r="B189" s="8"/>
      <c r="C189" s="8"/>
      <c r="D189" s="8"/>
      <c r="E189" s="8"/>
      <c r="F189" s="8"/>
      <c r="G189" s="8"/>
      <c r="H189" s="8"/>
      <c r="I189" s="8"/>
      <c r="J189" s="8"/>
      <c r="K189" s="8"/>
      <c r="L189" s="8"/>
      <c r="M189" s="8"/>
      <c r="N189" s="8"/>
      <c r="O189" s="8"/>
      <c r="P189" s="8"/>
      <c r="Q189" s="8"/>
      <c r="R189" s="8"/>
      <c r="S189" s="8"/>
      <c r="T189" s="8"/>
      <c r="U189" s="8"/>
      <c r="V189" s="5"/>
    </row>
    <row r="190" spans="1:22" ht="18" thickBot="1" x14ac:dyDescent="0.35">
      <c r="A190" s="101"/>
      <c r="B190" s="102" t="str">
        <f>B131</f>
        <v>PM11 INVESTOR REPORT QUARTER ENDING JUNE 2006</v>
      </c>
      <c r="C190" s="107"/>
      <c r="D190" s="107"/>
      <c r="E190" s="107"/>
      <c r="F190" s="107"/>
      <c r="G190" s="107"/>
      <c r="H190" s="107"/>
      <c r="I190" s="107"/>
      <c r="J190" s="107"/>
      <c r="K190" s="107"/>
      <c r="L190" s="107"/>
      <c r="M190" s="107"/>
      <c r="N190" s="107"/>
      <c r="O190" s="107"/>
      <c r="P190" s="107"/>
      <c r="Q190" s="107"/>
      <c r="R190" s="107"/>
      <c r="S190" s="107"/>
      <c r="T190" s="107"/>
      <c r="U190" s="108"/>
      <c r="V190" s="5"/>
    </row>
    <row r="191" spans="1:22" ht="15.6" x14ac:dyDescent="0.3">
      <c r="A191" s="67"/>
      <c r="B191" s="60" t="s">
        <v>71</v>
      </c>
      <c r="C191" s="68"/>
      <c r="D191" s="68"/>
      <c r="E191" s="68"/>
      <c r="F191" s="68"/>
      <c r="G191" s="69"/>
      <c r="H191" s="69"/>
      <c r="I191" s="69"/>
      <c r="J191" s="69"/>
      <c r="K191" s="69"/>
      <c r="L191" s="69"/>
      <c r="M191" s="69"/>
      <c r="N191" s="69"/>
      <c r="O191" s="69"/>
      <c r="P191" s="69"/>
      <c r="Q191" s="69"/>
      <c r="R191" s="70">
        <v>38898</v>
      </c>
      <c r="S191" s="4"/>
      <c r="T191" s="4"/>
      <c r="U191" s="4"/>
      <c r="V191" s="5"/>
    </row>
    <row r="192" spans="1:22" ht="15.6" x14ac:dyDescent="0.3">
      <c r="A192" s="71"/>
      <c r="B192" s="72"/>
      <c r="C192" s="73"/>
      <c r="D192" s="73"/>
      <c r="E192" s="73"/>
      <c r="F192" s="73"/>
      <c r="G192" s="74"/>
      <c r="H192" s="74"/>
      <c r="I192" s="74"/>
      <c r="J192" s="74"/>
      <c r="K192" s="74"/>
      <c r="L192" s="74"/>
      <c r="M192" s="74"/>
      <c r="N192" s="74"/>
      <c r="O192" s="74"/>
      <c r="P192" s="74"/>
      <c r="Q192" s="74"/>
      <c r="R192" s="74"/>
      <c r="S192" s="8"/>
      <c r="T192" s="8"/>
      <c r="U192" s="8"/>
      <c r="V192" s="5"/>
    </row>
    <row r="193" spans="1:22" ht="15.6" x14ac:dyDescent="0.3">
      <c r="A193" s="75"/>
      <c r="B193" s="76" t="s">
        <v>72</v>
      </c>
      <c r="C193" s="77"/>
      <c r="D193" s="77"/>
      <c r="E193" s="77"/>
      <c r="F193" s="77"/>
      <c r="G193" s="64"/>
      <c r="H193" s="64"/>
      <c r="I193" s="64"/>
      <c r="J193" s="64"/>
      <c r="K193" s="64"/>
      <c r="L193" s="64"/>
      <c r="M193" s="64"/>
      <c r="N193" s="64"/>
      <c r="O193" s="64"/>
      <c r="P193" s="64"/>
      <c r="Q193" s="64"/>
      <c r="R193" s="78">
        <v>5.1569999999999998E-2</v>
      </c>
      <c r="S193" s="25"/>
      <c r="T193" s="25"/>
      <c r="U193" s="25"/>
      <c r="V193" s="5"/>
    </row>
    <row r="194" spans="1:22" ht="15.6" x14ac:dyDescent="0.3">
      <c r="A194" s="75"/>
      <c r="B194" s="76" t="s">
        <v>157</v>
      </c>
      <c r="C194" s="77"/>
      <c r="D194" s="77"/>
      <c r="E194" s="77"/>
      <c r="F194" s="77"/>
      <c r="G194" s="64"/>
      <c r="H194" s="64"/>
      <c r="I194" s="64"/>
      <c r="J194" s="64"/>
      <c r="K194" s="64"/>
      <c r="L194" s="64"/>
      <c r="M194" s="64"/>
      <c r="N194" s="64"/>
      <c r="O194" s="64"/>
      <c r="P194" s="64"/>
      <c r="Q194" s="64"/>
      <c r="R194" s="39">
        <f>+T43</f>
        <v>4.6891613487325637E-2</v>
      </c>
      <c r="S194" s="25"/>
      <c r="T194" s="25"/>
      <c r="U194" s="25"/>
      <c r="V194" s="5"/>
    </row>
    <row r="195" spans="1:22" ht="15.6" x14ac:dyDescent="0.3">
      <c r="A195" s="75"/>
      <c r="B195" s="76" t="s">
        <v>73</v>
      </c>
      <c r="C195" s="77"/>
      <c r="D195" s="77"/>
      <c r="E195" s="77"/>
      <c r="F195" s="77"/>
      <c r="G195" s="64"/>
      <c r="H195" s="64"/>
      <c r="I195" s="64"/>
      <c r="J195" s="64"/>
      <c r="K195" s="64"/>
      <c r="L195" s="64"/>
      <c r="M195" s="64"/>
      <c r="N195" s="64"/>
      <c r="O195" s="64"/>
      <c r="P195" s="64"/>
      <c r="Q195" s="64"/>
      <c r="R195" s="78">
        <f>R193-R194</f>
        <v>4.678386512674361E-3</v>
      </c>
      <c r="S195" s="25"/>
      <c r="T195" s="25"/>
      <c r="U195" s="25"/>
      <c r="V195" s="5"/>
    </row>
    <row r="196" spans="1:22" ht="15.6" x14ac:dyDescent="0.3">
      <c r="A196" s="75"/>
      <c r="B196" s="76" t="s">
        <v>74</v>
      </c>
      <c r="C196" s="77"/>
      <c r="D196" s="77"/>
      <c r="E196" s="77"/>
      <c r="F196" s="77"/>
      <c r="G196" s="64"/>
      <c r="H196" s="64"/>
      <c r="I196" s="64"/>
      <c r="J196" s="64"/>
      <c r="K196" s="64"/>
      <c r="L196" s="64"/>
      <c r="M196" s="64"/>
      <c r="N196" s="64"/>
      <c r="O196" s="64"/>
      <c r="P196" s="64"/>
      <c r="Q196" s="64"/>
      <c r="R196" s="78">
        <v>5.117E-2</v>
      </c>
      <c r="S196" s="25"/>
      <c r="T196" s="25"/>
      <c r="U196" s="25"/>
      <c r="V196" s="5"/>
    </row>
    <row r="197" spans="1:22" ht="15.6" x14ac:dyDescent="0.3">
      <c r="A197" s="75"/>
      <c r="B197" s="76" t="s">
        <v>257</v>
      </c>
      <c r="C197" s="77"/>
      <c r="D197" s="77"/>
      <c r="E197" s="77"/>
      <c r="F197" s="77"/>
      <c r="G197" s="64"/>
      <c r="H197" s="64"/>
      <c r="I197" s="64"/>
      <c r="J197" s="64"/>
      <c r="K197" s="64"/>
      <c r="L197" s="64"/>
      <c r="M197" s="64"/>
      <c r="N197" s="64"/>
      <c r="O197" s="64"/>
      <c r="P197" s="64"/>
      <c r="Q197" s="64"/>
      <c r="R197" s="78">
        <f>T43</f>
        <v>4.6891613487325637E-2</v>
      </c>
      <c r="S197" s="25"/>
      <c r="T197" s="25"/>
      <c r="U197" s="25"/>
      <c r="V197" s="5"/>
    </row>
    <row r="198" spans="1:22" ht="15.6" x14ac:dyDescent="0.3">
      <c r="A198" s="75"/>
      <c r="B198" s="76" t="s">
        <v>75</v>
      </c>
      <c r="C198" s="77"/>
      <c r="D198" s="77"/>
      <c r="E198" s="77"/>
      <c r="F198" s="77"/>
      <c r="G198" s="64"/>
      <c r="H198" s="64"/>
      <c r="I198" s="64"/>
      <c r="J198" s="64"/>
      <c r="K198" s="64"/>
      <c r="L198" s="64"/>
      <c r="M198" s="64"/>
      <c r="N198" s="64"/>
      <c r="O198" s="64"/>
      <c r="P198" s="64"/>
      <c r="Q198" s="64"/>
      <c r="R198" s="78">
        <f>R196-R197</f>
        <v>4.2783865126743634E-3</v>
      </c>
      <c r="S198" s="25"/>
      <c r="T198" s="25"/>
      <c r="U198" s="25"/>
      <c r="V198" s="5"/>
    </row>
    <row r="199" spans="1:22" ht="15.6" x14ac:dyDescent="0.3">
      <c r="A199" s="75"/>
      <c r="B199" s="76" t="s">
        <v>260</v>
      </c>
      <c r="C199" s="77"/>
      <c r="D199" s="77"/>
      <c r="E199" s="77"/>
      <c r="F199" s="77"/>
      <c r="G199" s="64"/>
      <c r="H199" s="64"/>
      <c r="I199" s="64"/>
      <c r="J199" s="64"/>
      <c r="K199" s="64"/>
      <c r="L199" s="64"/>
      <c r="M199" s="64"/>
      <c r="N199" s="64"/>
      <c r="O199" s="64"/>
      <c r="P199" s="64"/>
      <c r="Q199" s="64"/>
      <c r="R199" s="78">
        <f>(+T99+T101)/L72</f>
        <v>1.6842174733438062E-2</v>
      </c>
      <c r="S199" s="25"/>
      <c r="T199" s="25"/>
      <c r="U199" s="25"/>
      <c r="V199" s="5"/>
    </row>
    <row r="200" spans="1:22" ht="15.6" x14ac:dyDescent="0.3">
      <c r="A200" s="75"/>
      <c r="B200" s="76" t="s">
        <v>217</v>
      </c>
      <c r="C200" s="77"/>
      <c r="D200" s="77"/>
      <c r="E200" s="77"/>
      <c r="F200" s="77"/>
      <c r="G200" s="64"/>
      <c r="H200" s="64"/>
      <c r="I200" s="64"/>
      <c r="J200" s="64"/>
      <c r="K200" s="64"/>
      <c r="L200" s="64"/>
      <c r="M200" s="64"/>
      <c r="N200" s="64"/>
      <c r="O200" s="64"/>
      <c r="P200" s="64"/>
      <c r="Q200" s="64"/>
      <c r="R200" s="129">
        <v>15250</v>
      </c>
      <c r="S200" s="25"/>
      <c r="T200" s="25"/>
      <c r="U200" s="25"/>
      <c r="V200" s="5"/>
    </row>
    <row r="201" spans="1:22" ht="15.6" x14ac:dyDescent="0.3">
      <c r="A201" s="75"/>
      <c r="B201" s="76" t="s">
        <v>218</v>
      </c>
      <c r="C201" s="77"/>
      <c r="D201" s="77"/>
      <c r="E201" s="77"/>
      <c r="F201" s="77"/>
      <c r="G201" s="64"/>
      <c r="H201" s="64"/>
      <c r="I201" s="64"/>
      <c r="J201" s="64"/>
      <c r="K201" s="64"/>
      <c r="L201" s="64"/>
      <c r="M201" s="64"/>
      <c r="N201" s="64"/>
      <c r="O201" s="64"/>
      <c r="P201" s="64"/>
      <c r="Q201" s="64"/>
      <c r="R201" s="129">
        <v>15250</v>
      </c>
      <c r="S201" s="25"/>
      <c r="T201" s="25"/>
      <c r="U201" s="25"/>
      <c r="V201" s="5"/>
    </row>
    <row r="202" spans="1:22" ht="15.6" x14ac:dyDescent="0.3">
      <c r="A202" s="75"/>
      <c r="B202" s="76" t="s">
        <v>219</v>
      </c>
      <c r="C202" s="77"/>
      <c r="D202" s="77"/>
      <c r="E202" s="77"/>
      <c r="F202" s="77"/>
      <c r="G202" s="64"/>
      <c r="H202" s="64"/>
      <c r="I202" s="64"/>
      <c r="J202" s="64"/>
      <c r="K202" s="64"/>
      <c r="L202" s="64"/>
      <c r="M202" s="64"/>
      <c r="N202" s="64"/>
      <c r="O202" s="64"/>
      <c r="P202" s="64"/>
      <c r="Q202" s="64"/>
      <c r="R202" s="129">
        <v>15250</v>
      </c>
      <c r="S202" s="25"/>
      <c r="T202" s="25"/>
      <c r="U202" s="25"/>
      <c r="V202" s="5"/>
    </row>
    <row r="203" spans="1:22" ht="15.6" x14ac:dyDescent="0.3">
      <c r="A203" s="75"/>
      <c r="B203" s="76" t="s">
        <v>76</v>
      </c>
      <c r="C203" s="77"/>
      <c r="D203" s="77"/>
      <c r="E203" s="77"/>
      <c r="F203" s="77"/>
      <c r="G203" s="64"/>
      <c r="H203" s="64"/>
      <c r="I203" s="64"/>
      <c r="J203" s="64"/>
      <c r="K203" s="64"/>
      <c r="L203" s="64"/>
      <c r="M203" s="64"/>
      <c r="N203" s="64"/>
      <c r="O203" s="64"/>
      <c r="P203" s="64"/>
      <c r="Q203" s="64"/>
      <c r="R203" s="133">
        <v>21.18</v>
      </c>
      <c r="S203" s="25" t="s">
        <v>116</v>
      </c>
      <c r="T203" s="25"/>
      <c r="U203" s="25"/>
      <c r="V203" s="5"/>
    </row>
    <row r="204" spans="1:22" ht="15.6" x14ac:dyDescent="0.3">
      <c r="A204" s="75"/>
      <c r="B204" s="76" t="s">
        <v>77</v>
      </c>
      <c r="C204" s="77"/>
      <c r="D204" s="77"/>
      <c r="E204" s="77"/>
      <c r="F204" s="77"/>
      <c r="G204" s="64"/>
      <c r="H204" s="64"/>
      <c r="I204" s="64"/>
      <c r="J204" s="64"/>
      <c r="K204" s="64"/>
      <c r="L204" s="64"/>
      <c r="M204" s="64"/>
      <c r="N204" s="64"/>
      <c r="O204" s="64"/>
      <c r="P204" s="64"/>
      <c r="Q204" s="64"/>
      <c r="R204" s="133">
        <v>20.92</v>
      </c>
      <c r="S204" s="25" t="s">
        <v>116</v>
      </c>
      <c r="T204" s="25"/>
      <c r="U204" s="25"/>
      <c r="V204" s="5"/>
    </row>
    <row r="205" spans="1:22" ht="15.6" x14ac:dyDescent="0.3">
      <c r="A205" s="75"/>
      <c r="B205" s="76" t="s">
        <v>78</v>
      </c>
      <c r="C205" s="77"/>
      <c r="D205" s="77"/>
      <c r="E205" s="77"/>
      <c r="F205" s="77"/>
      <c r="G205" s="64"/>
      <c r="H205" s="64"/>
      <c r="I205" s="64"/>
      <c r="J205" s="64"/>
      <c r="K205" s="64"/>
      <c r="L205" s="64"/>
      <c r="M205" s="64"/>
      <c r="N205" s="64"/>
      <c r="O205" s="64"/>
      <c r="P205" s="64"/>
      <c r="Q205" s="64"/>
      <c r="R205" s="78">
        <f>+N69/L69</f>
        <v>2.484203116078473E-2</v>
      </c>
      <c r="S205" s="25"/>
      <c r="T205" s="25"/>
      <c r="U205" s="25"/>
      <c r="V205" s="5"/>
    </row>
    <row r="206" spans="1:22" ht="15.6" x14ac:dyDescent="0.3">
      <c r="A206" s="75"/>
      <c r="B206" s="76" t="s">
        <v>79</v>
      </c>
      <c r="C206" s="77"/>
      <c r="D206" s="77"/>
      <c r="E206" s="77"/>
      <c r="F206" s="77"/>
      <c r="G206" s="64"/>
      <c r="H206" s="64"/>
      <c r="I206" s="64"/>
      <c r="J206" s="64"/>
      <c r="K206" s="64"/>
      <c r="L206" s="64"/>
      <c r="M206" s="64"/>
      <c r="N206" s="64"/>
      <c r="O206" s="64"/>
      <c r="P206" s="64"/>
      <c r="Q206" s="64"/>
      <c r="R206" s="78">
        <v>8.6499999999999994E-2</v>
      </c>
      <c r="S206" s="25"/>
      <c r="T206" s="25"/>
      <c r="U206" s="25"/>
      <c r="V206" s="5"/>
    </row>
    <row r="207" spans="1:22" ht="15.6" x14ac:dyDescent="0.3">
      <c r="A207" s="75"/>
      <c r="B207" s="76"/>
      <c r="C207" s="76"/>
      <c r="D207" s="76"/>
      <c r="E207" s="76"/>
      <c r="F207" s="76"/>
      <c r="G207" s="25"/>
      <c r="H207" s="25"/>
      <c r="I207" s="25"/>
      <c r="J207" s="25"/>
      <c r="K207" s="25"/>
      <c r="L207" s="25"/>
      <c r="M207" s="25"/>
      <c r="N207" s="25"/>
      <c r="O207" s="25"/>
      <c r="P207" s="25"/>
      <c r="Q207" s="25"/>
      <c r="R207" s="61"/>
      <c r="S207" s="25"/>
      <c r="T207" s="79"/>
      <c r="U207" s="25"/>
      <c r="V207" s="5"/>
    </row>
    <row r="208" spans="1:22" ht="15.6" x14ac:dyDescent="0.3">
      <c r="A208" s="80"/>
      <c r="B208" s="14" t="s">
        <v>80</v>
      </c>
      <c r="C208" s="81"/>
      <c r="D208" s="81"/>
      <c r="E208" s="81"/>
      <c r="F208" s="82"/>
      <c r="G208" s="81"/>
      <c r="H208" s="17"/>
      <c r="I208" s="17"/>
      <c r="J208" s="17"/>
      <c r="K208" s="17"/>
      <c r="L208" s="17"/>
      <c r="M208" s="17"/>
      <c r="N208" s="17"/>
      <c r="O208" s="17"/>
      <c r="P208" s="17"/>
      <c r="Q208" s="17" t="s">
        <v>105</v>
      </c>
      <c r="R208" s="83" t="s">
        <v>112</v>
      </c>
      <c r="S208" s="8"/>
      <c r="T208" s="8"/>
      <c r="U208" s="8"/>
      <c r="V208" s="5"/>
    </row>
    <row r="209" spans="1:22" ht="15.6" x14ac:dyDescent="0.3">
      <c r="A209" s="84"/>
      <c r="B209" s="76" t="s">
        <v>81</v>
      </c>
      <c r="C209" s="54"/>
      <c r="D209" s="54"/>
      <c r="E209" s="54"/>
      <c r="F209" s="25"/>
      <c r="G209" s="25"/>
      <c r="H209" s="30"/>
      <c r="I209" s="30"/>
      <c r="J209" s="30"/>
      <c r="K209" s="30"/>
      <c r="L209" s="30"/>
      <c r="M209" s="30"/>
      <c r="N209" s="30"/>
      <c r="O209" s="30"/>
      <c r="P209" s="30"/>
      <c r="Q209" s="30">
        <v>0</v>
      </c>
      <c r="R209" s="85">
        <v>0</v>
      </c>
      <c r="S209" s="25"/>
      <c r="T209" s="79"/>
      <c r="U209" s="86"/>
      <c r="V209" s="5"/>
    </row>
    <row r="210" spans="1:22" ht="15.6" x14ac:dyDescent="0.3">
      <c r="A210" s="84"/>
      <c r="B210" s="76" t="s">
        <v>151</v>
      </c>
      <c r="C210" s="54"/>
      <c r="D210" s="54"/>
      <c r="E210" s="54"/>
      <c r="F210" s="25"/>
      <c r="G210" s="25"/>
      <c r="H210" s="30"/>
      <c r="I210" s="30"/>
      <c r="J210" s="30"/>
      <c r="K210" s="30"/>
      <c r="L210" s="30"/>
      <c r="M210" s="30"/>
      <c r="N210" s="30"/>
      <c r="O210" s="30"/>
      <c r="P210" s="30"/>
      <c r="Q210" s="152">
        <f>+P251</f>
        <v>3</v>
      </c>
      <c r="R210" s="85">
        <f>+R251</f>
        <v>597</v>
      </c>
      <c r="S210" s="25"/>
      <c r="T210" s="79"/>
      <c r="U210" s="86"/>
      <c r="V210" s="5"/>
    </row>
    <row r="211" spans="1:22" ht="15.6" x14ac:dyDescent="0.3">
      <c r="A211" s="84"/>
      <c r="B211" s="76" t="s">
        <v>82</v>
      </c>
      <c r="C211" s="54"/>
      <c r="D211" s="54"/>
      <c r="E211" s="54"/>
      <c r="F211" s="25"/>
      <c r="G211" s="25"/>
      <c r="H211" s="30"/>
      <c r="I211" s="30"/>
      <c r="J211" s="30"/>
      <c r="K211" s="30"/>
      <c r="L211" s="30"/>
      <c r="M211" s="30"/>
      <c r="N211" s="30"/>
      <c r="O211" s="30"/>
      <c r="P211" s="30"/>
      <c r="Q211" s="30">
        <v>0</v>
      </c>
      <c r="R211" s="85">
        <v>0</v>
      </c>
      <c r="S211" s="25"/>
      <c r="T211" s="79"/>
      <c r="U211" s="86"/>
      <c r="V211" s="5"/>
    </row>
    <row r="212" spans="1:22" ht="15.6" x14ac:dyDescent="0.3">
      <c r="A212" s="84"/>
      <c r="B212" s="122" t="s">
        <v>83</v>
      </c>
      <c r="C212" s="54"/>
      <c r="D212" s="54"/>
      <c r="E212" s="54"/>
      <c r="F212" s="25"/>
      <c r="G212" s="25"/>
      <c r="H212" s="25"/>
      <c r="I212" s="25"/>
      <c r="J212" s="25"/>
      <c r="K212" s="25"/>
      <c r="L212" s="25"/>
      <c r="M212" s="25"/>
      <c r="N212" s="25"/>
      <c r="O212" s="25"/>
      <c r="P212" s="25"/>
      <c r="Q212" s="25"/>
      <c r="R212" s="85">
        <v>0</v>
      </c>
      <c r="S212" s="25"/>
      <c r="T212" s="79"/>
      <c r="U212" s="86"/>
      <c r="V212" s="5"/>
    </row>
    <row r="213" spans="1:22" ht="15.6" x14ac:dyDescent="0.3">
      <c r="A213" s="84"/>
      <c r="B213" s="122" t="s">
        <v>84</v>
      </c>
      <c r="C213" s="54"/>
      <c r="D213" s="54"/>
      <c r="E213" s="54"/>
      <c r="F213" s="25"/>
      <c r="G213" s="25"/>
      <c r="H213" s="25"/>
      <c r="I213" s="25"/>
      <c r="J213" s="25"/>
      <c r="K213" s="25"/>
      <c r="L213" s="25"/>
      <c r="M213" s="25"/>
      <c r="N213" s="25"/>
      <c r="O213" s="25"/>
      <c r="P213" s="25"/>
      <c r="Q213" s="25"/>
      <c r="R213" s="62" t="s">
        <v>113</v>
      </c>
      <c r="S213" s="25"/>
      <c r="T213" s="79"/>
      <c r="U213" s="86"/>
      <c r="V213" s="5"/>
    </row>
    <row r="214" spans="1:22" ht="15.6" x14ac:dyDescent="0.3">
      <c r="A214" s="87"/>
      <c r="B214" s="122" t="s">
        <v>85</v>
      </c>
      <c r="C214" s="76"/>
      <c r="D214" s="76"/>
      <c r="E214" s="76"/>
      <c r="F214" s="76"/>
      <c r="G214" s="25"/>
      <c r="H214" s="25"/>
      <c r="I214" s="25"/>
      <c r="J214" s="25"/>
      <c r="K214" s="25"/>
      <c r="L214" s="25"/>
      <c r="M214" s="25"/>
      <c r="N214" s="25"/>
      <c r="O214" s="25"/>
      <c r="P214" s="25"/>
      <c r="Q214" s="25"/>
      <c r="R214" s="85"/>
      <c r="S214" s="25"/>
      <c r="T214" s="79"/>
      <c r="U214" s="88"/>
      <c r="V214" s="5"/>
    </row>
    <row r="215" spans="1:22" ht="15.6" x14ac:dyDescent="0.3">
      <c r="A215" s="87"/>
      <c r="B215" s="131" t="s">
        <v>86</v>
      </c>
      <c r="C215" s="76"/>
      <c r="D215" s="76"/>
      <c r="E215" s="76"/>
      <c r="F215" s="76"/>
      <c r="G215" s="25"/>
      <c r="H215" s="25"/>
      <c r="I215" s="25"/>
      <c r="J215" s="25"/>
      <c r="K215" s="25"/>
      <c r="L215" s="25"/>
      <c r="M215" s="25"/>
      <c r="N215" s="25"/>
      <c r="O215" s="25"/>
      <c r="P215" s="25"/>
      <c r="Q215" s="30">
        <v>0</v>
      </c>
      <c r="R215" s="85">
        <f>T160</f>
        <v>0</v>
      </c>
      <c r="S215" s="25"/>
      <c r="T215" s="79"/>
      <c r="U215" s="88"/>
      <c r="V215" s="5"/>
    </row>
    <row r="216" spans="1:22" ht="15.6" x14ac:dyDescent="0.3">
      <c r="A216" s="84"/>
      <c r="B216" s="76" t="s">
        <v>87</v>
      </c>
      <c r="C216" s="54"/>
      <c r="D216" s="54"/>
      <c r="E216" s="54"/>
      <c r="F216" s="54"/>
      <c r="G216" s="25"/>
      <c r="H216" s="25"/>
      <c r="I216" s="25"/>
      <c r="J216" s="25"/>
      <c r="K216" s="25"/>
      <c r="L216" s="25"/>
      <c r="M216" s="25"/>
      <c r="N216" s="25"/>
      <c r="O216" s="25"/>
      <c r="P216" s="25"/>
      <c r="Q216" s="30">
        <v>0</v>
      </c>
      <c r="R216" s="85">
        <f>+R215</f>
        <v>0</v>
      </c>
      <c r="S216" s="25"/>
      <c r="T216" s="79"/>
      <c r="U216" s="88"/>
      <c r="V216" s="5"/>
    </row>
    <row r="217" spans="1:22" ht="15.6" x14ac:dyDescent="0.3">
      <c r="A217" s="84"/>
      <c r="B217" s="76" t="s">
        <v>88</v>
      </c>
      <c r="C217" s="54"/>
      <c r="D217" s="54"/>
      <c r="E217" s="54"/>
      <c r="F217" s="54"/>
      <c r="G217" s="25"/>
      <c r="H217" s="25"/>
      <c r="I217" s="25"/>
      <c r="J217" s="25"/>
      <c r="K217" s="25"/>
      <c r="L217" s="25"/>
      <c r="M217" s="25"/>
      <c r="N217" s="25"/>
      <c r="O217" s="25"/>
      <c r="P217" s="25"/>
      <c r="Q217" s="30"/>
      <c r="R217" s="85">
        <v>0</v>
      </c>
      <c r="S217" s="25"/>
      <c r="T217" s="79"/>
      <c r="U217" s="88"/>
      <c r="V217" s="5"/>
    </row>
    <row r="218" spans="1:22" ht="15.6" x14ac:dyDescent="0.3">
      <c r="A218" s="87"/>
      <c r="B218" s="122" t="s">
        <v>282</v>
      </c>
      <c r="C218" s="76"/>
      <c r="D218" s="76"/>
      <c r="E218" s="76"/>
      <c r="F218" s="76"/>
      <c r="G218" s="25"/>
      <c r="H218" s="25"/>
      <c r="I218" s="25"/>
      <c r="J218" s="25"/>
      <c r="K218" s="25"/>
      <c r="L218" s="25"/>
      <c r="M218" s="25"/>
      <c r="N218" s="25"/>
      <c r="O218" s="25"/>
      <c r="P218" s="25"/>
      <c r="Q218" s="30"/>
      <c r="R218" s="85"/>
      <c r="S218" s="25"/>
      <c r="T218" s="79"/>
      <c r="U218" s="88"/>
      <c r="V218" s="5"/>
    </row>
    <row r="219" spans="1:22" ht="15.6" x14ac:dyDescent="0.3">
      <c r="A219" s="87"/>
      <c r="B219" s="76" t="s">
        <v>280</v>
      </c>
      <c r="C219" s="76"/>
      <c r="D219" s="76"/>
      <c r="E219" s="76"/>
      <c r="F219" s="76"/>
      <c r="G219" s="25"/>
      <c r="H219" s="25"/>
      <c r="I219" s="25"/>
      <c r="J219" s="25"/>
      <c r="K219" s="25"/>
      <c r="L219" s="25"/>
      <c r="M219" s="25"/>
      <c r="N219" s="25"/>
      <c r="O219" s="25"/>
      <c r="P219" s="25"/>
      <c r="Q219" s="30">
        <v>0</v>
      </c>
      <c r="R219" s="85">
        <v>0</v>
      </c>
      <c r="S219" s="25"/>
      <c r="T219" s="79"/>
      <c r="U219" s="88"/>
      <c r="V219" s="5"/>
    </row>
    <row r="220" spans="1:22" ht="15.6" x14ac:dyDescent="0.3">
      <c r="A220" s="84"/>
      <c r="B220" s="76" t="s">
        <v>89</v>
      </c>
      <c r="C220" s="89"/>
      <c r="D220" s="89"/>
      <c r="E220" s="89"/>
      <c r="F220" s="90"/>
      <c r="G220" s="25"/>
      <c r="H220" s="25"/>
      <c r="I220" s="25"/>
      <c r="J220" s="25"/>
      <c r="K220" s="25"/>
      <c r="L220" s="25"/>
      <c r="M220" s="25"/>
      <c r="N220" s="25"/>
      <c r="O220" s="25"/>
      <c r="P220" s="25"/>
      <c r="Q220" s="25"/>
      <c r="R220" s="62">
        <v>0</v>
      </c>
      <c r="S220" s="25"/>
      <c r="T220" s="79"/>
      <c r="U220" s="88"/>
      <c r="V220" s="5"/>
    </row>
    <row r="221" spans="1:22" ht="15.6" x14ac:dyDescent="0.3">
      <c r="A221" s="84"/>
      <c r="B221" s="76" t="s">
        <v>90</v>
      </c>
      <c r="C221" s="89"/>
      <c r="D221" s="89"/>
      <c r="E221" s="89"/>
      <c r="F221" s="90"/>
      <c r="G221" s="25"/>
      <c r="H221" s="25"/>
      <c r="I221" s="25"/>
      <c r="J221" s="25"/>
      <c r="K221" s="25"/>
      <c r="L221" s="25"/>
      <c r="M221" s="25"/>
      <c r="N221" s="25"/>
      <c r="O221" s="25"/>
      <c r="P221" s="25"/>
      <c r="Q221" s="25"/>
      <c r="R221" s="62">
        <v>0</v>
      </c>
      <c r="S221" s="25"/>
      <c r="T221" s="79"/>
      <c r="U221" s="88"/>
      <c r="V221" s="5"/>
    </row>
    <row r="222" spans="1:22" ht="15.6" x14ac:dyDescent="0.3">
      <c r="A222" s="84"/>
      <c r="B222" s="122" t="s">
        <v>226</v>
      </c>
      <c r="C222" s="89"/>
      <c r="D222" s="89"/>
      <c r="E222" s="89"/>
      <c r="F222" s="90"/>
      <c r="G222" s="25"/>
      <c r="H222" s="25"/>
      <c r="I222" s="25"/>
      <c r="J222" s="25"/>
      <c r="K222" s="25"/>
      <c r="L222" s="25"/>
      <c r="M222" s="25"/>
      <c r="N222" s="25"/>
      <c r="O222" s="25"/>
      <c r="P222" s="25"/>
      <c r="Q222" s="25"/>
      <c r="R222" s="91"/>
      <c r="S222" s="25"/>
      <c r="T222" s="79"/>
      <c r="U222" s="88"/>
      <c r="V222" s="5"/>
    </row>
    <row r="223" spans="1:22" ht="15.6" x14ac:dyDescent="0.3">
      <c r="A223" s="84"/>
      <c r="B223" s="76" t="s">
        <v>280</v>
      </c>
      <c r="C223" s="89"/>
      <c r="D223" s="89"/>
      <c r="E223" s="89"/>
      <c r="F223" s="90"/>
      <c r="G223" s="25"/>
      <c r="H223" s="25"/>
      <c r="I223" s="25"/>
      <c r="J223" s="25"/>
      <c r="K223" s="25"/>
      <c r="L223" s="25"/>
      <c r="M223" s="25"/>
      <c r="N223" s="25"/>
      <c r="O223" s="25"/>
      <c r="P223" s="25"/>
      <c r="Q223" s="30">
        <v>0</v>
      </c>
      <c r="R223" s="85">
        <v>0</v>
      </c>
      <c r="S223" s="25"/>
      <c r="T223" s="79"/>
      <c r="U223" s="88"/>
      <c r="V223" s="5"/>
    </row>
    <row r="224" spans="1:22" ht="15.6" x14ac:dyDescent="0.3">
      <c r="A224" s="84"/>
      <c r="B224" s="76" t="s">
        <v>227</v>
      </c>
      <c r="C224" s="89"/>
      <c r="D224" s="89"/>
      <c r="E224" s="89"/>
      <c r="F224" s="90"/>
      <c r="G224" s="25"/>
      <c r="H224" s="25"/>
      <c r="I224" s="25"/>
      <c r="J224" s="25"/>
      <c r="K224" s="25"/>
      <c r="L224" s="25"/>
      <c r="M224" s="25"/>
      <c r="N224" s="25"/>
      <c r="O224" s="25"/>
      <c r="P224" s="25"/>
      <c r="Q224" s="25"/>
      <c r="R224" s="62">
        <v>0</v>
      </c>
      <c r="S224" s="25"/>
      <c r="T224" s="79"/>
      <c r="U224" s="88"/>
      <c r="V224" s="5"/>
    </row>
    <row r="225" spans="1:23" ht="15.6" x14ac:dyDescent="0.3">
      <c r="A225" s="84"/>
      <c r="B225" s="76"/>
      <c r="C225" s="89"/>
      <c r="D225" s="89"/>
      <c r="E225" s="89"/>
      <c r="F225" s="90"/>
      <c r="G225" s="25"/>
      <c r="H225" s="25"/>
      <c r="I225" s="25"/>
      <c r="J225" s="25"/>
      <c r="K225" s="25"/>
      <c r="L225" s="25"/>
      <c r="M225" s="25"/>
      <c r="N225" s="25"/>
      <c r="O225" s="25"/>
      <c r="P225" s="25"/>
      <c r="Q225" s="25"/>
      <c r="R225" s="91"/>
      <c r="S225" s="25"/>
      <c r="T225" s="79"/>
      <c r="U225" s="88"/>
      <c r="V225" s="5"/>
    </row>
    <row r="226" spans="1:23" ht="15.6" x14ac:dyDescent="0.3">
      <c r="A226" s="84"/>
      <c r="B226" s="76"/>
      <c r="C226" s="89"/>
      <c r="D226" s="89"/>
      <c r="E226" s="89"/>
      <c r="F226" s="90"/>
      <c r="G226" s="25"/>
      <c r="H226" s="25"/>
      <c r="I226" s="25"/>
      <c r="J226" s="25"/>
      <c r="K226" s="25"/>
      <c r="L226" s="25"/>
      <c r="M226" s="25"/>
      <c r="N226" s="25"/>
      <c r="O226" s="25"/>
      <c r="P226" s="25"/>
      <c r="Q226" s="25"/>
      <c r="R226" s="91"/>
      <c r="S226" s="25"/>
      <c r="T226" s="79"/>
      <c r="U226" s="88"/>
      <c r="V226" s="5"/>
    </row>
    <row r="227" spans="1:23" ht="17.399999999999999" x14ac:dyDescent="0.3">
      <c r="A227" s="84"/>
      <c r="B227" s="149" t="s">
        <v>175</v>
      </c>
      <c r="C227" s="89"/>
      <c r="D227" s="89"/>
      <c r="E227" s="89"/>
      <c r="F227" s="90"/>
      <c r="G227" s="25"/>
      <c r="H227" s="25"/>
      <c r="I227" s="25"/>
      <c r="J227" s="25"/>
      <c r="K227" s="25"/>
      <c r="L227" s="25"/>
      <c r="M227" s="25"/>
      <c r="N227" s="150" t="s">
        <v>174</v>
      </c>
      <c r="O227" s="25"/>
      <c r="P227" s="25"/>
      <c r="Q227" s="25"/>
      <c r="R227" s="91"/>
      <c r="S227" s="25"/>
      <c r="T227" s="79"/>
      <c r="U227" s="88"/>
      <c r="V227" s="5"/>
    </row>
    <row r="228" spans="1:23" ht="15.6" x14ac:dyDescent="0.3">
      <c r="A228" s="84"/>
      <c r="B228" s="76"/>
      <c r="C228" s="89"/>
      <c r="D228" s="89"/>
      <c r="E228" s="89"/>
      <c r="F228" s="90"/>
      <c r="G228" s="25"/>
      <c r="H228" s="25"/>
      <c r="I228" s="25"/>
      <c r="J228" s="25"/>
      <c r="K228" s="25"/>
      <c r="L228" s="25"/>
      <c r="M228" s="25"/>
      <c r="N228" s="25"/>
      <c r="O228" s="25"/>
      <c r="P228" s="25"/>
      <c r="Q228" s="25"/>
      <c r="R228" s="91"/>
      <c r="S228" s="25"/>
      <c r="T228" s="79"/>
      <c r="U228" s="88"/>
      <c r="V228" s="5"/>
    </row>
    <row r="229" spans="1:23" ht="15.6" x14ac:dyDescent="0.3">
      <c r="A229" s="6"/>
      <c r="B229" s="14" t="s">
        <v>169</v>
      </c>
      <c r="C229" s="81"/>
      <c r="D229" s="81"/>
      <c r="E229" s="81"/>
      <c r="F229" s="82"/>
      <c r="G229" s="81"/>
      <c r="H229" s="17"/>
      <c r="I229" s="17"/>
      <c r="J229" s="17"/>
      <c r="K229" s="17"/>
      <c r="L229" s="17"/>
      <c r="M229" s="17"/>
      <c r="N229" s="17"/>
      <c r="O229" s="17"/>
      <c r="P229" s="83" t="s">
        <v>105</v>
      </c>
      <c r="Q229" s="17" t="s">
        <v>106</v>
      </c>
      <c r="R229" s="83" t="s">
        <v>114</v>
      </c>
      <c r="S229" s="17" t="s">
        <v>106</v>
      </c>
      <c r="T229" s="8"/>
      <c r="U229" s="92"/>
      <c r="V229" s="5"/>
    </row>
    <row r="230" spans="1:23" ht="15.6" x14ac:dyDescent="0.3">
      <c r="A230" s="24"/>
      <c r="B230" s="54" t="s">
        <v>91</v>
      </c>
      <c r="C230" s="93"/>
      <c r="D230" s="93"/>
      <c r="E230" s="93"/>
      <c r="F230" s="25"/>
      <c r="G230" s="93"/>
      <c r="H230" s="93"/>
      <c r="I230" s="93"/>
      <c r="J230" s="93"/>
      <c r="K230" s="93"/>
      <c r="L230" s="93"/>
      <c r="M230" s="93"/>
      <c r="N230" s="93"/>
      <c r="O230" s="93"/>
      <c r="P230" s="54">
        <v>7571</v>
      </c>
      <c r="Q230" s="94">
        <f t="shared" ref="Q230:Q237" si="1">P230/$P$239</f>
        <v>0.99723393045310849</v>
      </c>
      <c r="R230" s="53">
        <v>977653</v>
      </c>
      <c r="S230" s="132">
        <f t="shared" ref="S230:S237" si="2">R230/$R$239</f>
        <v>0.99694793024190176</v>
      </c>
      <c r="T230" s="79"/>
      <c r="U230" s="88"/>
      <c r="V230" s="5"/>
    </row>
    <row r="231" spans="1:23" ht="15.6" x14ac:dyDescent="0.3">
      <c r="A231" s="24"/>
      <c r="B231" s="54" t="s">
        <v>92</v>
      </c>
      <c r="C231" s="93"/>
      <c r="D231" s="93"/>
      <c r="E231" s="93"/>
      <c r="F231" s="25"/>
      <c r="G231" s="94"/>
      <c r="H231" s="93"/>
      <c r="I231" s="93"/>
      <c r="J231" s="93"/>
      <c r="K231" s="93"/>
      <c r="L231" s="93"/>
      <c r="M231" s="93"/>
      <c r="N231" s="93"/>
      <c r="O231" s="93"/>
      <c r="P231" s="54">
        <v>16</v>
      </c>
      <c r="Q231" s="94">
        <f t="shared" si="1"/>
        <v>2.1074815595363539E-3</v>
      </c>
      <c r="R231" s="53">
        <v>2313</v>
      </c>
      <c r="S231" s="132">
        <f t="shared" si="2"/>
        <v>2.3586492985236264E-3</v>
      </c>
      <c r="T231" s="79"/>
      <c r="U231" s="88"/>
      <c r="V231" s="5"/>
      <c r="W231" s="109"/>
    </row>
    <row r="232" spans="1:23" ht="15.6" x14ac:dyDescent="0.3">
      <c r="A232" s="24"/>
      <c r="B232" s="54" t="s">
        <v>93</v>
      </c>
      <c r="C232" s="93"/>
      <c r="D232" s="93"/>
      <c r="E232" s="93"/>
      <c r="F232" s="25"/>
      <c r="G232" s="94"/>
      <c r="H232" s="93"/>
      <c r="I232" s="93"/>
      <c r="J232" s="93"/>
      <c r="K232" s="93"/>
      <c r="L232" s="93"/>
      <c r="M232" s="93"/>
      <c r="N232" s="93"/>
      <c r="O232" s="93"/>
      <c r="P232" s="54">
        <v>4</v>
      </c>
      <c r="Q232" s="94">
        <f t="shared" si="1"/>
        <v>5.2687038988408848E-4</v>
      </c>
      <c r="R232" s="53">
        <v>573</v>
      </c>
      <c r="S232" s="132">
        <f t="shared" si="2"/>
        <v>5.8430871078860263E-4</v>
      </c>
      <c r="T232" s="79"/>
      <c r="U232" s="88"/>
      <c r="V232" s="5"/>
    </row>
    <row r="233" spans="1:23" ht="15.6" x14ac:dyDescent="0.3">
      <c r="A233" s="24"/>
      <c r="B233" s="54" t="s">
        <v>163</v>
      </c>
      <c r="C233" s="93"/>
      <c r="D233" s="93"/>
      <c r="E233" s="93"/>
      <c r="F233" s="25"/>
      <c r="G233" s="94"/>
      <c r="H233" s="93"/>
      <c r="I233" s="93"/>
      <c r="J233" s="93"/>
      <c r="K233" s="93"/>
      <c r="L233" s="93"/>
      <c r="M233" s="93"/>
      <c r="N233" s="93"/>
      <c r="O233" s="93"/>
      <c r="P233" s="54">
        <v>0</v>
      </c>
      <c r="Q233" s="94">
        <f t="shared" si="1"/>
        <v>0</v>
      </c>
      <c r="R233" s="53">
        <v>0</v>
      </c>
      <c r="S233" s="132">
        <f t="shared" si="2"/>
        <v>0</v>
      </c>
      <c r="T233" s="79"/>
      <c r="U233" s="88"/>
      <c r="V233" s="5"/>
      <c r="W233" s="109"/>
    </row>
    <row r="234" spans="1:23" ht="15.6" x14ac:dyDescent="0.3">
      <c r="A234" s="24"/>
      <c r="B234" s="54" t="s">
        <v>164</v>
      </c>
      <c r="C234" s="93"/>
      <c r="D234" s="93"/>
      <c r="E234" s="93"/>
      <c r="F234" s="25"/>
      <c r="G234" s="94"/>
      <c r="H234" s="93"/>
      <c r="I234" s="93"/>
      <c r="J234" s="93"/>
      <c r="K234" s="93"/>
      <c r="L234" s="93"/>
      <c r="M234" s="93"/>
      <c r="N234" s="93"/>
      <c r="O234" s="93"/>
      <c r="P234" s="54">
        <v>1</v>
      </c>
      <c r="Q234" s="94">
        <f t="shared" si="1"/>
        <v>1.3171759747102212E-4</v>
      </c>
      <c r="R234" s="53">
        <v>107</v>
      </c>
      <c r="S234" s="132">
        <f t="shared" si="2"/>
        <v>1.0911174878600433E-4</v>
      </c>
      <c r="T234" s="79"/>
      <c r="U234" s="88"/>
      <c r="V234" s="5"/>
    </row>
    <row r="235" spans="1:23" ht="15.6" x14ac:dyDescent="0.3">
      <c r="A235" s="24"/>
      <c r="B235" s="54" t="s">
        <v>165</v>
      </c>
      <c r="C235" s="93"/>
      <c r="D235" s="93"/>
      <c r="E235" s="93"/>
      <c r="F235" s="25"/>
      <c r="G235" s="94"/>
      <c r="H235" s="93"/>
      <c r="I235" s="93"/>
      <c r="J235" s="93"/>
      <c r="K235" s="93"/>
      <c r="L235" s="93"/>
      <c r="M235" s="93"/>
      <c r="N235" s="93"/>
      <c r="O235" s="93"/>
      <c r="P235" s="54">
        <v>0</v>
      </c>
      <c r="Q235" s="94">
        <f t="shared" si="1"/>
        <v>0</v>
      </c>
      <c r="R235" s="53">
        <v>0</v>
      </c>
      <c r="S235" s="132">
        <f t="shared" si="2"/>
        <v>0</v>
      </c>
      <c r="T235" s="79"/>
      <c r="U235" s="88"/>
      <c r="V235" s="5"/>
      <c r="W235" s="109"/>
    </row>
    <row r="236" spans="1:23" ht="15.6" x14ac:dyDescent="0.3">
      <c r="A236" s="24"/>
      <c r="B236" s="54" t="s">
        <v>166</v>
      </c>
      <c r="C236" s="93"/>
      <c r="D236" s="93"/>
      <c r="E236" s="93"/>
      <c r="F236" s="25"/>
      <c r="G236" s="94"/>
      <c r="H236" s="93"/>
      <c r="I236" s="93"/>
      <c r="J236" s="93"/>
      <c r="K236" s="93"/>
      <c r="L236" s="93"/>
      <c r="M236" s="93"/>
      <c r="N236" s="93"/>
      <c r="O236" s="93"/>
      <c r="P236" s="54">
        <v>0</v>
      </c>
      <c r="Q236" s="94">
        <f t="shared" si="1"/>
        <v>0</v>
      </c>
      <c r="R236" s="53">
        <v>0</v>
      </c>
      <c r="S236" s="132">
        <f t="shared" si="2"/>
        <v>0</v>
      </c>
      <c r="T236" s="79"/>
      <c r="U236" s="88"/>
      <c r="V236" s="5"/>
    </row>
    <row r="237" spans="1:23" ht="15.6" x14ac:dyDescent="0.3">
      <c r="A237" s="24"/>
      <c r="B237" s="54" t="s">
        <v>167</v>
      </c>
      <c r="C237" s="93"/>
      <c r="D237" s="93"/>
      <c r="E237" s="93"/>
      <c r="F237" s="25"/>
      <c r="G237" s="94"/>
      <c r="H237" s="93"/>
      <c r="I237" s="93"/>
      <c r="J237" s="93"/>
      <c r="K237" s="93"/>
      <c r="L237" s="93"/>
      <c r="M237" s="93"/>
      <c r="N237" s="93"/>
      <c r="O237" s="93"/>
      <c r="P237" s="54">
        <v>0</v>
      </c>
      <c r="Q237" s="94">
        <f t="shared" si="1"/>
        <v>0</v>
      </c>
      <c r="R237" s="53">
        <v>0</v>
      </c>
      <c r="S237" s="132">
        <f t="shared" si="2"/>
        <v>0</v>
      </c>
      <c r="T237" s="79"/>
      <c r="U237" s="88"/>
      <c r="V237" s="5"/>
      <c r="W237" s="109"/>
    </row>
    <row r="238" spans="1:23" ht="15.6" x14ac:dyDescent="0.3">
      <c r="A238" s="24"/>
      <c r="B238" s="54"/>
      <c r="C238" s="93"/>
      <c r="D238" s="93"/>
      <c r="E238" s="93"/>
      <c r="F238" s="25"/>
      <c r="G238" s="94"/>
      <c r="H238" s="93"/>
      <c r="I238" s="93"/>
      <c r="J238" s="93"/>
      <c r="K238" s="93"/>
      <c r="L238" s="93"/>
      <c r="M238" s="93"/>
      <c r="N238" s="93"/>
      <c r="O238" s="93"/>
      <c r="P238" s="54"/>
      <c r="Q238" s="94"/>
      <c r="R238" s="53"/>
      <c r="S238" s="132"/>
      <c r="T238" s="79"/>
      <c r="U238" s="88"/>
      <c r="V238" s="5"/>
    </row>
    <row r="239" spans="1:23" ht="15.6" x14ac:dyDescent="0.3">
      <c r="A239" s="24"/>
      <c r="B239" s="25"/>
      <c r="C239" s="25"/>
      <c r="D239" s="25"/>
      <c r="E239" s="25"/>
      <c r="F239" s="25"/>
      <c r="G239" s="25"/>
      <c r="H239" s="95"/>
      <c r="I239" s="95"/>
      <c r="J239" s="95"/>
      <c r="K239" s="95"/>
      <c r="L239" s="95"/>
      <c r="M239" s="95"/>
      <c r="N239" s="95"/>
      <c r="O239" s="95"/>
      <c r="P239" s="34">
        <f>SUM(P230:P238)</f>
        <v>7592</v>
      </c>
      <c r="Q239" s="132">
        <f>SUM(Q230:Q238)</f>
        <v>0.99999999999999989</v>
      </c>
      <c r="R239" s="53">
        <f>SUM(R230:R238)</f>
        <v>980646</v>
      </c>
      <c r="S239" s="132">
        <f>SUM(S230:S238)</f>
        <v>1</v>
      </c>
      <c r="T239" s="25"/>
      <c r="U239" s="25"/>
      <c r="V239" s="5"/>
    </row>
    <row r="240" spans="1:23" ht="15.6" x14ac:dyDescent="0.3">
      <c r="A240" s="24"/>
      <c r="B240" s="25"/>
      <c r="C240" s="25"/>
      <c r="D240" s="25"/>
      <c r="E240" s="25"/>
      <c r="F240" s="25"/>
      <c r="G240" s="25"/>
      <c r="H240" s="95"/>
      <c r="I240" s="95"/>
      <c r="J240" s="95"/>
      <c r="K240" s="95"/>
      <c r="L240" s="95"/>
      <c r="M240" s="95"/>
      <c r="N240" s="95"/>
      <c r="O240" s="95"/>
      <c r="P240" s="34"/>
      <c r="Q240" s="132"/>
      <c r="R240" s="53"/>
      <c r="S240" s="132"/>
      <c r="T240" s="25"/>
      <c r="U240" s="25"/>
      <c r="V240" s="5"/>
    </row>
    <row r="241" spans="1:22" ht="15.6" x14ac:dyDescent="0.3">
      <c r="A241" s="141"/>
      <c r="B241" s="14" t="s">
        <v>267</v>
      </c>
      <c r="C241" s="81"/>
      <c r="D241" s="81"/>
      <c r="E241" s="81"/>
      <c r="F241" s="82"/>
      <c r="G241" s="81"/>
      <c r="H241" s="17"/>
      <c r="I241" s="17"/>
      <c r="J241" s="17"/>
      <c r="K241" s="17"/>
      <c r="L241" s="17"/>
      <c r="M241" s="17"/>
      <c r="N241" s="17"/>
      <c r="O241" s="17"/>
      <c r="P241" s="83" t="s">
        <v>105</v>
      </c>
      <c r="Q241" s="17" t="s">
        <v>106</v>
      </c>
      <c r="R241" s="83" t="s">
        <v>114</v>
      </c>
      <c r="S241" s="17" t="s">
        <v>106</v>
      </c>
      <c r="T241" s="139"/>
      <c r="U241" s="140"/>
      <c r="V241" s="5"/>
    </row>
    <row r="242" spans="1:22" ht="15.6" x14ac:dyDescent="0.3">
      <c r="A242" s="24"/>
      <c r="B242" s="54" t="s">
        <v>91</v>
      </c>
      <c r="C242" s="93"/>
      <c r="D242" s="93"/>
      <c r="E242" s="93"/>
      <c r="F242" s="25"/>
      <c r="G242" s="93"/>
      <c r="H242" s="93"/>
      <c r="I242" s="93"/>
      <c r="J242" s="93"/>
      <c r="K242" s="93"/>
      <c r="L242" s="93"/>
      <c r="M242" s="93"/>
      <c r="N242" s="93"/>
      <c r="O242" s="93"/>
      <c r="P242" s="54">
        <v>1</v>
      </c>
      <c r="Q242" s="94">
        <f t="shared" ref="Q242:Q249" si="3">P242/$P$251</f>
        <v>0.33333333333333331</v>
      </c>
      <c r="R242" s="53">
        <v>145</v>
      </c>
      <c r="S242" s="132">
        <f t="shared" ref="S242:S249" si="4">R242/$R$251</f>
        <v>0.24288107202680068</v>
      </c>
      <c r="T242" s="25"/>
      <c r="U242" s="25"/>
      <c r="V242" s="5"/>
    </row>
    <row r="243" spans="1:22" ht="15.6" x14ac:dyDescent="0.3">
      <c r="A243" s="24"/>
      <c r="B243" s="54" t="s">
        <v>92</v>
      </c>
      <c r="C243" s="93"/>
      <c r="D243" s="93"/>
      <c r="E243" s="93"/>
      <c r="F243" s="25"/>
      <c r="G243" s="94"/>
      <c r="H243" s="93"/>
      <c r="I243" s="93"/>
      <c r="J243" s="93"/>
      <c r="K243" s="93"/>
      <c r="L243" s="93"/>
      <c r="M243" s="93"/>
      <c r="N243" s="93"/>
      <c r="O243" s="93"/>
      <c r="P243" s="54">
        <v>1</v>
      </c>
      <c r="Q243" s="94">
        <f t="shared" si="3"/>
        <v>0.33333333333333331</v>
      </c>
      <c r="R243" s="53">
        <v>206</v>
      </c>
      <c r="S243" s="132">
        <f t="shared" si="4"/>
        <v>0.34505862646566166</v>
      </c>
      <c r="T243" s="25"/>
      <c r="U243" s="25"/>
      <c r="V243" s="5"/>
    </row>
    <row r="244" spans="1:22" ht="15.6" x14ac:dyDescent="0.3">
      <c r="A244" s="24"/>
      <c r="B244" s="54" t="s">
        <v>93</v>
      </c>
      <c r="C244" s="93"/>
      <c r="D244" s="93"/>
      <c r="E244" s="93"/>
      <c r="F244" s="25"/>
      <c r="G244" s="94"/>
      <c r="H244" s="93"/>
      <c r="I244" s="93"/>
      <c r="J244" s="93"/>
      <c r="K244" s="93"/>
      <c r="L244" s="93"/>
      <c r="M244" s="93"/>
      <c r="N244" s="93"/>
      <c r="O244" s="93"/>
      <c r="P244" s="54">
        <v>0</v>
      </c>
      <c r="Q244" s="94">
        <f t="shared" si="3"/>
        <v>0</v>
      </c>
      <c r="R244" s="53">
        <v>0</v>
      </c>
      <c r="S244" s="132">
        <f t="shared" si="4"/>
        <v>0</v>
      </c>
      <c r="T244" s="25"/>
      <c r="U244" s="25"/>
      <c r="V244" s="5"/>
    </row>
    <row r="245" spans="1:22" ht="15.6" x14ac:dyDescent="0.3">
      <c r="A245" s="24"/>
      <c r="B245" s="54" t="s">
        <v>163</v>
      </c>
      <c r="C245" s="93"/>
      <c r="D245" s="93"/>
      <c r="E245" s="93"/>
      <c r="F245" s="25"/>
      <c r="G245" s="94"/>
      <c r="H245" s="93"/>
      <c r="I245" s="93"/>
      <c r="J245" s="93"/>
      <c r="K245" s="93"/>
      <c r="L245" s="93"/>
      <c r="M245" s="93"/>
      <c r="N245" s="93"/>
      <c r="O245" s="93"/>
      <c r="P245" s="54">
        <v>1</v>
      </c>
      <c r="Q245" s="94">
        <f t="shared" si="3"/>
        <v>0.33333333333333331</v>
      </c>
      <c r="R245" s="53">
        <v>246</v>
      </c>
      <c r="S245" s="132">
        <f t="shared" si="4"/>
        <v>0.4120603015075377</v>
      </c>
      <c r="T245" s="25"/>
      <c r="U245" s="25"/>
      <c r="V245" s="5"/>
    </row>
    <row r="246" spans="1:22" ht="15.6" x14ac:dyDescent="0.3">
      <c r="A246" s="24"/>
      <c r="B246" s="54" t="s">
        <v>164</v>
      </c>
      <c r="C246" s="93"/>
      <c r="D246" s="93"/>
      <c r="E246" s="93"/>
      <c r="F246" s="25"/>
      <c r="G246" s="94"/>
      <c r="H246" s="93"/>
      <c r="I246" s="93"/>
      <c r="J246" s="93"/>
      <c r="K246" s="93"/>
      <c r="L246" s="93"/>
      <c r="M246" s="93"/>
      <c r="N246" s="93"/>
      <c r="O246" s="93"/>
      <c r="P246" s="54">
        <v>0</v>
      </c>
      <c r="Q246" s="94">
        <f t="shared" si="3"/>
        <v>0</v>
      </c>
      <c r="R246" s="53">
        <v>0</v>
      </c>
      <c r="S246" s="132">
        <f t="shared" si="4"/>
        <v>0</v>
      </c>
      <c r="T246" s="25"/>
      <c r="U246" s="25"/>
      <c r="V246" s="5"/>
    </row>
    <row r="247" spans="1:22" ht="15.6" x14ac:dyDescent="0.3">
      <c r="A247" s="24"/>
      <c r="B247" s="54" t="s">
        <v>165</v>
      </c>
      <c r="C247" s="93"/>
      <c r="D247" s="93"/>
      <c r="E247" s="93"/>
      <c r="F247" s="25"/>
      <c r="G247" s="94"/>
      <c r="H247" s="93"/>
      <c r="I247" s="93"/>
      <c r="J247" s="93"/>
      <c r="K247" s="93"/>
      <c r="L247" s="93"/>
      <c r="M247" s="93"/>
      <c r="N247" s="93"/>
      <c r="O247" s="93"/>
      <c r="P247" s="54">
        <v>0</v>
      </c>
      <c r="Q247" s="94">
        <f t="shared" si="3"/>
        <v>0</v>
      </c>
      <c r="R247" s="53">
        <v>0</v>
      </c>
      <c r="S247" s="132">
        <f t="shared" si="4"/>
        <v>0</v>
      </c>
      <c r="T247" s="25"/>
      <c r="U247" s="25"/>
      <c r="V247" s="5"/>
    </row>
    <row r="248" spans="1:22" ht="15.6" x14ac:dyDescent="0.3">
      <c r="A248" s="24"/>
      <c r="B248" s="54" t="s">
        <v>166</v>
      </c>
      <c r="C248" s="93"/>
      <c r="D248" s="93"/>
      <c r="E248" s="93"/>
      <c r="F248" s="25"/>
      <c r="G248" s="94"/>
      <c r="H248" s="93"/>
      <c r="I248" s="93"/>
      <c r="J248" s="93"/>
      <c r="K248" s="93"/>
      <c r="L248" s="93"/>
      <c r="M248" s="93"/>
      <c r="N248" s="93"/>
      <c r="O248" s="93"/>
      <c r="P248" s="54">
        <v>0</v>
      </c>
      <c r="Q248" s="94">
        <f t="shared" si="3"/>
        <v>0</v>
      </c>
      <c r="R248" s="53">
        <v>0</v>
      </c>
      <c r="S248" s="132">
        <f t="shared" si="4"/>
        <v>0</v>
      </c>
      <c r="T248" s="25"/>
      <c r="U248" s="25"/>
      <c r="V248" s="5"/>
    </row>
    <row r="249" spans="1:22" ht="15.6" x14ac:dyDescent="0.3">
      <c r="A249" s="24"/>
      <c r="B249" s="54" t="s">
        <v>167</v>
      </c>
      <c r="C249" s="93"/>
      <c r="D249" s="93"/>
      <c r="E249" s="93"/>
      <c r="F249" s="25"/>
      <c r="G249" s="94"/>
      <c r="H249" s="93"/>
      <c r="I249" s="93"/>
      <c r="J249" s="93"/>
      <c r="K249" s="93"/>
      <c r="L249" s="93"/>
      <c r="M249" s="93"/>
      <c r="N249" s="93"/>
      <c r="O249" s="93"/>
      <c r="P249" s="54">
        <v>0</v>
      </c>
      <c r="Q249" s="94">
        <f t="shared" si="3"/>
        <v>0</v>
      </c>
      <c r="R249" s="53">
        <v>0</v>
      </c>
      <c r="S249" s="132">
        <f t="shared" si="4"/>
        <v>0</v>
      </c>
      <c r="T249" s="25"/>
      <c r="U249" s="25"/>
      <c r="V249" s="5"/>
    </row>
    <row r="250" spans="1:22" ht="15.6" x14ac:dyDescent="0.3">
      <c r="A250" s="24"/>
      <c r="B250" s="54"/>
      <c r="C250" s="93"/>
      <c r="D250" s="93"/>
      <c r="E250" s="93"/>
      <c r="F250" s="25"/>
      <c r="G250" s="94"/>
      <c r="H250" s="93"/>
      <c r="I250" s="93"/>
      <c r="J250" s="93"/>
      <c r="K250" s="93"/>
      <c r="L250" s="93"/>
      <c r="M250" s="93"/>
      <c r="N250" s="93"/>
      <c r="O250" s="93"/>
      <c r="P250" s="54"/>
      <c r="Q250" s="94"/>
      <c r="R250" s="53"/>
      <c r="S250" s="132"/>
      <c r="T250" s="25"/>
      <c r="U250" s="25"/>
      <c r="V250" s="5"/>
    </row>
    <row r="251" spans="1:22" ht="15.6" x14ac:dyDescent="0.3">
      <c r="A251" s="24"/>
      <c r="B251" s="25"/>
      <c r="C251" s="25"/>
      <c r="D251" s="25"/>
      <c r="E251" s="25"/>
      <c r="F251" s="25"/>
      <c r="G251" s="25"/>
      <c r="H251" s="95"/>
      <c r="I251" s="95"/>
      <c r="J251" s="95"/>
      <c r="K251" s="95"/>
      <c r="L251" s="95"/>
      <c r="M251" s="95"/>
      <c r="N251" s="95"/>
      <c r="O251" s="95"/>
      <c r="P251" s="34">
        <f>SUM(P242:P250)</f>
        <v>3</v>
      </c>
      <c r="Q251" s="132">
        <f>SUM(Q242:Q250)</f>
        <v>1</v>
      </c>
      <c r="R251" s="53">
        <f>SUM(R242:R250)</f>
        <v>597</v>
      </c>
      <c r="S251" s="132">
        <f>SUM(S242:S250)</f>
        <v>1</v>
      </c>
      <c r="T251" s="25"/>
      <c r="U251" s="25"/>
      <c r="V251" s="5"/>
    </row>
    <row r="252" spans="1:22" ht="15.6" x14ac:dyDescent="0.3">
      <c r="A252" s="24"/>
      <c r="B252" s="25"/>
      <c r="C252" s="25"/>
      <c r="D252" s="25"/>
      <c r="E252" s="25"/>
      <c r="F252" s="25"/>
      <c r="G252" s="25"/>
      <c r="H252" s="95"/>
      <c r="I252" s="95"/>
      <c r="J252" s="95"/>
      <c r="K252" s="95"/>
      <c r="L252" s="95"/>
      <c r="M252" s="95"/>
      <c r="N252" s="95"/>
      <c r="O252" s="95"/>
      <c r="P252" s="34"/>
      <c r="Q252" s="132"/>
      <c r="R252" s="53"/>
      <c r="S252" s="132"/>
      <c r="T252" s="25"/>
      <c r="U252" s="25"/>
      <c r="V252" s="5"/>
    </row>
    <row r="253" spans="1:22" ht="15.6" x14ac:dyDescent="0.3">
      <c r="A253" s="141"/>
      <c r="B253" s="14" t="s">
        <v>170</v>
      </c>
      <c r="C253" s="139"/>
      <c r="D253" s="139"/>
      <c r="E253" s="139"/>
      <c r="F253" s="139"/>
      <c r="G253" s="139"/>
      <c r="H253" s="145"/>
      <c r="I253" s="145"/>
      <c r="J253" s="145"/>
      <c r="K253" s="145"/>
      <c r="L253" s="145"/>
      <c r="M253" s="145"/>
      <c r="N253" s="145"/>
      <c r="O253" s="145"/>
      <c r="P253" s="83" t="s">
        <v>105</v>
      </c>
      <c r="Q253" s="17" t="s">
        <v>106</v>
      </c>
      <c r="R253" s="83" t="s">
        <v>114</v>
      </c>
      <c r="S253" s="17" t="s">
        <v>106</v>
      </c>
      <c r="T253" s="139"/>
      <c r="U253" s="140"/>
      <c r="V253" s="5"/>
    </row>
    <row r="254" spans="1:22" ht="15.6" x14ac:dyDescent="0.3">
      <c r="A254" s="24"/>
      <c r="B254" s="54" t="s">
        <v>91</v>
      </c>
      <c r="C254" s="25"/>
      <c r="D254" s="25"/>
      <c r="E254" s="25"/>
      <c r="F254" s="25"/>
      <c r="G254" s="25"/>
      <c r="H254" s="95"/>
      <c r="I254" s="95"/>
      <c r="J254" s="95"/>
      <c r="K254" s="95"/>
      <c r="L254" s="95"/>
      <c r="M254" s="95"/>
      <c r="N254" s="95"/>
      <c r="O254" s="95"/>
      <c r="P254" s="54">
        <v>0</v>
      </c>
      <c r="Q254" s="94">
        <v>0</v>
      </c>
      <c r="R254" s="53">
        <v>0</v>
      </c>
      <c r="S254" s="132">
        <v>0</v>
      </c>
      <c r="T254" s="25"/>
      <c r="U254" s="25"/>
      <c r="V254" s="5"/>
    </row>
    <row r="255" spans="1:22" ht="15.6" x14ac:dyDescent="0.3">
      <c r="A255" s="24"/>
      <c r="B255" s="54" t="s">
        <v>92</v>
      </c>
      <c r="C255" s="25"/>
      <c r="D255" s="25"/>
      <c r="E255" s="25"/>
      <c r="F255" s="25"/>
      <c r="G255" s="25"/>
      <c r="H255" s="95"/>
      <c r="I255" s="95"/>
      <c r="J255" s="95"/>
      <c r="K255" s="95"/>
      <c r="L255" s="95"/>
      <c r="M255" s="95"/>
      <c r="N255" s="95"/>
      <c r="O255" s="95"/>
      <c r="P255" s="54">
        <v>0</v>
      </c>
      <c r="Q255" s="94">
        <v>0</v>
      </c>
      <c r="R255" s="53">
        <v>0</v>
      </c>
      <c r="S255" s="132">
        <v>0</v>
      </c>
      <c r="T255" s="25"/>
      <c r="U255" s="25"/>
      <c r="V255" s="5"/>
    </row>
    <row r="256" spans="1:22" ht="15.6" x14ac:dyDescent="0.3">
      <c r="A256" s="24"/>
      <c r="B256" s="54" t="s">
        <v>93</v>
      </c>
      <c r="C256" s="25"/>
      <c r="D256" s="25"/>
      <c r="E256" s="25"/>
      <c r="F256" s="25"/>
      <c r="G256" s="25"/>
      <c r="H256" s="95"/>
      <c r="I256" s="95"/>
      <c r="J256" s="95"/>
      <c r="K256" s="95"/>
      <c r="L256" s="95"/>
      <c r="M256" s="95"/>
      <c r="N256" s="95"/>
      <c r="O256" s="95"/>
      <c r="P256" s="54">
        <v>0</v>
      </c>
      <c r="Q256" s="94">
        <v>0</v>
      </c>
      <c r="R256" s="53">
        <v>0</v>
      </c>
      <c r="S256" s="132">
        <v>0</v>
      </c>
      <c r="T256" s="25"/>
      <c r="U256" s="25"/>
      <c r="V256" s="5"/>
    </row>
    <row r="257" spans="1:22" ht="15.6" x14ac:dyDescent="0.3">
      <c r="A257" s="24"/>
      <c r="B257" s="54" t="s">
        <v>163</v>
      </c>
      <c r="C257" s="25"/>
      <c r="D257" s="25"/>
      <c r="E257" s="25"/>
      <c r="F257" s="25"/>
      <c r="G257" s="25"/>
      <c r="H257" s="95"/>
      <c r="I257" s="95"/>
      <c r="J257" s="95"/>
      <c r="K257" s="95"/>
      <c r="L257" s="95"/>
      <c r="M257" s="95"/>
      <c r="N257" s="95"/>
      <c r="O257" s="95"/>
      <c r="P257" s="54">
        <v>0</v>
      </c>
      <c r="Q257" s="94">
        <v>0</v>
      </c>
      <c r="R257" s="53">
        <v>0</v>
      </c>
      <c r="S257" s="132">
        <v>0</v>
      </c>
      <c r="T257" s="25"/>
      <c r="U257" s="25"/>
      <c r="V257" s="5"/>
    </row>
    <row r="258" spans="1:22" ht="15.6" x14ac:dyDescent="0.3">
      <c r="A258" s="24"/>
      <c r="B258" s="54" t="s">
        <v>164</v>
      </c>
      <c r="C258" s="25"/>
      <c r="D258" s="25"/>
      <c r="E258" s="25"/>
      <c r="F258" s="25"/>
      <c r="G258" s="25"/>
      <c r="H258" s="95"/>
      <c r="I258" s="95"/>
      <c r="J258" s="95"/>
      <c r="K258" s="95"/>
      <c r="L258" s="95"/>
      <c r="M258" s="95"/>
      <c r="N258" s="95"/>
      <c r="O258" s="95"/>
      <c r="P258" s="54">
        <v>0</v>
      </c>
      <c r="Q258" s="94">
        <v>0</v>
      </c>
      <c r="R258" s="53">
        <v>0</v>
      </c>
      <c r="S258" s="132">
        <v>0</v>
      </c>
      <c r="T258" s="25"/>
      <c r="U258" s="25"/>
      <c r="V258" s="5"/>
    </row>
    <row r="259" spans="1:22" ht="15.6" x14ac:dyDescent="0.3">
      <c r="A259" s="24"/>
      <c r="B259" s="54" t="s">
        <v>165</v>
      </c>
      <c r="C259" s="25"/>
      <c r="D259" s="25"/>
      <c r="E259" s="25"/>
      <c r="F259" s="25"/>
      <c r="G259" s="25"/>
      <c r="H259" s="95"/>
      <c r="I259" s="95"/>
      <c r="J259" s="95"/>
      <c r="K259" s="95"/>
      <c r="L259" s="95"/>
      <c r="M259" s="95"/>
      <c r="N259" s="95"/>
      <c r="O259" s="95"/>
      <c r="P259" s="54">
        <v>0</v>
      </c>
      <c r="Q259" s="94">
        <v>0</v>
      </c>
      <c r="R259" s="53">
        <v>0</v>
      </c>
      <c r="S259" s="132">
        <v>0</v>
      </c>
      <c r="T259" s="25"/>
      <c r="U259" s="25"/>
      <c r="V259" s="5"/>
    </row>
    <row r="260" spans="1:22" ht="15.6" x14ac:dyDescent="0.3">
      <c r="A260" s="24"/>
      <c r="B260" s="54" t="s">
        <v>166</v>
      </c>
      <c r="C260" s="25"/>
      <c r="D260" s="25"/>
      <c r="E260" s="25"/>
      <c r="F260" s="25"/>
      <c r="G260" s="25"/>
      <c r="H260" s="95"/>
      <c r="I260" s="95"/>
      <c r="J260" s="95"/>
      <c r="K260" s="95"/>
      <c r="L260" s="95"/>
      <c r="M260" s="95"/>
      <c r="N260" s="95"/>
      <c r="O260" s="95"/>
      <c r="P260" s="54">
        <v>0</v>
      </c>
      <c r="Q260" s="94">
        <v>0</v>
      </c>
      <c r="R260" s="53">
        <v>0</v>
      </c>
      <c r="S260" s="132">
        <v>0</v>
      </c>
      <c r="T260" s="25"/>
      <c r="U260" s="25"/>
      <c r="V260" s="5"/>
    </row>
    <row r="261" spans="1:22" ht="15.6" x14ac:dyDescent="0.3">
      <c r="A261" s="24"/>
      <c r="B261" s="54" t="s">
        <v>167</v>
      </c>
      <c r="C261" s="25"/>
      <c r="D261" s="25"/>
      <c r="E261" s="25"/>
      <c r="F261" s="25"/>
      <c r="G261" s="25"/>
      <c r="H261" s="95"/>
      <c r="I261" s="95"/>
      <c r="J261" s="95"/>
      <c r="K261" s="95"/>
      <c r="L261" s="95"/>
      <c r="M261" s="95"/>
      <c r="N261" s="95"/>
      <c r="O261" s="95"/>
      <c r="P261" s="54">
        <v>0</v>
      </c>
      <c r="Q261" s="94">
        <v>0</v>
      </c>
      <c r="R261" s="53">
        <v>0</v>
      </c>
      <c r="S261" s="132">
        <v>0</v>
      </c>
      <c r="T261" s="25"/>
      <c r="U261" s="25"/>
      <c r="V261" s="5"/>
    </row>
    <row r="262" spans="1:22" ht="15.6" x14ac:dyDescent="0.3">
      <c r="A262" s="24"/>
      <c r="B262" s="54"/>
      <c r="C262" s="25"/>
      <c r="D262" s="25"/>
      <c r="E262" s="25"/>
      <c r="F262" s="25"/>
      <c r="G262" s="25"/>
      <c r="H262" s="95"/>
      <c r="I262" s="95"/>
      <c r="J262" s="95"/>
      <c r="K262" s="95"/>
      <c r="L262" s="95"/>
      <c r="M262" s="95"/>
      <c r="N262" s="95"/>
      <c r="O262" s="95"/>
      <c r="P262" s="54"/>
      <c r="Q262" s="94"/>
      <c r="R262" s="53"/>
      <c r="S262" s="132"/>
      <c r="T262" s="25"/>
      <c r="U262" s="25"/>
      <c r="V262" s="5"/>
    </row>
    <row r="263" spans="1:22" ht="15.6" x14ac:dyDescent="0.3">
      <c r="A263" s="24"/>
      <c r="B263" s="25" t="s">
        <v>120</v>
      </c>
      <c r="C263" s="25"/>
      <c r="D263" s="25"/>
      <c r="E263" s="25"/>
      <c r="F263" s="25"/>
      <c r="G263" s="25"/>
      <c r="H263" s="95"/>
      <c r="I263" s="95"/>
      <c r="J263" s="95"/>
      <c r="K263" s="95"/>
      <c r="L263" s="95"/>
      <c r="M263" s="95"/>
      <c r="N263" s="95"/>
      <c r="O263" s="95"/>
      <c r="P263" s="34">
        <f>SUM(P254:P261)</f>
        <v>0</v>
      </c>
      <c r="Q263" s="94">
        <f>SUM(Q254:Q261)</f>
        <v>0</v>
      </c>
      <c r="R263" s="53">
        <f>SUM(R254:R261)</f>
        <v>0</v>
      </c>
      <c r="S263" s="132">
        <f>SUM(S254:S261)</f>
        <v>0</v>
      </c>
      <c r="T263" s="25"/>
      <c r="U263" s="25"/>
      <c r="V263" s="5"/>
    </row>
    <row r="264" spans="1:22" ht="15.6" x14ac:dyDescent="0.3">
      <c r="A264" s="24"/>
      <c r="B264" s="25"/>
      <c r="C264" s="25"/>
      <c r="D264" s="25"/>
      <c r="E264" s="25"/>
      <c r="F264" s="25"/>
      <c r="G264" s="25"/>
      <c r="H264" s="95"/>
      <c r="I264" s="95"/>
      <c r="J264" s="95"/>
      <c r="K264" s="95"/>
      <c r="L264" s="95"/>
      <c r="M264" s="95"/>
      <c r="N264" s="95"/>
      <c r="O264" s="95"/>
      <c r="P264" s="34"/>
      <c r="Q264" s="132"/>
      <c r="R264" s="53"/>
      <c r="S264" s="132"/>
      <c r="T264" s="25"/>
      <c r="U264" s="25"/>
      <c r="V264" s="5"/>
    </row>
    <row r="265" spans="1:22" ht="15.6" x14ac:dyDescent="0.3">
      <c r="A265" s="24"/>
      <c r="B265" s="142" t="s">
        <v>171</v>
      </c>
      <c r="C265" s="25"/>
      <c r="D265" s="25"/>
      <c r="E265" s="25"/>
      <c r="F265" s="25"/>
      <c r="G265" s="25"/>
      <c r="H265" s="95"/>
      <c r="I265" s="95"/>
      <c r="J265" s="95"/>
      <c r="K265" s="95"/>
      <c r="L265" s="95"/>
      <c r="M265" s="95"/>
      <c r="N265" s="95"/>
      <c r="O265" s="95"/>
      <c r="P265" s="161">
        <f>P263+P251+P239</f>
        <v>7595</v>
      </c>
      <c r="Q265" s="143"/>
      <c r="R265" s="144">
        <f>+R263+R251+R239</f>
        <v>981243</v>
      </c>
      <c r="S265" s="143"/>
      <c r="T265" s="25"/>
      <c r="U265" s="25"/>
      <c r="V265" s="5"/>
    </row>
    <row r="266" spans="1:22" ht="15.6" x14ac:dyDescent="0.3">
      <c r="A266" s="24"/>
      <c r="B266" s="25"/>
      <c r="C266" s="25"/>
      <c r="D266" s="25"/>
      <c r="E266" s="25"/>
      <c r="F266" s="25"/>
      <c r="G266" s="25"/>
      <c r="H266" s="95"/>
      <c r="I266" s="95"/>
      <c r="J266" s="95"/>
      <c r="K266" s="95"/>
      <c r="L266" s="95"/>
      <c r="M266" s="95"/>
      <c r="N266" s="95"/>
      <c r="O266" s="95"/>
      <c r="P266" s="95"/>
      <c r="Q266" s="95"/>
      <c r="R266" s="53"/>
      <c r="S266" s="95"/>
      <c r="T266" s="25"/>
      <c r="U266" s="25"/>
      <c r="V266" s="5"/>
    </row>
    <row r="267" spans="1:22" ht="15.6" x14ac:dyDescent="0.3">
      <c r="A267" s="6"/>
      <c r="B267" s="8"/>
      <c r="C267" s="8"/>
      <c r="D267" s="8"/>
      <c r="E267" s="8"/>
      <c r="F267" s="8"/>
      <c r="G267" s="8"/>
      <c r="H267" s="96"/>
      <c r="I267" s="96"/>
      <c r="J267" s="96"/>
      <c r="K267" s="96"/>
      <c r="L267" s="96"/>
      <c r="M267" s="96"/>
      <c r="N267" s="96"/>
      <c r="O267" s="96"/>
      <c r="P267" s="96"/>
      <c r="Q267" s="96"/>
      <c r="R267" s="97"/>
      <c r="S267" s="96"/>
      <c r="T267" s="8"/>
      <c r="U267" s="8"/>
      <c r="V267" s="5"/>
    </row>
    <row r="268" spans="1:22" ht="15.6" x14ac:dyDescent="0.3">
      <c r="A268" s="98"/>
      <c r="B268" s="14" t="s">
        <v>94</v>
      </c>
      <c r="C268" s="15"/>
      <c r="D268" s="15"/>
      <c r="E268" s="15"/>
      <c r="F268" s="17" t="s">
        <v>100</v>
      </c>
      <c r="G268" s="15"/>
      <c r="H268" s="14" t="s">
        <v>102</v>
      </c>
      <c r="I268" s="12"/>
      <c r="J268" s="12"/>
      <c r="K268" s="12"/>
      <c r="L268" s="12"/>
      <c r="M268" s="12"/>
      <c r="N268" s="12"/>
      <c r="O268" s="12"/>
      <c r="P268" s="12"/>
      <c r="Q268" s="12"/>
      <c r="R268" s="12"/>
      <c r="S268" s="12"/>
      <c r="T268" s="12"/>
      <c r="U268" s="12"/>
      <c r="V268" s="5"/>
    </row>
    <row r="269" spans="1:22" ht="15.6" x14ac:dyDescent="0.3">
      <c r="A269" s="98"/>
      <c r="B269" s="13" t="s">
        <v>95</v>
      </c>
      <c r="C269" s="13"/>
      <c r="D269" s="13"/>
      <c r="E269" s="13"/>
      <c r="F269" s="130" t="s">
        <v>154</v>
      </c>
      <c r="G269" s="13"/>
      <c r="H269" s="13" t="s">
        <v>158</v>
      </c>
      <c r="I269" s="162"/>
      <c r="J269" s="162"/>
      <c r="K269" s="12"/>
      <c r="L269" s="12"/>
      <c r="M269" s="12"/>
      <c r="N269" s="12"/>
      <c r="O269" s="12"/>
      <c r="P269" s="12"/>
      <c r="Q269" s="12"/>
      <c r="R269" s="12"/>
      <c r="S269" s="12"/>
      <c r="T269" s="12"/>
      <c r="U269" s="12"/>
      <c r="V269" s="5"/>
    </row>
    <row r="270" spans="1:22" ht="15.6" x14ac:dyDescent="0.3">
      <c r="A270" s="98"/>
      <c r="B270" s="13" t="s">
        <v>268</v>
      </c>
      <c r="C270" s="13"/>
      <c r="D270" s="13"/>
      <c r="E270" s="13"/>
      <c r="F270" s="130" t="s">
        <v>269</v>
      </c>
      <c r="G270" s="13"/>
      <c r="H270" s="13" t="s">
        <v>270</v>
      </c>
      <c r="I270" s="162"/>
      <c r="J270" s="162"/>
      <c r="K270" s="12"/>
      <c r="L270" s="12"/>
      <c r="M270" s="12"/>
      <c r="N270" s="12"/>
      <c r="O270" s="12"/>
      <c r="P270" s="12"/>
      <c r="Q270" s="12"/>
      <c r="R270" s="12"/>
      <c r="S270" s="12"/>
      <c r="T270" s="12"/>
      <c r="U270" s="12"/>
      <c r="V270" s="5"/>
    </row>
    <row r="271" spans="1:22" ht="15.6" x14ac:dyDescent="0.3">
      <c r="A271" s="98"/>
      <c r="B271" s="13" t="s">
        <v>96</v>
      </c>
      <c r="C271" s="13"/>
      <c r="D271" s="13"/>
      <c r="E271" s="13"/>
      <c r="F271" s="130" t="s">
        <v>153</v>
      </c>
      <c r="G271" s="13"/>
      <c r="H271" s="13" t="s">
        <v>159</v>
      </c>
      <c r="I271" s="162"/>
      <c r="J271" s="162"/>
      <c r="K271" s="12"/>
      <c r="L271" s="12"/>
      <c r="M271" s="12"/>
      <c r="N271" s="12"/>
      <c r="O271" s="12"/>
      <c r="P271" s="12"/>
      <c r="Q271" s="12"/>
      <c r="R271" s="12"/>
      <c r="S271" s="12"/>
      <c r="T271" s="12"/>
      <c r="U271" s="12"/>
      <c r="V271" s="5"/>
    </row>
    <row r="272" spans="1:22" ht="15.6" x14ac:dyDescent="0.3">
      <c r="A272" s="98"/>
      <c r="B272" s="13"/>
      <c r="C272" s="13"/>
      <c r="D272" s="13"/>
      <c r="E272" s="13"/>
      <c r="F272" s="13"/>
      <c r="G272" s="99"/>
      <c r="H272" s="12"/>
      <c r="I272" s="12"/>
      <c r="J272" s="12"/>
      <c r="K272" s="12"/>
      <c r="L272" s="12"/>
      <c r="M272" s="12"/>
      <c r="N272" s="12"/>
      <c r="O272" s="12"/>
      <c r="P272" s="12"/>
      <c r="Q272" s="12"/>
      <c r="R272" s="12"/>
      <c r="S272" s="12"/>
      <c r="T272" s="12"/>
      <c r="U272" s="12"/>
      <c r="V272" s="5"/>
    </row>
    <row r="273" spans="1:22" ht="15.6" x14ac:dyDescent="0.3">
      <c r="A273" s="98"/>
      <c r="B273" s="13"/>
      <c r="C273" s="13"/>
      <c r="D273" s="13"/>
      <c r="E273" s="13"/>
      <c r="F273" s="13"/>
      <c r="G273" s="99"/>
      <c r="H273" s="12"/>
      <c r="I273" s="12"/>
      <c r="J273" s="12"/>
      <c r="K273" s="12"/>
      <c r="L273" s="12"/>
      <c r="M273" s="12"/>
      <c r="N273" s="12"/>
      <c r="O273" s="12"/>
      <c r="P273" s="12"/>
      <c r="Q273" s="12"/>
      <c r="R273" s="12"/>
      <c r="S273" s="12"/>
      <c r="T273" s="12"/>
      <c r="U273" s="12"/>
      <c r="V273" s="5"/>
    </row>
    <row r="274" spans="1:22" ht="18" thickBot="1" x14ac:dyDescent="0.35">
      <c r="A274" s="98"/>
      <c r="B274" s="49" t="str">
        <f>B190</f>
        <v>PM11 INVESTOR REPORT QUARTER ENDING JUNE 2006</v>
      </c>
      <c r="C274" s="13"/>
      <c r="D274" s="13"/>
      <c r="E274" s="13"/>
      <c r="F274" s="13"/>
      <c r="G274" s="99"/>
      <c r="H274" s="12"/>
      <c r="I274" s="12"/>
      <c r="J274" s="12"/>
      <c r="K274" s="12"/>
      <c r="L274" s="12"/>
      <c r="M274" s="12"/>
      <c r="N274" s="12"/>
      <c r="O274" s="12"/>
      <c r="P274" s="12"/>
      <c r="Q274" s="12"/>
      <c r="R274" s="12"/>
      <c r="S274" s="12"/>
      <c r="T274" s="12"/>
      <c r="U274" s="12"/>
      <c r="V274" s="5"/>
    </row>
    <row r="275" spans="1:22" x14ac:dyDescent="0.25">
      <c r="A275" s="100"/>
      <c r="B275" s="100"/>
      <c r="C275" s="100"/>
      <c r="D275" s="100"/>
      <c r="E275" s="100"/>
      <c r="F275" s="100"/>
      <c r="G275" s="100"/>
      <c r="H275" s="100"/>
      <c r="I275" s="100"/>
      <c r="J275" s="100"/>
      <c r="K275" s="100"/>
      <c r="L275" s="100"/>
      <c r="M275" s="100"/>
      <c r="N275" s="100"/>
      <c r="O275" s="100"/>
      <c r="P275" s="100"/>
      <c r="Q275" s="100"/>
      <c r="R275" s="100"/>
      <c r="S275" s="100"/>
      <c r="T275" s="100"/>
      <c r="U275" s="100"/>
    </row>
  </sheetData>
  <phoneticPr fontId="0" type="noConversion"/>
  <hyperlinks>
    <hyperlink ref="N227" r:id="rId1" xr:uid="{00000000-0004-0000-0000-000000000000}"/>
    <hyperlink ref="J9" r:id="rId2" xr:uid="{00000000-0004-0000-00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4" max="14" man="1"/>
    <brk id="131" max="14" man="1"/>
    <brk id="190" max="14" man="1"/>
  </rowBreak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D2926"/>
  </sheetPr>
  <dimension ref="A1:X276"/>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08984375" style="1" customWidth="1"/>
    <col min="10" max="10" width="17.81640625" style="1" customWidth="1"/>
    <col min="11" max="11" width="2.1796875" style="1" customWidth="1"/>
    <col min="12" max="12" width="14.81640625" style="1" customWidth="1"/>
    <col min="13" max="13" width="2.1796875" style="1" customWidth="1"/>
    <col min="14" max="14" width="15.54296875" style="1" customWidth="1"/>
    <col min="15" max="15" width="2.08984375" style="1" customWidth="1"/>
    <col min="16" max="16" width="15.54296875" style="1" customWidth="1"/>
    <col min="17" max="18" width="12.81640625" style="1" customWidth="1"/>
    <col min="19" max="19" width="7.81640625" style="1" customWidth="1"/>
    <col min="20" max="20" width="14.81640625" style="1" customWidth="1"/>
    <col min="21" max="21" width="11.81640625" style="1" customWidth="1"/>
    <col min="22" max="16384" width="9.81640625" style="1"/>
  </cols>
  <sheetData>
    <row r="1" spans="1:22" ht="20.399999999999999" x14ac:dyDescent="0.35">
      <c r="A1" s="2"/>
      <c r="B1" s="3" t="s">
        <v>228</v>
      </c>
      <c r="C1" s="4"/>
      <c r="D1" s="4"/>
      <c r="E1" s="4"/>
      <c r="F1" s="4"/>
      <c r="G1" s="4"/>
      <c r="H1" s="4"/>
      <c r="I1" s="4"/>
      <c r="J1" s="4"/>
      <c r="K1" s="4"/>
      <c r="L1" s="4"/>
      <c r="M1" s="4"/>
      <c r="N1" s="4"/>
      <c r="O1" s="4"/>
      <c r="P1" s="4"/>
      <c r="Q1" s="4"/>
      <c r="R1" s="4"/>
      <c r="S1" s="4"/>
      <c r="T1" s="4"/>
      <c r="U1" s="4"/>
      <c r="V1" s="5"/>
    </row>
    <row r="2" spans="1:22" ht="15.6" x14ac:dyDescent="0.3">
      <c r="A2" s="6"/>
      <c r="B2" s="7"/>
      <c r="C2" s="8"/>
      <c r="D2" s="8"/>
      <c r="E2" s="8"/>
      <c r="F2" s="8"/>
      <c r="G2" s="8"/>
      <c r="H2" s="8"/>
      <c r="I2" s="8"/>
      <c r="J2" s="8"/>
      <c r="K2" s="8"/>
      <c r="L2" s="8"/>
      <c r="M2" s="8"/>
      <c r="N2" s="8"/>
      <c r="O2" s="8"/>
      <c r="P2" s="8"/>
      <c r="Q2" s="8"/>
      <c r="R2" s="8"/>
      <c r="S2" s="8"/>
      <c r="T2" s="8"/>
      <c r="U2" s="8"/>
      <c r="V2" s="5"/>
    </row>
    <row r="3" spans="1:22" ht="15.6" x14ac:dyDescent="0.3">
      <c r="A3" s="9"/>
      <c r="B3" s="111" t="s">
        <v>229</v>
      </c>
      <c r="C3" s="8"/>
      <c r="D3" s="8"/>
      <c r="E3" s="8"/>
      <c r="F3" s="8"/>
      <c r="G3" s="8"/>
      <c r="H3" s="8"/>
      <c r="I3" s="8"/>
      <c r="J3" s="8"/>
      <c r="K3" s="8"/>
      <c r="L3" s="8"/>
      <c r="M3" s="8"/>
      <c r="N3" s="8"/>
      <c r="O3" s="8"/>
      <c r="P3" s="8"/>
      <c r="Q3" s="8"/>
      <c r="R3" s="8"/>
      <c r="S3" s="8"/>
      <c r="T3" s="8"/>
      <c r="U3" s="8"/>
      <c r="V3" s="5"/>
    </row>
    <row r="4" spans="1:22" ht="15.6" x14ac:dyDescent="0.3">
      <c r="A4" s="6"/>
      <c r="B4" s="7"/>
      <c r="C4" s="8"/>
      <c r="D4" s="8"/>
      <c r="E4" s="8"/>
      <c r="F4" s="8"/>
      <c r="G4" s="8"/>
      <c r="H4" s="8"/>
      <c r="I4" s="8"/>
      <c r="J4" s="8"/>
      <c r="K4" s="8"/>
      <c r="L4" s="8"/>
      <c r="M4" s="8"/>
      <c r="N4" s="8"/>
      <c r="O4" s="8"/>
      <c r="P4" s="8"/>
      <c r="Q4" s="8"/>
      <c r="R4" s="8"/>
      <c r="S4" s="8"/>
      <c r="T4" s="8"/>
      <c r="U4" s="8"/>
      <c r="V4" s="5"/>
    </row>
    <row r="5" spans="1:22" ht="15.6" x14ac:dyDescent="0.3">
      <c r="A5" s="6"/>
      <c r="B5" s="11" t="s">
        <v>143</v>
      </c>
      <c r="C5" s="8"/>
      <c r="D5" s="8"/>
      <c r="E5" s="8"/>
      <c r="F5" s="8"/>
      <c r="G5" s="8"/>
      <c r="H5" s="8"/>
      <c r="I5" s="8"/>
      <c r="J5" s="8"/>
      <c r="K5" s="8"/>
      <c r="L5" s="8"/>
      <c r="M5" s="8"/>
      <c r="N5" s="8"/>
      <c r="O5" s="8"/>
      <c r="P5" s="8"/>
      <c r="Q5" s="8"/>
      <c r="R5" s="8"/>
      <c r="S5" s="8"/>
      <c r="T5" s="8"/>
      <c r="U5" s="8"/>
      <c r="V5" s="5"/>
    </row>
    <row r="6" spans="1:22" ht="15.6" x14ac:dyDescent="0.3">
      <c r="A6" s="6"/>
      <c r="B6" s="11" t="s">
        <v>145</v>
      </c>
      <c r="C6" s="8"/>
      <c r="D6" s="8"/>
      <c r="E6" s="8"/>
      <c r="F6" s="8"/>
      <c r="G6" s="8"/>
      <c r="H6" s="8"/>
      <c r="I6" s="8"/>
      <c r="J6" s="8"/>
      <c r="K6" s="8"/>
      <c r="L6" s="8"/>
      <c r="M6" s="8"/>
      <c r="N6" s="8"/>
      <c r="O6" s="8"/>
      <c r="P6" s="8"/>
      <c r="Q6" s="8"/>
      <c r="R6" s="8"/>
      <c r="S6" s="8"/>
      <c r="T6" s="8"/>
      <c r="U6" s="8"/>
      <c r="V6" s="5"/>
    </row>
    <row r="7" spans="1:22" ht="15.6" x14ac:dyDescent="0.3">
      <c r="A7" s="6"/>
      <c r="B7" s="11" t="s">
        <v>144</v>
      </c>
      <c r="C7" s="8"/>
      <c r="D7" s="8"/>
      <c r="E7" s="8"/>
      <c r="F7" s="8"/>
      <c r="G7" s="8"/>
      <c r="H7" s="8"/>
      <c r="I7" s="8"/>
      <c r="J7" s="8"/>
      <c r="K7" s="8"/>
      <c r="L7" s="8"/>
      <c r="M7" s="8"/>
      <c r="N7" s="8"/>
      <c r="O7" s="8"/>
      <c r="P7" s="8"/>
      <c r="Q7" s="8"/>
      <c r="R7" s="8"/>
      <c r="S7" s="8"/>
      <c r="T7" s="8"/>
      <c r="U7" s="8"/>
      <c r="V7" s="5"/>
    </row>
    <row r="8" spans="1:22" ht="15.6" x14ac:dyDescent="0.3">
      <c r="A8" s="6"/>
      <c r="B8" s="11"/>
      <c r="C8" s="8"/>
      <c r="D8" s="8"/>
      <c r="E8" s="8"/>
      <c r="F8" s="8"/>
      <c r="G8" s="8"/>
      <c r="H8" s="8"/>
      <c r="I8" s="8"/>
      <c r="J8" s="8"/>
      <c r="K8" s="8"/>
      <c r="L8" s="8"/>
      <c r="M8" s="8"/>
      <c r="N8" s="8"/>
      <c r="O8" s="8"/>
      <c r="P8" s="8"/>
      <c r="Q8" s="8"/>
      <c r="R8" s="8"/>
      <c r="S8" s="8"/>
      <c r="T8" s="8"/>
      <c r="U8" s="8"/>
      <c r="V8" s="5"/>
    </row>
    <row r="9" spans="1:22" ht="17.399999999999999" x14ac:dyDescent="0.3">
      <c r="A9" s="6"/>
      <c r="B9" s="147" t="s">
        <v>173</v>
      </c>
      <c r="C9" s="8"/>
      <c r="D9" s="8"/>
      <c r="E9" s="8"/>
      <c r="F9" s="8"/>
      <c r="G9" s="8"/>
      <c r="H9" s="8"/>
      <c r="I9" s="8"/>
      <c r="J9" s="148" t="s">
        <v>174</v>
      </c>
      <c r="K9" s="8"/>
      <c r="L9" s="148"/>
      <c r="M9" s="8"/>
      <c r="N9" s="8"/>
      <c r="O9" s="8"/>
      <c r="P9" s="8"/>
      <c r="Q9" s="8"/>
      <c r="R9" s="8"/>
      <c r="S9" s="8"/>
      <c r="T9" s="8"/>
      <c r="U9" s="8"/>
      <c r="V9" s="5"/>
    </row>
    <row r="10" spans="1:22" ht="15.6" x14ac:dyDescent="0.3">
      <c r="A10" s="6"/>
      <c r="B10" s="11"/>
      <c r="C10" s="13"/>
      <c r="D10" s="13"/>
      <c r="E10" s="13"/>
      <c r="F10" s="8"/>
      <c r="G10" s="8"/>
      <c r="H10" s="8"/>
      <c r="I10" s="8"/>
      <c r="J10" s="8"/>
      <c r="K10" s="8"/>
      <c r="L10" s="8"/>
      <c r="M10" s="8"/>
      <c r="N10" s="8"/>
      <c r="O10" s="8"/>
      <c r="P10" s="8"/>
      <c r="Q10" s="8"/>
      <c r="R10" s="8"/>
      <c r="S10" s="8"/>
      <c r="T10" s="8"/>
      <c r="U10" s="8"/>
      <c r="V10" s="5"/>
    </row>
    <row r="11" spans="1:22" ht="15.6" x14ac:dyDescent="0.3">
      <c r="A11" s="6"/>
      <c r="B11" s="14" t="s">
        <v>0</v>
      </c>
      <c r="C11" s="8"/>
      <c r="D11" s="8"/>
      <c r="E11" s="8"/>
      <c r="F11" s="8"/>
      <c r="G11" s="8"/>
      <c r="H11" s="8"/>
      <c r="I11" s="8"/>
      <c r="J11" s="8"/>
      <c r="K11" s="8"/>
      <c r="L11" s="8"/>
      <c r="M11" s="8"/>
      <c r="N11" s="8"/>
      <c r="O11" s="8"/>
      <c r="P11" s="8"/>
      <c r="Q11" s="8"/>
      <c r="R11" s="8"/>
      <c r="S11" s="8"/>
      <c r="T11" s="8"/>
      <c r="U11" s="8"/>
      <c r="V11" s="5"/>
    </row>
    <row r="12" spans="1:22" ht="16.2" thickBot="1" x14ac:dyDescent="0.35">
      <c r="A12" s="6"/>
      <c r="B12" s="13"/>
      <c r="C12" s="8"/>
      <c r="D12" s="8"/>
      <c r="E12" s="8"/>
      <c r="F12" s="8"/>
      <c r="G12" s="8"/>
      <c r="H12" s="8"/>
      <c r="I12" s="8"/>
      <c r="J12" s="8"/>
      <c r="K12" s="8"/>
      <c r="L12" s="8"/>
      <c r="M12" s="8"/>
      <c r="N12" s="8"/>
      <c r="O12" s="8"/>
      <c r="P12" s="8"/>
      <c r="Q12" s="8"/>
      <c r="R12" s="8"/>
      <c r="S12" s="8"/>
      <c r="T12" s="8"/>
      <c r="U12" s="8"/>
      <c r="V12" s="5"/>
    </row>
    <row r="13" spans="1:22" ht="15.6" x14ac:dyDescent="0.3">
      <c r="A13" s="2"/>
      <c r="B13" s="4"/>
      <c r="C13" s="4"/>
      <c r="D13" s="4"/>
      <c r="E13" s="4"/>
      <c r="F13" s="4"/>
      <c r="G13" s="4"/>
      <c r="H13" s="4"/>
      <c r="I13" s="4"/>
      <c r="J13" s="4"/>
      <c r="K13" s="4"/>
      <c r="L13" s="4"/>
      <c r="M13" s="4"/>
      <c r="N13" s="4"/>
      <c r="O13" s="4"/>
      <c r="P13" s="4"/>
      <c r="Q13" s="4"/>
      <c r="R13" s="4"/>
      <c r="S13" s="4"/>
      <c r="T13" s="4"/>
      <c r="U13" s="4"/>
      <c r="V13" s="5"/>
    </row>
    <row r="14" spans="1:22" ht="15.6" x14ac:dyDescent="0.3">
      <c r="A14" s="6"/>
      <c r="B14" s="14" t="s">
        <v>1</v>
      </c>
      <c r="C14" s="15"/>
      <c r="D14" s="15"/>
      <c r="E14" s="15"/>
      <c r="F14" s="15"/>
      <c r="G14" s="15"/>
      <c r="H14" s="15"/>
      <c r="I14" s="15"/>
      <c r="J14" s="15"/>
      <c r="K14" s="15"/>
      <c r="L14" s="15"/>
      <c r="M14" s="15"/>
      <c r="N14" s="15"/>
      <c r="O14" s="15"/>
      <c r="P14" s="15"/>
      <c r="Q14" s="15"/>
      <c r="R14" s="15"/>
      <c r="S14" s="15"/>
      <c r="T14" s="16" t="s">
        <v>230</v>
      </c>
      <c r="U14" s="15"/>
      <c r="V14" s="5"/>
    </row>
    <row r="15" spans="1:22" ht="15.6" x14ac:dyDescent="0.3">
      <c r="A15" s="6"/>
      <c r="B15" s="14" t="s">
        <v>2</v>
      </c>
      <c r="C15" s="15"/>
      <c r="D15" s="15"/>
      <c r="E15" s="15"/>
      <c r="F15" s="15"/>
      <c r="G15" s="15"/>
      <c r="H15" s="18"/>
      <c r="I15" s="18"/>
      <c r="J15" s="18"/>
      <c r="K15" s="18"/>
      <c r="L15" s="18"/>
      <c r="M15" s="18"/>
      <c r="N15" s="18"/>
      <c r="O15" s="18"/>
      <c r="P15" s="18" t="s">
        <v>107</v>
      </c>
      <c r="Q15" s="137">
        <v>0.40749999999999997</v>
      </c>
      <c r="R15" s="17" t="s">
        <v>146</v>
      </c>
      <c r="S15" s="137">
        <v>0.59250000000000003</v>
      </c>
      <c r="T15" s="16"/>
      <c r="U15" s="15"/>
      <c r="V15" s="5"/>
    </row>
    <row r="16" spans="1:22" ht="15.6" x14ac:dyDescent="0.3">
      <c r="A16" s="6"/>
      <c r="B16" s="14" t="s">
        <v>3</v>
      </c>
      <c r="C16" s="15"/>
      <c r="D16" s="15"/>
      <c r="E16" s="15"/>
      <c r="F16" s="15"/>
      <c r="G16" s="15"/>
      <c r="H16" s="18"/>
      <c r="I16" s="18"/>
      <c r="J16" s="18"/>
      <c r="K16" s="18"/>
      <c r="L16" s="18"/>
      <c r="M16" s="18"/>
      <c r="N16" s="18"/>
      <c r="O16" s="18"/>
      <c r="P16" s="18" t="s">
        <v>107</v>
      </c>
      <c r="Q16" s="137">
        <v>0.442112</v>
      </c>
      <c r="R16" s="17" t="s">
        <v>146</v>
      </c>
      <c r="S16" s="137">
        <v>0.55789999999999995</v>
      </c>
      <c r="T16" s="16"/>
      <c r="U16" s="15"/>
      <c r="V16" s="5"/>
    </row>
    <row r="17" spans="1:22" ht="15.6" x14ac:dyDescent="0.3">
      <c r="A17" s="6"/>
      <c r="B17" s="14" t="s">
        <v>4</v>
      </c>
      <c r="C17" s="15"/>
      <c r="D17" s="15"/>
      <c r="E17" s="15"/>
      <c r="F17" s="15"/>
      <c r="G17" s="15"/>
      <c r="H17" s="15"/>
      <c r="I17" s="15"/>
      <c r="J17" s="15"/>
      <c r="K17" s="15"/>
      <c r="L17" s="15"/>
      <c r="M17" s="15"/>
      <c r="N17" s="15"/>
      <c r="O17" s="15"/>
      <c r="P17" s="15"/>
      <c r="Q17" s="15"/>
      <c r="R17" s="15"/>
      <c r="S17" s="15"/>
      <c r="T17" s="19">
        <v>38799</v>
      </c>
      <c r="U17" s="15"/>
      <c r="V17" s="5"/>
    </row>
    <row r="18" spans="1:22" ht="15.6" x14ac:dyDescent="0.3">
      <c r="A18" s="6"/>
      <c r="B18" s="14" t="s">
        <v>5</v>
      </c>
      <c r="C18" s="15"/>
      <c r="D18" s="15"/>
      <c r="E18" s="15"/>
      <c r="F18" s="15"/>
      <c r="G18" s="15"/>
      <c r="H18" s="15"/>
      <c r="I18" s="15"/>
      <c r="J18" s="15"/>
      <c r="K18" s="15"/>
      <c r="L18" s="15"/>
      <c r="M18" s="15"/>
      <c r="N18" s="15"/>
      <c r="O18" s="15"/>
      <c r="P18" s="15"/>
      <c r="Q18" s="15"/>
      <c r="R18" s="15"/>
      <c r="S18" s="15"/>
      <c r="T18" s="19">
        <v>39743</v>
      </c>
      <c r="U18" s="15"/>
      <c r="V18" s="5"/>
    </row>
    <row r="19" spans="1:22" ht="15.6" x14ac:dyDescent="0.3">
      <c r="A19" s="6"/>
      <c r="B19" s="8"/>
      <c r="C19" s="8"/>
      <c r="D19" s="8"/>
      <c r="E19" s="8"/>
      <c r="F19" s="8"/>
      <c r="G19" s="8"/>
      <c r="H19" s="8"/>
      <c r="I19" s="8"/>
      <c r="J19" s="8"/>
      <c r="K19" s="8"/>
      <c r="L19" s="8"/>
      <c r="M19" s="8"/>
      <c r="N19" s="8"/>
      <c r="O19" s="8"/>
      <c r="P19" s="8"/>
      <c r="Q19" s="8"/>
      <c r="R19" s="8"/>
      <c r="S19" s="8"/>
      <c r="T19" s="20"/>
      <c r="U19" s="8"/>
      <c r="V19" s="5"/>
    </row>
    <row r="20" spans="1:22" ht="15.6" x14ac:dyDescent="0.3">
      <c r="A20" s="6"/>
      <c r="B20" s="21" t="s">
        <v>6</v>
      </c>
      <c r="C20" s="8"/>
      <c r="D20" s="8"/>
      <c r="E20" s="8"/>
      <c r="F20" s="8"/>
      <c r="G20" s="8"/>
      <c r="H20" s="8"/>
      <c r="I20" s="8"/>
      <c r="J20" s="8"/>
      <c r="K20" s="8"/>
      <c r="L20" s="8"/>
      <c r="M20" s="8"/>
      <c r="N20" s="8"/>
      <c r="O20" s="8"/>
      <c r="P20" s="8"/>
      <c r="Q20" s="8"/>
      <c r="R20" s="20" t="s">
        <v>108</v>
      </c>
      <c r="S20" s="8"/>
      <c r="T20" s="162"/>
      <c r="U20" s="8"/>
      <c r="V20" s="5"/>
    </row>
    <row r="21" spans="1:22" ht="15.6" x14ac:dyDescent="0.3">
      <c r="A21" s="6"/>
      <c r="B21" s="8"/>
      <c r="C21" s="8"/>
      <c r="D21" s="8"/>
      <c r="E21" s="8"/>
      <c r="F21" s="8"/>
      <c r="G21" s="8"/>
      <c r="H21" s="8"/>
      <c r="I21" s="8"/>
      <c r="J21" s="8"/>
      <c r="K21" s="8"/>
      <c r="L21" s="8"/>
      <c r="M21" s="8"/>
      <c r="N21" s="8"/>
      <c r="O21" s="8"/>
      <c r="P21" s="8"/>
      <c r="Q21" s="8"/>
      <c r="R21" s="8"/>
      <c r="S21" s="8"/>
      <c r="T21" s="22"/>
      <c r="U21" s="8"/>
      <c r="V21" s="5"/>
    </row>
    <row r="22" spans="1:22" ht="15.6" x14ac:dyDescent="0.3">
      <c r="A22" s="6"/>
      <c r="B22" s="8"/>
      <c r="C22" s="112"/>
      <c r="D22" s="112" t="s">
        <v>184</v>
      </c>
      <c r="E22" s="112"/>
      <c r="F22" s="112" t="s">
        <v>185</v>
      </c>
      <c r="G22" s="112"/>
      <c r="H22" s="112" t="s">
        <v>186</v>
      </c>
      <c r="I22" s="112"/>
      <c r="J22" s="112" t="s">
        <v>187</v>
      </c>
      <c r="K22" s="112"/>
      <c r="L22" s="112" t="s">
        <v>188</v>
      </c>
      <c r="M22" s="112"/>
      <c r="N22" s="112" t="s">
        <v>189</v>
      </c>
      <c r="O22" s="112"/>
      <c r="P22" s="112"/>
      <c r="Q22" s="113"/>
      <c r="R22" s="23"/>
      <c r="S22" s="162"/>
      <c r="T22" s="162"/>
      <c r="U22" s="8"/>
      <c r="V22" s="5"/>
    </row>
    <row r="23" spans="1:22" ht="15.6" x14ac:dyDescent="0.3">
      <c r="A23" s="24"/>
      <c r="B23" s="25" t="s">
        <v>7</v>
      </c>
      <c r="C23" s="26"/>
      <c r="D23" s="26" t="s">
        <v>222</v>
      </c>
      <c r="E23" s="26"/>
      <c r="F23" s="26" t="s">
        <v>147</v>
      </c>
      <c r="G23" s="26"/>
      <c r="H23" s="26" t="s">
        <v>147</v>
      </c>
      <c r="I23" s="26"/>
      <c r="J23" s="26" t="s">
        <v>190</v>
      </c>
      <c r="K23" s="26"/>
      <c r="L23" s="26" t="s">
        <v>190</v>
      </c>
      <c r="M23" s="26"/>
      <c r="N23" s="26" t="s">
        <v>148</v>
      </c>
      <c r="O23" s="26"/>
      <c r="P23" s="26"/>
      <c r="Q23" s="26"/>
      <c r="R23" s="26"/>
      <c r="S23" s="163"/>
      <c r="T23" s="163"/>
      <c r="U23" s="25"/>
      <c r="V23" s="5"/>
    </row>
    <row r="24" spans="1:22" ht="15.6" x14ac:dyDescent="0.3">
      <c r="A24" s="24"/>
      <c r="B24" s="25" t="s">
        <v>8</v>
      </c>
      <c r="C24" s="26"/>
      <c r="D24" s="26" t="s">
        <v>223</v>
      </c>
      <c r="E24" s="26"/>
      <c r="F24" s="26" t="s">
        <v>149</v>
      </c>
      <c r="G24" s="26"/>
      <c r="H24" s="26" t="s">
        <v>149</v>
      </c>
      <c r="I24" s="26"/>
      <c r="J24" s="26" t="s">
        <v>172</v>
      </c>
      <c r="K24" s="26"/>
      <c r="L24" s="26" t="s">
        <v>172</v>
      </c>
      <c r="M24" s="26"/>
      <c r="N24" s="26" t="s">
        <v>150</v>
      </c>
      <c r="O24" s="26"/>
      <c r="P24" s="26"/>
      <c r="Q24" s="26"/>
      <c r="R24" s="26"/>
      <c r="S24" s="163"/>
      <c r="T24" s="163"/>
      <c r="U24" s="25"/>
      <c r="V24" s="5"/>
    </row>
    <row r="25" spans="1:22" ht="15.6" x14ac:dyDescent="0.3">
      <c r="A25" s="28"/>
      <c r="B25" s="131" t="s">
        <v>198</v>
      </c>
      <c r="C25" s="123"/>
      <c r="D25" s="26" t="s">
        <v>224</v>
      </c>
      <c r="E25" s="26"/>
      <c r="F25" s="26" t="s">
        <v>149</v>
      </c>
      <c r="G25" s="26"/>
      <c r="H25" s="26" t="s">
        <v>149</v>
      </c>
      <c r="I25" s="26"/>
      <c r="J25" s="26" t="s">
        <v>172</v>
      </c>
      <c r="K25" s="26"/>
      <c r="L25" s="26" t="s">
        <v>172</v>
      </c>
      <c r="M25" s="26"/>
      <c r="N25" s="26" t="s">
        <v>150</v>
      </c>
      <c r="O25" s="26"/>
      <c r="P25" s="26"/>
      <c r="Q25" s="123"/>
      <c r="R25" s="26"/>
      <c r="S25" s="163"/>
      <c r="T25" s="163"/>
      <c r="U25" s="25"/>
      <c r="V25" s="5"/>
    </row>
    <row r="26" spans="1:22" ht="15.6" x14ac:dyDescent="0.3">
      <c r="A26" s="28"/>
      <c r="B26" s="29" t="s">
        <v>9</v>
      </c>
      <c r="C26" s="123"/>
      <c r="D26" s="123" t="s">
        <v>222</v>
      </c>
      <c r="E26" s="123"/>
      <c r="F26" s="123" t="s">
        <v>147</v>
      </c>
      <c r="G26" s="123"/>
      <c r="H26" s="123" t="s">
        <v>147</v>
      </c>
      <c r="I26" s="123"/>
      <c r="J26" s="123" t="s">
        <v>190</v>
      </c>
      <c r="K26" s="123"/>
      <c r="L26" s="123" t="s">
        <v>190</v>
      </c>
      <c r="M26" s="123"/>
      <c r="N26" s="123" t="s">
        <v>148</v>
      </c>
      <c r="O26" s="123"/>
      <c r="P26" s="123"/>
      <c r="Q26" s="123"/>
      <c r="R26" s="26"/>
      <c r="S26" s="163"/>
      <c r="T26" s="163"/>
      <c r="U26" s="25"/>
      <c r="V26" s="5"/>
    </row>
    <row r="27" spans="1:22" ht="15.6" x14ac:dyDescent="0.3">
      <c r="A27" s="24"/>
      <c r="B27" s="29" t="s">
        <v>199</v>
      </c>
      <c r="C27" s="26"/>
      <c r="D27" s="123" t="s">
        <v>223</v>
      </c>
      <c r="E27" s="123"/>
      <c r="F27" s="123" t="s">
        <v>149</v>
      </c>
      <c r="G27" s="123"/>
      <c r="H27" s="123" t="s">
        <v>149</v>
      </c>
      <c r="I27" s="123"/>
      <c r="J27" s="123" t="s">
        <v>172</v>
      </c>
      <c r="K27" s="123"/>
      <c r="L27" s="123" t="s">
        <v>172</v>
      </c>
      <c r="M27" s="123"/>
      <c r="N27" s="123" t="s">
        <v>150</v>
      </c>
      <c r="O27" s="123"/>
      <c r="P27" s="123"/>
      <c r="Q27" s="26"/>
      <c r="R27" s="30"/>
      <c r="S27" s="163"/>
      <c r="T27" s="163"/>
      <c r="U27" s="25"/>
      <c r="V27" s="5"/>
    </row>
    <row r="28" spans="1:22" ht="15.6" x14ac:dyDescent="0.3">
      <c r="A28" s="24"/>
      <c r="B28" s="153" t="s">
        <v>200</v>
      </c>
      <c r="C28" s="26"/>
      <c r="D28" s="123" t="s">
        <v>224</v>
      </c>
      <c r="E28" s="123"/>
      <c r="F28" s="123" t="s">
        <v>149</v>
      </c>
      <c r="G28" s="123"/>
      <c r="H28" s="123" t="s">
        <v>149</v>
      </c>
      <c r="I28" s="123"/>
      <c r="J28" s="123" t="s">
        <v>172</v>
      </c>
      <c r="K28" s="123"/>
      <c r="L28" s="123" t="s">
        <v>172</v>
      </c>
      <c r="M28" s="123"/>
      <c r="N28" s="123" t="s">
        <v>150</v>
      </c>
      <c r="O28" s="123"/>
      <c r="P28" s="123"/>
      <c r="Q28" s="26"/>
      <c r="R28" s="30"/>
      <c r="S28" s="163"/>
      <c r="T28" s="163"/>
      <c r="U28" s="25"/>
      <c r="V28" s="5"/>
    </row>
    <row r="29" spans="1:22" ht="15.6" x14ac:dyDescent="0.3">
      <c r="A29" s="24"/>
      <c r="B29" s="25" t="s">
        <v>10</v>
      </c>
      <c r="C29" s="32"/>
      <c r="D29" s="26" t="s">
        <v>237</v>
      </c>
      <c r="E29" s="26"/>
      <c r="F29" s="30" t="s">
        <v>238</v>
      </c>
      <c r="G29" s="26"/>
      <c r="H29" s="26" t="s">
        <v>239</v>
      </c>
      <c r="I29" s="26"/>
      <c r="J29" s="26" t="s">
        <v>240</v>
      </c>
      <c r="K29" s="26"/>
      <c r="L29" s="26" t="s">
        <v>241</v>
      </c>
      <c r="M29" s="26"/>
      <c r="N29" s="26" t="s">
        <v>242</v>
      </c>
      <c r="O29" s="26"/>
      <c r="P29" s="26"/>
      <c r="Q29" s="31"/>
      <c r="R29" s="31"/>
      <c r="S29" s="164"/>
      <c r="T29" s="31"/>
      <c r="U29" s="34"/>
      <c r="V29" s="5"/>
    </row>
    <row r="30" spans="1:22" ht="15.6" x14ac:dyDescent="0.3">
      <c r="A30" s="24"/>
      <c r="B30" s="25" t="s">
        <v>10</v>
      </c>
      <c r="C30" s="32"/>
      <c r="D30" s="26" t="s">
        <v>236</v>
      </c>
      <c r="E30" s="26"/>
      <c r="F30" s="30" t="s">
        <v>124</v>
      </c>
      <c r="G30" s="26"/>
      <c r="H30" s="26" t="s">
        <v>124</v>
      </c>
      <c r="I30" s="26"/>
      <c r="J30" s="26" t="s">
        <v>124</v>
      </c>
      <c r="K30" s="26"/>
      <c r="L30" s="26" t="s">
        <v>124</v>
      </c>
      <c r="M30" s="26"/>
      <c r="N30" s="26" t="s">
        <v>124</v>
      </c>
      <c r="O30" s="26"/>
      <c r="P30" s="26"/>
      <c r="Q30" s="31"/>
      <c r="R30" s="31"/>
      <c r="S30" s="164"/>
      <c r="T30" s="31"/>
      <c r="U30" s="34"/>
      <c r="V30" s="5"/>
    </row>
    <row r="31" spans="1:22" ht="15.6" x14ac:dyDescent="0.3">
      <c r="A31" s="28"/>
      <c r="B31" s="25" t="s">
        <v>139</v>
      </c>
      <c r="C31" s="36"/>
      <c r="D31" s="146">
        <v>985000</v>
      </c>
      <c r="E31" s="32"/>
      <c r="F31" s="31">
        <v>149500</v>
      </c>
      <c r="G31" s="31"/>
      <c r="H31" s="124">
        <v>219700</v>
      </c>
      <c r="I31" s="31"/>
      <c r="J31" s="31">
        <v>16000</v>
      </c>
      <c r="K31" s="31"/>
      <c r="L31" s="124">
        <v>82400</v>
      </c>
      <c r="M31" s="31"/>
      <c r="N31" s="124">
        <v>87500</v>
      </c>
      <c r="O31" s="31"/>
      <c r="P31" s="124"/>
      <c r="Q31" s="35"/>
      <c r="R31" s="35"/>
      <c r="S31" s="37"/>
      <c r="T31" s="35"/>
      <c r="U31" s="34"/>
      <c r="V31" s="5"/>
    </row>
    <row r="32" spans="1:22" ht="15.6" x14ac:dyDescent="0.3">
      <c r="A32" s="24"/>
      <c r="B32" s="25" t="s">
        <v>138</v>
      </c>
      <c r="C32" s="32"/>
      <c r="D32" s="146">
        <f>D38*D31</f>
        <v>598457.33649999998</v>
      </c>
      <c r="E32" s="32"/>
      <c r="F32" s="31">
        <f>F38*F31</f>
        <v>90831.89439999999</v>
      </c>
      <c r="G32" s="31"/>
      <c r="H32" s="124">
        <f>H38*H31</f>
        <v>133483.39264000001</v>
      </c>
      <c r="I32" s="31"/>
      <c r="J32" s="31">
        <f>+J31</f>
        <v>16000</v>
      </c>
      <c r="K32" s="31"/>
      <c r="L32" s="124">
        <f>+L31</f>
        <v>82400</v>
      </c>
      <c r="M32" s="31"/>
      <c r="N32" s="124">
        <f>+N31</f>
        <v>87500</v>
      </c>
      <c r="O32" s="31"/>
      <c r="P32" s="124"/>
      <c r="Q32" s="31"/>
      <c r="R32" s="31"/>
      <c r="S32" s="164"/>
      <c r="T32" s="31"/>
      <c r="U32" s="34"/>
      <c r="V32" s="5"/>
    </row>
    <row r="33" spans="1:22" ht="15.6" x14ac:dyDescent="0.3">
      <c r="A33" s="24"/>
      <c r="B33" s="29" t="s">
        <v>140</v>
      </c>
      <c r="C33" s="32"/>
      <c r="D33" s="151">
        <f>D37*D31</f>
        <v>578383.43050000002</v>
      </c>
      <c r="E33" s="36"/>
      <c r="F33" s="35">
        <f>F37*F31</f>
        <v>87785.14420000001</v>
      </c>
      <c r="G33" s="35"/>
      <c r="H33" s="125">
        <f>H31*H37</f>
        <v>129005.99452000001</v>
      </c>
      <c r="I33" s="35"/>
      <c r="J33" s="35">
        <f>J31*J37</f>
        <v>16000</v>
      </c>
      <c r="K33" s="35"/>
      <c r="L33" s="125">
        <f>L31*L37</f>
        <v>82400</v>
      </c>
      <c r="M33" s="35"/>
      <c r="N33" s="125">
        <f>N31*N37</f>
        <v>87500</v>
      </c>
      <c r="O33" s="35"/>
      <c r="P33" s="125"/>
      <c r="Q33" s="31"/>
      <c r="R33" s="31"/>
      <c r="S33" s="164"/>
      <c r="T33" s="31"/>
      <c r="U33" s="34"/>
      <c r="V33" s="5"/>
    </row>
    <row r="34" spans="1:22" ht="15.6" x14ac:dyDescent="0.3">
      <c r="A34" s="28"/>
      <c r="B34" s="25" t="s">
        <v>283</v>
      </c>
      <c r="C34" s="36"/>
      <c r="D34" s="31">
        <v>567282</v>
      </c>
      <c r="E34" s="32"/>
      <c r="F34" s="31">
        <v>149500</v>
      </c>
      <c r="G34" s="31"/>
      <c r="H34" s="31">
        <v>150716</v>
      </c>
      <c r="I34" s="31"/>
      <c r="J34" s="31">
        <v>16000</v>
      </c>
      <c r="K34" s="31"/>
      <c r="L34" s="31">
        <v>56527</v>
      </c>
      <c r="M34" s="31"/>
      <c r="N34" s="31">
        <v>60025</v>
      </c>
      <c r="O34" s="31"/>
      <c r="P34" s="31"/>
      <c r="Q34" s="35"/>
      <c r="R34" s="35"/>
      <c r="S34" s="37"/>
      <c r="T34" s="154">
        <f>SUM(C34:P34)</f>
        <v>1000050</v>
      </c>
      <c r="U34" s="34"/>
      <c r="V34" s="5"/>
    </row>
    <row r="35" spans="1:22" ht="15.6" x14ac:dyDescent="0.3">
      <c r="A35" s="28"/>
      <c r="B35" s="25" t="s">
        <v>284</v>
      </c>
      <c r="C35" s="126"/>
      <c r="D35" s="31">
        <f>D38*D34</f>
        <v>344664.0352938</v>
      </c>
      <c r="E35" s="32"/>
      <c r="F35" s="31">
        <f>F38*F34</f>
        <v>90831.89439999999</v>
      </c>
      <c r="G35" s="31"/>
      <c r="H35" s="31">
        <f>H38*H34</f>
        <v>91570.700979200003</v>
      </c>
      <c r="I35" s="31"/>
      <c r="J35" s="31">
        <f>+J34</f>
        <v>16000</v>
      </c>
      <c r="K35" s="31"/>
      <c r="L35" s="31">
        <f>+L34</f>
        <v>56527</v>
      </c>
      <c r="M35" s="31"/>
      <c r="N35" s="31">
        <f>+N34</f>
        <v>60025</v>
      </c>
      <c r="O35" s="31"/>
      <c r="P35" s="31"/>
      <c r="Q35" s="31"/>
      <c r="R35" s="31"/>
      <c r="S35" s="164"/>
      <c r="T35" s="154">
        <f>SUM(C35:P35)</f>
        <v>659618.63067300001</v>
      </c>
      <c r="U35" s="34"/>
      <c r="V35" s="5"/>
    </row>
    <row r="36" spans="1:22" ht="15.6" x14ac:dyDescent="0.3">
      <c r="A36" s="28"/>
      <c r="B36" s="29" t="s">
        <v>285</v>
      </c>
      <c r="C36" s="126"/>
      <c r="D36" s="35">
        <f>D37*D34</f>
        <v>333103.0550466</v>
      </c>
      <c r="E36" s="36"/>
      <c r="F36" s="35">
        <f>F37*F34</f>
        <v>87785.14420000001</v>
      </c>
      <c r="G36" s="35"/>
      <c r="H36" s="35">
        <f>H37*H34</f>
        <v>88499.169185600011</v>
      </c>
      <c r="I36" s="35"/>
      <c r="J36" s="35">
        <f>+J34</f>
        <v>16000</v>
      </c>
      <c r="K36" s="35"/>
      <c r="L36" s="35">
        <f>+L34</f>
        <v>56527</v>
      </c>
      <c r="M36" s="35"/>
      <c r="N36" s="35">
        <f>+N34</f>
        <v>60025</v>
      </c>
      <c r="O36" s="35"/>
      <c r="P36" s="35"/>
      <c r="Q36" s="128"/>
      <c r="R36" s="128"/>
      <c r="S36" s="164"/>
      <c r="T36" s="155">
        <f>SUM(C36:P36)+1</f>
        <v>641940.36843220005</v>
      </c>
      <c r="U36" s="34"/>
      <c r="V36" s="5"/>
    </row>
    <row r="37" spans="1:22" ht="15.6" x14ac:dyDescent="0.3">
      <c r="A37" s="24"/>
      <c r="B37" s="122" t="s">
        <v>136</v>
      </c>
      <c r="C37" s="25"/>
      <c r="D37" s="168">
        <v>0.58719129999999997</v>
      </c>
      <c r="E37" s="136"/>
      <c r="F37" s="168">
        <v>0.58719160000000004</v>
      </c>
      <c r="G37" s="135"/>
      <c r="H37" s="168">
        <v>0.58719160000000004</v>
      </c>
      <c r="I37" s="135"/>
      <c r="J37" s="168">
        <v>1</v>
      </c>
      <c r="K37" s="135"/>
      <c r="L37" s="168">
        <v>1</v>
      </c>
      <c r="M37" s="135"/>
      <c r="N37" s="168">
        <v>1</v>
      </c>
      <c r="O37" s="135"/>
      <c r="P37" s="135"/>
      <c r="Q37" s="30"/>
      <c r="R37" s="30"/>
      <c r="S37" s="163"/>
      <c r="T37" s="163"/>
      <c r="U37" s="25"/>
      <c r="V37" s="5"/>
    </row>
    <row r="38" spans="1:22" ht="15.6" x14ac:dyDescent="0.3">
      <c r="A38" s="24"/>
      <c r="B38" s="122" t="s">
        <v>137</v>
      </c>
      <c r="C38" s="25"/>
      <c r="D38" s="168">
        <v>0.60757090000000002</v>
      </c>
      <c r="E38" s="136"/>
      <c r="F38" s="168">
        <v>0.60757119999999998</v>
      </c>
      <c r="G38" s="135"/>
      <c r="H38" s="168">
        <v>0.60757119999999998</v>
      </c>
      <c r="I38" s="135"/>
      <c r="J38" s="135">
        <v>1</v>
      </c>
      <c r="K38" s="135"/>
      <c r="L38" s="135">
        <v>1</v>
      </c>
      <c r="M38" s="135"/>
      <c r="N38" s="135">
        <v>1</v>
      </c>
      <c r="O38" s="135"/>
      <c r="P38" s="135"/>
      <c r="Q38" s="39"/>
      <c r="R38" s="38"/>
      <c r="S38" s="163"/>
      <c r="T38" s="39"/>
      <c r="U38" s="25"/>
      <c r="V38" s="5"/>
    </row>
    <row r="39" spans="1:22" ht="15.6" x14ac:dyDescent="0.3">
      <c r="A39" s="24"/>
      <c r="B39" s="25" t="s">
        <v>11</v>
      </c>
      <c r="C39" s="25"/>
      <c r="D39" s="30" t="s">
        <v>275</v>
      </c>
      <c r="E39" s="25"/>
      <c r="F39" s="30" t="s">
        <v>231</v>
      </c>
      <c r="G39" s="30"/>
      <c r="H39" s="30" t="s">
        <v>231</v>
      </c>
      <c r="I39" s="30"/>
      <c r="J39" s="30" t="s">
        <v>232</v>
      </c>
      <c r="K39" s="30"/>
      <c r="L39" s="30" t="s">
        <v>232</v>
      </c>
      <c r="M39" s="30"/>
      <c r="N39" s="30" t="s">
        <v>233</v>
      </c>
      <c r="O39" s="30"/>
      <c r="P39" s="30"/>
      <c r="Q39" s="39"/>
      <c r="R39" s="38"/>
      <c r="S39" s="163"/>
      <c r="T39" s="163"/>
      <c r="U39" s="25"/>
      <c r="V39" s="5"/>
    </row>
    <row r="40" spans="1:22" ht="15.6" x14ac:dyDescent="0.3">
      <c r="A40" s="24"/>
      <c r="B40" s="25" t="s">
        <v>12</v>
      </c>
      <c r="C40" s="25"/>
      <c r="D40" s="38">
        <v>2.5874999999999999E-2</v>
      </c>
      <c r="E40" s="25"/>
      <c r="F40" s="38">
        <v>5.9393799999999997E-2</v>
      </c>
      <c r="G40" s="39"/>
      <c r="H40" s="38">
        <v>5.083E-2</v>
      </c>
      <c r="I40" s="39"/>
      <c r="J40" s="38">
        <v>6.0593800000000003E-2</v>
      </c>
      <c r="K40" s="39"/>
      <c r="L40" s="38">
        <v>5.203E-2</v>
      </c>
      <c r="M40" s="39"/>
      <c r="N40" s="38">
        <v>5.4129999999999998E-2</v>
      </c>
      <c r="O40" s="39"/>
      <c r="P40" s="38"/>
      <c r="Q40" s="39"/>
      <c r="R40" s="38"/>
      <c r="S40" s="163"/>
      <c r="T40" s="30"/>
      <c r="U40" s="25"/>
      <c r="V40" s="5"/>
    </row>
    <row r="41" spans="1:22" ht="15.6" x14ac:dyDescent="0.3">
      <c r="A41" s="24"/>
      <c r="B41" s="25" t="s">
        <v>13</v>
      </c>
      <c r="C41" s="25"/>
      <c r="D41" s="38">
        <v>2.5712499999999999E-2</v>
      </c>
      <c r="E41" s="25"/>
      <c r="F41" s="38">
        <v>6.04938E-2</v>
      </c>
      <c r="G41" s="39"/>
      <c r="H41" s="38">
        <v>4.8669999999999998E-2</v>
      </c>
      <c r="I41" s="39"/>
      <c r="J41" s="38">
        <v>6.16938E-2</v>
      </c>
      <c r="K41" s="39"/>
      <c r="L41" s="38">
        <v>4.9869999999999998E-2</v>
      </c>
      <c r="M41" s="39"/>
      <c r="N41" s="38">
        <v>5.1970000000000002E-2</v>
      </c>
      <c r="O41" s="39"/>
      <c r="P41" s="38"/>
      <c r="Q41" s="39"/>
      <c r="R41" s="38"/>
      <c r="S41" s="163"/>
      <c r="T41" s="39" t="s">
        <v>201</v>
      </c>
      <c r="U41" s="25"/>
      <c r="V41" s="5"/>
    </row>
    <row r="42" spans="1:22" ht="15.6" x14ac:dyDescent="0.3">
      <c r="A42" s="24"/>
      <c r="B42" s="25" t="s">
        <v>286</v>
      </c>
      <c r="C42" s="25"/>
      <c r="D42" s="30" t="s">
        <v>231</v>
      </c>
      <c r="E42" s="25"/>
      <c r="F42" s="30" t="s">
        <v>231</v>
      </c>
      <c r="G42" s="30"/>
      <c r="H42" s="30" t="s">
        <v>243</v>
      </c>
      <c r="I42" s="30"/>
      <c r="J42" s="30" t="s">
        <v>232</v>
      </c>
      <c r="K42" s="30"/>
      <c r="L42" s="30" t="s">
        <v>244</v>
      </c>
      <c r="M42" s="30"/>
      <c r="N42" s="30" t="s">
        <v>246</v>
      </c>
      <c r="O42" s="30"/>
      <c r="P42" s="30"/>
      <c r="Q42" s="39"/>
      <c r="R42" s="38"/>
      <c r="S42" s="163"/>
      <c r="T42" s="163"/>
      <c r="U42" s="25"/>
      <c r="V42" s="5"/>
    </row>
    <row r="43" spans="1:22" ht="15.6" x14ac:dyDescent="0.3">
      <c r="A43" s="24"/>
      <c r="B43" s="25" t="s">
        <v>287</v>
      </c>
      <c r="C43" s="110"/>
      <c r="D43" s="38">
        <v>5.9429999999999997E-2</v>
      </c>
      <c r="E43" s="38"/>
      <c r="F43" s="38">
        <f>+F40</f>
        <v>5.9393799999999997E-2</v>
      </c>
      <c r="G43" s="38"/>
      <c r="H43" s="38">
        <v>5.9391800000000002E-2</v>
      </c>
      <c r="I43" s="38"/>
      <c r="J43" s="38">
        <f>+J40</f>
        <v>6.0593800000000003E-2</v>
      </c>
      <c r="K43" s="38"/>
      <c r="L43" s="38">
        <v>6.0746799999999997E-2</v>
      </c>
      <c r="M43" s="38"/>
      <c r="N43" s="38">
        <v>6.3098799999999997E-2</v>
      </c>
      <c r="O43" s="39"/>
      <c r="P43" s="38"/>
      <c r="Q43" s="30"/>
      <c r="R43" s="30"/>
      <c r="S43" s="163"/>
      <c r="T43" s="39">
        <f>SUMPRODUCT(D43:N43,D35:N35)/T35</f>
        <v>5.9894645999966079E-2</v>
      </c>
      <c r="U43" s="25"/>
      <c r="V43" s="5"/>
    </row>
    <row r="44" spans="1:22" ht="15.6" x14ac:dyDescent="0.3">
      <c r="A44" s="24"/>
      <c r="B44" s="25" t="s">
        <v>288</v>
      </c>
      <c r="C44" s="110"/>
      <c r="D44" s="38">
        <v>6.053E-2</v>
      </c>
      <c r="E44" s="38"/>
      <c r="F44" s="38">
        <f>+F41</f>
        <v>6.04938E-2</v>
      </c>
      <c r="G44" s="38"/>
      <c r="H44" s="38">
        <v>6.0491799999999998E-2</v>
      </c>
      <c r="I44" s="38"/>
      <c r="J44" s="38">
        <f>+J41</f>
        <v>6.16938E-2</v>
      </c>
      <c r="K44" s="38"/>
      <c r="L44" s="38">
        <v>6.18468E-2</v>
      </c>
      <c r="M44" s="38"/>
      <c r="N44" s="38">
        <v>6.41988E-2</v>
      </c>
      <c r="O44" s="39"/>
      <c r="P44" s="38"/>
      <c r="Q44" s="30"/>
      <c r="R44" s="30"/>
      <c r="S44" s="163"/>
      <c r="T44" s="163"/>
      <c r="U44" s="25"/>
      <c r="V44" s="5"/>
    </row>
    <row r="45" spans="1:22" ht="15.6" x14ac:dyDescent="0.3">
      <c r="A45" s="24"/>
      <c r="B45" s="25" t="s">
        <v>14</v>
      </c>
      <c r="C45" s="25"/>
      <c r="D45" s="110">
        <v>40283</v>
      </c>
      <c r="E45" s="110"/>
      <c r="F45" s="110">
        <v>40283</v>
      </c>
      <c r="G45" s="110"/>
      <c r="H45" s="110">
        <v>40283</v>
      </c>
      <c r="I45" s="110"/>
      <c r="J45" s="110">
        <v>40283</v>
      </c>
      <c r="K45" s="110"/>
      <c r="L45" s="110">
        <v>40283</v>
      </c>
      <c r="M45" s="110"/>
      <c r="N45" s="110">
        <v>40283</v>
      </c>
      <c r="O45" s="110"/>
      <c r="P45" s="110"/>
      <c r="Q45" s="30"/>
      <c r="R45" s="30"/>
      <c r="S45" s="163"/>
      <c r="T45" s="163"/>
      <c r="U45" s="25"/>
      <c r="V45" s="5"/>
    </row>
    <row r="46" spans="1:22" ht="15.6" x14ac:dyDescent="0.3">
      <c r="A46" s="24"/>
      <c r="B46" s="25" t="s">
        <v>15</v>
      </c>
      <c r="C46" s="25"/>
      <c r="D46" s="110">
        <v>40648</v>
      </c>
      <c r="E46" s="110"/>
      <c r="F46" s="110">
        <v>40648</v>
      </c>
      <c r="G46" s="110"/>
      <c r="H46" s="110">
        <v>40648</v>
      </c>
      <c r="I46" s="30"/>
      <c r="J46" s="110">
        <v>40648</v>
      </c>
      <c r="K46" s="30"/>
      <c r="L46" s="110">
        <v>40648</v>
      </c>
      <c r="M46" s="30"/>
      <c r="N46" s="110">
        <v>40648</v>
      </c>
      <c r="O46" s="30"/>
      <c r="P46" s="110"/>
      <c r="Q46" s="30"/>
      <c r="R46" s="30"/>
      <c r="S46" s="163"/>
      <c r="T46" s="163"/>
      <c r="U46" s="25"/>
      <c r="V46" s="5"/>
    </row>
    <row r="47" spans="1:22" ht="15.6" x14ac:dyDescent="0.3">
      <c r="A47" s="24"/>
      <c r="B47" s="25" t="s">
        <v>125</v>
      </c>
      <c r="C47" s="25"/>
      <c r="D47" s="160" t="s">
        <v>124</v>
      </c>
      <c r="E47" s="25"/>
      <c r="F47" s="30" t="s">
        <v>232</v>
      </c>
      <c r="G47" s="30"/>
      <c r="H47" s="30" t="s">
        <v>232</v>
      </c>
      <c r="I47" s="30"/>
      <c r="J47" s="30" t="s">
        <v>234</v>
      </c>
      <c r="K47" s="30"/>
      <c r="L47" s="30" t="s">
        <v>234</v>
      </c>
      <c r="M47" s="30"/>
      <c r="N47" s="30" t="s">
        <v>235</v>
      </c>
      <c r="O47" s="30"/>
      <c r="P47" s="30"/>
      <c r="Q47" s="40"/>
      <c r="R47" s="40"/>
      <c r="S47" s="40"/>
      <c r="T47" s="40"/>
      <c r="U47" s="25"/>
      <c r="V47" s="5"/>
    </row>
    <row r="48" spans="1:22" ht="15.6" x14ac:dyDescent="0.3">
      <c r="A48" s="24"/>
      <c r="B48" s="25" t="s">
        <v>289</v>
      </c>
      <c r="C48" s="25"/>
      <c r="D48" s="30" t="s">
        <v>208</v>
      </c>
      <c r="E48" s="25"/>
      <c r="F48" s="30" t="s">
        <v>232</v>
      </c>
      <c r="G48" s="30"/>
      <c r="H48" s="30" t="s">
        <v>232</v>
      </c>
      <c r="I48" s="30"/>
      <c r="J48" s="30" t="s">
        <v>234</v>
      </c>
      <c r="K48" s="30"/>
      <c r="L48" s="30" t="s">
        <v>245</v>
      </c>
      <c r="M48" s="30"/>
      <c r="N48" s="30" t="s">
        <v>247</v>
      </c>
      <c r="O48" s="30"/>
      <c r="P48" s="30"/>
      <c r="Q48" s="25"/>
      <c r="R48" s="25"/>
      <c r="S48" s="25"/>
      <c r="T48" s="39"/>
      <c r="U48" s="25"/>
      <c r="V48" s="5"/>
    </row>
    <row r="49" spans="1:23" ht="15.6" x14ac:dyDescent="0.3">
      <c r="A49" s="24"/>
      <c r="B49" s="25"/>
      <c r="C49" s="25"/>
      <c r="D49" s="30"/>
      <c r="E49" s="25"/>
      <c r="F49" s="30"/>
      <c r="G49" s="30"/>
      <c r="H49" s="30"/>
      <c r="I49" s="30"/>
      <c r="J49" s="30"/>
      <c r="K49" s="30"/>
      <c r="L49" s="30"/>
      <c r="M49" s="30"/>
      <c r="N49" s="30"/>
      <c r="O49" s="30"/>
      <c r="P49" s="30"/>
      <c r="Q49" s="25"/>
      <c r="R49" s="25"/>
      <c r="S49" s="25"/>
      <c r="T49" s="39" t="s">
        <v>201</v>
      </c>
      <c r="U49" s="25"/>
      <c r="V49" s="5"/>
    </row>
    <row r="50" spans="1:23" ht="15.6" x14ac:dyDescent="0.3">
      <c r="A50" s="24"/>
      <c r="B50" s="25" t="s">
        <v>176</v>
      </c>
      <c r="C50" s="25"/>
      <c r="D50" s="30"/>
      <c r="E50" s="25"/>
      <c r="F50" s="30"/>
      <c r="G50" s="30"/>
      <c r="H50" s="30"/>
      <c r="I50" s="30"/>
      <c r="J50" s="30"/>
      <c r="K50" s="30"/>
      <c r="L50" s="30"/>
      <c r="M50" s="30"/>
      <c r="N50" s="30"/>
      <c r="O50" s="30"/>
      <c r="P50" s="30"/>
      <c r="Q50" s="25"/>
      <c r="R50" s="25"/>
      <c r="S50" s="25"/>
      <c r="T50" s="39">
        <f>SUM(J34:P34)/SUM(D34:H34)</f>
        <v>0.15279804679664968</v>
      </c>
      <c r="U50" s="25"/>
      <c r="V50" s="5"/>
    </row>
    <row r="51" spans="1:23" ht="15.6" x14ac:dyDescent="0.3">
      <c r="A51" s="24"/>
      <c r="B51" s="25" t="s">
        <v>177</v>
      </c>
      <c r="C51" s="25"/>
      <c r="D51" s="25"/>
      <c r="E51" s="25"/>
      <c r="F51" s="41"/>
      <c r="G51" s="25"/>
      <c r="H51" s="25"/>
      <c r="I51" s="25"/>
      <c r="J51" s="25"/>
      <c r="K51" s="25"/>
      <c r="L51" s="25"/>
      <c r="M51" s="25"/>
      <c r="N51" s="25"/>
      <c r="O51" s="25"/>
      <c r="P51" s="25"/>
      <c r="Q51" s="25"/>
      <c r="R51" s="25"/>
      <c r="S51" s="25"/>
      <c r="T51" s="39">
        <f>SUM(J36:P36)/SUM(D36:H36)</f>
        <v>0.26021846675933585</v>
      </c>
      <c r="U51" s="25"/>
      <c r="V51" s="5"/>
    </row>
    <row r="52" spans="1:23" ht="15.6" x14ac:dyDescent="0.3">
      <c r="A52" s="24"/>
      <c r="B52" s="25" t="s">
        <v>178</v>
      </c>
      <c r="C52" s="25"/>
      <c r="D52" s="25"/>
      <c r="E52" s="25"/>
      <c r="F52" s="25"/>
      <c r="G52" s="25"/>
      <c r="H52" s="25"/>
      <c r="I52" s="25"/>
      <c r="J52" s="25"/>
      <c r="K52" s="25"/>
      <c r="L52" s="25"/>
      <c r="M52" s="25"/>
      <c r="N52" s="25"/>
      <c r="O52" s="25"/>
      <c r="P52" s="25"/>
      <c r="Q52" s="25"/>
      <c r="R52" s="30" t="s">
        <v>109</v>
      </c>
      <c r="S52" s="30" t="s">
        <v>115</v>
      </c>
      <c r="T52" s="31">
        <f>+T34/2-SUM(J34:P34)</f>
        <v>367473</v>
      </c>
      <c r="U52" s="25"/>
      <c r="V52" s="5"/>
    </row>
    <row r="53" spans="1:23" ht="15.6" x14ac:dyDescent="0.3">
      <c r="A53" s="24"/>
      <c r="B53" s="25"/>
      <c r="C53" s="25"/>
      <c r="D53" s="25"/>
      <c r="E53" s="25"/>
      <c r="F53" s="25"/>
      <c r="G53" s="25"/>
      <c r="H53" s="25"/>
      <c r="I53" s="25"/>
      <c r="J53" s="25"/>
      <c r="K53" s="25"/>
      <c r="L53" s="25"/>
      <c r="M53" s="25"/>
      <c r="N53" s="25"/>
      <c r="O53" s="25"/>
      <c r="P53" s="25"/>
      <c r="Q53" s="25"/>
      <c r="R53" s="25"/>
      <c r="S53" s="25"/>
      <c r="T53" s="42"/>
      <c r="U53" s="25"/>
      <c r="V53" s="5"/>
    </row>
    <row r="54" spans="1:23" ht="15.6" x14ac:dyDescent="0.3">
      <c r="A54" s="24"/>
      <c r="B54" s="25" t="s">
        <v>211</v>
      </c>
      <c r="C54" s="25"/>
      <c r="D54" s="25"/>
      <c r="E54" s="25"/>
      <c r="F54" s="25"/>
      <c r="G54" s="25"/>
      <c r="H54" s="25"/>
      <c r="I54" s="25"/>
      <c r="J54" s="25"/>
      <c r="K54" s="25"/>
      <c r="L54" s="25"/>
      <c r="M54" s="25"/>
      <c r="N54" s="25"/>
      <c r="O54" s="25"/>
      <c r="P54" s="25"/>
      <c r="Q54" s="25"/>
      <c r="R54" s="25"/>
      <c r="S54" s="25"/>
      <c r="T54" s="156" t="s">
        <v>212</v>
      </c>
      <c r="U54" s="25"/>
      <c r="V54" s="5"/>
    </row>
    <row r="55" spans="1:23" ht="15.6" x14ac:dyDescent="0.3">
      <c r="A55" s="24"/>
      <c r="B55" s="25" t="s">
        <v>253</v>
      </c>
      <c r="C55" s="25"/>
      <c r="D55" s="25"/>
      <c r="E55" s="25"/>
      <c r="F55" s="25"/>
      <c r="G55" s="25"/>
      <c r="H55" s="25"/>
      <c r="I55" s="25"/>
      <c r="J55" s="25"/>
      <c r="K55" s="25"/>
      <c r="L55" s="25"/>
      <c r="M55" s="25"/>
      <c r="N55" s="25"/>
      <c r="O55" s="25"/>
      <c r="P55" s="25"/>
      <c r="Q55" s="25"/>
      <c r="R55" s="30"/>
      <c r="S55" s="30"/>
      <c r="T55" s="157" t="s">
        <v>117</v>
      </c>
      <c r="U55" s="25"/>
      <c r="V55" s="5"/>
    </row>
    <row r="56" spans="1:23" ht="15.6" x14ac:dyDescent="0.3">
      <c r="A56" s="24"/>
      <c r="B56" s="29" t="s">
        <v>210</v>
      </c>
      <c r="C56" s="29"/>
      <c r="D56" s="29"/>
      <c r="E56" s="29"/>
      <c r="F56" s="29"/>
      <c r="G56" s="29"/>
      <c r="H56" s="29"/>
      <c r="I56" s="29"/>
      <c r="J56" s="29"/>
      <c r="K56" s="29"/>
      <c r="L56" s="29"/>
      <c r="M56" s="29"/>
      <c r="N56" s="29"/>
      <c r="O56" s="29"/>
      <c r="P56" s="29"/>
      <c r="Q56" s="29"/>
      <c r="R56" s="43"/>
      <c r="S56" s="43"/>
      <c r="T56" s="44">
        <v>39736</v>
      </c>
      <c r="U56" s="25"/>
      <c r="V56" s="5"/>
    </row>
    <row r="57" spans="1:23" ht="15.6" x14ac:dyDescent="0.3">
      <c r="A57" s="24"/>
      <c r="B57" s="25" t="s">
        <v>127</v>
      </c>
      <c r="C57" s="25"/>
      <c r="D57" s="25"/>
      <c r="E57" s="25"/>
      <c r="F57" s="25"/>
      <c r="G57" s="25"/>
      <c r="H57" s="58"/>
      <c r="I57" s="58"/>
      <c r="J57" s="58"/>
      <c r="K57" s="58"/>
      <c r="L57" s="58"/>
      <c r="M57" s="58"/>
      <c r="N57" s="58"/>
      <c r="O57" s="58"/>
      <c r="P57" s="25">
        <f>+T57-R57+1</f>
        <v>91</v>
      </c>
      <c r="Q57" s="58"/>
      <c r="R57" s="45">
        <v>39553</v>
      </c>
      <c r="S57" s="46"/>
      <c r="T57" s="45">
        <v>39643</v>
      </c>
      <c r="U57" s="25"/>
      <c r="V57" s="5"/>
    </row>
    <row r="58" spans="1:23" ht="15.6" x14ac:dyDescent="0.3">
      <c r="A58" s="24"/>
      <c r="B58" s="25" t="s">
        <v>128</v>
      </c>
      <c r="C58" s="25"/>
      <c r="D58" s="25"/>
      <c r="E58" s="25"/>
      <c r="F58" s="25"/>
      <c r="G58" s="25"/>
      <c r="H58" s="25"/>
      <c r="I58" s="25"/>
      <c r="J58" s="25"/>
      <c r="K58" s="25"/>
      <c r="L58" s="25"/>
      <c r="M58" s="25"/>
      <c r="N58" s="25"/>
      <c r="O58" s="25"/>
      <c r="P58" s="25">
        <f>+T58-R58+1</f>
        <v>92</v>
      </c>
      <c r="Q58" s="25"/>
      <c r="R58" s="45">
        <v>39644</v>
      </c>
      <c r="S58" s="46"/>
      <c r="T58" s="45">
        <v>39735</v>
      </c>
      <c r="U58" s="25"/>
      <c r="V58" s="5"/>
    </row>
    <row r="59" spans="1:23" ht="15.6" x14ac:dyDescent="0.3">
      <c r="A59" s="24"/>
      <c r="B59" s="25" t="s">
        <v>209</v>
      </c>
      <c r="C59" s="25"/>
      <c r="D59" s="25"/>
      <c r="E59" s="25"/>
      <c r="F59" s="25"/>
      <c r="G59" s="25"/>
      <c r="H59" s="25"/>
      <c r="I59" s="25"/>
      <c r="J59" s="25"/>
      <c r="K59" s="25"/>
      <c r="L59" s="25"/>
      <c r="M59" s="25"/>
      <c r="N59" s="25"/>
      <c r="O59" s="25"/>
      <c r="P59" s="25"/>
      <c r="Q59" s="25"/>
      <c r="R59" s="45"/>
      <c r="S59" s="46"/>
      <c r="T59" s="45" t="s">
        <v>126</v>
      </c>
      <c r="U59" s="25"/>
      <c r="V59" s="5"/>
    </row>
    <row r="60" spans="1:23" ht="15.6" x14ac:dyDescent="0.3">
      <c r="A60" s="24"/>
      <c r="B60" s="25" t="s">
        <v>249</v>
      </c>
      <c r="C60" s="25"/>
      <c r="D60" s="25"/>
      <c r="E60" s="25"/>
      <c r="F60" s="25"/>
      <c r="G60" s="25"/>
      <c r="H60" s="25"/>
      <c r="I60" s="25"/>
      <c r="J60" s="25"/>
      <c r="K60" s="25"/>
      <c r="L60" s="25"/>
      <c r="M60" s="25"/>
      <c r="N60" s="25"/>
      <c r="O60" s="25"/>
      <c r="P60" s="25"/>
      <c r="Q60" s="25"/>
      <c r="R60" s="45"/>
      <c r="S60" s="46"/>
      <c r="T60" s="45" t="s">
        <v>160</v>
      </c>
      <c r="U60" s="25"/>
      <c r="V60" s="5"/>
      <c r="W60" s="134"/>
    </row>
    <row r="61" spans="1:23" ht="15.6" x14ac:dyDescent="0.3">
      <c r="A61" s="24"/>
      <c r="B61" s="25" t="s">
        <v>16</v>
      </c>
      <c r="C61" s="25"/>
      <c r="D61" s="25"/>
      <c r="E61" s="25"/>
      <c r="F61" s="25"/>
      <c r="G61" s="25"/>
      <c r="H61" s="25"/>
      <c r="I61" s="25"/>
      <c r="J61" s="25"/>
      <c r="K61" s="25"/>
      <c r="L61" s="25"/>
      <c r="M61" s="25"/>
      <c r="N61" s="25"/>
      <c r="O61" s="25"/>
      <c r="P61" s="25"/>
      <c r="Q61" s="25"/>
      <c r="R61" s="45"/>
      <c r="S61" s="46"/>
      <c r="T61" s="45">
        <v>39722</v>
      </c>
      <c r="U61" s="25"/>
      <c r="V61" s="5"/>
    </row>
    <row r="62" spans="1:23" ht="15.6" x14ac:dyDescent="0.3">
      <c r="A62" s="24"/>
      <c r="B62" s="25"/>
      <c r="C62" s="25"/>
      <c r="D62" s="25"/>
      <c r="E62" s="25"/>
      <c r="F62" s="25"/>
      <c r="G62" s="25"/>
      <c r="H62" s="25"/>
      <c r="I62" s="25"/>
      <c r="J62" s="25"/>
      <c r="K62" s="25"/>
      <c r="L62" s="25"/>
      <c r="M62" s="25"/>
      <c r="N62" s="25"/>
      <c r="O62" s="25"/>
      <c r="P62" s="25"/>
      <c r="Q62" s="25"/>
      <c r="R62" s="45"/>
      <c r="S62" s="46"/>
      <c r="T62" s="45"/>
      <c r="U62" s="25"/>
      <c r="V62" s="5"/>
    </row>
    <row r="63" spans="1:23" ht="15.6" x14ac:dyDescent="0.3">
      <c r="A63" s="6"/>
      <c r="B63" s="8"/>
      <c r="C63" s="8"/>
      <c r="D63" s="8"/>
      <c r="E63" s="8"/>
      <c r="F63" s="8"/>
      <c r="G63" s="8"/>
      <c r="H63" s="8"/>
      <c r="I63" s="8"/>
      <c r="J63" s="8"/>
      <c r="K63" s="8"/>
      <c r="L63" s="8"/>
      <c r="M63" s="8"/>
      <c r="N63" s="8"/>
      <c r="O63" s="8"/>
      <c r="P63" s="8"/>
      <c r="Q63" s="8"/>
      <c r="R63" s="47"/>
      <c r="S63" s="48"/>
      <c r="T63" s="47"/>
      <c r="U63" s="8"/>
      <c r="V63" s="5"/>
    </row>
    <row r="64" spans="1:23" ht="18" thickBot="1" x14ac:dyDescent="0.35">
      <c r="A64" s="101"/>
      <c r="B64" s="102" t="s">
        <v>277</v>
      </c>
      <c r="C64" s="103"/>
      <c r="D64" s="103"/>
      <c r="E64" s="103"/>
      <c r="F64" s="103"/>
      <c r="G64" s="103"/>
      <c r="H64" s="103"/>
      <c r="I64" s="103"/>
      <c r="J64" s="103"/>
      <c r="K64" s="103"/>
      <c r="L64" s="103"/>
      <c r="M64" s="103"/>
      <c r="N64" s="103"/>
      <c r="O64" s="103"/>
      <c r="P64" s="103"/>
      <c r="Q64" s="103"/>
      <c r="R64" s="103"/>
      <c r="S64" s="103"/>
      <c r="T64" s="104"/>
      <c r="U64" s="105"/>
      <c r="V64" s="5"/>
    </row>
    <row r="65" spans="1:22" ht="15.6" x14ac:dyDescent="0.3">
      <c r="A65" s="2"/>
      <c r="B65" s="4"/>
      <c r="C65" s="4"/>
      <c r="D65" s="4"/>
      <c r="E65" s="4"/>
      <c r="F65" s="4"/>
      <c r="G65" s="4"/>
      <c r="H65" s="4"/>
      <c r="I65" s="4"/>
      <c r="J65" s="4"/>
      <c r="K65" s="4"/>
      <c r="L65" s="4"/>
      <c r="M65" s="4"/>
      <c r="N65" s="4"/>
      <c r="O65" s="4"/>
      <c r="P65" s="4"/>
      <c r="Q65" s="4"/>
      <c r="R65" s="4"/>
      <c r="S65" s="4"/>
      <c r="T65" s="50"/>
      <c r="U65" s="4"/>
      <c r="V65" s="5"/>
    </row>
    <row r="66" spans="1:22" ht="15.6" x14ac:dyDescent="0.3">
      <c r="A66" s="6"/>
      <c r="B66" s="51" t="s">
        <v>17</v>
      </c>
      <c r="C66" s="8"/>
      <c r="D66" s="8"/>
      <c r="E66" s="8"/>
      <c r="F66" s="8"/>
      <c r="G66" s="8"/>
      <c r="H66" s="8"/>
      <c r="I66" s="8"/>
      <c r="J66" s="8"/>
      <c r="K66" s="8"/>
      <c r="L66" s="8"/>
      <c r="M66" s="8"/>
      <c r="N66" s="8"/>
      <c r="O66" s="8"/>
      <c r="P66" s="8"/>
      <c r="Q66" s="8"/>
      <c r="R66" s="8"/>
      <c r="S66" s="8"/>
      <c r="T66" s="52"/>
      <c r="U66" s="8"/>
      <c r="V66" s="5"/>
    </row>
    <row r="67" spans="1:22" ht="15.6" x14ac:dyDescent="0.3">
      <c r="A67" s="6"/>
      <c r="B67" s="13"/>
      <c r="C67" s="8"/>
      <c r="D67" s="8"/>
      <c r="E67" s="8"/>
      <c r="F67" s="8"/>
      <c r="G67" s="8"/>
      <c r="H67" s="8"/>
      <c r="I67" s="8"/>
      <c r="J67" s="8"/>
      <c r="K67" s="8"/>
      <c r="L67" s="8"/>
      <c r="M67" s="8"/>
      <c r="N67" s="8"/>
      <c r="O67" s="8"/>
      <c r="P67" s="8"/>
      <c r="Q67" s="8"/>
      <c r="R67" s="8"/>
      <c r="S67" s="8"/>
      <c r="T67" s="52"/>
      <c r="U67" s="8"/>
      <c r="V67" s="5"/>
    </row>
    <row r="68" spans="1:22" ht="46.8" x14ac:dyDescent="0.3">
      <c r="A68" s="6"/>
      <c r="B68" s="114" t="s">
        <v>18</v>
      </c>
      <c r="C68" s="115"/>
      <c r="D68" s="115"/>
      <c r="E68" s="115"/>
      <c r="F68" s="115"/>
      <c r="G68" s="115"/>
      <c r="H68" s="115"/>
      <c r="I68" s="115"/>
      <c r="J68" s="115" t="s">
        <v>97</v>
      </c>
      <c r="K68" s="115"/>
      <c r="L68" s="115" t="s">
        <v>99</v>
      </c>
      <c r="M68" s="115"/>
      <c r="N68" s="115" t="s">
        <v>101</v>
      </c>
      <c r="O68" s="115"/>
      <c r="P68" s="115" t="s">
        <v>103</v>
      </c>
      <c r="Q68" s="115"/>
      <c r="R68" s="115" t="s">
        <v>110</v>
      </c>
      <c r="S68" s="115"/>
      <c r="T68" s="116" t="s">
        <v>118</v>
      </c>
      <c r="U68" s="117"/>
      <c r="V68" s="5"/>
    </row>
    <row r="69" spans="1:22" ht="15.6" x14ac:dyDescent="0.3">
      <c r="A69" s="24"/>
      <c r="B69" s="25" t="s">
        <v>19</v>
      </c>
      <c r="C69" s="34"/>
      <c r="D69" s="34"/>
      <c r="E69" s="34"/>
      <c r="F69" s="34"/>
      <c r="G69" s="34"/>
      <c r="H69" s="34"/>
      <c r="I69" s="34"/>
      <c r="J69" s="34">
        <v>1000039</v>
      </c>
      <c r="K69" s="34"/>
      <c r="L69" s="53">
        <v>659619</v>
      </c>
      <c r="M69" s="34"/>
      <c r="N69" s="34">
        <f>17679+1828+200</f>
        <v>19707</v>
      </c>
      <c r="O69" s="34"/>
      <c r="P69" s="34">
        <f>1828+200</f>
        <v>2028</v>
      </c>
      <c r="Q69" s="34"/>
      <c r="R69" s="34">
        <v>0</v>
      </c>
      <c r="S69" s="34"/>
      <c r="T69" s="53">
        <f>+L69-N69+P69-R69</f>
        <v>641940</v>
      </c>
      <c r="U69" s="25"/>
      <c r="V69" s="5"/>
    </row>
    <row r="70" spans="1:22" ht="15.6" x14ac:dyDescent="0.3">
      <c r="A70" s="24"/>
      <c r="B70" s="25" t="s">
        <v>20</v>
      </c>
      <c r="C70" s="34"/>
      <c r="D70" s="34"/>
      <c r="E70" s="34"/>
      <c r="F70" s="34"/>
      <c r="G70" s="34"/>
      <c r="H70" s="34"/>
      <c r="I70" s="34"/>
      <c r="J70" s="34">
        <v>10</v>
      </c>
      <c r="K70" s="34"/>
      <c r="L70" s="53">
        <v>0</v>
      </c>
      <c r="M70" s="34"/>
      <c r="N70" s="34">
        <v>0</v>
      </c>
      <c r="O70" s="34"/>
      <c r="P70" s="34">
        <v>0</v>
      </c>
      <c r="Q70" s="34"/>
      <c r="R70" s="34">
        <v>0</v>
      </c>
      <c r="S70" s="34"/>
      <c r="T70" s="53">
        <v>0</v>
      </c>
      <c r="U70" s="25"/>
      <c r="V70" s="5"/>
    </row>
    <row r="71" spans="1:22" ht="15.6" x14ac:dyDescent="0.3">
      <c r="A71" s="24"/>
      <c r="B71" s="25"/>
      <c r="C71" s="34"/>
      <c r="D71" s="34"/>
      <c r="E71" s="34"/>
      <c r="F71" s="34"/>
      <c r="G71" s="34"/>
      <c r="H71" s="34"/>
      <c r="I71" s="34"/>
      <c r="J71" s="34"/>
      <c r="K71" s="34"/>
      <c r="L71" s="53"/>
      <c r="M71" s="34"/>
      <c r="N71" s="34"/>
      <c r="O71" s="34"/>
      <c r="P71" s="34"/>
      <c r="Q71" s="34"/>
      <c r="R71" s="34"/>
      <c r="S71" s="34"/>
      <c r="T71" s="53"/>
      <c r="U71" s="25"/>
      <c r="V71" s="5"/>
    </row>
    <row r="72" spans="1:22" ht="15.6" x14ac:dyDescent="0.3">
      <c r="A72" s="24"/>
      <c r="B72" s="25" t="s">
        <v>21</v>
      </c>
      <c r="C72" s="34"/>
      <c r="D72" s="34"/>
      <c r="E72" s="34"/>
      <c r="F72" s="34"/>
      <c r="G72" s="34"/>
      <c r="H72" s="34"/>
      <c r="I72" s="34"/>
      <c r="J72" s="34">
        <f>SUM(J69:J71)</f>
        <v>1000049</v>
      </c>
      <c r="K72" s="34"/>
      <c r="L72" s="54">
        <f>L69+L70</f>
        <v>659619</v>
      </c>
      <c r="M72" s="34"/>
      <c r="N72" s="34">
        <f>SUM(N69:N71)</f>
        <v>19707</v>
      </c>
      <c r="O72" s="34"/>
      <c r="P72" s="34">
        <f>SUM(P69:P71)</f>
        <v>2028</v>
      </c>
      <c r="Q72" s="34"/>
      <c r="R72" s="34">
        <f>SUM(R69:R71)</f>
        <v>0</v>
      </c>
      <c r="S72" s="34"/>
      <c r="T72" s="54">
        <f>SUM(T69:T71)</f>
        <v>641940</v>
      </c>
      <c r="U72" s="25"/>
      <c r="V72" s="5"/>
    </row>
    <row r="73" spans="1:22" ht="15.6" x14ac:dyDescent="0.3">
      <c r="A73" s="24"/>
      <c r="B73" s="25"/>
      <c r="C73" s="34"/>
      <c r="D73" s="34"/>
      <c r="E73" s="34"/>
      <c r="F73" s="34"/>
      <c r="G73" s="34"/>
      <c r="H73" s="34"/>
      <c r="I73" s="34"/>
      <c r="J73" s="34"/>
      <c r="K73" s="34"/>
      <c r="L73" s="34"/>
      <c r="M73" s="34"/>
      <c r="N73" s="34"/>
      <c r="O73" s="34"/>
      <c r="P73" s="34"/>
      <c r="Q73" s="34"/>
      <c r="R73" s="34"/>
      <c r="S73" s="34"/>
      <c r="T73" s="54"/>
      <c r="U73" s="25"/>
      <c r="V73" s="5"/>
    </row>
    <row r="74" spans="1:22" ht="15.6" x14ac:dyDescent="0.3">
      <c r="A74" s="6"/>
      <c r="B74" s="111" t="s">
        <v>22</v>
      </c>
      <c r="C74" s="55"/>
      <c r="D74" s="55"/>
      <c r="E74" s="55"/>
      <c r="F74" s="55"/>
      <c r="G74" s="55"/>
      <c r="H74" s="55"/>
      <c r="I74" s="55"/>
      <c r="J74" s="55"/>
      <c r="K74" s="55"/>
      <c r="L74" s="55"/>
      <c r="M74" s="55"/>
      <c r="N74" s="55"/>
      <c r="O74" s="55"/>
      <c r="P74" s="55"/>
      <c r="Q74" s="55"/>
      <c r="R74" s="55"/>
      <c r="S74" s="55"/>
      <c r="T74" s="56"/>
      <c r="U74" s="8"/>
      <c r="V74" s="5"/>
    </row>
    <row r="75" spans="1:22" ht="15.6" x14ac:dyDescent="0.3">
      <c r="A75" s="6"/>
      <c r="B75" s="8"/>
      <c r="C75" s="55"/>
      <c r="D75" s="55"/>
      <c r="E75" s="55"/>
      <c r="F75" s="55"/>
      <c r="G75" s="55"/>
      <c r="H75" s="55"/>
      <c r="I75" s="55"/>
      <c r="J75" s="55"/>
      <c r="K75" s="55"/>
      <c r="L75" s="55"/>
      <c r="M75" s="55"/>
      <c r="N75" s="55"/>
      <c r="O75" s="55"/>
      <c r="P75" s="55"/>
      <c r="Q75" s="55"/>
      <c r="R75" s="55"/>
      <c r="S75" s="55"/>
      <c r="T75" s="56"/>
      <c r="U75" s="8"/>
      <c r="V75" s="5"/>
    </row>
    <row r="76" spans="1:22" ht="15.6" x14ac:dyDescent="0.3">
      <c r="A76" s="24"/>
      <c r="B76" s="25" t="s">
        <v>19</v>
      </c>
      <c r="C76" s="34"/>
      <c r="D76" s="34"/>
      <c r="E76" s="34"/>
      <c r="F76" s="34"/>
      <c r="G76" s="34"/>
      <c r="H76" s="34"/>
      <c r="I76" s="34"/>
      <c r="J76" s="34"/>
      <c r="K76" s="34"/>
      <c r="L76" s="34"/>
      <c r="M76" s="34"/>
      <c r="N76" s="34"/>
      <c r="O76" s="34"/>
      <c r="P76" s="34"/>
      <c r="Q76" s="34"/>
      <c r="R76" s="34"/>
      <c r="S76" s="34"/>
      <c r="T76" s="54"/>
      <c r="U76" s="25"/>
      <c r="V76" s="5"/>
    </row>
    <row r="77" spans="1:22" ht="15.6" x14ac:dyDescent="0.3">
      <c r="A77" s="24"/>
      <c r="B77" s="25" t="s">
        <v>20</v>
      </c>
      <c r="C77" s="34"/>
      <c r="D77" s="34"/>
      <c r="E77" s="34"/>
      <c r="F77" s="34"/>
      <c r="G77" s="34"/>
      <c r="H77" s="34"/>
      <c r="I77" s="34"/>
      <c r="J77" s="34"/>
      <c r="K77" s="34"/>
      <c r="L77" s="34"/>
      <c r="M77" s="34"/>
      <c r="N77" s="34"/>
      <c r="O77" s="34"/>
      <c r="P77" s="34"/>
      <c r="Q77" s="34"/>
      <c r="R77" s="34"/>
      <c r="S77" s="34"/>
      <c r="T77" s="54"/>
      <c r="U77" s="25"/>
      <c r="V77" s="5"/>
    </row>
    <row r="78" spans="1:22" ht="15.6" x14ac:dyDescent="0.3">
      <c r="A78" s="24"/>
      <c r="B78" s="25"/>
      <c r="C78" s="34"/>
      <c r="D78" s="34"/>
      <c r="E78" s="34"/>
      <c r="F78" s="34"/>
      <c r="G78" s="34"/>
      <c r="H78" s="34"/>
      <c r="I78" s="34"/>
      <c r="J78" s="34"/>
      <c r="K78" s="34"/>
      <c r="L78" s="34"/>
      <c r="M78" s="34"/>
      <c r="N78" s="34"/>
      <c r="O78" s="34"/>
      <c r="P78" s="34"/>
      <c r="Q78" s="34"/>
      <c r="R78" s="34"/>
      <c r="S78" s="34"/>
      <c r="T78" s="54"/>
      <c r="U78" s="25"/>
      <c r="V78" s="5"/>
    </row>
    <row r="79" spans="1:22" ht="15.6" x14ac:dyDescent="0.3">
      <c r="A79" s="24"/>
      <c r="B79" s="25" t="s">
        <v>21</v>
      </c>
      <c r="C79" s="34"/>
      <c r="D79" s="34"/>
      <c r="E79" s="34"/>
      <c r="F79" s="34"/>
      <c r="G79" s="34"/>
      <c r="H79" s="34"/>
      <c r="I79" s="34"/>
      <c r="J79" s="34"/>
      <c r="K79" s="34"/>
      <c r="L79" s="34"/>
      <c r="M79" s="34"/>
      <c r="N79" s="34"/>
      <c r="O79" s="34"/>
      <c r="P79" s="34"/>
      <c r="Q79" s="34"/>
      <c r="R79" s="34"/>
      <c r="S79" s="34"/>
      <c r="T79" s="34"/>
      <c r="U79" s="25"/>
      <c r="V79" s="5"/>
    </row>
    <row r="80" spans="1:22" ht="15.6" x14ac:dyDescent="0.3">
      <c r="A80" s="24"/>
      <c r="B80" s="25"/>
      <c r="C80" s="34"/>
      <c r="D80" s="34"/>
      <c r="E80" s="34"/>
      <c r="F80" s="34"/>
      <c r="G80" s="34"/>
      <c r="H80" s="34"/>
      <c r="I80" s="34"/>
      <c r="J80" s="34"/>
      <c r="K80" s="34"/>
      <c r="L80" s="34"/>
      <c r="M80" s="34"/>
      <c r="N80" s="34"/>
      <c r="O80" s="34"/>
      <c r="P80" s="34"/>
      <c r="Q80" s="34"/>
      <c r="R80" s="34"/>
      <c r="S80" s="34"/>
      <c r="T80" s="34"/>
      <c r="U80" s="25"/>
      <c r="V80" s="5"/>
    </row>
    <row r="81" spans="1:22" ht="15.6" x14ac:dyDescent="0.3">
      <c r="A81" s="24"/>
      <c r="B81" s="25" t="s">
        <v>23</v>
      </c>
      <c r="C81" s="34"/>
      <c r="D81" s="34"/>
      <c r="E81" s="34"/>
      <c r="F81" s="34"/>
      <c r="G81" s="34"/>
      <c r="H81" s="34"/>
      <c r="I81" s="34"/>
      <c r="J81" s="34">
        <v>0</v>
      </c>
      <c r="K81" s="34"/>
      <c r="L81" s="34">
        <v>0</v>
      </c>
      <c r="M81" s="34"/>
      <c r="N81" s="34"/>
      <c r="O81" s="34"/>
      <c r="P81" s="34"/>
      <c r="Q81" s="34"/>
      <c r="R81" s="34"/>
      <c r="S81" s="34"/>
      <c r="T81" s="53">
        <v>0</v>
      </c>
      <c r="U81" s="25"/>
      <c r="V81" s="5"/>
    </row>
    <row r="82" spans="1:22" ht="15.6" x14ac:dyDescent="0.3">
      <c r="A82" s="24"/>
      <c r="B82" s="25" t="s">
        <v>123</v>
      </c>
      <c r="C82" s="34"/>
      <c r="D82" s="34"/>
      <c r="E82" s="34"/>
      <c r="F82" s="34"/>
      <c r="G82" s="34"/>
      <c r="H82" s="34"/>
      <c r="I82" s="34"/>
      <c r="J82" s="34">
        <v>0</v>
      </c>
      <c r="K82" s="34"/>
      <c r="L82" s="34">
        <v>0</v>
      </c>
      <c r="M82" s="34"/>
      <c r="N82" s="34"/>
      <c r="O82" s="34"/>
      <c r="P82" s="34"/>
      <c r="Q82" s="34"/>
      <c r="R82" s="34"/>
      <c r="S82" s="34"/>
      <c r="T82" s="54">
        <f>SUM(J82:P82)</f>
        <v>0</v>
      </c>
      <c r="U82" s="25"/>
      <c r="V82" s="5"/>
    </row>
    <row r="83" spans="1:22" ht="15.6" x14ac:dyDescent="0.3">
      <c r="A83" s="24"/>
      <c r="B83" s="25" t="s">
        <v>152</v>
      </c>
      <c r="C83" s="34"/>
      <c r="D83" s="34"/>
      <c r="E83" s="34"/>
      <c r="F83" s="34"/>
      <c r="G83" s="34"/>
      <c r="H83" s="34"/>
      <c r="I83" s="34"/>
      <c r="J83" s="34">
        <v>1</v>
      </c>
      <c r="K83" s="34"/>
      <c r="L83" s="34">
        <v>0</v>
      </c>
      <c r="M83" s="34"/>
      <c r="N83" s="34">
        <v>0</v>
      </c>
      <c r="O83" s="34"/>
      <c r="P83" s="34"/>
      <c r="Q83" s="34"/>
      <c r="R83" s="34"/>
      <c r="S83" s="34"/>
      <c r="T83" s="54">
        <f>+L83+N83</f>
        <v>0</v>
      </c>
      <c r="U83" s="25"/>
      <c r="V83" s="5"/>
    </row>
    <row r="84" spans="1:22" ht="15.6" x14ac:dyDescent="0.3">
      <c r="A84" s="24"/>
      <c r="B84" s="25" t="s">
        <v>25</v>
      </c>
      <c r="C84" s="34"/>
      <c r="D84" s="34"/>
      <c r="E84" s="34"/>
      <c r="F84" s="34"/>
      <c r="G84" s="34"/>
      <c r="H84" s="34"/>
      <c r="I84" s="34"/>
      <c r="J84" s="34">
        <v>0</v>
      </c>
      <c r="K84" s="34"/>
      <c r="L84" s="34">
        <v>0</v>
      </c>
      <c r="M84" s="34"/>
      <c r="N84" s="34"/>
      <c r="O84" s="34"/>
      <c r="P84" s="34"/>
      <c r="Q84" s="34"/>
      <c r="R84" s="34"/>
      <c r="S84" s="34"/>
      <c r="T84" s="54">
        <v>0</v>
      </c>
      <c r="U84" s="25"/>
      <c r="V84" s="5"/>
    </row>
    <row r="85" spans="1:22" ht="15.6" x14ac:dyDescent="0.3">
      <c r="A85" s="24"/>
      <c r="B85" s="25" t="s">
        <v>26</v>
      </c>
      <c r="C85" s="34"/>
      <c r="D85" s="34"/>
      <c r="E85" s="34"/>
      <c r="F85" s="54"/>
      <c r="G85" s="34"/>
      <c r="H85" s="54"/>
      <c r="I85" s="54"/>
      <c r="J85" s="54">
        <f>SUM(J72:J84)</f>
        <v>1000050</v>
      </c>
      <c r="K85" s="34"/>
      <c r="L85" s="54">
        <f>SUM(L72:L84)</f>
        <v>659619</v>
      </c>
      <c r="M85" s="34"/>
      <c r="N85" s="34"/>
      <c r="O85" s="34"/>
      <c r="P85" s="34"/>
      <c r="Q85" s="34"/>
      <c r="R85" s="54"/>
      <c r="S85" s="34"/>
      <c r="T85" s="54">
        <f>SUM(T72:T84)</f>
        <v>641940</v>
      </c>
      <c r="U85" s="25"/>
      <c r="V85" s="5"/>
    </row>
    <row r="86" spans="1:22" ht="15.6" x14ac:dyDescent="0.3">
      <c r="A86" s="24"/>
      <c r="B86" s="25"/>
      <c r="C86" s="34"/>
      <c r="D86" s="34"/>
      <c r="E86" s="34"/>
      <c r="F86" s="34"/>
      <c r="G86" s="34"/>
      <c r="H86" s="34"/>
      <c r="I86" s="34"/>
      <c r="J86" s="34"/>
      <c r="K86" s="34"/>
      <c r="L86" s="34"/>
      <c r="M86" s="34"/>
      <c r="N86" s="34"/>
      <c r="O86" s="34"/>
      <c r="P86" s="34"/>
      <c r="Q86" s="34"/>
      <c r="R86" s="34"/>
      <c r="S86" s="34"/>
      <c r="T86" s="54"/>
      <c r="U86" s="25"/>
      <c r="V86" s="5"/>
    </row>
    <row r="87" spans="1:22" ht="15.6" x14ac:dyDescent="0.3">
      <c r="A87" s="6"/>
      <c r="B87" s="8"/>
      <c r="C87" s="8"/>
      <c r="D87" s="8"/>
      <c r="E87" s="8"/>
      <c r="F87" s="8"/>
      <c r="G87" s="8"/>
      <c r="H87" s="8"/>
      <c r="I87" s="8"/>
      <c r="J87" s="8"/>
      <c r="K87" s="8"/>
      <c r="L87" s="8"/>
      <c r="M87" s="8"/>
      <c r="N87" s="8"/>
      <c r="O87" s="8"/>
      <c r="P87" s="8"/>
      <c r="Q87" s="8"/>
      <c r="R87" s="8"/>
      <c r="S87" s="8"/>
      <c r="T87" s="8"/>
      <c r="U87" s="8"/>
      <c r="V87" s="5"/>
    </row>
    <row r="88" spans="1:22" ht="15.6" x14ac:dyDescent="0.3">
      <c r="A88" s="6"/>
      <c r="B88" s="51" t="s">
        <v>27</v>
      </c>
      <c r="C88" s="14"/>
      <c r="D88" s="14"/>
      <c r="E88" s="14"/>
      <c r="F88" s="14"/>
      <c r="G88" s="14"/>
      <c r="H88" s="17"/>
      <c r="I88" s="17"/>
      <c r="J88" s="159" t="s">
        <v>98</v>
      </c>
      <c r="K88" s="17"/>
      <c r="L88" s="158">
        <f>+R193</f>
        <v>39721</v>
      </c>
      <c r="M88" s="17"/>
      <c r="N88" s="17"/>
      <c r="O88" s="17"/>
      <c r="P88" s="17"/>
      <c r="Q88" s="17"/>
      <c r="R88" s="17" t="s">
        <v>111</v>
      </c>
      <c r="S88" s="17"/>
      <c r="T88" s="17" t="s">
        <v>119</v>
      </c>
      <c r="U88" s="8"/>
      <c r="V88" s="5"/>
    </row>
    <row r="89" spans="1:22" ht="15.6" x14ac:dyDescent="0.3">
      <c r="A89" s="24"/>
      <c r="B89" s="25" t="s">
        <v>28</v>
      </c>
      <c r="C89" s="25"/>
      <c r="D89" s="25"/>
      <c r="E89" s="25"/>
      <c r="F89" s="25"/>
      <c r="G89" s="25"/>
      <c r="H89" s="25"/>
      <c r="I89" s="25"/>
      <c r="J89" s="25"/>
      <c r="K89" s="25"/>
      <c r="L89" s="25"/>
      <c r="M89" s="25"/>
      <c r="N89" s="25"/>
      <c r="O89" s="25"/>
      <c r="P89" s="25"/>
      <c r="Q89" s="25"/>
      <c r="R89" s="34">
        <v>0</v>
      </c>
      <c r="S89" s="25"/>
      <c r="T89" s="53">
        <v>0</v>
      </c>
      <c r="U89" s="25"/>
      <c r="V89" s="5"/>
    </row>
    <row r="90" spans="1:22" ht="15.6" x14ac:dyDescent="0.3">
      <c r="A90" s="24"/>
      <c r="B90" s="25" t="s">
        <v>29</v>
      </c>
      <c r="C90" s="25"/>
      <c r="D90" s="25"/>
      <c r="E90" s="25"/>
      <c r="F90" s="25"/>
      <c r="G90" s="25"/>
      <c r="H90" s="40"/>
      <c r="I90" s="57"/>
      <c r="J90" s="40"/>
      <c r="K90" s="25"/>
      <c r="L90" s="127"/>
      <c r="M90" s="25"/>
      <c r="N90" s="25"/>
      <c r="O90" s="25"/>
      <c r="P90" s="25"/>
      <c r="Q90" s="25"/>
      <c r="R90" s="34">
        <f>19707-116</f>
        <v>19591</v>
      </c>
      <c r="S90" s="25"/>
      <c r="T90" s="53"/>
      <c r="U90" s="25"/>
      <c r="V90" s="5"/>
    </row>
    <row r="91" spans="1:22" ht="15.6" x14ac:dyDescent="0.3">
      <c r="A91" s="24"/>
      <c r="B91" s="25" t="s">
        <v>225</v>
      </c>
      <c r="C91" s="25"/>
      <c r="D91" s="25"/>
      <c r="E91" s="25"/>
      <c r="F91" s="25"/>
      <c r="G91" s="25"/>
      <c r="H91" s="40"/>
      <c r="I91" s="57"/>
      <c r="J91" s="40"/>
      <c r="K91" s="25"/>
      <c r="L91" s="127"/>
      <c r="M91" s="25"/>
      <c r="N91" s="25"/>
      <c r="O91" s="25"/>
      <c r="P91" s="25"/>
      <c r="Q91" s="25"/>
      <c r="R91" s="34"/>
      <c r="S91" s="25"/>
      <c r="T91" s="53">
        <f>5172+5670-751-1094+21+24</f>
        <v>9042</v>
      </c>
      <c r="U91" s="25"/>
      <c r="V91" s="5"/>
    </row>
    <row r="92" spans="1:22" ht="15.6" x14ac:dyDescent="0.3">
      <c r="A92" s="24"/>
      <c r="B92" s="25" t="s">
        <v>220</v>
      </c>
      <c r="C92" s="25"/>
      <c r="D92" s="25"/>
      <c r="E92" s="25"/>
      <c r="F92" s="25"/>
      <c r="G92" s="25"/>
      <c r="H92" s="40"/>
      <c r="I92" s="57"/>
      <c r="J92" s="40"/>
      <c r="K92" s="25"/>
      <c r="L92" s="127"/>
      <c r="M92" s="25"/>
      <c r="N92" s="25"/>
      <c r="O92" s="25"/>
      <c r="P92" s="25"/>
      <c r="Q92" s="25"/>
      <c r="R92" s="34"/>
      <c r="S92" s="25"/>
      <c r="T92" s="53">
        <f>223+107</f>
        <v>330</v>
      </c>
      <c r="U92" s="25"/>
      <c r="V92" s="5"/>
    </row>
    <row r="93" spans="1:22" ht="15.6" x14ac:dyDescent="0.3">
      <c r="A93" s="24"/>
      <c r="B93" s="25" t="s">
        <v>221</v>
      </c>
      <c r="C93" s="25"/>
      <c r="D93" s="25"/>
      <c r="E93" s="25"/>
      <c r="F93" s="25"/>
      <c r="G93" s="25"/>
      <c r="H93" s="40"/>
      <c r="I93" s="57"/>
      <c r="J93" s="40"/>
      <c r="K93" s="25"/>
      <c r="L93" s="127"/>
      <c r="M93" s="25"/>
      <c r="N93" s="25"/>
      <c r="O93" s="25"/>
      <c r="P93" s="25"/>
      <c r="Q93" s="25"/>
      <c r="R93" s="34"/>
      <c r="S93" s="25"/>
      <c r="T93" s="53">
        <v>887</v>
      </c>
      <c r="U93" s="25"/>
      <c r="V93" s="5"/>
    </row>
    <row r="94" spans="1:22" ht="15.6" x14ac:dyDescent="0.3">
      <c r="A94" s="24"/>
      <c r="B94" s="25" t="s">
        <v>261</v>
      </c>
      <c r="C94" s="25"/>
      <c r="D94" s="25"/>
      <c r="E94" s="25"/>
      <c r="F94" s="25"/>
      <c r="G94" s="25"/>
      <c r="H94" s="40"/>
      <c r="I94" s="57"/>
      <c r="J94" s="40"/>
      <c r="K94" s="25"/>
      <c r="L94" s="127"/>
      <c r="M94" s="25"/>
      <c r="N94" s="25"/>
      <c r="O94" s="25"/>
      <c r="P94" s="25"/>
      <c r="Q94" s="25"/>
      <c r="R94" s="34"/>
      <c r="S94" s="25"/>
      <c r="T94" s="53">
        <f>7+1111</f>
        <v>1118</v>
      </c>
      <c r="U94" s="25"/>
      <c r="V94" s="5"/>
    </row>
    <row r="95" spans="1:22" ht="15.6" x14ac:dyDescent="0.3">
      <c r="A95" s="24"/>
      <c r="B95" s="25" t="s">
        <v>141</v>
      </c>
      <c r="C95" s="25"/>
      <c r="D95" s="25"/>
      <c r="E95" s="25"/>
      <c r="F95" s="25"/>
      <c r="G95" s="25"/>
      <c r="H95" s="25"/>
      <c r="I95" s="25"/>
      <c r="J95" s="25"/>
      <c r="K95" s="25"/>
      <c r="L95" s="25"/>
      <c r="M95" s="25"/>
      <c r="N95" s="25"/>
      <c r="O95" s="25"/>
      <c r="P95" s="25"/>
      <c r="Q95" s="25"/>
      <c r="R95" s="34"/>
      <c r="S95" s="25"/>
      <c r="T95" s="53">
        <v>0</v>
      </c>
      <c r="U95" s="25"/>
      <c r="V95" s="5"/>
    </row>
    <row r="96" spans="1:22" ht="15.6" x14ac:dyDescent="0.3">
      <c r="A96" s="24"/>
      <c r="B96" s="25" t="s">
        <v>250</v>
      </c>
      <c r="C96" s="25"/>
      <c r="D96" s="25"/>
      <c r="E96" s="25"/>
      <c r="F96" s="25"/>
      <c r="G96" s="25"/>
      <c r="H96" s="25"/>
      <c r="I96" s="25"/>
      <c r="J96" s="25"/>
      <c r="K96" s="25"/>
      <c r="L96" s="25"/>
      <c r="M96" s="25"/>
      <c r="N96" s="25"/>
      <c r="O96" s="25"/>
      <c r="P96" s="25"/>
      <c r="Q96" s="25"/>
      <c r="R96" s="34"/>
      <c r="S96" s="25"/>
      <c r="T96" s="53">
        <v>448</v>
      </c>
      <c r="U96" s="25"/>
      <c r="V96" s="5"/>
    </row>
    <row r="97" spans="1:24" ht="15.6" x14ac:dyDescent="0.3">
      <c r="A97" s="24"/>
      <c r="B97" s="25" t="s">
        <v>30</v>
      </c>
      <c r="C97" s="25"/>
      <c r="D97" s="25"/>
      <c r="E97" s="25"/>
      <c r="F97" s="25"/>
      <c r="G97" s="25"/>
      <c r="H97" s="25"/>
      <c r="I97" s="25"/>
      <c r="J97" s="25"/>
      <c r="K97" s="25"/>
      <c r="L97" s="25"/>
      <c r="M97" s="25"/>
      <c r="N97" s="25"/>
      <c r="O97" s="25"/>
      <c r="P97" s="25"/>
      <c r="Q97" s="25"/>
      <c r="R97" s="34">
        <f>SUM(R89:R96)</f>
        <v>19591</v>
      </c>
      <c r="S97" s="25"/>
      <c r="T97" s="54">
        <f>SUM(T89:T96)</f>
        <v>11825</v>
      </c>
      <c r="U97" s="25"/>
      <c r="V97" s="5"/>
    </row>
    <row r="98" spans="1:24" ht="15.6" x14ac:dyDescent="0.3">
      <c r="A98" s="24"/>
      <c r="B98" s="25" t="s">
        <v>168</v>
      </c>
      <c r="C98" s="25"/>
      <c r="D98" s="25"/>
      <c r="E98" s="25"/>
      <c r="F98" s="25"/>
      <c r="G98" s="25"/>
      <c r="H98" s="25"/>
      <c r="I98" s="25"/>
      <c r="J98" s="25"/>
      <c r="K98" s="25"/>
      <c r="L98" s="25"/>
      <c r="M98" s="25"/>
      <c r="N98" s="25"/>
      <c r="O98" s="25"/>
      <c r="P98" s="25"/>
      <c r="Q98" s="25"/>
      <c r="R98" s="34">
        <f>-T98</f>
        <v>-89</v>
      </c>
      <c r="S98" s="25"/>
      <c r="T98" s="54">
        <v>89</v>
      </c>
      <c r="U98" s="25"/>
      <c r="V98" s="5"/>
    </row>
    <row r="99" spans="1:24" ht="15.6" x14ac:dyDescent="0.3">
      <c r="A99" s="24"/>
      <c r="B99" s="25" t="s">
        <v>31</v>
      </c>
      <c r="C99" s="25"/>
      <c r="D99" s="25"/>
      <c r="E99" s="25"/>
      <c r="F99" s="25"/>
      <c r="G99" s="25"/>
      <c r="H99" s="25"/>
      <c r="I99" s="25"/>
      <c r="J99" s="25"/>
      <c r="K99" s="25"/>
      <c r="L99" s="25"/>
      <c r="M99" s="25"/>
      <c r="N99" s="25"/>
      <c r="O99" s="25"/>
      <c r="P99" s="25"/>
      <c r="Q99" s="25"/>
      <c r="R99" s="34">
        <f>-T99</f>
        <v>0</v>
      </c>
      <c r="S99" s="25"/>
      <c r="T99" s="53">
        <v>0</v>
      </c>
      <c r="U99" s="25"/>
      <c r="V99" s="5"/>
    </row>
    <row r="100" spans="1:24" ht="15.6" x14ac:dyDescent="0.3">
      <c r="A100" s="24"/>
      <c r="B100" s="25" t="s">
        <v>273</v>
      </c>
      <c r="C100" s="25"/>
      <c r="D100" s="25"/>
      <c r="E100" s="25"/>
      <c r="F100" s="25"/>
      <c r="G100" s="25"/>
      <c r="H100" s="25"/>
      <c r="I100" s="25"/>
      <c r="J100" s="25"/>
      <c r="K100" s="25"/>
      <c r="L100" s="25"/>
      <c r="M100" s="25"/>
      <c r="N100" s="25"/>
      <c r="O100" s="25"/>
      <c r="P100" s="25"/>
      <c r="Q100" s="25"/>
      <c r="R100" s="34"/>
      <c r="S100" s="25"/>
      <c r="T100" s="53">
        <v>-34</v>
      </c>
      <c r="U100" s="25"/>
      <c r="V100" s="5"/>
    </row>
    <row r="101" spans="1:24" ht="15.6" x14ac:dyDescent="0.3">
      <c r="A101" s="24"/>
      <c r="B101" s="25" t="s">
        <v>32</v>
      </c>
      <c r="C101" s="25"/>
      <c r="D101" s="25"/>
      <c r="E101" s="25"/>
      <c r="F101" s="25"/>
      <c r="G101" s="25"/>
      <c r="H101" s="25"/>
      <c r="I101" s="25"/>
      <c r="J101" s="25"/>
      <c r="K101" s="25"/>
      <c r="L101" s="25"/>
      <c r="M101" s="25"/>
      <c r="N101" s="25"/>
      <c r="O101" s="25"/>
      <c r="P101" s="25"/>
      <c r="Q101" s="25"/>
      <c r="R101" s="34">
        <f>R97+R99+R98</f>
        <v>19502</v>
      </c>
      <c r="S101" s="25"/>
      <c r="T101" s="54">
        <f>T97+T99+T98+T100</f>
        <v>11880</v>
      </c>
      <c r="U101" s="25"/>
      <c r="V101" s="5"/>
    </row>
    <row r="102" spans="1:24" ht="15.6" x14ac:dyDescent="0.3">
      <c r="A102" s="24"/>
      <c r="B102" s="118" t="s">
        <v>33</v>
      </c>
      <c r="C102" s="25"/>
      <c r="D102" s="25"/>
      <c r="E102" s="25"/>
      <c r="F102" s="25"/>
      <c r="G102" s="25"/>
      <c r="H102" s="25"/>
      <c r="I102" s="25"/>
      <c r="J102" s="25"/>
      <c r="K102" s="25"/>
      <c r="L102" s="25"/>
      <c r="M102" s="25"/>
      <c r="N102" s="25"/>
      <c r="O102" s="25"/>
      <c r="P102" s="25"/>
      <c r="Q102" s="25"/>
      <c r="R102" s="34"/>
      <c r="S102" s="25"/>
      <c r="T102" s="53"/>
      <c r="U102" s="25"/>
      <c r="V102" s="5"/>
    </row>
    <row r="103" spans="1:24" ht="15.6" x14ac:dyDescent="0.3">
      <c r="A103" s="24">
        <v>1</v>
      </c>
      <c r="B103" s="25" t="s">
        <v>34</v>
      </c>
      <c r="C103" s="25"/>
      <c r="D103" s="25"/>
      <c r="E103" s="25"/>
      <c r="F103" s="25"/>
      <c r="G103" s="25"/>
      <c r="H103" s="25"/>
      <c r="I103" s="25"/>
      <c r="J103" s="25"/>
      <c r="K103" s="25"/>
      <c r="L103" s="25"/>
      <c r="M103" s="25"/>
      <c r="N103" s="25"/>
      <c r="O103" s="25"/>
      <c r="P103" s="25"/>
      <c r="Q103" s="25"/>
      <c r="R103" s="25"/>
      <c r="S103" s="25"/>
      <c r="T103" s="53">
        <v>0</v>
      </c>
      <c r="U103" s="25"/>
      <c r="V103" s="5"/>
    </row>
    <row r="104" spans="1:24" ht="15.6" x14ac:dyDescent="0.3">
      <c r="A104" s="24">
        <f>+A103+1</f>
        <v>2</v>
      </c>
      <c r="B104" s="25" t="s">
        <v>255</v>
      </c>
      <c r="C104" s="25"/>
      <c r="D104" s="25"/>
      <c r="E104" s="25"/>
      <c r="F104" s="25"/>
      <c r="G104" s="25"/>
      <c r="H104" s="25"/>
      <c r="I104" s="25"/>
      <c r="J104" s="25"/>
      <c r="K104" s="25"/>
      <c r="L104" s="25"/>
      <c r="M104" s="25"/>
      <c r="N104" s="25"/>
      <c r="O104" s="25"/>
      <c r="P104" s="25"/>
      <c r="Q104" s="25"/>
      <c r="R104" s="25"/>
      <c r="S104" s="25"/>
      <c r="T104" s="53">
        <v>-2</v>
      </c>
      <c r="U104" s="25"/>
      <c r="V104" s="5"/>
    </row>
    <row r="105" spans="1:24" ht="15.6" x14ac:dyDescent="0.3">
      <c r="A105" s="24">
        <f>+A104+1</f>
        <v>3</v>
      </c>
      <c r="B105" s="25" t="s">
        <v>213</v>
      </c>
      <c r="C105" s="25"/>
      <c r="D105" s="25"/>
      <c r="E105" s="25"/>
      <c r="F105" s="25"/>
      <c r="G105" s="25"/>
      <c r="H105" s="25"/>
      <c r="I105" s="25"/>
      <c r="J105" s="25"/>
      <c r="K105" s="25"/>
      <c r="L105" s="25"/>
      <c r="M105" s="25"/>
      <c r="N105" s="25"/>
      <c r="O105" s="25"/>
      <c r="P105" s="25"/>
      <c r="Q105" s="25"/>
      <c r="R105" s="25"/>
      <c r="S105" s="25"/>
      <c r="T105" s="53">
        <f>-250-126-8</f>
        <v>-384</v>
      </c>
      <c r="U105" s="25"/>
      <c r="V105" s="5"/>
    </row>
    <row r="106" spans="1:24" ht="15.6" x14ac:dyDescent="0.3">
      <c r="A106" s="24" t="s">
        <v>133</v>
      </c>
      <c r="B106" s="25" t="s">
        <v>122</v>
      </c>
      <c r="C106" s="25"/>
      <c r="D106" s="25"/>
      <c r="E106" s="25"/>
      <c r="F106" s="25"/>
      <c r="G106" s="25"/>
      <c r="H106" s="25"/>
      <c r="I106" s="25"/>
      <c r="J106" s="25"/>
      <c r="K106" s="25"/>
      <c r="L106" s="25"/>
      <c r="M106" s="25"/>
      <c r="N106" s="25"/>
      <c r="O106" s="25"/>
      <c r="P106" s="25"/>
      <c r="Q106" s="25"/>
      <c r="R106" s="25"/>
      <c r="S106" s="25"/>
      <c r="T106" s="53">
        <v>0</v>
      </c>
      <c r="U106" s="25"/>
      <c r="V106" s="5"/>
    </row>
    <row r="107" spans="1:24" ht="15.6" x14ac:dyDescent="0.3">
      <c r="A107" s="24" t="s">
        <v>134</v>
      </c>
      <c r="B107" s="25" t="s">
        <v>194</v>
      </c>
      <c r="C107" s="25"/>
      <c r="D107" s="25"/>
      <c r="E107" s="25"/>
      <c r="F107" s="25"/>
      <c r="G107" s="25"/>
      <c r="H107" s="25"/>
      <c r="I107" s="25"/>
      <c r="J107" s="25"/>
      <c r="K107" s="25"/>
      <c r="L107" s="25"/>
      <c r="M107" s="25"/>
      <c r="N107" s="25"/>
      <c r="O107" s="25"/>
      <c r="P107" s="25"/>
      <c r="Q107" s="25"/>
      <c r="R107" s="25"/>
      <c r="S107" s="25"/>
      <c r="T107" s="53">
        <f>-7894+1360</f>
        <v>-6534</v>
      </c>
      <c r="U107" s="25"/>
      <c r="V107" s="5"/>
      <c r="W107" s="109"/>
    </row>
    <row r="108" spans="1:24" ht="15.6" x14ac:dyDescent="0.3">
      <c r="A108" s="24" t="s">
        <v>156</v>
      </c>
      <c r="B108" s="25" t="s">
        <v>191</v>
      </c>
      <c r="C108" s="25"/>
      <c r="D108" s="25"/>
      <c r="E108" s="25"/>
      <c r="F108" s="25"/>
      <c r="G108" s="25"/>
      <c r="H108" s="25"/>
      <c r="I108" s="25"/>
      <c r="J108" s="25"/>
      <c r="K108" s="25"/>
      <c r="L108" s="25"/>
      <c r="M108" s="25"/>
      <c r="N108" s="25"/>
      <c r="O108" s="25"/>
      <c r="P108" s="25"/>
      <c r="Q108" s="25"/>
      <c r="R108" s="25"/>
      <c r="S108" s="25"/>
      <c r="T108" s="53">
        <v>-1360</v>
      </c>
      <c r="U108" s="25"/>
      <c r="V108" s="5"/>
      <c r="W108" s="109"/>
    </row>
    <row r="109" spans="1:24" ht="15.6" x14ac:dyDescent="0.3">
      <c r="A109" s="24" t="s">
        <v>214</v>
      </c>
      <c r="B109" s="25" t="s">
        <v>192</v>
      </c>
      <c r="C109" s="25"/>
      <c r="D109" s="25"/>
      <c r="E109" s="25"/>
      <c r="F109" s="25"/>
      <c r="G109" s="25"/>
      <c r="H109" s="25"/>
      <c r="I109" s="25"/>
      <c r="J109" s="25"/>
      <c r="K109" s="25"/>
      <c r="L109" s="25"/>
      <c r="M109" s="25"/>
      <c r="N109" s="25"/>
      <c r="O109" s="25"/>
      <c r="P109" s="25"/>
      <c r="Q109" s="25"/>
      <c r="R109" s="25"/>
      <c r="S109" s="25"/>
      <c r="T109" s="53">
        <v>-865</v>
      </c>
      <c r="U109" s="25"/>
      <c r="V109" s="5"/>
      <c r="W109" s="109"/>
      <c r="X109" s="109"/>
    </row>
    <row r="110" spans="1:24" ht="15.6" x14ac:dyDescent="0.3">
      <c r="A110" s="24" t="s">
        <v>215</v>
      </c>
      <c r="B110" s="25" t="s">
        <v>193</v>
      </c>
      <c r="C110" s="25"/>
      <c r="D110" s="25"/>
      <c r="E110" s="25"/>
      <c r="F110" s="25"/>
      <c r="G110" s="25"/>
      <c r="H110" s="25"/>
      <c r="I110" s="25"/>
      <c r="J110" s="25"/>
      <c r="K110" s="25"/>
      <c r="L110" s="25"/>
      <c r="M110" s="25"/>
      <c r="N110" s="25"/>
      <c r="O110" s="25"/>
      <c r="P110" s="25"/>
      <c r="Q110" s="25"/>
      <c r="R110" s="25"/>
      <c r="S110" s="25"/>
      <c r="T110" s="53">
        <f>-1110+865</f>
        <v>-245</v>
      </c>
      <c r="U110" s="25"/>
      <c r="V110" s="169"/>
      <c r="W110" s="109"/>
    </row>
    <row r="111" spans="1:24" ht="15.6" x14ac:dyDescent="0.3">
      <c r="A111" s="24" t="s">
        <v>216</v>
      </c>
      <c r="B111" s="25" t="s">
        <v>204</v>
      </c>
      <c r="C111" s="25"/>
      <c r="D111" s="25"/>
      <c r="E111" s="25"/>
      <c r="F111" s="25"/>
      <c r="G111" s="25"/>
      <c r="H111" s="25"/>
      <c r="I111" s="25"/>
      <c r="J111" s="25"/>
      <c r="K111" s="25"/>
      <c r="L111" s="25"/>
      <c r="M111" s="25"/>
      <c r="N111" s="25"/>
      <c r="O111" s="25"/>
      <c r="P111" s="25"/>
      <c r="Q111" s="25"/>
      <c r="R111" s="25"/>
      <c r="S111" s="25"/>
      <c r="T111" s="53">
        <v>-955</v>
      </c>
      <c r="U111" s="25"/>
      <c r="V111" s="5"/>
      <c r="W111" s="109"/>
    </row>
    <row r="112" spans="1:24" ht="15.6" x14ac:dyDescent="0.3">
      <c r="A112" s="24">
        <v>7</v>
      </c>
      <c r="B112" s="25" t="s">
        <v>35</v>
      </c>
      <c r="C112" s="25"/>
      <c r="D112" s="25"/>
      <c r="E112" s="25"/>
      <c r="F112" s="25"/>
      <c r="G112" s="25"/>
      <c r="H112" s="25"/>
      <c r="I112" s="25"/>
      <c r="J112" s="25"/>
      <c r="K112" s="25"/>
      <c r="L112" s="25"/>
      <c r="M112" s="25"/>
      <c r="N112" s="25"/>
      <c r="O112" s="25"/>
      <c r="P112" s="25"/>
      <c r="Q112" s="25"/>
      <c r="R112" s="25"/>
      <c r="S112" s="25"/>
      <c r="T112" s="53">
        <v>-10</v>
      </c>
      <c r="U112" s="25"/>
      <c r="V112" s="5"/>
    </row>
    <row r="113" spans="1:22" ht="15.6" x14ac:dyDescent="0.3">
      <c r="A113" s="24">
        <f t="shared" ref="A113:A118" si="0">+A112+1</f>
        <v>8</v>
      </c>
      <c r="B113" s="25" t="s">
        <v>46</v>
      </c>
      <c r="C113" s="25"/>
      <c r="D113" s="25"/>
      <c r="E113" s="25"/>
      <c r="F113" s="25"/>
      <c r="G113" s="25"/>
      <c r="H113" s="25"/>
      <c r="I113" s="25"/>
      <c r="J113" s="25"/>
      <c r="K113" s="25"/>
      <c r="L113" s="25"/>
      <c r="M113" s="25"/>
      <c r="N113" s="25"/>
      <c r="O113" s="25"/>
      <c r="P113" s="25"/>
      <c r="Q113" s="25"/>
      <c r="R113" s="34">
        <f>-T113</f>
        <v>116</v>
      </c>
      <c r="S113" s="25"/>
      <c r="T113" s="53">
        <v>-116</v>
      </c>
      <c r="U113" s="25"/>
      <c r="V113" s="5"/>
    </row>
    <row r="114" spans="1:22" ht="15.6" x14ac:dyDescent="0.3">
      <c r="A114" s="24">
        <f t="shared" si="0"/>
        <v>9</v>
      </c>
      <c r="B114" s="25" t="s">
        <v>131</v>
      </c>
      <c r="C114" s="25"/>
      <c r="D114" s="25"/>
      <c r="E114" s="25"/>
      <c r="F114" s="25"/>
      <c r="G114" s="25"/>
      <c r="H114" s="25"/>
      <c r="I114" s="25"/>
      <c r="J114" s="25"/>
      <c r="K114" s="25"/>
      <c r="L114" s="25"/>
      <c r="M114" s="25"/>
      <c r="N114" s="25"/>
      <c r="O114" s="25"/>
      <c r="P114" s="25"/>
      <c r="Q114" s="25"/>
      <c r="R114" s="25"/>
      <c r="S114" s="25"/>
      <c r="T114" s="53">
        <v>0</v>
      </c>
      <c r="U114" s="25"/>
      <c r="V114" s="5"/>
    </row>
    <row r="115" spans="1:22" ht="15.6" x14ac:dyDescent="0.3">
      <c r="A115" s="24">
        <f t="shared" si="0"/>
        <v>10</v>
      </c>
      <c r="B115" s="25" t="s">
        <v>36</v>
      </c>
      <c r="C115" s="25"/>
      <c r="D115" s="25"/>
      <c r="E115" s="25"/>
      <c r="F115" s="25"/>
      <c r="G115" s="25"/>
      <c r="H115" s="25"/>
      <c r="I115" s="25"/>
      <c r="J115" s="25"/>
      <c r="K115" s="25"/>
      <c r="L115" s="25"/>
      <c r="M115" s="25"/>
      <c r="N115" s="25"/>
      <c r="O115" s="25"/>
      <c r="P115" s="25"/>
      <c r="Q115" s="25"/>
      <c r="R115" s="25"/>
      <c r="S115" s="25"/>
      <c r="T115" s="53">
        <v>0</v>
      </c>
      <c r="U115" s="25"/>
      <c r="V115" s="5"/>
    </row>
    <row r="116" spans="1:22" ht="15.6" x14ac:dyDescent="0.3">
      <c r="A116" s="24">
        <f t="shared" si="0"/>
        <v>11</v>
      </c>
      <c r="B116" s="25" t="s">
        <v>37</v>
      </c>
      <c r="C116" s="25"/>
      <c r="D116" s="25"/>
      <c r="E116" s="25"/>
      <c r="F116" s="25"/>
      <c r="G116" s="25"/>
      <c r="H116" s="25"/>
      <c r="I116" s="25"/>
      <c r="J116" s="25"/>
      <c r="K116" s="25"/>
      <c r="L116" s="25"/>
      <c r="M116" s="25"/>
      <c r="N116" s="25"/>
      <c r="O116" s="25"/>
      <c r="P116" s="25"/>
      <c r="Q116" s="25"/>
      <c r="R116" s="25"/>
      <c r="S116" s="25"/>
      <c r="T116" s="53">
        <v>0</v>
      </c>
      <c r="U116" s="25"/>
      <c r="V116" s="5"/>
    </row>
    <row r="117" spans="1:22" ht="15.6" x14ac:dyDescent="0.3">
      <c r="A117" s="24">
        <f t="shared" si="0"/>
        <v>12</v>
      </c>
      <c r="B117" s="25" t="s">
        <v>155</v>
      </c>
      <c r="C117" s="25"/>
      <c r="D117" s="25"/>
      <c r="E117" s="25"/>
      <c r="F117" s="25"/>
      <c r="G117" s="25"/>
      <c r="H117" s="25"/>
      <c r="I117" s="25"/>
      <c r="J117" s="25"/>
      <c r="K117" s="25"/>
      <c r="L117" s="25"/>
      <c r="M117" s="25"/>
      <c r="N117" s="25"/>
      <c r="O117" s="25"/>
      <c r="P117" s="25"/>
      <c r="Q117" s="25"/>
      <c r="R117" s="25"/>
      <c r="S117" s="25"/>
      <c r="T117" s="53">
        <v>-250</v>
      </c>
      <c r="U117" s="25"/>
      <c r="V117" s="5"/>
    </row>
    <row r="118" spans="1:22" ht="15.6" x14ac:dyDescent="0.3">
      <c r="A118" s="24">
        <f t="shared" si="0"/>
        <v>13</v>
      </c>
      <c r="B118" s="25" t="s">
        <v>132</v>
      </c>
      <c r="C118" s="25"/>
      <c r="D118" s="25"/>
      <c r="E118" s="25"/>
      <c r="F118" s="25"/>
      <c r="G118" s="25"/>
      <c r="H118" s="25"/>
      <c r="I118" s="25"/>
      <c r="J118" s="25"/>
      <c r="K118" s="25"/>
      <c r="L118" s="25"/>
      <c r="M118" s="25"/>
      <c r="N118" s="25"/>
      <c r="O118" s="25"/>
      <c r="P118" s="25"/>
      <c r="Q118" s="25"/>
      <c r="R118" s="25"/>
      <c r="S118" s="25"/>
      <c r="T118" s="53">
        <f>-T101-SUM(T103:T117)</f>
        <v>-1159</v>
      </c>
      <c r="U118" s="25"/>
      <c r="V118" s="5"/>
    </row>
    <row r="119" spans="1:22" ht="15.6" x14ac:dyDescent="0.3">
      <c r="A119" s="24"/>
      <c r="B119" s="118" t="s">
        <v>38</v>
      </c>
      <c r="C119" s="25"/>
      <c r="D119" s="25"/>
      <c r="E119" s="25"/>
      <c r="F119" s="25"/>
      <c r="G119" s="25"/>
      <c r="H119" s="25"/>
      <c r="I119" s="25"/>
      <c r="J119" s="25"/>
      <c r="K119" s="25"/>
      <c r="L119" s="25"/>
      <c r="M119" s="25"/>
      <c r="N119" s="25"/>
      <c r="O119" s="25"/>
      <c r="P119" s="25"/>
      <c r="Q119" s="25"/>
      <c r="R119" s="25"/>
      <c r="S119" s="25"/>
      <c r="T119" s="59"/>
      <c r="U119" s="25"/>
      <c r="V119" s="5"/>
    </row>
    <row r="120" spans="1:22" ht="15.6" x14ac:dyDescent="0.3">
      <c r="A120" s="24"/>
      <c r="B120" s="25" t="s">
        <v>180</v>
      </c>
      <c r="C120" s="25"/>
      <c r="D120" s="25"/>
      <c r="E120" s="25"/>
      <c r="F120" s="25"/>
      <c r="G120" s="25"/>
      <c r="H120" s="25"/>
      <c r="I120" s="25"/>
      <c r="J120" s="25"/>
      <c r="K120" s="25"/>
      <c r="L120" s="25"/>
      <c r="M120" s="25"/>
      <c r="N120" s="25"/>
      <c r="O120" s="25"/>
      <c r="P120" s="25"/>
      <c r="Q120" s="25"/>
      <c r="R120" s="34">
        <f>-R177</f>
        <v>-25</v>
      </c>
      <c r="S120" s="34"/>
      <c r="T120" s="53"/>
      <c r="U120" s="25"/>
      <c r="V120" s="5"/>
    </row>
    <row r="121" spans="1:22" ht="15.6" x14ac:dyDescent="0.3">
      <c r="A121" s="24"/>
      <c r="B121" s="25" t="s">
        <v>181</v>
      </c>
      <c r="C121" s="25"/>
      <c r="D121" s="25"/>
      <c r="E121" s="25"/>
      <c r="F121" s="25"/>
      <c r="G121" s="25"/>
      <c r="H121" s="25"/>
      <c r="I121" s="25"/>
      <c r="J121" s="25"/>
      <c r="K121" s="25"/>
      <c r="L121" s="25"/>
      <c r="M121" s="25"/>
      <c r="N121" s="25"/>
      <c r="O121" s="25"/>
      <c r="P121" s="25"/>
      <c r="Q121" s="25"/>
      <c r="R121" s="34">
        <v>-16</v>
      </c>
      <c r="S121" s="34"/>
      <c r="T121" s="53"/>
      <c r="U121" s="25"/>
      <c r="V121" s="5"/>
    </row>
    <row r="122" spans="1:22" ht="15.6" x14ac:dyDescent="0.3">
      <c r="A122" s="24"/>
      <c r="B122" s="25" t="s">
        <v>39</v>
      </c>
      <c r="C122" s="25"/>
      <c r="D122" s="25"/>
      <c r="E122" s="25"/>
      <c r="F122" s="25"/>
      <c r="G122" s="25"/>
      <c r="H122" s="25"/>
      <c r="I122" s="25"/>
      <c r="J122" s="25"/>
      <c r="K122" s="25"/>
      <c r="L122" s="25"/>
      <c r="M122" s="25"/>
      <c r="N122" s="25"/>
      <c r="O122" s="25"/>
      <c r="P122" s="25"/>
      <c r="Q122" s="25"/>
      <c r="R122" s="34">
        <f>-Q177</f>
        <v>-1898</v>
      </c>
      <c r="S122" s="34"/>
      <c r="T122" s="53"/>
      <c r="U122" s="25"/>
      <c r="V122" s="5"/>
    </row>
    <row r="123" spans="1:22" ht="15.6" x14ac:dyDescent="0.3">
      <c r="A123" s="24"/>
      <c r="B123" s="25" t="s">
        <v>205</v>
      </c>
      <c r="C123" s="25"/>
      <c r="D123" s="25"/>
      <c r="E123" s="25"/>
      <c r="F123" s="25"/>
      <c r="G123" s="25"/>
      <c r="H123" s="25"/>
      <c r="I123" s="25"/>
      <c r="J123" s="25"/>
      <c r="K123" s="25"/>
      <c r="L123" s="25"/>
      <c r="M123" s="25"/>
      <c r="N123" s="25"/>
      <c r="O123" s="25"/>
      <c r="P123" s="25"/>
      <c r="Q123" s="25"/>
      <c r="R123" s="34">
        <v>-11561</v>
      </c>
      <c r="S123" s="34"/>
      <c r="T123" s="53"/>
      <c r="U123" s="25"/>
      <c r="V123" s="5"/>
    </row>
    <row r="124" spans="1:22" ht="15.6" x14ac:dyDescent="0.3">
      <c r="A124" s="24"/>
      <c r="B124" s="25" t="s">
        <v>203</v>
      </c>
      <c r="C124" s="25"/>
      <c r="D124" s="25"/>
      <c r="E124" s="25"/>
      <c r="F124" s="25"/>
      <c r="G124" s="25"/>
      <c r="H124" s="25"/>
      <c r="I124" s="25"/>
      <c r="J124" s="25"/>
      <c r="K124" s="25"/>
      <c r="L124" s="25"/>
      <c r="M124" s="25"/>
      <c r="N124" s="25"/>
      <c r="O124" s="25"/>
      <c r="P124" s="25"/>
      <c r="Q124" s="25"/>
      <c r="R124" s="34">
        <v>-3047</v>
      </c>
      <c r="S124" s="34"/>
      <c r="T124" s="53"/>
      <c r="U124" s="25"/>
      <c r="V124" s="5"/>
    </row>
    <row r="125" spans="1:22" ht="15.6" x14ac:dyDescent="0.3">
      <c r="A125" s="24"/>
      <c r="B125" s="25" t="s">
        <v>202</v>
      </c>
      <c r="C125" s="25"/>
      <c r="D125" s="25"/>
      <c r="E125" s="25"/>
      <c r="F125" s="25"/>
      <c r="G125" s="25"/>
      <c r="H125" s="25"/>
      <c r="I125" s="25"/>
      <c r="J125" s="25"/>
      <c r="K125" s="25"/>
      <c r="L125" s="25"/>
      <c r="M125" s="25"/>
      <c r="N125" s="25"/>
      <c r="O125" s="25"/>
      <c r="P125" s="25"/>
      <c r="Q125" s="25"/>
      <c r="R125" s="34">
        <v>-3071</v>
      </c>
      <c r="S125" s="34"/>
      <c r="T125" s="53"/>
      <c r="U125" s="25"/>
      <c r="V125" s="5"/>
    </row>
    <row r="126" spans="1:22" ht="15.6" x14ac:dyDescent="0.3">
      <c r="A126" s="24"/>
      <c r="B126" s="25" t="s">
        <v>197</v>
      </c>
      <c r="C126" s="25"/>
      <c r="D126" s="25"/>
      <c r="E126" s="25"/>
      <c r="F126" s="25"/>
      <c r="G126" s="25"/>
      <c r="H126" s="25"/>
      <c r="I126" s="25"/>
      <c r="J126" s="25"/>
      <c r="K126" s="25"/>
      <c r="L126" s="25"/>
      <c r="M126" s="25"/>
      <c r="N126" s="25"/>
      <c r="O126" s="25"/>
      <c r="P126" s="25"/>
      <c r="Q126" s="25"/>
      <c r="R126" s="34">
        <v>0</v>
      </c>
      <c r="S126" s="34"/>
      <c r="T126" s="53"/>
      <c r="U126" s="25"/>
      <c r="V126" s="5"/>
    </row>
    <row r="127" spans="1:22" ht="15.6" x14ac:dyDescent="0.3">
      <c r="A127" s="24"/>
      <c r="B127" s="25" t="s">
        <v>196</v>
      </c>
      <c r="C127" s="25"/>
      <c r="D127" s="25"/>
      <c r="E127" s="25"/>
      <c r="F127" s="25"/>
      <c r="G127" s="25"/>
      <c r="H127" s="25"/>
      <c r="I127" s="25"/>
      <c r="J127" s="25"/>
      <c r="K127" s="25"/>
      <c r="L127" s="25"/>
      <c r="M127" s="25"/>
      <c r="N127" s="25"/>
      <c r="O127" s="25"/>
      <c r="P127" s="25"/>
      <c r="Q127" s="25"/>
      <c r="R127" s="34">
        <v>0</v>
      </c>
      <c r="S127" s="34"/>
      <c r="T127" s="53"/>
      <c r="U127" s="25"/>
      <c r="V127" s="5"/>
    </row>
    <row r="128" spans="1:22" ht="15.6" x14ac:dyDescent="0.3">
      <c r="A128" s="24"/>
      <c r="B128" s="25" t="s">
        <v>195</v>
      </c>
      <c r="C128" s="25"/>
      <c r="D128" s="25"/>
      <c r="E128" s="25"/>
      <c r="F128" s="25"/>
      <c r="G128" s="25"/>
      <c r="H128" s="25"/>
      <c r="I128" s="25"/>
      <c r="J128" s="25"/>
      <c r="K128" s="25"/>
      <c r="L128" s="25"/>
      <c r="M128" s="25"/>
      <c r="N128" s="25"/>
      <c r="O128" s="25"/>
      <c r="P128" s="25"/>
      <c r="Q128" s="25"/>
      <c r="R128" s="34">
        <v>0</v>
      </c>
      <c r="S128" s="34"/>
      <c r="T128" s="53"/>
      <c r="U128" s="25"/>
      <c r="V128" s="5"/>
    </row>
    <row r="129" spans="1:22" ht="15.6" x14ac:dyDescent="0.3">
      <c r="A129" s="24"/>
      <c r="B129" s="25" t="s">
        <v>40</v>
      </c>
      <c r="C129" s="25"/>
      <c r="D129" s="25"/>
      <c r="E129" s="25"/>
      <c r="F129" s="25"/>
      <c r="G129" s="25"/>
      <c r="H129" s="25"/>
      <c r="I129" s="25"/>
      <c r="J129" s="25"/>
      <c r="K129" s="25"/>
      <c r="L129" s="25"/>
      <c r="M129" s="25"/>
      <c r="N129" s="25"/>
      <c r="O129" s="25"/>
      <c r="P129" s="25"/>
      <c r="Q129" s="25"/>
      <c r="R129" s="34">
        <f>SUM(R120:R128)</f>
        <v>-19618</v>
      </c>
      <c r="S129" s="34"/>
      <c r="T129" s="34">
        <f>SUM(T102:T127)</f>
        <v>-11880</v>
      </c>
      <c r="U129" s="25"/>
      <c r="V129" s="5"/>
    </row>
    <row r="130" spans="1:22" ht="15.6" x14ac:dyDescent="0.3">
      <c r="A130" s="24"/>
      <c r="B130" s="25" t="s">
        <v>41</v>
      </c>
      <c r="C130" s="25"/>
      <c r="D130" s="25"/>
      <c r="E130" s="25"/>
      <c r="F130" s="25"/>
      <c r="G130" s="25"/>
      <c r="H130" s="25"/>
      <c r="I130" s="25"/>
      <c r="J130" s="25"/>
      <c r="K130" s="25"/>
      <c r="L130" s="25"/>
      <c r="M130" s="25"/>
      <c r="N130" s="25"/>
      <c r="O130" s="25"/>
      <c r="P130" s="25"/>
      <c r="Q130" s="25"/>
      <c r="R130" s="34">
        <f>R101+R129+R113</f>
        <v>0</v>
      </c>
      <c r="S130" s="34"/>
      <c r="T130" s="34">
        <f>T101+T129</f>
        <v>0</v>
      </c>
      <c r="U130" s="25"/>
      <c r="V130" s="5"/>
    </row>
    <row r="131" spans="1:22" ht="15.6" x14ac:dyDescent="0.3">
      <c r="A131" s="24"/>
      <c r="B131" s="25"/>
      <c r="C131" s="25"/>
      <c r="D131" s="25"/>
      <c r="E131" s="25"/>
      <c r="F131" s="25"/>
      <c r="G131" s="25"/>
      <c r="H131" s="25"/>
      <c r="I131" s="25"/>
      <c r="J131" s="25"/>
      <c r="K131" s="25"/>
      <c r="L131" s="25"/>
      <c r="M131" s="25"/>
      <c r="N131" s="25"/>
      <c r="O131" s="25"/>
      <c r="P131" s="25"/>
      <c r="Q131" s="25"/>
      <c r="R131" s="34"/>
      <c r="S131" s="34"/>
      <c r="T131" s="34"/>
      <c r="U131" s="25"/>
      <c r="V131" s="5"/>
    </row>
    <row r="132" spans="1:22" ht="15.6" x14ac:dyDescent="0.3">
      <c r="A132" s="6"/>
      <c r="B132" s="8"/>
      <c r="C132" s="8"/>
      <c r="D132" s="8"/>
      <c r="E132" s="8"/>
      <c r="F132" s="8"/>
      <c r="G132" s="8"/>
      <c r="H132" s="8"/>
      <c r="I132" s="8"/>
      <c r="J132" s="8"/>
      <c r="K132" s="8"/>
      <c r="L132" s="8"/>
      <c r="M132" s="8"/>
      <c r="N132" s="8"/>
      <c r="O132" s="8"/>
      <c r="P132" s="8"/>
      <c r="Q132" s="8"/>
      <c r="R132" s="8"/>
      <c r="S132" s="8"/>
      <c r="T132" s="52"/>
      <c r="U132" s="8"/>
      <c r="V132" s="5"/>
    </row>
    <row r="133" spans="1:22" ht="18" thickBot="1" x14ac:dyDescent="0.35">
      <c r="A133" s="101"/>
      <c r="B133" s="102" t="str">
        <f>B64</f>
        <v>PM11 INVESTOR REPORT QUARTER ENDING SEPTEMBER 2008</v>
      </c>
      <c r="C133" s="103"/>
      <c r="D133" s="103"/>
      <c r="E133" s="103"/>
      <c r="F133" s="103"/>
      <c r="G133" s="103"/>
      <c r="H133" s="103"/>
      <c r="I133" s="103"/>
      <c r="J133" s="103"/>
      <c r="K133" s="103"/>
      <c r="L133" s="103"/>
      <c r="M133" s="103"/>
      <c r="N133" s="103"/>
      <c r="O133" s="103"/>
      <c r="P133" s="103"/>
      <c r="Q133" s="103"/>
      <c r="R133" s="103"/>
      <c r="S133" s="103"/>
      <c r="T133" s="106"/>
      <c r="U133" s="105"/>
      <c r="V133" s="5"/>
    </row>
    <row r="134" spans="1:22" ht="15.6" x14ac:dyDescent="0.3">
      <c r="A134" s="2"/>
      <c r="B134" s="60" t="s">
        <v>42</v>
      </c>
      <c r="C134" s="4"/>
      <c r="D134" s="4"/>
      <c r="E134" s="4"/>
      <c r="F134" s="4"/>
      <c r="G134" s="4"/>
      <c r="H134" s="4"/>
      <c r="I134" s="4"/>
      <c r="J134" s="4"/>
      <c r="K134" s="4"/>
      <c r="L134" s="4"/>
      <c r="M134" s="4"/>
      <c r="N134" s="4"/>
      <c r="O134" s="4"/>
      <c r="P134" s="4"/>
      <c r="Q134" s="4"/>
      <c r="R134" s="4"/>
      <c r="S134" s="4"/>
      <c r="T134" s="50"/>
      <c r="U134" s="4"/>
      <c r="V134" s="5"/>
    </row>
    <row r="135" spans="1:22" ht="15.6" x14ac:dyDescent="0.3">
      <c r="A135" s="6"/>
      <c r="B135" s="21"/>
      <c r="C135" s="8"/>
      <c r="D135" s="8"/>
      <c r="E135" s="8"/>
      <c r="F135" s="8"/>
      <c r="G135" s="8"/>
      <c r="H135" s="8"/>
      <c r="I135" s="8"/>
      <c r="J135" s="8"/>
      <c r="K135" s="8"/>
      <c r="L135" s="8"/>
      <c r="M135" s="8"/>
      <c r="N135" s="8"/>
      <c r="O135" s="8"/>
      <c r="P135" s="8"/>
      <c r="Q135" s="8"/>
      <c r="R135" s="8"/>
      <c r="S135" s="8"/>
      <c r="T135" s="52"/>
      <c r="U135" s="8"/>
      <c r="V135" s="5"/>
    </row>
    <row r="136" spans="1:22" ht="15.6" x14ac:dyDescent="0.3">
      <c r="A136" s="6"/>
      <c r="B136" s="119" t="s">
        <v>43</v>
      </c>
      <c r="C136" s="8"/>
      <c r="D136" s="8"/>
      <c r="E136" s="8"/>
      <c r="F136" s="8"/>
      <c r="G136" s="8"/>
      <c r="H136" s="8"/>
      <c r="I136" s="8"/>
      <c r="J136" s="8"/>
      <c r="K136" s="8"/>
      <c r="L136" s="8"/>
      <c r="M136" s="8"/>
      <c r="N136" s="8"/>
      <c r="O136" s="8"/>
      <c r="P136" s="8"/>
      <c r="Q136" s="8"/>
      <c r="R136" s="8"/>
      <c r="S136" s="8"/>
      <c r="T136" s="52"/>
      <c r="U136" s="8"/>
      <c r="V136" s="5"/>
    </row>
    <row r="137" spans="1:22" ht="15.6" x14ac:dyDescent="0.3">
      <c r="A137" s="24"/>
      <c r="B137" s="25" t="s">
        <v>44</v>
      </c>
      <c r="C137" s="25"/>
      <c r="D137" s="25"/>
      <c r="E137" s="25"/>
      <c r="F137" s="25"/>
      <c r="G137" s="25"/>
      <c r="H137" s="25"/>
      <c r="I137" s="25"/>
      <c r="J137" s="25"/>
      <c r="K137" s="25"/>
      <c r="L137" s="25"/>
      <c r="M137" s="25"/>
      <c r="N137" s="25"/>
      <c r="O137" s="25"/>
      <c r="P137" s="25"/>
      <c r="Q137" s="25"/>
      <c r="R137" s="25"/>
      <c r="S137" s="25"/>
      <c r="T137" s="53">
        <f>+T34*0.019</f>
        <v>19000.95</v>
      </c>
      <c r="U137" s="25"/>
      <c r="V137" s="5"/>
    </row>
    <row r="138" spans="1:22" ht="15.6" x14ac:dyDescent="0.3">
      <c r="A138" s="24"/>
      <c r="B138" s="25" t="s">
        <v>45</v>
      </c>
      <c r="C138" s="25"/>
      <c r="D138" s="25"/>
      <c r="E138" s="25"/>
      <c r="F138" s="25"/>
      <c r="G138" s="25"/>
      <c r="H138" s="25"/>
      <c r="I138" s="25"/>
      <c r="J138" s="25"/>
      <c r="K138" s="25"/>
      <c r="L138" s="25"/>
      <c r="M138" s="25"/>
      <c r="N138" s="25"/>
      <c r="O138" s="25"/>
      <c r="P138" s="25"/>
      <c r="Q138" s="25"/>
      <c r="R138" s="25"/>
      <c r="S138" s="25"/>
      <c r="T138" s="53">
        <v>19001</v>
      </c>
      <c r="U138" s="25"/>
      <c r="V138" s="5"/>
    </row>
    <row r="139" spans="1:22" ht="15.6" x14ac:dyDescent="0.3">
      <c r="A139" s="24"/>
      <c r="B139" s="25" t="s">
        <v>142</v>
      </c>
      <c r="C139" s="25"/>
      <c r="D139" s="25"/>
      <c r="E139" s="25"/>
      <c r="F139" s="25"/>
      <c r="G139" s="25"/>
      <c r="H139" s="25"/>
      <c r="I139" s="25"/>
      <c r="J139" s="25"/>
      <c r="K139" s="25"/>
      <c r="L139" s="25"/>
      <c r="M139" s="25"/>
      <c r="N139" s="25"/>
      <c r="O139" s="25"/>
      <c r="P139" s="25"/>
      <c r="Q139" s="25"/>
      <c r="R139" s="25"/>
      <c r="S139" s="25"/>
      <c r="T139" s="53">
        <v>0</v>
      </c>
      <c r="U139" s="25"/>
      <c r="V139" s="5"/>
    </row>
    <row r="140" spans="1:22" ht="15.6" x14ac:dyDescent="0.3">
      <c r="A140" s="24"/>
      <c r="B140" s="25" t="s">
        <v>129</v>
      </c>
      <c r="C140" s="25"/>
      <c r="D140" s="25"/>
      <c r="E140" s="25"/>
      <c r="F140" s="25"/>
      <c r="G140" s="25"/>
      <c r="H140" s="25"/>
      <c r="I140" s="25"/>
      <c r="J140" s="25"/>
      <c r="K140" s="25"/>
      <c r="L140" s="25"/>
      <c r="M140" s="25"/>
      <c r="N140" s="25"/>
      <c r="O140" s="25"/>
      <c r="P140" s="25"/>
      <c r="Q140" s="25"/>
      <c r="R140" s="25"/>
      <c r="S140" s="25"/>
      <c r="T140" s="53">
        <v>0</v>
      </c>
      <c r="U140" s="25"/>
      <c r="V140" s="5"/>
    </row>
    <row r="141" spans="1:22" ht="15.6" x14ac:dyDescent="0.3">
      <c r="A141" s="24"/>
      <c r="B141" s="25" t="s">
        <v>130</v>
      </c>
      <c r="C141" s="25"/>
      <c r="D141" s="25"/>
      <c r="E141" s="25"/>
      <c r="F141" s="25"/>
      <c r="G141" s="25"/>
      <c r="H141" s="25"/>
      <c r="I141" s="25"/>
      <c r="J141" s="25"/>
      <c r="K141" s="25"/>
      <c r="L141" s="25"/>
      <c r="M141" s="25"/>
      <c r="N141" s="25"/>
      <c r="O141" s="25"/>
      <c r="P141" s="25"/>
      <c r="Q141" s="25"/>
      <c r="R141" s="25"/>
      <c r="S141" s="25"/>
      <c r="T141" s="53">
        <v>0</v>
      </c>
      <c r="U141" s="25"/>
      <c r="V141" s="5"/>
    </row>
    <row r="142" spans="1:22" ht="15.6" x14ac:dyDescent="0.3">
      <c r="A142" s="24"/>
      <c r="B142" s="25" t="s">
        <v>182</v>
      </c>
      <c r="C142" s="25"/>
      <c r="D142" s="25"/>
      <c r="E142" s="25"/>
      <c r="F142" s="25"/>
      <c r="G142" s="25"/>
      <c r="H142" s="25"/>
      <c r="I142" s="25"/>
      <c r="J142" s="25"/>
      <c r="K142" s="25"/>
      <c r="L142" s="25"/>
      <c r="M142" s="25"/>
      <c r="N142" s="25"/>
      <c r="O142" s="25"/>
      <c r="P142" s="25"/>
      <c r="Q142" s="25"/>
      <c r="R142" s="25"/>
      <c r="S142" s="25"/>
      <c r="T142" s="53">
        <v>0</v>
      </c>
      <c r="U142" s="25"/>
      <c r="V142" s="5"/>
    </row>
    <row r="143" spans="1:22" ht="15.6" x14ac:dyDescent="0.3">
      <c r="A143" s="24"/>
      <c r="B143" s="25" t="s">
        <v>46</v>
      </c>
      <c r="C143" s="25"/>
      <c r="D143" s="25"/>
      <c r="E143" s="25"/>
      <c r="F143" s="25"/>
      <c r="G143" s="25"/>
      <c r="H143" s="25"/>
      <c r="I143" s="25"/>
      <c r="J143" s="25"/>
      <c r="K143" s="25"/>
      <c r="L143" s="25"/>
      <c r="M143" s="25"/>
      <c r="N143" s="25"/>
      <c r="O143" s="25"/>
      <c r="P143" s="25"/>
      <c r="Q143" s="25"/>
      <c r="R143" s="25"/>
      <c r="S143" s="25"/>
      <c r="T143" s="53">
        <v>0</v>
      </c>
      <c r="U143" s="25"/>
      <c r="V143" s="5"/>
    </row>
    <row r="144" spans="1:22" ht="15.6" x14ac:dyDescent="0.3">
      <c r="A144" s="24"/>
      <c r="B144" s="25" t="s">
        <v>135</v>
      </c>
      <c r="C144" s="25"/>
      <c r="D144" s="25"/>
      <c r="E144" s="25"/>
      <c r="F144" s="25"/>
      <c r="G144" s="25"/>
      <c r="H144" s="25"/>
      <c r="I144" s="25"/>
      <c r="J144" s="25"/>
      <c r="K144" s="25"/>
      <c r="L144" s="25"/>
      <c r="M144" s="25"/>
      <c r="N144" s="25"/>
      <c r="O144" s="25"/>
      <c r="P144" s="25"/>
      <c r="Q144" s="25"/>
      <c r="R144" s="25"/>
      <c r="S144" s="25"/>
      <c r="T144" s="53">
        <v>0</v>
      </c>
      <c r="U144" s="25"/>
      <c r="V144" s="5"/>
    </row>
    <row r="145" spans="1:23" ht="15.6" x14ac:dyDescent="0.3">
      <c r="A145" s="24"/>
      <c r="B145" s="25" t="s">
        <v>251</v>
      </c>
      <c r="C145" s="25"/>
      <c r="D145" s="25"/>
      <c r="E145" s="25"/>
      <c r="F145" s="25"/>
      <c r="G145" s="25"/>
      <c r="H145" s="25"/>
      <c r="I145" s="25"/>
      <c r="J145" s="25"/>
      <c r="K145" s="25"/>
      <c r="L145" s="25"/>
      <c r="M145" s="25"/>
      <c r="N145" s="25"/>
      <c r="O145" s="25"/>
      <c r="P145" s="25"/>
      <c r="Q145" s="25"/>
      <c r="R145" s="25"/>
      <c r="S145" s="25"/>
      <c r="T145" s="53">
        <v>0</v>
      </c>
      <c r="U145" s="25"/>
      <c r="V145" s="5"/>
      <c r="W145" s="109"/>
    </row>
    <row r="146" spans="1:23" ht="15.6" x14ac:dyDescent="0.3">
      <c r="A146" s="24"/>
      <c r="B146" s="25" t="s">
        <v>47</v>
      </c>
      <c r="C146" s="25"/>
      <c r="D146" s="25"/>
      <c r="E146" s="25"/>
      <c r="F146" s="25"/>
      <c r="G146" s="25"/>
      <c r="H146" s="25"/>
      <c r="I146" s="25"/>
      <c r="J146" s="25"/>
      <c r="K146" s="25"/>
      <c r="L146" s="25"/>
      <c r="M146" s="25"/>
      <c r="N146" s="25"/>
      <c r="O146" s="25"/>
      <c r="P146" s="25"/>
      <c r="Q146" s="25"/>
      <c r="R146" s="25"/>
      <c r="S146" s="25"/>
      <c r="T146" s="53">
        <f>SUM(T138:T145)</f>
        <v>19001</v>
      </c>
      <c r="U146" s="25"/>
      <c r="V146" s="5"/>
    </row>
    <row r="147" spans="1:23" ht="15.6" x14ac:dyDescent="0.3">
      <c r="A147" s="24"/>
      <c r="B147" s="25"/>
      <c r="C147" s="25"/>
      <c r="D147" s="25"/>
      <c r="E147" s="25"/>
      <c r="F147" s="25"/>
      <c r="G147" s="25"/>
      <c r="H147" s="25"/>
      <c r="I147" s="25"/>
      <c r="J147" s="25"/>
      <c r="K147" s="25"/>
      <c r="L147" s="25"/>
      <c r="M147" s="25"/>
      <c r="N147" s="25"/>
      <c r="O147" s="25"/>
      <c r="P147" s="25"/>
      <c r="Q147" s="25"/>
      <c r="R147" s="25"/>
      <c r="S147" s="25"/>
      <c r="T147" s="53"/>
      <c r="U147" s="25"/>
      <c r="V147" s="5"/>
    </row>
    <row r="148" spans="1:23" ht="15.6" x14ac:dyDescent="0.3">
      <c r="A148" s="24"/>
      <c r="B148" s="138" t="s">
        <v>262</v>
      </c>
      <c r="C148" s="25"/>
      <c r="D148" s="25"/>
      <c r="E148" s="25"/>
      <c r="F148" s="25"/>
      <c r="G148" s="25"/>
      <c r="H148" s="25"/>
      <c r="I148" s="25"/>
      <c r="J148" s="25"/>
      <c r="K148" s="25"/>
      <c r="L148" s="25"/>
      <c r="M148" s="25"/>
      <c r="N148" s="25"/>
      <c r="O148" s="25"/>
      <c r="P148" s="25"/>
      <c r="Q148" s="25"/>
      <c r="R148" s="25"/>
      <c r="S148" s="25"/>
      <c r="T148" s="53"/>
      <c r="U148" s="25"/>
      <c r="V148" s="5"/>
    </row>
    <row r="149" spans="1:23" ht="15.6" x14ac:dyDescent="0.3">
      <c r="A149" s="24"/>
      <c r="B149" s="25" t="s">
        <v>263</v>
      </c>
      <c r="C149" s="25"/>
      <c r="D149" s="25"/>
      <c r="E149" s="25"/>
      <c r="F149" s="25"/>
      <c r="G149" s="25"/>
      <c r="H149" s="25"/>
      <c r="I149" s="25"/>
      <c r="J149" s="25"/>
      <c r="K149" s="25"/>
      <c r="L149" s="25"/>
      <c r="M149" s="25"/>
      <c r="N149" s="25"/>
      <c r="O149" s="25"/>
      <c r="P149" s="25"/>
      <c r="Q149" s="25"/>
      <c r="R149" s="25"/>
      <c r="S149" s="25"/>
      <c r="T149" s="53">
        <v>0</v>
      </c>
      <c r="U149" s="25"/>
      <c r="V149" s="5"/>
    </row>
    <row r="150" spans="1:23" ht="15.6" x14ac:dyDescent="0.3">
      <c r="A150" s="24"/>
      <c r="B150" s="25" t="s">
        <v>179</v>
      </c>
      <c r="C150" s="25"/>
      <c r="D150" s="25"/>
      <c r="E150" s="25"/>
      <c r="F150" s="25"/>
      <c r="G150" s="25"/>
      <c r="H150" s="25"/>
      <c r="I150" s="25"/>
      <c r="J150" s="25"/>
      <c r="K150" s="25"/>
      <c r="L150" s="25"/>
      <c r="M150" s="25"/>
      <c r="N150" s="25"/>
      <c r="O150" s="25"/>
      <c r="P150" s="25"/>
      <c r="Q150" s="25"/>
      <c r="R150" s="25"/>
      <c r="S150" s="25"/>
      <c r="T150" s="53">
        <v>0</v>
      </c>
      <c r="U150" s="25"/>
      <c r="V150" s="5"/>
    </row>
    <row r="151" spans="1:23" ht="15.6" x14ac:dyDescent="0.3">
      <c r="A151" s="24"/>
      <c r="B151" s="25" t="s">
        <v>264</v>
      </c>
      <c r="C151" s="25"/>
      <c r="D151" s="25"/>
      <c r="E151" s="25"/>
      <c r="F151" s="25"/>
      <c r="G151" s="25"/>
      <c r="H151" s="25"/>
      <c r="I151" s="25"/>
      <c r="J151" s="25"/>
      <c r="K151" s="25"/>
      <c r="L151" s="25"/>
      <c r="M151" s="25"/>
      <c r="N151" s="25"/>
      <c r="O151" s="25"/>
      <c r="P151" s="25"/>
      <c r="Q151" s="25"/>
      <c r="R151" s="25"/>
      <c r="S151" s="25"/>
      <c r="T151" s="53">
        <v>0</v>
      </c>
      <c r="U151" s="25"/>
      <c r="V151" s="5"/>
    </row>
    <row r="152" spans="1:23" ht="15.6" x14ac:dyDescent="0.3">
      <c r="A152" s="24"/>
      <c r="B152" s="25"/>
      <c r="C152" s="25"/>
      <c r="D152" s="25"/>
      <c r="E152" s="25"/>
      <c r="F152" s="25"/>
      <c r="G152" s="25"/>
      <c r="H152" s="25"/>
      <c r="I152" s="25"/>
      <c r="J152" s="25"/>
      <c r="K152" s="25"/>
      <c r="L152" s="25"/>
      <c r="M152" s="25"/>
      <c r="N152" s="25"/>
      <c r="O152" s="25"/>
      <c r="P152" s="25"/>
      <c r="Q152" s="25"/>
      <c r="R152" s="25"/>
      <c r="S152" s="25"/>
      <c r="T152" s="53"/>
      <c r="U152" s="25"/>
      <c r="V152" s="5"/>
    </row>
    <row r="153" spans="1:23" ht="15.6" x14ac:dyDescent="0.3">
      <c r="A153" s="24"/>
      <c r="B153" s="25"/>
      <c r="C153" s="25"/>
      <c r="D153" s="25"/>
      <c r="E153" s="25"/>
      <c r="F153" s="25"/>
      <c r="G153" s="25"/>
      <c r="H153" s="25"/>
      <c r="I153" s="25"/>
      <c r="J153" s="25"/>
      <c r="K153" s="25"/>
      <c r="L153" s="25"/>
      <c r="M153" s="25"/>
      <c r="N153" s="25"/>
      <c r="O153" s="25"/>
      <c r="P153" s="25"/>
      <c r="Q153" s="25"/>
      <c r="R153" s="25"/>
      <c r="S153" s="25"/>
      <c r="T153" s="61"/>
      <c r="U153" s="25"/>
      <c r="V153" s="5"/>
    </row>
    <row r="154" spans="1:23" ht="15.6" x14ac:dyDescent="0.3">
      <c r="A154" s="6"/>
      <c r="B154" s="119" t="s">
        <v>24</v>
      </c>
      <c r="C154" s="8"/>
      <c r="D154" s="8"/>
      <c r="E154" s="8"/>
      <c r="F154" s="8"/>
      <c r="G154" s="8"/>
      <c r="H154" s="8"/>
      <c r="I154" s="8"/>
      <c r="J154" s="8"/>
      <c r="K154" s="8"/>
      <c r="L154" s="8"/>
      <c r="M154" s="8"/>
      <c r="N154" s="8"/>
      <c r="O154" s="8"/>
      <c r="P154" s="8"/>
      <c r="Q154" s="8"/>
      <c r="R154" s="8"/>
      <c r="S154" s="8"/>
      <c r="T154" s="52"/>
      <c r="U154" s="8"/>
      <c r="V154" s="5"/>
    </row>
    <row r="155" spans="1:23" ht="15.6" x14ac:dyDescent="0.3">
      <c r="A155" s="24"/>
      <c r="B155" s="25" t="s">
        <v>48</v>
      </c>
      <c r="C155" s="25"/>
      <c r="D155" s="25"/>
      <c r="E155" s="25"/>
      <c r="F155" s="25"/>
      <c r="G155" s="25"/>
      <c r="H155" s="25"/>
      <c r="I155" s="25"/>
      <c r="J155" s="25"/>
      <c r="K155" s="25"/>
      <c r="L155" s="25"/>
      <c r="M155" s="25"/>
      <c r="N155" s="25"/>
      <c r="O155" s="25"/>
      <c r="P155" s="25"/>
      <c r="Q155" s="25"/>
      <c r="R155" s="25"/>
      <c r="S155" s="25"/>
      <c r="T155" s="59" t="s">
        <v>124</v>
      </c>
      <c r="U155" s="25"/>
      <c r="V155" s="5"/>
    </row>
    <row r="156" spans="1:23" ht="15.6" x14ac:dyDescent="0.3">
      <c r="A156" s="24"/>
      <c r="B156" s="25" t="s">
        <v>49</v>
      </c>
      <c r="C156" s="163"/>
      <c r="D156" s="163"/>
      <c r="E156" s="163"/>
      <c r="F156" s="163"/>
      <c r="G156" s="163"/>
      <c r="H156" s="163"/>
      <c r="I156" s="163"/>
      <c r="J156" s="163"/>
      <c r="K156" s="163"/>
      <c r="L156" s="163"/>
      <c r="M156" s="163"/>
      <c r="N156" s="163"/>
      <c r="O156" s="163"/>
      <c r="P156" s="163"/>
      <c r="Q156" s="163"/>
      <c r="R156" s="163"/>
      <c r="S156" s="163"/>
      <c r="T156" s="59" t="s">
        <v>124</v>
      </c>
      <c r="U156" s="25"/>
      <c r="V156" s="5"/>
    </row>
    <row r="157" spans="1:23" ht="15.6" x14ac:dyDescent="0.3">
      <c r="A157" s="24"/>
      <c r="B157" s="25" t="s">
        <v>50</v>
      </c>
      <c r="C157" s="25"/>
      <c r="D157" s="25"/>
      <c r="E157" s="25"/>
      <c r="F157" s="25"/>
      <c r="G157" s="25"/>
      <c r="H157" s="25"/>
      <c r="I157" s="25"/>
      <c r="J157" s="25"/>
      <c r="K157" s="25"/>
      <c r="L157" s="25"/>
      <c r="M157" s="25"/>
      <c r="N157" s="25"/>
      <c r="O157" s="25"/>
      <c r="P157" s="25"/>
      <c r="Q157" s="25"/>
      <c r="R157" s="25"/>
      <c r="S157" s="25"/>
      <c r="T157" s="59" t="s">
        <v>124</v>
      </c>
      <c r="U157" s="25"/>
      <c r="V157" s="5"/>
    </row>
    <row r="158" spans="1:23" ht="15.6" x14ac:dyDescent="0.3">
      <c r="A158" s="24"/>
      <c r="B158" s="25" t="s">
        <v>51</v>
      </c>
      <c r="C158" s="25"/>
      <c r="D158" s="25"/>
      <c r="E158" s="25"/>
      <c r="F158" s="25"/>
      <c r="G158" s="25"/>
      <c r="H158" s="25"/>
      <c r="I158" s="25"/>
      <c r="J158" s="25"/>
      <c r="K158" s="25"/>
      <c r="L158" s="25"/>
      <c r="M158" s="25"/>
      <c r="N158" s="25"/>
      <c r="O158" s="25"/>
      <c r="P158" s="25"/>
      <c r="Q158" s="25"/>
      <c r="R158" s="25"/>
      <c r="S158" s="25"/>
      <c r="T158" s="59" t="s">
        <v>124</v>
      </c>
      <c r="U158" s="25"/>
      <c r="V158" s="5"/>
    </row>
    <row r="159" spans="1:23" ht="15.6" x14ac:dyDescent="0.3">
      <c r="A159" s="24"/>
      <c r="B159" s="25"/>
      <c r="C159" s="25"/>
      <c r="D159" s="25"/>
      <c r="E159" s="25"/>
      <c r="F159" s="25"/>
      <c r="G159" s="25"/>
      <c r="H159" s="25"/>
      <c r="I159" s="25"/>
      <c r="J159" s="25"/>
      <c r="K159" s="25"/>
      <c r="L159" s="25"/>
      <c r="M159" s="25"/>
      <c r="N159" s="25"/>
      <c r="O159" s="25"/>
      <c r="P159" s="25"/>
      <c r="Q159" s="25"/>
      <c r="R159" s="25"/>
      <c r="S159" s="25"/>
      <c r="T159" s="61"/>
      <c r="U159" s="25"/>
      <c r="V159" s="5"/>
    </row>
    <row r="160" spans="1:23" ht="15.6" x14ac:dyDescent="0.3">
      <c r="A160" s="6"/>
      <c r="B160" s="119" t="s">
        <v>52</v>
      </c>
      <c r="C160" s="8"/>
      <c r="D160" s="8"/>
      <c r="E160" s="8"/>
      <c r="F160" s="8"/>
      <c r="G160" s="8"/>
      <c r="H160" s="8"/>
      <c r="I160" s="8"/>
      <c r="J160" s="8"/>
      <c r="K160" s="8"/>
      <c r="L160" s="8"/>
      <c r="M160" s="8"/>
      <c r="N160" s="8"/>
      <c r="O160" s="8"/>
      <c r="P160" s="8"/>
      <c r="Q160" s="8"/>
      <c r="R160" s="8"/>
      <c r="S160" s="8"/>
      <c r="T160" s="63"/>
      <c r="U160" s="8"/>
      <c r="V160" s="5"/>
    </row>
    <row r="161" spans="1:22" ht="15.6" x14ac:dyDescent="0.3">
      <c r="A161" s="24"/>
      <c r="B161" s="25" t="s">
        <v>53</v>
      </c>
      <c r="C161" s="25"/>
      <c r="D161" s="25"/>
      <c r="E161" s="25"/>
      <c r="F161" s="25"/>
      <c r="G161" s="25"/>
      <c r="H161" s="25"/>
      <c r="I161" s="25"/>
      <c r="J161" s="25"/>
      <c r="K161" s="25"/>
      <c r="L161" s="25"/>
      <c r="M161" s="25"/>
      <c r="N161" s="25"/>
      <c r="O161" s="25"/>
      <c r="P161" s="25"/>
      <c r="Q161" s="25"/>
      <c r="R161" s="25"/>
      <c r="S161" s="25"/>
      <c r="T161" s="53">
        <v>0</v>
      </c>
      <c r="U161" s="25"/>
      <c r="V161" s="5"/>
    </row>
    <row r="162" spans="1:22" ht="15.6" x14ac:dyDescent="0.3">
      <c r="A162" s="24"/>
      <c r="B162" s="25" t="s">
        <v>54</v>
      </c>
      <c r="C162" s="25"/>
      <c r="D162" s="25"/>
      <c r="E162" s="25"/>
      <c r="F162" s="25"/>
      <c r="G162" s="25"/>
      <c r="H162" s="25"/>
      <c r="I162" s="25"/>
      <c r="J162" s="25"/>
      <c r="K162" s="25"/>
      <c r="L162" s="25"/>
      <c r="M162" s="25"/>
      <c r="N162" s="25"/>
      <c r="O162" s="25"/>
      <c r="P162" s="25"/>
      <c r="Q162" s="25"/>
      <c r="R162" s="25"/>
      <c r="S162" s="25"/>
      <c r="T162" s="53">
        <f>R113</f>
        <v>116</v>
      </c>
      <c r="U162" s="25"/>
      <c r="V162" s="5"/>
    </row>
    <row r="163" spans="1:22" ht="15.6" x14ac:dyDescent="0.3">
      <c r="A163" s="24"/>
      <c r="B163" s="25" t="s">
        <v>55</v>
      </c>
      <c r="C163" s="25"/>
      <c r="D163" s="25"/>
      <c r="E163" s="25"/>
      <c r="F163" s="25"/>
      <c r="G163" s="25"/>
      <c r="H163" s="25"/>
      <c r="I163" s="25"/>
      <c r="J163" s="25"/>
      <c r="K163" s="25"/>
      <c r="L163" s="25"/>
      <c r="M163" s="25"/>
      <c r="N163" s="25"/>
      <c r="O163" s="25"/>
      <c r="P163" s="25"/>
      <c r="Q163" s="25"/>
      <c r="R163" s="25"/>
      <c r="S163" s="25"/>
      <c r="T163" s="53">
        <f>T162+T161</f>
        <v>116</v>
      </c>
      <c r="U163" s="25"/>
      <c r="V163" s="5"/>
    </row>
    <row r="164" spans="1:22" ht="15.6" x14ac:dyDescent="0.3">
      <c r="A164" s="24"/>
      <c r="B164" s="405" t="s">
        <v>301</v>
      </c>
      <c r="C164" s="25"/>
      <c r="D164" s="25"/>
      <c r="E164" s="25"/>
      <c r="F164" s="25"/>
      <c r="G164" s="25"/>
      <c r="H164" s="25"/>
      <c r="I164" s="25"/>
      <c r="J164" s="25"/>
      <c r="K164" s="25"/>
      <c r="L164" s="25"/>
      <c r="M164" s="25"/>
      <c r="N164" s="25"/>
      <c r="O164" s="25"/>
      <c r="P164" s="25"/>
      <c r="Q164" s="25"/>
      <c r="R164" s="25"/>
      <c r="S164" s="25"/>
      <c r="T164" s="53">
        <f>T113</f>
        <v>-116</v>
      </c>
      <c r="U164" s="25"/>
      <c r="V164" s="5"/>
    </row>
    <row r="165" spans="1:22" ht="15.6" x14ac:dyDescent="0.3">
      <c r="A165" s="24"/>
      <c r="B165" s="25" t="s">
        <v>56</v>
      </c>
      <c r="C165" s="25"/>
      <c r="D165" s="25"/>
      <c r="E165" s="25"/>
      <c r="F165" s="25"/>
      <c r="G165" s="25"/>
      <c r="H165" s="25"/>
      <c r="I165" s="25"/>
      <c r="J165" s="25"/>
      <c r="K165" s="25"/>
      <c r="L165" s="25"/>
      <c r="M165" s="25"/>
      <c r="N165" s="25"/>
      <c r="O165" s="25"/>
      <c r="P165" s="25"/>
      <c r="Q165" s="25"/>
      <c r="R165" s="25"/>
      <c r="S165" s="25"/>
      <c r="T165" s="53">
        <f>T163+T164</f>
        <v>0</v>
      </c>
      <c r="U165" s="25"/>
      <c r="V165" s="5"/>
    </row>
    <row r="166" spans="1:22" ht="16.2" thickBot="1" x14ac:dyDescent="0.35">
      <c r="A166" s="24"/>
      <c r="B166" s="25"/>
      <c r="C166" s="25"/>
      <c r="D166" s="25"/>
      <c r="E166" s="25"/>
      <c r="F166" s="25"/>
      <c r="G166" s="25"/>
      <c r="H166" s="25"/>
      <c r="I166" s="25"/>
      <c r="J166" s="25"/>
      <c r="K166" s="25"/>
      <c r="L166" s="25"/>
      <c r="M166" s="25"/>
      <c r="N166" s="25"/>
      <c r="O166" s="25"/>
      <c r="P166" s="25"/>
      <c r="Q166" s="25"/>
      <c r="R166" s="25"/>
      <c r="S166" s="25"/>
      <c r="T166" s="61"/>
      <c r="U166" s="25"/>
      <c r="V166" s="5"/>
    </row>
    <row r="167" spans="1:22" ht="15.6" x14ac:dyDescent="0.3">
      <c r="A167" s="2"/>
      <c r="B167" s="4"/>
      <c r="C167" s="4"/>
      <c r="D167" s="4"/>
      <c r="E167" s="4"/>
      <c r="F167" s="4"/>
      <c r="G167" s="4"/>
      <c r="H167" s="4"/>
      <c r="I167" s="4"/>
      <c r="J167" s="4"/>
      <c r="K167" s="4"/>
      <c r="L167" s="4"/>
      <c r="M167" s="4"/>
      <c r="N167" s="4"/>
      <c r="O167" s="4"/>
      <c r="P167" s="4"/>
      <c r="Q167" s="4"/>
      <c r="R167" s="4"/>
      <c r="S167" s="4"/>
      <c r="T167" s="50"/>
      <c r="U167" s="4"/>
      <c r="V167" s="5"/>
    </row>
    <row r="168" spans="1:22" ht="15.6" x14ac:dyDescent="0.3">
      <c r="A168" s="6"/>
      <c r="B168" s="119" t="s">
        <v>57</v>
      </c>
      <c r="C168" s="8"/>
      <c r="D168" s="8"/>
      <c r="E168" s="8"/>
      <c r="F168" s="8"/>
      <c r="G168" s="8"/>
      <c r="H168" s="8"/>
      <c r="I168" s="8"/>
      <c r="J168" s="8"/>
      <c r="K168" s="8"/>
      <c r="L168" s="8"/>
      <c r="M168" s="8"/>
      <c r="N168" s="8"/>
      <c r="O168" s="8"/>
      <c r="P168" s="8"/>
      <c r="Q168" s="8"/>
      <c r="R168" s="8"/>
      <c r="S168" s="8"/>
      <c r="T168" s="52"/>
      <c r="U168" s="8"/>
      <c r="V168" s="5"/>
    </row>
    <row r="169" spans="1:22" ht="15.6" x14ac:dyDescent="0.3">
      <c r="A169" s="6"/>
      <c r="B169" s="21"/>
      <c r="C169" s="8"/>
      <c r="D169" s="8"/>
      <c r="E169" s="8"/>
      <c r="F169" s="8"/>
      <c r="G169" s="8"/>
      <c r="H169" s="8"/>
      <c r="I169" s="8"/>
      <c r="J169" s="8"/>
      <c r="K169" s="8"/>
      <c r="L169" s="8"/>
      <c r="M169" s="8"/>
      <c r="N169" s="8"/>
      <c r="O169" s="8"/>
      <c r="P169" s="8"/>
      <c r="Q169" s="8"/>
      <c r="R169" s="8"/>
      <c r="S169" s="8"/>
      <c r="T169" s="52"/>
      <c r="U169" s="8"/>
      <c r="V169" s="5"/>
    </row>
    <row r="170" spans="1:22" ht="15.6" x14ac:dyDescent="0.3">
      <c r="A170" s="24"/>
      <c r="B170" s="25" t="s">
        <v>58</v>
      </c>
      <c r="C170" s="25"/>
      <c r="D170" s="25"/>
      <c r="E170" s="25"/>
      <c r="F170" s="25"/>
      <c r="G170" s="25"/>
      <c r="H170" s="25"/>
      <c r="I170" s="25"/>
      <c r="J170" s="25"/>
      <c r="K170" s="25"/>
      <c r="L170" s="25"/>
      <c r="M170" s="25"/>
      <c r="N170" s="25"/>
      <c r="O170" s="25"/>
      <c r="P170" s="25"/>
      <c r="Q170" s="25"/>
      <c r="R170" s="25"/>
      <c r="S170" s="25"/>
      <c r="T170" s="53">
        <f>T72</f>
        <v>641940</v>
      </c>
      <c r="U170" s="25"/>
      <c r="V170" s="5"/>
    </row>
    <row r="171" spans="1:22" ht="15.6" x14ac:dyDescent="0.3">
      <c r="A171" s="24"/>
      <c r="B171" s="25" t="s">
        <v>59</v>
      </c>
      <c r="C171" s="25"/>
      <c r="D171" s="25"/>
      <c r="E171" s="25"/>
      <c r="F171" s="25"/>
      <c r="G171" s="25"/>
      <c r="H171" s="25"/>
      <c r="I171" s="25"/>
      <c r="J171" s="25"/>
      <c r="K171" s="25"/>
      <c r="L171" s="25"/>
      <c r="M171" s="25"/>
      <c r="N171" s="25"/>
      <c r="O171" s="25"/>
      <c r="P171" s="25"/>
      <c r="Q171" s="25"/>
      <c r="R171" s="25"/>
      <c r="S171" s="25"/>
      <c r="T171" s="53">
        <f>T85</f>
        <v>641940</v>
      </c>
      <c r="U171" s="25"/>
      <c r="V171" s="5"/>
    </row>
    <row r="172" spans="1:22" ht="16.2" thickBot="1" x14ac:dyDescent="0.35">
      <c r="A172" s="24"/>
      <c r="B172" s="25"/>
      <c r="C172" s="25"/>
      <c r="D172" s="25"/>
      <c r="E172" s="25"/>
      <c r="F172" s="25"/>
      <c r="G172" s="25"/>
      <c r="H172" s="25"/>
      <c r="I172" s="25"/>
      <c r="J172" s="25"/>
      <c r="K172" s="25"/>
      <c r="L172" s="25"/>
      <c r="M172" s="25"/>
      <c r="N172" s="25"/>
      <c r="O172" s="25"/>
      <c r="P172" s="25"/>
      <c r="Q172" s="25"/>
      <c r="R172" s="25"/>
      <c r="S172" s="25"/>
      <c r="T172" s="61"/>
      <c r="U172" s="25"/>
      <c r="V172" s="5"/>
    </row>
    <row r="173" spans="1:22" ht="15.6" x14ac:dyDescent="0.3">
      <c r="A173" s="2"/>
      <c r="B173" s="4"/>
      <c r="C173" s="4"/>
      <c r="D173" s="4"/>
      <c r="E173" s="4"/>
      <c r="F173" s="4"/>
      <c r="G173" s="4"/>
      <c r="H173" s="4"/>
      <c r="I173" s="4"/>
      <c r="J173" s="4"/>
      <c r="K173" s="4"/>
      <c r="L173" s="4"/>
      <c r="M173" s="4"/>
      <c r="N173" s="4"/>
      <c r="O173" s="4"/>
      <c r="P173" s="4"/>
      <c r="Q173" s="4"/>
      <c r="R173" s="4"/>
      <c r="S173" s="4"/>
      <c r="T173" s="50"/>
      <c r="U173" s="4"/>
      <c r="V173" s="5"/>
    </row>
    <row r="174" spans="1:22" ht="15.6" x14ac:dyDescent="0.3">
      <c r="A174" s="6"/>
      <c r="B174" s="119" t="s">
        <v>60</v>
      </c>
      <c r="C174" s="117"/>
      <c r="D174" s="117"/>
      <c r="E174" s="117"/>
      <c r="F174" s="117"/>
      <c r="G174" s="117"/>
      <c r="H174" s="120"/>
      <c r="I174" s="120"/>
      <c r="J174" s="120"/>
      <c r="K174" s="120"/>
      <c r="L174" s="120"/>
      <c r="M174" s="120"/>
      <c r="N174" s="120"/>
      <c r="O174" s="120"/>
      <c r="P174" s="120"/>
      <c r="Q174" s="120" t="s">
        <v>104</v>
      </c>
      <c r="R174" s="120" t="s">
        <v>183</v>
      </c>
      <c r="S174" s="111"/>
      <c r="T174" s="121" t="s">
        <v>120</v>
      </c>
      <c r="U174" s="10"/>
      <c r="V174" s="5"/>
    </row>
    <row r="175" spans="1:22" ht="15.6" x14ac:dyDescent="0.3">
      <c r="A175" s="24"/>
      <c r="B175" s="25" t="s">
        <v>61</v>
      </c>
      <c r="C175" s="25"/>
      <c r="D175" s="25"/>
      <c r="E175" s="25"/>
      <c r="F175" s="25"/>
      <c r="G175" s="25"/>
      <c r="H175" s="25"/>
      <c r="I175" s="25"/>
      <c r="J175" s="25"/>
      <c r="K175" s="25"/>
      <c r="L175" s="25"/>
      <c r="M175" s="25"/>
      <c r="N175" s="25"/>
      <c r="O175" s="25"/>
      <c r="P175" s="25"/>
      <c r="Q175" s="53">
        <v>160008</v>
      </c>
      <c r="R175" s="40"/>
      <c r="S175" s="25"/>
      <c r="T175" s="53"/>
      <c r="U175" s="25"/>
      <c r="V175" s="5"/>
    </row>
    <row r="176" spans="1:22" ht="15.6" x14ac:dyDescent="0.3">
      <c r="A176" s="24"/>
      <c r="B176" s="25" t="s">
        <v>62</v>
      </c>
      <c r="C176" s="25"/>
      <c r="D176" s="25"/>
      <c r="E176" s="25"/>
      <c r="F176" s="25"/>
      <c r="G176" s="25"/>
      <c r="H176" s="25"/>
      <c r="I176" s="25"/>
      <c r="J176" s="25"/>
      <c r="K176" s="25"/>
      <c r="L176" s="25"/>
      <c r="M176" s="25"/>
      <c r="N176" s="25"/>
      <c r="O176" s="25"/>
      <c r="P176" s="25"/>
      <c r="Q176" s="53">
        <f>+'June 08'!Q178</f>
        <v>30440</v>
      </c>
      <c r="R176" s="53">
        <f>+'June 08'!R178</f>
        <v>3266</v>
      </c>
      <c r="S176" s="25"/>
      <c r="T176" s="53">
        <f>Q176+R176</f>
        <v>33706</v>
      </c>
      <c r="U176" s="25"/>
      <c r="V176" s="5"/>
    </row>
    <row r="177" spans="1:22" ht="15.6" x14ac:dyDescent="0.3">
      <c r="A177" s="24"/>
      <c r="B177" s="25" t="s">
        <v>63</v>
      </c>
      <c r="C177" s="25"/>
      <c r="D177" s="25"/>
      <c r="E177" s="25"/>
      <c r="F177" s="25"/>
      <c r="G177" s="25"/>
      <c r="H177" s="25"/>
      <c r="I177" s="25"/>
      <c r="J177" s="25"/>
      <c r="K177" s="25"/>
      <c r="L177" s="25"/>
      <c r="M177" s="25"/>
      <c r="N177" s="25"/>
      <c r="O177" s="25"/>
      <c r="P177" s="25"/>
      <c r="Q177" s="34">
        <f>1803+95</f>
        <v>1898</v>
      </c>
      <c r="R177" s="34">
        <v>25</v>
      </c>
      <c r="S177" s="25"/>
      <c r="T177" s="53">
        <f>Q177+R177</f>
        <v>1923</v>
      </c>
      <c r="U177" s="25"/>
      <c r="V177" s="5"/>
    </row>
    <row r="178" spans="1:22" ht="15.6" x14ac:dyDescent="0.3">
      <c r="A178" s="24"/>
      <c r="B178" s="25" t="s">
        <v>64</v>
      </c>
      <c r="C178" s="25"/>
      <c r="D178" s="25"/>
      <c r="E178" s="25"/>
      <c r="F178" s="25"/>
      <c r="G178" s="25"/>
      <c r="H178" s="25"/>
      <c r="I178" s="25"/>
      <c r="J178" s="25"/>
      <c r="K178" s="25"/>
      <c r="L178" s="25"/>
      <c r="M178" s="25"/>
      <c r="N178" s="25"/>
      <c r="O178" s="25"/>
      <c r="P178" s="25"/>
      <c r="Q178" s="53">
        <f>Q176+Q177</f>
        <v>32338</v>
      </c>
      <c r="R178" s="53">
        <f>R177+R176</f>
        <v>3291</v>
      </c>
      <c r="S178" s="25"/>
      <c r="T178" s="53">
        <f>Q178+R178</f>
        <v>35629</v>
      </c>
      <c r="U178" s="25"/>
      <c r="V178" s="5"/>
    </row>
    <row r="179" spans="1:22" ht="15.6" x14ac:dyDescent="0.3">
      <c r="A179" s="24"/>
      <c r="B179" s="25" t="s">
        <v>65</v>
      </c>
      <c r="C179" s="25"/>
      <c r="D179" s="25"/>
      <c r="E179" s="25"/>
      <c r="F179" s="25"/>
      <c r="G179" s="25"/>
      <c r="H179" s="25"/>
      <c r="I179" s="25"/>
      <c r="J179" s="25"/>
      <c r="K179" s="25"/>
      <c r="L179" s="25"/>
      <c r="M179" s="25"/>
      <c r="N179" s="25"/>
      <c r="O179" s="25"/>
      <c r="P179" s="25"/>
      <c r="Q179" s="53">
        <f>Q175-Q178-R178</f>
        <v>124379</v>
      </c>
      <c r="R179" s="40"/>
      <c r="S179" s="25"/>
      <c r="T179" s="53"/>
      <c r="U179" s="25"/>
      <c r="V179" s="5"/>
    </row>
    <row r="180" spans="1:22" ht="16.2" thickBot="1" x14ac:dyDescent="0.35">
      <c r="A180" s="24"/>
      <c r="B180" s="25"/>
      <c r="C180" s="25"/>
      <c r="D180" s="25"/>
      <c r="E180" s="25"/>
      <c r="F180" s="25"/>
      <c r="G180" s="25"/>
      <c r="H180" s="25"/>
      <c r="I180" s="25"/>
      <c r="J180" s="25"/>
      <c r="K180" s="25"/>
      <c r="L180" s="25"/>
      <c r="M180" s="25"/>
      <c r="N180" s="25"/>
      <c r="O180" s="25"/>
      <c r="P180" s="25"/>
      <c r="Q180" s="25"/>
      <c r="R180" s="25"/>
      <c r="S180" s="25"/>
      <c r="T180" s="61"/>
      <c r="U180" s="25"/>
      <c r="V180" s="5"/>
    </row>
    <row r="181" spans="1:22" ht="15.6" x14ac:dyDescent="0.3">
      <c r="A181" s="2"/>
      <c r="B181" s="4"/>
      <c r="C181" s="4"/>
      <c r="D181" s="4"/>
      <c r="E181" s="4"/>
      <c r="F181" s="4"/>
      <c r="G181" s="4"/>
      <c r="H181" s="4"/>
      <c r="I181" s="4"/>
      <c r="J181" s="4"/>
      <c r="K181" s="4"/>
      <c r="L181" s="4"/>
      <c r="M181" s="4"/>
      <c r="N181" s="4"/>
      <c r="O181" s="4"/>
      <c r="P181" s="4"/>
      <c r="Q181" s="4"/>
      <c r="R181" s="4"/>
      <c r="S181" s="4"/>
      <c r="T181" s="50"/>
      <c r="U181" s="4"/>
      <c r="V181" s="5"/>
    </row>
    <row r="182" spans="1:22" ht="15.6" x14ac:dyDescent="0.3">
      <c r="A182" s="6"/>
      <c r="B182" s="119" t="s">
        <v>66</v>
      </c>
      <c r="C182" s="8"/>
      <c r="D182" s="8"/>
      <c r="E182" s="8"/>
      <c r="F182" s="8"/>
      <c r="G182" s="8"/>
      <c r="H182" s="8"/>
      <c r="I182" s="8"/>
      <c r="J182" s="8"/>
      <c r="K182" s="8"/>
      <c r="L182" s="8"/>
      <c r="M182" s="8"/>
      <c r="N182" s="8"/>
      <c r="O182" s="8"/>
      <c r="P182" s="8"/>
      <c r="Q182" s="8"/>
      <c r="R182" s="8"/>
      <c r="S182" s="8"/>
      <c r="T182" s="65"/>
      <c r="U182" s="8"/>
      <c r="V182" s="5"/>
    </row>
    <row r="183" spans="1:22" ht="15.6" x14ac:dyDescent="0.3">
      <c r="A183" s="24"/>
      <c r="B183" s="25" t="s">
        <v>67</v>
      </c>
      <c r="C183" s="25"/>
      <c r="D183" s="25"/>
      <c r="E183" s="25"/>
      <c r="F183" s="25"/>
      <c r="G183" s="25"/>
      <c r="H183" s="25"/>
      <c r="I183" s="25"/>
      <c r="J183" s="25"/>
      <c r="K183" s="25"/>
      <c r="L183" s="25"/>
      <c r="M183" s="25"/>
      <c r="N183" s="25"/>
      <c r="O183" s="25"/>
      <c r="P183" s="25"/>
      <c r="Q183" s="25"/>
      <c r="R183" s="25"/>
      <c r="S183" s="25"/>
      <c r="T183" s="59">
        <f>(T101+T103+T104+T105+T106)/-(T107+T108)</f>
        <v>1.4560425639726375</v>
      </c>
      <c r="U183" s="25" t="s">
        <v>121</v>
      </c>
      <c r="V183" s="5"/>
    </row>
    <row r="184" spans="1:22" ht="15.6" x14ac:dyDescent="0.3">
      <c r="A184" s="24"/>
      <c r="B184" s="25" t="s">
        <v>68</v>
      </c>
      <c r="C184" s="25"/>
      <c r="D184" s="25"/>
      <c r="E184" s="25"/>
      <c r="F184" s="25"/>
      <c r="G184" s="25"/>
      <c r="H184" s="25"/>
      <c r="I184" s="25"/>
      <c r="J184" s="25"/>
      <c r="K184" s="25"/>
      <c r="L184" s="25"/>
      <c r="M184" s="25"/>
      <c r="N184" s="25"/>
      <c r="O184" s="25"/>
      <c r="P184" s="25"/>
      <c r="Q184" s="25"/>
      <c r="R184" s="25"/>
      <c r="S184" s="25"/>
      <c r="T184" s="66">
        <v>1.43</v>
      </c>
      <c r="U184" s="25" t="s">
        <v>121</v>
      </c>
      <c r="V184" s="5"/>
    </row>
    <row r="185" spans="1:22" ht="15.6" x14ac:dyDescent="0.3">
      <c r="A185" s="24"/>
      <c r="B185" s="25" t="s">
        <v>69</v>
      </c>
      <c r="C185" s="25"/>
      <c r="D185" s="25"/>
      <c r="E185" s="25"/>
      <c r="F185" s="25"/>
      <c r="G185" s="25"/>
      <c r="H185" s="25"/>
      <c r="I185" s="25"/>
      <c r="J185" s="25"/>
      <c r="K185" s="25"/>
      <c r="L185" s="25"/>
      <c r="M185" s="25"/>
      <c r="N185" s="25"/>
      <c r="O185" s="25"/>
      <c r="P185" s="25"/>
      <c r="Q185" s="25"/>
      <c r="R185" s="25"/>
      <c r="S185" s="25"/>
      <c r="T185" s="59">
        <f>(T101+T103+T104+T105+T106+T107+T108)/-(T109+T110)</f>
        <v>3.2432432432432434</v>
      </c>
      <c r="U185" s="25" t="s">
        <v>121</v>
      </c>
      <c r="V185" s="5"/>
    </row>
    <row r="186" spans="1:22" ht="15.6" x14ac:dyDescent="0.3">
      <c r="A186" s="24"/>
      <c r="B186" s="25" t="s">
        <v>70</v>
      </c>
      <c r="C186" s="25"/>
      <c r="D186" s="25"/>
      <c r="E186" s="25"/>
      <c r="F186" s="25"/>
      <c r="G186" s="25"/>
      <c r="H186" s="25"/>
      <c r="I186" s="25"/>
      <c r="J186" s="25"/>
      <c r="K186" s="25"/>
      <c r="L186" s="25"/>
      <c r="M186" s="25"/>
      <c r="N186" s="25"/>
      <c r="O186" s="25"/>
      <c r="P186" s="25"/>
      <c r="Q186" s="25"/>
      <c r="R186" s="25"/>
      <c r="S186" s="25"/>
      <c r="T186" s="66">
        <v>4.33</v>
      </c>
      <c r="U186" s="25" t="s">
        <v>121</v>
      </c>
      <c r="V186" s="5"/>
    </row>
    <row r="187" spans="1:22" ht="15.6" x14ac:dyDescent="0.3">
      <c r="A187" s="24"/>
      <c r="B187" s="25" t="s">
        <v>206</v>
      </c>
      <c r="C187" s="25"/>
      <c r="D187" s="25"/>
      <c r="E187" s="25"/>
      <c r="F187" s="25"/>
      <c r="G187" s="25"/>
      <c r="H187" s="25"/>
      <c r="I187" s="25"/>
      <c r="J187" s="25"/>
      <c r="K187" s="25"/>
      <c r="L187" s="25"/>
      <c r="M187" s="25"/>
      <c r="N187" s="25"/>
      <c r="O187" s="25"/>
      <c r="P187" s="25"/>
      <c r="Q187" s="25"/>
      <c r="R187" s="25"/>
      <c r="S187" s="25"/>
      <c r="T187" s="59">
        <f>(T101+T103+T104+T105+T106+T107+T108+T109+T110)/-(T111)</f>
        <v>2.6073298429319371</v>
      </c>
      <c r="U187" s="25" t="s">
        <v>121</v>
      </c>
      <c r="V187" s="5"/>
    </row>
    <row r="188" spans="1:22" ht="15.6" x14ac:dyDescent="0.3">
      <c r="A188" s="24"/>
      <c r="B188" s="25" t="s">
        <v>207</v>
      </c>
      <c r="C188" s="25"/>
      <c r="D188" s="25"/>
      <c r="E188" s="25"/>
      <c r="F188" s="25"/>
      <c r="G188" s="25"/>
      <c r="H188" s="25"/>
      <c r="I188" s="25"/>
      <c r="J188" s="25"/>
      <c r="K188" s="25"/>
      <c r="L188" s="25"/>
      <c r="M188" s="25"/>
      <c r="N188" s="25"/>
      <c r="O188" s="25"/>
      <c r="P188" s="25"/>
      <c r="Q188" s="25"/>
      <c r="R188" s="25"/>
      <c r="S188" s="25"/>
      <c r="T188" s="66">
        <v>3.86</v>
      </c>
      <c r="U188" s="25" t="s">
        <v>121</v>
      </c>
      <c r="V188" s="5"/>
    </row>
    <row r="189" spans="1:22" ht="15.6" x14ac:dyDescent="0.3">
      <c r="A189" s="24"/>
      <c r="B189" s="25"/>
      <c r="C189" s="25"/>
      <c r="D189" s="25"/>
      <c r="E189" s="25"/>
      <c r="F189" s="25"/>
      <c r="G189" s="25"/>
      <c r="H189" s="25"/>
      <c r="I189" s="25"/>
      <c r="J189" s="25"/>
      <c r="K189" s="25"/>
      <c r="L189" s="25"/>
      <c r="M189" s="25"/>
      <c r="N189" s="25"/>
      <c r="O189" s="25"/>
      <c r="P189" s="25"/>
      <c r="Q189" s="25"/>
      <c r="R189" s="25"/>
      <c r="S189" s="25"/>
      <c r="T189" s="25"/>
      <c r="U189" s="25"/>
      <c r="V189" s="5"/>
    </row>
    <row r="190" spans="1:22" ht="15.6" x14ac:dyDescent="0.3">
      <c r="A190" s="24"/>
      <c r="B190" s="25"/>
      <c r="C190" s="25"/>
      <c r="D190" s="25"/>
      <c r="E190" s="25"/>
      <c r="F190" s="25"/>
      <c r="G190" s="25"/>
      <c r="H190" s="25"/>
      <c r="I190" s="25"/>
      <c r="J190" s="25"/>
      <c r="K190" s="25"/>
      <c r="L190" s="25"/>
      <c r="M190" s="25"/>
      <c r="N190" s="25"/>
      <c r="O190" s="25"/>
      <c r="P190" s="25"/>
      <c r="Q190" s="25"/>
      <c r="R190" s="25"/>
      <c r="S190" s="25"/>
      <c r="T190" s="25"/>
      <c r="U190" s="25"/>
      <c r="V190" s="5"/>
    </row>
    <row r="191" spans="1:22" ht="15.6" x14ac:dyDescent="0.3">
      <c r="A191" s="6"/>
      <c r="B191" s="8"/>
      <c r="C191" s="8"/>
      <c r="D191" s="8"/>
      <c r="E191" s="8"/>
      <c r="F191" s="8"/>
      <c r="G191" s="8"/>
      <c r="H191" s="8"/>
      <c r="I191" s="8"/>
      <c r="J191" s="8"/>
      <c r="K191" s="8"/>
      <c r="L191" s="8"/>
      <c r="M191" s="8"/>
      <c r="N191" s="8"/>
      <c r="O191" s="8"/>
      <c r="P191" s="8"/>
      <c r="Q191" s="8"/>
      <c r="R191" s="8"/>
      <c r="S191" s="8"/>
      <c r="T191" s="8"/>
      <c r="U191" s="8"/>
      <c r="V191" s="5"/>
    </row>
    <row r="192" spans="1:22" ht="18" thickBot="1" x14ac:dyDescent="0.35">
      <c r="A192" s="101"/>
      <c r="B192" s="102" t="str">
        <f>B133</f>
        <v>PM11 INVESTOR REPORT QUARTER ENDING SEPTEMBER 2008</v>
      </c>
      <c r="C192" s="165"/>
      <c r="D192" s="165"/>
      <c r="E192" s="165"/>
      <c r="F192" s="165"/>
      <c r="G192" s="165"/>
      <c r="H192" s="165"/>
      <c r="I192" s="165"/>
      <c r="J192" s="165"/>
      <c r="K192" s="165"/>
      <c r="L192" s="165"/>
      <c r="M192" s="165"/>
      <c r="N192" s="165"/>
      <c r="O192" s="165"/>
      <c r="P192" s="165"/>
      <c r="Q192" s="165"/>
      <c r="R192" s="165"/>
      <c r="S192" s="165"/>
      <c r="T192" s="165"/>
      <c r="U192" s="166"/>
      <c r="V192" s="5"/>
    </row>
    <row r="193" spans="1:22" ht="15.6" x14ac:dyDescent="0.3">
      <c r="A193" s="67"/>
      <c r="B193" s="60" t="s">
        <v>71</v>
      </c>
      <c r="C193" s="68"/>
      <c r="D193" s="68"/>
      <c r="E193" s="68"/>
      <c r="F193" s="68"/>
      <c r="G193" s="69"/>
      <c r="H193" s="69"/>
      <c r="I193" s="69"/>
      <c r="J193" s="69"/>
      <c r="K193" s="69"/>
      <c r="L193" s="69"/>
      <c r="M193" s="69"/>
      <c r="N193" s="69"/>
      <c r="O193" s="69"/>
      <c r="P193" s="69"/>
      <c r="Q193" s="69"/>
      <c r="R193" s="70">
        <v>39721</v>
      </c>
      <c r="S193" s="4"/>
      <c r="T193" s="4"/>
      <c r="U193" s="4"/>
      <c r="V193" s="5"/>
    </row>
    <row r="194" spans="1:22" ht="15.6" x14ac:dyDescent="0.3">
      <c r="A194" s="71"/>
      <c r="B194" s="72"/>
      <c r="C194" s="73"/>
      <c r="D194" s="73"/>
      <c r="E194" s="73"/>
      <c r="F194" s="73"/>
      <c r="G194" s="74"/>
      <c r="H194" s="74"/>
      <c r="I194" s="74"/>
      <c r="J194" s="74"/>
      <c r="K194" s="74"/>
      <c r="L194" s="74"/>
      <c r="M194" s="74"/>
      <c r="N194" s="74"/>
      <c r="O194" s="74"/>
      <c r="P194" s="74"/>
      <c r="Q194" s="74"/>
      <c r="R194" s="74"/>
      <c r="S194" s="8"/>
      <c r="T194" s="8"/>
      <c r="U194" s="8"/>
      <c r="V194" s="5"/>
    </row>
    <row r="195" spans="1:22" ht="15.6" x14ac:dyDescent="0.3">
      <c r="A195" s="75"/>
      <c r="B195" s="76" t="s">
        <v>72</v>
      </c>
      <c r="C195" s="77"/>
      <c r="D195" s="77"/>
      <c r="E195" s="77"/>
      <c r="F195" s="77"/>
      <c r="G195" s="64"/>
      <c r="H195" s="64"/>
      <c r="I195" s="64"/>
      <c r="J195" s="64"/>
      <c r="K195" s="64"/>
      <c r="L195" s="64"/>
      <c r="M195" s="64"/>
      <c r="N195" s="64"/>
      <c r="O195" s="64"/>
      <c r="P195" s="64"/>
      <c r="Q195" s="64"/>
      <c r="R195" s="78">
        <v>5.1569999999999998E-2</v>
      </c>
      <c r="S195" s="25"/>
      <c r="T195" s="25"/>
      <c r="U195" s="25"/>
      <c r="V195" s="5"/>
    </row>
    <row r="196" spans="1:22" ht="15.6" x14ac:dyDescent="0.3">
      <c r="A196" s="75"/>
      <c r="B196" s="76" t="s">
        <v>157</v>
      </c>
      <c r="C196" s="77"/>
      <c r="D196" s="77"/>
      <c r="E196" s="77"/>
      <c r="F196" s="77"/>
      <c r="G196" s="64"/>
      <c r="H196" s="64"/>
      <c r="I196" s="64"/>
      <c r="J196" s="64"/>
      <c r="K196" s="64"/>
      <c r="L196" s="64"/>
      <c r="M196" s="64"/>
      <c r="N196" s="64"/>
      <c r="O196" s="64"/>
      <c r="P196" s="64"/>
      <c r="Q196" s="64"/>
      <c r="R196" s="39">
        <v>4.6899999999999997E-2</v>
      </c>
      <c r="S196" s="25"/>
      <c r="T196" s="25"/>
      <c r="U196" s="25"/>
      <c r="V196" s="5"/>
    </row>
    <row r="197" spans="1:22" ht="15.6" x14ac:dyDescent="0.3">
      <c r="A197" s="75"/>
      <c r="B197" s="76" t="s">
        <v>73</v>
      </c>
      <c r="C197" s="77"/>
      <c r="D197" s="77"/>
      <c r="E197" s="77"/>
      <c r="F197" s="77"/>
      <c r="G197" s="64"/>
      <c r="H197" s="64"/>
      <c r="I197" s="64"/>
      <c r="J197" s="64"/>
      <c r="K197" s="64"/>
      <c r="L197" s="64"/>
      <c r="M197" s="64"/>
      <c r="N197" s="64"/>
      <c r="O197" s="64"/>
      <c r="P197" s="64"/>
      <c r="Q197" s="64"/>
      <c r="R197" s="78">
        <f>R195-R196</f>
        <v>4.6700000000000005E-3</v>
      </c>
      <c r="S197" s="25"/>
      <c r="T197" s="25"/>
      <c r="U197" s="25"/>
      <c r="V197" s="5"/>
    </row>
    <row r="198" spans="1:22" ht="15.6" x14ac:dyDescent="0.3">
      <c r="A198" s="75"/>
      <c r="B198" s="76" t="s">
        <v>74</v>
      </c>
      <c r="C198" s="77"/>
      <c r="D198" s="77"/>
      <c r="E198" s="77"/>
      <c r="F198" s="77"/>
      <c r="G198" s="64"/>
      <c r="H198" s="64"/>
      <c r="I198" s="64"/>
      <c r="J198" s="64"/>
      <c r="K198" s="64"/>
      <c r="L198" s="64"/>
      <c r="M198" s="64"/>
      <c r="N198" s="64"/>
      <c r="O198" s="64"/>
      <c r="P198" s="64"/>
      <c r="Q198" s="64"/>
      <c r="R198" s="78">
        <v>5.8110000000000002E-2</v>
      </c>
      <c r="S198" s="25"/>
      <c r="T198" s="25"/>
      <c r="U198" s="25"/>
      <c r="V198" s="5"/>
    </row>
    <row r="199" spans="1:22" ht="15.6" x14ac:dyDescent="0.3">
      <c r="A199" s="75"/>
      <c r="B199" s="76" t="s">
        <v>257</v>
      </c>
      <c r="C199" s="77"/>
      <c r="D199" s="77"/>
      <c r="E199" s="77"/>
      <c r="F199" s="77"/>
      <c r="G199" s="64"/>
      <c r="H199" s="64"/>
      <c r="I199" s="64"/>
      <c r="J199" s="64"/>
      <c r="K199" s="64"/>
      <c r="L199" s="64"/>
      <c r="M199" s="64"/>
      <c r="N199" s="64"/>
      <c r="O199" s="64"/>
      <c r="P199" s="64"/>
      <c r="Q199" s="64"/>
      <c r="R199" s="78">
        <f>T43</f>
        <v>5.9894645999966079E-2</v>
      </c>
      <c r="S199" s="25"/>
      <c r="T199" s="25"/>
      <c r="U199" s="25"/>
      <c r="V199" s="5"/>
    </row>
    <row r="200" spans="1:22" ht="15.6" x14ac:dyDescent="0.3">
      <c r="A200" s="75"/>
      <c r="B200" s="76" t="s">
        <v>75</v>
      </c>
      <c r="C200" s="77"/>
      <c r="D200" s="77"/>
      <c r="E200" s="77"/>
      <c r="F200" s="77"/>
      <c r="G200" s="64"/>
      <c r="H200" s="64"/>
      <c r="I200" s="64"/>
      <c r="J200" s="64"/>
      <c r="K200" s="64"/>
      <c r="L200" s="64"/>
      <c r="M200" s="64"/>
      <c r="N200" s="64"/>
      <c r="O200" s="64"/>
      <c r="P200" s="64"/>
      <c r="Q200" s="64"/>
      <c r="R200" s="78">
        <f>R198-R199</f>
        <v>-1.7846459999660766E-3</v>
      </c>
      <c r="S200" s="25"/>
      <c r="T200" s="25"/>
      <c r="U200" s="25"/>
      <c r="V200" s="5"/>
    </row>
    <row r="201" spans="1:22" ht="15.6" x14ac:dyDescent="0.3">
      <c r="A201" s="75"/>
      <c r="B201" s="76" t="s">
        <v>260</v>
      </c>
      <c r="C201" s="77"/>
      <c r="D201" s="77"/>
      <c r="E201" s="77"/>
      <c r="F201" s="77"/>
      <c r="G201" s="64"/>
      <c r="H201" s="64"/>
      <c r="I201" s="64"/>
      <c r="J201" s="64"/>
      <c r="K201" s="64"/>
      <c r="L201" s="64"/>
      <c r="M201" s="64"/>
      <c r="N201" s="64"/>
      <c r="O201" s="64"/>
      <c r="P201" s="64"/>
      <c r="Q201" s="64"/>
      <c r="R201" s="78">
        <f>+T101/L72</f>
        <v>1.8010396910944044E-2</v>
      </c>
      <c r="S201" s="25"/>
      <c r="T201" s="25"/>
      <c r="U201" s="25"/>
      <c r="V201" s="5"/>
    </row>
    <row r="202" spans="1:22" ht="15.6" x14ac:dyDescent="0.3">
      <c r="A202" s="75"/>
      <c r="B202" s="76" t="s">
        <v>217</v>
      </c>
      <c r="C202" s="77"/>
      <c r="D202" s="77"/>
      <c r="E202" s="77"/>
      <c r="F202" s="77"/>
      <c r="G202" s="64"/>
      <c r="H202" s="64"/>
      <c r="I202" s="64"/>
      <c r="J202" s="64"/>
      <c r="K202" s="64"/>
      <c r="L202" s="64"/>
      <c r="M202" s="64"/>
      <c r="N202" s="64"/>
      <c r="O202" s="64"/>
      <c r="P202" s="64"/>
      <c r="Q202" s="64"/>
      <c r="R202" s="129">
        <v>15250</v>
      </c>
      <c r="S202" s="25"/>
      <c r="T202" s="25"/>
      <c r="U202" s="25"/>
      <c r="V202" s="5"/>
    </row>
    <row r="203" spans="1:22" ht="15.6" x14ac:dyDescent="0.3">
      <c r="A203" s="75"/>
      <c r="B203" s="76" t="s">
        <v>218</v>
      </c>
      <c r="C203" s="77"/>
      <c r="D203" s="77"/>
      <c r="E203" s="77"/>
      <c r="F203" s="77"/>
      <c r="G203" s="64"/>
      <c r="H203" s="64"/>
      <c r="I203" s="64"/>
      <c r="J203" s="64"/>
      <c r="K203" s="64"/>
      <c r="L203" s="64"/>
      <c r="M203" s="64"/>
      <c r="N203" s="64"/>
      <c r="O203" s="64"/>
      <c r="P203" s="64"/>
      <c r="Q203" s="64"/>
      <c r="R203" s="129">
        <v>15250</v>
      </c>
      <c r="S203" s="25"/>
      <c r="T203" s="25"/>
      <c r="U203" s="25"/>
      <c r="V203" s="5"/>
    </row>
    <row r="204" spans="1:22" ht="15.6" x14ac:dyDescent="0.3">
      <c r="A204" s="75"/>
      <c r="B204" s="76" t="s">
        <v>219</v>
      </c>
      <c r="C204" s="77"/>
      <c r="D204" s="77"/>
      <c r="E204" s="77"/>
      <c r="F204" s="77"/>
      <c r="G204" s="64"/>
      <c r="H204" s="64"/>
      <c r="I204" s="64"/>
      <c r="J204" s="64"/>
      <c r="K204" s="64"/>
      <c r="L204" s="64"/>
      <c r="M204" s="64"/>
      <c r="N204" s="64"/>
      <c r="O204" s="64"/>
      <c r="P204" s="64"/>
      <c r="Q204" s="64"/>
      <c r="R204" s="129">
        <v>15250</v>
      </c>
      <c r="S204" s="25"/>
      <c r="T204" s="25"/>
      <c r="U204" s="25"/>
      <c r="V204" s="5"/>
    </row>
    <row r="205" spans="1:22" ht="15.6" x14ac:dyDescent="0.3">
      <c r="A205" s="75"/>
      <c r="B205" s="76" t="s">
        <v>76</v>
      </c>
      <c r="C205" s="77"/>
      <c r="D205" s="77"/>
      <c r="E205" s="77"/>
      <c r="F205" s="77"/>
      <c r="G205" s="64"/>
      <c r="H205" s="64"/>
      <c r="I205" s="64"/>
      <c r="J205" s="64"/>
      <c r="K205" s="64"/>
      <c r="L205" s="64"/>
      <c r="M205" s="64"/>
      <c r="N205" s="64"/>
      <c r="O205" s="64"/>
      <c r="P205" s="64"/>
      <c r="Q205" s="64"/>
      <c r="R205" s="133">
        <v>21.18</v>
      </c>
      <c r="S205" s="25" t="s">
        <v>116</v>
      </c>
      <c r="T205" s="25"/>
      <c r="U205" s="25"/>
      <c r="V205" s="5"/>
    </row>
    <row r="206" spans="1:22" ht="15.6" x14ac:dyDescent="0.3">
      <c r="A206" s="75"/>
      <c r="B206" s="76" t="s">
        <v>77</v>
      </c>
      <c r="C206" s="77"/>
      <c r="D206" s="77"/>
      <c r="E206" s="77"/>
      <c r="F206" s="77"/>
      <c r="G206" s="64"/>
      <c r="H206" s="64"/>
      <c r="I206" s="64"/>
      <c r="J206" s="64"/>
      <c r="K206" s="64"/>
      <c r="L206" s="64"/>
      <c r="M206" s="64"/>
      <c r="N206" s="64"/>
      <c r="O206" s="64"/>
      <c r="P206" s="64"/>
      <c r="Q206" s="64"/>
      <c r="R206" s="133">
        <v>18.73</v>
      </c>
      <c r="S206" s="25" t="s">
        <v>116</v>
      </c>
      <c r="T206" s="25"/>
      <c r="U206" s="25"/>
      <c r="V206" s="5"/>
    </row>
    <row r="207" spans="1:22" ht="15.6" x14ac:dyDescent="0.3">
      <c r="A207" s="75"/>
      <c r="B207" s="76" t="s">
        <v>78</v>
      </c>
      <c r="C207" s="77"/>
      <c r="D207" s="77"/>
      <c r="E207" s="77"/>
      <c r="F207" s="77"/>
      <c r="G207" s="64"/>
      <c r="H207" s="64"/>
      <c r="I207" s="64"/>
      <c r="J207" s="64"/>
      <c r="K207" s="64"/>
      <c r="L207" s="64"/>
      <c r="M207" s="64"/>
      <c r="N207" s="64"/>
      <c r="O207" s="64"/>
      <c r="P207" s="64"/>
      <c r="Q207" s="64"/>
      <c r="R207" s="78">
        <f>N69/L69</f>
        <v>2.987633770403824E-2</v>
      </c>
      <c r="S207" s="25"/>
      <c r="T207" s="25"/>
      <c r="U207" s="25"/>
      <c r="V207" s="5"/>
    </row>
    <row r="208" spans="1:22" ht="15.6" x14ac:dyDescent="0.3">
      <c r="A208" s="75"/>
      <c r="B208" s="76" t="s">
        <v>79</v>
      </c>
      <c r="C208" s="77"/>
      <c r="D208" s="77"/>
      <c r="E208" s="77"/>
      <c r="F208" s="77"/>
      <c r="G208" s="64"/>
      <c r="H208" s="64"/>
      <c r="I208" s="64"/>
      <c r="J208" s="64"/>
      <c r="K208" s="64"/>
      <c r="L208" s="64"/>
      <c r="M208" s="64"/>
      <c r="N208" s="64"/>
      <c r="O208" s="64"/>
      <c r="P208" s="64"/>
      <c r="Q208" s="64"/>
      <c r="R208" s="78">
        <v>0.17480000000000001</v>
      </c>
      <c r="S208" s="25"/>
      <c r="T208" s="25"/>
      <c r="U208" s="25"/>
      <c r="V208" s="5"/>
    </row>
    <row r="209" spans="1:22" ht="15.6" x14ac:dyDescent="0.3">
      <c r="A209" s="75"/>
      <c r="B209" s="76"/>
      <c r="C209" s="76"/>
      <c r="D209" s="76"/>
      <c r="E209" s="76"/>
      <c r="F209" s="76"/>
      <c r="G209" s="25"/>
      <c r="H209" s="25"/>
      <c r="I209" s="25"/>
      <c r="J209" s="25"/>
      <c r="K209" s="25"/>
      <c r="L209" s="25"/>
      <c r="M209" s="25"/>
      <c r="N209" s="25"/>
      <c r="O209" s="25"/>
      <c r="P209" s="25"/>
      <c r="Q209" s="25"/>
      <c r="R209" s="61"/>
      <c r="S209" s="25"/>
      <c r="T209" s="79"/>
      <c r="U209" s="25"/>
      <c r="V209" s="5"/>
    </row>
    <row r="210" spans="1:22" ht="15.6" x14ac:dyDescent="0.3">
      <c r="A210" s="80"/>
      <c r="B210" s="14" t="s">
        <v>80</v>
      </c>
      <c r="C210" s="81"/>
      <c r="D210" s="81"/>
      <c r="E210" s="81"/>
      <c r="F210" s="82"/>
      <c r="G210" s="81"/>
      <c r="H210" s="17"/>
      <c r="I210" s="17"/>
      <c r="J210" s="17"/>
      <c r="K210" s="17"/>
      <c r="L210" s="17"/>
      <c r="M210" s="17"/>
      <c r="N210" s="17"/>
      <c r="O210" s="17"/>
      <c r="P210" s="17"/>
      <c r="Q210" s="17" t="s">
        <v>105</v>
      </c>
      <c r="R210" s="83" t="s">
        <v>112</v>
      </c>
      <c r="S210" s="8"/>
      <c r="T210" s="8"/>
      <c r="U210" s="8"/>
      <c r="V210" s="5"/>
    </row>
    <row r="211" spans="1:22" ht="15.6" x14ac:dyDescent="0.3">
      <c r="A211" s="84"/>
      <c r="B211" s="76" t="s">
        <v>81</v>
      </c>
      <c r="C211" s="54"/>
      <c r="D211" s="54"/>
      <c r="E211" s="54"/>
      <c r="F211" s="25"/>
      <c r="G211" s="25"/>
      <c r="H211" s="30"/>
      <c r="I211" s="30"/>
      <c r="J211" s="30"/>
      <c r="K211" s="30"/>
      <c r="L211" s="30"/>
      <c r="M211" s="30"/>
      <c r="N211" s="30"/>
      <c r="O211" s="30"/>
      <c r="P211" s="30"/>
      <c r="Q211" s="30">
        <v>3</v>
      </c>
      <c r="R211" s="85">
        <v>615</v>
      </c>
      <c r="S211" s="25"/>
      <c r="T211" s="79"/>
      <c r="U211" s="86"/>
      <c r="V211" s="5"/>
    </row>
    <row r="212" spans="1:22" ht="15.6" x14ac:dyDescent="0.3">
      <c r="A212" s="84"/>
      <c r="B212" s="76" t="s">
        <v>151</v>
      </c>
      <c r="C212" s="54"/>
      <c r="D212" s="54"/>
      <c r="E212" s="54"/>
      <c r="F212" s="25"/>
      <c r="G212" s="25"/>
      <c r="H212" s="30"/>
      <c r="I212" s="30"/>
      <c r="J212" s="30"/>
      <c r="K212" s="30"/>
      <c r="L212" s="30"/>
      <c r="M212" s="30"/>
      <c r="N212" s="30"/>
      <c r="O212" s="30"/>
      <c r="P212" s="30"/>
      <c r="Q212" s="152">
        <f>+P252</f>
        <v>95</v>
      </c>
      <c r="R212" s="85">
        <f>+R252</f>
        <v>14420</v>
      </c>
      <c r="S212" s="25"/>
      <c r="T212" s="79"/>
      <c r="U212" s="86"/>
      <c r="V212" s="5"/>
    </row>
    <row r="213" spans="1:22" ht="15.6" x14ac:dyDescent="0.3">
      <c r="A213" s="84"/>
      <c r="B213" s="76" t="s">
        <v>82</v>
      </c>
      <c r="C213" s="54"/>
      <c r="D213" s="54"/>
      <c r="E213" s="54"/>
      <c r="F213" s="25"/>
      <c r="G213" s="25"/>
      <c r="H213" s="30"/>
      <c r="I213" s="30"/>
      <c r="J213" s="30"/>
      <c r="K213" s="30"/>
      <c r="L213" s="30"/>
      <c r="M213" s="30"/>
      <c r="N213" s="30"/>
      <c r="O213" s="30"/>
      <c r="P213" s="30"/>
      <c r="Q213" s="152">
        <f>+P264</f>
        <v>1</v>
      </c>
      <c r="R213" s="85">
        <f>+R264</f>
        <v>236</v>
      </c>
      <c r="S213" s="25"/>
      <c r="T213" s="79"/>
      <c r="U213" s="86"/>
      <c r="V213" s="5"/>
    </row>
    <row r="214" spans="1:22" ht="15.6" x14ac:dyDescent="0.3">
      <c r="A214" s="84"/>
      <c r="B214" s="122" t="s">
        <v>83</v>
      </c>
      <c r="C214" s="54"/>
      <c r="D214" s="54"/>
      <c r="E214" s="54"/>
      <c r="F214" s="25"/>
      <c r="G214" s="25"/>
      <c r="H214" s="25"/>
      <c r="I214" s="25"/>
      <c r="J214" s="25"/>
      <c r="K214" s="25"/>
      <c r="L214" s="25"/>
      <c r="M214" s="25"/>
      <c r="N214" s="25"/>
      <c r="O214" s="25"/>
      <c r="P214" s="25"/>
      <c r="Q214" s="25"/>
      <c r="R214" s="85">
        <v>0</v>
      </c>
      <c r="S214" s="25"/>
      <c r="T214" s="79"/>
      <c r="U214" s="86"/>
      <c r="V214" s="5"/>
    </row>
    <row r="215" spans="1:22" ht="15.6" x14ac:dyDescent="0.3">
      <c r="A215" s="84"/>
      <c r="B215" s="122" t="s">
        <v>84</v>
      </c>
      <c r="C215" s="54"/>
      <c r="D215" s="54"/>
      <c r="E215" s="54"/>
      <c r="F215" s="25"/>
      <c r="G215" s="25"/>
      <c r="H215" s="25"/>
      <c r="I215" s="25"/>
      <c r="J215" s="25"/>
      <c r="K215" s="25"/>
      <c r="L215" s="25"/>
      <c r="M215" s="25"/>
      <c r="N215" s="25"/>
      <c r="O215" s="25"/>
      <c r="P215" s="25"/>
      <c r="Q215" s="25"/>
      <c r="R215" s="62" t="s">
        <v>113</v>
      </c>
      <c r="S215" s="25"/>
      <c r="T215" s="79"/>
      <c r="U215" s="86"/>
      <c r="V215" s="5"/>
    </row>
    <row r="216" spans="1:22" ht="15.6" x14ac:dyDescent="0.3">
      <c r="A216" s="87"/>
      <c r="B216" s="122" t="s">
        <v>85</v>
      </c>
      <c r="C216" s="76"/>
      <c r="D216" s="76"/>
      <c r="E216" s="76"/>
      <c r="F216" s="76"/>
      <c r="G216" s="25"/>
      <c r="H216" s="25"/>
      <c r="I216" s="25"/>
      <c r="J216" s="25"/>
      <c r="K216" s="25"/>
      <c r="L216" s="25"/>
      <c r="M216" s="25"/>
      <c r="N216" s="25"/>
      <c r="O216" s="25"/>
      <c r="P216" s="25"/>
      <c r="Q216" s="25"/>
      <c r="R216" s="85"/>
      <c r="S216" s="25"/>
      <c r="T216" s="79"/>
      <c r="U216" s="88"/>
      <c r="V216" s="5"/>
    </row>
    <row r="217" spans="1:22" ht="15.6" x14ac:dyDescent="0.3">
      <c r="A217" s="87"/>
      <c r="B217" s="131" t="s">
        <v>86</v>
      </c>
      <c r="C217" s="76"/>
      <c r="D217" s="76"/>
      <c r="E217" s="76"/>
      <c r="F217" s="76"/>
      <c r="G217" s="25"/>
      <c r="H217" s="25"/>
      <c r="I217" s="25"/>
      <c r="J217" s="25"/>
      <c r="K217" s="25"/>
      <c r="L217" s="25"/>
      <c r="M217" s="25"/>
      <c r="N217" s="25"/>
      <c r="O217" s="25"/>
      <c r="P217" s="25"/>
      <c r="Q217" s="30"/>
      <c r="R217" s="85">
        <f>T162</f>
        <v>116</v>
      </c>
      <c r="S217" s="25"/>
      <c r="T217" s="79"/>
      <c r="U217" s="88"/>
      <c r="V217" s="5"/>
    </row>
    <row r="218" spans="1:22" ht="15.6" x14ac:dyDescent="0.3">
      <c r="A218" s="84"/>
      <c r="B218" s="76" t="s">
        <v>87</v>
      </c>
      <c r="C218" s="54"/>
      <c r="D218" s="54"/>
      <c r="E218" s="54"/>
      <c r="F218" s="54"/>
      <c r="G218" s="25"/>
      <c r="H218" s="25"/>
      <c r="I218" s="25"/>
      <c r="J218" s="25"/>
      <c r="K218" s="25"/>
      <c r="L218" s="25"/>
      <c r="M218" s="25"/>
      <c r="N218" s="25"/>
      <c r="O218" s="25"/>
      <c r="P218" s="25"/>
      <c r="Q218" s="30"/>
      <c r="R218" s="85">
        <f>+'June 08'!R218+R217</f>
        <v>200</v>
      </c>
      <c r="S218" s="25"/>
      <c r="T218" s="79"/>
      <c r="U218" s="88"/>
      <c r="V218" s="5"/>
    </row>
    <row r="219" spans="1:22" ht="15.6" x14ac:dyDescent="0.3">
      <c r="A219" s="87"/>
      <c r="B219" s="122" t="s">
        <v>282</v>
      </c>
      <c r="C219" s="76"/>
      <c r="D219" s="76"/>
      <c r="E219" s="76"/>
      <c r="F219" s="76"/>
      <c r="G219" s="25"/>
      <c r="H219" s="25"/>
      <c r="I219" s="25"/>
      <c r="J219" s="25"/>
      <c r="K219" s="25"/>
      <c r="L219" s="25"/>
      <c r="M219" s="25"/>
      <c r="N219" s="25"/>
      <c r="O219" s="25"/>
      <c r="P219" s="25"/>
      <c r="Q219" s="30"/>
      <c r="R219" s="85"/>
      <c r="S219" s="25"/>
      <c r="T219" s="79"/>
      <c r="U219" s="88"/>
      <c r="V219" s="5"/>
    </row>
    <row r="220" spans="1:22" ht="15.6" x14ac:dyDescent="0.3">
      <c r="A220" s="87"/>
      <c r="B220" s="76" t="s">
        <v>280</v>
      </c>
      <c r="C220" s="76"/>
      <c r="D220" s="76"/>
      <c r="E220" s="76"/>
      <c r="F220" s="76"/>
      <c r="G220" s="25"/>
      <c r="H220" s="25"/>
      <c r="I220" s="25"/>
      <c r="J220" s="25"/>
      <c r="K220" s="25"/>
      <c r="L220" s="25"/>
      <c r="M220" s="25"/>
      <c r="N220" s="25"/>
      <c r="O220" s="25"/>
      <c r="P220" s="25"/>
      <c r="Q220" s="30">
        <v>0</v>
      </c>
      <c r="R220" s="85">
        <v>0</v>
      </c>
      <c r="S220" s="25"/>
      <c r="T220" s="79"/>
      <c r="U220" s="88"/>
      <c r="V220" s="5"/>
    </row>
    <row r="221" spans="1:22" ht="15.6" x14ac:dyDescent="0.3">
      <c r="A221" s="84"/>
      <c r="B221" s="76" t="s">
        <v>89</v>
      </c>
      <c r="C221" s="89"/>
      <c r="D221" s="89"/>
      <c r="E221" s="89"/>
      <c r="F221" s="90"/>
      <c r="G221" s="25"/>
      <c r="H221" s="25"/>
      <c r="I221" s="25"/>
      <c r="J221" s="25"/>
      <c r="K221" s="25"/>
      <c r="L221" s="25"/>
      <c r="M221" s="25"/>
      <c r="N221" s="25"/>
      <c r="O221" s="25"/>
      <c r="P221" s="25"/>
      <c r="Q221" s="25"/>
      <c r="R221" s="62">
        <v>0</v>
      </c>
      <c r="S221" s="25"/>
      <c r="T221" s="79"/>
      <c r="U221" s="88"/>
      <c r="V221" s="5"/>
    </row>
    <row r="222" spans="1:22" ht="15.6" x14ac:dyDescent="0.3">
      <c r="A222" s="84"/>
      <c r="B222" s="76" t="s">
        <v>90</v>
      </c>
      <c r="C222" s="89"/>
      <c r="D222" s="89"/>
      <c r="E222" s="89"/>
      <c r="F222" s="90"/>
      <c r="G222" s="25"/>
      <c r="H222" s="25"/>
      <c r="I222" s="25"/>
      <c r="J222" s="25"/>
      <c r="K222" s="25"/>
      <c r="L222" s="25"/>
      <c r="M222" s="25"/>
      <c r="N222" s="25"/>
      <c r="O222" s="25"/>
      <c r="P222" s="25"/>
      <c r="Q222" s="25"/>
      <c r="R222" s="62">
        <v>0</v>
      </c>
      <c r="S222" s="25"/>
      <c r="T222" s="79"/>
      <c r="U222" s="88"/>
      <c r="V222" s="5"/>
    </row>
    <row r="223" spans="1:22" ht="15.6" x14ac:dyDescent="0.3">
      <c r="A223" s="84"/>
      <c r="B223" s="122" t="s">
        <v>226</v>
      </c>
      <c r="C223" s="89"/>
      <c r="D223" s="89"/>
      <c r="E223" s="89"/>
      <c r="F223" s="90"/>
      <c r="G223" s="25"/>
      <c r="H223" s="25"/>
      <c r="I223" s="25"/>
      <c r="J223" s="25"/>
      <c r="K223" s="25"/>
      <c r="L223" s="25"/>
      <c r="M223" s="25"/>
      <c r="N223" s="25"/>
      <c r="O223" s="25"/>
      <c r="P223" s="25"/>
      <c r="Q223" s="30"/>
      <c r="R223" s="91"/>
      <c r="S223" s="25"/>
      <c r="T223" s="79"/>
      <c r="U223" s="88"/>
      <c r="V223" s="5"/>
    </row>
    <row r="224" spans="1:22" ht="15.6" x14ac:dyDescent="0.3">
      <c r="A224" s="84"/>
      <c r="B224" s="76" t="s">
        <v>280</v>
      </c>
      <c r="C224" s="89"/>
      <c r="D224" s="89"/>
      <c r="E224" s="89"/>
      <c r="F224" s="90"/>
      <c r="G224" s="25"/>
      <c r="H224" s="25"/>
      <c r="I224" s="25"/>
      <c r="J224" s="25"/>
      <c r="K224" s="25"/>
      <c r="L224" s="25"/>
      <c r="M224" s="25"/>
      <c r="N224" s="25"/>
      <c r="O224" s="25"/>
      <c r="P224" s="25"/>
      <c r="Q224" s="30">
        <v>5</v>
      </c>
      <c r="R224" s="85">
        <v>1595</v>
      </c>
      <c r="S224" s="25"/>
      <c r="T224" s="79"/>
      <c r="U224" s="88"/>
      <c r="V224" s="5"/>
    </row>
    <row r="225" spans="1:23" ht="15.6" x14ac:dyDescent="0.3">
      <c r="A225" s="84"/>
      <c r="B225" s="76" t="s">
        <v>227</v>
      </c>
      <c r="C225" s="89"/>
      <c r="D225" s="89"/>
      <c r="E225" s="89"/>
      <c r="F225" s="90"/>
      <c r="G225" s="25"/>
      <c r="H225" s="25"/>
      <c r="I225" s="25"/>
      <c r="J225" s="25"/>
      <c r="K225" s="25"/>
      <c r="L225" s="25"/>
      <c r="M225" s="25"/>
      <c r="N225" s="25"/>
      <c r="O225" s="25"/>
      <c r="P225" s="25"/>
      <c r="Q225" s="30"/>
      <c r="R225" s="62">
        <v>8.01</v>
      </c>
      <c r="S225" s="25"/>
      <c r="T225" s="79"/>
      <c r="U225" s="88"/>
      <c r="V225" s="5"/>
    </row>
    <row r="226" spans="1:23" ht="15.6" x14ac:dyDescent="0.3">
      <c r="A226" s="84"/>
      <c r="B226" s="76"/>
      <c r="C226" s="89"/>
      <c r="D226" s="89"/>
      <c r="E226" s="89"/>
      <c r="F226" s="90"/>
      <c r="G226" s="25"/>
      <c r="H226" s="25"/>
      <c r="I226" s="25"/>
      <c r="J226" s="25"/>
      <c r="K226" s="25"/>
      <c r="L226" s="25"/>
      <c r="M226" s="25"/>
      <c r="N226" s="25"/>
      <c r="O226" s="25"/>
      <c r="P226" s="25"/>
      <c r="Q226" s="25"/>
      <c r="R226" s="91"/>
      <c r="S226" s="25"/>
      <c r="T226" s="79"/>
      <c r="U226" s="88"/>
      <c r="V226" s="5"/>
    </row>
    <row r="227" spans="1:23" ht="15.6" x14ac:dyDescent="0.3">
      <c r="A227" s="84"/>
      <c r="B227" s="76"/>
      <c r="C227" s="89"/>
      <c r="D227" s="89"/>
      <c r="E227" s="89"/>
      <c r="F227" s="90"/>
      <c r="G227" s="25"/>
      <c r="H227" s="25"/>
      <c r="I227" s="25"/>
      <c r="J227" s="25"/>
      <c r="K227" s="25"/>
      <c r="L227" s="25"/>
      <c r="M227" s="25"/>
      <c r="N227" s="25"/>
      <c r="O227" s="25"/>
      <c r="P227" s="25"/>
      <c r="Q227" s="25"/>
      <c r="R227" s="91"/>
      <c r="S227" s="25"/>
      <c r="T227" s="79"/>
      <c r="U227" s="88"/>
      <c r="V227" s="5"/>
    </row>
    <row r="228" spans="1:23" ht="17.399999999999999" x14ac:dyDescent="0.3">
      <c r="A228" s="84"/>
      <c r="B228" s="149" t="s">
        <v>175</v>
      </c>
      <c r="C228" s="89"/>
      <c r="D228" s="89"/>
      <c r="E228" s="89"/>
      <c r="F228" s="90"/>
      <c r="G228" s="25"/>
      <c r="H228" s="25"/>
      <c r="I228" s="25"/>
      <c r="J228" s="25"/>
      <c r="K228" s="25"/>
      <c r="L228" s="25"/>
      <c r="M228" s="25"/>
      <c r="N228" s="150" t="s">
        <v>174</v>
      </c>
      <c r="O228" s="25"/>
      <c r="P228" s="25"/>
      <c r="Q228" s="25"/>
      <c r="R228" s="91"/>
      <c r="S228" s="25"/>
      <c r="T228" s="79"/>
      <c r="U228" s="88"/>
      <c r="V228" s="5"/>
    </row>
    <row r="229" spans="1:23" ht="15.6" x14ac:dyDescent="0.3">
      <c r="A229" s="84"/>
      <c r="B229" s="76"/>
      <c r="C229" s="89"/>
      <c r="D229" s="89"/>
      <c r="E229" s="89"/>
      <c r="F229" s="90"/>
      <c r="G229" s="25"/>
      <c r="H229" s="25"/>
      <c r="I229" s="25"/>
      <c r="J229" s="25"/>
      <c r="K229" s="25"/>
      <c r="L229" s="25"/>
      <c r="M229" s="25"/>
      <c r="N229" s="25"/>
      <c r="O229" s="25"/>
      <c r="P229" s="25"/>
      <c r="Q229" s="25"/>
      <c r="R229" s="91"/>
      <c r="S229" s="25"/>
      <c r="T229" s="79"/>
      <c r="U229" s="88"/>
      <c r="V229" s="5"/>
    </row>
    <row r="230" spans="1:23" ht="15.6" x14ac:dyDescent="0.3">
      <c r="A230" s="6"/>
      <c r="B230" s="14" t="s">
        <v>169</v>
      </c>
      <c r="C230" s="81"/>
      <c r="D230" s="81"/>
      <c r="E230" s="81"/>
      <c r="F230" s="82"/>
      <c r="G230" s="81"/>
      <c r="H230" s="17"/>
      <c r="I230" s="17"/>
      <c r="J230" s="17"/>
      <c r="K230" s="17"/>
      <c r="L230" s="17"/>
      <c r="M230" s="17"/>
      <c r="N230" s="17"/>
      <c r="O230" s="17"/>
      <c r="P230" s="83" t="s">
        <v>105</v>
      </c>
      <c r="Q230" s="17" t="s">
        <v>106</v>
      </c>
      <c r="R230" s="83" t="s">
        <v>114</v>
      </c>
      <c r="S230" s="17" t="s">
        <v>106</v>
      </c>
      <c r="T230" s="8"/>
      <c r="U230" s="92"/>
      <c r="V230" s="5"/>
    </row>
    <row r="231" spans="1:23" ht="15.6" x14ac:dyDescent="0.3">
      <c r="A231" s="24"/>
      <c r="B231" s="54" t="s">
        <v>91</v>
      </c>
      <c r="C231" s="93"/>
      <c r="D231" s="93"/>
      <c r="E231" s="93"/>
      <c r="F231" s="25"/>
      <c r="G231" s="93"/>
      <c r="H231" s="93"/>
      <c r="I231" s="93"/>
      <c r="J231" s="93"/>
      <c r="K231" s="93"/>
      <c r="L231" s="93"/>
      <c r="M231" s="93"/>
      <c r="N231" s="93"/>
      <c r="O231" s="93"/>
      <c r="P231" s="54">
        <v>4642</v>
      </c>
      <c r="Q231" s="94">
        <f t="shared" ref="Q231:Q238" si="1">P231/$P$240</f>
        <v>0.98243386243386244</v>
      </c>
      <c r="R231" s="53">
        <v>616105</v>
      </c>
      <c r="S231" s="132">
        <f t="shared" ref="S231:S238" si="2">R231/$R$240</f>
        <v>0.98217872606347367</v>
      </c>
      <c r="T231" s="79"/>
      <c r="U231" s="88"/>
      <c r="V231" s="5"/>
    </row>
    <row r="232" spans="1:23" ht="15.6" x14ac:dyDescent="0.3">
      <c r="A232" s="24"/>
      <c r="B232" s="54" t="s">
        <v>92</v>
      </c>
      <c r="C232" s="93"/>
      <c r="D232" s="93"/>
      <c r="E232" s="93"/>
      <c r="F232" s="25"/>
      <c r="G232" s="94"/>
      <c r="H232" s="93"/>
      <c r="I232" s="93"/>
      <c r="J232" s="93"/>
      <c r="K232" s="93"/>
      <c r="L232" s="93"/>
      <c r="M232" s="93"/>
      <c r="N232" s="93"/>
      <c r="O232" s="93"/>
      <c r="P232" s="54">
        <v>52</v>
      </c>
      <c r="Q232" s="94">
        <f t="shared" si="1"/>
        <v>1.1005291005291006E-2</v>
      </c>
      <c r="R232" s="53">
        <v>6215</v>
      </c>
      <c r="S232" s="132">
        <f t="shared" si="2"/>
        <v>9.9077929614018526E-3</v>
      </c>
      <c r="T232" s="79"/>
      <c r="U232" s="88"/>
      <c r="V232" s="5"/>
      <c r="W232" s="109"/>
    </row>
    <row r="233" spans="1:23" ht="15.6" x14ac:dyDescent="0.3">
      <c r="A233" s="24"/>
      <c r="B233" s="54" t="s">
        <v>93</v>
      </c>
      <c r="C233" s="93"/>
      <c r="D233" s="93"/>
      <c r="E233" s="93"/>
      <c r="F233" s="25"/>
      <c r="G233" s="94"/>
      <c r="H233" s="93"/>
      <c r="I233" s="93"/>
      <c r="J233" s="93"/>
      <c r="K233" s="93"/>
      <c r="L233" s="93"/>
      <c r="M233" s="93"/>
      <c r="N233" s="93"/>
      <c r="O233" s="93"/>
      <c r="P233" s="54">
        <v>20</v>
      </c>
      <c r="Q233" s="94">
        <f t="shared" si="1"/>
        <v>4.2328042328042331E-3</v>
      </c>
      <c r="R233" s="53">
        <v>2846</v>
      </c>
      <c r="S233" s="132">
        <f t="shared" si="2"/>
        <v>4.5370199144247267E-3</v>
      </c>
      <c r="T233" s="79"/>
      <c r="U233" s="88"/>
      <c r="V233" s="5"/>
    </row>
    <row r="234" spans="1:23" ht="15.6" x14ac:dyDescent="0.3">
      <c r="A234" s="24"/>
      <c r="B234" s="54" t="s">
        <v>163</v>
      </c>
      <c r="C234" s="93"/>
      <c r="D234" s="93"/>
      <c r="E234" s="93"/>
      <c r="F234" s="25"/>
      <c r="G234" s="94"/>
      <c r="H234" s="93"/>
      <c r="I234" s="93"/>
      <c r="J234" s="93"/>
      <c r="K234" s="93"/>
      <c r="L234" s="93"/>
      <c r="M234" s="93"/>
      <c r="N234" s="93"/>
      <c r="O234" s="93"/>
      <c r="P234" s="54">
        <v>9</v>
      </c>
      <c r="Q234" s="94">
        <f t="shared" si="1"/>
        <v>1.9047619047619048E-3</v>
      </c>
      <c r="R234" s="53">
        <v>1728</v>
      </c>
      <c r="S234" s="132">
        <f t="shared" si="2"/>
        <v>2.7547331033471283E-3</v>
      </c>
      <c r="T234" s="79"/>
      <c r="U234" s="88"/>
      <c r="V234" s="5"/>
      <c r="W234" s="109"/>
    </row>
    <row r="235" spans="1:23" ht="15.6" x14ac:dyDescent="0.3">
      <c r="A235" s="24"/>
      <c r="B235" s="54" t="s">
        <v>164</v>
      </c>
      <c r="C235" s="93"/>
      <c r="D235" s="93"/>
      <c r="E235" s="93"/>
      <c r="F235" s="25"/>
      <c r="G235" s="94"/>
      <c r="H235" s="93"/>
      <c r="I235" s="93"/>
      <c r="J235" s="93"/>
      <c r="K235" s="93"/>
      <c r="L235" s="93"/>
      <c r="M235" s="93"/>
      <c r="N235" s="93"/>
      <c r="O235" s="93"/>
      <c r="P235" s="54">
        <v>1</v>
      </c>
      <c r="Q235" s="94">
        <f t="shared" si="1"/>
        <v>2.1164021164021165E-4</v>
      </c>
      <c r="R235" s="53">
        <v>243</v>
      </c>
      <c r="S235" s="132">
        <f t="shared" si="2"/>
        <v>3.8738434265818991E-4</v>
      </c>
      <c r="T235" s="79"/>
      <c r="U235" s="88"/>
      <c r="V235" s="5"/>
    </row>
    <row r="236" spans="1:23" ht="15.6" x14ac:dyDescent="0.3">
      <c r="A236" s="24"/>
      <c r="B236" s="54" t="s">
        <v>165</v>
      </c>
      <c r="C236" s="93"/>
      <c r="D236" s="93"/>
      <c r="E236" s="93"/>
      <c r="F236" s="25"/>
      <c r="G236" s="94"/>
      <c r="H236" s="93"/>
      <c r="I236" s="93"/>
      <c r="J236" s="93"/>
      <c r="K236" s="93"/>
      <c r="L236" s="93"/>
      <c r="M236" s="93"/>
      <c r="N236" s="93"/>
      <c r="O236" s="93"/>
      <c r="P236" s="54">
        <v>0</v>
      </c>
      <c r="Q236" s="94">
        <f t="shared" si="1"/>
        <v>0</v>
      </c>
      <c r="R236" s="53">
        <v>0</v>
      </c>
      <c r="S236" s="132">
        <f t="shared" si="2"/>
        <v>0</v>
      </c>
      <c r="T236" s="79"/>
      <c r="U236" s="88"/>
      <c r="V236" s="5"/>
      <c r="W236" s="109"/>
    </row>
    <row r="237" spans="1:23" ht="15.6" x14ac:dyDescent="0.3">
      <c r="A237" s="24"/>
      <c r="B237" s="54" t="s">
        <v>166</v>
      </c>
      <c r="C237" s="93"/>
      <c r="D237" s="93"/>
      <c r="E237" s="93"/>
      <c r="F237" s="25"/>
      <c r="G237" s="94"/>
      <c r="H237" s="93"/>
      <c r="I237" s="93"/>
      <c r="J237" s="93"/>
      <c r="K237" s="93"/>
      <c r="L237" s="93"/>
      <c r="M237" s="93"/>
      <c r="N237" s="93"/>
      <c r="O237" s="93"/>
      <c r="P237" s="54">
        <v>0</v>
      </c>
      <c r="Q237" s="94">
        <f t="shared" si="1"/>
        <v>0</v>
      </c>
      <c r="R237" s="53">
        <v>0</v>
      </c>
      <c r="S237" s="132">
        <f t="shared" si="2"/>
        <v>0</v>
      </c>
      <c r="T237" s="79"/>
      <c r="U237" s="88"/>
      <c r="V237" s="5"/>
    </row>
    <row r="238" spans="1:23" ht="15.6" x14ac:dyDescent="0.3">
      <c r="A238" s="24"/>
      <c r="B238" s="54" t="s">
        <v>167</v>
      </c>
      <c r="C238" s="93"/>
      <c r="D238" s="93"/>
      <c r="E238" s="93"/>
      <c r="F238" s="25"/>
      <c r="G238" s="94"/>
      <c r="H238" s="93"/>
      <c r="I238" s="93"/>
      <c r="J238" s="93"/>
      <c r="K238" s="93"/>
      <c r="L238" s="93"/>
      <c r="M238" s="93"/>
      <c r="N238" s="93"/>
      <c r="O238" s="93"/>
      <c r="P238" s="54">
        <v>1</v>
      </c>
      <c r="Q238" s="94">
        <f t="shared" si="1"/>
        <v>2.1164021164021165E-4</v>
      </c>
      <c r="R238" s="53">
        <v>147</v>
      </c>
      <c r="S238" s="132">
        <f t="shared" si="2"/>
        <v>2.3434361469446056E-4</v>
      </c>
      <c r="T238" s="79"/>
      <c r="U238" s="88"/>
      <c r="V238" s="5"/>
      <c r="W238" s="109"/>
    </row>
    <row r="239" spans="1:23" ht="15.6" x14ac:dyDescent="0.3">
      <c r="A239" s="24"/>
      <c r="B239" s="54"/>
      <c r="C239" s="93"/>
      <c r="D239" s="93"/>
      <c r="E239" s="93"/>
      <c r="F239" s="25"/>
      <c r="G239" s="94"/>
      <c r="H239" s="93"/>
      <c r="I239" s="93"/>
      <c r="J239" s="93"/>
      <c r="K239" s="93"/>
      <c r="L239" s="93"/>
      <c r="M239" s="93"/>
      <c r="N239" s="93"/>
      <c r="O239" s="93"/>
      <c r="P239" s="54"/>
      <c r="Q239" s="94"/>
      <c r="R239" s="53"/>
      <c r="S239" s="132"/>
      <c r="T239" s="79"/>
      <c r="U239" s="88"/>
      <c r="V239" s="5"/>
    </row>
    <row r="240" spans="1:23" ht="15.6" x14ac:dyDescent="0.3">
      <c r="A240" s="24"/>
      <c r="B240" s="25" t="s">
        <v>120</v>
      </c>
      <c r="C240" s="25"/>
      <c r="D240" s="25"/>
      <c r="E240" s="25"/>
      <c r="F240" s="25"/>
      <c r="G240" s="25"/>
      <c r="H240" s="95"/>
      <c r="I240" s="95"/>
      <c r="J240" s="95"/>
      <c r="K240" s="95"/>
      <c r="L240" s="95"/>
      <c r="M240" s="95"/>
      <c r="N240" s="95"/>
      <c r="O240" s="95"/>
      <c r="P240" s="34">
        <f>SUM(P231:P239)</f>
        <v>4725</v>
      </c>
      <c r="Q240" s="132">
        <f>SUM(Q231:Q239)</f>
        <v>1</v>
      </c>
      <c r="R240" s="53">
        <f>SUM(R231:R239)</f>
        <v>627284</v>
      </c>
      <c r="S240" s="132">
        <f>SUM(S231:S239)</f>
        <v>1</v>
      </c>
      <c r="T240" s="25"/>
      <c r="U240" s="25"/>
      <c r="V240" s="5"/>
    </row>
    <row r="241" spans="1:22" ht="15.6" x14ac:dyDescent="0.3">
      <c r="A241" s="24"/>
      <c r="B241" s="25"/>
      <c r="C241" s="25"/>
      <c r="D241" s="25"/>
      <c r="E241" s="25"/>
      <c r="F241" s="25"/>
      <c r="G241" s="25"/>
      <c r="H241" s="95"/>
      <c r="I241" s="95"/>
      <c r="J241" s="95"/>
      <c r="K241" s="95"/>
      <c r="L241" s="95"/>
      <c r="M241" s="95"/>
      <c r="N241" s="95"/>
      <c r="O241" s="95"/>
      <c r="P241" s="34"/>
      <c r="Q241" s="132"/>
      <c r="R241" s="53"/>
      <c r="S241" s="132"/>
      <c r="T241" s="25"/>
      <c r="U241" s="25"/>
      <c r="V241" s="5"/>
    </row>
    <row r="242" spans="1:22" ht="15.6" x14ac:dyDescent="0.3">
      <c r="A242" s="141"/>
      <c r="B242" s="14" t="s">
        <v>267</v>
      </c>
      <c r="C242" s="81"/>
      <c r="D242" s="81"/>
      <c r="E242" s="81"/>
      <c r="F242" s="82"/>
      <c r="G242" s="81"/>
      <c r="H242" s="17"/>
      <c r="I242" s="17"/>
      <c r="J242" s="17"/>
      <c r="K242" s="17"/>
      <c r="L242" s="17"/>
      <c r="M242" s="17"/>
      <c r="N242" s="17"/>
      <c r="O242" s="17"/>
      <c r="P242" s="83" t="s">
        <v>105</v>
      </c>
      <c r="Q242" s="17" t="s">
        <v>106</v>
      </c>
      <c r="R242" s="83" t="s">
        <v>114</v>
      </c>
      <c r="S242" s="17" t="s">
        <v>106</v>
      </c>
      <c r="T242" s="139"/>
      <c r="U242" s="140"/>
      <c r="V242" s="5"/>
    </row>
    <row r="243" spans="1:22" ht="15.6" x14ac:dyDescent="0.3">
      <c r="A243" s="24"/>
      <c r="B243" s="54" t="s">
        <v>91</v>
      </c>
      <c r="C243" s="93"/>
      <c r="D243" s="93"/>
      <c r="E243" s="93"/>
      <c r="F243" s="25"/>
      <c r="G243" s="93"/>
      <c r="H243" s="93"/>
      <c r="I243" s="93"/>
      <c r="J243" s="93"/>
      <c r="K243" s="93"/>
      <c r="L243" s="93"/>
      <c r="M243" s="93"/>
      <c r="N243" s="93"/>
      <c r="O243" s="93"/>
      <c r="P243" s="54">
        <v>18</v>
      </c>
      <c r="Q243" s="94">
        <f t="shared" ref="Q243:Q250" si="3">P243/$P$252</f>
        <v>0.18947368421052632</v>
      </c>
      <c r="R243" s="53">
        <v>2333</v>
      </c>
      <c r="S243" s="132">
        <f t="shared" ref="S243:S250" si="4">R243/$R$252</f>
        <v>0.1617891816920943</v>
      </c>
      <c r="T243" s="25"/>
      <c r="U243" s="25"/>
      <c r="V243" s="5"/>
    </row>
    <row r="244" spans="1:22" ht="15.6" x14ac:dyDescent="0.3">
      <c r="A244" s="24"/>
      <c r="B244" s="54" t="s">
        <v>92</v>
      </c>
      <c r="C244" s="93"/>
      <c r="D244" s="93"/>
      <c r="E244" s="93"/>
      <c r="F244" s="25"/>
      <c r="G244" s="94"/>
      <c r="H244" s="93"/>
      <c r="I244" s="93"/>
      <c r="J244" s="93"/>
      <c r="K244" s="93"/>
      <c r="L244" s="93"/>
      <c r="M244" s="93"/>
      <c r="N244" s="93"/>
      <c r="O244" s="93"/>
      <c r="P244" s="54">
        <v>25</v>
      </c>
      <c r="Q244" s="94">
        <f t="shared" si="3"/>
        <v>0.26315789473684209</v>
      </c>
      <c r="R244" s="53">
        <v>4331</v>
      </c>
      <c r="S244" s="132">
        <f t="shared" si="4"/>
        <v>0.30034674063800276</v>
      </c>
      <c r="T244" s="25"/>
      <c r="U244" s="25"/>
      <c r="V244" s="5"/>
    </row>
    <row r="245" spans="1:22" ht="15.6" x14ac:dyDescent="0.3">
      <c r="A245" s="24"/>
      <c r="B245" s="54" t="s">
        <v>93</v>
      </c>
      <c r="C245" s="93"/>
      <c r="D245" s="93"/>
      <c r="E245" s="93"/>
      <c r="F245" s="25"/>
      <c r="G245" s="94"/>
      <c r="H245" s="93"/>
      <c r="I245" s="93"/>
      <c r="J245" s="93"/>
      <c r="K245" s="93"/>
      <c r="L245" s="93"/>
      <c r="M245" s="93"/>
      <c r="N245" s="93"/>
      <c r="O245" s="93"/>
      <c r="P245" s="54">
        <v>4</v>
      </c>
      <c r="Q245" s="94">
        <f t="shared" si="3"/>
        <v>4.2105263157894736E-2</v>
      </c>
      <c r="R245" s="53">
        <v>570</v>
      </c>
      <c r="S245" s="132">
        <f t="shared" si="4"/>
        <v>3.9528432732316231E-2</v>
      </c>
      <c r="T245" s="25"/>
      <c r="U245" s="25"/>
      <c r="V245" s="5"/>
    </row>
    <row r="246" spans="1:22" ht="15.6" x14ac:dyDescent="0.3">
      <c r="A246" s="24"/>
      <c r="B246" s="54" t="s">
        <v>163</v>
      </c>
      <c r="C246" s="93"/>
      <c r="D246" s="93"/>
      <c r="E246" s="93"/>
      <c r="F246" s="25"/>
      <c r="G246" s="94"/>
      <c r="H246" s="93"/>
      <c r="I246" s="93"/>
      <c r="J246" s="93"/>
      <c r="K246" s="93"/>
      <c r="L246" s="93"/>
      <c r="M246" s="93"/>
      <c r="N246" s="93"/>
      <c r="O246" s="93"/>
      <c r="P246" s="54">
        <v>2</v>
      </c>
      <c r="Q246" s="94">
        <f t="shared" si="3"/>
        <v>2.1052631578947368E-2</v>
      </c>
      <c r="R246" s="53">
        <v>274</v>
      </c>
      <c r="S246" s="132">
        <f t="shared" si="4"/>
        <v>1.9001386962552012E-2</v>
      </c>
      <c r="T246" s="25"/>
      <c r="U246" s="25"/>
      <c r="V246" s="5"/>
    </row>
    <row r="247" spans="1:22" ht="15.6" x14ac:dyDescent="0.3">
      <c r="A247" s="24"/>
      <c r="B247" s="54" t="s">
        <v>164</v>
      </c>
      <c r="C247" s="93"/>
      <c r="D247" s="93"/>
      <c r="E247" s="93"/>
      <c r="F247" s="25"/>
      <c r="G247" s="94"/>
      <c r="H247" s="93"/>
      <c r="I247" s="93"/>
      <c r="J247" s="93"/>
      <c r="K247" s="93"/>
      <c r="L247" s="93"/>
      <c r="M247" s="93"/>
      <c r="N247" s="93"/>
      <c r="O247" s="93"/>
      <c r="P247" s="54">
        <v>9</v>
      </c>
      <c r="Q247" s="94">
        <f t="shared" si="3"/>
        <v>9.4736842105263161E-2</v>
      </c>
      <c r="R247" s="53">
        <v>1204</v>
      </c>
      <c r="S247" s="132">
        <f t="shared" si="4"/>
        <v>8.3495145631067955E-2</v>
      </c>
      <c r="T247" s="25"/>
      <c r="U247" s="25"/>
      <c r="V247" s="5"/>
    </row>
    <row r="248" spans="1:22" ht="15.6" x14ac:dyDescent="0.3">
      <c r="A248" s="24"/>
      <c r="B248" s="54" t="s">
        <v>165</v>
      </c>
      <c r="C248" s="93"/>
      <c r="D248" s="93"/>
      <c r="E248" s="93"/>
      <c r="F248" s="25"/>
      <c r="G248" s="94"/>
      <c r="H248" s="93"/>
      <c r="I248" s="93"/>
      <c r="J248" s="93"/>
      <c r="K248" s="93"/>
      <c r="L248" s="93"/>
      <c r="M248" s="93"/>
      <c r="N248" s="93"/>
      <c r="O248" s="93"/>
      <c r="P248" s="54">
        <v>7</v>
      </c>
      <c r="Q248" s="94">
        <f t="shared" si="3"/>
        <v>7.3684210526315783E-2</v>
      </c>
      <c r="R248" s="53">
        <v>1017</v>
      </c>
      <c r="S248" s="132">
        <f t="shared" si="4"/>
        <v>7.0527045769764221E-2</v>
      </c>
      <c r="T248" s="25"/>
      <c r="U248" s="25"/>
      <c r="V248" s="5"/>
    </row>
    <row r="249" spans="1:22" ht="15.6" x14ac:dyDescent="0.3">
      <c r="A249" s="24"/>
      <c r="B249" s="54" t="s">
        <v>166</v>
      </c>
      <c r="C249" s="93"/>
      <c r="D249" s="93"/>
      <c r="E249" s="93"/>
      <c r="F249" s="25"/>
      <c r="G249" s="94"/>
      <c r="H249" s="93"/>
      <c r="I249" s="93"/>
      <c r="J249" s="93"/>
      <c r="K249" s="93"/>
      <c r="L249" s="93"/>
      <c r="M249" s="93"/>
      <c r="N249" s="93"/>
      <c r="O249" s="93"/>
      <c r="P249" s="54">
        <v>24</v>
      </c>
      <c r="Q249" s="94">
        <f t="shared" si="3"/>
        <v>0.25263157894736843</v>
      </c>
      <c r="R249" s="53">
        <v>3709</v>
      </c>
      <c r="S249" s="132">
        <f t="shared" si="4"/>
        <v>0.25721220527045768</v>
      </c>
      <c r="T249" s="25"/>
      <c r="U249" s="25"/>
      <c r="V249" s="5"/>
    </row>
    <row r="250" spans="1:22" ht="15.6" x14ac:dyDescent="0.3">
      <c r="A250" s="24"/>
      <c r="B250" s="54" t="s">
        <v>167</v>
      </c>
      <c r="C250" s="93"/>
      <c r="D250" s="93"/>
      <c r="E250" s="93"/>
      <c r="F250" s="25"/>
      <c r="G250" s="94"/>
      <c r="H250" s="93"/>
      <c r="I250" s="93"/>
      <c r="J250" s="93"/>
      <c r="K250" s="93"/>
      <c r="L250" s="93"/>
      <c r="M250" s="93"/>
      <c r="N250" s="93"/>
      <c r="O250" s="93"/>
      <c r="P250" s="54">
        <v>6</v>
      </c>
      <c r="Q250" s="94">
        <f t="shared" si="3"/>
        <v>6.3157894736842107E-2</v>
      </c>
      <c r="R250" s="53">
        <v>982</v>
      </c>
      <c r="S250" s="132">
        <f t="shared" si="4"/>
        <v>6.8099861303744805E-2</v>
      </c>
      <c r="T250" s="25"/>
      <c r="U250" s="25"/>
      <c r="V250" s="5"/>
    </row>
    <row r="251" spans="1:22" ht="15.6" x14ac:dyDescent="0.3">
      <c r="A251" s="24"/>
      <c r="B251" s="54"/>
      <c r="C251" s="93"/>
      <c r="D251" s="93"/>
      <c r="E251" s="93"/>
      <c r="F251" s="25"/>
      <c r="G251" s="94"/>
      <c r="H251" s="93"/>
      <c r="I251" s="93"/>
      <c r="J251" s="93"/>
      <c r="K251" s="93"/>
      <c r="L251" s="93"/>
      <c r="M251" s="93"/>
      <c r="N251" s="93"/>
      <c r="O251" s="93"/>
      <c r="P251" s="54"/>
      <c r="Q251" s="94"/>
      <c r="R251" s="53"/>
      <c r="S251" s="132"/>
      <c r="T251" s="25"/>
      <c r="U251" s="25"/>
      <c r="V251" s="5"/>
    </row>
    <row r="252" spans="1:22" ht="15.6" x14ac:dyDescent="0.3">
      <c r="A252" s="24"/>
      <c r="B252" s="25" t="s">
        <v>120</v>
      </c>
      <c r="C252" s="25"/>
      <c r="D252" s="25"/>
      <c r="E252" s="25"/>
      <c r="F252" s="25"/>
      <c r="G252" s="25"/>
      <c r="H252" s="95"/>
      <c r="I252" s="95"/>
      <c r="J252" s="95"/>
      <c r="K252" s="95"/>
      <c r="L252" s="95"/>
      <c r="M252" s="95"/>
      <c r="N252" s="95"/>
      <c r="O252" s="95"/>
      <c r="P252" s="34">
        <f>SUM(P243:P251)</f>
        <v>95</v>
      </c>
      <c r="Q252" s="132">
        <f>SUM(Q243:Q251)</f>
        <v>0.99999999999999989</v>
      </c>
      <c r="R252" s="53">
        <f>SUM(R243:R251)</f>
        <v>14420</v>
      </c>
      <c r="S252" s="132">
        <f>SUM(S243:S251)</f>
        <v>0.99999999999999989</v>
      </c>
      <c r="T252" s="25"/>
      <c r="U252" s="25"/>
      <c r="V252" s="5"/>
    </row>
    <row r="253" spans="1:22" ht="15.6" x14ac:dyDescent="0.3">
      <c r="A253" s="24"/>
      <c r="B253" s="25"/>
      <c r="C253" s="25"/>
      <c r="D253" s="25"/>
      <c r="E253" s="25"/>
      <c r="F253" s="25"/>
      <c r="G253" s="25"/>
      <c r="H253" s="95"/>
      <c r="I253" s="95"/>
      <c r="J253" s="95"/>
      <c r="K253" s="95"/>
      <c r="L253" s="95"/>
      <c r="M253" s="95"/>
      <c r="N253" s="95"/>
      <c r="O253" s="95"/>
      <c r="P253" s="34"/>
      <c r="Q253" s="132"/>
      <c r="R253" s="53"/>
      <c r="S253" s="132"/>
      <c r="T253" s="25"/>
      <c r="U253" s="25"/>
      <c r="V253" s="5"/>
    </row>
    <row r="254" spans="1:22" ht="15.6" x14ac:dyDescent="0.3">
      <c r="A254" s="141"/>
      <c r="B254" s="14" t="s">
        <v>170</v>
      </c>
      <c r="C254" s="139"/>
      <c r="D254" s="139"/>
      <c r="E254" s="139"/>
      <c r="F254" s="139"/>
      <c r="G254" s="139"/>
      <c r="H254" s="145"/>
      <c r="I254" s="145"/>
      <c r="J254" s="145"/>
      <c r="K254" s="145"/>
      <c r="L254" s="145"/>
      <c r="M254" s="145"/>
      <c r="N254" s="145"/>
      <c r="O254" s="145"/>
      <c r="P254" s="83" t="s">
        <v>105</v>
      </c>
      <c r="Q254" s="17" t="s">
        <v>106</v>
      </c>
      <c r="R254" s="83" t="s">
        <v>114</v>
      </c>
      <c r="S254" s="17" t="s">
        <v>106</v>
      </c>
      <c r="T254" s="139"/>
      <c r="U254" s="140"/>
      <c r="V254" s="5"/>
    </row>
    <row r="255" spans="1:22" ht="15.6" x14ac:dyDescent="0.3">
      <c r="A255" s="24"/>
      <c r="B255" s="54" t="s">
        <v>91</v>
      </c>
      <c r="C255" s="25"/>
      <c r="D255" s="25"/>
      <c r="E255" s="25"/>
      <c r="F255" s="25"/>
      <c r="G255" s="25"/>
      <c r="H255" s="95"/>
      <c r="I255" s="95"/>
      <c r="J255" s="95"/>
      <c r="K255" s="95"/>
      <c r="L255" s="95"/>
      <c r="M255" s="95"/>
      <c r="N255" s="95"/>
      <c r="O255" s="95"/>
      <c r="P255" s="54">
        <v>0</v>
      </c>
      <c r="Q255" s="94">
        <f t="shared" ref="Q255:Q261" si="5">P255/$P$252</f>
        <v>0</v>
      </c>
      <c r="R255" s="53">
        <v>0</v>
      </c>
      <c r="S255" s="132">
        <f t="shared" ref="S255:S261" si="6">R255/$R$252</f>
        <v>0</v>
      </c>
      <c r="T255" s="25"/>
      <c r="U255" s="25"/>
      <c r="V255" s="5"/>
    </row>
    <row r="256" spans="1:22" ht="15.6" x14ac:dyDescent="0.3">
      <c r="A256" s="24"/>
      <c r="B256" s="54" t="s">
        <v>92</v>
      </c>
      <c r="C256" s="25"/>
      <c r="D256" s="25"/>
      <c r="E256" s="25"/>
      <c r="F256" s="25"/>
      <c r="G256" s="25"/>
      <c r="H256" s="95"/>
      <c r="I256" s="95"/>
      <c r="J256" s="95"/>
      <c r="K256" s="95"/>
      <c r="L256" s="95"/>
      <c r="M256" s="95"/>
      <c r="N256" s="95"/>
      <c r="O256" s="95"/>
      <c r="P256" s="54">
        <v>0</v>
      </c>
      <c r="Q256" s="94">
        <f t="shared" si="5"/>
        <v>0</v>
      </c>
      <c r="R256" s="53">
        <v>0</v>
      </c>
      <c r="S256" s="132">
        <f t="shared" si="6"/>
        <v>0</v>
      </c>
      <c r="T256" s="25"/>
      <c r="U256" s="25"/>
      <c r="V256" s="5"/>
    </row>
    <row r="257" spans="1:22" ht="15.6" x14ac:dyDescent="0.3">
      <c r="A257" s="24"/>
      <c r="B257" s="54" t="s">
        <v>93</v>
      </c>
      <c r="C257" s="25"/>
      <c r="D257" s="25"/>
      <c r="E257" s="25"/>
      <c r="F257" s="25"/>
      <c r="G257" s="25"/>
      <c r="H257" s="95"/>
      <c r="I257" s="95"/>
      <c r="J257" s="95"/>
      <c r="K257" s="95"/>
      <c r="L257" s="95"/>
      <c r="M257" s="95"/>
      <c r="N257" s="95"/>
      <c r="O257" s="95"/>
      <c r="P257" s="54">
        <v>0</v>
      </c>
      <c r="Q257" s="94">
        <f t="shared" si="5"/>
        <v>0</v>
      </c>
      <c r="R257" s="53">
        <v>0</v>
      </c>
      <c r="S257" s="132">
        <f t="shared" si="6"/>
        <v>0</v>
      </c>
      <c r="T257" s="25"/>
      <c r="U257" s="25"/>
      <c r="V257" s="5"/>
    </row>
    <row r="258" spans="1:22" ht="15.6" x14ac:dyDescent="0.3">
      <c r="A258" s="24"/>
      <c r="B258" s="54" t="s">
        <v>163</v>
      </c>
      <c r="C258" s="25"/>
      <c r="D258" s="25"/>
      <c r="E258" s="25"/>
      <c r="F258" s="25"/>
      <c r="G258" s="25"/>
      <c r="H258" s="95"/>
      <c r="I258" s="95"/>
      <c r="J258" s="95"/>
      <c r="K258" s="95"/>
      <c r="L258" s="95"/>
      <c r="M258" s="95"/>
      <c r="N258" s="95"/>
      <c r="O258" s="95"/>
      <c r="P258" s="54">
        <v>0</v>
      </c>
      <c r="Q258" s="94">
        <f t="shared" si="5"/>
        <v>0</v>
      </c>
      <c r="R258" s="53">
        <v>0</v>
      </c>
      <c r="S258" s="132">
        <f t="shared" si="6"/>
        <v>0</v>
      </c>
      <c r="T258" s="25"/>
      <c r="U258" s="25"/>
      <c r="V258" s="5"/>
    </row>
    <row r="259" spans="1:22" ht="15.6" x14ac:dyDescent="0.3">
      <c r="A259" s="24"/>
      <c r="B259" s="54" t="s">
        <v>164</v>
      </c>
      <c r="C259" s="25"/>
      <c r="D259" s="25"/>
      <c r="E259" s="25"/>
      <c r="F259" s="25"/>
      <c r="G259" s="25"/>
      <c r="H259" s="95"/>
      <c r="I259" s="95"/>
      <c r="J259" s="95"/>
      <c r="K259" s="95"/>
      <c r="L259" s="95"/>
      <c r="M259" s="95"/>
      <c r="N259" s="95"/>
      <c r="O259" s="95"/>
      <c r="P259" s="54">
        <v>0</v>
      </c>
      <c r="Q259" s="94">
        <f t="shared" si="5"/>
        <v>0</v>
      </c>
      <c r="R259" s="53">
        <v>0</v>
      </c>
      <c r="S259" s="132">
        <f t="shared" si="6"/>
        <v>0</v>
      </c>
      <c r="T259" s="25"/>
      <c r="U259" s="25"/>
      <c r="V259" s="5"/>
    </row>
    <row r="260" spans="1:22" ht="15.6" x14ac:dyDescent="0.3">
      <c r="A260" s="24"/>
      <c r="B260" s="54" t="s">
        <v>165</v>
      </c>
      <c r="C260" s="25"/>
      <c r="D260" s="25"/>
      <c r="E260" s="25"/>
      <c r="F260" s="25"/>
      <c r="G260" s="25"/>
      <c r="H260" s="95"/>
      <c r="I260" s="95"/>
      <c r="J260" s="95"/>
      <c r="K260" s="95"/>
      <c r="L260" s="95"/>
      <c r="M260" s="95"/>
      <c r="N260" s="95"/>
      <c r="O260" s="95"/>
      <c r="P260" s="54">
        <v>0</v>
      </c>
      <c r="Q260" s="94">
        <f t="shared" si="5"/>
        <v>0</v>
      </c>
      <c r="R260" s="53">
        <v>0</v>
      </c>
      <c r="S260" s="132">
        <f t="shared" si="6"/>
        <v>0</v>
      </c>
      <c r="T260" s="25"/>
      <c r="U260" s="25"/>
      <c r="V260" s="5"/>
    </row>
    <row r="261" spans="1:22" ht="15.6" x14ac:dyDescent="0.3">
      <c r="A261" s="24"/>
      <c r="B261" s="54" t="s">
        <v>166</v>
      </c>
      <c r="C261" s="25"/>
      <c r="D261" s="25"/>
      <c r="E261" s="25"/>
      <c r="F261" s="25"/>
      <c r="G261" s="25"/>
      <c r="H261" s="95"/>
      <c r="I261" s="95"/>
      <c r="J261" s="95"/>
      <c r="K261" s="95"/>
      <c r="L261" s="95"/>
      <c r="M261" s="95"/>
      <c r="N261" s="95"/>
      <c r="O261" s="95"/>
      <c r="P261" s="54">
        <v>0</v>
      </c>
      <c r="Q261" s="94">
        <f t="shared" si="5"/>
        <v>0</v>
      </c>
      <c r="R261" s="53">
        <v>0</v>
      </c>
      <c r="S261" s="132">
        <f t="shared" si="6"/>
        <v>0</v>
      </c>
      <c r="T261" s="25"/>
      <c r="U261" s="25"/>
      <c r="V261" s="5"/>
    </row>
    <row r="262" spans="1:22" ht="15.6" x14ac:dyDescent="0.3">
      <c r="A262" s="24"/>
      <c r="B262" s="54" t="s">
        <v>167</v>
      </c>
      <c r="C262" s="25"/>
      <c r="D262" s="25"/>
      <c r="E262" s="25"/>
      <c r="F262" s="25"/>
      <c r="G262" s="25"/>
      <c r="H262" s="95"/>
      <c r="I262" s="95"/>
      <c r="J262" s="95"/>
      <c r="K262" s="95"/>
      <c r="L262" s="95"/>
      <c r="M262" s="95"/>
      <c r="N262" s="95"/>
      <c r="O262" s="95"/>
      <c r="P262" s="54">
        <v>1</v>
      </c>
      <c r="Q262" s="94">
        <f>P262/$P$264</f>
        <v>1</v>
      </c>
      <c r="R262" s="53">
        <v>236</v>
      </c>
      <c r="S262" s="132">
        <f>R262/$R$264</f>
        <v>1</v>
      </c>
      <c r="T262" s="25"/>
      <c r="U262" s="25"/>
      <c r="V262" s="5"/>
    </row>
    <row r="263" spans="1:22" ht="15.6" x14ac:dyDescent="0.3">
      <c r="A263" s="24"/>
      <c r="B263" s="54"/>
      <c r="C263" s="25"/>
      <c r="D263" s="25"/>
      <c r="E263" s="25"/>
      <c r="F263" s="25"/>
      <c r="G263" s="25"/>
      <c r="H263" s="95"/>
      <c r="I263" s="95"/>
      <c r="J263" s="95"/>
      <c r="K263" s="95"/>
      <c r="L263" s="95"/>
      <c r="M263" s="95"/>
      <c r="N263" s="95"/>
      <c r="O263" s="95"/>
      <c r="P263" s="54"/>
      <c r="Q263" s="94"/>
      <c r="R263" s="53"/>
      <c r="S263" s="132"/>
      <c r="T263" s="25"/>
      <c r="U263" s="25"/>
      <c r="V263" s="5"/>
    </row>
    <row r="264" spans="1:22" ht="15.6" x14ac:dyDescent="0.3">
      <c r="A264" s="24"/>
      <c r="B264" s="25" t="s">
        <v>120</v>
      </c>
      <c r="C264" s="25"/>
      <c r="D264" s="25"/>
      <c r="E264" s="25"/>
      <c r="F264" s="25"/>
      <c r="G264" s="25"/>
      <c r="H264" s="95"/>
      <c r="I264" s="95"/>
      <c r="J264" s="95"/>
      <c r="K264" s="95"/>
      <c r="L264" s="95"/>
      <c r="M264" s="95"/>
      <c r="N264" s="95"/>
      <c r="O264" s="95"/>
      <c r="P264" s="34">
        <f>SUM(P255:P262)</f>
        <v>1</v>
      </c>
      <c r="Q264" s="132">
        <f>SUM(Q255:Q263)</f>
        <v>1</v>
      </c>
      <c r="R264" s="53">
        <f>SUM(R255:R262)</f>
        <v>236</v>
      </c>
      <c r="S264" s="132">
        <f>SUM(S255:S263)</f>
        <v>1</v>
      </c>
      <c r="T264" s="25"/>
      <c r="U264" s="25"/>
      <c r="V264" s="5"/>
    </row>
    <row r="265" spans="1:22" ht="15.6" x14ac:dyDescent="0.3">
      <c r="A265" s="24"/>
      <c r="B265" s="25"/>
      <c r="C265" s="25"/>
      <c r="D265" s="25"/>
      <c r="E265" s="25"/>
      <c r="F265" s="25"/>
      <c r="G265" s="25"/>
      <c r="H265" s="95"/>
      <c r="I265" s="95"/>
      <c r="J265" s="95"/>
      <c r="K265" s="95"/>
      <c r="L265" s="95"/>
      <c r="M265" s="95"/>
      <c r="N265" s="95"/>
      <c r="O265" s="95"/>
      <c r="P265" s="34"/>
      <c r="Q265" s="132"/>
      <c r="R265" s="53"/>
      <c r="S265" s="132"/>
      <c r="T265" s="25"/>
      <c r="U265" s="25"/>
      <c r="V265" s="5"/>
    </row>
    <row r="266" spans="1:22" ht="15.6" x14ac:dyDescent="0.3">
      <c r="A266" s="24"/>
      <c r="B266" s="142" t="s">
        <v>171</v>
      </c>
      <c r="C266" s="25"/>
      <c r="D266" s="25"/>
      <c r="E266" s="25"/>
      <c r="F266" s="25"/>
      <c r="G266" s="25"/>
      <c r="H266" s="95"/>
      <c r="I266" s="95"/>
      <c r="J266" s="95"/>
      <c r="K266" s="95"/>
      <c r="L266" s="95"/>
      <c r="M266" s="95"/>
      <c r="N266" s="95"/>
      <c r="O266" s="95"/>
      <c r="P266" s="161">
        <f>P264+P252+P240</f>
        <v>4821</v>
      </c>
      <c r="Q266" s="143"/>
      <c r="R266" s="144">
        <f>+R264+R252+R240</f>
        <v>641940</v>
      </c>
      <c r="S266" s="143"/>
      <c r="T266" s="25"/>
      <c r="U266" s="25"/>
      <c r="V266" s="5"/>
    </row>
    <row r="267" spans="1:22" ht="15.6" x14ac:dyDescent="0.3">
      <c r="A267" s="24"/>
      <c r="B267" s="25"/>
      <c r="C267" s="25"/>
      <c r="D267" s="25"/>
      <c r="E267" s="25"/>
      <c r="F267" s="25"/>
      <c r="G267" s="25"/>
      <c r="H267" s="95"/>
      <c r="I267" s="95"/>
      <c r="J267" s="95"/>
      <c r="K267" s="95"/>
      <c r="L267" s="95"/>
      <c r="M267" s="95"/>
      <c r="N267" s="95"/>
      <c r="O267" s="95"/>
      <c r="P267" s="95"/>
      <c r="Q267" s="95"/>
      <c r="R267" s="53"/>
      <c r="S267" s="95"/>
      <c r="T267" s="25"/>
      <c r="U267" s="25"/>
      <c r="V267" s="5"/>
    </row>
    <row r="268" spans="1:22" ht="15.6" x14ac:dyDescent="0.3">
      <c r="A268" s="6"/>
      <c r="B268" s="8"/>
      <c r="C268" s="8"/>
      <c r="D268" s="8"/>
      <c r="E268" s="8"/>
      <c r="F268" s="8"/>
      <c r="G268" s="8"/>
      <c r="H268" s="96"/>
      <c r="I268" s="96"/>
      <c r="J268" s="96"/>
      <c r="K268" s="96"/>
      <c r="L268" s="96"/>
      <c r="M268" s="96"/>
      <c r="N268" s="96"/>
      <c r="O268" s="96"/>
      <c r="P268" s="96"/>
      <c r="Q268" s="96"/>
      <c r="R268" s="97"/>
      <c r="S268" s="96"/>
      <c r="T268" s="8"/>
      <c r="U268" s="8"/>
      <c r="V268" s="5"/>
    </row>
    <row r="269" spans="1:22" ht="15.6" x14ac:dyDescent="0.3">
      <c r="A269" s="167"/>
      <c r="B269" s="14" t="s">
        <v>94</v>
      </c>
      <c r="C269" s="15"/>
      <c r="D269" s="15"/>
      <c r="E269" s="15"/>
      <c r="F269" s="17" t="s">
        <v>100</v>
      </c>
      <c r="G269" s="15"/>
      <c r="H269" s="14" t="s">
        <v>102</v>
      </c>
      <c r="I269" s="162"/>
      <c r="J269" s="162"/>
      <c r="K269" s="162"/>
      <c r="L269" s="162"/>
      <c r="M269" s="162"/>
      <c r="N269" s="162"/>
      <c r="O269" s="162"/>
      <c r="P269" s="162"/>
      <c r="Q269" s="162"/>
      <c r="R269" s="162"/>
      <c r="S269" s="162"/>
      <c r="T269" s="162"/>
      <c r="U269" s="162"/>
      <c r="V269" s="5"/>
    </row>
    <row r="270" spans="1:22" ht="15.6" x14ac:dyDescent="0.3">
      <c r="A270" s="167"/>
      <c r="B270" s="13" t="s">
        <v>95</v>
      </c>
      <c r="C270" s="13"/>
      <c r="D270" s="13"/>
      <c r="E270" s="13"/>
      <c r="F270" s="130" t="s">
        <v>154</v>
      </c>
      <c r="G270" s="13"/>
      <c r="H270" s="13" t="s">
        <v>158</v>
      </c>
      <c r="I270" s="162"/>
      <c r="J270" s="162"/>
      <c r="K270" s="162"/>
      <c r="L270" s="162"/>
      <c r="M270" s="162"/>
      <c r="N270" s="162"/>
      <c r="O270" s="162"/>
      <c r="P270" s="162"/>
      <c r="Q270" s="162"/>
      <c r="R270" s="162"/>
      <c r="S270" s="162"/>
      <c r="T270" s="162"/>
      <c r="U270" s="162"/>
      <c r="V270" s="5"/>
    </row>
    <row r="271" spans="1:22" ht="15.6" x14ac:dyDescent="0.3">
      <c r="A271" s="167"/>
      <c r="B271" s="13" t="s">
        <v>268</v>
      </c>
      <c r="C271" s="13"/>
      <c r="D271" s="13"/>
      <c r="E271" s="13"/>
      <c r="F271" s="130" t="s">
        <v>269</v>
      </c>
      <c r="G271" s="13"/>
      <c r="H271" s="13" t="s">
        <v>270</v>
      </c>
      <c r="I271" s="162"/>
      <c r="J271" s="162"/>
      <c r="K271" s="162"/>
      <c r="L271" s="162"/>
      <c r="M271" s="162"/>
      <c r="N271" s="162"/>
      <c r="O271" s="162"/>
      <c r="P271" s="162"/>
      <c r="Q271" s="162"/>
      <c r="R271" s="162"/>
      <c r="S271" s="162"/>
      <c r="T271" s="162"/>
      <c r="U271" s="162"/>
      <c r="V271" s="5"/>
    </row>
    <row r="272" spans="1:22" ht="15.6" x14ac:dyDescent="0.3">
      <c r="A272" s="167"/>
      <c r="B272" s="13" t="s">
        <v>96</v>
      </c>
      <c r="C272" s="13"/>
      <c r="D272" s="13"/>
      <c r="E272" s="13"/>
      <c r="F272" s="130" t="s">
        <v>153</v>
      </c>
      <c r="G272" s="13"/>
      <c r="H272" s="13" t="s">
        <v>159</v>
      </c>
      <c r="I272" s="162"/>
      <c r="J272" s="162"/>
      <c r="K272" s="162"/>
      <c r="L272" s="162"/>
      <c r="M272" s="162"/>
      <c r="N272" s="162"/>
      <c r="O272" s="162"/>
      <c r="P272" s="162"/>
      <c r="Q272" s="162"/>
      <c r="R272" s="162"/>
      <c r="S272" s="162"/>
      <c r="T272" s="162"/>
      <c r="U272" s="162"/>
      <c r="V272" s="5"/>
    </row>
    <row r="273" spans="1:22" ht="15.6" x14ac:dyDescent="0.3">
      <c r="A273" s="167"/>
      <c r="B273" s="13"/>
      <c r="C273" s="13"/>
      <c r="D273" s="13"/>
      <c r="E273" s="13"/>
      <c r="F273" s="13"/>
      <c r="G273" s="99"/>
      <c r="H273" s="162"/>
      <c r="I273" s="162"/>
      <c r="J273" s="162"/>
      <c r="K273" s="162"/>
      <c r="L273" s="162"/>
      <c r="M273" s="162"/>
      <c r="N273" s="162"/>
      <c r="O273" s="162"/>
      <c r="P273" s="162"/>
      <c r="Q273" s="162"/>
      <c r="R273" s="162"/>
      <c r="S273" s="162"/>
      <c r="T273" s="162"/>
      <c r="U273" s="162"/>
      <c r="V273" s="5"/>
    </row>
    <row r="274" spans="1:22" ht="15.6" x14ac:dyDescent="0.3">
      <c r="A274" s="167"/>
      <c r="B274" s="13"/>
      <c r="C274" s="13"/>
      <c r="D274" s="13"/>
      <c r="E274" s="13"/>
      <c r="F274" s="13"/>
      <c r="G274" s="99"/>
      <c r="H274" s="162"/>
      <c r="I274" s="162"/>
      <c r="J274" s="162"/>
      <c r="K274" s="162"/>
      <c r="L274" s="162"/>
      <c r="M274" s="162"/>
      <c r="N274" s="162"/>
      <c r="O274" s="162"/>
      <c r="P274" s="162"/>
      <c r="Q274" s="162"/>
      <c r="R274" s="162"/>
      <c r="S274" s="162"/>
      <c r="T274" s="162"/>
      <c r="U274" s="162"/>
      <c r="V274" s="5"/>
    </row>
    <row r="275" spans="1:22" ht="18" thickBot="1" x14ac:dyDescent="0.35">
      <c r="A275" s="167"/>
      <c r="B275" s="49" t="str">
        <f>B192</f>
        <v>PM11 INVESTOR REPORT QUARTER ENDING SEPTEMBER 2008</v>
      </c>
      <c r="C275" s="13"/>
      <c r="D275" s="13"/>
      <c r="E275" s="13"/>
      <c r="F275" s="13"/>
      <c r="G275" s="99"/>
      <c r="H275" s="162"/>
      <c r="I275" s="162"/>
      <c r="J275" s="162"/>
      <c r="K275" s="162"/>
      <c r="L275" s="162"/>
      <c r="M275" s="162"/>
      <c r="N275" s="162"/>
      <c r="O275" s="162"/>
      <c r="P275" s="162"/>
      <c r="Q275" s="162"/>
      <c r="R275" s="162"/>
      <c r="S275" s="162"/>
      <c r="T275" s="162"/>
      <c r="U275" s="162"/>
      <c r="V275" s="5"/>
    </row>
    <row r="276" spans="1:22" x14ac:dyDescent="0.25">
      <c r="A276" s="100"/>
      <c r="B276" s="100"/>
      <c r="C276" s="100"/>
      <c r="D276" s="100"/>
      <c r="E276" s="100"/>
      <c r="F276" s="100"/>
      <c r="G276" s="100"/>
      <c r="H276" s="100"/>
      <c r="I276" s="100"/>
      <c r="J276" s="100"/>
      <c r="K276" s="100"/>
      <c r="L276" s="100"/>
      <c r="M276" s="100"/>
      <c r="N276" s="100"/>
      <c r="O276" s="100"/>
      <c r="P276" s="100"/>
      <c r="Q276" s="100"/>
      <c r="R276" s="100"/>
      <c r="S276" s="100"/>
      <c r="T276" s="100"/>
      <c r="U276" s="100"/>
    </row>
  </sheetData>
  <phoneticPr fontId="0" type="noConversion"/>
  <hyperlinks>
    <hyperlink ref="N228" r:id="rId1" xr:uid="{00000000-0004-0000-0900-000000000000}"/>
    <hyperlink ref="J9" r:id="rId2" xr:uid="{00000000-0004-0000-09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4" max="14" man="1"/>
    <brk id="133" max="14" man="1"/>
    <brk id="192" max="14" man="1"/>
  </rowBreaks>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89CB31"/>
  </sheetPr>
  <dimension ref="A1:X276"/>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08984375" style="1" customWidth="1"/>
    <col min="10" max="10" width="17.81640625" style="1" customWidth="1"/>
    <col min="11" max="11" width="2.1796875" style="1" customWidth="1"/>
    <col min="12" max="12" width="14.81640625" style="1" customWidth="1"/>
    <col min="13" max="13" width="2.1796875" style="1" customWidth="1"/>
    <col min="14" max="14" width="15.54296875" style="1" customWidth="1"/>
    <col min="15" max="15" width="2.08984375" style="1" customWidth="1"/>
    <col min="16" max="16" width="15.54296875" style="1" customWidth="1"/>
    <col min="17" max="18" width="12.81640625" style="1" customWidth="1"/>
    <col min="19" max="19" width="7.81640625" style="1" customWidth="1"/>
    <col min="20" max="20" width="14.81640625" style="1" customWidth="1"/>
    <col min="21" max="21" width="11.81640625" style="1" customWidth="1"/>
    <col min="22" max="16384" width="9.81640625" style="1"/>
  </cols>
  <sheetData>
    <row r="1" spans="1:22" ht="20.399999999999999" x14ac:dyDescent="0.35">
      <c r="A1" s="2"/>
      <c r="B1" s="3" t="s">
        <v>228</v>
      </c>
      <c r="C1" s="4"/>
      <c r="D1" s="4"/>
      <c r="E1" s="4"/>
      <c r="F1" s="4"/>
      <c r="G1" s="4"/>
      <c r="H1" s="4"/>
      <c r="I1" s="4"/>
      <c r="J1" s="4"/>
      <c r="K1" s="4"/>
      <c r="L1" s="4"/>
      <c r="M1" s="4"/>
      <c r="N1" s="4"/>
      <c r="O1" s="4"/>
      <c r="P1" s="4"/>
      <c r="Q1" s="4"/>
      <c r="R1" s="4"/>
      <c r="S1" s="4"/>
      <c r="T1" s="4"/>
      <c r="U1" s="4"/>
      <c r="V1" s="5"/>
    </row>
    <row r="2" spans="1:22" ht="15.6" x14ac:dyDescent="0.3">
      <c r="A2" s="6"/>
      <c r="B2" s="7"/>
      <c r="C2" s="8"/>
      <c r="D2" s="8"/>
      <c r="E2" s="8"/>
      <c r="F2" s="8"/>
      <c r="G2" s="8"/>
      <c r="H2" s="8"/>
      <c r="I2" s="8"/>
      <c r="J2" s="8"/>
      <c r="K2" s="8"/>
      <c r="L2" s="8"/>
      <c r="M2" s="8"/>
      <c r="N2" s="8"/>
      <c r="O2" s="8"/>
      <c r="P2" s="8"/>
      <c r="Q2" s="8"/>
      <c r="R2" s="8"/>
      <c r="S2" s="8"/>
      <c r="T2" s="8"/>
      <c r="U2" s="8"/>
      <c r="V2" s="5"/>
    </row>
    <row r="3" spans="1:22" ht="15.6" x14ac:dyDescent="0.3">
      <c r="A3" s="9"/>
      <c r="B3" s="111" t="s">
        <v>229</v>
      </c>
      <c r="C3" s="8"/>
      <c r="D3" s="8"/>
      <c r="E3" s="8"/>
      <c r="F3" s="8"/>
      <c r="G3" s="8"/>
      <c r="H3" s="8"/>
      <c r="I3" s="8"/>
      <c r="J3" s="8"/>
      <c r="K3" s="8"/>
      <c r="L3" s="8"/>
      <c r="M3" s="8"/>
      <c r="N3" s="8"/>
      <c r="O3" s="8"/>
      <c r="P3" s="8"/>
      <c r="Q3" s="8"/>
      <c r="R3" s="8"/>
      <c r="S3" s="8"/>
      <c r="T3" s="8"/>
      <c r="U3" s="8"/>
      <c r="V3" s="5"/>
    </row>
    <row r="4" spans="1:22" ht="15.6" x14ac:dyDescent="0.3">
      <c r="A4" s="6"/>
      <c r="B4" s="7"/>
      <c r="C4" s="8"/>
      <c r="D4" s="8"/>
      <c r="E4" s="8"/>
      <c r="F4" s="8"/>
      <c r="G4" s="8"/>
      <c r="H4" s="8"/>
      <c r="I4" s="8"/>
      <c r="J4" s="8"/>
      <c r="K4" s="8"/>
      <c r="L4" s="8"/>
      <c r="M4" s="8"/>
      <c r="N4" s="8"/>
      <c r="O4" s="8"/>
      <c r="P4" s="8"/>
      <c r="Q4" s="8"/>
      <c r="R4" s="8"/>
      <c r="S4" s="8"/>
      <c r="T4" s="8"/>
      <c r="U4" s="8"/>
      <c r="V4" s="5"/>
    </row>
    <row r="5" spans="1:22" ht="15.6" x14ac:dyDescent="0.3">
      <c r="A5" s="6"/>
      <c r="B5" s="11" t="s">
        <v>143</v>
      </c>
      <c r="C5" s="8"/>
      <c r="D5" s="8"/>
      <c r="E5" s="8"/>
      <c r="F5" s="8"/>
      <c r="G5" s="8"/>
      <c r="H5" s="8"/>
      <c r="I5" s="8"/>
      <c r="J5" s="8"/>
      <c r="K5" s="8"/>
      <c r="L5" s="8"/>
      <c r="M5" s="8"/>
      <c r="N5" s="8"/>
      <c r="O5" s="8"/>
      <c r="P5" s="8"/>
      <c r="Q5" s="8"/>
      <c r="R5" s="8"/>
      <c r="S5" s="8"/>
      <c r="T5" s="8"/>
      <c r="U5" s="8"/>
      <c r="V5" s="5"/>
    </row>
    <row r="6" spans="1:22" ht="15.6" x14ac:dyDescent="0.3">
      <c r="A6" s="6"/>
      <c r="B6" s="11" t="s">
        <v>145</v>
      </c>
      <c r="C6" s="8"/>
      <c r="D6" s="8"/>
      <c r="E6" s="8"/>
      <c r="F6" s="8"/>
      <c r="G6" s="8"/>
      <c r="H6" s="8"/>
      <c r="I6" s="8"/>
      <c r="J6" s="8"/>
      <c r="K6" s="8"/>
      <c r="L6" s="8"/>
      <c r="M6" s="8"/>
      <c r="N6" s="8"/>
      <c r="O6" s="8"/>
      <c r="P6" s="8"/>
      <c r="Q6" s="8"/>
      <c r="R6" s="8"/>
      <c r="S6" s="8"/>
      <c r="T6" s="8"/>
      <c r="U6" s="8"/>
      <c r="V6" s="5"/>
    </row>
    <row r="7" spans="1:22" ht="15.6" x14ac:dyDescent="0.3">
      <c r="A7" s="6"/>
      <c r="B7" s="11" t="s">
        <v>144</v>
      </c>
      <c r="C7" s="8"/>
      <c r="D7" s="8"/>
      <c r="E7" s="8"/>
      <c r="F7" s="8"/>
      <c r="G7" s="8"/>
      <c r="H7" s="8"/>
      <c r="I7" s="8"/>
      <c r="J7" s="8"/>
      <c r="K7" s="8"/>
      <c r="L7" s="8"/>
      <c r="M7" s="8"/>
      <c r="N7" s="8"/>
      <c r="O7" s="8"/>
      <c r="P7" s="8"/>
      <c r="Q7" s="8"/>
      <c r="R7" s="8"/>
      <c r="S7" s="8"/>
      <c r="T7" s="8"/>
      <c r="U7" s="8"/>
      <c r="V7" s="5"/>
    </row>
    <row r="8" spans="1:22" ht="15.6" x14ac:dyDescent="0.3">
      <c r="A8" s="6"/>
      <c r="B8" s="11"/>
      <c r="C8" s="8"/>
      <c r="D8" s="8"/>
      <c r="E8" s="8"/>
      <c r="F8" s="8"/>
      <c r="G8" s="8"/>
      <c r="H8" s="8"/>
      <c r="I8" s="8"/>
      <c r="J8" s="8"/>
      <c r="K8" s="8"/>
      <c r="L8" s="8"/>
      <c r="M8" s="8"/>
      <c r="N8" s="8"/>
      <c r="O8" s="8"/>
      <c r="P8" s="8"/>
      <c r="Q8" s="8"/>
      <c r="R8" s="8"/>
      <c r="S8" s="8"/>
      <c r="T8" s="8"/>
      <c r="U8" s="8"/>
      <c r="V8" s="5"/>
    </row>
    <row r="9" spans="1:22" ht="17.399999999999999" x14ac:dyDescent="0.3">
      <c r="A9" s="6"/>
      <c r="B9" s="147" t="s">
        <v>173</v>
      </c>
      <c r="C9" s="8"/>
      <c r="D9" s="8"/>
      <c r="E9" s="8"/>
      <c r="F9" s="8"/>
      <c r="G9" s="8"/>
      <c r="H9" s="8"/>
      <c r="I9" s="8"/>
      <c r="J9" s="148" t="s">
        <v>174</v>
      </c>
      <c r="K9" s="8"/>
      <c r="L9" s="148"/>
      <c r="M9" s="8"/>
      <c r="N9" s="8"/>
      <c r="O9" s="8"/>
      <c r="P9" s="8"/>
      <c r="Q9" s="8"/>
      <c r="R9" s="8"/>
      <c r="S9" s="8"/>
      <c r="T9" s="8"/>
      <c r="U9" s="8"/>
      <c r="V9" s="5"/>
    </row>
    <row r="10" spans="1:22" ht="15.6" x14ac:dyDescent="0.3">
      <c r="A10" s="6"/>
      <c r="B10" s="11"/>
      <c r="C10" s="13"/>
      <c r="D10" s="13"/>
      <c r="E10" s="13"/>
      <c r="F10" s="8"/>
      <c r="G10" s="8"/>
      <c r="H10" s="8"/>
      <c r="I10" s="8"/>
      <c r="J10" s="8"/>
      <c r="K10" s="8"/>
      <c r="L10" s="8"/>
      <c r="M10" s="8"/>
      <c r="N10" s="8"/>
      <c r="O10" s="8"/>
      <c r="P10" s="8"/>
      <c r="Q10" s="8"/>
      <c r="R10" s="8"/>
      <c r="S10" s="8"/>
      <c r="T10" s="8"/>
      <c r="U10" s="8"/>
      <c r="V10" s="5"/>
    </row>
    <row r="11" spans="1:22" ht="15.6" x14ac:dyDescent="0.3">
      <c r="A11" s="6"/>
      <c r="B11" s="14" t="s">
        <v>0</v>
      </c>
      <c r="C11" s="8"/>
      <c r="D11" s="8"/>
      <c r="E11" s="8"/>
      <c r="F11" s="8"/>
      <c r="G11" s="8"/>
      <c r="H11" s="8"/>
      <c r="I11" s="8"/>
      <c r="J11" s="8"/>
      <c r="K11" s="8"/>
      <c r="L11" s="8"/>
      <c r="M11" s="8"/>
      <c r="N11" s="8"/>
      <c r="O11" s="8"/>
      <c r="P11" s="8"/>
      <c r="Q11" s="8"/>
      <c r="R11" s="8"/>
      <c r="S11" s="8"/>
      <c r="T11" s="8"/>
      <c r="U11" s="8"/>
      <c r="V11" s="5"/>
    </row>
    <row r="12" spans="1:22" ht="16.2" thickBot="1" x14ac:dyDescent="0.35">
      <c r="A12" s="6"/>
      <c r="B12" s="13"/>
      <c r="C12" s="8"/>
      <c r="D12" s="8"/>
      <c r="E12" s="8"/>
      <c r="F12" s="8"/>
      <c r="G12" s="8"/>
      <c r="H12" s="8"/>
      <c r="I12" s="8"/>
      <c r="J12" s="8"/>
      <c r="K12" s="8"/>
      <c r="L12" s="8"/>
      <c r="M12" s="8"/>
      <c r="N12" s="8"/>
      <c r="O12" s="8"/>
      <c r="P12" s="8"/>
      <c r="Q12" s="8"/>
      <c r="R12" s="8"/>
      <c r="S12" s="8"/>
      <c r="T12" s="8"/>
      <c r="U12" s="8"/>
      <c r="V12" s="5"/>
    </row>
    <row r="13" spans="1:22" ht="15.6" x14ac:dyDescent="0.3">
      <c r="A13" s="2"/>
      <c r="B13" s="4"/>
      <c r="C13" s="4"/>
      <c r="D13" s="4"/>
      <c r="E13" s="4"/>
      <c r="F13" s="4"/>
      <c r="G13" s="4"/>
      <c r="H13" s="4"/>
      <c r="I13" s="4"/>
      <c r="J13" s="4"/>
      <c r="K13" s="4"/>
      <c r="L13" s="4"/>
      <c r="M13" s="4"/>
      <c r="N13" s="4"/>
      <c r="O13" s="4"/>
      <c r="P13" s="4"/>
      <c r="Q13" s="4"/>
      <c r="R13" s="4"/>
      <c r="S13" s="4"/>
      <c r="T13" s="4"/>
      <c r="U13" s="4"/>
      <c r="V13" s="5"/>
    </row>
    <row r="14" spans="1:22" ht="15.6" x14ac:dyDescent="0.3">
      <c r="A14" s="6"/>
      <c r="B14" s="14" t="s">
        <v>1</v>
      </c>
      <c r="C14" s="15"/>
      <c r="D14" s="15"/>
      <c r="E14" s="15"/>
      <c r="F14" s="15"/>
      <c r="G14" s="15"/>
      <c r="H14" s="15"/>
      <c r="I14" s="15"/>
      <c r="J14" s="15"/>
      <c r="K14" s="15"/>
      <c r="L14" s="15"/>
      <c r="M14" s="15"/>
      <c r="N14" s="15"/>
      <c r="O14" s="15"/>
      <c r="P14" s="15"/>
      <c r="Q14" s="15"/>
      <c r="R14" s="15"/>
      <c r="S14" s="15"/>
      <c r="T14" s="16" t="s">
        <v>230</v>
      </c>
      <c r="U14" s="15"/>
      <c r="V14" s="5"/>
    </row>
    <row r="15" spans="1:22" ht="15.6" x14ac:dyDescent="0.3">
      <c r="A15" s="6"/>
      <c r="B15" s="14" t="s">
        <v>2</v>
      </c>
      <c r="C15" s="15"/>
      <c r="D15" s="15"/>
      <c r="E15" s="15"/>
      <c r="F15" s="15"/>
      <c r="G15" s="15"/>
      <c r="H15" s="18"/>
      <c r="I15" s="18"/>
      <c r="J15" s="18"/>
      <c r="K15" s="18"/>
      <c r="L15" s="18"/>
      <c r="M15" s="18"/>
      <c r="N15" s="18"/>
      <c r="O15" s="18"/>
      <c r="P15" s="18" t="s">
        <v>107</v>
      </c>
      <c r="Q15" s="137">
        <v>0.40749999999999997</v>
      </c>
      <c r="R15" s="17" t="s">
        <v>146</v>
      </c>
      <c r="S15" s="137">
        <v>0.59250000000000003</v>
      </c>
      <c r="T15" s="16"/>
      <c r="U15" s="15"/>
      <c r="V15" s="5"/>
    </row>
    <row r="16" spans="1:22" ht="15.6" x14ac:dyDescent="0.3">
      <c r="A16" s="6"/>
      <c r="B16" s="14" t="s">
        <v>3</v>
      </c>
      <c r="C16" s="15"/>
      <c r="D16" s="15"/>
      <c r="E16" s="15"/>
      <c r="F16" s="15"/>
      <c r="G16" s="15"/>
      <c r="H16" s="18"/>
      <c r="I16" s="18"/>
      <c r="J16" s="18"/>
      <c r="K16" s="18"/>
      <c r="L16" s="18"/>
      <c r="M16" s="18"/>
      <c r="N16" s="18"/>
      <c r="O16" s="18"/>
      <c r="P16" s="18" t="s">
        <v>107</v>
      </c>
      <c r="Q16" s="137">
        <v>0.44159999999999999</v>
      </c>
      <c r="R16" s="17" t="s">
        <v>146</v>
      </c>
      <c r="S16" s="137">
        <v>0.55840000000000001</v>
      </c>
      <c r="T16" s="16"/>
      <c r="U16" s="15"/>
      <c r="V16" s="5"/>
    </row>
    <row r="17" spans="1:22" ht="15.6" x14ac:dyDescent="0.3">
      <c r="A17" s="6"/>
      <c r="B17" s="14" t="s">
        <v>4</v>
      </c>
      <c r="C17" s="15"/>
      <c r="D17" s="15"/>
      <c r="E17" s="15"/>
      <c r="F17" s="15"/>
      <c r="G17" s="15"/>
      <c r="H17" s="15"/>
      <c r="I17" s="15"/>
      <c r="J17" s="15"/>
      <c r="K17" s="15"/>
      <c r="L17" s="15"/>
      <c r="M17" s="15"/>
      <c r="N17" s="15"/>
      <c r="O17" s="15"/>
      <c r="P17" s="15"/>
      <c r="Q17" s="15"/>
      <c r="R17" s="15"/>
      <c r="S17" s="15"/>
      <c r="T17" s="19">
        <v>38799</v>
      </c>
      <c r="U17" s="15"/>
      <c r="V17" s="5"/>
    </row>
    <row r="18" spans="1:22" ht="15.6" x14ac:dyDescent="0.3">
      <c r="A18" s="6"/>
      <c r="B18" s="14" t="s">
        <v>5</v>
      </c>
      <c r="C18" s="15"/>
      <c r="D18" s="15"/>
      <c r="E18" s="15"/>
      <c r="F18" s="15"/>
      <c r="G18" s="15"/>
      <c r="H18" s="15"/>
      <c r="I18" s="15"/>
      <c r="J18" s="15"/>
      <c r="K18" s="15"/>
      <c r="L18" s="15"/>
      <c r="M18" s="15"/>
      <c r="N18" s="15"/>
      <c r="O18" s="15"/>
      <c r="P18" s="15"/>
      <c r="Q18" s="15"/>
      <c r="R18" s="15"/>
      <c r="S18" s="15"/>
      <c r="T18" s="19">
        <v>39834</v>
      </c>
      <c r="U18" s="15"/>
      <c r="V18" s="5"/>
    </row>
    <row r="19" spans="1:22" ht="15.6" x14ac:dyDescent="0.3">
      <c r="A19" s="6"/>
      <c r="B19" s="8"/>
      <c r="C19" s="8"/>
      <c r="D19" s="8"/>
      <c r="E19" s="8"/>
      <c r="F19" s="8"/>
      <c r="G19" s="8"/>
      <c r="H19" s="8"/>
      <c r="I19" s="8"/>
      <c r="J19" s="8"/>
      <c r="K19" s="8"/>
      <c r="L19" s="8"/>
      <c r="M19" s="8"/>
      <c r="N19" s="8"/>
      <c r="O19" s="8"/>
      <c r="P19" s="8"/>
      <c r="Q19" s="8"/>
      <c r="R19" s="8"/>
      <c r="S19" s="8"/>
      <c r="T19" s="20"/>
      <c r="U19" s="8"/>
      <c r="V19" s="5"/>
    </row>
    <row r="20" spans="1:22" ht="15.6" x14ac:dyDescent="0.3">
      <c r="A20" s="6"/>
      <c r="B20" s="21" t="s">
        <v>6</v>
      </c>
      <c r="C20" s="8"/>
      <c r="D20" s="8"/>
      <c r="E20" s="8"/>
      <c r="F20" s="8"/>
      <c r="G20" s="8"/>
      <c r="H20" s="8"/>
      <c r="I20" s="8"/>
      <c r="J20" s="8"/>
      <c r="K20" s="8"/>
      <c r="L20" s="8"/>
      <c r="M20" s="8"/>
      <c r="N20" s="8"/>
      <c r="O20" s="8"/>
      <c r="P20" s="8"/>
      <c r="Q20" s="8"/>
      <c r="R20" s="20" t="s">
        <v>108</v>
      </c>
      <c r="S20" s="8"/>
      <c r="T20" s="162"/>
      <c r="U20" s="8"/>
      <c r="V20" s="5"/>
    </row>
    <row r="21" spans="1:22" ht="15.6" x14ac:dyDescent="0.3">
      <c r="A21" s="6"/>
      <c r="B21" s="8"/>
      <c r="C21" s="8"/>
      <c r="D21" s="8"/>
      <c r="E21" s="8"/>
      <c r="F21" s="8"/>
      <c r="G21" s="8"/>
      <c r="H21" s="8"/>
      <c r="I21" s="8"/>
      <c r="J21" s="8"/>
      <c r="K21" s="8"/>
      <c r="L21" s="8"/>
      <c r="M21" s="8"/>
      <c r="N21" s="8"/>
      <c r="O21" s="8"/>
      <c r="P21" s="8"/>
      <c r="Q21" s="8"/>
      <c r="R21" s="8"/>
      <c r="S21" s="8"/>
      <c r="T21" s="22"/>
      <c r="U21" s="8"/>
      <c r="V21" s="5"/>
    </row>
    <row r="22" spans="1:22" ht="15.6" x14ac:dyDescent="0.3">
      <c r="A22" s="6"/>
      <c r="B22" s="8"/>
      <c r="C22" s="112"/>
      <c r="D22" s="112" t="s">
        <v>184</v>
      </c>
      <c r="E22" s="112"/>
      <c r="F22" s="112" t="s">
        <v>185</v>
      </c>
      <c r="G22" s="112"/>
      <c r="H22" s="112" t="s">
        <v>186</v>
      </c>
      <c r="I22" s="112"/>
      <c r="J22" s="112" t="s">
        <v>187</v>
      </c>
      <c r="K22" s="112"/>
      <c r="L22" s="112" t="s">
        <v>188</v>
      </c>
      <c r="M22" s="112"/>
      <c r="N22" s="112" t="s">
        <v>189</v>
      </c>
      <c r="O22" s="112"/>
      <c r="P22" s="112"/>
      <c r="Q22" s="113"/>
      <c r="R22" s="23"/>
      <c r="S22" s="162"/>
      <c r="T22" s="162"/>
      <c r="U22" s="8"/>
      <c r="V22" s="5"/>
    </row>
    <row r="23" spans="1:22" ht="15.6" x14ac:dyDescent="0.3">
      <c r="A23" s="24"/>
      <c r="B23" s="25" t="s">
        <v>7</v>
      </c>
      <c r="C23" s="26"/>
      <c r="D23" s="26" t="s">
        <v>222</v>
      </c>
      <c r="E23" s="26"/>
      <c r="F23" s="26" t="s">
        <v>147</v>
      </c>
      <c r="G23" s="26"/>
      <c r="H23" s="26" t="s">
        <v>147</v>
      </c>
      <c r="I23" s="26"/>
      <c r="J23" s="26" t="s">
        <v>190</v>
      </c>
      <c r="K23" s="26"/>
      <c r="L23" s="26" t="s">
        <v>190</v>
      </c>
      <c r="M23" s="26"/>
      <c r="N23" s="26" t="s">
        <v>148</v>
      </c>
      <c r="O23" s="26"/>
      <c r="P23" s="26"/>
      <c r="Q23" s="26"/>
      <c r="R23" s="26"/>
      <c r="S23" s="163"/>
      <c r="T23" s="163"/>
      <c r="U23" s="25"/>
      <c r="V23" s="5"/>
    </row>
    <row r="24" spans="1:22" ht="15.6" x14ac:dyDescent="0.3">
      <c r="A24" s="24"/>
      <c r="B24" s="25" t="s">
        <v>8</v>
      </c>
      <c r="C24" s="26"/>
      <c r="D24" s="26" t="s">
        <v>223</v>
      </c>
      <c r="E24" s="26"/>
      <c r="F24" s="26" t="s">
        <v>149</v>
      </c>
      <c r="G24" s="26"/>
      <c r="H24" s="26" t="s">
        <v>149</v>
      </c>
      <c r="I24" s="26"/>
      <c r="J24" s="26" t="s">
        <v>172</v>
      </c>
      <c r="K24" s="26"/>
      <c r="L24" s="26" t="s">
        <v>172</v>
      </c>
      <c r="M24" s="26"/>
      <c r="N24" s="26" t="s">
        <v>150</v>
      </c>
      <c r="O24" s="26"/>
      <c r="P24" s="26"/>
      <c r="Q24" s="26"/>
      <c r="R24" s="26"/>
      <c r="S24" s="163"/>
      <c r="T24" s="163"/>
      <c r="U24" s="25"/>
      <c r="V24" s="5"/>
    </row>
    <row r="25" spans="1:22" ht="15.6" x14ac:dyDescent="0.3">
      <c r="A25" s="28"/>
      <c r="B25" s="131" t="s">
        <v>198</v>
      </c>
      <c r="C25" s="123"/>
      <c r="D25" s="26" t="s">
        <v>224</v>
      </c>
      <c r="E25" s="26"/>
      <c r="F25" s="26" t="s">
        <v>149</v>
      </c>
      <c r="G25" s="26"/>
      <c r="H25" s="26" t="s">
        <v>149</v>
      </c>
      <c r="I25" s="26"/>
      <c r="J25" s="26" t="s">
        <v>172</v>
      </c>
      <c r="K25" s="26"/>
      <c r="L25" s="26" t="s">
        <v>172</v>
      </c>
      <c r="M25" s="26"/>
      <c r="N25" s="26" t="s">
        <v>150</v>
      </c>
      <c r="O25" s="26"/>
      <c r="P25" s="26"/>
      <c r="Q25" s="123"/>
      <c r="R25" s="26"/>
      <c r="S25" s="163"/>
      <c r="T25" s="163"/>
      <c r="U25" s="25"/>
      <c r="V25" s="5"/>
    </row>
    <row r="26" spans="1:22" ht="15.6" x14ac:dyDescent="0.3">
      <c r="A26" s="28"/>
      <c r="B26" s="29" t="s">
        <v>9</v>
      </c>
      <c r="C26" s="123"/>
      <c r="D26" s="123" t="s">
        <v>222</v>
      </c>
      <c r="E26" s="123"/>
      <c r="F26" s="123" t="s">
        <v>147</v>
      </c>
      <c r="G26" s="123"/>
      <c r="H26" s="123" t="s">
        <v>147</v>
      </c>
      <c r="I26" s="123"/>
      <c r="J26" s="123" t="s">
        <v>190</v>
      </c>
      <c r="K26" s="123"/>
      <c r="L26" s="123" t="s">
        <v>190</v>
      </c>
      <c r="M26" s="123"/>
      <c r="N26" s="123" t="s">
        <v>148</v>
      </c>
      <c r="O26" s="123"/>
      <c r="P26" s="123"/>
      <c r="Q26" s="123"/>
      <c r="R26" s="26"/>
      <c r="S26" s="163"/>
      <c r="T26" s="163"/>
      <c r="U26" s="25"/>
      <c r="V26" s="5"/>
    </row>
    <row r="27" spans="1:22" ht="15.6" x14ac:dyDescent="0.3">
      <c r="A27" s="24"/>
      <c r="B27" s="29" t="s">
        <v>199</v>
      </c>
      <c r="C27" s="26"/>
      <c r="D27" s="123" t="s">
        <v>223</v>
      </c>
      <c r="E27" s="123"/>
      <c r="F27" s="123" t="s">
        <v>149</v>
      </c>
      <c r="G27" s="123"/>
      <c r="H27" s="123" t="s">
        <v>149</v>
      </c>
      <c r="I27" s="123"/>
      <c r="J27" s="123" t="s">
        <v>172</v>
      </c>
      <c r="K27" s="123"/>
      <c r="L27" s="123" t="s">
        <v>172</v>
      </c>
      <c r="M27" s="123"/>
      <c r="N27" s="123" t="s">
        <v>150</v>
      </c>
      <c r="O27" s="123"/>
      <c r="P27" s="123"/>
      <c r="Q27" s="26"/>
      <c r="R27" s="30"/>
      <c r="S27" s="163"/>
      <c r="T27" s="163"/>
      <c r="U27" s="25"/>
      <c r="V27" s="5"/>
    </row>
    <row r="28" spans="1:22" ht="15.6" x14ac:dyDescent="0.3">
      <c r="A28" s="24"/>
      <c r="B28" s="153" t="s">
        <v>200</v>
      </c>
      <c r="C28" s="26"/>
      <c r="D28" s="123" t="s">
        <v>224</v>
      </c>
      <c r="E28" s="123"/>
      <c r="F28" s="123" t="s">
        <v>149</v>
      </c>
      <c r="G28" s="123"/>
      <c r="H28" s="123" t="s">
        <v>149</v>
      </c>
      <c r="I28" s="123"/>
      <c r="J28" s="123" t="s">
        <v>172</v>
      </c>
      <c r="K28" s="123"/>
      <c r="L28" s="123" t="s">
        <v>172</v>
      </c>
      <c r="M28" s="123"/>
      <c r="N28" s="123" t="s">
        <v>150</v>
      </c>
      <c r="O28" s="123"/>
      <c r="P28" s="123"/>
      <c r="Q28" s="26"/>
      <c r="R28" s="30"/>
      <c r="S28" s="163"/>
      <c r="T28" s="163"/>
      <c r="U28" s="25"/>
      <c r="V28" s="5"/>
    </row>
    <row r="29" spans="1:22" ht="15.6" x14ac:dyDescent="0.3">
      <c r="A29" s="24"/>
      <c r="B29" s="25" t="s">
        <v>10</v>
      </c>
      <c r="C29" s="32"/>
      <c r="D29" s="26" t="s">
        <v>237</v>
      </c>
      <c r="E29" s="26"/>
      <c r="F29" s="30" t="s">
        <v>238</v>
      </c>
      <c r="G29" s="26"/>
      <c r="H29" s="26" t="s">
        <v>239</v>
      </c>
      <c r="I29" s="26"/>
      <c r="J29" s="26" t="s">
        <v>240</v>
      </c>
      <c r="K29" s="26"/>
      <c r="L29" s="26" t="s">
        <v>241</v>
      </c>
      <c r="M29" s="26"/>
      <c r="N29" s="26" t="s">
        <v>242</v>
      </c>
      <c r="O29" s="26"/>
      <c r="P29" s="26"/>
      <c r="Q29" s="31"/>
      <c r="R29" s="31"/>
      <c r="S29" s="164"/>
      <c r="T29" s="31"/>
      <c r="U29" s="34"/>
      <c r="V29" s="5"/>
    </row>
    <row r="30" spans="1:22" ht="15.6" x14ac:dyDescent="0.3">
      <c r="A30" s="24"/>
      <c r="B30" s="25" t="s">
        <v>10</v>
      </c>
      <c r="C30" s="32"/>
      <c r="D30" s="26" t="s">
        <v>236</v>
      </c>
      <c r="E30" s="26"/>
      <c r="F30" s="30" t="s">
        <v>124</v>
      </c>
      <c r="G30" s="26"/>
      <c r="H30" s="26" t="s">
        <v>124</v>
      </c>
      <c r="I30" s="26"/>
      <c r="J30" s="26" t="s">
        <v>124</v>
      </c>
      <c r="K30" s="26"/>
      <c r="L30" s="26" t="s">
        <v>124</v>
      </c>
      <c r="M30" s="26"/>
      <c r="N30" s="26" t="s">
        <v>124</v>
      </c>
      <c r="O30" s="26"/>
      <c r="P30" s="26"/>
      <c r="Q30" s="31"/>
      <c r="R30" s="31"/>
      <c r="S30" s="164"/>
      <c r="T30" s="31"/>
      <c r="U30" s="34"/>
      <c r="V30" s="5"/>
    </row>
    <row r="31" spans="1:22" ht="15.6" x14ac:dyDescent="0.3">
      <c r="A31" s="28"/>
      <c r="B31" s="25" t="s">
        <v>139</v>
      </c>
      <c r="C31" s="36"/>
      <c r="D31" s="146">
        <v>985000</v>
      </c>
      <c r="E31" s="32"/>
      <c r="F31" s="31">
        <v>149500</v>
      </c>
      <c r="G31" s="31"/>
      <c r="H31" s="124">
        <v>219700</v>
      </c>
      <c r="I31" s="31"/>
      <c r="J31" s="31">
        <v>16000</v>
      </c>
      <c r="K31" s="31"/>
      <c r="L31" s="124">
        <v>82400</v>
      </c>
      <c r="M31" s="31"/>
      <c r="N31" s="124">
        <v>87500</v>
      </c>
      <c r="O31" s="31"/>
      <c r="P31" s="124"/>
      <c r="Q31" s="35"/>
      <c r="R31" s="35"/>
      <c r="S31" s="37"/>
      <c r="T31" s="35"/>
      <c r="U31" s="34"/>
      <c r="V31" s="5"/>
    </row>
    <row r="32" spans="1:22" ht="15.6" x14ac:dyDescent="0.3">
      <c r="A32" s="24"/>
      <c r="B32" s="25" t="s">
        <v>138</v>
      </c>
      <c r="C32" s="32"/>
      <c r="D32" s="146">
        <f>D38*D31</f>
        <v>578383.43050000002</v>
      </c>
      <c r="E32" s="32"/>
      <c r="F32" s="31">
        <f>F38*F31</f>
        <v>87785.14420000001</v>
      </c>
      <c r="G32" s="31"/>
      <c r="H32" s="124">
        <f>H38*H31</f>
        <v>129005.99452000001</v>
      </c>
      <c r="I32" s="31"/>
      <c r="J32" s="31">
        <f>+J31</f>
        <v>16000</v>
      </c>
      <c r="K32" s="31"/>
      <c r="L32" s="124">
        <f>+L31</f>
        <v>82400</v>
      </c>
      <c r="M32" s="31"/>
      <c r="N32" s="124">
        <f>+N31</f>
        <v>87500</v>
      </c>
      <c r="O32" s="31"/>
      <c r="P32" s="124"/>
      <c r="Q32" s="31"/>
      <c r="R32" s="31"/>
      <c r="S32" s="164"/>
      <c r="T32" s="31"/>
      <c r="U32" s="34"/>
      <c r="V32" s="5"/>
    </row>
    <row r="33" spans="1:22" ht="15.6" x14ac:dyDescent="0.3">
      <c r="A33" s="24"/>
      <c r="B33" s="29" t="s">
        <v>140</v>
      </c>
      <c r="C33" s="32"/>
      <c r="D33" s="151">
        <f>D37*D31</f>
        <v>564728.37549999997</v>
      </c>
      <c r="E33" s="36"/>
      <c r="F33" s="35">
        <f>F37*F31</f>
        <v>85712.62569999999</v>
      </c>
      <c r="G33" s="35"/>
      <c r="H33" s="125">
        <f>H31*H37</f>
        <v>125960.29341999999</v>
      </c>
      <c r="I33" s="35"/>
      <c r="J33" s="35">
        <f>J31*J37</f>
        <v>16000</v>
      </c>
      <c r="K33" s="35"/>
      <c r="L33" s="125">
        <f>L31*L37</f>
        <v>82400</v>
      </c>
      <c r="M33" s="35"/>
      <c r="N33" s="125">
        <f>N31*N37</f>
        <v>87500</v>
      </c>
      <c r="O33" s="35"/>
      <c r="P33" s="125"/>
      <c r="Q33" s="31"/>
      <c r="R33" s="31"/>
      <c r="S33" s="164"/>
      <c r="T33" s="31"/>
      <c r="U33" s="34"/>
      <c r="V33" s="5"/>
    </row>
    <row r="34" spans="1:22" ht="15.6" x14ac:dyDescent="0.3">
      <c r="A34" s="28"/>
      <c r="B34" s="25" t="s">
        <v>283</v>
      </c>
      <c r="C34" s="36"/>
      <c r="D34" s="31">
        <v>567282</v>
      </c>
      <c r="E34" s="32"/>
      <c r="F34" s="31">
        <v>149500</v>
      </c>
      <c r="G34" s="31"/>
      <c r="H34" s="31">
        <v>150716</v>
      </c>
      <c r="I34" s="31"/>
      <c r="J34" s="31">
        <v>16000</v>
      </c>
      <c r="K34" s="31"/>
      <c r="L34" s="31">
        <v>56527</v>
      </c>
      <c r="M34" s="31"/>
      <c r="N34" s="31">
        <v>60025</v>
      </c>
      <c r="O34" s="31"/>
      <c r="P34" s="31"/>
      <c r="Q34" s="35"/>
      <c r="R34" s="35"/>
      <c r="S34" s="37"/>
      <c r="T34" s="154">
        <f>SUM(C34:P34)</f>
        <v>1000050</v>
      </c>
      <c r="U34" s="34"/>
      <c r="V34" s="5"/>
    </row>
    <row r="35" spans="1:22" ht="15.6" x14ac:dyDescent="0.3">
      <c r="A35" s="28"/>
      <c r="B35" s="25" t="s">
        <v>284</v>
      </c>
      <c r="C35" s="126"/>
      <c r="D35" s="31">
        <f>D38*D34</f>
        <v>333103.0550466</v>
      </c>
      <c r="E35" s="32"/>
      <c r="F35" s="31">
        <f>F38*F34</f>
        <v>87785.14420000001</v>
      </c>
      <c r="G35" s="31"/>
      <c r="H35" s="31">
        <f>H38*H34</f>
        <v>88499.169185600011</v>
      </c>
      <c r="I35" s="31"/>
      <c r="J35" s="31">
        <f>+J34</f>
        <v>16000</v>
      </c>
      <c r="K35" s="31"/>
      <c r="L35" s="31">
        <f>+L34</f>
        <v>56527</v>
      </c>
      <c r="M35" s="31"/>
      <c r="N35" s="31">
        <f>+N34</f>
        <v>60025</v>
      </c>
      <c r="O35" s="31"/>
      <c r="P35" s="31"/>
      <c r="Q35" s="31"/>
      <c r="R35" s="31"/>
      <c r="S35" s="164"/>
      <c r="T35" s="154">
        <f>SUM(C35:P35)+1</f>
        <v>641940.36843220005</v>
      </c>
      <c r="U35" s="34"/>
      <c r="V35" s="5"/>
    </row>
    <row r="36" spans="1:22" ht="15.6" x14ac:dyDescent="0.3">
      <c r="A36" s="28"/>
      <c r="B36" s="29" t="s">
        <v>285</v>
      </c>
      <c r="C36" s="126"/>
      <c r="D36" s="35">
        <f>D37*D34</f>
        <v>325238.82468060002</v>
      </c>
      <c r="E36" s="36"/>
      <c r="F36" s="35">
        <f>F37*F34</f>
        <v>85712.62569999999</v>
      </c>
      <c r="G36" s="35"/>
      <c r="H36" s="35">
        <f>H37*H34</f>
        <v>86409.793277599994</v>
      </c>
      <c r="I36" s="35"/>
      <c r="J36" s="35">
        <f>+J34</f>
        <v>16000</v>
      </c>
      <c r="K36" s="35"/>
      <c r="L36" s="35">
        <f>+L34</f>
        <v>56527</v>
      </c>
      <c r="M36" s="35"/>
      <c r="N36" s="35">
        <f>+N34</f>
        <v>60025</v>
      </c>
      <c r="O36" s="35"/>
      <c r="P36" s="35"/>
      <c r="Q36" s="128"/>
      <c r="R36" s="128"/>
      <c r="S36" s="164"/>
      <c r="T36" s="155">
        <f>SUM(C36:P36)+1</f>
        <v>629914.24365820002</v>
      </c>
      <c r="U36" s="34"/>
      <c r="V36" s="5"/>
    </row>
    <row r="37" spans="1:22" ht="15.6" x14ac:dyDescent="0.3">
      <c r="A37" s="24"/>
      <c r="B37" s="122" t="s">
        <v>136</v>
      </c>
      <c r="C37" s="25"/>
      <c r="D37" s="168">
        <v>0.57332830000000001</v>
      </c>
      <c r="E37" s="136"/>
      <c r="F37" s="168">
        <v>0.57332859999999997</v>
      </c>
      <c r="G37" s="135"/>
      <c r="H37" s="168">
        <v>0.57332859999999997</v>
      </c>
      <c r="I37" s="135"/>
      <c r="J37" s="168">
        <v>1</v>
      </c>
      <c r="K37" s="135"/>
      <c r="L37" s="168">
        <v>1</v>
      </c>
      <c r="M37" s="135"/>
      <c r="N37" s="168">
        <v>1</v>
      </c>
      <c r="O37" s="135"/>
      <c r="P37" s="135"/>
      <c r="Q37" s="30"/>
      <c r="R37" s="30"/>
      <c r="S37" s="163"/>
      <c r="T37" s="163"/>
      <c r="U37" s="25"/>
      <c r="V37" s="5"/>
    </row>
    <row r="38" spans="1:22" ht="15.6" x14ac:dyDescent="0.3">
      <c r="A38" s="24"/>
      <c r="B38" s="122" t="s">
        <v>137</v>
      </c>
      <c r="C38" s="25"/>
      <c r="D38" s="168">
        <v>0.58719129999999997</v>
      </c>
      <c r="E38" s="136"/>
      <c r="F38" s="168">
        <v>0.58719160000000004</v>
      </c>
      <c r="G38" s="135"/>
      <c r="H38" s="168">
        <v>0.58719160000000004</v>
      </c>
      <c r="I38" s="135"/>
      <c r="J38" s="135">
        <v>1</v>
      </c>
      <c r="K38" s="135"/>
      <c r="L38" s="135">
        <v>1</v>
      </c>
      <c r="M38" s="135"/>
      <c r="N38" s="135">
        <v>1</v>
      </c>
      <c r="O38" s="135"/>
      <c r="P38" s="135"/>
      <c r="Q38" s="39"/>
      <c r="R38" s="38"/>
      <c r="S38" s="163"/>
      <c r="T38" s="39"/>
      <c r="U38" s="25"/>
      <c r="V38" s="5"/>
    </row>
    <row r="39" spans="1:22" ht="15.6" x14ac:dyDescent="0.3">
      <c r="A39" s="24"/>
      <c r="B39" s="25" t="s">
        <v>11</v>
      </c>
      <c r="C39" s="25"/>
      <c r="D39" s="30" t="s">
        <v>275</v>
      </c>
      <c r="E39" s="25"/>
      <c r="F39" s="30" t="s">
        <v>231</v>
      </c>
      <c r="G39" s="30"/>
      <c r="H39" s="30" t="s">
        <v>231</v>
      </c>
      <c r="I39" s="30"/>
      <c r="J39" s="30" t="s">
        <v>232</v>
      </c>
      <c r="K39" s="30"/>
      <c r="L39" s="30" t="s">
        <v>232</v>
      </c>
      <c r="M39" s="30"/>
      <c r="N39" s="30" t="s">
        <v>233</v>
      </c>
      <c r="O39" s="30"/>
      <c r="P39" s="30"/>
      <c r="Q39" s="39"/>
      <c r="R39" s="38"/>
      <c r="S39" s="163"/>
      <c r="T39" s="163"/>
      <c r="U39" s="25"/>
      <c r="V39" s="5"/>
    </row>
    <row r="40" spans="1:22" ht="15.6" x14ac:dyDescent="0.3">
      <c r="A40" s="24"/>
      <c r="B40" s="25" t="s">
        <v>12</v>
      </c>
      <c r="C40" s="25"/>
      <c r="D40" s="38">
        <v>1.295E-2</v>
      </c>
      <c r="E40" s="25"/>
      <c r="F40" s="38">
        <v>6.3299999999999995E-2</v>
      </c>
      <c r="G40" s="39"/>
      <c r="H40" s="38">
        <v>5.4379999999999998E-2</v>
      </c>
      <c r="I40" s="39"/>
      <c r="J40" s="38">
        <v>6.4500000000000002E-2</v>
      </c>
      <c r="K40" s="39"/>
      <c r="L40" s="38">
        <v>5.5579999999999997E-2</v>
      </c>
      <c r="M40" s="39"/>
      <c r="N40" s="38">
        <v>5.7680000000000002E-2</v>
      </c>
      <c r="O40" s="39"/>
      <c r="P40" s="38"/>
      <c r="Q40" s="39"/>
      <c r="R40" s="38"/>
      <c r="S40" s="163"/>
      <c r="T40" s="30"/>
      <c r="U40" s="25"/>
      <c r="V40" s="5"/>
    </row>
    <row r="41" spans="1:22" ht="15.6" x14ac:dyDescent="0.3">
      <c r="A41" s="24"/>
      <c r="B41" s="25" t="s">
        <v>13</v>
      </c>
      <c r="C41" s="25"/>
      <c r="D41" s="38">
        <v>2.5874999999999999E-2</v>
      </c>
      <c r="E41" s="25"/>
      <c r="F41" s="38">
        <v>5.9393799999999997E-2</v>
      </c>
      <c r="G41" s="39"/>
      <c r="H41" s="38">
        <v>5.083E-2</v>
      </c>
      <c r="I41" s="39"/>
      <c r="J41" s="38">
        <v>6.0593800000000003E-2</v>
      </c>
      <c r="K41" s="39"/>
      <c r="L41" s="38">
        <v>5.203E-2</v>
      </c>
      <c r="M41" s="39"/>
      <c r="N41" s="38">
        <v>5.4129999999999998E-2</v>
      </c>
      <c r="O41" s="39"/>
      <c r="P41" s="38"/>
      <c r="Q41" s="39"/>
      <c r="R41" s="38"/>
      <c r="S41" s="163"/>
      <c r="T41" s="39" t="s">
        <v>201</v>
      </c>
      <c r="U41" s="25"/>
      <c r="V41" s="5"/>
    </row>
    <row r="42" spans="1:22" ht="15.6" x14ac:dyDescent="0.3">
      <c r="A42" s="24"/>
      <c r="B42" s="25" t="s">
        <v>286</v>
      </c>
      <c r="C42" s="25"/>
      <c r="D42" s="30" t="s">
        <v>231</v>
      </c>
      <c r="E42" s="25"/>
      <c r="F42" s="30" t="s">
        <v>231</v>
      </c>
      <c r="G42" s="30"/>
      <c r="H42" s="30" t="s">
        <v>243</v>
      </c>
      <c r="I42" s="30"/>
      <c r="J42" s="30" t="s">
        <v>232</v>
      </c>
      <c r="K42" s="30"/>
      <c r="L42" s="30" t="s">
        <v>244</v>
      </c>
      <c r="M42" s="30"/>
      <c r="N42" s="30" t="s">
        <v>246</v>
      </c>
      <c r="O42" s="30"/>
      <c r="P42" s="30"/>
      <c r="Q42" s="39"/>
      <c r="R42" s="38"/>
      <c r="S42" s="163"/>
      <c r="T42" s="163"/>
      <c r="U42" s="25"/>
      <c r="V42" s="5"/>
    </row>
    <row r="43" spans="1:22" ht="15.6" x14ac:dyDescent="0.3">
      <c r="A43" s="24"/>
      <c r="B43" s="25" t="s">
        <v>287</v>
      </c>
      <c r="C43" s="110"/>
      <c r="D43" s="38">
        <v>6.3336199999999995E-2</v>
      </c>
      <c r="E43" s="38"/>
      <c r="F43" s="38">
        <f>+F40</f>
        <v>6.3299999999999995E-2</v>
      </c>
      <c r="G43" s="38"/>
      <c r="H43" s="38">
        <v>6.3297999999999993E-2</v>
      </c>
      <c r="I43" s="38"/>
      <c r="J43" s="38">
        <f>+J40</f>
        <v>6.4500000000000002E-2</v>
      </c>
      <c r="K43" s="38"/>
      <c r="L43" s="38">
        <v>6.4653000000000002E-2</v>
      </c>
      <c r="M43" s="38"/>
      <c r="N43" s="38">
        <v>6.7004999999999995E-2</v>
      </c>
      <c r="O43" s="39"/>
      <c r="P43" s="38"/>
      <c r="Q43" s="30"/>
      <c r="R43" s="30"/>
      <c r="S43" s="163"/>
      <c r="T43" s="39">
        <f>SUMPRODUCT(D43:N43,D35:N35)/T35</f>
        <v>6.3813897714611711E-2</v>
      </c>
      <c r="U43" s="25"/>
      <c r="V43" s="5"/>
    </row>
    <row r="44" spans="1:22" ht="15.6" x14ac:dyDescent="0.3">
      <c r="A44" s="24"/>
      <c r="B44" s="25" t="s">
        <v>288</v>
      </c>
      <c r="C44" s="110"/>
      <c r="D44" s="38">
        <v>5.9429999999999997E-2</v>
      </c>
      <c r="E44" s="38"/>
      <c r="F44" s="38">
        <f>+F41</f>
        <v>5.9393799999999997E-2</v>
      </c>
      <c r="G44" s="38"/>
      <c r="H44" s="38">
        <v>5.9391800000000002E-2</v>
      </c>
      <c r="I44" s="38"/>
      <c r="J44" s="38">
        <f>+J41</f>
        <v>6.0593800000000003E-2</v>
      </c>
      <c r="K44" s="38"/>
      <c r="L44" s="38">
        <v>6.0746799999999997E-2</v>
      </c>
      <c r="M44" s="38"/>
      <c r="N44" s="38">
        <v>6.3098799999999997E-2</v>
      </c>
      <c r="O44" s="39"/>
      <c r="P44" s="38"/>
      <c r="Q44" s="30"/>
      <c r="R44" s="30"/>
      <c r="S44" s="163"/>
      <c r="T44" s="163"/>
      <c r="U44" s="25"/>
      <c r="V44" s="5"/>
    </row>
    <row r="45" spans="1:22" ht="15.6" x14ac:dyDescent="0.3">
      <c r="A45" s="24"/>
      <c r="B45" s="25" t="s">
        <v>14</v>
      </c>
      <c r="C45" s="25"/>
      <c r="D45" s="110">
        <v>40283</v>
      </c>
      <c r="E45" s="110"/>
      <c r="F45" s="110">
        <v>40283</v>
      </c>
      <c r="G45" s="110"/>
      <c r="H45" s="110">
        <v>40283</v>
      </c>
      <c r="I45" s="110"/>
      <c r="J45" s="110">
        <v>40283</v>
      </c>
      <c r="K45" s="110"/>
      <c r="L45" s="110">
        <v>40283</v>
      </c>
      <c r="M45" s="110"/>
      <c r="N45" s="110">
        <v>40283</v>
      </c>
      <c r="O45" s="110"/>
      <c r="P45" s="110"/>
      <c r="Q45" s="30"/>
      <c r="R45" s="30"/>
      <c r="S45" s="163"/>
      <c r="T45" s="163"/>
      <c r="U45" s="25"/>
      <c r="V45" s="5"/>
    </row>
    <row r="46" spans="1:22" ht="15.6" x14ac:dyDescent="0.3">
      <c r="A46" s="24"/>
      <c r="B46" s="25" t="s">
        <v>15</v>
      </c>
      <c r="C46" s="25"/>
      <c r="D46" s="110">
        <v>40648</v>
      </c>
      <c r="E46" s="110"/>
      <c r="F46" s="110">
        <v>40648</v>
      </c>
      <c r="G46" s="110"/>
      <c r="H46" s="110">
        <v>40648</v>
      </c>
      <c r="I46" s="30"/>
      <c r="J46" s="110">
        <v>40648</v>
      </c>
      <c r="K46" s="30"/>
      <c r="L46" s="110">
        <v>40648</v>
      </c>
      <c r="M46" s="30"/>
      <c r="N46" s="110">
        <v>40648</v>
      </c>
      <c r="O46" s="30"/>
      <c r="P46" s="110"/>
      <c r="Q46" s="30"/>
      <c r="R46" s="30"/>
      <c r="S46" s="163"/>
      <c r="T46" s="163"/>
      <c r="U46" s="25"/>
      <c r="V46" s="5"/>
    </row>
    <row r="47" spans="1:22" ht="15.6" x14ac:dyDescent="0.3">
      <c r="A47" s="24"/>
      <c r="B47" s="25" t="s">
        <v>125</v>
      </c>
      <c r="C47" s="25"/>
      <c r="D47" s="160" t="s">
        <v>124</v>
      </c>
      <c r="E47" s="25"/>
      <c r="F47" s="30" t="s">
        <v>232</v>
      </c>
      <c r="G47" s="30"/>
      <c r="H47" s="30" t="s">
        <v>232</v>
      </c>
      <c r="I47" s="30"/>
      <c r="J47" s="30" t="s">
        <v>234</v>
      </c>
      <c r="K47" s="30"/>
      <c r="L47" s="30" t="s">
        <v>234</v>
      </c>
      <c r="M47" s="30"/>
      <c r="N47" s="30" t="s">
        <v>235</v>
      </c>
      <c r="O47" s="30"/>
      <c r="P47" s="30"/>
      <c r="Q47" s="40"/>
      <c r="R47" s="40"/>
      <c r="S47" s="40"/>
      <c r="T47" s="40"/>
      <c r="U47" s="25"/>
      <c r="V47" s="5"/>
    </row>
    <row r="48" spans="1:22" ht="15.6" x14ac:dyDescent="0.3">
      <c r="A48" s="24"/>
      <c r="B48" s="25" t="s">
        <v>289</v>
      </c>
      <c r="C48" s="25"/>
      <c r="D48" s="30" t="s">
        <v>208</v>
      </c>
      <c r="E48" s="25"/>
      <c r="F48" s="30" t="s">
        <v>232</v>
      </c>
      <c r="G48" s="30"/>
      <c r="H48" s="30" t="s">
        <v>232</v>
      </c>
      <c r="I48" s="30"/>
      <c r="J48" s="30" t="s">
        <v>234</v>
      </c>
      <c r="K48" s="30"/>
      <c r="L48" s="30" t="s">
        <v>245</v>
      </c>
      <c r="M48" s="30"/>
      <c r="N48" s="30" t="s">
        <v>247</v>
      </c>
      <c r="O48" s="30"/>
      <c r="P48" s="30"/>
      <c r="Q48" s="25"/>
      <c r="R48" s="25"/>
      <c r="S48" s="25"/>
      <c r="T48" s="39"/>
      <c r="U48" s="25"/>
      <c r="V48" s="5"/>
    </row>
    <row r="49" spans="1:23" ht="15.6" x14ac:dyDescent="0.3">
      <c r="A49" s="24"/>
      <c r="B49" s="25"/>
      <c r="C49" s="25"/>
      <c r="D49" s="30"/>
      <c r="E49" s="25"/>
      <c r="F49" s="30"/>
      <c r="G49" s="30"/>
      <c r="H49" s="30"/>
      <c r="I49" s="30"/>
      <c r="J49" s="30"/>
      <c r="K49" s="30"/>
      <c r="L49" s="30"/>
      <c r="M49" s="30"/>
      <c r="N49" s="30"/>
      <c r="O49" s="30"/>
      <c r="P49" s="30"/>
      <c r="Q49" s="25"/>
      <c r="R49" s="25"/>
      <c r="S49" s="25"/>
      <c r="T49" s="39" t="s">
        <v>201</v>
      </c>
      <c r="U49" s="25"/>
      <c r="V49" s="5"/>
    </row>
    <row r="50" spans="1:23" ht="15.6" x14ac:dyDescent="0.3">
      <c r="A50" s="24"/>
      <c r="B50" s="25" t="s">
        <v>176</v>
      </c>
      <c r="C50" s="25"/>
      <c r="D50" s="30"/>
      <c r="E50" s="25"/>
      <c r="F50" s="30"/>
      <c r="G50" s="30"/>
      <c r="H50" s="30"/>
      <c r="I50" s="30"/>
      <c r="J50" s="30"/>
      <c r="K50" s="30"/>
      <c r="L50" s="30"/>
      <c r="M50" s="30"/>
      <c r="N50" s="30"/>
      <c r="O50" s="30"/>
      <c r="P50" s="30"/>
      <c r="Q50" s="25"/>
      <c r="R50" s="25"/>
      <c r="S50" s="25"/>
      <c r="T50" s="39">
        <f>SUM(J34:P34)/SUM(D34:H34)</f>
        <v>0.15279804679664968</v>
      </c>
      <c r="U50" s="25"/>
      <c r="V50" s="5"/>
    </row>
    <row r="51" spans="1:23" ht="15.6" x14ac:dyDescent="0.3">
      <c r="A51" s="24"/>
      <c r="B51" s="25" t="s">
        <v>177</v>
      </c>
      <c r="C51" s="25"/>
      <c r="D51" s="25"/>
      <c r="E51" s="25"/>
      <c r="F51" s="41"/>
      <c r="G51" s="25"/>
      <c r="H51" s="25"/>
      <c r="I51" s="25"/>
      <c r="J51" s="25"/>
      <c r="K51" s="25"/>
      <c r="L51" s="25"/>
      <c r="M51" s="25"/>
      <c r="N51" s="25"/>
      <c r="O51" s="25"/>
      <c r="P51" s="25"/>
      <c r="Q51" s="25"/>
      <c r="R51" s="25"/>
      <c r="S51" s="25"/>
      <c r="T51" s="39">
        <f>SUM(J36:P36)/SUM(D36:H36)</f>
        <v>0.26651051261061526</v>
      </c>
      <c r="U51" s="25"/>
      <c r="V51" s="5"/>
    </row>
    <row r="52" spans="1:23" ht="15.6" x14ac:dyDescent="0.3">
      <c r="A52" s="24"/>
      <c r="B52" s="25" t="s">
        <v>178</v>
      </c>
      <c r="C52" s="25"/>
      <c r="D52" s="25"/>
      <c r="E52" s="25"/>
      <c r="F52" s="25"/>
      <c r="G52" s="25"/>
      <c r="H52" s="25"/>
      <c r="I52" s="25"/>
      <c r="J52" s="25"/>
      <c r="K52" s="25"/>
      <c r="L52" s="25"/>
      <c r="M52" s="25"/>
      <c r="N52" s="25"/>
      <c r="O52" s="25"/>
      <c r="P52" s="25"/>
      <c r="Q52" s="25"/>
      <c r="R52" s="30" t="s">
        <v>109</v>
      </c>
      <c r="S52" s="30" t="s">
        <v>115</v>
      </c>
      <c r="T52" s="31">
        <f>+T34/2-SUM(J34:P34)</f>
        <v>367473</v>
      </c>
      <c r="U52" s="25"/>
      <c r="V52" s="5"/>
    </row>
    <row r="53" spans="1:23" ht="15.6" x14ac:dyDescent="0.3">
      <c r="A53" s="24"/>
      <c r="B53" s="25"/>
      <c r="C53" s="25"/>
      <c r="D53" s="25"/>
      <c r="E53" s="25"/>
      <c r="F53" s="25"/>
      <c r="G53" s="25"/>
      <c r="H53" s="25"/>
      <c r="I53" s="25"/>
      <c r="J53" s="25"/>
      <c r="K53" s="25"/>
      <c r="L53" s="25"/>
      <c r="M53" s="25"/>
      <c r="N53" s="25"/>
      <c r="O53" s="25"/>
      <c r="P53" s="25"/>
      <c r="Q53" s="25"/>
      <c r="R53" s="25"/>
      <c r="S53" s="25"/>
      <c r="T53" s="42"/>
      <c r="U53" s="25"/>
      <c r="V53" s="5"/>
    </row>
    <row r="54" spans="1:23" ht="15.6" x14ac:dyDescent="0.3">
      <c r="A54" s="24"/>
      <c r="B54" s="25" t="s">
        <v>211</v>
      </c>
      <c r="C54" s="25"/>
      <c r="D54" s="25"/>
      <c r="E54" s="25"/>
      <c r="F54" s="25"/>
      <c r="G54" s="25"/>
      <c r="H54" s="25"/>
      <c r="I54" s="25"/>
      <c r="J54" s="25"/>
      <c r="K54" s="25"/>
      <c r="L54" s="25"/>
      <c r="M54" s="25"/>
      <c r="N54" s="25"/>
      <c r="O54" s="25"/>
      <c r="P54" s="25"/>
      <c r="Q54" s="25"/>
      <c r="R54" s="25"/>
      <c r="S54" s="25"/>
      <c r="T54" s="156" t="s">
        <v>212</v>
      </c>
      <c r="U54" s="25"/>
      <c r="V54" s="5"/>
    </row>
    <row r="55" spans="1:23" ht="15.6" x14ac:dyDescent="0.3">
      <c r="A55" s="24"/>
      <c r="B55" s="25" t="s">
        <v>253</v>
      </c>
      <c r="C55" s="25"/>
      <c r="D55" s="25"/>
      <c r="E55" s="25"/>
      <c r="F55" s="25"/>
      <c r="G55" s="25"/>
      <c r="H55" s="25"/>
      <c r="I55" s="25"/>
      <c r="J55" s="25"/>
      <c r="K55" s="25"/>
      <c r="L55" s="25"/>
      <c r="M55" s="25"/>
      <c r="N55" s="25"/>
      <c r="O55" s="25"/>
      <c r="P55" s="25"/>
      <c r="Q55" s="25"/>
      <c r="R55" s="30"/>
      <c r="S55" s="30"/>
      <c r="T55" s="157" t="s">
        <v>117</v>
      </c>
      <c r="U55" s="25"/>
      <c r="V55" s="5"/>
    </row>
    <row r="56" spans="1:23" ht="15.6" x14ac:dyDescent="0.3">
      <c r="A56" s="24"/>
      <c r="B56" s="29" t="s">
        <v>210</v>
      </c>
      <c r="C56" s="29"/>
      <c r="D56" s="29"/>
      <c r="E56" s="29"/>
      <c r="F56" s="29"/>
      <c r="G56" s="29"/>
      <c r="H56" s="29"/>
      <c r="I56" s="29"/>
      <c r="J56" s="29"/>
      <c r="K56" s="29"/>
      <c r="L56" s="29"/>
      <c r="M56" s="29"/>
      <c r="N56" s="29"/>
      <c r="O56" s="29"/>
      <c r="P56" s="29"/>
      <c r="Q56" s="29"/>
      <c r="R56" s="43"/>
      <c r="S56" s="43"/>
      <c r="T56" s="44">
        <v>39828</v>
      </c>
      <c r="U56" s="25"/>
      <c r="V56" s="5"/>
    </row>
    <row r="57" spans="1:23" ht="15.6" x14ac:dyDescent="0.3">
      <c r="A57" s="24"/>
      <c r="B57" s="25" t="s">
        <v>127</v>
      </c>
      <c r="C57" s="25"/>
      <c r="D57" s="25"/>
      <c r="E57" s="25"/>
      <c r="F57" s="25"/>
      <c r="G57" s="25"/>
      <c r="H57" s="58"/>
      <c r="I57" s="58"/>
      <c r="J57" s="58"/>
      <c r="K57" s="58"/>
      <c r="L57" s="58"/>
      <c r="M57" s="58"/>
      <c r="N57" s="58"/>
      <c r="O57" s="58"/>
      <c r="P57" s="25">
        <f>+T57-R57+1</f>
        <v>92</v>
      </c>
      <c r="Q57" s="58"/>
      <c r="R57" s="45">
        <v>39644</v>
      </c>
      <c r="S57" s="46"/>
      <c r="T57" s="45">
        <v>39735</v>
      </c>
      <c r="U57" s="25"/>
      <c r="V57" s="5"/>
    </row>
    <row r="58" spans="1:23" ht="15.6" x14ac:dyDescent="0.3">
      <c r="A58" s="24"/>
      <c r="B58" s="25" t="s">
        <v>128</v>
      </c>
      <c r="C58" s="25"/>
      <c r="D58" s="25"/>
      <c r="E58" s="25"/>
      <c r="F58" s="25"/>
      <c r="G58" s="25"/>
      <c r="H58" s="25"/>
      <c r="I58" s="25"/>
      <c r="J58" s="25"/>
      <c r="K58" s="25"/>
      <c r="L58" s="25"/>
      <c r="M58" s="25"/>
      <c r="N58" s="25"/>
      <c r="O58" s="25"/>
      <c r="P58" s="25">
        <f>+T58-R58+1</f>
        <v>92</v>
      </c>
      <c r="Q58" s="25"/>
      <c r="R58" s="45">
        <v>39736</v>
      </c>
      <c r="S58" s="46"/>
      <c r="T58" s="45">
        <v>39827</v>
      </c>
      <c r="U58" s="25"/>
      <c r="V58" s="5"/>
    </row>
    <row r="59" spans="1:23" ht="15.6" x14ac:dyDescent="0.3">
      <c r="A59" s="24"/>
      <c r="B59" s="25" t="s">
        <v>209</v>
      </c>
      <c r="C59" s="25"/>
      <c r="D59" s="25"/>
      <c r="E59" s="25"/>
      <c r="F59" s="25"/>
      <c r="G59" s="25"/>
      <c r="H59" s="25"/>
      <c r="I59" s="25"/>
      <c r="J59" s="25"/>
      <c r="K59" s="25"/>
      <c r="L59" s="25"/>
      <c r="M59" s="25"/>
      <c r="N59" s="25"/>
      <c r="O59" s="25"/>
      <c r="P59" s="25"/>
      <c r="Q59" s="25"/>
      <c r="R59" s="45"/>
      <c r="S59" s="46"/>
      <c r="T59" s="45" t="s">
        <v>126</v>
      </c>
      <c r="U59" s="25"/>
      <c r="V59" s="5"/>
    </row>
    <row r="60" spans="1:23" ht="15.6" x14ac:dyDescent="0.3">
      <c r="A60" s="24"/>
      <c r="B60" s="25" t="s">
        <v>249</v>
      </c>
      <c r="C60" s="25"/>
      <c r="D60" s="25"/>
      <c r="E60" s="25"/>
      <c r="F60" s="25"/>
      <c r="G60" s="25"/>
      <c r="H60" s="25"/>
      <c r="I60" s="25"/>
      <c r="J60" s="25"/>
      <c r="K60" s="25"/>
      <c r="L60" s="25"/>
      <c r="M60" s="25"/>
      <c r="N60" s="25"/>
      <c r="O60" s="25"/>
      <c r="P60" s="25"/>
      <c r="Q60" s="25"/>
      <c r="R60" s="45"/>
      <c r="S60" s="46"/>
      <c r="T60" s="45" t="s">
        <v>160</v>
      </c>
      <c r="U60" s="25"/>
      <c r="V60" s="5"/>
      <c r="W60" s="134"/>
    </row>
    <row r="61" spans="1:23" ht="15.6" x14ac:dyDescent="0.3">
      <c r="A61" s="24"/>
      <c r="B61" s="25" t="s">
        <v>16</v>
      </c>
      <c r="C61" s="25"/>
      <c r="D61" s="25"/>
      <c r="E61" s="25"/>
      <c r="F61" s="25"/>
      <c r="G61" s="25"/>
      <c r="H61" s="25"/>
      <c r="I61" s="25"/>
      <c r="J61" s="25"/>
      <c r="K61" s="25"/>
      <c r="L61" s="25"/>
      <c r="M61" s="25"/>
      <c r="N61" s="25"/>
      <c r="O61" s="25"/>
      <c r="P61" s="25"/>
      <c r="Q61" s="25"/>
      <c r="R61" s="45"/>
      <c r="S61" s="46"/>
      <c r="T61" s="45">
        <v>39815</v>
      </c>
      <c r="U61" s="25"/>
      <c r="V61" s="5"/>
    </row>
    <row r="62" spans="1:23" ht="15.6" x14ac:dyDescent="0.3">
      <c r="A62" s="24"/>
      <c r="B62" s="25"/>
      <c r="C62" s="25"/>
      <c r="D62" s="25"/>
      <c r="E62" s="25"/>
      <c r="F62" s="25"/>
      <c r="G62" s="25"/>
      <c r="H62" s="25"/>
      <c r="I62" s="25"/>
      <c r="J62" s="25"/>
      <c r="K62" s="25"/>
      <c r="L62" s="25"/>
      <c r="M62" s="25"/>
      <c r="N62" s="25"/>
      <c r="O62" s="25"/>
      <c r="P62" s="25"/>
      <c r="Q62" s="25"/>
      <c r="R62" s="45"/>
      <c r="S62" s="46"/>
      <c r="T62" s="45"/>
      <c r="U62" s="25"/>
      <c r="V62" s="5"/>
    </row>
    <row r="63" spans="1:23" ht="15.6" x14ac:dyDescent="0.3">
      <c r="A63" s="6"/>
      <c r="B63" s="8"/>
      <c r="C63" s="8"/>
      <c r="D63" s="8"/>
      <c r="E63" s="8"/>
      <c r="F63" s="8"/>
      <c r="G63" s="8"/>
      <c r="H63" s="8"/>
      <c r="I63" s="8"/>
      <c r="J63" s="8"/>
      <c r="K63" s="8"/>
      <c r="L63" s="8"/>
      <c r="M63" s="8"/>
      <c r="N63" s="8"/>
      <c r="O63" s="8"/>
      <c r="P63" s="8"/>
      <c r="Q63" s="8"/>
      <c r="R63" s="47"/>
      <c r="S63" s="48"/>
      <c r="T63" s="47"/>
      <c r="U63" s="8"/>
      <c r="V63" s="5"/>
    </row>
    <row r="64" spans="1:23" ht="18" thickBot="1" x14ac:dyDescent="0.35">
      <c r="A64" s="101"/>
      <c r="B64" s="102" t="s">
        <v>278</v>
      </c>
      <c r="C64" s="103"/>
      <c r="D64" s="103"/>
      <c r="E64" s="103"/>
      <c r="F64" s="103"/>
      <c r="G64" s="103"/>
      <c r="H64" s="103"/>
      <c r="I64" s="103"/>
      <c r="J64" s="103"/>
      <c r="K64" s="103"/>
      <c r="L64" s="103"/>
      <c r="M64" s="103"/>
      <c r="N64" s="103"/>
      <c r="O64" s="103"/>
      <c r="P64" s="103"/>
      <c r="Q64" s="103"/>
      <c r="R64" s="103"/>
      <c r="S64" s="103"/>
      <c r="T64" s="104"/>
      <c r="U64" s="105"/>
      <c r="V64" s="5"/>
    </row>
    <row r="65" spans="1:22" ht="15.6" x14ac:dyDescent="0.3">
      <c r="A65" s="2"/>
      <c r="B65" s="4"/>
      <c r="C65" s="4"/>
      <c r="D65" s="4"/>
      <c r="E65" s="4"/>
      <c r="F65" s="4"/>
      <c r="G65" s="4"/>
      <c r="H65" s="4"/>
      <c r="I65" s="4"/>
      <c r="J65" s="4"/>
      <c r="K65" s="4"/>
      <c r="L65" s="4"/>
      <c r="M65" s="4"/>
      <c r="N65" s="4"/>
      <c r="O65" s="4"/>
      <c r="P65" s="4"/>
      <c r="Q65" s="4"/>
      <c r="R65" s="4"/>
      <c r="S65" s="4"/>
      <c r="T65" s="50"/>
      <c r="U65" s="4"/>
      <c r="V65" s="5"/>
    </row>
    <row r="66" spans="1:22" ht="15.6" x14ac:dyDescent="0.3">
      <c r="A66" s="6"/>
      <c r="B66" s="51" t="s">
        <v>17</v>
      </c>
      <c r="C66" s="8"/>
      <c r="D66" s="8"/>
      <c r="E66" s="8"/>
      <c r="F66" s="8"/>
      <c r="G66" s="8"/>
      <c r="H66" s="8"/>
      <c r="I66" s="8"/>
      <c r="J66" s="8"/>
      <c r="K66" s="8"/>
      <c r="L66" s="8"/>
      <c r="M66" s="8"/>
      <c r="N66" s="8"/>
      <c r="O66" s="8"/>
      <c r="P66" s="8"/>
      <c r="Q66" s="8"/>
      <c r="R66" s="8"/>
      <c r="S66" s="8"/>
      <c r="T66" s="52"/>
      <c r="U66" s="8"/>
      <c r="V66" s="5"/>
    </row>
    <row r="67" spans="1:22" ht="15.6" x14ac:dyDescent="0.3">
      <c r="A67" s="6"/>
      <c r="B67" s="13"/>
      <c r="C67" s="8"/>
      <c r="D67" s="8"/>
      <c r="E67" s="8"/>
      <c r="F67" s="8"/>
      <c r="G67" s="8"/>
      <c r="H67" s="8"/>
      <c r="I67" s="8"/>
      <c r="J67" s="8"/>
      <c r="K67" s="8"/>
      <c r="L67" s="8"/>
      <c r="M67" s="8"/>
      <c r="N67" s="8"/>
      <c r="O67" s="8"/>
      <c r="P67" s="8"/>
      <c r="Q67" s="8"/>
      <c r="R67" s="8"/>
      <c r="S67" s="8"/>
      <c r="T67" s="52"/>
      <c r="U67" s="8"/>
      <c r="V67" s="5"/>
    </row>
    <row r="68" spans="1:22" ht="46.8" x14ac:dyDescent="0.3">
      <c r="A68" s="6"/>
      <c r="B68" s="114" t="s">
        <v>18</v>
      </c>
      <c r="C68" s="115"/>
      <c r="D68" s="115"/>
      <c r="E68" s="115"/>
      <c r="F68" s="115"/>
      <c r="G68" s="115"/>
      <c r="H68" s="115"/>
      <c r="I68" s="115"/>
      <c r="J68" s="115" t="s">
        <v>97</v>
      </c>
      <c r="K68" s="115"/>
      <c r="L68" s="115" t="s">
        <v>99</v>
      </c>
      <c r="M68" s="115"/>
      <c r="N68" s="115" t="s">
        <v>101</v>
      </c>
      <c r="O68" s="115"/>
      <c r="P68" s="115" t="s">
        <v>103</v>
      </c>
      <c r="Q68" s="115"/>
      <c r="R68" s="115" t="s">
        <v>110</v>
      </c>
      <c r="S68" s="115"/>
      <c r="T68" s="116" t="s">
        <v>118</v>
      </c>
      <c r="U68" s="117"/>
      <c r="V68" s="5"/>
    </row>
    <row r="69" spans="1:22" ht="15.6" x14ac:dyDescent="0.3">
      <c r="A69" s="24"/>
      <c r="B69" s="25" t="s">
        <v>19</v>
      </c>
      <c r="C69" s="34"/>
      <c r="D69" s="34"/>
      <c r="E69" s="34"/>
      <c r="F69" s="34"/>
      <c r="G69" s="34"/>
      <c r="H69" s="34"/>
      <c r="I69" s="34"/>
      <c r="J69" s="34">
        <v>1000039</v>
      </c>
      <c r="K69" s="34"/>
      <c r="L69" s="53">
        <v>641940</v>
      </c>
      <c r="M69" s="34"/>
      <c r="N69" s="34">
        <f>12026+545+112</f>
        <v>12683</v>
      </c>
      <c r="O69" s="34"/>
      <c r="P69" s="34">
        <f>545+112</f>
        <v>657</v>
      </c>
      <c r="Q69" s="34"/>
      <c r="R69" s="34">
        <v>0</v>
      </c>
      <c r="S69" s="34"/>
      <c r="T69" s="53">
        <f>+L69-N69+P69-R69</f>
        <v>629914</v>
      </c>
      <c r="U69" s="25"/>
      <c r="V69" s="5"/>
    </row>
    <row r="70" spans="1:22" ht="15.6" x14ac:dyDescent="0.3">
      <c r="A70" s="24"/>
      <c r="B70" s="25" t="s">
        <v>20</v>
      </c>
      <c r="C70" s="34"/>
      <c r="D70" s="34"/>
      <c r="E70" s="34"/>
      <c r="F70" s="34"/>
      <c r="G70" s="34"/>
      <c r="H70" s="34"/>
      <c r="I70" s="34"/>
      <c r="J70" s="34">
        <v>10</v>
      </c>
      <c r="K70" s="34"/>
      <c r="L70" s="53">
        <v>0</v>
      </c>
      <c r="M70" s="34"/>
      <c r="N70" s="34">
        <v>0</v>
      </c>
      <c r="O70" s="34"/>
      <c r="P70" s="34">
        <v>0</v>
      </c>
      <c r="Q70" s="34"/>
      <c r="R70" s="34">
        <v>0</v>
      </c>
      <c r="S70" s="34"/>
      <c r="T70" s="53">
        <v>0</v>
      </c>
      <c r="U70" s="25"/>
      <c r="V70" s="5"/>
    </row>
    <row r="71" spans="1:22" ht="15.6" x14ac:dyDescent="0.3">
      <c r="A71" s="24"/>
      <c r="B71" s="25"/>
      <c r="C71" s="34"/>
      <c r="D71" s="34"/>
      <c r="E71" s="34"/>
      <c r="F71" s="34"/>
      <c r="G71" s="34"/>
      <c r="H71" s="34"/>
      <c r="I71" s="34"/>
      <c r="J71" s="34"/>
      <c r="K71" s="34"/>
      <c r="L71" s="53"/>
      <c r="M71" s="34"/>
      <c r="N71" s="34"/>
      <c r="O71" s="34"/>
      <c r="P71" s="34"/>
      <c r="Q71" s="34"/>
      <c r="R71" s="34"/>
      <c r="S71" s="34"/>
      <c r="T71" s="53"/>
      <c r="U71" s="25"/>
      <c r="V71" s="5"/>
    </row>
    <row r="72" spans="1:22" ht="15.6" x14ac:dyDescent="0.3">
      <c r="A72" s="24"/>
      <c r="B72" s="25" t="s">
        <v>21</v>
      </c>
      <c r="C72" s="34"/>
      <c r="D72" s="34"/>
      <c r="E72" s="34"/>
      <c r="F72" s="34"/>
      <c r="G72" s="34"/>
      <c r="H72" s="34"/>
      <c r="I72" s="34"/>
      <c r="J72" s="34">
        <f>SUM(J69:J71)</f>
        <v>1000049</v>
      </c>
      <c r="K72" s="34"/>
      <c r="L72" s="54">
        <f>L69+L70</f>
        <v>641940</v>
      </c>
      <c r="M72" s="34"/>
      <c r="N72" s="34">
        <f>SUM(N69:N71)</f>
        <v>12683</v>
      </c>
      <c r="O72" s="34"/>
      <c r="P72" s="34">
        <f>SUM(P69:P71)</f>
        <v>657</v>
      </c>
      <c r="Q72" s="34"/>
      <c r="R72" s="34">
        <f>SUM(R69:R71)</f>
        <v>0</v>
      </c>
      <c r="S72" s="34"/>
      <c r="T72" s="54">
        <f>SUM(T69:T71)</f>
        <v>629914</v>
      </c>
      <c r="U72" s="25"/>
      <c r="V72" s="5"/>
    </row>
    <row r="73" spans="1:22" ht="15.6" x14ac:dyDescent="0.3">
      <c r="A73" s="24"/>
      <c r="B73" s="25"/>
      <c r="C73" s="34"/>
      <c r="D73" s="34"/>
      <c r="E73" s="34"/>
      <c r="F73" s="34"/>
      <c r="G73" s="34"/>
      <c r="H73" s="34"/>
      <c r="I73" s="34"/>
      <c r="J73" s="34"/>
      <c r="K73" s="34"/>
      <c r="L73" s="34"/>
      <c r="M73" s="34"/>
      <c r="N73" s="34"/>
      <c r="O73" s="34"/>
      <c r="P73" s="34"/>
      <c r="Q73" s="34"/>
      <c r="R73" s="34"/>
      <c r="S73" s="34"/>
      <c r="T73" s="54"/>
      <c r="U73" s="25"/>
      <c r="V73" s="5"/>
    </row>
    <row r="74" spans="1:22" ht="15.6" x14ac:dyDescent="0.3">
      <c r="A74" s="6"/>
      <c r="B74" s="111" t="s">
        <v>22</v>
      </c>
      <c r="C74" s="55"/>
      <c r="D74" s="55"/>
      <c r="E74" s="55"/>
      <c r="F74" s="55"/>
      <c r="G74" s="55"/>
      <c r="H74" s="55"/>
      <c r="I74" s="55"/>
      <c r="J74" s="55"/>
      <c r="K74" s="55"/>
      <c r="L74" s="55"/>
      <c r="M74" s="55"/>
      <c r="N74" s="55"/>
      <c r="O74" s="55"/>
      <c r="P74" s="55"/>
      <c r="Q74" s="55"/>
      <c r="R74" s="55"/>
      <c r="S74" s="55"/>
      <c r="T74" s="56"/>
      <c r="U74" s="8"/>
      <c r="V74" s="5"/>
    </row>
    <row r="75" spans="1:22" ht="15.6" x14ac:dyDescent="0.3">
      <c r="A75" s="6"/>
      <c r="B75" s="8"/>
      <c r="C75" s="55"/>
      <c r="D75" s="55"/>
      <c r="E75" s="55"/>
      <c r="F75" s="55"/>
      <c r="G75" s="55"/>
      <c r="H75" s="55"/>
      <c r="I75" s="55"/>
      <c r="J75" s="55"/>
      <c r="K75" s="55"/>
      <c r="L75" s="55"/>
      <c r="M75" s="55"/>
      <c r="N75" s="55"/>
      <c r="O75" s="55"/>
      <c r="P75" s="55"/>
      <c r="Q75" s="55"/>
      <c r="R75" s="55"/>
      <c r="S75" s="55"/>
      <c r="T75" s="56"/>
      <c r="U75" s="8"/>
      <c r="V75" s="5"/>
    </row>
    <row r="76" spans="1:22" ht="15.6" x14ac:dyDescent="0.3">
      <c r="A76" s="24"/>
      <c r="B76" s="25" t="s">
        <v>19</v>
      </c>
      <c r="C76" s="34"/>
      <c r="D76" s="34"/>
      <c r="E76" s="34"/>
      <c r="F76" s="34"/>
      <c r="G76" s="34"/>
      <c r="H76" s="34"/>
      <c r="I76" s="34"/>
      <c r="J76" s="34"/>
      <c r="K76" s="34"/>
      <c r="L76" s="34"/>
      <c r="M76" s="34"/>
      <c r="N76" s="34"/>
      <c r="O76" s="34"/>
      <c r="P76" s="34"/>
      <c r="Q76" s="34"/>
      <c r="R76" s="34"/>
      <c r="S76" s="34"/>
      <c r="T76" s="54"/>
      <c r="U76" s="25"/>
      <c r="V76" s="5"/>
    </row>
    <row r="77" spans="1:22" ht="15.6" x14ac:dyDescent="0.3">
      <c r="A77" s="24"/>
      <c r="B77" s="25" t="s">
        <v>20</v>
      </c>
      <c r="C77" s="34"/>
      <c r="D77" s="34"/>
      <c r="E77" s="34"/>
      <c r="F77" s="34"/>
      <c r="G77" s="34"/>
      <c r="H77" s="34"/>
      <c r="I77" s="34"/>
      <c r="J77" s="34"/>
      <c r="K77" s="34"/>
      <c r="L77" s="34"/>
      <c r="M77" s="34"/>
      <c r="N77" s="34"/>
      <c r="O77" s="34"/>
      <c r="P77" s="34"/>
      <c r="Q77" s="34"/>
      <c r="R77" s="34"/>
      <c r="S77" s="34"/>
      <c r="T77" s="54"/>
      <c r="U77" s="25"/>
      <c r="V77" s="5"/>
    </row>
    <row r="78" spans="1:22" ht="15.6" x14ac:dyDescent="0.3">
      <c r="A78" s="24"/>
      <c r="B78" s="25"/>
      <c r="C78" s="34"/>
      <c r="D78" s="34"/>
      <c r="E78" s="34"/>
      <c r="F78" s="34"/>
      <c r="G78" s="34"/>
      <c r="H78" s="34"/>
      <c r="I78" s="34"/>
      <c r="J78" s="34"/>
      <c r="K78" s="34"/>
      <c r="L78" s="34"/>
      <c r="M78" s="34"/>
      <c r="N78" s="34"/>
      <c r="O78" s="34"/>
      <c r="P78" s="34"/>
      <c r="Q78" s="34"/>
      <c r="R78" s="34"/>
      <c r="S78" s="34"/>
      <c r="T78" s="54"/>
      <c r="U78" s="25"/>
      <c r="V78" s="5"/>
    </row>
    <row r="79" spans="1:22" ht="15.6" x14ac:dyDescent="0.3">
      <c r="A79" s="24"/>
      <c r="B79" s="25" t="s">
        <v>21</v>
      </c>
      <c r="C79" s="34"/>
      <c r="D79" s="34"/>
      <c r="E79" s="34"/>
      <c r="F79" s="34"/>
      <c r="G79" s="34"/>
      <c r="H79" s="34"/>
      <c r="I79" s="34"/>
      <c r="J79" s="34"/>
      <c r="K79" s="34"/>
      <c r="L79" s="34"/>
      <c r="M79" s="34"/>
      <c r="N79" s="34"/>
      <c r="O79" s="34"/>
      <c r="P79" s="34"/>
      <c r="Q79" s="34"/>
      <c r="R79" s="34"/>
      <c r="S79" s="34"/>
      <c r="T79" s="34"/>
      <c r="U79" s="25"/>
      <c r="V79" s="5"/>
    </row>
    <row r="80" spans="1:22" ht="15.6" x14ac:dyDescent="0.3">
      <c r="A80" s="24"/>
      <c r="B80" s="25"/>
      <c r="C80" s="34"/>
      <c r="D80" s="34"/>
      <c r="E80" s="34"/>
      <c r="F80" s="34"/>
      <c r="G80" s="34"/>
      <c r="H80" s="34"/>
      <c r="I80" s="34"/>
      <c r="J80" s="34"/>
      <c r="K80" s="34"/>
      <c r="L80" s="34"/>
      <c r="M80" s="34"/>
      <c r="N80" s="34"/>
      <c r="O80" s="34"/>
      <c r="P80" s="34"/>
      <c r="Q80" s="34"/>
      <c r="R80" s="34"/>
      <c r="S80" s="34"/>
      <c r="T80" s="34"/>
      <c r="U80" s="25"/>
      <c r="V80" s="5"/>
    </row>
    <row r="81" spans="1:22" ht="15.6" x14ac:dyDescent="0.3">
      <c r="A81" s="24"/>
      <c r="B81" s="25" t="s">
        <v>23</v>
      </c>
      <c r="C81" s="34"/>
      <c r="D81" s="34"/>
      <c r="E81" s="34"/>
      <c r="F81" s="34"/>
      <c r="G81" s="34"/>
      <c r="H81" s="34"/>
      <c r="I81" s="34"/>
      <c r="J81" s="34">
        <v>0</v>
      </c>
      <c r="K81" s="34"/>
      <c r="L81" s="34">
        <v>0</v>
      </c>
      <c r="M81" s="34"/>
      <c r="N81" s="34"/>
      <c r="O81" s="34"/>
      <c r="P81" s="34"/>
      <c r="Q81" s="34"/>
      <c r="R81" s="34"/>
      <c r="S81" s="34"/>
      <c r="T81" s="53">
        <v>0</v>
      </c>
      <c r="U81" s="25"/>
      <c r="V81" s="5"/>
    </row>
    <row r="82" spans="1:22" ht="15.6" x14ac:dyDescent="0.3">
      <c r="A82" s="24"/>
      <c r="B82" s="25" t="s">
        <v>123</v>
      </c>
      <c r="C82" s="34"/>
      <c r="D82" s="34"/>
      <c r="E82" s="34"/>
      <c r="F82" s="34"/>
      <c r="G82" s="34"/>
      <c r="H82" s="34"/>
      <c r="I82" s="34"/>
      <c r="J82" s="34">
        <v>0</v>
      </c>
      <c r="K82" s="34"/>
      <c r="L82" s="34">
        <v>0</v>
      </c>
      <c r="M82" s="34"/>
      <c r="N82" s="34"/>
      <c r="O82" s="34"/>
      <c r="P82" s="34"/>
      <c r="Q82" s="34"/>
      <c r="R82" s="34"/>
      <c r="S82" s="34"/>
      <c r="T82" s="54">
        <f>SUM(J82:P82)</f>
        <v>0</v>
      </c>
      <c r="U82" s="25"/>
      <c r="V82" s="5"/>
    </row>
    <row r="83" spans="1:22" ht="15.6" x14ac:dyDescent="0.3">
      <c r="A83" s="24"/>
      <c r="B83" s="25" t="s">
        <v>152</v>
      </c>
      <c r="C83" s="34"/>
      <c r="D83" s="34"/>
      <c r="E83" s="34"/>
      <c r="F83" s="34"/>
      <c r="G83" s="34"/>
      <c r="H83" s="34"/>
      <c r="I83" s="34"/>
      <c r="J83" s="34">
        <v>1</v>
      </c>
      <c r="K83" s="34"/>
      <c r="L83" s="34">
        <v>0</v>
      </c>
      <c r="M83" s="34"/>
      <c r="N83" s="34">
        <v>0</v>
      </c>
      <c r="O83" s="34"/>
      <c r="P83" s="34"/>
      <c r="Q83" s="34"/>
      <c r="R83" s="34"/>
      <c r="S83" s="34"/>
      <c r="T83" s="54">
        <f>+L83+N83</f>
        <v>0</v>
      </c>
      <c r="U83" s="25"/>
      <c r="V83" s="5"/>
    </row>
    <row r="84" spans="1:22" ht="15.6" x14ac:dyDescent="0.3">
      <c r="A84" s="24"/>
      <c r="B84" s="25" t="s">
        <v>25</v>
      </c>
      <c r="C84" s="34"/>
      <c r="D84" s="34"/>
      <c r="E84" s="34"/>
      <c r="F84" s="34"/>
      <c r="G84" s="34"/>
      <c r="H84" s="34"/>
      <c r="I84" s="34"/>
      <c r="J84" s="34">
        <v>0</v>
      </c>
      <c r="K84" s="34"/>
      <c r="L84" s="34">
        <v>0</v>
      </c>
      <c r="M84" s="34"/>
      <c r="N84" s="34"/>
      <c r="O84" s="34"/>
      <c r="P84" s="34"/>
      <c r="Q84" s="34"/>
      <c r="R84" s="34"/>
      <c r="S84" s="34"/>
      <c r="T84" s="54">
        <v>0</v>
      </c>
      <c r="U84" s="25"/>
      <c r="V84" s="5"/>
    </row>
    <row r="85" spans="1:22" ht="15.6" x14ac:dyDescent="0.3">
      <c r="A85" s="24"/>
      <c r="B85" s="25" t="s">
        <v>26</v>
      </c>
      <c r="C85" s="34"/>
      <c r="D85" s="34"/>
      <c r="E85" s="34"/>
      <c r="F85" s="54"/>
      <c r="G85" s="34"/>
      <c r="H85" s="54"/>
      <c r="I85" s="54"/>
      <c r="J85" s="54">
        <f>SUM(J72:J84)</f>
        <v>1000050</v>
      </c>
      <c r="K85" s="34"/>
      <c r="L85" s="54">
        <f>SUM(L72:L84)</f>
        <v>641940</v>
      </c>
      <c r="M85" s="34"/>
      <c r="N85" s="34"/>
      <c r="O85" s="34"/>
      <c r="P85" s="34"/>
      <c r="Q85" s="34"/>
      <c r="R85" s="54"/>
      <c r="S85" s="34"/>
      <c r="T85" s="54">
        <f>SUM(T72:T84)</f>
        <v>629914</v>
      </c>
      <c r="U85" s="25"/>
      <c r="V85" s="5"/>
    </row>
    <row r="86" spans="1:22" ht="15.6" x14ac:dyDescent="0.3">
      <c r="A86" s="24"/>
      <c r="B86" s="25"/>
      <c r="C86" s="34"/>
      <c r="D86" s="34"/>
      <c r="E86" s="34"/>
      <c r="F86" s="34"/>
      <c r="G86" s="34"/>
      <c r="H86" s="34"/>
      <c r="I86" s="34"/>
      <c r="J86" s="34"/>
      <c r="K86" s="34"/>
      <c r="L86" s="34"/>
      <c r="M86" s="34"/>
      <c r="N86" s="34"/>
      <c r="O86" s="34"/>
      <c r="P86" s="34"/>
      <c r="Q86" s="34"/>
      <c r="R86" s="34"/>
      <c r="S86" s="34"/>
      <c r="T86" s="54"/>
      <c r="U86" s="25"/>
      <c r="V86" s="5"/>
    </row>
    <row r="87" spans="1:22" ht="15.6" x14ac:dyDescent="0.3">
      <c r="A87" s="6"/>
      <c r="B87" s="8"/>
      <c r="C87" s="8"/>
      <c r="D87" s="8"/>
      <c r="E87" s="8"/>
      <c r="F87" s="8"/>
      <c r="G87" s="8"/>
      <c r="H87" s="8"/>
      <c r="I87" s="8"/>
      <c r="J87" s="8"/>
      <c r="K87" s="8"/>
      <c r="L87" s="8"/>
      <c r="M87" s="8"/>
      <c r="N87" s="8"/>
      <c r="O87" s="8"/>
      <c r="P87" s="8"/>
      <c r="Q87" s="8"/>
      <c r="R87" s="8"/>
      <c r="S87" s="8"/>
      <c r="T87" s="8"/>
      <c r="U87" s="8"/>
      <c r="V87" s="5"/>
    </row>
    <row r="88" spans="1:22" ht="15.6" x14ac:dyDescent="0.3">
      <c r="A88" s="6"/>
      <c r="B88" s="51" t="s">
        <v>27</v>
      </c>
      <c r="C88" s="14"/>
      <c r="D88" s="14"/>
      <c r="E88" s="14"/>
      <c r="F88" s="14"/>
      <c r="G88" s="14"/>
      <c r="H88" s="17"/>
      <c r="I88" s="17"/>
      <c r="J88" s="159" t="s">
        <v>98</v>
      </c>
      <c r="K88" s="17"/>
      <c r="L88" s="158">
        <f>+R193</f>
        <v>39813</v>
      </c>
      <c r="M88" s="17"/>
      <c r="N88" s="17"/>
      <c r="O88" s="17"/>
      <c r="P88" s="17"/>
      <c r="Q88" s="17"/>
      <c r="R88" s="17" t="s">
        <v>111</v>
      </c>
      <c r="S88" s="17"/>
      <c r="T88" s="17" t="s">
        <v>119</v>
      </c>
      <c r="U88" s="8"/>
      <c r="V88" s="5"/>
    </row>
    <row r="89" spans="1:22" ht="15.6" x14ac:dyDescent="0.3">
      <c r="A89" s="24"/>
      <c r="B89" s="25" t="s">
        <v>28</v>
      </c>
      <c r="C89" s="25"/>
      <c r="D89" s="25"/>
      <c r="E89" s="25"/>
      <c r="F89" s="25"/>
      <c r="G89" s="25"/>
      <c r="H89" s="25"/>
      <c r="I89" s="25"/>
      <c r="J89" s="25"/>
      <c r="K89" s="25"/>
      <c r="L89" s="25"/>
      <c r="M89" s="25"/>
      <c r="N89" s="25"/>
      <c r="O89" s="25"/>
      <c r="P89" s="25"/>
      <c r="Q89" s="25"/>
      <c r="R89" s="34">
        <v>0</v>
      </c>
      <c r="S89" s="25"/>
      <c r="T89" s="53">
        <v>0</v>
      </c>
      <c r="U89" s="25"/>
      <c r="V89" s="5"/>
    </row>
    <row r="90" spans="1:22" ht="15.6" x14ac:dyDescent="0.3">
      <c r="A90" s="24"/>
      <c r="B90" s="25" t="s">
        <v>29</v>
      </c>
      <c r="C90" s="25"/>
      <c r="D90" s="25"/>
      <c r="E90" s="25"/>
      <c r="F90" s="25"/>
      <c r="G90" s="25"/>
      <c r="H90" s="40"/>
      <c r="I90" s="57"/>
      <c r="J90" s="40"/>
      <c r="K90" s="25"/>
      <c r="L90" s="127"/>
      <c r="M90" s="25"/>
      <c r="N90" s="25"/>
      <c r="O90" s="25"/>
      <c r="P90" s="25"/>
      <c r="Q90" s="25"/>
      <c r="R90" s="34">
        <f>12683-9</f>
        <v>12674</v>
      </c>
      <c r="S90" s="25"/>
      <c r="T90" s="53"/>
      <c r="U90" s="25"/>
      <c r="V90" s="5"/>
    </row>
    <row r="91" spans="1:22" ht="15.6" x14ac:dyDescent="0.3">
      <c r="A91" s="24"/>
      <c r="B91" s="25" t="s">
        <v>225</v>
      </c>
      <c r="C91" s="25"/>
      <c r="D91" s="25"/>
      <c r="E91" s="25"/>
      <c r="F91" s="25"/>
      <c r="G91" s="25"/>
      <c r="H91" s="40"/>
      <c r="I91" s="57"/>
      <c r="J91" s="40"/>
      <c r="K91" s="25"/>
      <c r="L91" s="127"/>
      <c r="M91" s="25"/>
      <c r="N91" s="25"/>
      <c r="O91" s="25"/>
      <c r="P91" s="25"/>
      <c r="Q91" s="25"/>
      <c r="R91" s="34"/>
      <c r="S91" s="25"/>
      <c r="T91" s="53">
        <f>4987+4972-545-430+18+14</f>
        <v>9016</v>
      </c>
      <c r="U91" s="25"/>
      <c r="V91" s="5"/>
    </row>
    <row r="92" spans="1:22" ht="15.6" x14ac:dyDescent="0.3">
      <c r="A92" s="24"/>
      <c r="B92" s="25" t="s">
        <v>220</v>
      </c>
      <c r="C92" s="25"/>
      <c r="D92" s="25"/>
      <c r="E92" s="25"/>
      <c r="F92" s="25"/>
      <c r="G92" s="25"/>
      <c r="H92" s="40"/>
      <c r="I92" s="57"/>
      <c r="J92" s="40"/>
      <c r="K92" s="25"/>
      <c r="L92" s="127"/>
      <c r="M92" s="25"/>
      <c r="N92" s="25"/>
      <c r="O92" s="25"/>
      <c r="P92" s="25"/>
      <c r="Q92" s="25"/>
      <c r="R92" s="34"/>
      <c r="S92" s="25"/>
      <c r="T92" s="53">
        <f>90+130</f>
        <v>220</v>
      </c>
      <c r="U92" s="25"/>
      <c r="V92" s="5"/>
    </row>
    <row r="93" spans="1:22" ht="15.6" x14ac:dyDescent="0.3">
      <c r="A93" s="24"/>
      <c r="B93" s="25" t="s">
        <v>221</v>
      </c>
      <c r="C93" s="25"/>
      <c r="D93" s="25"/>
      <c r="E93" s="25"/>
      <c r="F93" s="25"/>
      <c r="G93" s="25"/>
      <c r="H93" s="40"/>
      <c r="I93" s="57"/>
      <c r="J93" s="40"/>
      <c r="K93" s="25"/>
      <c r="L93" s="127"/>
      <c r="M93" s="25"/>
      <c r="N93" s="25"/>
      <c r="O93" s="25"/>
      <c r="P93" s="25"/>
      <c r="Q93" s="25"/>
      <c r="R93" s="34"/>
      <c r="S93" s="25"/>
      <c r="T93" s="53">
        <f>368</f>
        <v>368</v>
      </c>
      <c r="U93" s="25"/>
      <c r="V93" s="5"/>
    </row>
    <row r="94" spans="1:22" ht="15.6" x14ac:dyDescent="0.3">
      <c r="A94" s="24"/>
      <c r="B94" s="25" t="s">
        <v>261</v>
      </c>
      <c r="C94" s="25"/>
      <c r="D94" s="25"/>
      <c r="E94" s="25"/>
      <c r="F94" s="25"/>
      <c r="G94" s="25"/>
      <c r="H94" s="40"/>
      <c r="I94" s="57"/>
      <c r="J94" s="40"/>
      <c r="K94" s="25"/>
      <c r="L94" s="127"/>
      <c r="M94" s="25"/>
      <c r="N94" s="25"/>
      <c r="O94" s="25"/>
      <c r="P94" s="25"/>
      <c r="Q94" s="25"/>
      <c r="R94" s="34"/>
      <c r="S94" s="25"/>
      <c r="T94" s="53">
        <f>1460+6</f>
        <v>1466</v>
      </c>
      <c r="U94" s="25"/>
      <c r="V94" s="5"/>
    </row>
    <row r="95" spans="1:22" ht="15.6" x14ac:dyDescent="0.3">
      <c r="A95" s="24"/>
      <c r="B95" s="25" t="s">
        <v>141</v>
      </c>
      <c r="C95" s="25"/>
      <c r="D95" s="25"/>
      <c r="E95" s="25"/>
      <c r="F95" s="25"/>
      <c r="G95" s="25"/>
      <c r="H95" s="25"/>
      <c r="I95" s="25"/>
      <c r="J95" s="25"/>
      <c r="K95" s="25"/>
      <c r="L95" s="25"/>
      <c r="M95" s="25"/>
      <c r="N95" s="25"/>
      <c r="O95" s="25"/>
      <c r="P95" s="25"/>
      <c r="Q95" s="25"/>
      <c r="R95" s="34"/>
      <c r="S95" s="25"/>
      <c r="T95" s="53">
        <v>0</v>
      </c>
      <c r="U95" s="25"/>
      <c r="V95" s="5"/>
    </row>
    <row r="96" spans="1:22" ht="15.6" x14ac:dyDescent="0.3">
      <c r="A96" s="24"/>
      <c r="B96" s="25" t="s">
        <v>250</v>
      </c>
      <c r="C96" s="25"/>
      <c r="D96" s="25"/>
      <c r="E96" s="25"/>
      <c r="F96" s="25"/>
      <c r="G96" s="25"/>
      <c r="H96" s="25"/>
      <c r="I96" s="25"/>
      <c r="J96" s="25"/>
      <c r="K96" s="25"/>
      <c r="L96" s="25"/>
      <c r="M96" s="25"/>
      <c r="N96" s="25"/>
      <c r="O96" s="25"/>
      <c r="P96" s="25"/>
      <c r="Q96" s="25"/>
      <c r="R96" s="34"/>
      <c r="S96" s="25"/>
      <c r="T96" s="53">
        <v>1243</v>
      </c>
      <c r="U96" s="25"/>
      <c r="V96" s="5"/>
    </row>
    <row r="97" spans="1:24" ht="15.6" x14ac:dyDescent="0.3">
      <c r="A97" s="24"/>
      <c r="B97" s="25" t="s">
        <v>30</v>
      </c>
      <c r="C97" s="25"/>
      <c r="D97" s="25"/>
      <c r="E97" s="25"/>
      <c r="F97" s="25"/>
      <c r="G97" s="25"/>
      <c r="H97" s="25"/>
      <c r="I97" s="25"/>
      <c r="J97" s="25"/>
      <c r="K97" s="25"/>
      <c r="L97" s="25"/>
      <c r="M97" s="25"/>
      <c r="N97" s="25"/>
      <c r="O97" s="25"/>
      <c r="P97" s="25"/>
      <c r="Q97" s="25"/>
      <c r="R97" s="34">
        <f>SUM(R89:R96)</f>
        <v>12674</v>
      </c>
      <c r="S97" s="25"/>
      <c r="T97" s="54">
        <f>SUM(T89:T96)</f>
        <v>12313</v>
      </c>
      <c r="U97" s="25"/>
      <c r="V97" s="5"/>
    </row>
    <row r="98" spans="1:24" ht="15.6" x14ac:dyDescent="0.3">
      <c r="A98" s="24"/>
      <c r="B98" s="25" t="s">
        <v>168</v>
      </c>
      <c r="C98" s="25"/>
      <c r="D98" s="25"/>
      <c r="E98" s="25"/>
      <c r="F98" s="25"/>
      <c r="G98" s="25"/>
      <c r="H98" s="25"/>
      <c r="I98" s="25"/>
      <c r="J98" s="25"/>
      <c r="K98" s="25"/>
      <c r="L98" s="25"/>
      <c r="M98" s="25"/>
      <c r="N98" s="25"/>
      <c r="O98" s="25"/>
      <c r="P98" s="25"/>
      <c r="Q98" s="25"/>
      <c r="R98" s="34">
        <v>-46</v>
      </c>
      <c r="S98" s="25"/>
      <c r="T98" s="54">
        <f>-R98</f>
        <v>46</v>
      </c>
      <c r="U98" s="25"/>
      <c r="V98" s="5"/>
    </row>
    <row r="99" spans="1:24" ht="15.6" x14ac:dyDescent="0.3">
      <c r="A99" s="24"/>
      <c r="B99" s="25" t="s">
        <v>31</v>
      </c>
      <c r="C99" s="25"/>
      <c r="D99" s="25"/>
      <c r="E99" s="25"/>
      <c r="F99" s="25"/>
      <c r="G99" s="25"/>
      <c r="H99" s="25"/>
      <c r="I99" s="25"/>
      <c r="J99" s="25"/>
      <c r="K99" s="25"/>
      <c r="L99" s="25"/>
      <c r="M99" s="25"/>
      <c r="N99" s="25"/>
      <c r="O99" s="25"/>
      <c r="P99" s="25"/>
      <c r="Q99" s="25"/>
      <c r="R99" s="34">
        <f>-T99</f>
        <v>0</v>
      </c>
      <c r="S99" s="25"/>
      <c r="T99" s="53">
        <v>0</v>
      </c>
      <c r="U99" s="25"/>
      <c r="V99" s="5"/>
    </row>
    <row r="100" spans="1:24" ht="15.6" x14ac:dyDescent="0.3">
      <c r="A100" s="24"/>
      <c r="B100" s="25" t="s">
        <v>273</v>
      </c>
      <c r="C100" s="25"/>
      <c r="D100" s="25"/>
      <c r="E100" s="25"/>
      <c r="F100" s="25"/>
      <c r="G100" s="25"/>
      <c r="H100" s="25"/>
      <c r="I100" s="25"/>
      <c r="J100" s="25"/>
      <c r="K100" s="25"/>
      <c r="L100" s="25"/>
      <c r="M100" s="25"/>
      <c r="N100" s="25"/>
      <c r="O100" s="25"/>
      <c r="P100" s="25"/>
      <c r="Q100" s="25"/>
      <c r="R100" s="34"/>
      <c r="S100" s="25"/>
      <c r="T100" s="53">
        <v>-74</v>
      </c>
      <c r="U100" s="25"/>
      <c r="V100" s="5"/>
    </row>
    <row r="101" spans="1:24" ht="15.6" x14ac:dyDescent="0.3">
      <c r="A101" s="24"/>
      <c r="B101" s="25" t="s">
        <v>32</v>
      </c>
      <c r="C101" s="25"/>
      <c r="D101" s="25"/>
      <c r="E101" s="25"/>
      <c r="F101" s="25"/>
      <c r="G101" s="25"/>
      <c r="H101" s="25"/>
      <c r="I101" s="25"/>
      <c r="J101" s="25"/>
      <c r="K101" s="25"/>
      <c r="L101" s="25"/>
      <c r="M101" s="25"/>
      <c r="N101" s="25"/>
      <c r="O101" s="25"/>
      <c r="P101" s="25"/>
      <c r="Q101" s="25"/>
      <c r="R101" s="34">
        <f>R97+R99+R98</f>
        <v>12628</v>
      </c>
      <c r="S101" s="25"/>
      <c r="T101" s="54">
        <f>T97+T99+T98+T100</f>
        <v>12285</v>
      </c>
      <c r="U101" s="25"/>
      <c r="V101" s="5"/>
    </row>
    <row r="102" spans="1:24" ht="15.6" x14ac:dyDescent="0.3">
      <c r="A102" s="24"/>
      <c r="B102" s="118" t="s">
        <v>33</v>
      </c>
      <c r="C102" s="25"/>
      <c r="D102" s="25"/>
      <c r="E102" s="25"/>
      <c r="F102" s="25"/>
      <c r="G102" s="25"/>
      <c r="H102" s="25"/>
      <c r="I102" s="25"/>
      <c r="J102" s="25"/>
      <c r="K102" s="25"/>
      <c r="L102" s="25"/>
      <c r="M102" s="25"/>
      <c r="N102" s="25"/>
      <c r="O102" s="25"/>
      <c r="P102" s="25"/>
      <c r="Q102" s="25"/>
      <c r="R102" s="34"/>
      <c r="S102" s="25"/>
      <c r="T102" s="53"/>
      <c r="U102" s="25"/>
      <c r="V102" s="5"/>
    </row>
    <row r="103" spans="1:24" ht="15.6" x14ac:dyDescent="0.3">
      <c r="A103" s="24">
        <v>1</v>
      </c>
      <c r="B103" s="25" t="s">
        <v>34</v>
      </c>
      <c r="C103" s="25"/>
      <c r="D103" s="25"/>
      <c r="E103" s="25"/>
      <c r="F103" s="25"/>
      <c r="G103" s="25"/>
      <c r="H103" s="25"/>
      <c r="I103" s="25"/>
      <c r="J103" s="25"/>
      <c r="K103" s="25"/>
      <c r="L103" s="25"/>
      <c r="M103" s="25"/>
      <c r="N103" s="25"/>
      <c r="O103" s="25"/>
      <c r="P103" s="25"/>
      <c r="Q103" s="25"/>
      <c r="R103" s="25"/>
      <c r="S103" s="25"/>
      <c r="T103" s="53">
        <v>0</v>
      </c>
      <c r="U103" s="25"/>
      <c r="V103" s="5"/>
    </row>
    <row r="104" spans="1:24" ht="15.6" x14ac:dyDescent="0.3">
      <c r="A104" s="24">
        <f>+A103+1</f>
        <v>2</v>
      </c>
      <c r="B104" s="25" t="s">
        <v>255</v>
      </c>
      <c r="C104" s="25"/>
      <c r="D104" s="25"/>
      <c r="E104" s="25"/>
      <c r="F104" s="25"/>
      <c r="G104" s="25"/>
      <c r="H104" s="25"/>
      <c r="I104" s="25"/>
      <c r="J104" s="25"/>
      <c r="K104" s="25"/>
      <c r="L104" s="25"/>
      <c r="M104" s="25"/>
      <c r="N104" s="25"/>
      <c r="O104" s="25"/>
      <c r="P104" s="25"/>
      <c r="Q104" s="25"/>
      <c r="R104" s="25"/>
      <c r="S104" s="25"/>
      <c r="T104" s="53">
        <v>-2</v>
      </c>
      <c r="U104" s="25"/>
      <c r="V104" s="5"/>
    </row>
    <row r="105" spans="1:24" ht="15.6" x14ac:dyDescent="0.3">
      <c r="A105" s="24">
        <f>+A104+1</f>
        <v>3</v>
      </c>
      <c r="B105" s="25" t="s">
        <v>213</v>
      </c>
      <c r="C105" s="25"/>
      <c r="D105" s="25"/>
      <c r="E105" s="25"/>
      <c r="F105" s="25"/>
      <c r="G105" s="25"/>
      <c r="H105" s="25"/>
      <c r="I105" s="25"/>
      <c r="J105" s="25"/>
      <c r="K105" s="25"/>
      <c r="L105" s="25"/>
      <c r="M105" s="25"/>
      <c r="N105" s="25"/>
      <c r="O105" s="25"/>
      <c r="P105" s="25"/>
      <c r="Q105" s="25"/>
      <c r="R105" s="25"/>
      <c r="S105" s="25"/>
      <c r="T105" s="53">
        <f>-243-67-8</f>
        <v>-318</v>
      </c>
      <c r="U105" s="25"/>
      <c r="V105" s="5"/>
    </row>
    <row r="106" spans="1:24" ht="15.6" x14ac:dyDescent="0.3">
      <c r="A106" s="24" t="s">
        <v>133</v>
      </c>
      <c r="B106" s="25" t="s">
        <v>122</v>
      </c>
      <c r="C106" s="25"/>
      <c r="D106" s="25"/>
      <c r="E106" s="25"/>
      <c r="F106" s="25"/>
      <c r="G106" s="25"/>
      <c r="H106" s="25"/>
      <c r="I106" s="25"/>
      <c r="J106" s="25"/>
      <c r="K106" s="25"/>
      <c r="L106" s="25"/>
      <c r="M106" s="25"/>
      <c r="N106" s="25"/>
      <c r="O106" s="25"/>
      <c r="P106" s="25"/>
      <c r="Q106" s="25"/>
      <c r="R106" s="25"/>
      <c r="S106" s="25"/>
      <c r="T106" s="53">
        <v>0</v>
      </c>
      <c r="U106" s="25"/>
      <c r="V106" s="5"/>
    </row>
    <row r="107" spans="1:24" ht="15.6" x14ac:dyDescent="0.3">
      <c r="A107" s="24" t="s">
        <v>134</v>
      </c>
      <c r="B107" s="25" t="s">
        <v>194</v>
      </c>
      <c r="C107" s="25"/>
      <c r="D107" s="25"/>
      <c r="E107" s="25"/>
      <c r="F107" s="25"/>
      <c r="G107" s="25"/>
      <c r="H107" s="25"/>
      <c r="I107" s="25"/>
      <c r="J107" s="25"/>
      <c r="K107" s="25"/>
      <c r="L107" s="25"/>
      <c r="M107" s="25"/>
      <c r="N107" s="25"/>
      <c r="O107" s="25"/>
      <c r="P107" s="25"/>
      <c r="Q107" s="25"/>
      <c r="R107" s="25"/>
      <c r="S107" s="25"/>
      <c r="T107" s="53">
        <f>-8130+1401</f>
        <v>-6729</v>
      </c>
      <c r="U107" s="25"/>
      <c r="V107" s="5"/>
      <c r="W107" s="109"/>
    </row>
    <row r="108" spans="1:24" ht="15.6" x14ac:dyDescent="0.3">
      <c r="A108" s="24" t="s">
        <v>156</v>
      </c>
      <c r="B108" s="25" t="s">
        <v>191</v>
      </c>
      <c r="C108" s="25"/>
      <c r="D108" s="25"/>
      <c r="E108" s="25"/>
      <c r="F108" s="25"/>
      <c r="G108" s="25"/>
      <c r="H108" s="25"/>
      <c r="I108" s="25"/>
      <c r="J108" s="25"/>
      <c r="K108" s="25"/>
      <c r="L108" s="25"/>
      <c r="M108" s="25"/>
      <c r="N108" s="25"/>
      <c r="O108" s="25"/>
      <c r="P108" s="25"/>
      <c r="Q108" s="25"/>
      <c r="R108" s="25"/>
      <c r="S108" s="25"/>
      <c r="T108" s="53">
        <v>-1401</v>
      </c>
      <c r="U108" s="25"/>
      <c r="V108" s="5"/>
      <c r="W108" s="109"/>
    </row>
    <row r="109" spans="1:24" ht="15.6" x14ac:dyDescent="0.3">
      <c r="A109" s="24" t="s">
        <v>214</v>
      </c>
      <c r="B109" s="25" t="s">
        <v>192</v>
      </c>
      <c r="C109" s="25"/>
      <c r="D109" s="25"/>
      <c r="E109" s="25"/>
      <c r="F109" s="25"/>
      <c r="G109" s="25"/>
      <c r="H109" s="25"/>
      <c r="I109" s="25"/>
      <c r="J109" s="25"/>
      <c r="K109" s="25"/>
      <c r="L109" s="25"/>
      <c r="M109" s="25"/>
      <c r="N109" s="25"/>
      <c r="O109" s="25"/>
      <c r="P109" s="25"/>
      <c r="Q109" s="25"/>
      <c r="R109" s="25"/>
      <c r="S109" s="25"/>
      <c r="T109" s="53">
        <v>-921</v>
      </c>
      <c r="U109" s="25"/>
      <c r="V109" s="5"/>
      <c r="W109" s="109"/>
      <c r="X109" s="109"/>
    </row>
    <row r="110" spans="1:24" ht="15.6" x14ac:dyDescent="0.3">
      <c r="A110" s="24" t="s">
        <v>215</v>
      </c>
      <c r="B110" s="25" t="s">
        <v>193</v>
      </c>
      <c r="C110" s="25"/>
      <c r="D110" s="25"/>
      <c r="E110" s="25"/>
      <c r="F110" s="25"/>
      <c r="G110" s="25"/>
      <c r="H110" s="25"/>
      <c r="I110" s="25"/>
      <c r="J110" s="25"/>
      <c r="K110" s="25"/>
      <c r="L110" s="25"/>
      <c r="M110" s="25"/>
      <c r="N110" s="25"/>
      <c r="O110" s="25"/>
      <c r="P110" s="25"/>
      <c r="Q110" s="25"/>
      <c r="R110" s="25"/>
      <c r="S110" s="25"/>
      <c r="T110" s="53">
        <v>-260</v>
      </c>
      <c r="U110" s="25"/>
      <c r="V110" s="169"/>
      <c r="W110" s="109"/>
    </row>
    <row r="111" spans="1:24" ht="15.6" x14ac:dyDescent="0.3">
      <c r="A111" s="24" t="s">
        <v>216</v>
      </c>
      <c r="B111" s="25" t="s">
        <v>204</v>
      </c>
      <c r="C111" s="25"/>
      <c r="D111" s="25"/>
      <c r="E111" s="25"/>
      <c r="F111" s="25"/>
      <c r="G111" s="25"/>
      <c r="H111" s="25"/>
      <c r="I111" s="25"/>
      <c r="J111" s="25"/>
      <c r="K111" s="25"/>
      <c r="L111" s="25"/>
      <c r="M111" s="25"/>
      <c r="N111" s="25"/>
      <c r="O111" s="25"/>
      <c r="P111" s="25"/>
      <c r="Q111" s="25"/>
      <c r="R111" s="25"/>
      <c r="S111" s="25"/>
      <c r="T111" s="53">
        <v>-1014</v>
      </c>
      <c r="U111" s="25"/>
      <c r="V111" s="5"/>
      <c r="W111" s="109"/>
    </row>
    <row r="112" spans="1:24" ht="15.6" x14ac:dyDescent="0.3">
      <c r="A112" s="24">
        <v>7</v>
      </c>
      <c r="B112" s="25" t="s">
        <v>35</v>
      </c>
      <c r="C112" s="25"/>
      <c r="D112" s="25"/>
      <c r="E112" s="25"/>
      <c r="F112" s="25"/>
      <c r="G112" s="25"/>
      <c r="H112" s="25"/>
      <c r="I112" s="25"/>
      <c r="J112" s="25"/>
      <c r="K112" s="25"/>
      <c r="L112" s="25"/>
      <c r="M112" s="25"/>
      <c r="N112" s="25"/>
      <c r="O112" s="25"/>
      <c r="P112" s="25"/>
      <c r="Q112" s="25"/>
      <c r="R112" s="25"/>
      <c r="S112" s="25"/>
      <c r="T112" s="53">
        <v>-10</v>
      </c>
      <c r="U112" s="25"/>
      <c r="V112" s="5"/>
    </row>
    <row r="113" spans="1:22" ht="15.6" x14ac:dyDescent="0.3">
      <c r="A113" s="24">
        <f t="shared" ref="A113:A118" si="0">+A112+1</f>
        <v>8</v>
      </c>
      <c r="B113" s="25" t="s">
        <v>46</v>
      </c>
      <c r="C113" s="25"/>
      <c r="D113" s="25"/>
      <c r="E113" s="25"/>
      <c r="F113" s="25"/>
      <c r="G113" s="25"/>
      <c r="H113" s="25"/>
      <c r="I113" s="25"/>
      <c r="J113" s="25"/>
      <c r="K113" s="25"/>
      <c r="L113" s="25"/>
      <c r="M113" s="25"/>
      <c r="N113" s="25"/>
      <c r="O113" s="25"/>
      <c r="P113" s="25"/>
      <c r="Q113" s="25"/>
      <c r="R113" s="34">
        <f>-T113</f>
        <v>9</v>
      </c>
      <c r="S113" s="25"/>
      <c r="T113" s="53">
        <v>-9</v>
      </c>
      <c r="U113" s="25"/>
      <c r="V113" s="5"/>
    </row>
    <row r="114" spans="1:22" ht="15.6" x14ac:dyDescent="0.3">
      <c r="A114" s="24">
        <f t="shared" si="0"/>
        <v>9</v>
      </c>
      <c r="B114" s="25" t="s">
        <v>131</v>
      </c>
      <c r="C114" s="25"/>
      <c r="D114" s="25"/>
      <c r="E114" s="25"/>
      <c r="F114" s="25"/>
      <c r="G114" s="25"/>
      <c r="H114" s="25"/>
      <c r="I114" s="25"/>
      <c r="J114" s="25"/>
      <c r="K114" s="25"/>
      <c r="L114" s="25"/>
      <c r="M114" s="25"/>
      <c r="N114" s="25"/>
      <c r="O114" s="25"/>
      <c r="P114" s="25"/>
      <c r="Q114" s="25"/>
      <c r="R114" s="25"/>
      <c r="S114" s="25"/>
      <c r="T114" s="53">
        <v>0</v>
      </c>
      <c r="U114" s="25"/>
      <c r="V114" s="5"/>
    </row>
    <row r="115" spans="1:22" ht="15.6" x14ac:dyDescent="0.3">
      <c r="A115" s="24">
        <f t="shared" si="0"/>
        <v>10</v>
      </c>
      <c r="B115" s="25" t="s">
        <v>36</v>
      </c>
      <c r="C115" s="25"/>
      <c r="D115" s="25"/>
      <c r="E115" s="25"/>
      <c r="F115" s="25"/>
      <c r="G115" s="25"/>
      <c r="H115" s="25"/>
      <c r="I115" s="25"/>
      <c r="J115" s="25"/>
      <c r="K115" s="25"/>
      <c r="L115" s="25"/>
      <c r="M115" s="25"/>
      <c r="N115" s="25"/>
      <c r="O115" s="25"/>
      <c r="P115" s="25"/>
      <c r="Q115" s="25"/>
      <c r="R115" s="25"/>
      <c r="S115" s="25"/>
      <c r="T115" s="53">
        <v>0</v>
      </c>
      <c r="U115" s="25"/>
      <c r="V115" s="5"/>
    </row>
    <row r="116" spans="1:22" ht="15.6" x14ac:dyDescent="0.3">
      <c r="A116" s="24">
        <f t="shared" si="0"/>
        <v>11</v>
      </c>
      <c r="B116" s="25" t="s">
        <v>37</v>
      </c>
      <c r="C116" s="25"/>
      <c r="D116" s="25"/>
      <c r="E116" s="25"/>
      <c r="F116" s="25"/>
      <c r="G116" s="25"/>
      <c r="H116" s="25"/>
      <c r="I116" s="25"/>
      <c r="J116" s="25"/>
      <c r="K116" s="25"/>
      <c r="L116" s="25"/>
      <c r="M116" s="25"/>
      <c r="N116" s="25"/>
      <c r="O116" s="25"/>
      <c r="P116" s="25"/>
      <c r="Q116" s="25"/>
      <c r="R116" s="25"/>
      <c r="S116" s="25"/>
      <c r="T116" s="53">
        <v>0</v>
      </c>
      <c r="U116" s="25"/>
      <c r="V116" s="5"/>
    </row>
    <row r="117" spans="1:22" ht="15.6" x14ac:dyDescent="0.3">
      <c r="A117" s="24">
        <f t="shared" si="0"/>
        <v>12</v>
      </c>
      <c r="B117" s="25" t="s">
        <v>155</v>
      </c>
      <c r="C117" s="25"/>
      <c r="D117" s="25"/>
      <c r="E117" s="25"/>
      <c r="F117" s="25"/>
      <c r="G117" s="25"/>
      <c r="H117" s="25"/>
      <c r="I117" s="25"/>
      <c r="J117" s="25"/>
      <c r="K117" s="25"/>
      <c r="L117" s="25"/>
      <c r="M117" s="25"/>
      <c r="N117" s="25"/>
      <c r="O117" s="25"/>
      <c r="P117" s="25"/>
      <c r="Q117" s="25"/>
      <c r="R117" s="25"/>
      <c r="S117" s="25"/>
      <c r="T117" s="53">
        <v>-243</v>
      </c>
      <c r="U117" s="25"/>
      <c r="V117" s="5"/>
    </row>
    <row r="118" spans="1:22" ht="15.6" x14ac:dyDescent="0.3">
      <c r="A118" s="24">
        <f t="shared" si="0"/>
        <v>13</v>
      </c>
      <c r="B118" s="25" t="s">
        <v>132</v>
      </c>
      <c r="C118" s="25"/>
      <c r="D118" s="25"/>
      <c r="E118" s="25"/>
      <c r="F118" s="25"/>
      <c r="G118" s="25"/>
      <c r="H118" s="25"/>
      <c r="I118" s="25"/>
      <c r="J118" s="25"/>
      <c r="K118" s="25"/>
      <c r="L118" s="25"/>
      <c r="M118" s="25"/>
      <c r="N118" s="25"/>
      <c r="O118" s="25"/>
      <c r="P118" s="25"/>
      <c r="Q118" s="25"/>
      <c r="R118" s="25"/>
      <c r="S118" s="25"/>
      <c r="T118" s="53">
        <f>-T101-SUM(T103:T117)</f>
        <v>-1378</v>
      </c>
      <c r="U118" s="25"/>
      <c r="V118" s="5"/>
    </row>
    <row r="119" spans="1:22" ht="15.6" x14ac:dyDescent="0.3">
      <c r="A119" s="24"/>
      <c r="B119" s="118" t="s">
        <v>38</v>
      </c>
      <c r="C119" s="25"/>
      <c r="D119" s="25"/>
      <c r="E119" s="25"/>
      <c r="F119" s="25"/>
      <c r="G119" s="25"/>
      <c r="H119" s="25"/>
      <c r="I119" s="25"/>
      <c r="J119" s="25"/>
      <c r="K119" s="25"/>
      <c r="L119" s="25"/>
      <c r="M119" s="25"/>
      <c r="N119" s="25"/>
      <c r="O119" s="25"/>
      <c r="P119" s="25"/>
      <c r="Q119" s="25"/>
      <c r="R119" s="25"/>
      <c r="S119" s="25"/>
      <c r="T119" s="59"/>
      <c r="U119" s="25"/>
      <c r="V119" s="5"/>
    </row>
    <row r="120" spans="1:22" ht="15.6" x14ac:dyDescent="0.3">
      <c r="A120" s="24"/>
      <c r="B120" s="25" t="s">
        <v>180</v>
      </c>
      <c r="C120" s="25"/>
      <c r="D120" s="25"/>
      <c r="E120" s="25"/>
      <c r="F120" s="25"/>
      <c r="G120" s="25"/>
      <c r="H120" s="25"/>
      <c r="I120" s="25"/>
      <c r="J120" s="25"/>
      <c r="K120" s="25"/>
      <c r="L120" s="25"/>
      <c r="M120" s="25"/>
      <c r="N120" s="25"/>
      <c r="O120" s="25"/>
      <c r="P120" s="25"/>
      <c r="Q120" s="25"/>
      <c r="R120" s="34">
        <f>-R177</f>
        <v>-58</v>
      </c>
      <c r="S120" s="34"/>
      <c r="T120" s="53"/>
      <c r="U120" s="25"/>
      <c r="V120" s="5"/>
    </row>
    <row r="121" spans="1:22" ht="15.6" x14ac:dyDescent="0.3">
      <c r="A121" s="24"/>
      <c r="B121" s="25" t="s">
        <v>181</v>
      </c>
      <c r="C121" s="25"/>
      <c r="D121" s="25"/>
      <c r="E121" s="25"/>
      <c r="F121" s="25"/>
      <c r="G121" s="25"/>
      <c r="H121" s="25"/>
      <c r="I121" s="25"/>
      <c r="J121" s="25"/>
      <c r="K121" s="25"/>
      <c r="L121" s="25"/>
      <c r="M121" s="25"/>
      <c r="N121" s="25"/>
      <c r="O121" s="25"/>
      <c r="P121" s="25"/>
      <c r="Q121" s="25"/>
      <c r="R121" s="34">
        <v>-57</v>
      </c>
      <c r="S121" s="34"/>
      <c r="T121" s="53"/>
      <c r="U121" s="25"/>
      <c r="V121" s="5"/>
    </row>
    <row r="122" spans="1:22" ht="15.6" x14ac:dyDescent="0.3">
      <c r="A122" s="24"/>
      <c r="B122" s="25" t="s">
        <v>39</v>
      </c>
      <c r="C122" s="25"/>
      <c r="D122" s="25"/>
      <c r="E122" s="25"/>
      <c r="F122" s="25"/>
      <c r="G122" s="25"/>
      <c r="H122" s="25"/>
      <c r="I122" s="25"/>
      <c r="J122" s="25"/>
      <c r="K122" s="25"/>
      <c r="L122" s="25"/>
      <c r="M122" s="25"/>
      <c r="N122" s="25"/>
      <c r="O122" s="25"/>
      <c r="P122" s="25"/>
      <c r="Q122" s="25"/>
      <c r="R122" s="34">
        <f>-Q177</f>
        <v>-496</v>
      </c>
      <c r="S122" s="34"/>
      <c r="T122" s="53"/>
      <c r="U122" s="25"/>
      <c r="V122" s="5"/>
    </row>
    <row r="123" spans="1:22" ht="15.6" x14ac:dyDescent="0.3">
      <c r="A123" s="24"/>
      <c r="B123" s="25" t="s">
        <v>205</v>
      </c>
      <c r="C123" s="25"/>
      <c r="D123" s="25"/>
      <c r="E123" s="25"/>
      <c r="F123" s="25"/>
      <c r="G123" s="25"/>
      <c r="H123" s="25"/>
      <c r="I123" s="25"/>
      <c r="J123" s="25"/>
      <c r="K123" s="25"/>
      <c r="L123" s="25"/>
      <c r="M123" s="25"/>
      <c r="N123" s="25"/>
      <c r="O123" s="25"/>
      <c r="P123" s="25"/>
      <c r="Q123" s="25"/>
      <c r="R123" s="34">
        <v>-7864</v>
      </c>
      <c r="S123" s="34"/>
      <c r="T123" s="53"/>
      <c r="U123" s="25"/>
      <c r="V123" s="5"/>
    </row>
    <row r="124" spans="1:22" ht="15.6" x14ac:dyDescent="0.3">
      <c r="A124" s="24"/>
      <c r="B124" s="25" t="s">
        <v>203</v>
      </c>
      <c r="C124" s="25"/>
      <c r="D124" s="25"/>
      <c r="E124" s="25"/>
      <c r="F124" s="25"/>
      <c r="G124" s="25"/>
      <c r="H124" s="25"/>
      <c r="I124" s="25"/>
      <c r="J124" s="25"/>
      <c r="K124" s="25"/>
      <c r="L124" s="25"/>
      <c r="M124" s="25"/>
      <c r="N124" s="25"/>
      <c r="O124" s="25"/>
      <c r="P124" s="25"/>
      <c r="Q124" s="25"/>
      <c r="R124" s="34">
        <v>-2073</v>
      </c>
      <c r="S124" s="34"/>
      <c r="T124" s="53"/>
      <c r="U124" s="25"/>
      <c r="V124" s="5"/>
    </row>
    <row r="125" spans="1:22" ht="15.6" x14ac:dyDescent="0.3">
      <c r="A125" s="24"/>
      <c r="B125" s="25" t="s">
        <v>202</v>
      </c>
      <c r="C125" s="25"/>
      <c r="D125" s="25"/>
      <c r="E125" s="25"/>
      <c r="F125" s="25"/>
      <c r="G125" s="25"/>
      <c r="H125" s="25"/>
      <c r="I125" s="25"/>
      <c r="J125" s="25"/>
      <c r="K125" s="25"/>
      <c r="L125" s="25"/>
      <c r="M125" s="25"/>
      <c r="N125" s="25"/>
      <c r="O125" s="25"/>
      <c r="P125" s="25"/>
      <c r="Q125" s="25"/>
      <c r="R125" s="34">
        <v>-2089</v>
      </c>
      <c r="S125" s="34"/>
      <c r="T125" s="53"/>
      <c r="U125" s="25"/>
      <c r="V125" s="5"/>
    </row>
    <row r="126" spans="1:22" ht="15.6" x14ac:dyDescent="0.3">
      <c r="A126" s="24"/>
      <c r="B126" s="25" t="s">
        <v>197</v>
      </c>
      <c r="C126" s="25"/>
      <c r="D126" s="25"/>
      <c r="E126" s="25"/>
      <c r="F126" s="25"/>
      <c r="G126" s="25"/>
      <c r="H126" s="25"/>
      <c r="I126" s="25"/>
      <c r="J126" s="25"/>
      <c r="K126" s="25"/>
      <c r="L126" s="25"/>
      <c r="M126" s="25"/>
      <c r="N126" s="25"/>
      <c r="O126" s="25"/>
      <c r="P126" s="25"/>
      <c r="Q126" s="25"/>
      <c r="R126" s="34">
        <v>0</v>
      </c>
      <c r="S126" s="34"/>
      <c r="T126" s="53"/>
      <c r="U126" s="25"/>
      <c r="V126" s="5"/>
    </row>
    <row r="127" spans="1:22" ht="15.6" x14ac:dyDescent="0.3">
      <c r="A127" s="24"/>
      <c r="B127" s="25" t="s">
        <v>196</v>
      </c>
      <c r="C127" s="25"/>
      <c r="D127" s="25"/>
      <c r="E127" s="25"/>
      <c r="F127" s="25"/>
      <c r="G127" s="25"/>
      <c r="H127" s="25"/>
      <c r="I127" s="25"/>
      <c r="J127" s="25"/>
      <c r="K127" s="25"/>
      <c r="L127" s="25"/>
      <c r="M127" s="25"/>
      <c r="N127" s="25"/>
      <c r="O127" s="25"/>
      <c r="P127" s="25"/>
      <c r="Q127" s="25"/>
      <c r="R127" s="34">
        <v>0</v>
      </c>
      <c r="S127" s="34"/>
      <c r="T127" s="53"/>
      <c r="U127" s="25"/>
      <c r="V127" s="5"/>
    </row>
    <row r="128" spans="1:22" ht="15.6" x14ac:dyDescent="0.3">
      <c r="A128" s="24"/>
      <c r="B128" s="25" t="s">
        <v>195</v>
      </c>
      <c r="C128" s="25"/>
      <c r="D128" s="25"/>
      <c r="E128" s="25"/>
      <c r="F128" s="25"/>
      <c r="G128" s="25"/>
      <c r="H128" s="25"/>
      <c r="I128" s="25"/>
      <c r="J128" s="25"/>
      <c r="K128" s="25"/>
      <c r="L128" s="25"/>
      <c r="M128" s="25"/>
      <c r="N128" s="25"/>
      <c r="O128" s="25"/>
      <c r="P128" s="25"/>
      <c r="Q128" s="25"/>
      <c r="R128" s="34">
        <v>0</v>
      </c>
      <c r="S128" s="34"/>
      <c r="T128" s="53"/>
      <c r="U128" s="25"/>
      <c r="V128" s="5"/>
    </row>
    <row r="129" spans="1:22" ht="15.6" x14ac:dyDescent="0.3">
      <c r="A129" s="24"/>
      <c r="B129" s="25" t="s">
        <v>40</v>
      </c>
      <c r="C129" s="25"/>
      <c r="D129" s="25"/>
      <c r="E129" s="25"/>
      <c r="F129" s="25"/>
      <c r="G129" s="25"/>
      <c r="H129" s="25"/>
      <c r="I129" s="25"/>
      <c r="J129" s="25"/>
      <c r="K129" s="25"/>
      <c r="L129" s="25"/>
      <c r="M129" s="25"/>
      <c r="N129" s="25"/>
      <c r="O129" s="25"/>
      <c r="P129" s="25"/>
      <c r="Q129" s="25"/>
      <c r="R129" s="34">
        <f>SUM(R120:R128)</f>
        <v>-12637</v>
      </c>
      <c r="S129" s="34"/>
      <c r="T129" s="34">
        <f>SUM(T102:T127)</f>
        <v>-12285</v>
      </c>
      <c r="U129" s="25"/>
      <c r="V129" s="5"/>
    </row>
    <row r="130" spans="1:22" ht="15.6" x14ac:dyDescent="0.3">
      <c r="A130" s="24"/>
      <c r="B130" s="25" t="s">
        <v>41</v>
      </c>
      <c r="C130" s="25"/>
      <c r="D130" s="25"/>
      <c r="E130" s="25"/>
      <c r="F130" s="25"/>
      <c r="G130" s="25"/>
      <c r="H130" s="25"/>
      <c r="I130" s="25"/>
      <c r="J130" s="25"/>
      <c r="K130" s="25"/>
      <c r="L130" s="25"/>
      <c r="M130" s="25"/>
      <c r="N130" s="25"/>
      <c r="O130" s="25"/>
      <c r="P130" s="25"/>
      <c r="Q130" s="25"/>
      <c r="R130" s="34">
        <f>R101+R129+R113</f>
        <v>0</v>
      </c>
      <c r="S130" s="34"/>
      <c r="T130" s="34">
        <f>T101+T129</f>
        <v>0</v>
      </c>
      <c r="U130" s="25"/>
      <c r="V130" s="5"/>
    </row>
    <row r="131" spans="1:22" ht="15.6" x14ac:dyDescent="0.3">
      <c r="A131" s="24"/>
      <c r="B131" s="25"/>
      <c r="C131" s="25"/>
      <c r="D131" s="25"/>
      <c r="E131" s="25"/>
      <c r="F131" s="25"/>
      <c r="G131" s="25"/>
      <c r="H131" s="25"/>
      <c r="I131" s="25"/>
      <c r="J131" s="25"/>
      <c r="K131" s="25"/>
      <c r="L131" s="25"/>
      <c r="M131" s="25"/>
      <c r="N131" s="25"/>
      <c r="O131" s="25"/>
      <c r="P131" s="25"/>
      <c r="Q131" s="25"/>
      <c r="R131" s="34"/>
      <c r="S131" s="34"/>
      <c r="T131" s="34"/>
      <c r="U131" s="25"/>
      <c r="V131" s="5"/>
    </row>
    <row r="132" spans="1:22" ht="15.6" x14ac:dyDescent="0.3">
      <c r="A132" s="6"/>
      <c r="B132" s="8"/>
      <c r="C132" s="8"/>
      <c r="D132" s="8"/>
      <c r="E132" s="8"/>
      <c r="F132" s="8"/>
      <c r="G132" s="8"/>
      <c r="H132" s="8"/>
      <c r="I132" s="8"/>
      <c r="J132" s="8"/>
      <c r="K132" s="8"/>
      <c r="L132" s="8"/>
      <c r="M132" s="8"/>
      <c r="N132" s="8"/>
      <c r="O132" s="8"/>
      <c r="P132" s="8"/>
      <c r="Q132" s="8"/>
      <c r="R132" s="8"/>
      <c r="S132" s="8"/>
      <c r="T132" s="52"/>
      <c r="U132" s="8"/>
      <c r="V132" s="5"/>
    </row>
    <row r="133" spans="1:22" ht="18" thickBot="1" x14ac:dyDescent="0.35">
      <c r="A133" s="101"/>
      <c r="B133" s="102" t="str">
        <f>B64</f>
        <v>PM11 INVESTOR REPORT QUARTER ENDING DECEMBER 2008</v>
      </c>
      <c r="C133" s="103"/>
      <c r="D133" s="103"/>
      <c r="E133" s="103"/>
      <c r="F133" s="103"/>
      <c r="G133" s="103"/>
      <c r="H133" s="103"/>
      <c r="I133" s="103"/>
      <c r="J133" s="103"/>
      <c r="K133" s="103"/>
      <c r="L133" s="103"/>
      <c r="M133" s="103"/>
      <c r="N133" s="103"/>
      <c r="O133" s="103"/>
      <c r="P133" s="103"/>
      <c r="Q133" s="103"/>
      <c r="R133" s="103"/>
      <c r="S133" s="103"/>
      <c r="T133" s="106"/>
      <c r="U133" s="105"/>
      <c r="V133" s="5"/>
    </row>
    <row r="134" spans="1:22" ht="15.6" x14ac:dyDescent="0.3">
      <c r="A134" s="2"/>
      <c r="B134" s="60" t="s">
        <v>42</v>
      </c>
      <c r="C134" s="4"/>
      <c r="D134" s="4"/>
      <c r="E134" s="4"/>
      <c r="F134" s="4"/>
      <c r="G134" s="4"/>
      <c r="H134" s="4"/>
      <c r="I134" s="4"/>
      <c r="J134" s="4"/>
      <c r="K134" s="4"/>
      <c r="L134" s="4"/>
      <c r="M134" s="4"/>
      <c r="N134" s="4"/>
      <c r="O134" s="4"/>
      <c r="P134" s="4"/>
      <c r="Q134" s="4"/>
      <c r="R134" s="4"/>
      <c r="S134" s="4"/>
      <c r="T134" s="50"/>
      <c r="U134" s="4"/>
      <c r="V134" s="5"/>
    </row>
    <row r="135" spans="1:22" ht="15.6" x14ac:dyDescent="0.3">
      <c r="A135" s="6"/>
      <c r="B135" s="21"/>
      <c r="C135" s="8"/>
      <c r="D135" s="8"/>
      <c r="E135" s="8"/>
      <c r="F135" s="8"/>
      <c r="G135" s="8"/>
      <c r="H135" s="8"/>
      <c r="I135" s="8"/>
      <c r="J135" s="8"/>
      <c r="K135" s="8"/>
      <c r="L135" s="8"/>
      <c r="M135" s="8"/>
      <c r="N135" s="8"/>
      <c r="O135" s="8"/>
      <c r="P135" s="8"/>
      <c r="Q135" s="8"/>
      <c r="R135" s="8"/>
      <c r="S135" s="8"/>
      <c r="T135" s="52"/>
      <c r="U135" s="8"/>
      <c r="V135" s="5"/>
    </row>
    <row r="136" spans="1:22" ht="15.6" x14ac:dyDescent="0.3">
      <c r="A136" s="6"/>
      <c r="B136" s="119" t="s">
        <v>43</v>
      </c>
      <c r="C136" s="8"/>
      <c r="D136" s="8"/>
      <c r="E136" s="8"/>
      <c r="F136" s="8"/>
      <c r="G136" s="8"/>
      <c r="H136" s="8"/>
      <c r="I136" s="8"/>
      <c r="J136" s="8"/>
      <c r="K136" s="8"/>
      <c r="L136" s="8"/>
      <c r="M136" s="8"/>
      <c r="N136" s="8"/>
      <c r="O136" s="8"/>
      <c r="P136" s="8"/>
      <c r="Q136" s="8"/>
      <c r="R136" s="8"/>
      <c r="S136" s="8"/>
      <c r="T136" s="52"/>
      <c r="U136" s="8"/>
      <c r="V136" s="5"/>
    </row>
    <row r="137" spans="1:22" ht="15.6" x14ac:dyDescent="0.3">
      <c r="A137" s="24"/>
      <c r="B137" s="25" t="s">
        <v>44</v>
      </c>
      <c r="C137" s="25"/>
      <c r="D137" s="25"/>
      <c r="E137" s="25"/>
      <c r="F137" s="25"/>
      <c r="G137" s="25"/>
      <c r="H137" s="25"/>
      <c r="I137" s="25"/>
      <c r="J137" s="25"/>
      <c r="K137" s="25"/>
      <c r="L137" s="25"/>
      <c r="M137" s="25"/>
      <c r="N137" s="25"/>
      <c r="O137" s="25"/>
      <c r="P137" s="25"/>
      <c r="Q137" s="25"/>
      <c r="R137" s="25"/>
      <c r="S137" s="25"/>
      <c r="T137" s="53">
        <f>+T34*0.019</f>
        <v>19000.95</v>
      </c>
      <c r="U137" s="25"/>
      <c r="V137" s="5"/>
    </row>
    <row r="138" spans="1:22" ht="15.6" x14ac:dyDescent="0.3">
      <c r="A138" s="24"/>
      <c r="B138" s="25" t="s">
        <v>45</v>
      </c>
      <c r="C138" s="25"/>
      <c r="D138" s="25"/>
      <c r="E138" s="25"/>
      <c r="F138" s="25"/>
      <c r="G138" s="25"/>
      <c r="H138" s="25"/>
      <c r="I138" s="25"/>
      <c r="J138" s="25"/>
      <c r="K138" s="25"/>
      <c r="L138" s="25"/>
      <c r="M138" s="25"/>
      <c r="N138" s="25"/>
      <c r="O138" s="25"/>
      <c r="P138" s="25"/>
      <c r="Q138" s="25"/>
      <c r="R138" s="25"/>
      <c r="S138" s="25"/>
      <c r="T138" s="53">
        <v>19001</v>
      </c>
      <c r="U138" s="25"/>
      <c r="V138" s="5"/>
    </row>
    <row r="139" spans="1:22" ht="15.6" x14ac:dyDescent="0.3">
      <c r="A139" s="24"/>
      <c r="B139" s="25" t="s">
        <v>142</v>
      </c>
      <c r="C139" s="25"/>
      <c r="D139" s="25"/>
      <c r="E139" s="25"/>
      <c r="F139" s="25"/>
      <c r="G139" s="25"/>
      <c r="H139" s="25"/>
      <c r="I139" s="25"/>
      <c r="J139" s="25"/>
      <c r="K139" s="25"/>
      <c r="L139" s="25"/>
      <c r="M139" s="25"/>
      <c r="N139" s="25"/>
      <c r="O139" s="25"/>
      <c r="P139" s="25"/>
      <c r="Q139" s="25"/>
      <c r="R139" s="25"/>
      <c r="S139" s="25"/>
      <c r="T139" s="53">
        <v>0</v>
      </c>
      <c r="U139" s="25"/>
      <c r="V139" s="5"/>
    </row>
    <row r="140" spans="1:22" ht="15.6" x14ac:dyDescent="0.3">
      <c r="A140" s="24"/>
      <c r="B140" s="25" t="s">
        <v>129</v>
      </c>
      <c r="C140" s="25"/>
      <c r="D140" s="25"/>
      <c r="E140" s="25"/>
      <c r="F140" s="25"/>
      <c r="G140" s="25"/>
      <c r="H140" s="25"/>
      <c r="I140" s="25"/>
      <c r="J140" s="25"/>
      <c r="K140" s="25"/>
      <c r="L140" s="25"/>
      <c r="M140" s="25"/>
      <c r="N140" s="25"/>
      <c r="O140" s="25"/>
      <c r="P140" s="25"/>
      <c r="Q140" s="25"/>
      <c r="R140" s="25"/>
      <c r="S140" s="25"/>
      <c r="T140" s="53">
        <v>0</v>
      </c>
      <c r="U140" s="25"/>
      <c r="V140" s="5"/>
    </row>
    <row r="141" spans="1:22" ht="15.6" x14ac:dyDescent="0.3">
      <c r="A141" s="24"/>
      <c r="B141" s="25" t="s">
        <v>130</v>
      </c>
      <c r="C141" s="25"/>
      <c r="D141" s="25"/>
      <c r="E141" s="25"/>
      <c r="F141" s="25"/>
      <c r="G141" s="25"/>
      <c r="H141" s="25"/>
      <c r="I141" s="25"/>
      <c r="J141" s="25"/>
      <c r="K141" s="25"/>
      <c r="L141" s="25"/>
      <c r="M141" s="25"/>
      <c r="N141" s="25"/>
      <c r="O141" s="25"/>
      <c r="P141" s="25"/>
      <c r="Q141" s="25"/>
      <c r="R141" s="25"/>
      <c r="S141" s="25"/>
      <c r="T141" s="53">
        <v>0</v>
      </c>
      <c r="U141" s="25"/>
      <c r="V141" s="5"/>
    </row>
    <row r="142" spans="1:22" ht="15.6" x14ac:dyDescent="0.3">
      <c r="A142" s="24"/>
      <c r="B142" s="25" t="s">
        <v>182</v>
      </c>
      <c r="C142" s="25"/>
      <c r="D142" s="25"/>
      <c r="E142" s="25"/>
      <c r="F142" s="25"/>
      <c r="G142" s="25"/>
      <c r="H142" s="25"/>
      <c r="I142" s="25"/>
      <c r="J142" s="25"/>
      <c r="K142" s="25"/>
      <c r="L142" s="25"/>
      <c r="M142" s="25"/>
      <c r="N142" s="25"/>
      <c r="O142" s="25"/>
      <c r="P142" s="25"/>
      <c r="Q142" s="25"/>
      <c r="R142" s="25"/>
      <c r="S142" s="25"/>
      <c r="T142" s="53">
        <v>0</v>
      </c>
      <c r="U142" s="25"/>
      <c r="V142" s="5"/>
    </row>
    <row r="143" spans="1:22" ht="15.6" x14ac:dyDescent="0.3">
      <c r="A143" s="24"/>
      <c r="B143" s="25" t="s">
        <v>46</v>
      </c>
      <c r="C143" s="25"/>
      <c r="D143" s="25"/>
      <c r="E143" s="25"/>
      <c r="F143" s="25"/>
      <c r="G143" s="25"/>
      <c r="H143" s="25"/>
      <c r="I143" s="25"/>
      <c r="J143" s="25"/>
      <c r="K143" s="25"/>
      <c r="L143" s="25"/>
      <c r="M143" s="25"/>
      <c r="N143" s="25"/>
      <c r="O143" s="25"/>
      <c r="P143" s="25"/>
      <c r="Q143" s="25"/>
      <c r="R143" s="25"/>
      <c r="S143" s="25"/>
      <c r="T143" s="53">
        <v>0</v>
      </c>
      <c r="U143" s="25"/>
      <c r="V143" s="5"/>
    </row>
    <row r="144" spans="1:22" ht="15.6" x14ac:dyDescent="0.3">
      <c r="A144" s="24"/>
      <c r="B144" s="25" t="s">
        <v>135</v>
      </c>
      <c r="C144" s="25"/>
      <c r="D144" s="25"/>
      <c r="E144" s="25"/>
      <c r="F144" s="25"/>
      <c r="G144" s="25"/>
      <c r="H144" s="25"/>
      <c r="I144" s="25"/>
      <c r="J144" s="25"/>
      <c r="K144" s="25"/>
      <c r="L144" s="25"/>
      <c r="M144" s="25"/>
      <c r="N144" s="25"/>
      <c r="O144" s="25"/>
      <c r="P144" s="25"/>
      <c r="Q144" s="25"/>
      <c r="R144" s="25"/>
      <c r="S144" s="25"/>
      <c r="T144" s="53">
        <v>0</v>
      </c>
      <c r="U144" s="25"/>
      <c r="V144" s="5"/>
    </row>
    <row r="145" spans="1:23" ht="15.6" x14ac:dyDescent="0.3">
      <c r="A145" s="24"/>
      <c r="B145" s="25" t="s">
        <v>251</v>
      </c>
      <c r="C145" s="25"/>
      <c r="D145" s="25"/>
      <c r="E145" s="25"/>
      <c r="F145" s="25"/>
      <c r="G145" s="25"/>
      <c r="H145" s="25"/>
      <c r="I145" s="25"/>
      <c r="J145" s="25"/>
      <c r="K145" s="25"/>
      <c r="L145" s="25"/>
      <c r="M145" s="25"/>
      <c r="N145" s="25"/>
      <c r="O145" s="25"/>
      <c r="P145" s="25"/>
      <c r="Q145" s="25"/>
      <c r="R145" s="25"/>
      <c r="S145" s="25"/>
      <c r="T145" s="53">
        <v>0</v>
      </c>
      <c r="U145" s="25"/>
      <c r="V145" s="5"/>
      <c r="W145" s="109"/>
    </row>
    <row r="146" spans="1:23" ht="15.6" x14ac:dyDescent="0.3">
      <c r="A146" s="24"/>
      <c r="B146" s="25" t="s">
        <v>47</v>
      </c>
      <c r="C146" s="25"/>
      <c r="D146" s="25"/>
      <c r="E146" s="25"/>
      <c r="F146" s="25"/>
      <c r="G146" s="25"/>
      <c r="H146" s="25"/>
      <c r="I146" s="25"/>
      <c r="J146" s="25"/>
      <c r="K146" s="25"/>
      <c r="L146" s="25"/>
      <c r="M146" s="25"/>
      <c r="N146" s="25"/>
      <c r="O146" s="25"/>
      <c r="P146" s="25"/>
      <c r="Q146" s="25"/>
      <c r="R146" s="25"/>
      <c r="S146" s="25"/>
      <c r="T146" s="53">
        <f>SUM(T138:T145)</f>
        <v>19001</v>
      </c>
      <c r="U146" s="25"/>
      <c r="V146" s="5"/>
    </row>
    <row r="147" spans="1:23" ht="15.6" x14ac:dyDescent="0.3">
      <c r="A147" s="24"/>
      <c r="B147" s="25"/>
      <c r="C147" s="25"/>
      <c r="D147" s="25"/>
      <c r="E147" s="25"/>
      <c r="F147" s="25"/>
      <c r="G147" s="25"/>
      <c r="H147" s="25"/>
      <c r="I147" s="25"/>
      <c r="J147" s="25"/>
      <c r="K147" s="25"/>
      <c r="L147" s="25"/>
      <c r="M147" s="25"/>
      <c r="N147" s="25"/>
      <c r="O147" s="25"/>
      <c r="P147" s="25"/>
      <c r="Q147" s="25"/>
      <c r="R147" s="25"/>
      <c r="S147" s="25"/>
      <c r="T147" s="53"/>
      <c r="U147" s="25"/>
      <c r="V147" s="5"/>
    </row>
    <row r="148" spans="1:23" ht="15.6" x14ac:dyDescent="0.3">
      <c r="A148" s="24"/>
      <c r="B148" s="138" t="s">
        <v>262</v>
      </c>
      <c r="C148" s="25"/>
      <c r="D148" s="25"/>
      <c r="E148" s="25"/>
      <c r="F148" s="25"/>
      <c r="G148" s="25"/>
      <c r="H148" s="25"/>
      <c r="I148" s="25"/>
      <c r="J148" s="25"/>
      <c r="K148" s="25"/>
      <c r="L148" s="25"/>
      <c r="M148" s="25"/>
      <c r="N148" s="25"/>
      <c r="O148" s="25"/>
      <c r="P148" s="25"/>
      <c r="Q148" s="25"/>
      <c r="R148" s="25"/>
      <c r="S148" s="25"/>
      <c r="T148" s="53"/>
      <c r="U148" s="25"/>
      <c r="V148" s="5"/>
    </row>
    <row r="149" spans="1:23" ht="15.6" x14ac:dyDescent="0.3">
      <c r="A149" s="24"/>
      <c r="B149" s="25" t="s">
        <v>263</v>
      </c>
      <c r="C149" s="25"/>
      <c r="D149" s="25"/>
      <c r="E149" s="25"/>
      <c r="F149" s="25"/>
      <c r="G149" s="25"/>
      <c r="H149" s="25"/>
      <c r="I149" s="25"/>
      <c r="J149" s="25"/>
      <c r="K149" s="25"/>
      <c r="L149" s="25"/>
      <c r="M149" s="25"/>
      <c r="N149" s="25"/>
      <c r="O149" s="25"/>
      <c r="P149" s="25"/>
      <c r="Q149" s="25"/>
      <c r="R149" s="25"/>
      <c r="S149" s="25"/>
      <c r="T149" s="53">
        <v>0</v>
      </c>
      <c r="U149" s="25"/>
      <c r="V149" s="5"/>
    </row>
    <row r="150" spans="1:23" ht="15.6" x14ac:dyDescent="0.3">
      <c r="A150" s="24"/>
      <c r="B150" s="25" t="s">
        <v>179</v>
      </c>
      <c r="C150" s="25"/>
      <c r="D150" s="25"/>
      <c r="E150" s="25"/>
      <c r="F150" s="25"/>
      <c r="G150" s="25"/>
      <c r="H150" s="25"/>
      <c r="I150" s="25"/>
      <c r="J150" s="25"/>
      <c r="K150" s="25"/>
      <c r="L150" s="25"/>
      <c r="M150" s="25"/>
      <c r="N150" s="25"/>
      <c r="O150" s="25"/>
      <c r="P150" s="25"/>
      <c r="Q150" s="25"/>
      <c r="R150" s="25"/>
      <c r="S150" s="25"/>
      <c r="T150" s="53">
        <v>0</v>
      </c>
      <c r="U150" s="25"/>
      <c r="V150" s="5"/>
    </row>
    <row r="151" spans="1:23" ht="15.6" x14ac:dyDescent="0.3">
      <c r="A151" s="24"/>
      <c r="B151" s="25" t="s">
        <v>264</v>
      </c>
      <c r="C151" s="25"/>
      <c r="D151" s="25"/>
      <c r="E151" s="25"/>
      <c r="F151" s="25"/>
      <c r="G151" s="25"/>
      <c r="H151" s="25"/>
      <c r="I151" s="25"/>
      <c r="J151" s="25"/>
      <c r="K151" s="25"/>
      <c r="L151" s="25"/>
      <c r="M151" s="25"/>
      <c r="N151" s="25"/>
      <c r="O151" s="25"/>
      <c r="P151" s="25"/>
      <c r="Q151" s="25"/>
      <c r="R151" s="25"/>
      <c r="S151" s="25"/>
      <c r="T151" s="53">
        <v>0</v>
      </c>
      <c r="U151" s="25"/>
      <c r="V151" s="5"/>
    </row>
    <row r="152" spans="1:23" ht="15.6" x14ac:dyDescent="0.3">
      <c r="A152" s="24"/>
      <c r="B152" s="25"/>
      <c r="C152" s="25"/>
      <c r="D152" s="25"/>
      <c r="E152" s="25"/>
      <c r="F152" s="25"/>
      <c r="G152" s="25"/>
      <c r="H152" s="25"/>
      <c r="I152" s="25"/>
      <c r="J152" s="25"/>
      <c r="K152" s="25"/>
      <c r="L152" s="25"/>
      <c r="M152" s="25"/>
      <c r="N152" s="25"/>
      <c r="O152" s="25"/>
      <c r="P152" s="25"/>
      <c r="Q152" s="25"/>
      <c r="R152" s="25"/>
      <c r="S152" s="25"/>
      <c r="T152" s="53"/>
      <c r="U152" s="25"/>
      <c r="V152" s="5"/>
    </row>
    <row r="153" spans="1:23" ht="15.6" x14ac:dyDescent="0.3">
      <c r="A153" s="24"/>
      <c r="B153" s="25"/>
      <c r="C153" s="25"/>
      <c r="D153" s="25"/>
      <c r="E153" s="25"/>
      <c r="F153" s="25"/>
      <c r="G153" s="25"/>
      <c r="H153" s="25"/>
      <c r="I153" s="25"/>
      <c r="J153" s="25"/>
      <c r="K153" s="25"/>
      <c r="L153" s="25"/>
      <c r="M153" s="25"/>
      <c r="N153" s="25"/>
      <c r="O153" s="25"/>
      <c r="P153" s="25"/>
      <c r="Q153" s="25"/>
      <c r="R153" s="25"/>
      <c r="S153" s="25"/>
      <c r="T153" s="61"/>
      <c r="U153" s="25"/>
      <c r="V153" s="5"/>
    </row>
    <row r="154" spans="1:23" ht="15.6" x14ac:dyDescent="0.3">
      <c r="A154" s="6"/>
      <c r="B154" s="119" t="s">
        <v>24</v>
      </c>
      <c r="C154" s="8"/>
      <c r="D154" s="8"/>
      <c r="E154" s="8"/>
      <c r="F154" s="8"/>
      <c r="G154" s="8"/>
      <c r="H154" s="8"/>
      <c r="I154" s="8"/>
      <c r="J154" s="8"/>
      <c r="K154" s="8"/>
      <c r="L154" s="8"/>
      <c r="M154" s="8"/>
      <c r="N154" s="8"/>
      <c r="O154" s="8"/>
      <c r="P154" s="8"/>
      <c r="Q154" s="8"/>
      <c r="R154" s="8"/>
      <c r="S154" s="8"/>
      <c r="T154" s="52"/>
      <c r="U154" s="8"/>
      <c r="V154" s="5"/>
    </row>
    <row r="155" spans="1:23" ht="15.6" x14ac:dyDescent="0.3">
      <c r="A155" s="24"/>
      <c r="B155" s="25" t="s">
        <v>48</v>
      </c>
      <c r="C155" s="25"/>
      <c r="D155" s="25"/>
      <c r="E155" s="25"/>
      <c r="F155" s="25"/>
      <c r="G155" s="25"/>
      <c r="H155" s="25"/>
      <c r="I155" s="25"/>
      <c r="J155" s="25"/>
      <c r="K155" s="25"/>
      <c r="L155" s="25"/>
      <c r="M155" s="25"/>
      <c r="N155" s="25"/>
      <c r="O155" s="25"/>
      <c r="P155" s="25"/>
      <c r="Q155" s="25"/>
      <c r="R155" s="25"/>
      <c r="S155" s="25"/>
      <c r="T155" s="59" t="s">
        <v>124</v>
      </c>
      <c r="U155" s="25"/>
      <c r="V155" s="5"/>
    </row>
    <row r="156" spans="1:23" ht="15.6" x14ac:dyDescent="0.3">
      <c r="A156" s="24"/>
      <c r="B156" s="25" t="s">
        <v>49</v>
      </c>
      <c r="C156" s="163"/>
      <c r="D156" s="163"/>
      <c r="E156" s="163"/>
      <c r="F156" s="163"/>
      <c r="G156" s="163"/>
      <c r="H156" s="163"/>
      <c r="I156" s="163"/>
      <c r="J156" s="163"/>
      <c r="K156" s="163"/>
      <c r="L156" s="163"/>
      <c r="M156" s="163"/>
      <c r="N156" s="163"/>
      <c r="O156" s="163"/>
      <c r="P156" s="163"/>
      <c r="Q156" s="163"/>
      <c r="R156" s="163"/>
      <c r="S156" s="163"/>
      <c r="T156" s="59" t="s">
        <v>124</v>
      </c>
      <c r="U156" s="25"/>
      <c r="V156" s="5"/>
    </row>
    <row r="157" spans="1:23" ht="15.6" x14ac:dyDescent="0.3">
      <c r="A157" s="24"/>
      <c r="B157" s="25" t="s">
        <v>50</v>
      </c>
      <c r="C157" s="25"/>
      <c r="D157" s="25"/>
      <c r="E157" s="25"/>
      <c r="F157" s="25"/>
      <c r="G157" s="25"/>
      <c r="H157" s="25"/>
      <c r="I157" s="25"/>
      <c r="J157" s="25"/>
      <c r="K157" s="25"/>
      <c r="L157" s="25"/>
      <c r="M157" s="25"/>
      <c r="N157" s="25"/>
      <c r="O157" s="25"/>
      <c r="P157" s="25"/>
      <c r="Q157" s="25"/>
      <c r="R157" s="25"/>
      <c r="S157" s="25"/>
      <c r="T157" s="59" t="s">
        <v>124</v>
      </c>
      <c r="U157" s="25"/>
      <c r="V157" s="5"/>
    </row>
    <row r="158" spans="1:23" ht="15.6" x14ac:dyDescent="0.3">
      <c r="A158" s="24"/>
      <c r="B158" s="25" t="s">
        <v>51</v>
      </c>
      <c r="C158" s="25"/>
      <c r="D158" s="25"/>
      <c r="E158" s="25"/>
      <c r="F158" s="25"/>
      <c r="G158" s="25"/>
      <c r="H158" s="25"/>
      <c r="I158" s="25"/>
      <c r="J158" s="25"/>
      <c r="K158" s="25"/>
      <c r="L158" s="25"/>
      <c r="M158" s="25"/>
      <c r="N158" s="25"/>
      <c r="O158" s="25"/>
      <c r="P158" s="25"/>
      <c r="Q158" s="25"/>
      <c r="R158" s="25"/>
      <c r="S158" s="25"/>
      <c r="T158" s="59" t="s">
        <v>124</v>
      </c>
      <c r="U158" s="25"/>
      <c r="V158" s="5"/>
    </row>
    <row r="159" spans="1:23" ht="15.6" x14ac:dyDescent="0.3">
      <c r="A159" s="24"/>
      <c r="B159" s="25"/>
      <c r="C159" s="25"/>
      <c r="D159" s="25"/>
      <c r="E159" s="25"/>
      <c r="F159" s="25"/>
      <c r="G159" s="25"/>
      <c r="H159" s="25"/>
      <c r="I159" s="25"/>
      <c r="J159" s="25"/>
      <c r="K159" s="25"/>
      <c r="L159" s="25"/>
      <c r="M159" s="25"/>
      <c r="N159" s="25"/>
      <c r="O159" s="25"/>
      <c r="P159" s="25"/>
      <c r="Q159" s="25"/>
      <c r="R159" s="25"/>
      <c r="S159" s="25"/>
      <c r="T159" s="61"/>
      <c r="U159" s="25"/>
      <c r="V159" s="5"/>
    </row>
    <row r="160" spans="1:23" ht="15.6" x14ac:dyDescent="0.3">
      <c r="A160" s="6"/>
      <c r="B160" s="119" t="s">
        <v>52</v>
      </c>
      <c r="C160" s="8"/>
      <c r="D160" s="8"/>
      <c r="E160" s="8"/>
      <c r="F160" s="8"/>
      <c r="G160" s="8"/>
      <c r="H160" s="8"/>
      <c r="I160" s="8"/>
      <c r="J160" s="8"/>
      <c r="K160" s="8"/>
      <c r="L160" s="8"/>
      <c r="M160" s="8"/>
      <c r="N160" s="8"/>
      <c r="O160" s="8"/>
      <c r="P160" s="8"/>
      <c r="Q160" s="8"/>
      <c r="R160" s="8"/>
      <c r="S160" s="8"/>
      <c r="T160" s="63"/>
      <c r="U160" s="8"/>
      <c r="V160" s="5"/>
    </row>
    <row r="161" spans="1:22" ht="15.6" x14ac:dyDescent="0.3">
      <c r="A161" s="24"/>
      <c r="B161" s="25" t="s">
        <v>53</v>
      </c>
      <c r="C161" s="25"/>
      <c r="D161" s="25"/>
      <c r="E161" s="25"/>
      <c r="F161" s="25"/>
      <c r="G161" s="25"/>
      <c r="H161" s="25"/>
      <c r="I161" s="25"/>
      <c r="J161" s="25"/>
      <c r="K161" s="25"/>
      <c r="L161" s="25"/>
      <c r="M161" s="25"/>
      <c r="N161" s="25"/>
      <c r="O161" s="25"/>
      <c r="P161" s="25"/>
      <c r="Q161" s="25"/>
      <c r="R161" s="25"/>
      <c r="S161" s="25"/>
      <c r="T161" s="53">
        <v>0</v>
      </c>
      <c r="U161" s="25"/>
      <c r="V161" s="5"/>
    </row>
    <row r="162" spans="1:22" ht="15.6" x14ac:dyDescent="0.3">
      <c r="A162" s="24"/>
      <c r="B162" s="25" t="s">
        <v>54</v>
      </c>
      <c r="C162" s="25"/>
      <c r="D162" s="25"/>
      <c r="E162" s="25"/>
      <c r="F162" s="25"/>
      <c r="G162" s="25"/>
      <c r="H162" s="25"/>
      <c r="I162" s="25"/>
      <c r="J162" s="25"/>
      <c r="K162" s="25"/>
      <c r="L162" s="25"/>
      <c r="M162" s="25"/>
      <c r="N162" s="25"/>
      <c r="O162" s="25"/>
      <c r="P162" s="25"/>
      <c r="Q162" s="25"/>
      <c r="R162" s="25"/>
      <c r="S162" s="25"/>
      <c r="T162" s="53">
        <f>R113</f>
        <v>9</v>
      </c>
      <c r="U162" s="25"/>
      <c r="V162" s="5"/>
    </row>
    <row r="163" spans="1:22" ht="15.6" x14ac:dyDescent="0.3">
      <c r="A163" s="24"/>
      <c r="B163" s="25" t="s">
        <v>55</v>
      </c>
      <c r="C163" s="25"/>
      <c r="D163" s="25"/>
      <c r="E163" s="25"/>
      <c r="F163" s="25"/>
      <c r="G163" s="25"/>
      <c r="H163" s="25"/>
      <c r="I163" s="25"/>
      <c r="J163" s="25"/>
      <c r="K163" s="25"/>
      <c r="L163" s="25"/>
      <c r="M163" s="25"/>
      <c r="N163" s="25"/>
      <c r="O163" s="25"/>
      <c r="P163" s="25"/>
      <c r="Q163" s="25"/>
      <c r="R163" s="25"/>
      <c r="S163" s="25"/>
      <c r="T163" s="53">
        <f>T162+T161</f>
        <v>9</v>
      </c>
      <c r="U163" s="25"/>
      <c r="V163" s="5"/>
    </row>
    <row r="164" spans="1:22" ht="15.6" x14ac:dyDescent="0.3">
      <c r="A164" s="24"/>
      <c r="B164" s="405" t="s">
        <v>301</v>
      </c>
      <c r="C164" s="25"/>
      <c r="D164" s="25"/>
      <c r="E164" s="25"/>
      <c r="F164" s="25"/>
      <c r="G164" s="25"/>
      <c r="H164" s="25"/>
      <c r="I164" s="25"/>
      <c r="J164" s="25"/>
      <c r="K164" s="25"/>
      <c r="L164" s="25"/>
      <c r="M164" s="25"/>
      <c r="N164" s="25"/>
      <c r="O164" s="25"/>
      <c r="P164" s="25"/>
      <c r="Q164" s="25"/>
      <c r="R164" s="25"/>
      <c r="S164" s="25"/>
      <c r="T164" s="53">
        <f>T113</f>
        <v>-9</v>
      </c>
      <c r="U164" s="25"/>
      <c r="V164" s="5"/>
    </row>
    <row r="165" spans="1:22" ht="15.6" x14ac:dyDescent="0.3">
      <c r="A165" s="24"/>
      <c r="B165" s="25" t="s">
        <v>56</v>
      </c>
      <c r="C165" s="25"/>
      <c r="D165" s="25"/>
      <c r="E165" s="25"/>
      <c r="F165" s="25"/>
      <c r="G165" s="25"/>
      <c r="H165" s="25"/>
      <c r="I165" s="25"/>
      <c r="J165" s="25"/>
      <c r="K165" s="25"/>
      <c r="L165" s="25"/>
      <c r="M165" s="25"/>
      <c r="N165" s="25"/>
      <c r="O165" s="25"/>
      <c r="P165" s="25"/>
      <c r="Q165" s="25"/>
      <c r="R165" s="25"/>
      <c r="S165" s="25"/>
      <c r="T165" s="53">
        <f>T163+T164</f>
        <v>0</v>
      </c>
      <c r="U165" s="25"/>
      <c r="V165" s="5"/>
    </row>
    <row r="166" spans="1:22" ht="16.2" thickBot="1" x14ac:dyDescent="0.35">
      <c r="A166" s="24"/>
      <c r="B166" s="25"/>
      <c r="C166" s="25"/>
      <c r="D166" s="25"/>
      <c r="E166" s="25"/>
      <c r="F166" s="25"/>
      <c r="G166" s="25"/>
      <c r="H166" s="25"/>
      <c r="I166" s="25"/>
      <c r="J166" s="25"/>
      <c r="K166" s="25"/>
      <c r="L166" s="25"/>
      <c r="M166" s="25"/>
      <c r="N166" s="25"/>
      <c r="O166" s="25"/>
      <c r="P166" s="25"/>
      <c r="Q166" s="25"/>
      <c r="R166" s="25"/>
      <c r="S166" s="25"/>
      <c r="T166" s="61"/>
      <c r="U166" s="25"/>
      <c r="V166" s="5"/>
    </row>
    <row r="167" spans="1:22" ht="15.6" x14ac:dyDescent="0.3">
      <c r="A167" s="2"/>
      <c r="B167" s="4"/>
      <c r="C167" s="4"/>
      <c r="D167" s="4"/>
      <c r="E167" s="4"/>
      <c r="F167" s="4"/>
      <c r="G167" s="4"/>
      <c r="H167" s="4"/>
      <c r="I167" s="4"/>
      <c r="J167" s="4"/>
      <c r="K167" s="4"/>
      <c r="L167" s="4"/>
      <c r="M167" s="4"/>
      <c r="N167" s="4"/>
      <c r="O167" s="4"/>
      <c r="P167" s="4"/>
      <c r="Q167" s="4"/>
      <c r="R167" s="4"/>
      <c r="S167" s="4"/>
      <c r="T167" s="50"/>
      <c r="U167" s="4"/>
      <c r="V167" s="5"/>
    </row>
    <row r="168" spans="1:22" ht="15.6" x14ac:dyDescent="0.3">
      <c r="A168" s="6"/>
      <c r="B168" s="119" t="s">
        <v>57</v>
      </c>
      <c r="C168" s="8"/>
      <c r="D168" s="8"/>
      <c r="E168" s="8"/>
      <c r="F168" s="8"/>
      <c r="G168" s="8"/>
      <c r="H168" s="8"/>
      <c r="I168" s="8"/>
      <c r="J168" s="8"/>
      <c r="K168" s="8"/>
      <c r="L168" s="8"/>
      <c r="M168" s="8"/>
      <c r="N168" s="8"/>
      <c r="O168" s="8"/>
      <c r="P168" s="8"/>
      <c r="Q168" s="8"/>
      <c r="R168" s="8"/>
      <c r="S168" s="8"/>
      <c r="T168" s="52"/>
      <c r="U168" s="8"/>
      <c r="V168" s="5"/>
    </row>
    <row r="169" spans="1:22" ht="15.6" x14ac:dyDescent="0.3">
      <c r="A169" s="6"/>
      <c r="B169" s="21"/>
      <c r="C169" s="8"/>
      <c r="D169" s="8"/>
      <c r="E169" s="8"/>
      <c r="F169" s="8"/>
      <c r="G169" s="8"/>
      <c r="H169" s="8"/>
      <c r="I169" s="8"/>
      <c r="J169" s="8"/>
      <c r="K169" s="8"/>
      <c r="L169" s="8"/>
      <c r="M169" s="8"/>
      <c r="N169" s="8"/>
      <c r="O169" s="8"/>
      <c r="P169" s="8"/>
      <c r="Q169" s="8"/>
      <c r="R169" s="8"/>
      <c r="S169" s="8"/>
      <c r="T169" s="52"/>
      <c r="U169" s="8"/>
      <c r="V169" s="5"/>
    </row>
    <row r="170" spans="1:22" ht="15.6" x14ac:dyDescent="0.3">
      <c r="A170" s="24"/>
      <c r="B170" s="25" t="s">
        <v>58</v>
      </c>
      <c r="C170" s="25"/>
      <c r="D170" s="25"/>
      <c r="E170" s="25"/>
      <c r="F170" s="25"/>
      <c r="G170" s="25"/>
      <c r="H170" s="25"/>
      <c r="I170" s="25"/>
      <c r="J170" s="25"/>
      <c r="K170" s="25"/>
      <c r="L170" s="25"/>
      <c r="M170" s="25"/>
      <c r="N170" s="25"/>
      <c r="O170" s="25"/>
      <c r="P170" s="25"/>
      <c r="Q170" s="25"/>
      <c r="R170" s="25"/>
      <c r="S170" s="25"/>
      <c r="T170" s="53">
        <f>T72</f>
        <v>629914</v>
      </c>
      <c r="U170" s="25"/>
      <c r="V170" s="5"/>
    </row>
    <row r="171" spans="1:22" ht="15.6" x14ac:dyDescent="0.3">
      <c r="A171" s="24"/>
      <c r="B171" s="25" t="s">
        <v>59</v>
      </c>
      <c r="C171" s="25"/>
      <c r="D171" s="25"/>
      <c r="E171" s="25"/>
      <c r="F171" s="25"/>
      <c r="G171" s="25"/>
      <c r="H171" s="25"/>
      <c r="I171" s="25"/>
      <c r="J171" s="25"/>
      <c r="K171" s="25"/>
      <c r="L171" s="25"/>
      <c r="M171" s="25"/>
      <c r="N171" s="25"/>
      <c r="O171" s="25"/>
      <c r="P171" s="25"/>
      <c r="Q171" s="25"/>
      <c r="R171" s="25"/>
      <c r="S171" s="25"/>
      <c r="T171" s="53">
        <f>T85</f>
        <v>629914</v>
      </c>
      <c r="U171" s="25"/>
      <c r="V171" s="5"/>
    </row>
    <row r="172" spans="1:22" ht="16.2" thickBot="1" x14ac:dyDescent="0.35">
      <c r="A172" s="24"/>
      <c r="B172" s="25"/>
      <c r="C172" s="25"/>
      <c r="D172" s="25"/>
      <c r="E172" s="25"/>
      <c r="F172" s="25"/>
      <c r="G172" s="25"/>
      <c r="H172" s="25"/>
      <c r="I172" s="25"/>
      <c r="J172" s="25"/>
      <c r="K172" s="25"/>
      <c r="L172" s="25"/>
      <c r="M172" s="25"/>
      <c r="N172" s="25"/>
      <c r="O172" s="25"/>
      <c r="P172" s="25"/>
      <c r="Q172" s="25"/>
      <c r="R172" s="25"/>
      <c r="S172" s="25"/>
      <c r="T172" s="61"/>
      <c r="U172" s="25"/>
      <c r="V172" s="5"/>
    </row>
    <row r="173" spans="1:22" ht="15.6" x14ac:dyDescent="0.3">
      <c r="A173" s="2"/>
      <c r="B173" s="4"/>
      <c r="C173" s="4"/>
      <c r="D173" s="4"/>
      <c r="E173" s="4"/>
      <c r="F173" s="4"/>
      <c r="G173" s="4"/>
      <c r="H173" s="4"/>
      <c r="I173" s="4"/>
      <c r="J173" s="4"/>
      <c r="K173" s="4"/>
      <c r="L173" s="4"/>
      <c r="M173" s="4"/>
      <c r="N173" s="4"/>
      <c r="O173" s="4"/>
      <c r="P173" s="4"/>
      <c r="Q173" s="4"/>
      <c r="R173" s="4"/>
      <c r="S173" s="4"/>
      <c r="T173" s="50"/>
      <c r="U173" s="4"/>
      <c r="V173" s="5"/>
    </row>
    <row r="174" spans="1:22" ht="15.6" x14ac:dyDescent="0.3">
      <c r="A174" s="6"/>
      <c r="B174" s="119" t="s">
        <v>60</v>
      </c>
      <c r="C174" s="117"/>
      <c r="D174" s="117"/>
      <c r="E174" s="117"/>
      <c r="F174" s="117"/>
      <c r="G174" s="117"/>
      <c r="H174" s="120"/>
      <c r="I174" s="120"/>
      <c r="J174" s="120"/>
      <c r="K174" s="120"/>
      <c r="L174" s="120"/>
      <c r="M174" s="120"/>
      <c r="N174" s="120"/>
      <c r="O174" s="120"/>
      <c r="P174" s="120"/>
      <c r="Q174" s="120" t="s">
        <v>104</v>
      </c>
      <c r="R174" s="120" t="s">
        <v>183</v>
      </c>
      <c r="S174" s="111"/>
      <c r="T174" s="121" t="s">
        <v>120</v>
      </c>
      <c r="U174" s="10"/>
      <c r="V174" s="5"/>
    </row>
    <row r="175" spans="1:22" ht="15.6" x14ac:dyDescent="0.3">
      <c r="A175" s="24"/>
      <c r="B175" s="25" t="s">
        <v>61</v>
      </c>
      <c r="C175" s="25"/>
      <c r="D175" s="25"/>
      <c r="E175" s="25"/>
      <c r="F175" s="25"/>
      <c r="G175" s="25"/>
      <c r="H175" s="25"/>
      <c r="I175" s="25"/>
      <c r="J175" s="25"/>
      <c r="K175" s="25"/>
      <c r="L175" s="25"/>
      <c r="M175" s="25"/>
      <c r="N175" s="25"/>
      <c r="O175" s="25"/>
      <c r="P175" s="25"/>
      <c r="Q175" s="53">
        <v>160008</v>
      </c>
      <c r="R175" s="40"/>
      <c r="S175" s="25"/>
      <c r="T175" s="53"/>
      <c r="U175" s="25"/>
      <c r="V175" s="5"/>
    </row>
    <row r="176" spans="1:22" ht="15.6" x14ac:dyDescent="0.3">
      <c r="A176" s="24"/>
      <c r="B176" s="25" t="s">
        <v>62</v>
      </c>
      <c r="C176" s="25"/>
      <c r="D176" s="25"/>
      <c r="E176" s="25"/>
      <c r="F176" s="25"/>
      <c r="G176" s="25"/>
      <c r="H176" s="25"/>
      <c r="I176" s="25"/>
      <c r="J176" s="25"/>
      <c r="K176" s="25"/>
      <c r="L176" s="25"/>
      <c r="M176" s="25"/>
      <c r="N176" s="25"/>
      <c r="O176" s="25"/>
      <c r="P176" s="25"/>
      <c r="Q176" s="53">
        <f>+'September 08'!Q178</f>
        <v>32338</v>
      </c>
      <c r="R176" s="53">
        <f>+'September 08'!R178</f>
        <v>3291</v>
      </c>
      <c r="S176" s="25"/>
      <c r="T176" s="53">
        <f>Q176+R176</f>
        <v>35629</v>
      </c>
      <c r="U176" s="25"/>
      <c r="V176" s="5"/>
    </row>
    <row r="177" spans="1:22" ht="15.6" x14ac:dyDescent="0.3">
      <c r="A177" s="24"/>
      <c r="B177" s="25" t="s">
        <v>63</v>
      </c>
      <c r="C177" s="25"/>
      <c r="D177" s="25"/>
      <c r="E177" s="25"/>
      <c r="F177" s="25"/>
      <c r="G177" s="25"/>
      <c r="H177" s="25"/>
      <c r="I177" s="25"/>
      <c r="J177" s="25"/>
      <c r="K177" s="25"/>
      <c r="L177" s="25"/>
      <c r="M177" s="25"/>
      <c r="N177" s="25"/>
      <c r="O177" s="25"/>
      <c r="P177" s="25"/>
      <c r="Q177" s="34">
        <f>486+66-56</f>
        <v>496</v>
      </c>
      <c r="R177" s="34">
        <v>58</v>
      </c>
      <c r="S177" s="25"/>
      <c r="T177" s="53">
        <f>Q177+R177</f>
        <v>554</v>
      </c>
      <c r="U177" s="25"/>
      <c r="V177" s="5"/>
    </row>
    <row r="178" spans="1:22" ht="15.6" x14ac:dyDescent="0.3">
      <c r="A178" s="24"/>
      <c r="B178" s="25" t="s">
        <v>64</v>
      </c>
      <c r="C178" s="25"/>
      <c r="D178" s="25"/>
      <c r="E178" s="25"/>
      <c r="F178" s="25"/>
      <c r="G178" s="25"/>
      <c r="H178" s="25"/>
      <c r="I178" s="25"/>
      <c r="J178" s="25"/>
      <c r="K178" s="25"/>
      <c r="L178" s="25"/>
      <c r="M178" s="25"/>
      <c r="N178" s="25"/>
      <c r="O178" s="25"/>
      <c r="P178" s="25"/>
      <c r="Q178" s="53">
        <f>Q176+Q177</f>
        <v>32834</v>
      </c>
      <c r="R178" s="53">
        <f>R177+R176</f>
        <v>3349</v>
      </c>
      <c r="S178" s="25"/>
      <c r="T178" s="53">
        <f>Q178+R178</f>
        <v>36183</v>
      </c>
      <c r="U178" s="25"/>
      <c r="V178" s="5"/>
    </row>
    <row r="179" spans="1:22" ht="15.6" x14ac:dyDescent="0.3">
      <c r="A179" s="24"/>
      <c r="B179" s="25" t="s">
        <v>65</v>
      </c>
      <c r="C179" s="25"/>
      <c r="D179" s="25"/>
      <c r="E179" s="25"/>
      <c r="F179" s="25"/>
      <c r="G179" s="25"/>
      <c r="H179" s="25"/>
      <c r="I179" s="25"/>
      <c r="J179" s="25"/>
      <c r="K179" s="25"/>
      <c r="L179" s="25"/>
      <c r="M179" s="25"/>
      <c r="N179" s="25"/>
      <c r="O179" s="25"/>
      <c r="P179" s="25"/>
      <c r="Q179" s="53">
        <f>Q175-Q178-R178</f>
        <v>123825</v>
      </c>
      <c r="R179" s="40"/>
      <c r="S179" s="25"/>
      <c r="T179" s="53"/>
      <c r="U179" s="25"/>
      <c r="V179" s="5"/>
    </row>
    <row r="180" spans="1:22" ht="16.2" thickBot="1" x14ac:dyDescent="0.35">
      <c r="A180" s="24"/>
      <c r="B180" s="25"/>
      <c r="C180" s="25"/>
      <c r="D180" s="25"/>
      <c r="E180" s="25"/>
      <c r="F180" s="25"/>
      <c r="G180" s="25"/>
      <c r="H180" s="25"/>
      <c r="I180" s="25"/>
      <c r="J180" s="25"/>
      <c r="K180" s="25"/>
      <c r="L180" s="25"/>
      <c r="M180" s="25"/>
      <c r="N180" s="25"/>
      <c r="O180" s="25"/>
      <c r="P180" s="25"/>
      <c r="Q180" s="25"/>
      <c r="R180" s="25"/>
      <c r="S180" s="25"/>
      <c r="T180" s="61"/>
      <c r="U180" s="25"/>
      <c r="V180" s="5"/>
    </row>
    <row r="181" spans="1:22" ht="15.6" x14ac:dyDescent="0.3">
      <c r="A181" s="2"/>
      <c r="B181" s="4"/>
      <c r="C181" s="4"/>
      <c r="D181" s="4"/>
      <c r="E181" s="4"/>
      <c r="F181" s="4"/>
      <c r="G181" s="4"/>
      <c r="H181" s="4"/>
      <c r="I181" s="4"/>
      <c r="J181" s="4"/>
      <c r="K181" s="4"/>
      <c r="L181" s="4"/>
      <c r="M181" s="4"/>
      <c r="N181" s="4"/>
      <c r="O181" s="4"/>
      <c r="P181" s="4"/>
      <c r="Q181" s="4"/>
      <c r="R181" s="4"/>
      <c r="S181" s="4"/>
      <c r="T181" s="50"/>
      <c r="U181" s="4"/>
      <c r="V181" s="5"/>
    </row>
    <row r="182" spans="1:22" ht="15.6" x14ac:dyDescent="0.3">
      <c r="A182" s="6"/>
      <c r="B182" s="119" t="s">
        <v>66</v>
      </c>
      <c r="C182" s="8"/>
      <c r="D182" s="8"/>
      <c r="E182" s="8"/>
      <c r="F182" s="8"/>
      <c r="G182" s="8"/>
      <c r="H182" s="8"/>
      <c r="I182" s="8"/>
      <c r="J182" s="8"/>
      <c r="K182" s="8"/>
      <c r="L182" s="8"/>
      <c r="M182" s="8"/>
      <c r="N182" s="8"/>
      <c r="O182" s="8"/>
      <c r="P182" s="8"/>
      <c r="Q182" s="8"/>
      <c r="R182" s="8"/>
      <c r="S182" s="8"/>
      <c r="T182" s="65"/>
      <c r="U182" s="8"/>
      <c r="V182" s="5"/>
    </row>
    <row r="183" spans="1:22" ht="15.6" x14ac:dyDescent="0.3">
      <c r="A183" s="24"/>
      <c r="B183" s="25" t="s">
        <v>67</v>
      </c>
      <c r="C183" s="25"/>
      <c r="D183" s="25"/>
      <c r="E183" s="25"/>
      <c r="F183" s="25"/>
      <c r="G183" s="25"/>
      <c r="H183" s="25"/>
      <c r="I183" s="25"/>
      <c r="J183" s="25"/>
      <c r="K183" s="25"/>
      <c r="L183" s="25"/>
      <c r="M183" s="25"/>
      <c r="N183" s="25"/>
      <c r="O183" s="25"/>
      <c r="P183" s="25"/>
      <c r="Q183" s="25"/>
      <c r="R183" s="25"/>
      <c r="S183" s="25"/>
      <c r="T183" s="59">
        <f>(T101+T103+T104+T105+T106)/-(T107+T108)</f>
        <v>1.4717097170971709</v>
      </c>
      <c r="U183" s="25" t="s">
        <v>121</v>
      </c>
      <c r="V183" s="5"/>
    </row>
    <row r="184" spans="1:22" ht="15.6" x14ac:dyDescent="0.3">
      <c r="A184" s="24"/>
      <c r="B184" s="25" t="s">
        <v>68</v>
      </c>
      <c r="C184" s="25"/>
      <c r="D184" s="25"/>
      <c r="E184" s="25"/>
      <c r="F184" s="25"/>
      <c r="G184" s="25"/>
      <c r="H184" s="25"/>
      <c r="I184" s="25"/>
      <c r="J184" s="25"/>
      <c r="K184" s="25"/>
      <c r="L184" s="25"/>
      <c r="M184" s="25"/>
      <c r="N184" s="25"/>
      <c r="O184" s="25"/>
      <c r="P184" s="25"/>
      <c r="Q184" s="25"/>
      <c r="R184" s="25"/>
      <c r="S184" s="25"/>
      <c r="T184" s="66">
        <v>1.44</v>
      </c>
      <c r="U184" s="25" t="s">
        <v>121</v>
      </c>
      <c r="V184" s="5"/>
    </row>
    <row r="185" spans="1:22" ht="15.6" x14ac:dyDescent="0.3">
      <c r="A185" s="24"/>
      <c r="B185" s="25" t="s">
        <v>69</v>
      </c>
      <c r="C185" s="25"/>
      <c r="D185" s="25"/>
      <c r="E185" s="25"/>
      <c r="F185" s="25"/>
      <c r="G185" s="25"/>
      <c r="H185" s="25"/>
      <c r="I185" s="25"/>
      <c r="J185" s="25"/>
      <c r="K185" s="25"/>
      <c r="L185" s="25"/>
      <c r="M185" s="25"/>
      <c r="N185" s="25"/>
      <c r="O185" s="25"/>
      <c r="P185" s="25"/>
      <c r="Q185" s="25"/>
      <c r="R185" s="25"/>
      <c r="S185" s="25"/>
      <c r="T185" s="59">
        <f>(T101+T103+T104+T105+T106+T107+T108)/-(T109+T110)</f>
        <v>3.2472480948348856</v>
      </c>
      <c r="U185" s="25" t="s">
        <v>121</v>
      </c>
      <c r="V185" s="5"/>
    </row>
    <row r="186" spans="1:22" ht="15.6" x14ac:dyDescent="0.3">
      <c r="A186" s="24"/>
      <c r="B186" s="25" t="s">
        <v>70</v>
      </c>
      <c r="C186" s="25"/>
      <c r="D186" s="25"/>
      <c r="E186" s="25"/>
      <c r="F186" s="25"/>
      <c r="G186" s="25"/>
      <c r="H186" s="25"/>
      <c r="I186" s="25"/>
      <c r="J186" s="25"/>
      <c r="K186" s="25"/>
      <c r="L186" s="25"/>
      <c r="M186" s="25"/>
      <c r="N186" s="25"/>
      <c r="O186" s="25"/>
      <c r="P186" s="25"/>
      <c r="Q186" s="25"/>
      <c r="R186" s="25"/>
      <c r="S186" s="25"/>
      <c r="T186" s="66">
        <v>4.22</v>
      </c>
      <c r="U186" s="25" t="s">
        <v>121</v>
      </c>
      <c r="V186" s="5"/>
    </row>
    <row r="187" spans="1:22" ht="15.6" x14ac:dyDescent="0.3">
      <c r="A187" s="24"/>
      <c r="B187" s="25" t="s">
        <v>206</v>
      </c>
      <c r="C187" s="25"/>
      <c r="D187" s="25"/>
      <c r="E187" s="25"/>
      <c r="F187" s="25"/>
      <c r="G187" s="25"/>
      <c r="H187" s="25"/>
      <c r="I187" s="25"/>
      <c r="J187" s="25"/>
      <c r="K187" s="25"/>
      <c r="L187" s="25"/>
      <c r="M187" s="25"/>
      <c r="N187" s="25"/>
      <c r="O187" s="25"/>
      <c r="P187" s="25"/>
      <c r="Q187" s="25"/>
      <c r="R187" s="25"/>
      <c r="S187" s="25"/>
      <c r="T187" s="59">
        <f>(T101+T103+T104+T105+T106+T107+T108+T109+T110)/-(T111)</f>
        <v>2.6173570019723864</v>
      </c>
      <c r="U187" s="25" t="s">
        <v>121</v>
      </c>
      <c r="V187" s="5"/>
    </row>
    <row r="188" spans="1:22" ht="15.6" x14ac:dyDescent="0.3">
      <c r="A188" s="24"/>
      <c r="B188" s="25" t="s">
        <v>207</v>
      </c>
      <c r="C188" s="25"/>
      <c r="D188" s="25"/>
      <c r="E188" s="25"/>
      <c r="F188" s="25"/>
      <c r="G188" s="25"/>
      <c r="H188" s="25"/>
      <c r="I188" s="25"/>
      <c r="J188" s="25"/>
      <c r="K188" s="25"/>
      <c r="L188" s="25"/>
      <c r="M188" s="25"/>
      <c r="N188" s="25"/>
      <c r="O188" s="25"/>
      <c r="P188" s="25"/>
      <c r="Q188" s="25"/>
      <c r="R188" s="25"/>
      <c r="S188" s="25"/>
      <c r="T188" s="66">
        <v>3.74</v>
      </c>
      <c r="U188" s="25" t="s">
        <v>121</v>
      </c>
      <c r="V188" s="5"/>
    </row>
    <row r="189" spans="1:22" ht="15.6" x14ac:dyDescent="0.3">
      <c r="A189" s="24"/>
      <c r="B189" s="25"/>
      <c r="C189" s="25"/>
      <c r="D189" s="25"/>
      <c r="E189" s="25"/>
      <c r="F189" s="25"/>
      <c r="G189" s="25"/>
      <c r="H189" s="25"/>
      <c r="I189" s="25"/>
      <c r="J189" s="25"/>
      <c r="K189" s="25"/>
      <c r="L189" s="25"/>
      <c r="M189" s="25"/>
      <c r="N189" s="25"/>
      <c r="O189" s="25"/>
      <c r="P189" s="25"/>
      <c r="Q189" s="25"/>
      <c r="R189" s="25"/>
      <c r="S189" s="25"/>
      <c r="T189" s="25"/>
      <c r="U189" s="25"/>
      <c r="V189" s="5"/>
    </row>
    <row r="190" spans="1:22" ht="15.6" x14ac:dyDescent="0.3">
      <c r="A190" s="24"/>
      <c r="B190" s="25"/>
      <c r="C190" s="25"/>
      <c r="D190" s="25"/>
      <c r="E190" s="25"/>
      <c r="F190" s="25"/>
      <c r="G190" s="25"/>
      <c r="H190" s="25"/>
      <c r="I190" s="25"/>
      <c r="J190" s="25"/>
      <c r="K190" s="25"/>
      <c r="L190" s="25"/>
      <c r="M190" s="25"/>
      <c r="N190" s="25"/>
      <c r="O190" s="25"/>
      <c r="P190" s="25"/>
      <c r="Q190" s="25"/>
      <c r="R190" s="25"/>
      <c r="S190" s="25"/>
      <c r="T190" s="25"/>
      <c r="U190" s="25"/>
      <c r="V190" s="5"/>
    </row>
    <row r="191" spans="1:22" ht="15.6" x14ac:dyDescent="0.3">
      <c r="A191" s="6"/>
      <c r="B191" s="8"/>
      <c r="C191" s="8"/>
      <c r="D191" s="8"/>
      <c r="E191" s="8"/>
      <c r="F191" s="8"/>
      <c r="G191" s="8"/>
      <c r="H191" s="8"/>
      <c r="I191" s="8"/>
      <c r="J191" s="8"/>
      <c r="K191" s="8"/>
      <c r="L191" s="8"/>
      <c r="M191" s="8"/>
      <c r="N191" s="8"/>
      <c r="O191" s="8"/>
      <c r="P191" s="8"/>
      <c r="Q191" s="8"/>
      <c r="R191" s="8"/>
      <c r="S191" s="8"/>
      <c r="T191" s="8"/>
      <c r="U191" s="8"/>
      <c r="V191" s="5"/>
    </row>
    <row r="192" spans="1:22" ht="18" thickBot="1" x14ac:dyDescent="0.35">
      <c r="A192" s="101"/>
      <c r="B192" s="102" t="str">
        <f>B133</f>
        <v>PM11 INVESTOR REPORT QUARTER ENDING DECEMBER 2008</v>
      </c>
      <c r="C192" s="165"/>
      <c r="D192" s="165"/>
      <c r="E192" s="165"/>
      <c r="F192" s="165"/>
      <c r="G192" s="165"/>
      <c r="H192" s="165"/>
      <c r="I192" s="165"/>
      <c r="J192" s="165"/>
      <c r="K192" s="165"/>
      <c r="L192" s="165"/>
      <c r="M192" s="165"/>
      <c r="N192" s="165"/>
      <c r="O192" s="165"/>
      <c r="P192" s="165"/>
      <c r="Q192" s="165"/>
      <c r="R192" s="165"/>
      <c r="S192" s="165"/>
      <c r="T192" s="165"/>
      <c r="U192" s="166"/>
      <c r="V192" s="5"/>
    </row>
    <row r="193" spans="1:22" ht="15.6" x14ac:dyDescent="0.3">
      <c r="A193" s="67"/>
      <c r="B193" s="60" t="s">
        <v>71</v>
      </c>
      <c r="C193" s="68"/>
      <c r="D193" s="68"/>
      <c r="E193" s="68"/>
      <c r="F193" s="68"/>
      <c r="G193" s="69"/>
      <c r="H193" s="69"/>
      <c r="I193" s="69"/>
      <c r="J193" s="69"/>
      <c r="K193" s="69"/>
      <c r="L193" s="69"/>
      <c r="M193" s="69"/>
      <c r="N193" s="69"/>
      <c r="O193" s="69"/>
      <c r="P193" s="69"/>
      <c r="Q193" s="69"/>
      <c r="R193" s="70">
        <v>39813</v>
      </c>
      <c r="S193" s="4"/>
      <c r="T193" s="4"/>
      <c r="U193" s="4"/>
      <c r="V193" s="5"/>
    </row>
    <row r="194" spans="1:22" ht="15.6" x14ac:dyDescent="0.3">
      <c r="A194" s="71"/>
      <c r="B194" s="72"/>
      <c r="C194" s="73"/>
      <c r="D194" s="73"/>
      <c r="E194" s="73"/>
      <c r="F194" s="73"/>
      <c r="G194" s="74"/>
      <c r="H194" s="74"/>
      <c r="I194" s="74"/>
      <c r="J194" s="74"/>
      <c r="K194" s="74"/>
      <c r="L194" s="74"/>
      <c r="M194" s="74"/>
      <c r="N194" s="74"/>
      <c r="O194" s="74"/>
      <c r="P194" s="74"/>
      <c r="Q194" s="74"/>
      <c r="R194" s="74"/>
      <c r="S194" s="8"/>
      <c r="T194" s="8"/>
      <c r="U194" s="8"/>
      <c r="V194" s="5"/>
    </row>
    <row r="195" spans="1:22" ht="15.6" x14ac:dyDescent="0.3">
      <c r="A195" s="75"/>
      <c r="B195" s="76" t="s">
        <v>72</v>
      </c>
      <c r="C195" s="77"/>
      <c r="D195" s="77"/>
      <c r="E195" s="77"/>
      <c r="F195" s="77"/>
      <c r="G195" s="64"/>
      <c r="H195" s="64"/>
      <c r="I195" s="64"/>
      <c r="J195" s="64"/>
      <c r="K195" s="64"/>
      <c r="L195" s="64"/>
      <c r="M195" s="64"/>
      <c r="N195" s="64"/>
      <c r="O195" s="64"/>
      <c r="P195" s="64"/>
      <c r="Q195" s="64"/>
      <c r="R195" s="78">
        <v>5.1569999999999998E-2</v>
      </c>
      <c r="S195" s="25"/>
      <c r="T195" s="25"/>
      <c r="U195" s="25"/>
      <c r="V195" s="5"/>
    </row>
    <row r="196" spans="1:22" ht="15.6" x14ac:dyDescent="0.3">
      <c r="A196" s="75"/>
      <c r="B196" s="76" t="s">
        <v>157</v>
      </c>
      <c r="C196" s="77"/>
      <c r="D196" s="77"/>
      <c r="E196" s="77"/>
      <c r="F196" s="77"/>
      <c r="G196" s="64"/>
      <c r="H196" s="64"/>
      <c r="I196" s="64"/>
      <c r="J196" s="64"/>
      <c r="K196" s="64"/>
      <c r="L196" s="64"/>
      <c r="M196" s="64"/>
      <c r="N196" s="64"/>
      <c r="O196" s="64"/>
      <c r="P196" s="64"/>
      <c r="Q196" s="64"/>
      <c r="R196" s="39">
        <v>4.6899999999999997E-2</v>
      </c>
      <c r="S196" s="25"/>
      <c r="T196" s="25"/>
      <c r="U196" s="25"/>
      <c r="V196" s="5"/>
    </row>
    <row r="197" spans="1:22" ht="15.6" x14ac:dyDescent="0.3">
      <c r="A197" s="75"/>
      <c r="B197" s="76" t="s">
        <v>73</v>
      </c>
      <c r="C197" s="77"/>
      <c r="D197" s="77"/>
      <c r="E197" s="77"/>
      <c r="F197" s="77"/>
      <c r="G197" s="64"/>
      <c r="H197" s="64"/>
      <c r="I197" s="64"/>
      <c r="J197" s="64"/>
      <c r="K197" s="64"/>
      <c r="L197" s="64"/>
      <c r="M197" s="64"/>
      <c r="N197" s="64"/>
      <c r="O197" s="64"/>
      <c r="P197" s="64"/>
      <c r="Q197" s="64"/>
      <c r="R197" s="78">
        <f>R195-R196</f>
        <v>4.6700000000000005E-3</v>
      </c>
      <c r="S197" s="25"/>
      <c r="T197" s="25"/>
      <c r="U197" s="25"/>
      <c r="V197" s="5"/>
    </row>
    <row r="198" spans="1:22" ht="15.6" x14ac:dyDescent="0.3">
      <c r="A198" s="75"/>
      <c r="B198" s="76" t="s">
        <v>74</v>
      </c>
      <c r="C198" s="77"/>
      <c r="D198" s="77"/>
      <c r="E198" s="77"/>
      <c r="F198" s="77"/>
      <c r="G198" s="64"/>
      <c r="H198" s="64"/>
      <c r="I198" s="64"/>
      <c r="J198" s="64"/>
      <c r="K198" s="64"/>
      <c r="L198" s="64"/>
      <c r="M198" s="64"/>
      <c r="N198" s="64"/>
      <c r="O198" s="64"/>
      <c r="P198" s="64"/>
      <c r="Q198" s="64"/>
      <c r="R198" s="78">
        <v>5.629E-2</v>
      </c>
      <c r="S198" s="25"/>
      <c r="T198" s="25"/>
      <c r="U198" s="25"/>
      <c r="V198" s="5"/>
    </row>
    <row r="199" spans="1:22" ht="15.6" x14ac:dyDescent="0.3">
      <c r="A199" s="75"/>
      <c r="B199" s="76" t="s">
        <v>257</v>
      </c>
      <c r="C199" s="77"/>
      <c r="D199" s="77"/>
      <c r="E199" s="77"/>
      <c r="F199" s="77"/>
      <c r="G199" s="64"/>
      <c r="H199" s="64"/>
      <c r="I199" s="64"/>
      <c r="J199" s="64"/>
      <c r="K199" s="64"/>
      <c r="L199" s="64"/>
      <c r="M199" s="64"/>
      <c r="N199" s="64"/>
      <c r="O199" s="64"/>
      <c r="P199" s="64"/>
      <c r="Q199" s="64"/>
      <c r="R199" s="78">
        <f>T43</f>
        <v>6.3813897714611711E-2</v>
      </c>
      <c r="S199" s="25"/>
      <c r="T199" s="25"/>
      <c r="U199" s="25"/>
      <c r="V199" s="5"/>
    </row>
    <row r="200" spans="1:22" ht="15.6" x14ac:dyDescent="0.3">
      <c r="A200" s="75"/>
      <c r="B200" s="76" t="s">
        <v>75</v>
      </c>
      <c r="C200" s="77"/>
      <c r="D200" s="77"/>
      <c r="E200" s="77"/>
      <c r="F200" s="77"/>
      <c r="G200" s="64"/>
      <c r="H200" s="64"/>
      <c r="I200" s="64"/>
      <c r="J200" s="64"/>
      <c r="K200" s="64"/>
      <c r="L200" s="64"/>
      <c r="M200" s="64"/>
      <c r="N200" s="64"/>
      <c r="O200" s="64"/>
      <c r="P200" s="64"/>
      <c r="Q200" s="64"/>
      <c r="R200" s="78">
        <f>R198-R199</f>
        <v>-7.5238977146117117E-3</v>
      </c>
      <c r="S200" s="25"/>
      <c r="T200" s="25"/>
      <c r="U200" s="25"/>
      <c r="V200" s="5"/>
    </row>
    <row r="201" spans="1:22" ht="15.6" x14ac:dyDescent="0.3">
      <c r="A201" s="75"/>
      <c r="B201" s="76" t="s">
        <v>260</v>
      </c>
      <c r="C201" s="77"/>
      <c r="D201" s="77"/>
      <c r="E201" s="77"/>
      <c r="F201" s="77"/>
      <c r="G201" s="64"/>
      <c r="H201" s="64"/>
      <c r="I201" s="64"/>
      <c r="J201" s="64"/>
      <c r="K201" s="64"/>
      <c r="L201" s="64"/>
      <c r="M201" s="64"/>
      <c r="N201" s="64"/>
      <c r="O201" s="64"/>
      <c r="P201" s="64"/>
      <c r="Q201" s="64"/>
      <c r="R201" s="78">
        <f>+T101/L72</f>
        <v>1.9137302551640339E-2</v>
      </c>
      <c r="S201" s="25"/>
      <c r="T201" s="25"/>
      <c r="U201" s="25"/>
      <c r="V201" s="5"/>
    </row>
    <row r="202" spans="1:22" ht="15.6" x14ac:dyDescent="0.3">
      <c r="A202" s="75"/>
      <c r="B202" s="76" t="s">
        <v>217</v>
      </c>
      <c r="C202" s="77"/>
      <c r="D202" s="77"/>
      <c r="E202" s="77"/>
      <c r="F202" s="77"/>
      <c r="G202" s="64"/>
      <c r="H202" s="64"/>
      <c r="I202" s="64"/>
      <c r="J202" s="64"/>
      <c r="K202" s="64"/>
      <c r="L202" s="64"/>
      <c r="M202" s="64"/>
      <c r="N202" s="64"/>
      <c r="O202" s="64"/>
      <c r="P202" s="64"/>
      <c r="Q202" s="64"/>
      <c r="R202" s="129">
        <v>15250</v>
      </c>
      <c r="S202" s="25"/>
      <c r="T202" s="25"/>
      <c r="U202" s="25"/>
      <c r="V202" s="5"/>
    </row>
    <row r="203" spans="1:22" ht="15.6" x14ac:dyDescent="0.3">
      <c r="A203" s="75"/>
      <c r="B203" s="76" t="s">
        <v>218</v>
      </c>
      <c r="C203" s="77"/>
      <c r="D203" s="77"/>
      <c r="E203" s="77"/>
      <c r="F203" s="77"/>
      <c r="G203" s="64"/>
      <c r="H203" s="64"/>
      <c r="I203" s="64"/>
      <c r="J203" s="64"/>
      <c r="K203" s="64"/>
      <c r="L203" s="64"/>
      <c r="M203" s="64"/>
      <c r="N203" s="64"/>
      <c r="O203" s="64"/>
      <c r="P203" s="64"/>
      <c r="Q203" s="64"/>
      <c r="R203" s="129">
        <v>15250</v>
      </c>
      <c r="S203" s="25"/>
      <c r="T203" s="25"/>
      <c r="U203" s="25"/>
      <c r="V203" s="5"/>
    </row>
    <row r="204" spans="1:22" ht="15.6" x14ac:dyDescent="0.3">
      <c r="A204" s="75"/>
      <c r="B204" s="76" t="s">
        <v>219</v>
      </c>
      <c r="C204" s="77"/>
      <c r="D204" s="77"/>
      <c r="E204" s="77"/>
      <c r="F204" s="77"/>
      <c r="G204" s="64"/>
      <c r="H204" s="64"/>
      <c r="I204" s="64"/>
      <c r="J204" s="64"/>
      <c r="K204" s="64"/>
      <c r="L204" s="64"/>
      <c r="M204" s="64"/>
      <c r="N204" s="64"/>
      <c r="O204" s="64"/>
      <c r="P204" s="64"/>
      <c r="Q204" s="64"/>
      <c r="R204" s="129">
        <v>15250</v>
      </c>
      <c r="S204" s="25"/>
      <c r="T204" s="25"/>
      <c r="U204" s="25"/>
      <c r="V204" s="5"/>
    </row>
    <row r="205" spans="1:22" ht="15.6" x14ac:dyDescent="0.3">
      <c r="A205" s="75"/>
      <c r="B205" s="76" t="s">
        <v>76</v>
      </c>
      <c r="C205" s="77"/>
      <c r="D205" s="77"/>
      <c r="E205" s="77"/>
      <c r="F205" s="77"/>
      <c r="G205" s="64"/>
      <c r="H205" s="64"/>
      <c r="I205" s="64"/>
      <c r="J205" s="64"/>
      <c r="K205" s="64"/>
      <c r="L205" s="64"/>
      <c r="M205" s="64"/>
      <c r="N205" s="64"/>
      <c r="O205" s="64"/>
      <c r="P205" s="64"/>
      <c r="Q205" s="64"/>
      <c r="R205" s="133">
        <v>21.18</v>
      </c>
      <c r="S205" s="25" t="s">
        <v>116</v>
      </c>
      <c r="T205" s="25"/>
      <c r="U205" s="25"/>
      <c r="V205" s="5"/>
    </row>
    <row r="206" spans="1:22" ht="15.6" x14ac:dyDescent="0.3">
      <c r="A206" s="75"/>
      <c r="B206" s="76" t="s">
        <v>77</v>
      </c>
      <c r="C206" s="77"/>
      <c r="D206" s="77"/>
      <c r="E206" s="77"/>
      <c r="F206" s="77"/>
      <c r="G206" s="64"/>
      <c r="H206" s="64"/>
      <c r="I206" s="64"/>
      <c r="J206" s="64"/>
      <c r="K206" s="64"/>
      <c r="L206" s="64"/>
      <c r="M206" s="64"/>
      <c r="N206" s="64"/>
      <c r="O206" s="64"/>
      <c r="P206" s="64"/>
      <c r="Q206" s="64"/>
      <c r="R206" s="133">
        <v>18.48</v>
      </c>
      <c r="S206" s="25" t="s">
        <v>116</v>
      </c>
      <c r="T206" s="25"/>
      <c r="U206" s="25"/>
      <c r="V206" s="5"/>
    </row>
    <row r="207" spans="1:22" ht="15.6" x14ac:dyDescent="0.3">
      <c r="A207" s="75"/>
      <c r="B207" s="76" t="s">
        <v>78</v>
      </c>
      <c r="C207" s="77"/>
      <c r="D207" s="77"/>
      <c r="E207" s="77"/>
      <c r="F207" s="77"/>
      <c r="G207" s="64"/>
      <c r="H207" s="64"/>
      <c r="I207" s="64"/>
      <c r="J207" s="64"/>
      <c r="K207" s="64"/>
      <c r="L207" s="64"/>
      <c r="M207" s="64"/>
      <c r="N207" s="64"/>
      <c r="O207" s="64"/>
      <c r="P207" s="64"/>
      <c r="Q207" s="64"/>
      <c r="R207" s="78">
        <f>N69/L69</f>
        <v>1.975729818986198E-2</v>
      </c>
      <c r="S207" s="25"/>
      <c r="T207" s="25"/>
      <c r="U207" s="25"/>
      <c r="V207" s="5"/>
    </row>
    <row r="208" spans="1:22" ht="15.6" x14ac:dyDescent="0.3">
      <c r="A208" s="75"/>
      <c r="B208" s="76" t="s">
        <v>79</v>
      </c>
      <c r="C208" s="77"/>
      <c r="D208" s="77"/>
      <c r="E208" s="77"/>
      <c r="F208" s="77"/>
      <c r="G208" s="64"/>
      <c r="H208" s="64"/>
      <c r="I208" s="64"/>
      <c r="J208" s="64"/>
      <c r="K208" s="64"/>
      <c r="L208" s="64"/>
      <c r="M208" s="64"/>
      <c r="N208" s="64"/>
      <c r="O208" s="64"/>
      <c r="P208" s="64"/>
      <c r="Q208" s="64"/>
      <c r="R208" s="78">
        <v>0.16639999999999999</v>
      </c>
      <c r="S208" s="25"/>
      <c r="T208" s="25"/>
      <c r="U208" s="25"/>
      <c r="V208" s="5"/>
    </row>
    <row r="209" spans="1:22" ht="15.6" x14ac:dyDescent="0.3">
      <c r="A209" s="75"/>
      <c r="B209" s="76"/>
      <c r="C209" s="76"/>
      <c r="D209" s="76"/>
      <c r="E209" s="76"/>
      <c r="F209" s="76"/>
      <c r="G209" s="25"/>
      <c r="H209" s="25"/>
      <c r="I209" s="25"/>
      <c r="J209" s="25"/>
      <c r="K209" s="25"/>
      <c r="L209" s="25"/>
      <c r="M209" s="25"/>
      <c r="N209" s="25"/>
      <c r="O209" s="25"/>
      <c r="P209" s="25"/>
      <c r="Q209" s="25"/>
      <c r="R209" s="61"/>
      <c r="S209" s="25"/>
      <c r="T209" s="79"/>
      <c r="U209" s="25"/>
      <c r="V209" s="5"/>
    </row>
    <row r="210" spans="1:22" ht="15.6" x14ac:dyDescent="0.3">
      <c r="A210" s="80"/>
      <c r="B210" s="14" t="s">
        <v>80</v>
      </c>
      <c r="C210" s="81"/>
      <c r="D210" s="81"/>
      <c r="E210" s="81"/>
      <c r="F210" s="82"/>
      <c r="G210" s="81"/>
      <c r="H210" s="17"/>
      <c r="I210" s="17"/>
      <c r="J210" s="17"/>
      <c r="K210" s="17"/>
      <c r="L210" s="17"/>
      <c r="M210" s="17"/>
      <c r="N210" s="17"/>
      <c r="O210" s="17"/>
      <c r="P210" s="17"/>
      <c r="Q210" s="17" t="s">
        <v>105</v>
      </c>
      <c r="R210" s="83" t="s">
        <v>112</v>
      </c>
      <c r="S210" s="8"/>
      <c r="T210" s="8"/>
      <c r="U210" s="8"/>
      <c r="V210" s="5"/>
    </row>
    <row r="211" spans="1:22" ht="15.6" x14ac:dyDescent="0.3">
      <c r="A211" s="84"/>
      <c r="B211" s="76" t="s">
        <v>81</v>
      </c>
      <c r="C211" s="54"/>
      <c r="D211" s="54"/>
      <c r="E211" s="54"/>
      <c r="F211" s="25"/>
      <c r="G211" s="25"/>
      <c r="H211" s="30"/>
      <c r="I211" s="30"/>
      <c r="J211" s="30"/>
      <c r="K211" s="30"/>
      <c r="L211" s="30"/>
      <c r="M211" s="30"/>
      <c r="N211" s="30"/>
      <c r="O211" s="30"/>
      <c r="P211" s="30"/>
      <c r="Q211" s="30">
        <v>1</v>
      </c>
      <c r="R211" s="85">
        <v>273</v>
      </c>
      <c r="S211" s="25"/>
      <c r="T211" s="79"/>
      <c r="U211" s="86"/>
      <c r="V211" s="5"/>
    </row>
    <row r="212" spans="1:22" ht="15.6" x14ac:dyDescent="0.3">
      <c r="A212" s="84"/>
      <c r="B212" s="76" t="s">
        <v>151</v>
      </c>
      <c r="C212" s="54"/>
      <c r="D212" s="54"/>
      <c r="E212" s="54"/>
      <c r="F212" s="25"/>
      <c r="G212" s="25"/>
      <c r="H212" s="30"/>
      <c r="I212" s="30"/>
      <c r="J212" s="30"/>
      <c r="K212" s="30"/>
      <c r="L212" s="30"/>
      <c r="M212" s="30"/>
      <c r="N212" s="30"/>
      <c r="O212" s="30"/>
      <c r="P212" s="30"/>
      <c r="Q212" s="152">
        <f>+P252</f>
        <v>136</v>
      </c>
      <c r="R212" s="85">
        <f>+R252</f>
        <v>21199</v>
      </c>
      <c r="S212" s="25"/>
      <c r="T212" s="79"/>
      <c r="U212" s="86"/>
      <c r="V212" s="5"/>
    </row>
    <row r="213" spans="1:22" ht="15.6" x14ac:dyDescent="0.3">
      <c r="A213" s="84"/>
      <c r="B213" s="76" t="s">
        <v>82</v>
      </c>
      <c r="C213" s="54"/>
      <c r="D213" s="54"/>
      <c r="E213" s="54"/>
      <c r="F213" s="25"/>
      <c r="G213" s="25"/>
      <c r="H213" s="30"/>
      <c r="I213" s="30"/>
      <c r="J213" s="30"/>
      <c r="K213" s="30"/>
      <c r="L213" s="30"/>
      <c r="M213" s="30"/>
      <c r="N213" s="30"/>
      <c r="O213" s="30"/>
      <c r="P213" s="30"/>
      <c r="Q213" s="152">
        <f>+P264</f>
        <v>0</v>
      </c>
      <c r="R213" s="85">
        <f>+R264</f>
        <v>0</v>
      </c>
      <c r="S213" s="25"/>
      <c r="T213" s="79"/>
      <c r="U213" s="86"/>
      <c r="V213" s="5"/>
    </row>
    <row r="214" spans="1:22" ht="15.6" x14ac:dyDescent="0.3">
      <c r="A214" s="84"/>
      <c r="B214" s="122" t="s">
        <v>83</v>
      </c>
      <c r="C214" s="54"/>
      <c r="D214" s="54"/>
      <c r="E214" s="54"/>
      <c r="F214" s="25"/>
      <c r="G214" s="25"/>
      <c r="H214" s="25"/>
      <c r="I214" s="25"/>
      <c r="J214" s="25"/>
      <c r="K214" s="25"/>
      <c r="L214" s="25"/>
      <c r="M214" s="25"/>
      <c r="N214" s="25"/>
      <c r="O214" s="25"/>
      <c r="P214" s="25"/>
      <c r="Q214" s="25"/>
      <c r="R214" s="85">
        <v>0</v>
      </c>
      <c r="S214" s="25"/>
      <c r="T214" s="79"/>
      <c r="U214" s="86"/>
      <c r="V214" s="5"/>
    </row>
    <row r="215" spans="1:22" ht="15.6" x14ac:dyDescent="0.3">
      <c r="A215" s="84"/>
      <c r="B215" s="122" t="s">
        <v>84</v>
      </c>
      <c r="C215" s="54"/>
      <c r="D215" s="54"/>
      <c r="E215" s="54"/>
      <c r="F215" s="25"/>
      <c r="G215" s="25"/>
      <c r="H215" s="25"/>
      <c r="I215" s="25"/>
      <c r="J215" s="25"/>
      <c r="K215" s="25"/>
      <c r="L215" s="25"/>
      <c r="M215" s="25"/>
      <c r="N215" s="25"/>
      <c r="O215" s="25"/>
      <c r="P215" s="25"/>
      <c r="Q215" s="25"/>
      <c r="R215" s="62" t="s">
        <v>113</v>
      </c>
      <c r="S215" s="25"/>
      <c r="T215" s="79"/>
      <c r="U215" s="86"/>
      <c r="V215" s="5"/>
    </row>
    <row r="216" spans="1:22" ht="15.6" x14ac:dyDescent="0.3">
      <c r="A216" s="87"/>
      <c r="B216" s="122" t="s">
        <v>85</v>
      </c>
      <c r="C216" s="76"/>
      <c r="D216" s="76"/>
      <c r="E216" s="76"/>
      <c r="F216" s="76"/>
      <c r="G216" s="25"/>
      <c r="H216" s="25"/>
      <c r="I216" s="25"/>
      <c r="J216" s="25"/>
      <c r="K216" s="25"/>
      <c r="L216" s="25"/>
      <c r="M216" s="25"/>
      <c r="N216" s="25"/>
      <c r="O216" s="25"/>
      <c r="P216" s="25"/>
      <c r="Q216" s="25"/>
      <c r="R216" s="85"/>
      <c r="S216" s="25"/>
      <c r="T216" s="79"/>
      <c r="U216" s="88"/>
      <c r="V216" s="5"/>
    </row>
    <row r="217" spans="1:22" ht="15.6" x14ac:dyDescent="0.3">
      <c r="A217" s="87"/>
      <c r="B217" s="131" t="s">
        <v>86</v>
      </c>
      <c r="C217" s="76"/>
      <c r="D217" s="76"/>
      <c r="E217" s="76"/>
      <c r="F217" s="76"/>
      <c r="G217" s="25"/>
      <c r="H217" s="25"/>
      <c r="I217" s="25"/>
      <c r="J217" s="25"/>
      <c r="K217" s="25"/>
      <c r="L217" s="25"/>
      <c r="M217" s="25"/>
      <c r="N217" s="25"/>
      <c r="O217" s="25"/>
      <c r="P217" s="25"/>
      <c r="Q217" s="30"/>
      <c r="R217" s="85">
        <f>T162</f>
        <v>9</v>
      </c>
      <c r="S217" s="25"/>
      <c r="T217" s="79"/>
      <c r="U217" s="88"/>
      <c r="V217" s="5"/>
    </row>
    <row r="218" spans="1:22" ht="15.6" x14ac:dyDescent="0.3">
      <c r="A218" s="84"/>
      <c r="B218" s="76" t="s">
        <v>87</v>
      </c>
      <c r="C218" s="54"/>
      <c r="D218" s="54"/>
      <c r="E218" s="54"/>
      <c r="F218" s="54"/>
      <c r="G218" s="25"/>
      <c r="H218" s="25"/>
      <c r="I218" s="25"/>
      <c r="J218" s="25"/>
      <c r="K218" s="25"/>
      <c r="L218" s="25"/>
      <c r="M218" s="25"/>
      <c r="N218" s="25"/>
      <c r="O218" s="25"/>
      <c r="P218" s="25"/>
      <c r="Q218" s="30"/>
      <c r="R218" s="85">
        <f>+'September 08'!R218+R217</f>
        <v>209</v>
      </c>
      <c r="S218" s="25"/>
      <c r="T218" s="79"/>
      <c r="U218" s="88"/>
      <c r="V218" s="5"/>
    </row>
    <row r="219" spans="1:22" ht="15.6" x14ac:dyDescent="0.3">
      <c r="A219" s="87"/>
      <c r="B219" s="122" t="s">
        <v>282</v>
      </c>
      <c r="C219" s="76"/>
      <c r="D219" s="76"/>
      <c r="E219" s="76"/>
      <c r="F219" s="76"/>
      <c r="G219" s="25"/>
      <c r="H219" s="25"/>
      <c r="I219" s="25"/>
      <c r="J219" s="25"/>
      <c r="K219" s="25"/>
      <c r="L219" s="25"/>
      <c r="M219" s="25"/>
      <c r="N219" s="25"/>
      <c r="O219" s="25"/>
      <c r="P219" s="25"/>
      <c r="Q219" s="30"/>
      <c r="R219" s="85"/>
      <c r="S219" s="25"/>
      <c r="T219" s="79"/>
      <c r="U219" s="88"/>
      <c r="V219" s="5"/>
    </row>
    <row r="220" spans="1:22" ht="15.6" x14ac:dyDescent="0.3">
      <c r="A220" s="87"/>
      <c r="B220" s="76" t="s">
        <v>280</v>
      </c>
      <c r="C220" s="76"/>
      <c r="D220" s="76"/>
      <c r="E220" s="76"/>
      <c r="F220" s="76"/>
      <c r="G220" s="25"/>
      <c r="H220" s="25"/>
      <c r="I220" s="25"/>
      <c r="J220" s="25"/>
      <c r="K220" s="25"/>
      <c r="L220" s="25"/>
      <c r="M220" s="25"/>
      <c r="N220" s="25"/>
      <c r="O220" s="25"/>
      <c r="P220" s="25"/>
      <c r="Q220" s="30">
        <v>1</v>
      </c>
      <c r="R220" s="85">
        <v>236</v>
      </c>
      <c r="S220" s="25"/>
      <c r="T220" s="79"/>
      <c r="U220" s="88"/>
      <c r="V220" s="5"/>
    </row>
    <row r="221" spans="1:22" ht="15.6" x14ac:dyDescent="0.3">
      <c r="A221" s="84"/>
      <c r="B221" s="76" t="s">
        <v>89</v>
      </c>
      <c r="C221" s="89"/>
      <c r="D221" s="89"/>
      <c r="E221" s="89"/>
      <c r="F221" s="90"/>
      <c r="G221" s="25"/>
      <c r="H221" s="25"/>
      <c r="I221" s="25"/>
      <c r="J221" s="25"/>
      <c r="K221" s="25"/>
      <c r="L221" s="25"/>
      <c r="M221" s="25"/>
      <c r="N221" s="25"/>
      <c r="O221" s="25"/>
      <c r="P221" s="25"/>
      <c r="Q221" s="25"/>
      <c r="R221" s="62">
        <v>24.42</v>
      </c>
      <c r="S221" s="25"/>
      <c r="T221" s="79"/>
      <c r="U221" s="88"/>
      <c r="V221" s="5"/>
    </row>
    <row r="222" spans="1:22" ht="15.6" x14ac:dyDescent="0.3">
      <c r="A222" s="84"/>
      <c r="B222" s="76" t="s">
        <v>90</v>
      </c>
      <c r="C222" s="89"/>
      <c r="D222" s="89"/>
      <c r="E222" s="89"/>
      <c r="F222" s="90"/>
      <c r="G222" s="25"/>
      <c r="H222" s="25"/>
      <c r="I222" s="25"/>
      <c r="J222" s="25"/>
      <c r="K222" s="25"/>
      <c r="L222" s="25"/>
      <c r="M222" s="25"/>
      <c r="N222" s="25"/>
      <c r="O222" s="25"/>
      <c r="P222" s="25"/>
      <c r="Q222" s="25"/>
      <c r="R222" s="62">
        <v>12.06</v>
      </c>
      <c r="S222" s="25"/>
      <c r="T222" s="79"/>
      <c r="U222" s="88"/>
      <c r="V222" s="5"/>
    </row>
    <row r="223" spans="1:22" ht="15.6" x14ac:dyDescent="0.3">
      <c r="A223" s="84"/>
      <c r="B223" s="122" t="s">
        <v>226</v>
      </c>
      <c r="C223" s="89"/>
      <c r="D223" s="89"/>
      <c r="E223" s="89"/>
      <c r="F223" s="90"/>
      <c r="G223" s="25"/>
      <c r="H223" s="25"/>
      <c r="I223" s="25"/>
      <c r="J223" s="25"/>
      <c r="K223" s="25"/>
      <c r="L223" s="25"/>
      <c r="M223" s="25"/>
      <c r="N223" s="25"/>
      <c r="O223" s="25"/>
      <c r="P223" s="25"/>
      <c r="Q223" s="30"/>
      <c r="R223" s="91"/>
      <c r="S223" s="25"/>
      <c r="T223" s="79"/>
      <c r="U223" s="88"/>
      <c r="V223" s="5"/>
    </row>
    <row r="224" spans="1:22" ht="15.6" x14ac:dyDescent="0.3">
      <c r="A224" s="84"/>
      <c r="B224" s="76" t="s">
        <v>280</v>
      </c>
      <c r="C224" s="89"/>
      <c r="D224" s="89"/>
      <c r="E224" s="89"/>
      <c r="F224" s="90"/>
      <c r="G224" s="25"/>
      <c r="H224" s="25"/>
      <c r="I224" s="25"/>
      <c r="J224" s="25"/>
      <c r="K224" s="25"/>
      <c r="L224" s="25"/>
      <c r="M224" s="25"/>
      <c r="N224" s="25"/>
      <c r="O224" s="25"/>
      <c r="P224" s="25"/>
      <c r="Q224" s="30">
        <v>3</v>
      </c>
      <c r="R224" s="85">
        <v>329</v>
      </c>
      <c r="S224" s="25"/>
      <c r="T224" s="79"/>
      <c r="U224" s="88"/>
      <c r="V224" s="5"/>
    </row>
    <row r="225" spans="1:23" ht="15.6" x14ac:dyDescent="0.3">
      <c r="A225" s="84"/>
      <c r="B225" s="76" t="s">
        <v>227</v>
      </c>
      <c r="C225" s="89"/>
      <c r="D225" s="89"/>
      <c r="E225" s="89"/>
      <c r="F225" s="90"/>
      <c r="G225" s="25"/>
      <c r="H225" s="25"/>
      <c r="I225" s="25"/>
      <c r="J225" s="25"/>
      <c r="K225" s="25"/>
      <c r="L225" s="25"/>
      <c r="M225" s="25"/>
      <c r="N225" s="25"/>
      <c r="O225" s="25"/>
      <c r="P225" s="25"/>
      <c r="Q225" s="30"/>
      <c r="R225" s="62">
        <v>0.72</v>
      </c>
      <c r="S225" s="25"/>
      <c r="T225" s="79"/>
      <c r="U225" s="88"/>
      <c r="V225" s="5"/>
    </row>
    <row r="226" spans="1:23" ht="15.6" x14ac:dyDescent="0.3">
      <c r="A226" s="84"/>
      <c r="B226" s="76"/>
      <c r="C226" s="89"/>
      <c r="D226" s="89"/>
      <c r="E226" s="89"/>
      <c r="F226" s="90"/>
      <c r="G226" s="25"/>
      <c r="H226" s="25"/>
      <c r="I226" s="25"/>
      <c r="J226" s="25"/>
      <c r="K226" s="25"/>
      <c r="L226" s="25"/>
      <c r="M226" s="25"/>
      <c r="N226" s="25"/>
      <c r="O226" s="25"/>
      <c r="P226" s="25"/>
      <c r="Q226" s="25"/>
      <c r="R226" s="91"/>
      <c r="S226" s="25"/>
      <c r="T226" s="79"/>
      <c r="U226" s="88"/>
      <c r="V226" s="5"/>
    </row>
    <row r="227" spans="1:23" ht="15.6" x14ac:dyDescent="0.3">
      <c r="A227" s="84"/>
      <c r="B227" s="76"/>
      <c r="C227" s="89"/>
      <c r="D227" s="89"/>
      <c r="E227" s="89"/>
      <c r="F227" s="90"/>
      <c r="G227" s="25"/>
      <c r="H227" s="25"/>
      <c r="I227" s="25"/>
      <c r="J227" s="25"/>
      <c r="K227" s="25"/>
      <c r="L227" s="25"/>
      <c r="M227" s="25"/>
      <c r="N227" s="25"/>
      <c r="O227" s="25"/>
      <c r="P227" s="25"/>
      <c r="Q227" s="25"/>
      <c r="R227" s="91"/>
      <c r="S227" s="25"/>
      <c r="T227" s="79"/>
      <c r="U227" s="88"/>
      <c r="V227" s="5"/>
    </row>
    <row r="228" spans="1:23" ht="17.399999999999999" x14ac:dyDescent="0.3">
      <c r="A228" s="84"/>
      <c r="B228" s="149" t="s">
        <v>175</v>
      </c>
      <c r="C228" s="89"/>
      <c r="D228" s="89"/>
      <c r="E228" s="89"/>
      <c r="F228" s="90"/>
      <c r="G228" s="25"/>
      <c r="H228" s="25"/>
      <c r="I228" s="25"/>
      <c r="J228" s="25"/>
      <c r="K228" s="25"/>
      <c r="L228" s="25"/>
      <c r="M228" s="25"/>
      <c r="N228" s="150" t="s">
        <v>174</v>
      </c>
      <c r="O228" s="25"/>
      <c r="P228" s="25"/>
      <c r="Q228" s="25"/>
      <c r="R228" s="91"/>
      <c r="S228" s="25"/>
      <c r="T228" s="79"/>
      <c r="U228" s="88"/>
      <c r="V228" s="5"/>
    </row>
    <row r="229" spans="1:23" ht="15.6" x14ac:dyDescent="0.3">
      <c r="A229" s="84"/>
      <c r="B229" s="76"/>
      <c r="C229" s="89"/>
      <c r="D229" s="89"/>
      <c r="E229" s="89"/>
      <c r="F229" s="90"/>
      <c r="G229" s="25"/>
      <c r="H229" s="25"/>
      <c r="I229" s="25"/>
      <c r="J229" s="25"/>
      <c r="K229" s="25"/>
      <c r="L229" s="25"/>
      <c r="M229" s="25"/>
      <c r="N229" s="25"/>
      <c r="O229" s="25"/>
      <c r="P229" s="25"/>
      <c r="Q229" s="25"/>
      <c r="R229" s="91"/>
      <c r="S229" s="25"/>
      <c r="T229" s="79"/>
      <c r="U229" s="88"/>
      <c r="V229" s="5"/>
    </row>
    <row r="230" spans="1:23" ht="15.6" x14ac:dyDescent="0.3">
      <c r="A230" s="6"/>
      <c r="B230" s="14" t="s">
        <v>169</v>
      </c>
      <c r="C230" s="81"/>
      <c r="D230" s="81"/>
      <c r="E230" s="81"/>
      <c r="F230" s="82"/>
      <c r="G230" s="81"/>
      <c r="H230" s="17"/>
      <c r="I230" s="17"/>
      <c r="J230" s="17"/>
      <c r="K230" s="17"/>
      <c r="L230" s="17"/>
      <c r="M230" s="17"/>
      <c r="N230" s="17"/>
      <c r="O230" s="17"/>
      <c r="P230" s="83" t="s">
        <v>105</v>
      </c>
      <c r="Q230" s="17" t="s">
        <v>106</v>
      </c>
      <c r="R230" s="83" t="s">
        <v>114</v>
      </c>
      <c r="S230" s="17" t="s">
        <v>106</v>
      </c>
      <c r="T230" s="8"/>
      <c r="U230" s="92"/>
      <c r="V230" s="5"/>
    </row>
    <row r="231" spans="1:23" ht="15.6" x14ac:dyDescent="0.3">
      <c r="A231" s="24"/>
      <c r="B231" s="54" t="s">
        <v>91</v>
      </c>
      <c r="C231" s="93"/>
      <c r="D231" s="93"/>
      <c r="E231" s="93"/>
      <c r="F231" s="25"/>
      <c r="G231" s="93"/>
      <c r="H231" s="93"/>
      <c r="I231" s="93"/>
      <c r="J231" s="93"/>
      <c r="K231" s="93"/>
      <c r="L231" s="93"/>
      <c r="M231" s="93"/>
      <c r="N231" s="93"/>
      <c r="O231" s="93"/>
      <c r="P231" s="54">
        <v>4462</v>
      </c>
      <c r="Q231" s="94">
        <f t="shared" ref="Q231:Q238" si="1">P231/$P$240</f>
        <v>0.97253705318221451</v>
      </c>
      <c r="R231" s="53">
        <v>592343</v>
      </c>
      <c r="S231" s="132">
        <f t="shared" ref="S231:S238" si="2">R231/$R$240</f>
        <v>0.97310399776578527</v>
      </c>
      <c r="T231" s="79"/>
      <c r="U231" s="88"/>
      <c r="V231" s="5"/>
    </row>
    <row r="232" spans="1:23" ht="15.6" x14ac:dyDescent="0.3">
      <c r="A232" s="24"/>
      <c r="B232" s="54" t="s">
        <v>92</v>
      </c>
      <c r="C232" s="93"/>
      <c r="D232" s="93"/>
      <c r="E232" s="93"/>
      <c r="F232" s="25"/>
      <c r="G232" s="94"/>
      <c r="H232" s="93"/>
      <c r="I232" s="93"/>
      <c r="J232" s="93"/>
      <c r="K232" s="93"/>
      <c r="L232" s="93"/>
      <c r="M232" s="93"/>
      <c r="N232" s="93"/>
      <c r="O232" s="93"/>
      <c r="P232" s="54">
        <v>65</v>
      </c>
      <c r="Q232" s="94">
        <f t="shared" si="1"/>
        <v>1.4167393199651265E-2</v>
      </c>
      <c r="R232" s="53">
        <v>8869</v>
      </c>
      <c r="S232" s="132">
        <f t="shared" si="2"/>
        <v>1.4570036880970569E-2</v>
      </c>
      <c r="T232" s="79"/>
      <c r="U232" s="88"/>
      <c r="V232" s="5"/>
      <c r="W232" s="109"/>
    </row>
    <row r="233" spans="1:23" ht="15.6" x14ac:dyDescent="0.3">
      <c r="A233" s="24"/>
      <c r="B233" s="54" t="s">
        <v>93</v>
      </c>
      <c r="C233" s="93"/>
      <c r="D233" s="93"/>
      <c r="E233" s="93"/>
      <c r="F233" s="25"/>
      <c r="G233" s="94"/>
      <c r="H233" s="93"/>
      <c r="I233" s="93"/>
      <c r="J233" s="93"/>
      <c r="K233" s="93"/>
      <c r="L233" s="93"/>
      <c r="M233" s="93"/>
      <c r="N233" s="93"/>
      <c r="O233" s="93"/>
      <c r="P233" s="54">
        <v>39</v>
      </c>
      <c r="Q233" s="94">
        <f t="shared" si="1"/>
        <v>8.5004359197907581E-3</v>
      </c>
      <c r="R233" s="53">
        <v>4664</v>
      </c>
      <c r="S233" s="132">
        <f t="shared" si="2"/>
        <v>7.6620421708024277E-3</v>
      </c>
      <c r="T233" s="79"/>
      <c r="U233" s="88"/>
      <c r="V233" s="5"/>
    </row>
    <row r="234" spans="1:23" ht="15.6" x14ac:dyDescent="0.3">
      <c r="A234" s="24"/>
      <c r="B234" s="54" t="s">
        <v>163</v>
      </c>
      <c r="C234" s="93"/>
      <c r="D234" s="93"/>
      <c r="E234" s="93"/>
      <c r="F234" s="25"/>
      <c r="G234" s="94"/>
      <c r="H234" s="93"/>
      <c r="I234" s="93"/>
      <c r="J234" s="93"/>
      <c r="K234" s="93"/>
      <c r="L234" s="93"/>
      <c r="M234" s="93"/>
      <c r="N234" s="93"/>
      <c r="O234" s="93"/>
      <c r="P234" s="54">
        <v>13</v>
      </c>
      <c r="Q234" s="94">
        <f t="shared" si="1"/>
        <v>2.8334786399302528E-3</v>
      </c>
      <c r="R234" s="53">
        <v>1491</v>
      </c>
      <c r="S234" s="132">
        <f t="shared" si="2"/>
        <v>2.4494221433675857E-3</v>
      </c>
      <c r="T234" s="79"/>
      <c r="U234" s="88"/>
      <c r="V234" s="5"/>
      <c r="W234" s="109"/>
    </row>
    <row r="235" spans="1:23" ht="15.6" x14ac:dyDescent="0.3">
      <c r="A235" s="24"/>
      <c r="B235" s="54" t="s">
        <v>164</v>
      </c>
      <c r="C235" s="93"/>
      <c r="D235" s="93"/>
      <c r="E235" s="93"/>
      <c r="F235" s="25"/>
      <c r="G235" s="94"/>
      <c r="H235" s="93"/>
      <c r="I235" s="93"/>
      <c r="J235" s="93"/>
      <c r="K235" s="93"/>
      <c r="L235" s="93"/>
      <c r="M235" s="93"/>
      <c r="N235" s="93"/>
      <c r="O235" s="93"/>
      <c r="P235" s="54">
        <v>5</v>
      </c>
      <c r="Q235" s="94">
        <f t="shared" si="1"/>
        <v>1.089799476896251E-3</v>
      </c>
      <c r="R235" s="53">
        <v>719</v>
      </c>
      <c r="S235" s="132">
        <f t="shared" si="2"/>
        <v>1.1811767411678701E-3</v>
      </c>
      <c r="T235" s="79"/>
      <c r="U235" s="88"/>
      <c r="V235" s="5"/>
    </row>
    <row r="236" spans="1:23" ht="15.6" x14ac:dyDescent="0.3">
      <c r="A236" s="24"/>
      <c r="B236" s="54" t="s">
        <v>165</v>
      </c>
      <c r="C236" s="93"/>
      <c r="D236" s="93"/>
      <c r="E236" s="93"/>
      <c r="F236" s="25"/>
      <c r="G236" s="94"/>
      <c r="H236" s="93"/>
      <c r="I236" s="93"/>
      <c r="J236" s="93"/>
      <c r="K236" s="93"/>
      <c r="L236" s="93"/>
      <c r="M236" s="93"/>
      <c r="N236" s="93"/>
      <c r="O236" s="93"/>
      <c r="P236" s="54">
        <v>2</v>
      </c>
      <c r="Q236" s="94">
        <f t="shared" si="1"/>
        <v>4.3591979075850045E-4</v>
      </c>
      <c r="R236" s="53">
        <v>379</v>
      </c>
      <c r="S236" s="132">
        <f t="shared" si="2"/>
        <v>6.2262306662395374E-4</v>
      </c>
      <c r="T236" s="79"/>
      <c r="U236" s="88"/>
      <c r="V236" s="5"/>
      <c r="W236" s="109"/>
    </row>
    <row r="237" spans="1:23" ht="15.6" x14ac:dyDescent="0.3">
      <c r="A237" s="24"/>
      <c r="B237" s="54" t="s">
        <v>166</v>
      </c>
      <c r="C237" s="93"/>
      <c r="D237" s="93"/>
      <c r="E237" s="93"/>
      <c r="F237" s="25"/>
      <c r="G237" s="94"/>
      <c r="H237" s="93"/>
      <c r="I237" s="93"/>
      <c r="J237" s="93"/>
      <c r="K237" s="93"/>
      <c r="L237" s="93"/>
      <c r="M237" s="93"/>
      <c r="N237" s="93"/>
      <c r="O237" s="93"/>
      <c r="P237" s="54">
        <v>2</v>
      </c>
      <c r="Q237" s="94">
        <f t="shared" si="1"/>
        <v>4.3591979075850045E-4</v>
      </c>
      <c r="R237" s="53">
        <v>250</v>
      </c>
      <c r="S237" s="132">
        <f t="shared" si="2"/>
        <v>4.1070123128229141E-4</v>
      </c>
      <c r="T237" s="79"/>
      <c r="U237" s="88"/>
      <c r="V237" s="5"/>
    </row>
    <row r="238" spans="1:23" ht="15.6" x14ac:dyDescent="0.3">
      <c r="A238" s="24"/>
      <c r="B238" s="54" t="s">
        <v>167</v>
      </c>
      <c r="C238" s="93"/>
      <c r="D238" s="93"/>
      <c r="E238" s="93"/>
      <c r="F238" s="25"/>
      <c r="G238" s="94"/>
      <c r="H238" s="93"/>
      <c r="I238" s="93"/>
      <c r="J238" s="93"/>
      <c r="K238" s="93"/>
      <c r="L238" s="93"/>
      <c r="M238" s="93"/>
      <c r="N238" s="93"/>
      <c r="O238" s="93"/>
      <c r="P238" s="54">
        <v>0</v>
      </c>
      <c r="Q238" s="94">
        <f t="shared" si="1"/>
        <v>0</v>
      </c>
      <c r="R238" s="53">
        <v>0</v>
      </c>
      <c r="S238" s="132">
        <f t="shared" si="2"/>
        <v>0</v>
      </c>
      <c r="T238" s="79"/>
      <c r="U238" s="88"/>
      <c r="V238" s="5"/>
      <c r="W238" s="109"/>
    </row>
    <row r="239" spans="1:23" ht="15.6" x14ac:dyDescent="0.3">
      <c r="A239" s="24"/>
      <c r="B239" s="54"/>
      <c r="C239" s="93"/>
      <c r="D239" s="93"/>
      <c r="E239" s="93"/>
      <c r="F239" s="25"/>
      <c r="G239" s="94"/>
      <c r="H239" s="93"/>
      <c r="I239" s="93"/>
      <c r="J239" s="93"/>
      <c r="K239" s="93"/>
      <c r="L239" s="93"/>
      <c r="M239" s="93"/>
      <c r="N239" s="93"/>
      <c r="O239" s="93"/>
      <c r="P239" s="54"/>
      <c r="Q239" s="94"/>
      <c r="R239" s="53"/>
      <c r="S239" s="132"/>
      <c r="T239" s="79"/>
      <c r="U239" s="88"/>
      <c r="V239" s="5"/>
    </row>
    <row r="240" spans="1:23" ht="15.6" x14ac:dyDescent="0.3">
      <c r="A240" s="24"/>
      <c r="B240" s="25" t="s">
        <v>120</v>
      </c>
      <c r="C240" s="25"/>
      <c r="D240" s="25"/>
      <c r="E240" s="25"/>
      <c r="F240" s="25"/>
      <c r="G240" s="25"/>
      <c r="H240" s="95"/>
      <c r="I240" s="95"/>
      <c r="J240" s="95"/>
      <c r="K240" s="95"/>
      <c r="L240" s="95"/>
      <c r="M240" s="95"/>
      <c r="N240" s="95"/>
      <c r="O240" s="95"/>
      <c r="P240" s="34">
        <f>SUM(P231:P239)</f>
        <v>4588</v>
      </c>
      <c r="Q240" s="132">
        <f>SUM(Q231:Q239)</f>
        <v>1</v>
      </c>
      <c r="R240" s="53">
        <f>SUM(R231:R239)</f>
        <v>608715</v>
      </c>
      <c r="S240" s="132">
        <f>SUM(S231:S239)</f>
        <v>1.0000000000000002</v>
      </c>
      <c r="T240" s="25"/>
      <c r="U240" s="25"/>
      <c r="V240" s="5"/>
    </row>
    <row r="241" spans="1:22" ht="15.6" x14ac:dyDescent="0.3">
      <c r="A241" s="24"/>
      <c r="B241" s="25"/>
      <c r="C241" s="25"/>
      <c r="D241" s="25"/>
      <c r="E241" s="25"/>
      <c r="F241" s="25"/>
      <c r="G241" s="25"/>
      <c r="H241" s="95"/>
      <c r="I241" s="95"/>
      <c r="J241" s="95"/>
      <c r="K241" s="95"/>
      <c r="L241" s="95"/>
      <c r="M241" s="95"/>
      <c r="N241" s="95"/>
      <c r="O241" s="95"/>
      <c r="P241" s="34"/>
      <c r="Q241" s="132"/>
      <c r="R241" s="53"/>
      <c r="S241" s="132"/>
      <c r="T241" s="25"/>
      <c r="U241" s="25"/>
      <c r="V241" s="5"/>
    </row>
    <row r="242" spans="1:22" ht="15.6" x14ac:dyDescent="0.3">
      <c r="A242" s="141"/>
      <c r="B242" s="14" t="s">
        <v>267</v>
      </c>
      <c r="C242" s="81"/>
      <c r="D242" s="81"/>
      <c r="E242" s="81"/>
      <c r="F242" s="82"/>
      <c r="G242" s="81"/>
      <c r="H242" s="17"/>
      <c r="I242" s="17"/>
      <c r="J242" s="17"/>
      <c r="K242" s="17"/>
      <c r="L242" s="17"/>
      <c r="M242" s="17"/>
      <c r="N242" s="17"/>
      <c r="O242" s="17"/>
      <c r="P242" s="83" t="s">
        <v>105</v>
      </c>
      <c r="Q242" s="17" t="s">
        <v>106</v>
      </c>
      <c r="R242" s="83" t="s">
        <v>114</v>
      </c>
      <c r="S242" s="17" t="s">
        <v>106</v>
      </c>
      <c r="T242" s="139"/>
      <c r="U242" s="140"/>
      <c r="V242" s="5"/>
    </row>
    <row r="243" spans="1:22" ht="15.6" x14ac:dyDescent="0.3">
      <c r="A243" s="24"/>
      <c r="B243" s="54" t="s">
        <v>91</v>
      </c>
      <c r="C243" s="93"/>
      <c r="D243" s="93"/>
      <c r="E243" s="93"/>
      <c r="F243" s="25"/>
      <c r="G243" s="93"/>
      <c r="H243" s="93"/>
      <c r="I243" s="93"/>
      <c r="J243" s="93"/>
      <c r="K243" s="93"/>
      <c r="L243" s="93"/>
      <c r="M243" s="93"/>
      <c r="N243" s="93"/>
      <c r="O243" s="93"/>
      <c r="P243" s="54">
        <v>26</v>
      </c>
      <c r="Q243" s="94">
        <f t="shared" ref="Q243:Q250" si="3">P243/$P$252</f>
        <v>0.19117647058823528</v>
      </c>
      <c r="R243" s="53">
        <v>4895</v>
      </c>
      <c r="S243" s="132">
        <f t="shared" ref="S243:S250" si="4">R243/$R$252</f>
        <v>0.23090711826029531</v>
      </c>
      <c r="T243" s="25"/>
      <c r="U243" s="25"/>
      <c r="V243" s="5"/>
    </row>
    <row r="244" spans="1:22" ht="15.6" x14ac:dyDescent="0.3">
      <c r="A244" s="24"/>
      <c r="B244" s="54" t="s">
        <v>92</v>
      </c>
      <c r="C244" s="93"/>
      <c r="D244" s="93"/>
      <c r="E244" s="93"/>
      <c r="F244" s="25"/>
      <c r="G244" s="94"/>
      <c r="H244" s="93"/>
      <c r="I244" s="93"/>
      <c r="J244" s="93"/>
      <c r="K244" s="93"/>
      <c r="L244" s="93"/>
      <c r="M244" s="93"/>
      <c r="N244" s="93"/>
      <c r="O244" s="93"/>
      <c r="P244" s="54">
        <v>40</v>
      </c>
      <c r="Q244" s="94">
        <f t="shared" si="3"/>
        <v>0.29411764705882354</v>
      </c>
      <c r="R244" s="53">
        <v>6287</v>
      </c>
      <c r="S244" s="132">
        <f t="shared" si="4"/>
        <v>0.29657059295249777</v>
      </c>
      <c r="T244" s="25"/>
      <c r="U244" s="25"/>
      <c r="V244" s="5"/>
    </row>
    <row r="245" spans="1:22" ht="15.6" x14ac:dyDescent="0.3">
      <c r="A245" s="24"/>
      <c r="B245" s="54" t="s">
        <v>93</v>
      </c>
      <c r="C245" s="93"/>
      <c r="D245" s="93"/>
      <c r="E245" s="93"/>
      <c r="F245" s="25"/>
      <c r="G245" s="94"/>
      <c r="H245" s="93"/>
      <c r="I245" s="93"/>
      <c r="J245" s="93"/>
      <c r="K245" s="93"/>
      <c r="L245" s="93"/>
      <c r="M245" s="93"/>
      <c r="N245" s="93"/>
      <c r="O245" s="93"/>
      <c r="P245" s="54">
        <v>6</v>
      </c>
      <c r="Q245" s="94">
        <f t="shared" si="3"/>
        <v>4.4117647058823532E-2</v>
      </c>
      <c r="R245" s="53">
        <v>891</v>
      </c>
      <c r="S245" s="132">
        <f t="shared" si="4"/>
        <v>4.2030284447379593E-2</v>
      </c>
      <c r="T245" s="25"/>
      <c r="U245" s="25"/>
      <c r="V245" s="5"/>
    </row>
    <row r="246" spans="1:22" ht="15.6" x14ac:dyDescent="0.3">
      <c r="A246" s="24"/>
      <c r="B246" s="54" t="s">
        <v>163</v>
      </c>
      <c r="C246" s="93"/>
      <c r="D246" s="93"/>
      <c r="E246" s="93"/>
      <c r="F246" s="25"/>
      <c r="G246" s="94"/>
      <c r="H246" s="93"/>
      <c r="I246" s="93"/>
      <c r="J246" s="93"/>
      <c r="K246" s="93"/>
      <c r="L246" s="93"/>
      <c r="M246" s="93"/>
      <c r="N246" s="93"/>
      <c r="O246" s="93"/>
      <c r="P246" s="54">
        <v>10</v>
      </c>
      <c r="Q246" s="94">
        <f t="shared" si="3"/>
        <v>7.3529411764705885E-2</v>
      </c>
      <c r="R246" s="53">
        <v>1443</v>
      </c>
      <c r="S246" s="132">
        <f t="shared" si="4"/>
        <v>6.8069248549459879E-2</v>
      </c>
      <c r="T246" s="25"/>
      <c r="U246" s="25"/>
      <c r="V246" s="5"/>
    </row>
    <row r="247" spans="1:22" ht="15.6" x14ac:dyDescent="0.3">
      <c r="A247" s="24"/>
      <c r="B247" s="54" t="s">
        <v>164</v>
      </c>
      <c r="C247" s="93"/>
      <c r="D247" s="93"/>
      <c r="E247" s="93"/>
      <c r="F247" s="25"/>
      <c r="G247" s="94"/>
      <c r="H247" s="93"/>
      <c r="I247" s="93"/>
      <c r="J247" s="93"/>
      <c r="K247" s="93"/>
      <c r="L247" s="93"/>
      <c r="M247" s="93"/>
      <c r="N247" s="93"/>
      <c r="O247" s="93"/>
      <c r="P247" s="54">
        <v>7</v>
      </c>
      <c r="Q247" s="94">
        <f t="shared" si="3"/>
        <v>5.1470588235294115E-2</v>
      </c>
      <c r="R247" s="53">
        <v>899</v>
      </c>
      <c r="S247" s="132">
        <f t="shared" si="4"/>
        <v>4.240766073871409E-2</v>
      </c>
      <c r="T247" s="25"/>
      <c r="U247" s="25"/>
      <c r="V247" s="5"/>
    </row>
    <row r="248" spans="1:22" ht="15.6" x14ac:dyDescent="0.3">
      <c r="A248" s="24"/>
      <c r="B248" s="54" t="s">
        <v>165</v>
      </c>
      <c r="C248" s="93"/>
      <c r="D248" s="93"/>
      <c r="E248" s="93"/>
      <c r="F248" s="25"/>
      <c r="G248" s="94"/>
      <c r="H248" s="93"/>
      <c r="I248" s="93"/>
      <c r="J248" s="93"/>
      <c r="K248" s="93"/>
      <c r="L248" s="93"/>
      <c r="M248" s="93"/>
      <c r="N248" s="93"/>
      <c r="O248" s="93"/>
      <c r="P248" s="54">
        <v>14</v>
      </c>
      <c r="Q248" s="94">
        <f t="shared" si="3"/>
        <v>0.10294117647058823</v>
      </c>
      <c r="R248" s="53">
        <v>1654</v>
      </c>
      <c r="S248" s="132">
        <f t="shared" si="4"/>
        <v>7.8022548233407235E-2</v>
      </c>
      <c r="T248" s="25"/>
      <c r="U248" s="25"/>
      <c r="V248" s="5"/>
    </row>
    <row r="249" spans="1:22" ht="15.6" x14ac:dyDescent="0.3">
      <c r="A249" s="24"/>
      <c r="B249" s="54" t="s">
        <v>166</v>
      </c>
      <c r="C249" s="93"/>
      <c r="D249" s="93"/>
      <c r="E249" s="93"/>
      <c r="F249" s="25"/>
      <c r="G249" s="94"/>
      <c r="H249" s="93"/>
      <c r="I249" s="93"/>
      <c r="J249" s="93"/>
      <c r="K249" s="93"/>
      <c r="L249" s="93"/>
      <c r="M249" s="93"/>
      <c r="N249" s="93"/>
      <c r="O249" s="93"/>
      <c r="P249" s="54">
        <v>26</v>
      </c>
      <c r="Q249" s="94">
        <f t="shared" si="3"/>
        <v>0.19117647058823528</v>
      </c>
      <c r="R249" s="53">
        <v>4197</v>
      </c>
      <c r="S249" s="132">
        <f t="shared" si="4"/>
        <v>0.19798103684136045</v>
      </c>
      <c r="T249" s="25"/>
      <c r="U249" s="25"/>
      <c r="V249" s="5"/>
    </row>
    <row r="250" spans="1:22" ht="15.6" x14ac:dyDescent="0.3">
      <c r="A250" s="24"/>
      <c r="B250" s="54" t="s">
        <v>167</v>
      </c>
      <c r="C250" s="93"/>
      <c r="D250" s="93"/>
      <c r="E250" s="93"/>
      <c r="F250" s="25"/>
      <c r="G250" s="94"/>
      <c r="H250" s="93"/>
      <c r="I250" s="93"/>
      <c r="J250" s="93"/>
      <c r="K250" s="93"/>
      <c r="L250" s="93"/>
      <c r="M250" s="93"/>
      <c r="N250" s="93"/>
      <c r="O250" s="93"/>
      <c r="P250" s="54">
        <v>7</v>
      </c>
      <c r="Q250" s="94">
        <f t="shared" si="3"/>
        <v>5.1470588235294115E-2</v>
      </c>
      <c r="R250" s="53">
        <v>933</v>
      </c>
      <c r="S250" s="132">
        <f t="shared" si="4"/>
        <v>4.4011509976885702E-2</v>
      </c>
      <c r="T250" s="25"/>
      <c r="U250" s="25"/>
      <c r="V250" s="5"/>
    </row>
    <row r="251" spans="1:22" ht="15.6" x14ac:dyDescent="0.3">
      <c r="A251" s="24"/>
      <c r="B251" s="54"/>
      <c r="C251" s="93"/>
      <c r="D251" s="93"/>
      <c r="E251" s="93"/>
      <c r="F251" s="25"/>
      <c r="G251" s="94"/>
      <c r="H251" s="93"/>
      <c r="I251" s="93"/>
      <c r="J251" s="93"/>
      <c r="K251" s="93"/>
      <c r="L251" s="93"/>
      <c r="M251" s="93"/>
      <c r="N251" s="93"/>
      <c r="O251" s="93"/>
      <c r="P251" s="54"/>
      <c r="Q251" s="94"/>
      <c r="R251" s="53"/>
      <c r="S251" s="132"/>
      <c r="T251" s="25"/>
      <c r="U251" s="25"/>
      <c r="V251" s="5"/>
    </row>
    <row r="252" spans="1:22" ht="15.6" x14ac:dyDescent="0.3">
      <c r="A252" s="24"/>
      <c r="B252" s="25" t="s">
        <v>120</v>
      </c>
      <c r="C252" s="25"/>
      <c r="D252" s="25"/>
      <c r="E252" s="25"/>
      <c r="F252" s="25"/>
      <c r="G252" s="25"/>
      <c r="H252" s="95"/>
      <c r="I252" s="95"/>
      <c r="J252" s="95"/>
      <c r="K252" s="95"/>
      <c r="L252" s="95"/>
      <c r="M252" s="95"/>
      <c r="N252" s="95"/>
      <c r="O252" s="95"/>
      <c r="P252" s="34">
        <f>SUM(P243:P251)</f>
        <v>136</v>
      </c>
      <c r="Q252" s="132">
        <f>SUM(Q243:Q251)</f>
        <v>1</v>
      </c>
      <c r="R252" s="53">
        <f>SUM(R243:R251)</f>
        <v>21199</v>
      </c>
      <c r="S252" s="132">
        <f>SUM(S243:S251)</f>
        <v>1</v>
      </c>
      <c r="T252" s="25"/>
      <c r="U252" s="25"/>
      <c r="V252" s="5"/>
    </row>
    <row r="253" spans="1:22" ht="15.6" x14ac:dyDescent="0.3">
      <c r="A253" s="24"/>
      <c r="B253" s="25"/>
      <c r="C253" s="25"/>
      <c r="D253" s="25"/>
      <c r="E253" s="25"/>
      <c r="F253" s="25"/>
      <c r="G253" s="25"/>
      <c r="H253" s="95"/>
      <c r="I253" s="95"/>
      <c r="J253" s="95"/>
      <c r="K253" s="95"/>
      <c r="L253" s="95"/>
      <c r="M253" s="95"/>
      <c r="N253" s="95"/>
      <c r="O253" s="95"/>
      <c r="P253" s="34"/>
      <c r="Q253" s="132"/>
      <c r="R253" s="53"/>
      <c r="S253" s="132"/>
      <c r="T253" s="25"/>
      <c r="U253" s="25"/>
      <c r="V253" s="5"/>
    </row>
    <row r="254" spans="1:22" ht="15.6" x14ac:dyDescent="0.3">
      <c r="A254" s="141"/>
      <c r="B254" s="14" t="s">
        <v>170</v>
      </c>
      <c r="C254" s="139"/>
      <c r="D254" s="139"/>
      <c r="E254" s="139"/>
      <c r="F254" s="139"/>
      <c r="G254" s="139"/>
      <c r="H254" s="145"/>
      <c r="I254" s="145"/>
      <c r="J254" s="145"/>
      <c r="K254" s="145"/>
      <c r="L254" s="145"/>
      <c r="M254" s="145"/>
      <c r="N254" s="145"/>
      <c r="O254" s="145"/>
      <c r="P254" s="83" t="s">
        <v>105</v>
      </c>
      <c r="Q254" s="17" t="s">
        <v>106</v>
      </c>
      <c r="R254" s="83" t="s">
        <v>114</v>
      </c>
      <c r="S254" s="17" t="s">
        <v>106</v>
      </c>
      <c r="T254" s="139"/>
      <c r="U254" s="140"/>
      <c r="V254" s="5"/>
    </row>
    <row r="255" spans="1:22" ht="15.6" x14ac:dyDescent="0.3">
      <c r="A255" s="24"/>
      <c r="B255" s="54" t="s">
        <v>91</v>
      </c>
      <c r="C255" s="25"/>
      <c r="D255" s="25"/>
      <c r="E255" s="25"/>
      <c r="F255" s="25"/>
      <c r="G255" s="25"/>
      <c r="H255" s="95"/>
      <c r="I255" s="95"/>
      <c r="J255" s="95"/>
      <c r="K255" s="95"/>
      <c r="L255" s="95"/>
      <c r="M255" s="95"/>
      <c r="N255" s="95"/>
      <c r="O255" s="95"/>
      <c r="P255" s="54">
        <v>0</v>
      </c>
      <c r="Q255" s="94">
        <v>0</v>
      </c>
      <c r="R255" s="53">
        <v>0</v>
      </c>
      <c r="S255" s="132">
        <v>0</v>
      </c>
      <c r="T255" s="25"/>
      <c r="U255" s="25"/>
      <c r="V255" s="5"/>
    </row>
    <row r="256" spans="1:22" ht="15.6" x14ac:dyDescent="0.3">
      <c r="A256" s="24"/>
      <c r="B256" s="54" t="s">
        <v>92</v>
      </c>
      <c r="C256" s="25"/>
      <c r="D256" s="25"/>
      <c r="E256" s="25"/>
      <c r="F256" s="25"/>
      <c r="G256" s="25"/>
      <c r="H256" s="95"/>
      <c r="I256" s="95"/>
      <c r="J256" s="95"/>
      <c r="K256" s="95"/>
      <c r="L256" s="95"/>
      <c r="M256" s="95"/>
      <c r="N256" s="95"/>
      <c r="O256" s="95"/>
      <c r="P256" s="54">
        <v>0</v>
      </c>
      <c r="Q256" s="94">
        <v>0</v>
      </c>
      <c r="R256" s="53">
        <v>0</v>
      </c>
      <c r="S256" s="132">
        <v>0</v>
      </c>
      <c r="T256" s="25"/>
      <c r="U256" s="25"/>
      <c r="V256" s="5"/>
    </row>
    <row r="257" spans="1:22" ht="15.6" x14ac:dyDescent="0.3">
      <c r="A257" s="24"/>
      <c r="B257" s="54" t="s">
        <v>93</v>
      </c>
      <c r="C257" s="25"/>
      <c r="D257" s="25"/>
      <c r="E257" s="25"/>
      <c r="F257" s="25"/>
      <c r="G257" s="25"/>
      <c r="H257" s="95"/>
      <c r="I257" s="95"/>
      <c r="J257" s="95"/>
      <c r="K257" s="95"/>
      <c r="L257" s="95"/>
      <c r="M257" s="95"/>
      <c r="N257" s="95"/>
      <c r="O257" s="95"/>
      <c r="P257" s="54">
        <v>0</v>
      </c>
      <c r="Q257" s="94">
        <v>0</v>
      </c>
      <c r="R257" s="53">
        <v>0</v>
      </c>
      <c r="S257" s="132">
        <v>0</v>
      </c>
      <c r="T257" s="25"/>
      <c r="U257" s="25"/>
      <c r="V257" s="5"/>
    </row>
    <row r="258" spans="1:22" ht="15.6" x14ac:dyDescent="0.3">
      <c r="A258" s="24"/>
      <c r="B258" s="54" t="s">
        <v>163</v>
      </c>
      <c r="C258" s="25"/>
      <c r="D258" s="25"/>
      <c r="E258" s="25"/>
      <c r="F258" s="25"/>
      <c r="G258" s="25"/>
      <c r="H258" s="95"/>
      <c r="I258" s="95"/>
      <c r="J258" s="95"/>
      <c r="K258" s="95"/>
      <c r="L258" s="95"/>
      <c r="M258" s="95"/>
      <c r="N258" s="95"/>
      <c r="O258" s="95"/>
      <c r="P258" s="54">
        <v>0</v>
      </c>
      <c r="Q258" s="94">
        <v>0</v>
      </c>
      <c r="R258" s="53">
        <v>0</v>
      </c>
      <c r="S258" s="132">
        <v>0</v>
      </c>
      <c r="T258" s="25"/>
      <c r="U258" s="25"/>
      <c r="V258" s="5"/>
    </row>
    <row r="259" spans="1:22" ht="15.6" x14ac:dyDescent="0.3">
      <c r="A259" s="24"/>
      <c r="B259" s="54" t="s">
        <v>164</v>
      </c>
      <c r="C259" s="25"/>
      <c r="D259" s="25"/>
      <c r="E259" s="25"/>
      <c r="F259" s="25"/>
      <c r="G259" s="25"/>
      <c r="H259" s="95"/>
      <c r="I259" s="95"/>
      <c r="J259" s="95"/>
      <c r="K259" s="95"/>
      <c r="L259" s="95"/>
      <c r="M259" s="95"/>
      <c r="N259" s="95"/>
      <c r="O259" s="95"/>
      <c r="P259" s="54">
        <v>0</v>
      </c>
      <c r="Q259" s="94">
        <v>0</v>
      </c>
      <c r="R259" s="53">
        <v>0</v>
      </c>
      <c r="S259" s="132">
        <v>0</v>
      </c>
      <c r="T259" s="25"/>
      <c r="U259" s="25"/>
      <c r="V259" s="5"/>
    </row>
    <row r="260" spans="1:22" ht="15.6" x14ac:dyDescent="0.3">
      <c r="A260" s="24"/>
      <c r="B260" s="54" t="s">
        <v>165</v>
      </c>
      <c r="C260" s="25"/>
      <c r="D260" s="25"/>
      <c r="E260" s="25"/>
      <c r="F260" s="25"/>
      <c r="G260" s="25"/>
      <c r="H260" s="95"/>
      <c r="I260" s="95"/>
      <c r="J260" s="95"/>
      <c r="K260" s="95"/>
      <c r="L260" s="95"/>
      <c r="M260" s="95"/>
      <c r="N260" s="95"/>
      <c r="O260" s="95"/>
      <c r="P260" s="54">
        <v>0</v>
      </c>
      <c r="Q260" s="94">
        <v>0</v>
      </c>
      <c r="R260" s="53">
        <v>0</v>
      </c>
      <c r="S260" s="132">
        <v>0</v>
      </c>
      <c r="T260" s="25"/>
      <c r="U260" s="25"/>
      <c r="V260" s="5"/>
    </row>
    <row r="261" spans="1:22" ht="15.6" x14ac:dyDescent="0.3">
      <c r="A261" s="24"/>
      <c r="B261" s="54" t="s">
        <v>166</v>
      </c>
      <c r="C261" s="25"/>
      <c r="D261" s="25"/>
      <c r="E261" s="25"/>
      <c r="F261" s="25"/>
      <c r="G261" s="25"/>
      <c r="H261" s="95"/>
      <c r="I261" s="95"/>
      <c r="J261" s="95"/>
      <c r="K261" s="95"/>
      <c r="L261" s="95"/>
      <c r="M261" s="95"/>
      <c r="N261" s="95"/>
      <c r="O261" s="95"/>
      <c r="P261" s="54">
        <v>0</v>
      </c>
      <c r="Q261" s="94">
        <v>0</v>
      </c>
      <c r="R261" s="53">
        <v>0</v>
      </c>
      <c r="S261" s="132">
        <v>0</v>
      </c>
      <c r="T261" s="25"/>
      <c r="U261" s="25"/>
      <c r="V261" s="5"/>
    </row>
    <row r="262" spans="1:22" ht="15.6" x14ac:dyDescent="0.3">
      <c r="A262" s="24"/>
      <c r="B262" s="54" t="s">
        <v>167</v>
      </c>
      <c r="C262" s="25"/>
      <c r="D262" s="25"/>
      <c r="E262" s="25"/>
      <c r="F262" s="25"/>
      <c r="G262" s="25"/>
      <c r="H262" s="95"/>
      <c r="I262" s="95"/>
      <c r="J262" s="95"/>
      <c r="K262" s="95"/>
      <c r="L262" s="95"/>
      <c r="M262" s="95"/>
      <c r="N262" s="95"/>
      <c r="O262" s="95"/>
      <c r="P262" s="54">
        <v>0</v>
      </c>
      <c r="Q262" s="94">
        <v>0</v>
      </c>
      <c r="R262" s="53">
        <v>0</v>
      </c>
      <c r="S262" s="132">
        <v>0</v>
      </c>
      <c r="T262" s="25"/>
      <c r="U262" s="25"/>
      <c r="V262" s="5"/>
    </row>
    <row r="263" spans="1:22" ht="15.6" x14ac:dyDescent="0.3">
      <c r="A263" s="24"/>
      <c r="B263" s="54"/>
      <c r="C263" s="25"/>
      <c r="D263" s="25"/>
      <c r="E263" s="25"/>
      <c r="F263" s="25"/>
      <c r="G263" s="25"/>
      <c r="H263" s="95"/>
      <c r="I263" s="95"/>
      <c r="J263" s="95"/>
      <c r="K263" s="95"/>
      <c r="L263" s="95"/>
      <c r="M263" s="95"/>
      <c r="N263" s="95"/>
      <c r="O263" s="95"/>
      <c r="P263" s="54"/>
      <c r="Q263" s="94"/>
      <c r="R263" s="53"/>
      <c r="S263" s="132"/>
      <c r="T263" s="25"/>
      <c r="U263" s="25"/>
      <c r="V263" s="5"/>
    </row>
    <row r="264" spans="1:22" ht="15.6" x14ac:dyDescent="0.3">
      <c r="A264" s="24"/>
      <c r="B264" s="25" t="s">
        <v>120</v>
      </c>
      <c r="C264" s="25"/>
      <c r="D264" s="25"/>
      <c r="E264" s="25"/>
      <c r="F264" s="25"/>
      <c r="G264" s="25"/>
      <c r="H264" s="95"/>
      <c r="I264" s="95"/>
      <c r="J264" s="95"/>
      <c r="K264" s="95"/>
      <c r="L264" s="95"/>
      <c r="M264" s="95"/>
      <c r="N264" s="95"/>
      <c r="O264" s="95"/>
      <c r="P264" s="34">
        <f>SUM(P255:P262)</f>
        <v>0</v>
      </c>
      <c r="Q264" s="132">
        <f>SUM(Q255:Q263)</f>
        <v>0</v>
      </c>
      <c r="R264" s="53">
        <f>SUM(R255:R262)</f>
        <v>0</v>
      </c>
      <c r="S264" s="132">
        <f>SUM(S255:S263)</f>
        <v>0</v>
      </c>
      <c r="T264" s="25"/>
      <c r="U264" s="25"/>
      <c r="V264" s="5"/>
    </row>
    <row r="265" spans="1:22" ht="15.6" x14ac:dyDescent="0.3">
      <c r="A265" s="24"/>
      <c r="B265" s="25"/>
      <c r="C265" s="25"/>
      <c r="D265" s="25"/>
      <c r="E265" s="25"/>
      <c r="F265" s="25"/>
      <c r="G265" s="25"/>
      <c r="H265" s="95"/>
      <c r="I265" s="95"/>
      <c r="J265" s="95"/>
      <c r="K265" s="95"/>
      <c r="L265" s="95"/>
      <c r="M265" s="95"/>
      <c r="N265" s="95"/>
      <c r="O265" s="95"/>
      <c r="P265" s="34"/>
      <c r="Q265" s="132"/>
      <c r="R265" s="53"/>
      <c r="S265" s="132"/>
      <c r="T265" s="25"/>
      <c r="U265" s="25"/>
      <c r="V265" s="5"/>
    </row>
    <row r="266" spans="1:22" ht="15.6" x14ac:dyDescent="0.3">
      <c r="A266" s="24"/>
      <c r="B266" s="142" t="s">
        <v>171</v>
      </c>
      <c r="C266" s="25"/>
      <c r="D266" s="25"/>
      <c r="E266" s="25"/>
      <c r="F266" s="25"/>
      <c r="G266" s="25"/>
      <c r="H266" s="95"/>
      <c r="I266" s="95"/>
      <c r="J266" s="95"/>
      <c r="K266" s="95"/>
      <c r="L266" s="95"/>
      <c r="M266" s="95"/>
      <c r="N266" s="95"/>
      <c r="O266" s="95"/>
      <c r="P266" s="161">
        <f>P264+P252+P240</f>
        <v>4724</v>
      </c>
      <c r="Q266" s="143"/>
      <c r="R266" s="144">
        <f>+R264+R252+R240</f>
        <v>629914</v>
      </c>
      <c r="S266" s="143"/>
      <c r="T266" s="25"/>
      <c r="U266" s="25"/>
      <c r="V266" s="5"/>
    </row>
    <row r="267" spans="1:22" ht="15.6" x14ac:dyDescent="0.3">
      <c r="A267" s="24"/>
      <c r="B267" s="25"/>
      <c r="C267" s="25"/>
      <c r="D267" s="25"/>
      <c r="E267" s="25"/>
      <c r="F267" s="25"/>
      <c r="G267" s="25"/>
      <c r="H267" s="95"/>
      <c r="I267" s="95"/>
      <c r="J267" s="95"/>
      <c r="K267" s="95"/>
      <c r="L267" s="95"/>
      <c r="M267" s="95"/>
      <c r="N267" s="95"/>
      <c r="O267" s="95"/>
      <c r="P267" s="95"/>
      <c r="Q267" s="95"/>
      <c r="R267" s="53"/>
      <c r="S267" s="95"/>
      <c r="T267" s="25"/>
      <c r="U267" s="25"/>
      <c r="V267" s="5"/>
    </row>
    <row r="268" spans="1:22" ht="15.6" x14ac:dyDescent="0.3">
      <c r="A268" s="6"/>
      <c r="B268" s="8"/>
      <c r="C268" s="8"/>
      <c r="D268" s="8"/>
      <c r="E268" s="8"/>
      <c r="F268" s="8"/>
      <c r="G268" s="8"/>
      <c r="H268" s="96"/>
      <c r="I268" s="96"/>
      <c r="J268" s="96"/>
      <c r="K268" s="96"/>
      <c r="L268" s="96"/>
      <c r="M268" s="96"/>
      <c r="N268" s="96"/>
      <c r="O268" s="96"/>
      <c r="P268" s="96"/>
      <c r="Q268" s="96"/>
      <c r="R268" s="97"/>
      <c r="S268" s="96"/>
      <c r="T268" s="8"/>
      <c r="U268" s="8"/>
      <c r="V268" s="5"/>
    </row>
    <row r="269" spans="1:22" ht="15.6" x14ac:dyDescent="0.3">
      <c r="A269" s="167"/>
      <c r="B269" s="14" t="s">
        <v>94</v>
      </c>
      <c r="C269" s="15"/>
      <c r="D269" s="15"/>
      <c r="E269" s="15"/>
      <c r="F269" s="17" t="s">
        <v>100</v>
      </c>
      <c r="G269" s="15"/>
      <c r="H269" s="14" t="s">
        <v>102</v>
      </c>
      <c r="I269" s="162"/>
      <c r="J269" s="162"/>
      <c r="K269" s="162"/>
      <c r="L269" s="162"/>
      <c r="M269" s="162"/>
      <c r="N269" s="162"/>
      <c r="O269" s="162"/>
      <c r="P269" s="162"/>
      <c r="Q269" s="162"/>
      <c r="R269" s="162"/>
      <c r="S269" s="162"/>
      <c r="T269" s="162"/>
      <c r="U269" s="162"/>
      <c r="V269" s="5"/>
    </row>
    <row r="270" spans="1:22" ht="15.6" x14ac:dyDescent="0.3">
      <c r="A270" s="167"/>
      <c r="B270" s="13" t="s">
        <v>95</v>
      </c>
      <c r="C270" s="13"/>
      <c r="D270" s="13"/>
      <c r="E270" s="13"/>
      <c r="F270" s="130" t="s">
        <v>154</v>
      </c>
      <c r="G270" s="13"/>
      <c r="H270" s="13" t="s">
        <v>158</v>
      </c>
      <c r="I270" s="162"/>
      <c r="J270" s="162"/>
      <c r="K270" s="162"/>
      <c r="L270" s="162"/>
      <c r="M270" s="162"/>
      <c r="N270" s="162"/>
      <c r="O270" s="162"/>
      <c r="P270" s="162"/>
      <c r="Q270" s="162"/>
      <c r="R270" s="162"/>
      <c r="S270" s="162"/>
      <c r="T270" s="162"/>
      <c r="U270" s="162"/>
      <c r="V270" s="5"/>
    </row>
    <row r="271" spans="1:22" ht="15.6" x14ac:dyDescent="0.3">
      <c r="A271" s="167"/>
      <c r="B271" s="13" t="s">
        <v>268</v>
      </c>
      <c r="C271" s="13"/>
      <c r="D271" s="13"/>
      <c r="E271" s="13"/>
      <c r="F271" s="130" t="s">
        <v>269</v>
      </c>
      <c r="G271" s="13"/>
      <c r="H271" s="13" t="s">
        <v>270</v>
      </c>
      <c r="I271" s="162"/>
      <c r="J271" s="162"/>
      <c r="K271" s="162"/>
      <c r="L271" s="162"/>
      <c r="M271" s="162"/>
      <c r="N271" s="162"/>
      <c r="O271" s="162"/>
      <c r="P271" s="162"/>
      <c r="Q271" s="162"/>
      <c r="R271" s="162"/>
      <c r="S271" s="162"/>
      <c r="T271" s="162"/>
      <c r="U271" s="162"/>
      <c r="V271" s="5"/>
    </row>
    <row r="272" spans="1:22" ht="15.6" x14ac:dyDescent="0.3">
      <c r="A272" s="167"/>
      <c r="B272" s="13" t="s">
        <v>96</v>
      </c>
      <c r="C272" s="13"/>
      <c r="D272" s="13"/>
      <c r="E272" s="13"/>
      <c r="F272" s="130" t="s">
        <v>153</v>
      </c>
      <c r="G272" s="13"/>
      <c r="H272" s="13" t="s">
        <v>159</v>
      </c>
      <c r="I272" s="162"/>
      <c r="J272" s="162"/>
      <c r="K272" s="162"/>
      <c r="L272" s="162"/>
      <c r="M272" s="162"/>
      <c r="N272" s="162"/>
      <c r="O272" s="162"/>
      <c r="P272" s="162"/>
      <c r="Q272" s="162"/>
      <c r="R272" s="162"/>
      <c r="S272" s="162"/>
      <c r="T272" s="162"/>
      <c r="U272" s="162"/>
      <c r="V272" s="5"/>
    </row>
    <row r="273" spans="1:22" ht="15.6" x14ac:dyDescent="0.3">
      <c r="A273" s="167"/>
      <c r="B273" s="13"/>
      <c r="C273" s="13"/>
      <c r="D273" s="13"/>
      <c r="E273" s="13"/>
      <c r="F273" s="13"/>
      <c r="G273" s="99"/>
      <c r="H273" s="162"/>
      <c r="I273" s="162"/>
      <c r="J273" s="162"/>
      <c r="K273" s="162"/>
      <c r="L273" s="162"/>
      <c r="M273" s="162"/>
      <c r="N273" s="162"/>
      <c r="O273" s="162"/>
      <c r="P273" s="162"/>
      <c r="Q273" s="162"/>
      <c r="R273" s="162"/>
      <c r="S273" s="162"/>
      <c r="T273" s="162"/>
      <c r="U273" s="162"/>
      <c r="V273" s="5"/>
    </row>
    <row r="274" spans="1:22" ht="15.6" x14ac:dyDescent="0.3">
      <c r="A274" s="167"/>
      <c r="B274" s="13"/>
      <c r="C274" s="13"/>
      <c r="D274" s="13"/>
      <c r="E274" s="13"/>
      <c r="F274" s="13"/>
      <c r="G274" s="99"/>
      <c r="H274" s="162"/>
      <c r="I274" s="162"/>
      <c r="J274" s="162"/>
      <c r="K274" s="162"/>
      <c r="L274" s="162"/>
      <c r="M274" s="162"/>
      <c r="N274" s="162"/>
      <c r="O274" s="162"/>
      <c r="P274" s="162"/>
      <c r="Q274" s="162"/>
      <c r="R274" s="162"/>
      <c r="S274" s="162"/>
      <c r="T274" s="162"/>
      <c r="U274" s="162"/>
      <c r="V274" s="5"/>
    </row>
    <row r="275" spans="1:22" ht="18" thickBot="1" x14ac:dyDescent="0.35">
      <c r="A275" s="167"/>
      <c r="B275" s="49" t="str">
        <f>B192</f>
        <v>PM11 INVESTOR REPORT QUARTER ENDING DECEMBER 2008</v>
      </c>
      <c r="C275" s="13"/>
      <c r="D275" s="13"/>
      <c r="E275" s="13"/>
      <c r="F275" s="13"/>
      <c r="G275" s="99"/>
      <c r="H275" s="162"/>
      <c r="I275" s="162"/>
      <c r="J275" s="162"/>
      <c r="K275" s="162"/>
      <c r="L275" s="162"/>
      <c r="M275" s="162"/>
      <c r="N275" s="162"/>
      <c r="O275" s="162"/>
      <c r="P275" s="162"/>
      <c r="Q275" s="162"/>
      <c r="R275" s="162"/>
      <c r="S275" s="162"/>
      <c r="T275" s="162"/>
      <c r="U275" s="162"/>
      <c r="V275" s="5"/>
    </row>
    <row r="276" spans="1:22" x14ac:dyDescent="0.25">
      <c r="A276" s="100"/>
      <c r="B276" s="100"/>
      <c r="C276" s="100"/>
      <c r="D276" s="100"/>
      <c r="E276" s="100"/>
      <c r="F276" s="100"/>
      <c r="G276" s="100"/>
      <c r="H276" s="100"/>
      <c r="I276" s="100"/>
      <c r="J276" s="100"/>
      <c r="K276" s="100"/>
      <c r="L276" s="100"/>
      <c r="M276" s="100"/>
      <c r="N276" s="100"/>
      <c r="O276" s="100"/>
      <c r="P276" s="100"/>
      <c r="Q276" s="100"/>
      <c r="R276" s="100"/>
      <c r="S276" s="100"/>
      <c r="T276" s="100"/>
      <c r="U276" s="100"/>
    </row>
  </sheetData>
  <phoneticPr fontId="0" type="noConversion"/>
  <hyperlinks>
    <hyperlink ref="N228" r:id="rId1" xr:uid="{00000000-0004-0000-0A00-000000000000}"/>
    <hyperlink ref="J9" r:id="rId2" xr:uid="{00000000-0004-0000-0A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4" max="14" man="1"/>
    <brk id="133" max="14" man="1"/>
    <brk id="192" max="14" man="1"/>
  </rowBreaks>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2D2926"/>
  </sheetPr>
  <dimension ref="A1:X276"/>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08984375" style="1" customWidth="1"/>
    <col min="10" max="10" width="17.81640625" style="1" customWidth="1"/>
    <col min="11" max="11" width="2.1796875" style="1" customWidth="1"/>
    <col min="12" max="12" width="14.81640625" style="1" customWidth="1"/>
    <col min="13" max="13" width="2.1796875" style="1" customWidth="1"/>
    <col min="14" max="14" width="15.54296875" style="1" customWidth="1"/>
    <col min="15" max="15" width="2.08984375" style="1" customWidth="1"/>
    <col min="16" max="16" width="15.54296875" style="1" customWidth="1"/>
    <col min="17" max="18" width="12.81640625" style="1" customWidth="1"/>
    <col min="19" max="19" width="7.81640625" style="1" customWidth="1"/>
    <col min="20" max="20" width="14.81640625" style="1" customWidth="1"/>
    <col min="21" max="21" width="11.81640625" style="1" customWidth="1"/>
    <col min="22" max="16384" width="9.81640625" style="1"/>
  </cols>
  <sheetData>
    <row r="1" spans="1:22" ht="20.399999999999999" x14ac:dyDescent="0.35">
      <c r="A1" s="2"/>
      <c r="B1" s="3" t="s">
        <v>228</v>
      </c>
      <c r="C1" s="4"/>
      <c r="D1" s="4"/>
      <c r="E1" s="4"/>
      <c r="F1" s="4"/>
      <c r="G1" s="4"/>
      <c r="H1" s="4"/>
      <c r="I1" s="4"/>
      <c r="J1" s="4"/>
      <c r="K1" s="4"/>
      <c r="L1" s="4"/>
      <c r="M1" s="4"/>
      <c r="N1" s="4"/>
      <c r="O1" s="4"/>
      <c r="P1" s="4"/>
      <c r="Q1" s="4"/>
      <c r="R1" s="4"/>
      <c r="S1" s="4"/>
      <c r="T1" s="4"/>
      <c r="U1" s="4"/>
      <c r="V1" s="5"/>
    </row>
    <row r="2" spans="1:22" ht="15.6" x14ac:dyDescent="0.3">
      <c r="A2" s="6"/>
      <c r="B2" s="7"/>
      <c r="C2" s="8"/>
      <c r="D2" s="8"/>
      <c r="E2" s="8"/>
      <c r="F2" s="8"/>
      <c r="G2" s="8"/>
      <c r="H2" s="8"/>
      <c r="I2" s="8"/>
      <c r="J2" s="8"/>
      <c r="K2" s="8"/>
      <c r="L2" s="8"/>
      <c r="M2" s="8"/>
      <c r="N2" s="8"/>
      <c r="O2" s="8"/>
      <c r="P2" s="8"/>
      <c r="Q2" s="8"/>
      <c r="R2" s="8"/>
      <c r="S2" s="8"/>
      <c r="T2" s="8"/>
      <c r="U2" s="8"/>
      <c r="V2" s="5"/>
    </row>
    <row r="3" spans="1:22" ht="15.6" x14ac:dyDescent="0.3">
      <c r="A3" s="9"/>
      <c r="B3" s="111" t="s">
        <v>229</v>
      </c>
      <c r="C3" s="8"/>
      <c r="D3" s="8"/>
      <c r="E3" s="8"/>
      <c r="F3" s="8"/>
      <c r="G3" s="8"/>
      <c r="H3" s="8"/>
      <c r="I3" s="8"/>
      <c r="J3" s="8"/>
      <c r="K3" s="8"/>
      <c r="L3" s="8"/>
      <c r="M3" s="8"/>
      <c r="N3" s="8"/>
      <c r="O3" s="8"/>
      <c r="P3" s="8"/>
      <c r="Q3" s="8"/>
      <c r="R3" s="8"/>
      <c r="S3" s="8"/>
      <c r="T3" s="8"/>
      <c r="U3" s="8"/>
      <c r="V3" s="5"/>
    </row>
    <row r="4" spans="1:22" ht="15.6" x14ac:dyDescent="0.3">
      <c r="A4" s="6"/>
      <c r="B4" s="7"/>
      <c r="C4" s="8"/>
      <c r="D4" s="8"/>
      <c r="E4" s="8"/>
      <c r="F4" s="8"/>
      <c r="G4" s="8"/>
      <c r="H4" s="8"/>
      <c r="I4" s="8"/>
      <c r="J4" s="8"/>
      <c r="K4" s="8"/>
      <c r="L4" s="8"/>
      <c r="M4" s="8"/>
      <c r="N4" s="8"/>
      <c r="O4" s="8"/>
      <c r="P4" s="8"/>
      <c r="Q4" s="8"/>
      <c r="R4" s="8"/>
      <c r="S4" s="8"/>
      <c r="T4" s="8"/>
      <c r="U4" s="8"/>
      <c r="V4" s="5"/>
    </row>
    <row r="5" spans="1:22" ht="15.6" x14ac:dyDescent="0.3">
      <c r="A5" s="6"/>
      <c r="B5" s="11" t="s">
        <v>143</v>
      </c>
      <c r="C5" s="8"/>
      <c r="D5" s="8"/>
      <c r="E5" s="8"/>
      <c r="F5" s="8"/>
      <c r="G5" s="8"/>
      <c r="H5" s="8"/>
      <c r="I5" s="8"/>
      <c r="J5" s="8"/>
      <c r="K5" s="8"/>
      <c r="L5" s="8"/>
      <c r="M5" s="8"/>
      <c r="N5" s="8"/>
      <c r="O5" s="8"/>
      <c r="P5" s="8"/>
      <c r="Q5" s="8"/>
      <c r="R5" s="8"/>
      <c r="S5" s="8"/>
      <c r="T5" s="8"/>
      <c r="U5" s="8"/>
      <c r="V5" s="5"/>
    </row>
    <row r="6" spans="1:22" ht="15.6" x14ac:dyDescent="0.3">
      <c r="A6" s="6"/>
      <c r="B6" s="11" t="s">
        <v>145</v>
      </c>
      <c r="C6" s="8"/>
      <c r="D6" s="8"/>
      <c r="E6" s="8"/>
      <c r="F6" s="8"/>
      <c r="G6" s="8"/>
      <c r="H6" s="8"/>
      <c r="I6" s="8"/>
      <c r="J6" s="8"/>
      <c r="K6" s="8"/>
      <c r="L6" s="8"/>
      <c r="M6" s="8"/>
      <c r="N6" s="8"/>
      <c r="O6" s="8"/>
      <c r="P6" s="8"/>
      <c r="Q6" s="8"/>
      <c r="R6" s="8"/>
      <c r="S6" s="8"/>
      <c r="T6" s="8"/>
      <c r="U6" s="8"/>
      <c r="V6" s="5"/>
    </row>
    <row r="7" spans="1:22" ht="15.6" x14ac:dyDescent="0.3">
      <c r="A7" s="6"/>
      <c r="B7" s="11" t="s">
        <v>144</v>
      </c>
      <c r="C7" s="8"/>
      <c r="D7" s="8"/>
      <c r="E7" s="8"/>
      <c r="F7" s="8"/>
      <c r="G7" s="8"/>
      <c r="H7" s="8"/>
      <c r="I7" s="8"/>
      <c r="J7" s="8"/>
      <c r="K7" s="8"/>
      <c r="L7" s="8"/>
      <c r="M7" s="8"/>
      <c r="N7" s="8"/>
      <c r="O7" s="8"/>
      <c r="P7" s="8"/>
      <c r="Q7" s="8"/>
      <c r="R7" s="8"/>
      <c r="S7" s="8"/>
      <c r="T7" s="8"/>
      <c r="U7" s="8"/>
      <c r="V7" s="5"/>
    </row>
    <row r="8" spans="1:22" ht="15.6" x14ac:dyDescent="0.3">
      <c r="A8" s="6"/>
      <c r="B8" s="11"/>
      <c r="C8" s="8"/>
      <c r="D8" s="8"/>
      <c r="E8" s="8"/>
      <c r="F8" s="8"/>
      <c r="G8" s="8"/>
      <c r="H8" s="8"/>
      <c r="I8" s="8"/>
      <c r="J8" s="8"/>
      <c r="K8" s="8"/>
      <c r="L8" s="8"/>
      <c r="M8" s="8"/>
      <c r="N8" s="8"/>
      <c r="O8" s="8"/>
      <c r="P8" s="8"/>
      <c r="Q8" s="8"/>
      <c r="R8" s="8"/>
      <c r="S8" s="8"/>
      <c r="T8" s="8"/>
      <c r="U8" s="8"/>
      <c r="V8" s="5"/>
    </row>
    <row r="9" spans="1:22" ht="17.399999999999999" x14ac:dyDescent="0.3">
      <c r="A9" s="6"/>
      <c r="B9" s="147" t="s">
        <v>173</v>
      </c>
      <c r="C9" s="8"/>
      <c r="D9" s="8"/>
      <c r="E9" s="8"/>
      <c r="F9" s="8"/>
      <c r="G9" s="8"/>
      <c r="H9" s="8"/>
      <c r="I9" s="8"/>
      <c r="J9" s="148" t="s">
        <v>174</v>
      </c>
      <c r="K9" s="8"/>
      <c r="L9" s="148"/>
      <c r="M9" s="8"/>
      <c r="N9" s="8"/>
      <c r="O9" s="8"/>
      <c r="P9" s="8"/>
      <c r="Q9" s="8"/>
      <c r="R9" s="8"/>
      <c r="S9" s="8"/>
      <c r="T9" s="8"/>
      <c r="U9" s="8"/>
      <c r="V9" s="5"/>
    </row>
    <row r="10" spans="1:22" ht="15.6" x14ac:dyDescent="0.3">
      <c r="A10" s="6"/>
      <c r="B10" s="11"/>
      <c r="C10" s="13"/>
      <c r="D10" s="13"/>
      <c r="E10" s="13"/>
      <c r="F10" s="8"/>
      <c r="G10" s="8"/>
      <c r="H10" s="8"/>
      <c r="I10" s="8"/>
      <c r="J10" s="8"/>
      <c r="K10" s="8"/>
      <c r="L10" s="8"/>
      <c r="M10" s="8"/>
      <c r="N10" s="8"/>
      <c r="O10" s="8"/>
      <c r="P10" s="8"/>
      <c r="Q10" s="8"/>
      <c r="R10" s="8"/>
      <c r="S10" s="8"/>
      <c r="T10" s="8"/>
      <c r="U10" s="8"/>
      <c r="V10" s="5"/>
    </row>
    <row r="11" spans="1:22" ht="15.6" x14ac:dyDescent="0.3">
      <c r="A11" s="6"/>
      <c r="B11" s="14" t="s">
        <v>0</v>
      </c>
      <c r="C11" s="8"/>
      <c r="D11" s="8"/>
      <c r="E11" s="8"/>
      <c r="F11" s="8"/>
      <c r="G11" s="8"/>
      <c r="H11" s="8"/>
      <c r="I11" s="8"/>
      <c r="J11" s="8"/>
      <c r="K11" s="8"/>
      <c r="L11" s="8"/>
      <c r="M11" s="8"/>
      <c r="N11" s="8"/>
      <c r="O11" s="8"/>
      <c r="P11" s="8"/>
      <c r="Q11" s="8"/>
      <c r="R11" s="8"/>
      <c r="S11" s="8"/>
      <c r="T11" s="8"/>
      <c r="U11" s="8"/>
      <c r="V11" s="5"/>
    </row>
    <row r="12" spans="1:22" ht="16.2" thickBot="1" x14ac:dyDescent="0.35">
      <c r="A12" s="6"/>
      <c r="B12" s="13"/>
      <c r="C12" s="8"/>
      <c r="D12" s="8"/>
      <c r="E12" s="8"/>
      <c r="F12" s="8"/>
      <c r="G12" s="8"/>
      <c r="H12" s="8"/>
      <c r="I12" s="8"/>
      <c r="J12" s="8"/>
      <c r="K12" s="8"/>
      <c r="L12" s="8"/>
      <c r="M12" s="8"/>
      <c r="N12" s="8"/>
      <c r="O12" s="8"/>
      <c r="P12" s="8"/>
      <c r="Q12" s="8"/>
      <c r="R12" s="8"/>
      <c r="S12" s="8"/>
      <c r="T12" s="8"/>
      <c r="U12" s="8"/>
      <c r="V12" s="5"/>
    </row>
    <row r="13" spans="1:22" ht="15.6" x14ac:dyDescent="0.3">
      <c r="A13" s="2"/>
      <c r="B13" s="4"/>
      <c r="C13" s="4"/>
      <c r="D13" s="4"/>
      <c r="E13" s="4"/>
      <c r="F13" s="4"/>
      <c r="G13" s="4"/>
      <c r="H13" s="4"/>
      <c r="I13" s="4"/>
      <c r="J13" s="4"/>
      <c r="K13" s="4"/>
      <c r="L13" s="4"/>
      <c r="M13" s="4"/>
      <c r="N13" s="4"/>
      <c r="O13" s="4"/>
      <c r="P13" s="4"/>
      <c r="Q13" s="4"/>
      <c r="R13" s="4"/>
      <c r="S13" s="4"/>
      <c r="T13" s="4"/>
      <c r="U13" s="4"/>
      <c r="V13" s="5"/>
    </row>
    <row r="14" spans="1:22" ht="15.6" x14ac:dyDescent="0.3">
      <c r="A14" s="6"/>
      <c r="B14" s="14" t="s">
        <v>1</v>
      </c>
      <c r="C14" s="15"/>
      <c r="D14" s="15"/>
      <c r="E14" s="15"/>
      <c r="F14" s="15"/>
      <c r="G14" s="15"/>
      <c r="H14" s="15"/>
      <c r="I14" s="15"/>
      <c r="J14" s="15"/>
      <c r="K14" s="15"/>
      <c r="L14" s="15"/>
      <c r="M14" s="15"/>
      <c r="N14" s="15"/>
      <c r="O14" s="15"/>
      <c r="P14" s="15"/>
      <c r="Q14" s="15"/>
      <c r="R14" s="15"/>
      <c r="S14" s="15"/>
      <c r="T14" s="16" t="s">
        <v>230</v>
      </c>
      <c r="U14" s="15"/>
      <c r="V14" s="5"/>
    </row>
    <row r="15" spans="1:22" ht="15.6" x14ac:dyDescent="0.3">
      <c r="A15" s="6"/>
      <c r="B15" s="14" t="s">
        <v>2</v>
      </c>
      <c r="C15" s="15"/>
      <c r="D15" s="15"/>
      <c r="E15" s="15"/>
      <c r="F15" s="15"/>
      <c r="G15" s="15"/>
      <c r="H15" s="18"/>
      <c r="I15" s="18"/>
      <c r="J15" s="18"/>
      <c r="K15" s="18"/>
      <c r="L15" s="18"/>
      <c r="M15" s="18"/>
      <c r="N15" s="18"/>
      <c r="O15" s="18"/>
      <c r="P15" s="18" t="s">
        <v>107</v>
      </c>
      <c r="Q15" s="137">
        <v>0.40749999999999997</v>
      </c>
      <c r="R15" s="17" t="s">
        <v>146</v>
      </c>
      <c r="S15" s="137">
        <v>0.59250000000000003</v>
      </c>
      <c r="T15" s="16"/>
      <c r="U15" s="15"/>
      <c r="V15" s="5"/>
    </row>
    <row r="16" spans="1:22" ht="15.6" x14ac:dyDescent="0.3">
      <c r="A16" s="6"/>
      <c r="B16" s="14" t="s">
        <v>3</v>
      </c>
      <c r="C16" s="15"/>
      <c r="D16" s="15"/>
      <c r="E16" s="15"/>
      <c r="F16" s="15"/>
      <c r="G16" s="15"/>
      <c r="H16" s="18"/>
      <c r="I16" s="18"/>
      <c r="J16" s="18"/>
      <c r="K16" s="18"/>
      <c r="L16" s="18"/>
      <c r="M16" s="18"/>
      <c r="N16" s="18"/>
      <c r="O16" s="18"/>
      <c r="P16" s="18" t="s">
        <v>107</v>
      </c>
      <c r="Q16" s="137">
        <v>0.44469999999999998</v>
      </c>
      <c r="R16" s="17" t="s">
        <v>146</v>
      </c>
      <c r="S16" s="137">
        <v>0.55530000000000002</v>
      </c>
      <c r="T16" s="16"/>
      <c r="U16" s="15"/>
      <c r="V16" s="5"/>
    </row>
    <row r="17" spans="1:22" ht="15.6" x14ac:dyDescent="0.3">
      <c r="A17" s="6"/>
      <c r="B17" s="14" t="s">
        <v>4</v>
      </c>
      <c r="C17" s="15"/>
      <c r="D17" s="15"/>
      <c r="E17" s="15"/>
      <c r="F17" s="15"/>
      <c r="G17" s="15"/>
      <c r="H17" s="15"/>
      <c r="I17" s="15"/>
      <c r="J17" s="15"/>
      <c r="K17" s="15"/>
      <c r="L17" s="15"/>
      <c r="M17" s="15"/>
      <c r="N17" s="15"/>
      <c r="O17" s="15"/>
      <c r="P17" s="15"/>
      <c r="Q17" s="15"/>
      <c r="R17" s="15"/>
      <c r="S17" s="15"/>
      <c r="T17" s="19">
        <v>38799</v>
      </c>
      <c r="U17" s="15"/>
      <c r="V17" s="5"/>
    </row>
    <row r="18" spans="1:22" ht="15.6" x14ac:dyDescent="0.3">
      <c r="A18" s="6"/>
      <c r="B18" s="14" t="s">
        <v>5</v>
      </c>
      <c r="C18" s="15"/>
      <c r="D18" s="15"/>
      <c r="E18" s="15"/>
      <c r="F18" s="15"/>
      <c r="G18" s="15"/>
      <c r="H18" s="15"/>
      <c r="I18" s="15"/>
      <c r="J18" s="15"/>
      <c r="K18" s="15"/>
      <c r="L18" s="15"/>
      <c r="M18" s="15"/>
      <c r="N18" s="15"/>
      <c r="O18" s="15"/>
      <c r="P18" s="15"/>
      <c r="Q18" s="15"/>
      <c r="R18" s="15"/>
      <c r="S18" s="15"/>
      <c r="T18" s="19">
        <v>39925</v>
      </c>
      <c r="U18" s="15"/>
      <c r="V18" s="5"/>
    </row>
    <row r="19" spans="1:22" ht="15.6" x14ac:dyDescent="0.3">
      <c r="A19" s="6"/>
      <c r="B19" s="8"/>
      <c r="C19" s="8"/>
      <c r="D19" s="8"/>
      <c r="E19" s="8"/>
      <c r="F19" s="8"/>
      <c r="G19" s="8"/>
      <c r="H19" s="8"/>
      <c r="I19" s="8"/>
      <c r="J19" s="8"/>
      <c r="K19" s="8"/>
      <c r="L19" s="8"/>
      <c r="M19" s="8"/>
      <c r="N19" s="8"/>
      <c r="O19" s="8"/>
      <c r="P19" s="8"/>
      <c r="Q19" s="8"/>
      <c r="R19" s="8"/>
      <c r="S19" s="8"/>
      <c r="T19" s="20"/>
      <c r="U19" s="8"/>
      <c r="V19" s="5"/>
    </row>
    <row r="20" spans="1:22" ht="15.6" x14ac:dyDescent="0.3">
      <c r="A20" s="6"/>
      <c r="B20" s="21" t="s">
        <v>6</v>
      </c>
      <c r="C20" s="8"/>
      <c r="D20" s="8"/>
      <c r="E20" s="8"/>
      <c r="F20" s="8"/>
      <c r="G20" s="8"/>
      <c r="H20" s="8"/>
      <c r="I20" s="8"/>
      <c r="J20" s="8"/>
      <c r="K20" s="8"/>
      <c r="L20" s="8"/>
      <c r="M20" s="8"/>
      <c r="N20" s="8"/>
      <c r="O20" s="8"/>
      <c r="P20" s="8"/>
      <c r="Q20" s="8"/>
      <c r="R20" s="20" t="s">
        <v>108</v>
      </c>
      <c r="S20" s="8"/>
      <c r="T20" s="162"/>
      <c r="U20" s="8"/>
      <c r="V20" s="5"/>
    </row>
    <row r="21" spans="1:22" ht="15.6" x14ac:dyDescent="0.3">
      <c r="A21" s="6"/>
      <c r="B21" s="8"/>
      <c r="C21" s="8"/>
      <c r="D21" s="8"/>
      <c r="E21" s="8"/>
      <c r="F21" s="8"/>
      <c r="G21" s="8"/>
      <c r="H21" s="8"/>
      <c r="I21" s="8"/>
      <c r="J21" s="8"/>
      <c r="K21" s="8"/>
      <c r="L21" s="8"/>
      <c r="M21" s="8"/>
      <c r="N21" s="8"/>
      <c r="O21" s="8"/>
      <c r="P21" s="8"/>
      <c r="Q21" s="8"/>
      <c r="R21" s="8"/>
      <c r="S21" s="8"/>
      <c r="T21" s="22"/>
      <c r="U21" s="8"/>
      <c r="V21" s="5"/>
    </row>
    <row r="22" spans="1:22" ht="15.6" x14ac:dyDescent="0.3">
      <c r="A22" s="6"/>
      <c r="B22" s="8"/>
      <c r="C22" s="112"/>
      <c r="D22" s="112" t="s">
        <v>184</v>
      </c>
      <c r="E22" s="112"/>
      <c r="F22" s="112" t="s">
        <v>185</v>
      </c>
      <c r="G22" s="112"/>
      <c r="H22" s="112" t="s">
        <v>186</v>
      </c>
      <c r="I22" s="112"/>
      <c r="J22" s="112" t="s">
        <v>187</v>
      </c>
      <c r="K22" s="112"/>
      <c r="L22" s="112" t="s">
        <v>188</v>
      </c>
      <c r="M22" s="112"/>
      <c r="N22" s="112" t="s">
        <v>189</v>
      </c>
      <c r="O22" s="112"/>
      <c r="P22" s="112"/>
      <c r="Q22" s="113"/>
      <c r="R22" s="23"/>
      <c r="S22" s="162"/>
      <c r="T22" s="162"/>
      <c r="U22" s="8"/>
      <c r="V22" s="5"/>
    </row>
    <row r="23" spans="1:22" ht="15.6" x14ac:dyDescent="0.3">
      <c r="A23" s="24"/>
      <c r="B23" s="25" t="s">
        <v>7</v>
      </c>
      <c r="C23" s="26"/>
      <c r="D23" s="26" t="s">
        <v>222</v>
      </c>
      <c r="E23" s="26"/>
      <c r="F23" s="26" t="s">
        <v>147</v>
      </c>
      <c r="G23" s="26"/>
      <c r="H23" s="26" t="s">
        <v>147</v>
      </c>
      <c r="I23" s="26"/>
      <c r="J23" s="26" t="s">
        <v>190</v>
      </c>
      <c r="K23" s="26"/>
      <c r="L23" s="26" t="s">
        <v>190</v>
      </c>
      <c r="M23" s="26"/>
      <c r="N23" s="26" t="s">
        <v>148</v>
      </c>
      <c r="O23" s="26"/>
      <c r="P23" s="26"/>
      <c r="Q23" s="26"/>
      <c r="R23" s="26"/>
      <c r="S23" s="163"/>
      <c r="T23" s="163"/>
      <c r="U23" s="25"/>
      <c r="V23" s="5"/>
    </row>
    <row r="24" spans="1:22" ht="15.6" x14ac:dyDescent="0.3">
      <c r="A24" s="24"/>
      <c r="B24" s="25" t="s">
        <v>8</v>
      </c>
      <c r="C24" s="26"/>
      <c r="D24" s="26" t="s">
        <v>223</v>
      </c>
      <c r="E24" s="26"/>
      <c r="F24" s="26" t="s">
        <v>149</v>
      </c>
      <c r="G24" s="26"/>
      <c r="H24" s="26" t="s">
        <v>149</v>
      </c>
      <c r="I24" s="26"/>
      <c r="J24" s="26" t="s">
        <v>172</v>
      </c>
      <c r="K24" s="26"/>
      <c r="L24" s="26" t="s">
        <v>172</v>
      </c>
      <c r="M24" s="26"/>
      <c r="N24" s="26" t="s">
        <v>150</v>
      </c>
      <c r="O24" s="26"/>
      <c r="P24" s="26"/>
      <c r="Q24" s="26"/>
      <c r="R24" s="26"/>
      <c r="S24" s="163"/>
      <c r="T24" s="163"/>
      <c r="U24" s="25"/>
      <c r="V24" s="5"/>
    </row>
    <row r="25" spans="1:22" ht="15.6" x14ac:dyDescent="0.3">
      <c r="A25" s="28"/>
      <c r="B25" s="131" t="s">
        <v>198</v>
      </c>
      <c r="C25" s="123"/>
      <c r="D25" s="26" t="s">
        <v>224</v>
      </c>
      <c r="E25" s="26"/>
      <c r="F25" s="26" t="s">
        <v>149</v>
      </c>
      <c r="G25" s="26"/>
      <c r="H25" s="26" t="s">
        <v>149</v>
      </c>
      <c r="I25" s="26"/>
      <c r="J25" s="26" t="s">
        <v>172</v>
      </c>
      <c r="K25" s="26"/>
      <c r="L25" s="26" t="s">
        <v>172</v>
      </c>
      <c r="M25" s="26"/>
      <c r="N25" s="26" t="s">
        <v>150</v>
      </c>
      <c r="O25" s="26"/>
      <c r="P25" s="26"/>
      <c r="Q25" s="123"/>
      <c r="R25" s="26"/>
      <c r="S25" s="163"/>
      <c r="T25" s="163"/>
      <c r="U25" s="25"/>
      <c r="V25" s="5"/>
    </row>
    <row r="26" spans="1:22" ht="15.6" x14ac:dyDescent="0.3">
      <c r="A26" s="28"/>
      <c r="B26" s="29" t="s">
        <v>9</v>
      </c>
      <c r="C26" s="123"/>
      <c r="D26" s="123" t="s">
        <v>222</v>
      </c>
      <c r="E26" s="123"/>
      <c r="F26" s="123" t="s">
        <v>147</v>
      </c>
      <c r="G26" s="123"/>
      <c r="H26" s="123" t="s">
        <v>147</v>
      </c>
      <c r="I26" s="123"/>
      <c r="J26" s="123" t="s">
        <v>190</v>
      </c>
      <c r="K26" s="123"/>
      <c r="L26" s="123" t="s">
        <v>190</v>
      </c>
      <c r="M26" s="123"/>
      <c r="N26" s="123" t="s">
        <v>148</v>
      </c>
      <c r="O26" s="123"/>
      <c r="P26" s="123"/>
      <c r="Q26" s="123"/>
      <c r="R26" s="26"/>
      <c r="S26" s="163"/>
      <c r="T26" s="163"/>
      <c r="U26" s="25"/>
      <c r="V26" s="5"/>
    </row>
    <row r="27" spans="1:22" ht="15.6" x14ac:dyDescent="0.3">
      <c r="A27" s="24"/>
      <c r="B27" s="29" t="s">
        <v>199</v>
      </c>
      <c r="C27" s="26"/>
      <c r="D27" s="123" t="s">
        <v>223</v>
      </c>
      <c r="E27" s="123"/>
      <c r="F27" s="123" t="s">
        <v>149</v>
      </c>
      <c r="G27" s="123"/>
      <c r="H27" s="123" t="s">
        <v>149</v>
      </c>
      <c r="I27" s="123"/>
      <c r="J27" s="123" t="s">
        <v>172</v>
      </c>
      <c r="K27" s="123"/>
      <c r="L27" s="123" t="s">
        <v>172</v>
      </c>
      <c r="M27" s="123"/>
      <c r="N27" s="123" t="s">
        <v>150</v>
      </c>
      <c r="O27" s="123"/>
      <c r="P27" s="123"/>
      <c r="Q27" s="26"/>
      <c r="R27" s="30"/>
      <c r="S27" s="163"/>
      <c r="T27" s="163"/>
      <c r="U27" s="25"/>
      <c r="V27" s="5"/>
    </row>
    <row r="28" spans="1:22" ht="15.6" x14ac:dyDescent="0.3">
      <c r="A28" s="24"/>
      <c r="B28" s="153" t="s">
        <v>200</v>
      </c>
      <c r="C28" s="26"/>
      <c r="D28" s="123" t="s">
        <v>224</v>
      </c>
      <c r="E28" s="123"/>
      <c r="F28" s="123" t="s">
        <v>149</v>
      </c>
      <c r="G28" s="123"/>
      <c r="H28" s="123" t="s">
        <v>149</v>
      </c>
      <c r="I28" s="123"/>
      <c r="J28" s="123" t="s">
        <v>172</v>
      </c>
      <c r="K28" s="123"/>
      <c r="L28" s="123" t="s">
        <v>172</v>
      </c>
      <c r="M28" s="123"/>
      <c r="N28" s="123" t="s">
        <v>150</v>
      </c>
      <c r="O28" s="123"/>
      <c r="P28" s="123"/>
      <c r="Q28" s="26"/>
      <c r="R28" s="30"/>
      <c r="S28" s="163"/>
      <c r="T28" s="163"/>
      <c r="U28" s="25"/>
      <c r="V28" s="5"/>
    </row>
    <row r="29" spans="1:22" ht="15.6" x14ac:dyDescent="0.3">
      <c r="A29" s="24"/>
      <c r="B29" s="25" t="s">
        <v>10</v>
      </c>
      <c r="C29" s="32"/>
      <c r="D29" s="26" t="s">
        <v>237</v>
      </c>
      <c r="E29" s="26"/>
      <c r="F29" s="30" t="s">
        <v>238</v>
      </c>
      <c r="G29" s="26"/>
      <c r="H29" s="26" t="s">
        <v>239</v>
      </c>
      <c r="I29" s="26"/>
      <c r="J29" s="26" t="s">
        <v>240</v>
      </c>
      <c r="K29" s="26"/>
      <c r="L29" s="26" t="s">
        <v>241</v>
      </c>
      <c r="M29" s="26"/>
      <c r="N29" s="26" t="s">
        <v>242</v>
      </c>
      <c r="O29" s="26"/>
      <c r="P29" s="26"/>
      <c r="Q29" s="31"/>
      <c r="R29" s="31"/>
      <c r="S29" s="164"/>
      <c r="T29" s="31"/>
      <c r="U29" s="34"/>
      <c r="V29" s="5"/>
    </row>
    <row r="30" spans="1:22" ht="15.6" x14ac:dyDescent="0.3">
      <c r="A30" s="24"/>
      <c r="B30" s="25" t="s">
        <v>10</v>
      </c>
      <c r="C30" s="32"/>
      <c r="D30" s="26" t="s">
        <v>236</v>
      </c>
      <c r="E30" s="26"/>
      <c r="F30" s="30" t="s">
        <v>124</v>
      </c>
      <c r="G30" s="26"/>
      <c r="H30" s="26" t="s">
        <v>124</v>
      </c>
      <c r="I30" s="26"/>
      <c r="J30" s="26" t="s">
        <v>124</v>
      </c>
      <c r="K30" s="26"/>
      <c r="L30" s="26" t="s">
        <v>124</v>
      </c>
      <c r="M30" s="26"/>
      <c r="N30" s="26" t="s">
        <v>124</v>
      </c>
      <c r="O30" s="26"/>
      <c r="P30" s="26"/>
      <c r="Q30" s="31"/>
      <c r="R30" s="31"/>
      <c r="S30" s="164"/>
      <c r="T30" s="31"/>
      <c r="U30" s="34"/>
      <c r="V30" s="5"/>
    </row>
    <row r="31" spans="1:22" ht="15.6" x14ac:dyDescent="0.3">
      <c r="A31" s="28"/>
      <c r="B31" s="25" t="s">
        <v>139</v>
      </c>
      <c r="C31" s="36"/>
      <c r="D31" s="146">
        <v>985000</v>
      </c>
      <c r="E31" s="32"/>
      <c r="F31" s="31">
        <v>149500</v>
      </c>
      <c r="G31" s="31"/>
      <c r="H31" s="124">
        <v>219700</v>
      </c>
      <c r="I31" s="31"/>
      <c r="J31" s="31">
        <v>16000</v>
      </c>
      <c r="K31" s="31"/>
      <c r="L31" s="124">
        <v>82400</v>
      </c>
      <c r="M31" s="31"/>
      <c r="N31" s="124">
        <v>87500</v>
      </c>
      <c r="O31" s="31"/>
      <c r="P31" s="124"/>
      <c r="Q31" s="35"/>
      <c r="R31" s="35"/>
      <c r="S31" s="37"/>
      <c r="T31" s="35"/>
      <c r="U31" s="34"/>
      <c r="V31" s="5"/>
    </row>
    <row r="32" spans="1:22" ht="15.6" x14ac:dyDescent="0.3">
      <c r="A32" s="24"/>
      <c r="B32" s="25" t="s">
        <v>138</v>
      </c>
      <c r="C32" s="32"/>
      <c r="D32" s="146">
        <f>D38*D31</f>
        <v>564728.37549999997</v>
      </c>
      <c r="E32" s="32"/>
      <c r="F32" s="31">
        <f>F38*F31</f>
        <v>85712.62569999999</v>
      </c>
      <c r="G32" s="31"/>
      <c r="H32" s="124">
        <f>H38*H31</f>
        <v>125960.29341999999</v>
      </c>
      <c r="I32" s="31"/>
      <c r="J32" s="31">
        <f>+J31</f>
        <v>16000</v>
      </c>
      <c r="K32" s="31"/>
      <c r="L32" s="124">
        <f>+L31</f>
        <v>82400</v>
      </c>
      <c r="M32" s="31"/>
      <c r="N32" s="124">
        <f>+N31</f>
        <v>87500</v>
      </c>
      <c r="O32" s="31"/>
      <c r="P32" s="124"/>
      <c r="Q32" s="31"/>
      <c r="R32" s="31"/>
      <c r="S32" s="164"/>
      <c r="T32" s="31"/>
      <c r="U32" s="34"/>
      <c r="V32" s="5"/>
    </row>
    <row r="33" spans="1:22" ht="15.6" x14ac:dyDescent="0.3">
      <c r="A33" s="24"/>
      <c r="B33" s="29" t="s">
        <v>140</v>
      </c>
      <c r="C33" s="32"/>
      <c r="D33" s="151">
        <f>D37*D31</f>
        <v>553653.23250000004</v>
      </c>
      <c r="E33" s="36"/>
      <c r="F33" s="35">
        <f>F37*F31</f>
        <v>84031.67760000001</v>
      </c>
      <c r="G33" s="35"/>
      <c r="H33" s="125">
        <f>H31*H37</f>
        <v>123490.03056000001</v>
      </c>
      <c r="I33" s="35"/>
      <c r="J33" s="35">
        <f>J31*J37</f>
        <v>16000</v>
      </c>
      <c r="K33" s="35"/>
      <c r="L33" s="125">
        <f>L31*L37</f>
        <v>82400</v>
      </c>
      <c r="M33" s="35"/>
      <c r="N33" s="125">
        <f>N31*N37</f>
        <v>87500</v>
      </c>
      <c r="O33" s="35"/>
      <c r="P33" s="125"/>
      <c r="Q33" s="31"/>
      <c r="R33" s="31"/>
      <c r="S33" s="164"/>
      <c r="T33" s="31"/>
      <c r="U33" s="34"/>
      <c r="V33" s="5"/>
    </row>
    <row r="34" spans="1:22" ht="15.6" x14ac:dyDescent="0.3">
      <c r="A34" s="28"/>
      <c r="B34" s="25" t="s">
        <v>283</v>
      </c>
      <c r="C34" s="36"/>
      <c r="D34" s="31">
        <v>567282</v>
      </c>
      <c r="E34" s="32"/>
      <c r="F34" s="31">
        <v>149500</v>
      </c>
      <c r="G34" s="31"/>
      <c r="H34" s="31">
        <v>150716</v>
      </c>
      <c r="I34" s="31"/>
      <c r="J34" s="31">
        <v>16000</v>
      </c>
      <c r="K34" s="31"/>
      <c r="L34" s="31">
        <v>56527</v>
      </c>
      <c r="M34" s="31"/>
      <c r="N34" s="31">
        <v>60025</v>
      </c>
      <c r="O34" s="31"/>
      <c r="P34" s="31"/>
      <c r="Q34" s="35"/>
      <c r="R34" s="35"/>
      <c r="S34" s="37"/>
      <c r="T34" s="154">
        <f>SUM(C34:P34)</f>
        <v>1000050</v>
      </c>
      <c r="U34" s="34"/>
      <c r="V34" s="5"/>
    </row>
    <row r="35" spans="1:22" ht="15.6" x14ac:dyDescent="0.3">
      <c r="A35" s="28"/>
      <c r="B35" s="25" t="s">
        <v>284</v>
      </c>
      <c r="C35" s="126"/>
      <c r="D35" s="31">
        <f>D38*D34</f>
        <v>325238.82468060002</v>
      </c>
      <c r="E35" s="32"/>
      <c r="F35" s="31">
        <f>F38*F34</f>
        <v>85712.62569999999</v>
      </c>
      <c r="G35" s="31"/>
      <c r="H35" s="31">
        <f>H38*H34</f>
        <v>86409.793277599994</v>
      </c>
      <c r="I35" s="31"/>
      <c r="J35" s="31">
        <f>+J34</f>
        <v>16000</v>
      </c>
      <c r="K35" s="31"/>
      <c r="L35" s="31">
        <f>+L34</f>
        <v>56527</v>
      </c>
      <c r="M35" s="31"/>
      <c r="N35" s="31">
        <f>+N34</f>
        <v>60025</v>
      </c>
      <c r="O35" s="31"/>
      <c r="P35" s="31"/>
      <c r="Q35" s="31"/>
      <c r="R35" s="31"/>
      <c r="S35" s="164"/>
      <c r="T35" s="154">
        <f>SUM(C35:P35)+1</f>
        <v>629914.24365820002</v>
      </c>
      <c r="U35" s="34"/>
      <c r="V35" s="5"/>
    </row>
    <row r="36" spans="1:22" ht="15.6" x14ac:dyDescent="0.3">
      <c r="A36" s="28"/>
      <c r="B36" s="29" t="s">
        <v>285</v>
      </c>
      <c r="C36" s="126"/>
      <c r="D36" s="35">
        <f>D37*D34</f>
        <v>318860.419329</v>
      </c>
      <c r="E36" s="36"/>
      <c r="F36" s="35">
        <f>F37*F34</f>
        <v>84031.67760000001</v>
      </c>
      <c r="G36" s="35"/>
      <c r="H36" s="35">
        <f>H37*H34</f>
        <v>84715.172716800007</v>
      </c>
      <c r="I36" s="35"/>
      <c r="J36" s="35">
        <f>+J34</f>
        <v>16000</v>
      </c>
      <c r="K36" s="35"/>
      <c r="L36" s="35">
        <f>+L34</f>
        <v>56527</v>
      </c>
      <c r="M36" s="35"/>
      <c r="N36" s="35">
        <f>+N34</f>
        <v>60025</v>
      </c>
      <c r="O36" s="35"/>
      <c r="P36" s="35"/>
      <c r="Q36" s="128"/>
      <c r="R36" s="128"/>
      <c r="S36" s="164"/>
      <c r="T36" s="155">
        <f>SUM(C36:P36)+1</f>
        <v>620160.2696458</v>
      </c>
      <c r="U36" s="34"/>
      <c r="V36" s="5"/>
    </row>
    <row r="37" spans="1:22" ht="15.6" x14ac:dyDescent="0.3">
      <c r="A37" s="24"/>
      <c r="B37" s="122" t="s">
        <v>136</v>
      </c>
      <c r="C37" s="25"/>
      <c r="D37" s="168">
        <v>0.56208449999999999</v>
      </c>
      <c r="E37" s="136"/>
      <c r="F37" s="168">
        <v>0.56208480000000005</v>
      </c>
      <c r="G37" s="135"/>
      <c r="H37" s="168">
        <v>0.56208480000000005</v>
      </c>
      <c r="I37" s="135"/>
      <c r="J37" s="168">
        <v>1</v>
      </c>
      <c r="K37" s="135"/>
      <c r="L37" s="168">
        <v>1</v>
      </c>
      <c r="M37" s="135"/>
      <c r="N37" s="168">
        <v>1</v>
      </c>
      <c r="O37" s="135"/>
      <c r="P37" s="135"/>
      <c r="Q37" s="30"/>
      <c r="R37" s="30"/>
      <c r="S37" s="163"/>
      <c r="T37" s="163"/>
      <c r="U37" s="25"/>
      <c r="V37" s="5"/>
    </row>
    <row r="38" spans="1:22" ht="15.6" x14ac:dyDescent="0.3">
      <c r="A38" s="24"/>
      <c r="B38" s="122" t="s">
        <v>137</v>
      </c>
      <c r="C38" s="25"/>
      <c r="D38" s="168">
        <v>0.57332830000000001</v>
      </c>
      <c r="E38" s="136"/>
      <c r="F38" s="168">
        <v>0.57332859999999997</v>
      </c>
      <c r="G38" s="135"/>
      <c r="H38" s="168">
        <v>0.57332859999999997</v>
      </c>
      <c r="I38" s="135"/>
      <c r="J38" s="135">
        <v>1</v>
      </c>
      <c r="K38" s="135"/>
      <c r="L38" s="135">
        <v>1</v>
      </c>
      <c r="M38" s="135"/>
      <c r="N38" s="135">
        <v>1</v>
      </c>
      <c r="O38" s="135"/>
      <c r="P38" s="135"/>
      <c r="Q38" s="39"/>
      <c r="R38" s="38"/>
      <c r="S38" s="163"/>
      <c r="T38" s="39"/>
      <c r="U38" s="25"/>
      <c r="V38" s="5"/>
    </row>
    <row r="39" spans="1:22" ht="15.6" x14ac:dyDescent="0.3">
      <c r="A39" s="24"/>
      <c r="B39" s="25" t="s">
        <v>11</v>
      </c>
      <c r="C39" s="25"/>
      <c r="D39" s="30" t="s">
        <v>275</v>
      </c>
      <c r="E39" s="25"/>
      <c r="F39" s="30" t="s">
        <v>231</v>
      </c>
      <c r="G39" s="30"/>
      <c r="H39" s="30" t="s">
        <v>231</v>
      </c>
      <c r="I39" s="30"/>
      <c r="J39" s="30" t="s">
        <v>232</v>
      </c>
      <c r="K39" s="30"/>
      <c r="L39" s="30" t="s">
        <v>232</v>
      </c>
      <c r="M39" s="30"/>
      <c r="N39" s="30" t="s">
        <v>233</v>
      </c>
      <c r="O39" s="30"/>
      <c r="P39" s="30"/>
      <c r="Q39" s="39"/>
      <c r="R39" s="38"/>
      <c r="S39" s="163"/>
      <c r="T39" s="163"/>
      <c r="U39" s="25"/>
      <c r="V39" s="5"/>
    </row>
    <row r="40" spans="1:22" ht="15.6" x14ac:dyDescent="0.3">
      <c r="A40" s="24"/>
      <c r="B40" s="25" t="s">
        <v>12</v>
      </c>
      <c r="C40" s="25"/>
      <c r="D40" s="38">
        <v>6.5624999999999998E-3</v>
      </c>
      <c r="E40" s="25"/>
      <c r="F40" s="38">
        <v>2.3862499999999998E-2</v>
      </c>
      <c r="G40" s="39"/>
      <c r="H40" s="38">
        <v>2.7320000000000001E-2</v>
      </c>
      <c r="I40" s="39"/>
      <c r="J40" s="38">
        <v>2.5062500000000001E-2</v>
      </c>
      <c r="K40" s="39"/>
      <c r="L40" s="38">
        <v>2.852E-2</v>
      </c>
      <c r="M40" s="39"/>
      <c r="N40" s="38">
        <v>3.0620000000000001E-2</v>
      </c>
      <c r="O40" s="39"/>
      <c r="P40" s="38"/>
      <c r="Q40" s="39"/>
      <c r="R40" s="38"/>
      <c r="S40" s="163"/>
      <c r="T40" s="30"/>
      <c r="U40" s="25"/>
      <c r="V40" s="5"/>
    </row>
    <row r="41" spans="1:22" ht="15.6" x14ac:dyDescent="0.3">
      <c r="A41" s="24"/>
      <c r="B41" s="25" t="s">
        <v>13</v>
      </c>
      <c r="C41" s="25"/>
      <c r="D41" s="38">
        <v>1.295E-2</v>
      </c>
      <c r="E41" s="25"/>
      <c r="F41" s="38">
        <v>6.3299999999999995E-2</v>
      </c>
      <c r="G41" s="39"/>
      <c r="H41" s="38">
        <v>5.4379999999999998E-2</v>
      </c>
      <c r="I41" s="39"/>
      <c r="J41" s="38">
        <v>6.4500000000000002E-2</v>
      </c>
      <c r="K41" s="39"/>
      <c r="L41" s="38">
        <v>5.5579999999999997E-2</v>
      </c>
      <c r="M41" s="39"/>
      <c r="N41" s="38">
        <v>5.7680000000000002E-2</v>
      </c>
      <c r="O41" s="39"/>
      <c r="P41" s="38"/>
      <c r="Q41" s="39"/>
      <c r="R41" s="38"/>
      <c r="S41" s="163"/>
      <c r="T41" s="39" t="s">
        <v>201</v>
      </c>
      <c r="U41" s="25"/>
      <c r="V41" s="5"/>
    </row>
    <row r="42" spans="1:22" ht="15.6" x14ac:dyDescent="0.3">
      <c r="A42" s="24"/>
      <c r="B42" s="25" t="s">
        <v>286</v>
      </c>
      <c r="C42" s="25"/>
      <c r="D42" s="30" t="s">
        <v>231</v>
      </c>
      <c r="E42" s="25"/>
      <c r="F42" s="30" t="s">
        <v>231</v>
      </c>
      <c r="G42" s="30"/>
      <c r="H42" s="30" t="s">
        <v>243</v>
      </c>
      <c r="I42" s="30"/>
      <c r="J42" s="30" t="s">
        <v>232</v>
      </c>
      <c r="K42" s="30"/>
      <c r="L42" s="30" t="s">
        <v>244</v>
      </c>
      <c r="M42" s="30"/>
      <c r="N42" s="30" t="s">
        <v>246</v>
      </c>
      <c r="O42" s="30"/>
      <c r="P42" s="30"/>
      <c r="Q42" s="39"/>
      <c r="R42" s="38"/>
      <c r="S42" s="163"/>
      <c r="T42" s="163"/>
      <c r="U42" s="25"/>
      <c r="V42" s="5"/>
    </row>
    <row r="43" spans="1:22" ht="15.6" x14ac:dyDescent="0.3">
      <c r="A43" s="24"/>
      <c r="B43" s="25" t="s">
        <v>287</v>
      </c>
      <c r="C43" s="110"/>
      <c r="D43" s="38">
        <v>2.3898699999999998E-2</v>
      </c>
      <c r="E43" s="38"/>
      <c r="F43" s="38">
        <f>+F40</f>
        <v>2.3862499999999998E-2</v>
      </c>
      <c r="G43" s="38"/>
      <c r="H43" s="38">
        <v>2.38605E-2</v>
      </c>
      <c r="I43" s="38"/>
      <c r="J43" s="38">
        <f>+J40</f>
        <v>2.5062500000000001E-2</v>
      </c>
      <c r="K43" s="38"/>
      <c r="L43" s="38">
        <v>2.5215499999999998E-2</v>
      </c>
      <c r="M43" s="38"/>
      <c r="N43" s="38">
        <v>2.7567500000000002E-2</v>
      </c>
      <c r="O43" s="39"/>
      <c r="P43" s="38"/>
      <c r="Q43" s="30"/>
      <c r="R43" s="30"/>
      <c r="S43" s="163"/>
      <c r="T43" s="39">
        <f>SUMPRODUCT(D43:N43,D35:N35)/T35</f>
        <v>2.4385826187152793E-2</v>
      </c>
      <c r="U43" s="25"/>
      <c r="V43" s="5"/>
    </row>
    <row r="44" spans="1:22" ht="15.6" x14ac:dyDescent="0.3">
      <c r="A44" s="24"/>
      <c r="B44" s="25" t="s">
        <v>288</v>
      </c>
      <c r="C44" s="110"/>
      <c r="D44" s="38">
        <v>6.3336199999999995E-2</v>
      </c>
      <c r="E44" s="38"/>
      <c r="F44" s="38">
        <f>+F41</f>
        <v>6.3299999999999995E-2</v>
      </c>
      <c r="G44" s="38"/>
      <c r="H44" s="38">
        <v>6.3297999999999993E-2</v>
      </c>
      <c r="I44" s="38"/>
      <c r="J44" s="38">
        <f>+J41</f>
        <v>6.4500000000000002E-2</v>
      </c>
      <c r="K44" s="38"/>
      <c r="L44" s="38">
        <v>6.4653000000000002E-2</v>
      </c>
      <c r="M44" s="38"/>
      <c r="N44" s="38">
        <v>6.7004999999999995E-2</v>
      </c>
      <c r="O44" s="39"/>
      <c r="P44" s="38"/>
      <c r="Q44" s="30"/>
      <c r="R44" s="30"/>
      <c r="S44" s="163"/>
      <c r="T44" s="163"/>
      <c r="U44" s="25"/>
      <c r="V44" s="5"/>
    </row>
    <row r="45" spans="1:22" ht="15.6" x14ac:dyDescent="0.3">
      <c r="A45" s="24"/>
      <c r="B45" s="25" t="s">
        <v>14</v>
      </c>
      <c r="C45" s="25"/>
      <c r="D45" s="110">
        <v>40283</v>
      </c>
      <c r="E45" s="110"/>
      <c r="F45" s="110">
        <v>40283</v>
      </c>
      <c r="G45" s="110"/>
      <c r="H45" s="110">
        <v>40283</v>
      </c>
      <c r="I45" s="110"/>
      <c r="J45" s="110">
        <v>40283</v>
      </c>
      <c r="K45" s="110"/>
      <c r="L45" s="110">
        <v>40283</v>
      </c>
      <c r="M45" s="110"/>
      <c r="N45" s="110">
        <v>40283</v>
      </c>
      <c r="O45" s="110"/>
      <c r="P45" s="110"/>
      <c r="Q45" s="30"/>
      <c r="R45" s="30"/>
      <c r="S45" s="163"/>
      <c r="T45" s="163"/>
      <c r="U45" s="25"/>
      <c r="V45" s="5"/>
    </row>
    <row r="46" spans="1:22" ht="15.6" x14ac:dyDescent="0.3">
      <c r="A46" s="24"/>
      <c r="B46" s="25" t="s">
        <v>15</v>
      </c>
      <c r="C46" s="25"/>
      <c r="D46" s="110">
        <v>40648</v>
      </c>
      <c r="E46" s="110"/>
      <c r="F46" s="110">
        <v>40648</v>
      </c>
      <c r="G46" s="110"/>
      <c r="H46" s="110">
        <v>40648</v>
      </c>
      <c r="I46" s="30"/>
      <c r="J46" s="110">
        <v>40648</v>
      </c>
      <c r="K46" s="30"/>
      <c r="L46" s="110">
        <v>40648</v>
      </c>
      <c r="M46" s="30"/>
      <c r="N46" s="110">
        <v>40648</v>
      </c>
      <c r="O46" s="30"/>
      <c r="P46" s="110"/>
      <c r="Q46" s="30"/>
      <c r="R46" s="30"/>
      <c r="S46" s="163"/>
      <c r="T46" s="163"/>
      <c r="U46" s="25"/>
      <c r="V46" s="5"/>
    </row>
    <row r="47" spans="1:22" ht="15.6" x14ac:dyDescent="0.3">
      <c r="A47" s="24"/>
      <c r="B47" s="25" t="s">
        <v>125</v>
      </c>
      <c r="C47" s="25"/>
      <c r="D47" s="160" t="s">
        <v>124</v>
      </c>
      <c r="E47" s="25"/>
      <c r="F47" s="30" t="s">
        <v>232</v>
      </c>
      <c r="G47" s="30"/>
      <c r="H47" s="30" t="s">
        <v>232</v>
      </c>
      <c r="I47" s="30"/>
      <c r="J47" s="30" t="s">
        <v>234</v>
      </c>
      <c r="K47" s="30"/>
      <c r="L47" s="30" t="s">
        <v>234</v>
      </c>
      <c r="M47" s="30"/>
      <c r="N47" s="30" t="s">
        <v>235</v>
      </c>
      <c r="O47" s="30"/>
      <c r="P47" s="30"/>
      <c r="Q47" s="40"/>
      <c r="R47" s="40"/>
      <c r="S47" s="40"/>
      <c r="T47" s="40"/>
      <c r="U47" s="25"/>
      <c r="V47" s="5"/>
    </row>
    <row r="48" spans="1:22" ht="15.6" x14ac:dyDescent="0.3">
      <c r="A48" s="24"/>
      <c r="B48" s="25" t="s">
        <v>289</v>
      </c>
      <c r="C48" s="25"/>
      <c r="D48" s="30" t="s">
        <v>208</v>
      </c>
      <c r="E48" s="25"/>
      <c r="F48" s="30" t="s">
        <v>232</v>
      </c>
      <c r="G48" s="30"/>
      <c r="H48" s="30" t="s">
        <v>232</v>
      </c>
      <c r="I48" s="30"/>
      <c r="J48" s="30" t="s">
        <v>234</v>
      </c>
      <c r="K48" s="30"/>
      <c r="L48" s="30" t="s">
        <v>245</v>
      </c>
      <c r="M48" s="30"/>
      <c r="N48" s="30" t="s">
        <v>247</v>
      </c>
      <c r="O48" s="30"/>
      <c r="P48" s="30"/>
      <c r="Q48" s="25"/>
      <c r="R48" s="25"/>
      <c r="S48" s="25"/>
      <c r="T48" s="39"/>
      <c r="U48" s="25"/>
      <c r="V48" s="5"/>
    </row>
    <row r="49" spans="1:23" ht="15.6" x14ac:dyDescent="0.3">
      <c r="A49" s="24"/>
      <c r="B49" s="25"/>
      <c r="C49" s="25"/>
      <c r="D49" s="30"/>
      <c r="E49" s="25"/>
      <c r="F49" s="30"/>
      <c r="G49" s="30"/>
      <c r="H49" s="30"/>
      <c r="I49" s="30"/>
      <c r="J49" s="30"/>
      <c r="K49" s="30"/>
      <c r="L49" s="30"/>
      <c r="M49" s="30"/>
      <c r="N49" s="30"/>
      <c r="O49" s="30"/>
      <c r="P49" s="30"/>
      <c r="Q49" s="25"/>
      <c r="R49" s="25"/>
      <c r="S49" s="25"/>
      <c r="T49" s="39" t="s">
        <v>201</v>
      </c>
      <c r="U49" s="25"/>
      <c r="V49" s="5"/>
    </row>
    <row r="50" spans="1:23" ht="15.6" x14ac:dyDescent="0.3">
      <c r="A50" s="24"/>
      <c r="B50" s="25" t="s">
        <v>176</v>
      </c>
      <c r="C50" s="25"/>
      <c r="D50" s="30"/>
      <c r="E50" s="25"/>
      <c r="F50" s="30"/>
      <c r="G50" s="30"/>
      <c r="H50" s="30"/>
      <c r="I50" s="30"/>
      <c r="J50" s="30"/>
      <c r="K50" s="30"/>
      <c r="L50" s="30"/>
      <c r="M50" s="30"/>
      <c r="N50" s="30"/>
      <c r="O50" s="30"/>
      <c r="P50" s="30"/>
      <c r="Q50" s="25"/>
      <c r="R50" s="25"/>
      <c r="S50" s="25"/>
      <c r="T50" s="39">
        <f>SUM(J34:P34)/SUM(D34:H34)</f>
        <v>0.15279804679664968</v>
      </c>
      <c r="U50" s="25"/>
      <c r="V50" s="5"/>
    </row>
    <row r="51" spans="1:23" ht="15.6" x14ac:dyDescent="0.3">
      <c r="A51" s="24"/>
      <c r="B51" s="25" t="s">
        <v>177</v>
      </c>
      <c r="C51" s="25"/>
      <c r="D51" s="25"/>
      <c r="E51" s="25"/>
      <c r="F51" s="41"/>
      <c r="G51" s="25"/>
      <c r="H51" s="25"/>
      <c r="I51" s="25"/>
      <c r="J51" s="25"/>
      <c r="K51" s="25"/>
      <c r="L51" s="25"/>
      <c r="M51" s="25"/>
      <c r="N51" s="25"/>
      <c r="O51" s="25"/>
      <c r="P51" s="25"/>
      <c r="Q51" s="25"/>
      <c r="R51" s="25"/>
      <c r="S51" s="25"/>
      <c r="T51" s="39">
        <f>SUM(J36:P36)/SUM(D36:H36)</f>
        <v>0.27184172232765591</v>
      </c>
      <c r="U51" s="25"/>
      <c r="V51" s="5"/>
    </row>
    <row r="52" spans="1:23" ht="15.6" x14ac:dyDescent="0.3">
      <c r="A52" s="24"/>
      <c r="B52" s="25" t="s">
        <v>178</v>
      </c>
      <c r="C52" s="25"/>
      <c r="D52" s="25"/>
      <c r="E52" s="25"/>
      <c r="F52" s="25"/>
      <c r="G52" s="25"/>
      <c r="H52" s="25"/>
      <c r="I52" s="25"/>
      <c r="J52" s="25"/>
      <c r="K52" s="25"/>
      <c r="L52" s="25"/>
      <c r="M52" s="25"/>
      <c r="N52" s="25"/>
      <c r="O52" s="25"/>
      <c r="P52" s="25"/>
      <c r="Q52" s="25"/>
      <c r="R52" s="30" t="s">
        <v>109</v>
      </c>
      <c r="S52" s="30" t="s">
        <v>115</v>
      </c>
      <c r="T52" s="31">
        <f>+T34/2-SUM(J34:P34)</f>
        <v>367473</v>
      </c>
      <c r="U52" s="25"/>
      <c r="V52" s="5"/>
    </row>
    <row r="53" spans="1:23" ht="15.6" x14ac:dyDescent="0.3">
      <c r="A53" s="24"/>
      <c r="B53" s="25"/>
      <c r="C53" s="25"/>
      <c r="D53" s="25"/>
      <c r="E53" s="25"/>
      <c r="F53" s="25"/>
      <c r="G53" s="25"/>
      <c r="H53" s="25"/>
      <c r="I53" s="25"/>
      <c r="J53" s="25"/>
      <c r="K53" s="25"/>
      <c r="L53" s="25"/>
      <c r="M53" s="25"/>
      <c r="N53" s="25"/>
      <c r="O53" s="25"/>
      <c r="P53" s="25"/>
      <c r="Q53" s="25"/>
      <c r="R53" s="25"/>
      <c r="S53" s="25"/>
      <c r="T53" s="42"/>
      <c r="U53" s="25"/>
      <c r="V53" s="5"/>
    </row>
    <row r="54" spans="1:23" ht="15.6" x14ac:dyDescent="0.3">
      <c r="A54" s="24"/>
      <c r="B54" s="25" t="s">
        <v>211</v>
      </c>
      <c r="C54" s="25"/>
      <c r="D54" s="25"/>
      <c r="E54" s="25"/>
      <c r="F54" s="25"/>
      <c r="G54" s="25"/>
      <c r="H54" s="25"/>
      <c r="I54" s="25"/>
      <c r="J54" s="25"/>
      <c r="K54" s="25"/>
      <c r="L54" s="25"/>
      <c r="M54" s="25"/>
      <c r="N54" s="25"/>
      <c r="O54" s="25"/>
      <c r="P54" s="25"/>
      <c r="Q54" s="25"/>
      <c r="R54" s="25"/>
      <c r="S54" s="25"/>
      <c r="T54" s="156" t="s">
        <v>212</v>
      </c>
      <c r="U54" s="25"/>
      <c r="V54" s="5"/>
    </row>
    <row r="55" spans="1:23" ht="15.6" x14ac:dyDescent="0.3">
      <c r="A55" s="24"/>
      <c r="B55" s="25" t="s">
        <v>253</v>
      </c>
      <c r="C55" s="25"/>
      <c r="D55" s="25"/>
      <c r="E55" s="25"/>
      <c r="F55" s="25"/>
      <c r="G55" s="25"/>
      <c r="H55" s="25"/>
      <c r="I55" s="25"/>
      <c r="J55" s="25"/>
      <c r="K55" s="25"/>
      <c r="L55" s="25"/>
      <c r="M55" s="25"/>
      <c r="N55" s="25"/>
      <c r="O55" s="25"/>
      <c r="P55" s="25"/>
      <c r="Q55" s="25"/>
      <c r="R55" s="30"/>
      <c r="S55" s="30"/>
      <c r="T55" s="157" t="s">
        <v>117</v>
      </c>
      <c r="U55" s="25"/>
      <c r="V55" s="5"/>
    </row>
    <row r="56" spans="1:23" ht="15.6" x14ac:dyDescent="0.3">
      <c r="A56" s="24"/>
      <c r="B56" s="29" t="s">
        <v>210</v>
      </c>
      <c r="C56" s="29"/>
      <c r="D56" s="29"/>
      <c r="E56" s="29"/>
      <c r="F56" s="29"/>
      <c r="G56" s="29"/>
      <c r="H56" s="29"/>
      <c r="I56" s="29"/>
      <c r="J56" s="29"/>
      <c r="K56" s="29"/>
      <c r="L56" s="29"/>
      <c r="M56" s="29"/>
      <c r="N56" s="29"/>
      <c r="O56" s="29"/>
      <c r="P56" s="29"/>
      <c r="Q56" s="29"/>
      <c r="R56" s="43"/>
      <c r="S56" s="43"/>
      <c r="T56" s="44">
        <v>39918</v>
      </c>
      <c r="U56" s="25"/>
      <c r="V56" s="5"/>
    </row>
    <row r="57" spans="1:23" ht="15.6" x14ac:dyDescent="0.3">
      <c r="A57" s="24"/>
      <c r="B57" s="25" t="s">
        <v>127</v>
      </c>
      <c r="C57" s="25"/>
      <c r="D57" s="25"/>
      <c r="E57" s="25"/>
      <c r="F57" s="25"/>
      <c r="G57" s="25"/>
      <c r="H57" s="58"/>
      <c r="I57" s="58"/>
      <c r="J57" s="58"/>
      <c r="K57" s="58"/>
      <c r="L57" s="58"/>
      <c r="M57" s="58"/>
      <c r="N57" s="58"/>
      <c r="O57" s="58"/>
      <c r="P57" s="25">
        <f>+T57-R57+1</f>
        <v>92</v>
      </c>
      <c r="Q57" s="58"/>
      <c r="R57" s="45">
        <v>39736</v>
      </c>
      <c r="S57" s="46"/>
      <c r="T57" s="45">
        <v>39827</v>
      </c>
      <c r="U57" s="25"/>
      <c r="V57" s="5"/>
    </row>
    <row r="58" spans="1:23" ht="15.6" x14ac:dyDescent="0.3">
      <c r="A58" s="24"/>
      <c r="B58" s="25" t="s">
        <v>128</v>
      </c>
      <c r="C58" s="25"/>
      <c r="D58" s="25"/>
      <c r="E58" s="25"/>
      <c r="F58" s="25"/>
      <c r="G58" s="25"/>
      <c r="H58" s="25"/>
      <c r="I58" s="25"/>
      <c r="J58" s="25"/>
      <c r="K58" s="25"/>
      <c r="L58" s="25"/>
      <c r="M58" s="25"/>
      <c r="N58" s="25"/>
      <c r="O58" s="25"/>
      <c r="P58" s="25">
        <f>+T58-R58+1</f>
        <v>90</v>
      </c>
      <c r="Q58" s="25"/>
      <c r="R58" s="45">
        <v>39828</v>
      </c>
      <c r="S58" s="46"/>
      <c r="T58" s="45">
        <v>39917</v>
      </c>
      <c r="U58" s="25"/>
      <c r="V58" s="5"/>
    </row>
    <row r="59" spans="1:23" ht="15.6" x14ac:dyDescent="0.3">
      <c r="A59" s="24"/>
      <c r="B59" s="25" t="s">
        <v>209</v>
      </c>
      <c r="C59" s="25"/>
      <c r="D59" s="25"/>
      <c r="E59" s="25"/>
      <c r="F59" s="25"/>
      <c r="G59" s="25"/>
      <c r="H59" s="25"/>
      <c r="I59" s="25"/>
      <c r="J59" s="25"/>
      <c r="K59" s="25"/>
      <c r="L59" s="25"/>
      <c r="M59" s="25"/>
      <c r="N59" s="25"/>
      <c r="O59" s="25"/>
      <c r="P59" s="25"/>
      <c r="Q59" s="25"/>
      <c r="R59" s="45"/>
      <c r="S59" s="46"/>
      <c r="T59" s="45" t="s">
        <v>126</v>
      </c>
      <c r="U59" s="25"/>
      <c r="V59" s="5"/>
    </row>
    <row r="60" spans="1:23" ht="15.6" x14ac:dyDescent="0.3">
      <c r="A60" s="24"/>
      <c r="B60" s="25" t="s">
        <v>249</v>
      </c>
      <c r="C60" s="25"/>
      <c r="D60" s="25"/>
      <c r="E60" s="25"/>
      <c r="F60" s="25"/>
      <c r="G60" s="25"/>
      <c r="H60" s="25"/>
      <c r="I60" s="25"/>
      <c r="J60" s="25"/>
      <c r="K60" s="25"/>
      <c r="L60" s="25"/>
      <c r="M60" s="25"/>
      <c r="N60" s="25"/>
      <c r="O60" s="25"/>
      <c r="P60" s="25"/>
      <c r="Q60" s="25"/>
      <c r="R60" s="45"/>
      <c r="S60" s="46"/>
      <c r="T60" s="45" t="s">
        <v>160</v>
      </c>
      <c r="U60" s="25"/>
      <c r="V60" s="5"/>
      <c r="W60" s="134"/>
    </row>
    <row r="61" spans="1:23" ht="15.6" x14ac:dyDescent="0.3">
      <c r="A61" s="24"/>
      <c r="B61" s="25" t="s">
        <v>16</v>
      </c>
      <c r="C61" s="25"/>
      <c r="D61" s="25"/>
      <c r="E61" s="25"/>
      <c r="F61" s="25"/>
      <c r="G61" s="25"/>
      <c r="H61" s="25"/>
      <c r="I61" s="25"/>
      <c r="J61" s="25"/>
      <c r="K61" s="25"/>
      <c r="L61" s="25"/>
      <c r="M61" s="25"/>
      <c r="N61" s="25"/>
      <c r="O61" s="25"/>
      <c r="P61" s="25"/>
      <c r="Q61" s="25"/>
      <c r="R61" s="45"/>
      <c r="S61" s="46"/>
      <c r="T61" s="45">
        <v>39904</v>
      </c>
      <c r="U61" s="25"/>
      <c r="V61" s="5"/>
    </row>
    <row r="62" spans="1:23" ht="15.6" x14ac:dyDescent="0.3">
      <c r="A62" s="24"/>
      <c r="B62" s="25"/>
      <c r="C62" s="25"/>
      <c r="D62" s="25"/>
      <c r="E62" s="25"/>
      <c r="F62" s="25"/>
      <c r="G62" s="25"/>
      <c r="H62" s="25"/>
      <c r="I62" s="25"/>
      <c r="J62" s="25"/>
      <c r="K62" s="25"/>
      <c r="L62" s="25"/>
      <c r="M62" s="25"/>
      <c r="N62" s="25"/>
      <c r="O62" s="25"/>
      <c r="P62" s="25"/>
      <c r="Q62" s="25"/>
      <c r="R62" s="45"/>
      <c r="S62" s="46"/>
      <c r="T62" s="45"/>
      <c r="U62" s="25"/>
      <c r="V62" s="5"/>
    </row>
    <row r="63" spans="1:23" ht="15.6" x14ac:dyDescent="0.3">
      <c r="A63" s="6"/>
      <c r="B63" s="8"/>
      <c r="C63" s="8"/>
      <c r="D63" s="8"/>
      <c r="E63" s="8"/>
      <c r="F63" s="8"/>
      <c r="G63" s="8"/>
      <c r="H63" s="8"/>
      <c r="I63" s="8"/>
      <c r="J63" s="8"/>
      <c r="K63" s="8"/>
      <c r="L63" s="8"/>
      <c r="M63" s="8"/>
      <c r="N63" s="8"/>
      <c r="O63" s="8"/>
      <c r="P63" s="8"/>
      <c r="Q63" s="8"/>
      <c r="R63" s="47"/>
      <c r="S63" s="48"/>
      <c r="T63" s="47"/>
      <c r="U63" s="8"/>
      <c r="V63" s="5"/>
    </row>
    <row r="64" spans="1:23" ht="18" thickBot="1" x14ac:dyDescent="0.35">
      <c r="A64" s="101"/>
      <c r="B64" s="102" t="s">
        <v>279</v>
      </c>
      <c r="C64" s="103"/>
      <c r="D64" s="103"/>
      <c r="E64" s="103"/>
      <c r="F64" s="103"/>
      <c r="G64" s="103"/>
      <c r="H64" s="103"/>
      <c r="I64" s="103"/>
      <c r="J64" s="103"/>
      <c r="K64" s="103"/>
      <c r="L64" s="103"/>
      <c r="M64" s="103"/>
      <c r="N64" s="103"/>
      <c r="O64" s="103"/>
      <c r="P64" s="103"/>
      <c r="Q64" s="103"/>
      <c r="R64" s="103"/>
      <c r="S64" s="103"/>
      <c r="T64" s="104"/>
      <c r="U64" s="105"/>
      <c r="V64" s="5"/>
    </row>
    <row r="65" spans="1:22" ht="15.6" x14ac:dyDescent="0.3">
      <c r="A65" s="2"/>
      <c r="B65" s="4"/>
      <c r="C65" s="4"/>
      <c r="D65" s="4"/>
      <c r="E65" s="4"/>
      <c r="F65" s="4"/>
      <c r="G65" s="4"/>
      <c r="H65" s="4"/>
      <c r="I65" s="4"/>
      <c r="J65" s="4"/>
      <c r="K65" s="4"/>
      <c r="L65" s="4"/>
      <c r="M65" s="4"/>
      <c r="N65" s="4"/>
      <c r="O65" s="4"/>
      <c r="P65" s="4"/>
      <c r="Q65" s="4"/>
      <c r="R65" s="4"/>
      <c r="S65" s="4"/>
      <c r="T65" s="50"/>
      <c r="U65" s="4"/>
      <c r="V65" s="5"/>
    </row>
    <row r="66" spans="1:22" ht="15.6" x14ac:dyDescent="0.3">
      <c r="A66" s="6"/>
      <c r="B66" s="51" t="s">
        <v>17</v>
      </c>
      <c r="C66" s="8"/>
      <c r="D66" s="8"/>
      <c r="E66" s="8"/>
      <c r="F66" s="8"/>
      <c r="G66" s="8"/>
      <c r="H66" s="8"/>
      <c r="I66" s="8"/>
      <c r="J66" s="8"/>
      <c r="K66" s="8"/>
      <c r="L66" s="8"/>
      <c r="M66" s="8"/>
      <c r="N66" s="8"/>
      <c r="O66" s="8"/>
      <c r="P66" s="8"/>
      <c r="Q66" s="8"/>
      <c r="R66" s="8"/>
      <c r="S66" s="8"/>
      <c r="T66" s="52"/>
      <c r="U66" s="8"/>
      <c r="V66" s="5"/>
    </row>
    <row r="67" spans="1:22" ht="15.6" x14ac:dyDescent="0.3">
      <c r="A67" s="6"/>
      <c r="B67" s="13"/>
      <c r="C67" s="8"/>
      <c r="D67" s="8"/>
      <c r="E67" s="8"/>
      <c r="F67" s="8"/>
      <c r="G67" s="8"/>
      <c r="H67" s="8"/>
      <c r="I67" s="8"/>
      <c r="J67" s="8"/>
      <c r="K67" s="8"/>
      <c r="L67" s="8"/>
      <c r="M67" s="8"/>
      <c r="N67" s="8"/>
      <c r="O67" s="8"/>
      <c r="P67" s="8"/>
      <c r="Q67" s="8"/>
      <c r="R67" s="8"/>
      <c r="S67" s="8"/>
      <c r="T67" s="52"/>
      <c r="U67" s="8"/>
      <c r="V67" s="5"/>
    </row>
    <row r="68" spans="1:22" ht="46.8" x14ac:dyDescent="0.3">
      <c r="A68" s="6"/>
      <c r="B68" s="114" t="s">
        <v>18</v>
      </c>
      <c r="C68" s="115"/>
      <c r="D68" s="115"/>
      <c r="E68" s="115"/>
      <c r="F68" s="115"/>
      <c r="G68" s="115"/>
      <c r="H68" s="115"/>
      <c r="I68" s="115"/>
      <c r="J68" s="115" t="s">
        <v>97</v>
      </c>
      <c r="K68" s="115"/>
      <c r="L68" s="115" t="s">
        <v>99</v>
      </c>
      <c r="M68" s="115"/>
      <c r="N68" s="115" t="s">
        <v>101</v>
      </c>
      <c r="O68" s="115"/>
      <c r="P68" s="115" t="s">
        <v>103</v>
      </c>
      <c r="Q68" s="115"/>
      <c r="R68" s="115" t="s">
        <v>110</v>
      </c>
      <c r="S68" s="115"/>
      <c r="T68" s="116" t="s">
        <v>118</v>
      </c>
      <c r="U68" s="117"/>
      <c r="V68" s="5"/>
    </row>
    <row r="69" spans="1:22" ht="15.6" x14ac:dyDescent="0.3">
      <c r="A69" s="24"/>
      <c r="B69" s="25" t="s">
        <v>19</v>
      </c>
      <c r="C69" s="34"/>
      <c r="D69" s="34"/>
      <c r="E69" s="34"/>
      <c r="F69" s="34"/>
      <c r="G69" s="34"/>
      <c r="H69" s="34"/>
      <c r="I69" s="34"/>
      <c r="J69" s="34">
        <v>1000039</v>
      </c>
      <c r="K69" s="34"/>
      <c r="L69" s="53">
        <v>629914</v>
      </c>
      <c r="M69" s="34"/>
      <c r="N69" s="34">
        <f>9754+521+247</f>
        <v>10522</v>
      </c>
      <c r="O69" s="34"/>
      <c r="P69" s="34">
        <f>521+247</f>
        <v>768</v>
      </c>
      <c r="Q69" s="34"/>
      <c r="R69" s="34">
        <v>0</v>
      </c>
      <c r="S69" s="34"/>
      <c r="T69" s="53">
        <f>+L69-N69+P69-R69</f>
        <v>620160</v>
      </c>
      <c r="U69" s="25"/>
      <c r="V69" s="5"/>
    </row>
    <row r="70" spans="1:22" ht="15.6" x14ac:dyDescent="0.3">
      <c r="A70" s="24"/>
      <c r="B70" s="25" t="s">
        <v>20</v>
      </c>
      <c r="C70" s="34"/>
      <c r="D70" s="34"/>
      <c r="E70" s="34"/>
      <c r="F70" s="34"/>
      <c r="G70" s="34"/>
      <c r="H70" s="34"/>
      <c r="I70" s="34"/>
      <c r="J70" s="34">
        <v>10</v>
      </c>
      <c r="K70" s="34"/>
      <c r="L70" s="53">
        <v>0</v>
      </c>
      <c r="M70" s="34"/>
      <c r="N70" s="34">
        <v>0</v>
      </c>
      <c r="O70" s="34"/>
      <c r="P70" s="34">
        <v>0</v>
      </c>
      <c r="Q70" s="34"/>
      <c r="R70" s="34">
        <v>0</v>
      </c>
      <c r="S70" s="34"/>
      <c r="T70" s="53">
        <v>0</v>
      </c>
      <c r="U70" s="25"/>
      <c r="V70" s="5"/>
    </row>
    <row r="71" spans="1:22" ht="15.6" x14ac:dyDescent="0.3">
      <c r="A71" s="24"/>
      <c r="B71" s="25"/>
      <c r="C71" s="34"/>
      <c r="D71" s="34"/>
      <c r="E71" s="34"/>
      <c r="F71" s="34"/>
      <c r="G71" s="34"/>
      <c r="H71" s="34"/>
      <c r="I71" s="34"/>
      <c r="J71" s="34"/>
      <c r="K71" s="34"/>
      <c r="L71" s="53"/>
      <c r="M71" s="34"/>
      <c r="N71" s="34"/>
      <c r="O71" s="34"/>
      <c r="P71" s="34"/>
      <c r="Q71" s="34"/>
      <c r="R71" s="34"/>
      <c r="S71" s="34"/>
      <c r="T71" s="53"/>
      <c r="U71" s="25"/>
      <c r="V71" s="5"/>
    </row>
    <row r="72" spans="1:22" ht="15.6" x14ac:dyDescent="0.3">
      <c r="A72" s="24"/>
      <c r="B72" s="25" t="s">
        <v>21</v>
      </c>
      <c r="C72" s="34"/>
      <c r="D72" s="34"/>
      <c r="E72" s="34"/>
      <c r="F72" s="34"/>
      <c r="G72" s="34"/>
      <c r="H72" s="34"/>
      <c r="I72" s="34"/>
      <c r="J72" s="34">
        <f>SUM(J69:J71)</f>
        <v>1000049</v>
      </c>
      <c r="K72" s="34"/>
      <c r="L72" s="54">
        <f>L69+L70</f>
        <v>629914</v>
      </c>
      <c r="M72" s="34"/>
      <c r="N72" s="34">
        <f>SUM(N69:N71)</f>
        <v>10522</v>
      </c>
      <c r="O72" s="34"/>
      <c r="P72" s="34">
        <f>SUM(P69:P71)</f>
        <v>768</v>
      </c>
      <c r="Q72" s="34"/>
      <c r="R72" s="34">
        <f>SUM(R69:R71)</f>
        <v>0</v>
      </c>
      <c r="S72" s="34"/>
      <c r="T72" s="54">
        <f>SUM(T69:T71)</f>
        <v>620160</v>
      </c>
      <c r="U72" s="25"/>
      <c r="V72" s="5"/>
    </row>
    <row r="73" spans="1:22" ht="15.6" x14ac:dyDescent="0.3">
      <c r="A73" s="24"/>
      <c r="B73" s="25"/>
      <c r="C73" s="34"/>
      <c r="D73" s="34"/>
      <c r="E73" s="34"/>
      <c r="F73" s="34"/>
      <c r="G73" s="34"/>
      <c r="H73" s="34"/>
      <c r="I73" s="34"/>
      <c r="J73" s="34"/>
      <c r="K73" s="34"/>
      <c r="L73" s="34"/>
      <c r="M73" s="34"/>
      <c r="N73" s="34"/>
      <c r="O73" s="34"/>
      <c r="P73" s="34"/>
      <c r="Q73" s="34"/>
      <c r="R73" s="34"/>
      <c r="S73" s="34"/>
      <c r="T73" s="54"/>
      <c r="U73" s="25"/>
      <c r="V73" s="5"/>
    </row>
    <row r="74" spans="1:22" ht="15.6" x14ac:dyDescent="0.3">
      <c r="A74" s="6"/>
      <c r="B74" s="111" t="s">
        <v>22</v>
      </c>
      <c r="C74" s="55"/>
      <c r="D74" s="55"/>
      <c r="E74" s="55"/>
      <c r="F74" s="55"/>
      <c r="G74" s="55"/>
      <c r="H74" s="55"/>
      <c r="I74" s="55"/>
      <c r="J74" s="55"/>
      <c r="K74" s="55"/>
      <c r="L74" s="55"/>
      <c r="M74" s="55"/>
      <c r="N74" s="55"/>
      <c r="O74" s="55"/>
      <c r="P74" s="55"/>
      <c r="Q74" s="55"/>
      <c r="R74" s="55"/>
      <c r="S74" s="55"/>
      <c r="T74" s="56"/>
      <c r="U74" s="8"/>
      <c r="V74" s="5"/>
    </row>
    <row r="75" spans="1:22" ht="15.6" x14ac:dyDescent="0.3">
      <c r="A75" s="6"/>
      <c r="B75" s="8"/>
      <c r="C75" s="55"/>
      <c r="D75" s="55"/>
      <c r="E75" s="55"/>
      <c r="F75" s="55"/>
      <c r="G75" s="55"/>
      <c r="H75" s="55"/>
      <c r="I75" s="55"/>
      <c r="J75" s="55"/>
      <c r="K75" s="55"/>
      <c r="L75" s="55"/>
      <c r="M75" s="55"/>
      <c r="N75" s="55"/>
      <c r="O75" s="55"/>
      <c r="P75" s="55"/>
      <c r="Q75" s="55"/>
      <c r="R75" s="55"/>
      <c r="S75" s="55"/>
      <c r="T75" s="56"/>
      <c r="U75" s="8"/>
      <c r="V75" s="5"/>
    </row>
    <row r="76" spans="1:22" ht="15.6" x14ac:dyDescent="0.3">
      <c r="A76" s="24"/>
      <c r="B76" s="25" t="s">
        <v>19</v>
      </c>
      <c r="C76" s="34"/>
      <c r="D76" s="34"/>
      <c r="E76" s="34"/>
      <c r="F76" s="34"/>
      <c r="G76" s="34"/>
      <c r="H76" s="34"/>
      <c r="I76" s="34"/>
      <c r="J76" s="34"/>
      <c r="K76" s="34"/>
      <c r="L76" s="34"/>
      <c r="M76" s="34"/>
      <c r="N76" s="34"/>
      <c r="O76" s="34"/>
      <c r="P76" s="34"/>
      <c r="Q76" s="34"/>
      <c r="R76" s="34"/>
      <c r="S76" s="34"/>
      <c r="T76" s="54"/>
      <c r="U76" s="25"/>
      <c r="V76" s="5"/>
    </row>
    <row r="77" spans="1:22" ht="15.6" x14ac:dyDescent="0.3">
      <c r="A77" s="24"/>
      <c r="B77" s="25" t="s">
        <v>20</v>
      </c>
      <c r="C77" s="34"/>
      <c r="D77" s="34"/>
      <c r="E77" s="34"/>
      <c r="F77" s="34"/>
      <c r="G77" s="34"/>
      <c r="H77" s="34"/>
      <c r="I77" s="34"/>
      <c r="J77" s="34"/>
      <c r="K77" s="34"/>
      <c r="L77" s="34"/>
      <c r="M77" s="34"/>
      <c r="N77" s="34"/>
      <c r="O77" s="34"/>
      <c r="P77" s="34"/>
      <c r="Q77" s="34"/>
      <c r="R77" s="34"/>
      <c r="S77" s="34"/>
      <c r="T77" s="54"/>
      <c r="U77" s="25"/>
      <c r="V77" s="5"/>
    </row>
    <row r="78" spans="1:22" ht="15.6" x14ac:dyDescent="0.3">
      <c r="A78" s="24"/>
      <c r="B78" s="25"/>
      <c r="C78" s="34"/>
      <c r="D78" s="34"/>
      <c r="E78" s="34"/>
      <c r="F78" s="34"/>
      <c r="G78" s="34"/>
      <c r="H78" s="34"/>
      <c r="I78" s="34"/>
      <c r="J78" s="34"/>
      <c r="K78" s="34"/>
      <c r="L78" s="34"/>
      <c r="M78" s="34"/>
      <c r="N78" s="34"/>
      <c r="O78" s="34"/>
      <c r="P78" s="34"/>
      <c r="Q78" s="34"/>
      <c r="R78" s="34"/>
      <c r="S78" s="34"/>
      <c r="T78" s="54"/>
      <c r="U78" s="25"/>
      <c r="V78" s="5"/>
    </row>
    <row r="79" spans="1:22" ht="15.6" x14ac:dyDescent="0.3">
      <c r="A79" s="24"/>
      <c r="B79" s="25" t="s">
        <v>21</v>
      </c>
      <c r="C79" s="34"/>
      <c r="D79" s="34"/>
      <c r="E79" s="34"/>
      <c r="F79" s="34"/>
      <c r="G79" s="34"/>
      <c r="H79" s="34"/>
      <c r="I79" s="34"/>
      <c r="J79" s="34"/>
      <c r="K79" s="34"/>
      <c r="L79" s="34"/>
      <c r="M79" s="34"/>
      <c r="N79" s="34"/>
      <c r="O79" s="34"/>
      <c r="P79" s="34"/>
      <c r="Q79" s="34"/>
      <c r="R79" s="34"/>
      <c r="S79" s="34"/>
      <c r="T79" s="34"/>
      <c r="U79" s="25"/>
      <c r="V79" s="5"/>
    </row>
    <row r="80" spans="1:22" ht="15.6" x14ac:dyDescent="0.3">
      <c r="A80" s="24"/>
      <c r="B80" s="25"/>
      <c r="C80" s="34"/>
      <c r="D80" s="34"/>
      <c r="E80" s="34"/>
      <c r="F80" s="34"/>
      <c r="G80" s="34"/>
      <c r="H80" s="34"/>
      <c r="I80" s="34"/>
      <c r="J80" s="34"/>
      <c r="K80" s="34"/>
      <c r="L80" s="34"/>
      <c r="M80" s="34"/>
      <c r="N80" s="34"/>
      <c r="O80" s="34"/>
      <c r="P80" s="34"/>
      <c r="Q80" s="34"/>
      <c r="R80" s="34"/>
      <c r="S80" s="34"/>
      <c r="T80" s="34"/>
      <c r="U80" s="25"/>
      <c r="V80" s="5"/>
    </row>
    <row r="81" spans="1:22" ht="15.6" x14ac:dyDescent="0.3">
      <c r="A81" s="24"/>
      <c r="B81" s="25" t="s">
        <v>23</v>
      </c>
      <c r="C81" s="34"/>
      <c r="D81" s="34"/>
      <c r="E81" s="34"/>
      <c r="F81" s="34"/>
      <c r="G81" s="34"/>
      <c r="H81" s="34"/>
      <c r="I81" s="34"/>
      <c r="J81" s="34">
        <v>0</v>
      </c>
      <c r="K81" s="34"/>
      <c r="L81" s="34">
        <v>0</v>
      </c>
      <c r="M81" s="34"/>
      <c r="N81" s="34"/>
      <c r="O81" s="34"/>
      <c r="P81" s="34"/>
      <c r="Q81" s="34"/>
      <c r="R81" s="34"/>
      <c r="S81" s="34"/>
      <c r="T81" s="53">
        <v>0</v>
      </c>
      <c r="U81" s="25"/>
      <c r="V81" s="5"/>
    </row>
    <row r="82" spans="1:22" ht="15.6" x14ac:dyDescent="0.3">
      <c r="A82" s="24"/>
      <c r="B82" s="25" t="s">
        <v>123</v>
      </c>
      <c r="C82" s="34"/>
      <c r="D82" s="34"/>
      <c r="E82" s="34"/>
      <c r="F82" s="34"/>
      <c r="G82" s="34"/>
      <c r="H82" s="34"/>
      <c r="I82" s="34"/>
      <c r="J82" s="34">
        <v>0</v>
      </c>
      <c r="K82" s="34"/>
      <c r="L82" s="34">
        <v>0</v>
      </c>
      <c r="M82" s="34"/>
      <c r="N82" s="34"/>
      <c r="O82" s="34"/>
      <c r="P82" s="34"/>
      <c r="Q82" s="34"/>
      <c r="R82" s="34"/>
      <c r="S82" s="34"/>
      <c r="T82" s="54">
        <f>SUM(J82:P82)</f>
        <v>0</v>
      </c>
      <c r="U82" s="25"/>
      <c r="V82" s="5"/>
    </row>
    <row r="83" spans="1:22" ht="15.6" x14ac:dyDescent="0.3">
      <c r="A83" s="24"/>
      <c r="B83" s="25" t="s">
        <v>152</v>
      </c>
      <c r="C83" s="34"/>
      <c r="D83" s="34"/>
      <c r="E83" s="34"/>
      <c r="F83" s="34"/>
      <c r="G83" s="34"/>
      <c r="H83" s="34"/>
      <c r="I83" s="34"/>
      <c r="J83" s="34">
        <v>1</v>
      </c>
      <c r="K83" s="34"/>
      <c r="L83" s="34">
        <v>0</v>
      </c>
      <c r="M83" s="34"/>
      <c r="N83" s="34">
        <v>0</v>
      </c>
      <c r="O83" s="34"/>
      <c r="P83" s="34"/>
      <c r="Q83" s="34"/>
      <c r="R83" s="34"/>
      <c r="S83" s="34"/>
      <c r="T83" s="54">
        <f>+L83+N83</f>
        <v>0</v>
      </c>
      <c r="U83" s="25"/>
      <c r="V83" s="5"/>
    </row>
    <row r="84" spans="1:22" ht="15.6" x14ac:dyDescent="0.3">
      <c r="A84" s="24"/>
      <c r="B84" s="25" t="s">
        <v>25</v>
      </c>
      <c r="C84" s="34"/>
      <c r="D84" s="34"/>
      <c r="E84" s="34"/>
      <c r="F84" s="34"/>
      <c r="G84" s="34"/>
      <c r="H84" s="34"/>
      <c r="I84" s="34"/>
      <c r="J84" s="34">
        <v>0</v>
      </c>
      <c r="K84" s="34"/>
      <c r="L84" s="34">
        <v>0</v>
      </c>
      <c r="M84" s="34"/>
      <c r="N84" s="34"/>
      <c r="O84" s="34"/>
      <c r="P84" s="34"/>
      <c r="Q84" s="34"/>
      <c r="R84" s="34"/>
      <c r="S84" s="34"/>
      <c r="T84" s="54">
        <v>0</v>
      </c>
      <c r="U84" s="25"/>
      <c r="V84" s="5"/>
    </row>
    <row r="85" spans="1:22" ht="15.6" x14ac:dyDescent="0.3">
      <c r="A85" s="24"/>
      <c r="B85" s="25" t="s">
        <v>26</v>
      </c>
      <c r="C85" s="34"/>
      <c r="D85" s="34"/>
      <c r="E85" s="34"/>
      <c r="F85" s="54"/>
      <c r="G85" s="34"/>
      <c r="H85" s="54"/>
      <c r="I85" s="54"/>
      <c r="J85" s="54">
        <f>SUM(J72:J84)</f>
        <v>1000050</v>
      </c>
      <c r="K85" s="34"/>
      <c r="L85" s="54">
        <f>SUM(L72:L84)</f>
        <v>629914</v>
      </c>
      <c r="M85" s="34"/>
      <c r="N85" s="34"/>
      <c r="O85" s="34"/>
      <c r="P85" s="34"/>
      <c r="Q85" s="34"/>
      <c r="R85" s="54"/>
      <c r="S85" s="34"/>
      <c r="T85" s="54">
        <f>SUM(T72:T84)</f>
        <v>620160</v>
      </c>
      <c r="U85" s="25"/>
      <c r="V85" s="5"/>
    </row>
    <row r="86" spans="1:22" ht="15.6" x14ac:dyDescent="0.3">
      <c r="A86" s="24"/>
      <c r="B86" s="25"/>
      <c r="C86" s="34"/>
      <c r="D86" s="34"/>
      <c r="E86" s="34"/>
      <c r="F86" s="34"/>
      <c r="G86" s="34"/>
      <c r="H86" s="34"/>
      <c r="I86" s="34"/>
      <c r="J86" s="34"/>
      <c r="K86" s="34"/>
      <c r="L86" s="34"/>
      <c r="M86" s="34"/>
      <c r="N86" s="34"/>
      <c r="O86" s="34"/>
      <c r="P86" s="34"/>
      <c r="Q86" s="34"/>
      <c r="R86" s="34"/>
      <c r="S86" s="34"/>
      <c r="T86" s="54"/>
      <c r="U86" s="25"/>
      <c r="V86" s="5"/>
    </row>
    <row r="87" spans="1:22" ht="15.6" x14ac:dyDescent="0.3">
      <c r="A87" s="6"/>
      <c r="B87" s="8"/>
      <c r="C87" s="8"/>
      <c r="D87" s="8"/>
      <c r="E87" s="8"/>
      <c r="F87" s="8"/>
      <c r="G87" s="8"/>
      <c r="H87" s="8"/>
      <c r="I87" s="8"/>
      <c r="J87" s="8"/>
      <c r="K87" s="8"/>
      <c r="L87" s="8"/>
      <c r="M87" s="8"/>
      <c r="N87" s="8"/>
      <c r="O87" s="8"/>
      <c r="P87" s="8"/>
      <c r="Q87" s="8"/>
      <c r="R87" s="8"/>
      <c r="S87" s="8"/>
      <c r="T87" s="8"/>
      <c r="U87" s="8"/>
      <c r="V87" s="5"/>
    </row>
    <row r="88" spans="1:22" ht="15.6" x14ac:dyDescent="0.3">
      <c r="A88" s="6"/>
      <c r="B88" s="51" t="s">
        <v>27</v>
      </c>
      <c r="C88" s="14"/>
      <c r="D88" s="14"/>
      <c r="E88" s="14"/>
      <c r="F88" s="14"/>
      <c r="G88" s="14"/>
      <c r="H88" s="17"/>
      <c r="I88" s="17"/>
      <c r="J88" s="159" t="s">
        <v>98</v>
      </c>
      <c r="K88" s="17"/>
      <c r="L88" s="158">
        <f>+R193</f>
        <v>39903</v>
      </c>
      <c r="M88" s="17"/>
      <c r="N88" s="17"/>
      <c r="O88" s="17"/>
      <c r="P88" s="17"/>
      <c r="Q88" s="17"/>
      <c r="R88" s="17" t="s">
        <v>111</v>
      </c>
      <c r="S88" s="17"/>
      <c r="T88" s="17" t="s">
        <v>119</v>
      </c>
      <c r="U88" s="8"/>
      <c r="V88" s="5"/>
    </row>
    <row r="89" spans="1:22" ht="15.6" x14ac:dyDescent="0.3">
      <c r="A89" s="24"/>
      <c r="B89" s="25" t="s">
        <v>28</v>
      </c>
      <c r="C89" s="25"/>
      <c r="D89" s="25"/>
      <c r="E89" s="25"/>
      <c r="F89" s="25"/>
      <c r="G89" s="25"/>
      <c r="H89" s="25"/>
      <c r="I89" s="25"/>
      <c r="J89" s="25"/>
      <c r="K89" s="25"/>
      <c r="L89" s="25"/>
      <c r="M89" s="25"/>
      <c r="N89" s="25"/>
      <c r="O89" s="25"/>
      <c r="P89" s="25"/>
      <c r="Q89" s="25"/>
      <c r="R89" s="34">
        <v>0</v>
      </c>
      <c r="S89" s="25"/>
      <c r="T89" s="53">
        <v>0</v>
      </c>
      <c r="U89" s="25"/>
      <c r="V89" s="5"/>
    </row>
    <row r="90" spans="1:22" ht="15.6" x14ac:dyDescent="0.3">
      <c r="A90" s="24"/>
      <c r="B90" s="25" t="s">
        <v>29</v>
      </c>
      <c r="C90" s="25"/>
      <c r="D90" s="25"/>
      <c r="E90" s="25"/>
      <c r="F90" s="25"/>
      <c r="G90" s="25"/>
      <c r="H90" s="40"/>
      <c r="I90" s="57"/>
      <c r="J90" s="40"/>
      <c r="K90" s="25"/>
      <c r="L90" s="127"/>
      <c r="M90" s="25"/>
      <c r="N90" s="25"/>
      <c r="O90" s="25"/>
      <c r="P90" s="25"/>
      <c r="Q90" s="25"/>
      <c r="R90" s="34">
        <f>10522-346</f>
        <v>10176</v>
      </c>
      <c r="S90" s="25"/>
      <c r="T90" s="53"/>
      <c r="U90" s="25"/>
      <c r="V90" s="5"/>
    </row>
    <row r="91" spans="1:22" ht="15.6" x14ac:dyDescent="0.3">
      <c r="A91" s="24"/>
      <c r="B91" s="25" t="s">
        <v>225</v>
      </c>
      <c r="C91" s="25"/>
      <c r="D91" s="25"/>
      <c r="E91" s="25"/>
      <c r="F91" s="25"/>
      <c r="G91" s="25"/>
      <c r="H91" s="40"/>
      <c r="I91" s="57"/>
      <c r="J91" s="40"/>
      <c r="K91" s="25"/>
      <c r="L91" s="127"/>
      <c r="M91" s="25"/>
      <c r="N91" s="25"/>
      <c r="O91" s="25"/>
      <c r="P91" s="25"/>
      <c r="Q91" s="25"/>
      <c r="R91" s="34"/>
      <c r="S91" s="25"/>
      <c r="T91" s="53">
        <f>3614+4992-316-663-5+22+13</f>
        <v>7657</v>
      </c>
      <c r="U91" s="25"/>
      <c r="V91" s="5"/>
    </row>
    <row r="92" spans="1:22" ht="15.6" x14ac:dyDescent="0.3">
      <c r="A92" s="24"/>
      <c r="B92" s="25" t="s">
        <v>220</v>
      </c>
      <c r="C92" s="25"/>
      <c r="D92" s="25"/>
      <c r="E92" s="25"/>
      <c r="F92" s="25"/>
      <c r="G92" s="25"/>
      <c r="H92" s="40"/>
      <c r="I92" s="57"/>
      <c r="J92" s="40"/>
      <c r="K92" s="25"/>
      <c r="L92" s="127"/>
      <c r="M92" s="25"/>
      <c r="N92" s="25"/>
      <c r="O92" s="25"/>
      <c r="P92" s="25"/>
      <c r="Q92" s="25"/>
      <c r="R92" s="34"/>
      <c r="S92" s="25"/>
      <c r="T92" s="53">
        <f>33+151</f>
        <v>184</v>
      </c>
      <c r="U92" s="25"/>
      <c r="V92" s="5"/>
    </row>
    <row r="93" spans="1:22" ht="15.6" x14ac:dyDescent="0.3">
      <c r="A93" s="24"/>
      <c r="B93" s="25" t="s">
        <v>221</v>
      </c>
      <c r="C93" s="25"/>
      <c r="D93" s="25"/>
      <c r="E93" s="25"/>
      <c r="F93" s="25"/>
      <c r="G93" s="25"/>
      <c r="H93" s="40"/>
      <c r="I93" s="57"/>
      <c r="J93" s="40"/>
      <c r="K93" s="25"/>
      <c r="L93" s="127"/>
      <c r="M93" s="25"/>
      <c r="N93" s="25"/>
      <c r="O93" s="25"/>
      <c r="P93" s="25"/>
      <c r="Q93" s="25"/>
      <c r="R93" s="34"/>
      <c r="S93" s="25"/>
      <c r="T93" s="53">
        <v>357</v>
      </c>
      <c r="U93" s="25"/>
      <c r="V93" s="5"/>
    </row>
    <row r="94" spans="1:22" ht="15.6" x14ac:dyDescent="0.3">
      <c r="A94" s="24"/>
      <c r="B94" s="25" t="s">
        <v>261</v>
      </c>
      <c r="C94" s="25"/>
      <c r="D94" s="25"/>
      <c r="E94" s="25"/>
      <c r="F94" s="25"/>
      <c r="G94" s="25"/>
      <c r="H94" s="40"/>
      <c r="I94" s="57"/>
      <c r="J94" s="40"/>
      <c r="K94" s="25"/>
      <c r="L94" s="127"/>
      <c r="M94" s="25"/>
      <c r="N94" s="25"/>
      <c r="O94" s="25"/>
      <c r="P94" s="25"/>
      <c r="Q94" s="25"/>
      <c r="R94" s="34"/>
      <c r="S94" s="25"/>
      <c r="T94" s="53">
        <v>0</v>
      </c>
      <c r="U94" s="25"/>
      <c r="V94" s="5"/>
    </row>
    <row r="95" spans="1:22" ht="15.6" x14ac:dyDescent="0.3">
      <c r="A95" s="24"/>
      <c r="B95" s="25" t="s">
        <v>141</v>
      </c>
      <c r="C95" s="25"/>
      <c r="D95" s="25"/>
      <c r="E95" s="25"/>
      <c r="F95" s="25"/>
      <c r="G95" s="25"/>
      <c r="H95" s="25"/>
      <c r="I95" s="25"/>
      <c r="J95" s="25"/>
      <c r="K95" s="25"/>
      <c r="L95" s="25"/>
      <c r="M95" s="25"/>
      <c r="N95" s="25"/>
      <c r="O95" s="25"/>
      <c r="P95" s="25"/>
      <c r="Q95" s="25"/>
      <c r="R95" s="34"/>
      <c r="S95" s="25"/>
      <c r="T95" s="53">
        <v>0</v>
      </c>
      <c r="U95" s="25"/>
      <c r="V95" s="5"/>
    </row>
    <row r="96" spans="1:22" ht="15.6" x14ac:dyDescent="0.3">
      <c r="A96" s="24"/>
      <c r="B96" s="25" t="s">
        <v>250</v>
      </c>
      <c r="C96" s="25"/>
      <c r="D96" s="25"/>
      <c r="E96" s="25"/>
      <c r="F96" s="25"/>
      <c r="G96" s="25"/>
      <c r="H96" s="25"/>
      <c r="I96" s="25"/>
      <c r="J96" s="25"/>
      <c r="K96" s="25"/>
      <c r="L96" s="25"/>
      <c r="M96" s="25"/>
      <c r="N96" s="25"/>
      <c r="O96" s="25"/>
      <c r="P96" s="25"/>
      <c r="Q96" s="25"/>
      <c r="R96" s="34"/>
      <c r="S96" s="25"/>
      <c r="T96" s="53">
        <v>0</v>
      </c>
      <c r="U96" s="25"/>
      <c r="V96" s="5"/>
    </row>
    <row r="97" spans="1:24" ht="15.6" x14ac:dyDescent="0.3">
      <c r="A97" s="24"/>
      <c r="B97" s="25" t="s">
        <v>30</v>
      </c>
      <c r="C97" s="25"/>
      <c r="D97" s="25"/>
      <c r="E97" s="25"/>
      <c r="F97" s="25"/>
      <c r="G97" s="25"/>
      <c r="H97" s="25"/>
      <c r="I97" s="25"/>
      <c r="J97" s="25"/>
      <c r="K97" s="25"/>
      <c r="L97" s="25"/>
      <c r="M97" s="25"/>
      <c r="N97" s="25"/>
      <c r="O97" s="25"/>
      <c r="P97" s="25"/>
      <c r="Q97" s="25"/>
      <c r="R97" s="34">
        <f>SUM(R89:R96)</f>
        <v>10176</v>
      </c>
      <c r="S97" s="25"/>
      <c r="T97" s="54">
        <f>SUM(T89:T96)</f>
        <v>8198</v>
      </c>
      <c r="U97" s="25"/>
      <c r="V97" s="5"/>
    </row>
    <row r="98" spans="1:24" ht="15.6" x14ac:dyDescent="0.3">
      <c r="A98" s="24"/>
      <c r="B98" s="25" t="s">
        <v>168</v>
      </c>
      <c r="C98" s="25"/>
      <c r="D98" s="25"/>
      <c r="E98" s="25"/>
      <c r="F98" s="25"/>
      <c r="G98" s="25"/>
      <c r="H98" s="25"/>
      <c r="I98" s="25"/>
      <c r="J98" s="25"/>
      <c r="K98" s="25"/>
      <c r="L98" s="25"/>
      <c r="M98" s="25"/>
      <c r="N98" s="25"/>
      <c r="O98" s="25"/>
      <c r="P98" s="25"/>
      <c r="Q98" s="25"/>
      <c r="R98" s="34">
        <v>-20</v>
      </c>
      <c r="S98" s="25"/>
      <c r="T98" s="54">
        <f>-R98</f>
        <v>20</v>
      </c>
      <c r="U98" s="25"/>
      <c r="V98" s="5"/>
    </row>
    <row r="99" spans="1:24" ht="15.6" x14ac:dyDescent="0.3">
      <c r="A99" s="24"/>
      <c r="B99" s="25" t="s">
        <v>31</v>
      </c>
      <c r="C99" s="25"/>
      <c r="D99" s="25"/>
      <c r="E99" s="25"/>
      <c r="F99" s="25"/>
      <c r="G99" s="25"/>
      <c r="H99" s="25"/>
      <c r="I99" s="25"/>
      <c r="J99" s="25"/>
      <c r="K99" s="25"/>
      <c r="L99" s="25"/>
      <c r="M99" s="25"/>
      <c r="N99" s="25"/>
      <c r="O99" s="25"/>
      <c r="P99" s="25"/>
      <c r="Q99" s="25"/>
      <c r="R99" s="34">
        <f>-T99</f>
        <v>0</v>
      </c>
      <c r="S99" s="25"/>
      <c r="T99" s="53">
        <v>0</v>
      </c>
      <c r="U99" s="25"/>
      <c r="V99" s="5"/>
    </row>
    <row r="100" spans="1:24" ht="15.6" x14ac:dyDescent="0.3">
      <c r="A100" s="24"/>
      <c r="B100" s="25" t="s">
        <v>273</v>
      </c>
      <c r="C100" s="25"/>
      <c r="D100" s="25"/>
      <c r="E100" s="25"/>
      <c r="F100" s="25"/>
      <c r="G100" s="25"/>
      <c r="H100" s="25"/>
      <c r="I100" s="25"/>
      <c r="J100" s="25"/>
      <c r="K100" s="25"/>
      <c r="L100" s="25"/>
      <c r="M100" s="25"/>
      <c r="N100" s="25"/>
      <c r="O100" s="25"/>
      <c r="P100" s="25"/>
      <c r="Q100" s="25"/>
      <c r="R100" s="34"/>
      <c r="S100" s="25"/>
      <c r="T100" s="53">
        <v>-133</v>
      </c>
      <c r="U100" s="25"/>
      <c r="V100" s="5"/>
    </row>
    <row r="101" spans="1:24" ht="15.6" x14ac:dyDescent="0.3">
      <c r="A101" s="24"/>
      <c r="B101" s="25" t="s">
        <v>32</v>
      </c>
      <c r="C101" s="25"/>
      <c r="D101" s="25"/>
      <c r="E101" s="25"/>
      <c r="F101" s="25"/>
      <c r="G101" s="25"/>
      <c r="H101" s="25"/>
      <c r="I101" s="25"/>
      <c r="J101" s="25"/>
      <c r="K101" s="25"/>
      <c r="L101" s="25"/>
      <c r="M101" s="25"/>
      <c r="N101" s="25"/>
      <c r="O101" s="25"/>
      <c r="P101" s="25"/>
      <c r="Q101" s="25"/>
      <c r="R101" s="34">
        <f>R97+R99+R98</f>
        <v>10156</v>
      </c>
      <c r="S101" s="25"/>
      <c r="T101" s="54">
        <f>T97+T99+T98+T100</f>
        <v>8085</v>
      </c>
      <c r="U101" s="25"/>
      <c r="V101" s="5"/>
    </row>
    <row r="102" spans="1:24" ht="15.6" x14ac:dyDescent="0.3">
      <c r="A102" s="24"/>
      <c r="B102" s="118" t="s">
        <v>33</v>
      </c>
      <c r="C102" s="25"/>
      <c r="D102" s="25"/>
      <c r="E102" s="25"/>
      <c r="F102" s="25"/>
      <c r="G102" s="25"/>
      <c r="H102" s="25"/>
      <c r="I102" s="25"/>
      <c r="J102" s="25"/>
      <c r="K102" s="25"/>
      <c r="L102" s="25"/>
      <c r="M102" s="25"/>
      <c r="N102" s="25"/>
      <c r="O102" s="25"/>
      <c r="P102" s="25"/>
      <c r="Q102" s="25"/>
      <c r="R102" s="34"/>
      <c r="S102" s="25"/>
      <c r="T102" s="53"/>
      <c r="U102" s="25"/>
      <c r="V102" s="5"/>
    </row>
    <row r="103" spans="1:24" ht="15.6" x14ac:dyDescent="0.3">
      <c r="A103" s="24">
        <v>1</v>
      </c>
      <c r="B103" s="25" t="s">
        <v>34</v>
      </c>
      <c r="C103" s="25"/>
      <c r="D103" s="25"/>
      <c r="E103" s="25"/>
      <c r="F103" s="25"/>
      <c r="G103" s="25"/>
      <c r="H103" s="25"/>
      <c r="I103" s="25"/>
      <c r="J103" s="25"/>
      <c r="K103" s="25"/>
      <c r="L103" s="25"/>
      <c r="M103" s="25"/>
      <c r="N103" s="25"/>
      <c r="O103" s="25"/>
      <c r="P103" s="25"/>
      <c r="Q103" s="25"/>
      <c r="R103" s="25"/>
      <c r="S103" s="25"/>
      <c r="T103" s="53">
        <v>0</v>
      </c>
      <c r="U103" s="25"/>
      <c r="V103" s="5"/>
    </row>
    <row r="104" spans="1:24" ht="15.6" x14ac:dyDescent="0.3">
      <c r="A104" s="24">
        <f>+A103+1</f>
        <v>2</v>
      </c>
      <c r="B104" s="25" t="s">
        <v>255</v>
      </c>
      <c r="C104" s="25"/>
      <c r="D104" s="25"/>
      <c r="E104" s="25"/>
      <c r="F104" s="25"/>
      <c r="G104" s="25"/>
      <c r="H104" s="25"/>
      <c r="I104" s="25"/>
      <c r="J104" s="25"/>
      <c r="K104" s="25"/>
      <c r="L104" s="25"/>
      <c r="M104" s="25"/>
      <c r="N104" s="25"/>
      <c r="O104" s="25"/>
      <c r="P104" s="25"/>
      <c r="Q104" s="25"/>
      <c r="R104" s="25"/>
      <c r="S104" s="25"/>
      <c r="T104" s="53">
        <v>-2</v>
      </c>
      <c r="U104" s="25"/>
      <c r="V104" s="5"/>
    </row>
    <row r="105" spans="1:24" ht="15.6" x14ac:dyDescent="0.3">
      <c r="A105" s="24">
        <f>+A104+1</f>
        <v>3</v>
      </c>
      <c r="B105" s="25" t="s">
        <v>213</v>
      </c>
      <c r="C105" s="25"/>
      <c r="D105" s="25"/>
      <c r="E105" s="25"/>
      <c r="F105" s="25"/>
      <c r="G105" s="25"/>
      <c r="H105" s="25"/>
      <c r="I105" s="25"/>
      <c r="J105" s="25"/>
      <c r="K105" s="25"/>
      <c r="L105" s="25"/>
      <c r="M105" s="25"/>
      <c r="N105" s="25"/>
      <c r="O105" s="25"/>
      <c r="P105" s="25"/>
      <c r="Q105" s="25"/>
      <c r="R105" s="25"/>
      <c r="S105" s="25"/>
      <c r="T105" s="53">
        <f>-234-155-7</f>
        <v>-396</v>
      </c>
      <c r="U105" s="25"/>
      <c r="V105" s="5"/>
    </row>
    <row r="106" spans="1:24" ht="15.6" x14ac:dyDescent="0.3">
      <c r="A106" s="24" t="s">
        <v>133</v>
      </c>
      <c r="B106" s="25" t="s">
        <v>122</v>
      </c>
      <c r="C106" s="25"/>
      <c r="D106" s="25"/>
      <c r="E106" s="25"/>
      <c r="F106" s="25"/>
      <c r="G106" s="25"/>
      <c r="H106" s="25"/>
      <c r="I106" s="25"/>
      <c r="J106" s="25"/>
      <c r="K106" s="25"/>
      <c r="L106" s="25"/>
      <c r="M106" s="25"/>
      <c r="N106" s="25"/>
      <c r="O106" s="25"/>
      <c r="P106" s="25"/>
      <c r="Q106" s="25"/>
      <c r="R106" s="25"/>
      <c r="S106" s="25"/>
      <c r="T106" s="53">
        <v>-1325</v>
      </c>
      <c r="U106" s="25"/>
      <c r="V106" s="5"/>
    </row>
    <row r="107" spans="1:24" ht="15.6" x14ac:dyDescent="0.3">
      <c r="A107" s="24" t="s">
        <v>134</v>
      </c>
      <c r="B107" s="25" t="s">
        <v>194</v>
      </c>
      <c r="C107" s="25"/>
      <c r="D107" s="25"/>
      <c r="E107" s="25"/>
      <c r="F107" s="25"/>
      <c r="G107" s="25"/>
      <c r="H107" s="25"/>
      <c r="I107" s="25"/>
      <c r="J107" s="25"/>
      <c r="K107" s="25"/>
      <c r="L107" s="25"/>
      <c r="M107" s="25"/>
      <c r="N107" s="25"/>
      <c r="O107" s="25"/>
      <c r="P107" s="25"/>
      <c r="Q107" s="25"/>
      <c r="R107" s="25"/>
      <c r="S107" s="25"/>
      <c r="T107" s="53">
        <f>-2929+504</f>
        <v>-2425</v>
      </c>
      <c r="U107" s="25"/>
      <c r="V107" s="5"/>
      <c r="W107" s="109"/>
    </row>
    <row r="108" spans="1:24" ht="15.6" x14ac:dyDescent="0.3">
      <c r="A108" s="24" t="s">
        <v>156</v>
      </c>
      <c r="B108" s="25" t="s">
        <v>191</v>
      </c>
      <c r="C108" s="25"/>
      <c r="D108" s="25"/>
      <c r="E108" s="25"/>
      <c r="F108" s="25"/>
      <c r="G108" s="25"/>
      <c r="H108" s="25"/>
      <c r="I108" s="25"/>
      <c r="J108" s="25"/>
      <c r="K108" s="25"/>
      <c r="L108" s="25"/>
      <c r="M108" s="25"/>
      <c r="N108" s="25"/>
      <c r="O108" s="25"/>
      <c r="P108" s="25"/>
      <c r="Q108" s="25"/>
      <c r="R108" s="25"/>
      <c r="S108" s="25"/>
      <c r="T108" s="53">
        <v>-504</v>
      </c>
      <c r="U108" s="25"/>
      <c r="V108" s="5"/>
      <c r="W108" s="109"/>
    </row>
    <row r="109" spans="1:24" ht="15.6" x14ac:dyDescent="0.3">
      <c r="A109" s="24" t="s">
        <v>214</v>
      </c>
      <c r="B109" s="25" t="s">
        <v>192</v>
      </c>
      <c r="C109" s="25"/>
      <c r="D109" s="25"/>
      <c r="E109" s="25"/>
      <c r="F109" s="25"/>
      <c r="G109" s="25"/>
      <c r="H109" s="25"/>
      <c r="I109" s="25"/>
      <c r="J109" s="25"/>
      <c r="K109" s="25"/>
      <c r="L109" s="25"/>
      <c r="M109" s="25"/>
      <c r="N109" s="25"/>
      <c r="O109" s="25"/>
      <c r="P109" s="25"/>
      <c r="Q109" s="25"/>
      <c r="R109" s="25"/>
      <c r="S109" s="25"/>
      <c r="T109" s="53">
        <v>-351</v>
      </c>
      <c r="U109" s="25"/>
      <c r="V109" s="5"/>
      <c r="W109" s="109"/>
      <c r="X109" s="109"/>
    </row>
    <row r="110" spans="1:24" ht="15.6" x14ac:dyDescent="0.3">
      <c r="A110" s="24" t="s">
        <v>215</v>
      </c>
      <c r="B110" s="25" t="s">
        <v>193</v>
      </c>
      <c r="C110" s="25"/>
      <c r="D110" s="25"/>
      <c r="E110" s="25"/>
      <c r="F110" s="25"/>
      <c r="G110" s="25"/>
      <c r="H110" s="25"/>
      <c r="I110" s="25"/>
      <c r="J110" s="25"/>
      <c r="K110" s="25"/>
      <c r="L110" s="25"/>
      <c r="M110" s="25"/>
      <c r="N110" s="25"/>
      <c r="O110" s="25"/>
      <c r="P110" s="25"/>
      <c r="Q110" s="25"/>
      <c r="R110" s="25"/>
      <c r="S110" s="25"/>
      <c r="T110" s="53">
        <f>-450+351</f>
        <v>-99</v>
      </c>
      <c r="U110" s="25"/>
      <c r="V110" s="169"/>
      <c r="W110" s="109"/>
    </row>
    <row r="111" spans="1:24" ht="15.6" x14ac:dyDescent="0.3">
      <c r="A111" s="24" t="s">
        <v>216</v>
      </c>
      <c r="B111" s="25" t="s">
        <v>204</v>
      </c>
      <c r="C111" s="25"/>
      <c r="D111" s="25"/>
      <c r="E111" s="25"/>
      <c r="F111" s="25"/>
      <c r="G111" s="25"/>
      <c r="H111" s="25"/>
      <c r="I111" s="25"/>
      <c r="J111" s="25"/>
      <c r="K111" s="25"/>
      <c r="L111" s="25"/>
      <c r="M111" s="25"/>
      <c r="N111" s="25"/>
      <c r="O111" s="25"/>
      <c r="P111" s="25"/>
      <c r="Q111" s="25"/>
      <c r="R111" s="25"/>
      <c r="S111" s="25"/>
      <c r="T111" s="53">
        <v>-408</v>
      </c>
      <c r="U111" s="25"/>
      <c r="V111" s="5"/>
      <c r="W111" s="109"/>
    </row>
    <row r="112" spans="1:24" ht="15.6" x14ac:dyDescent="0.3">
      <c r="A112" s="24">
        <v>7</v>
      </c>
      <c r="B112" s="25" t="s">
        <v>35</v>
      </c>
      <c r="C112" s="25"/>
      <c r="D112" s="25"/>
      <c r="E112" s="25"/>
      <c r="F112" s="25"/>
      <c r="G112" s="25"/>
      <c r="H112" s="25"/>
      <c r="I112" s="25"/>
      <c r="J112" s="25"/>
      <c r="K112" s="25"/>
      <c r="L112" s="25"/>
      <c r="M112" s="25"/>
      <c r="N112" s="25"/>
      <c r="O112" s="25"/>
      <c r="P112" s="25"/>
      <c r="Q112" s="25"/>
      <c r="R112" s="25"/>
      <c r="S112" s="25"/>
      <c r="T112" s="53">
        <v>-10</v>
      </c>
      <c r="U112" s="25"/>
      <c r="V112" s="5"/>
    </row>
    <row r="113" spans="1:22" ht="15.6" x14ac:dyDescent="0.3">
      <c r="A113" s="24">
        <f t="shared" ref="A113:A118" si="0">+A112+1</f>
        <v>8</v>
      </c>
      <c r="B113" s="25" t="s">
        <v>46</v>
      </c>
      <c r="C113" s="25"/>
      <c r="D113" s="25"/>
      <c r="E113" s="25"/>
      <c r="F113" s="25"/>
      <c r="G113" s="25"/>
      <c r="H113" s="25"/>
      <c r="I113" s="25"/>
      <c r="J113" s="25"/>
      <c r="K113" s="25"/>
      <c r="L113" s="25"/>
      <c r="M113" s="25"/>
      <c r="N113" s="25"/>
      <c r="O113" s="25"/>
      <c r="P113" s="25"/>
      <c r="Q113" s="25"/>
      <c r="R113" s="34">
        <f>-T113</f>
        <v>346</v>
      </c>
      <c r="S113" s="25"/>
      <c r="T113" s="53">
        <v>-346</v>
      </c>
      <c r="U113" s="25"/>
      <c r="V113" s="5"/>
    </row>
    <row r="114" spans="1:22" ht="15.6" x14ac:dyDescent="0.3">
      <c r="A114" s="24">
        <f t="shared" si="0"/>
        <v>9</v>
      </c>
      <c r="B114" s="25" t="s">
        <v>131</v>
      </c>
      <c r="C114" s="25"/>
      <c r="D114" s="25"/>
      <c r="E114" s="25"/>
      <c r="F114" s="25"/>
      <c r="G114" s="25"/>
      <c r="H114" s="25"/>
      <c r="I114" s="25"/>
      <c r="J114" s="25"/>
      <c r="K114" s="25"/>
      <c r="L114" s="25"/>
      <c r="M114" s="25"/>
      <c r="N114" s="25"/>
      <c r="O114" s="25"/>
      <c r="P114" s="25"/>
      <c r="Q114" s="25"/>
      <c r="R114" s="25"/>
      <c r="S114" s="25"/>
      <c r="T114" s="53">
        <v>0</v>
      </c>
      <c r="U114" s="25"/>
      <c r="V114" s="5"/>
    </row>
    <row r="115" spans="1:22" ht="15.6" x14ac:dyDescent="0.3">
      <c r="A115" s="24">
        <f t="shared" si="0"/>
        <v>10</v>
      </c>
      <c r="B115" s="25" t="s">
        <v>36</v>
      </c>
      <c r="C115" s="25"/>
      <c r="D115" s="25"/>
      <c r="E115" s="25"/>
      <c r="F115" s="25"/>
      <c r="G115" s="25"/>
      <c r="H115" s="25"/>
      <c r="I115" s="25"/>
      <c r="J115" s="25"/>
      <c r="K115" s="25"/>
      <c r="L115" s="25"/>
      <c r="M115" s="25"/>
      <c r="N115" s="25"/>
      <c r="O115" s="25"/>
      <c r="P115" s="25"/>
      <c r="Q115" s="25"/>
      <c r="R115" s="25"/>
      <c r="S115" s="25"/>
      <c r="T115" s="53">
        <v>0</v>
      </c>
      <c r="U115" s="25"/>
      <c r="V115" s="5"/>
    </row>
    <row r="116" spans="1:22" ht="15.6" x14ac:dyDescent="0.3">
      <c r="A116" s="24">
        <f t="shared" si="0"/>
        <v>11</v>
      </c>
      <c r="B116" s="25" t="s">
        <v>37</v>
      </c>
      <c r="C116" s="25"/>
      <c r="D116" s="25"/>
      <c r="E116" s="25"/>
      <c r="F116" s="25"/>
      <c r="G116" s="25"/>
      <c r="H116" s="25"/>
      <c r="I116" s="25"/>
      <c r="J116" s="25"/>
      <c r="K116" s="25"/>
      <c r="L116" s="25"/>
      <c r="M116" s="25"/>
      <c r="N116" s="25"/>
      <c r="O116" s="25"/>
      <c r="P116" s="25"/>
      <c r="Q116" s="25"/>
      <c r="R116" s="25"/>
      <c r="S116" s="25"/>
      <c r="T116" s="53">
        <v>0</v>
      </c>
      <c r="U116" s="25"/>
      <c r="V116" s="5"/>
    </row>
    <row r="117" spans="1:22" ht="15.6" x14ac:dyDescent="0.3">
      <c r="A117" s="24">
        <f t="shared" si="0"/>
        <v>12</v>
      </c>
      <c r="B117" s="25" t="s">
        <v>155</v>
      </c>
      <c r="C117" s="25"/>
      <c r="D117" s="25"/>
      <c r="E117" s="25"/>
      <c r="F117" s="25"/>
      <c r="G117" s="25"/>
      <c r="H117" s="25"/>
      <c r="I117" s="25"/>
      <c r="J117" s="25"/>
      <c r="K117" s="25"/>
      <c r="L117" s="25"/>
      <c r="M117" s="25"/>
      <c r="N117" s="25"/>
      <c r="O117" s="25"/>
      <c r="P117" s="25"/>
      <c r="Q117" s="25"/>
      <c r="R117" s="25"/>
      <c r="S117" s="25"/>
      <c r="T117" s="53">
        <v>-233</v>
      </c>
      <c r="U117" s="25"/>
      <c r="V117" s="5"/>
    </row>
    <row r="118" spans="1:22" ht="15.6" x14ac:dyDescent="0.3">
      <c r="A118" s="24">
        <f t="shared" si="0"/>
        <v>13</v>
      </c>
      <c r="B118" s="25" t="s">
        <v>132</v>
      </c>
      <c r="C118" s="25"/>
      <c r="D118" s="25"/>
      <c r="E118" s="25"/>
      <c r="F118" s="25"/>
      <c r="G118" s="25"/>
      <c r="H118" s="25"/>
      <c r="I118" s="25"/>
      <c r="J118" s="25"/>
      <c r="K118" s="25"/>
      <c r="L118" s="25"/>
      <c r="M118" s="25"/>
      <c r="N118" s="25"/>
      <c r="O118" s="25"/>
      <c r="P118" s="25"/>
      <c r="Q118" s="25"/>
      <c r="R118" s="25"/>
      <c r="S118" s="25"/>
      <c r="T118" s="53">
        <f>-T101-SUM(T103:T117)</f>
        <v>-1986</v>
      </c>
      <c r="U118" s="25"/>
      <c r="V118" s="5"/>
    </row>
    <row r="119" spans="1:22" ht="15.6" x14ac:dyDescent="0.3">
      <c r="A119" s="24"/>
      <c r="B119" s="118" t="s">
        <v>38</v>
      </c>
      <c r="C119" s="25"/>
      <c r="D119" s="25"/>
      <c r="E119" s="25"/>
      <c r="F119" s="25"/>
      <c r="G119" s="25"/>
      <c r="H119" s="25"/>
      <c r="I119" s="25"/>
      <c r="J119" s="25"/>
      <c r="K119" s="25"/>
      <c r="L119" s="25"/>
      <c r="M119" s="25"/>
      <c r="N119" s="25"/>
      <c r="O119" s="25"/>
      <c r="P119" s="25"/>
      <c r="Q119" s="25"/>
      <c r="R119" s="25"/>
      <c r="S119" s="25"/>
      <c r="T119" s="59"/>
      <c r="U119" s="25"/>
      <c r="V119" s="5"/>
    </row>
    <row r="120" spans="1:22" ht="15.6" x14ac:dyDescent="0.3">
      <c r="A120" s="24"/>
      <c r="B120" s="25" t="s">
        <v>180</v>
      </c>
      <c r="C120" s="25"/>
      <c r="D120" s="25"/>
      <c r="E120" s="25"/>
      <c r="F120" s="25"/>
      <c r="G120" s="25"/>
      <c r="H120" s="25"/>
      <c r="I120" s="25"/>
      <c r="J120" s="25"/>
      <c r="K120" s="25"/>
      <c r="L120" s="25"/>
      <c r="M120" s="25"/>
      <c r="N120" s="25"/>
      <c r="O120" s="25"/>
      <c r="P120" s="25"/>
      <c r="Q120" s="25"/>
      <c r="R120" s="34">
        <f>-R177</f>
        <v>-21</v>
      </c>
      <c r="S120" s="34"/>
      <c r="T120" s="53"/>
      <c r="U120" s="25"/>
      <c r="V120" s="5"/>
    </row>
    <row r="121" spans="1:22" ht="15.6" x14ac:dyDescent="0.3">
      <c r="A121" s="24"/>
      <c r="B121" s="25" t="s">
        <v>181</v>
      </c>
      <c r="C121" s="25"/>
      <c r="D121" s="25"/>
      <c r="E121" s="25"/>
      <c r="F121" s="25"/>
      <c r="G121" s="25"/>
      <c r="H121" s="25"/>
      <c r="I121" s="25"/>
      <c r="J121" s="25"/>
      <c r="K121" s="25"/>
      <c r="L121" s="25"/>
      <c r="M121" s="25"/>
      <c r="N121" s="25"/>
      <c r="O121" s="25"/>
      <c r="P121" s="25"/>
      <c r="Q121" s="25"/>
      <c r="R121" s="34">
        <v>-84</v>
      </c>
      <c r="S121" s="34"/>
      <c r="T121" s="53"/>
      <c r="U121" s="25"/>
      <c r="V121" s="5"/>
    </row>
    <row r="122" spans="1:22" ht="15.6" x14ac:dyDescent="0.3">
      <c r="A122" s="24"/>
      <c r="B122" s="25" t="s">
        <v>39</v>
      </c>
      <c r="C122" s="25"/>
      <c r="D122" s="25"/>
      <c r="E122" s="25"/>
      <c r="F122" s="25"/>
      <c r="G122" s="25"/>
      <c r="H122" s="25"/>
      <c r="I122" s="25"/>
      <c r="J122" s="25"/>
      <c r="K122" s="25"/>
      <c r="L122" s="25"/>
      <c r="M122" s="25"/>
      <c r="N122" s="25"/>
      <c r="O122" s="25"/>
      <c r="P122" s="25"/>
      <c r="Q122" s="25"/>
      <c r="R122" s="34">
        <f>-Q177</f>
        <v>-643</v>
      </c>
      <c r="S122" s="34"/>
      <c r="T122" s="53"/>
      <c r="U122" s="25"/>
      <c r="V122" s="5"/>
    </row>
    <row r="123" spans="1:22" ht="15.6" x14ac:dyDescent="0.3">
      <c r="A123" s="24"/>
      <c r="B123" s="25" t="s">
        <v>205</v>
      </c>
      <c r="C123" s="25"/>
      <c r="D123" s="25"/>
      <c r="E123" s="25"/>
      <c r="F123" s="25"/>
      <c r="G123" s="25"/>
      <c r="H123" s="25"/>
      <c r="I123" s="25"/>
      <c r="J123" s="25"/>
      <c r="K123" s="25"/>
      <c r="L123" s="25"/>
      <c r="M123" s="25"/>
      <c r="N123" s="25"/>
      <c r="O123" s="25"/>
      <c r="P123" s="25"/>
      <c r="Q123" s="25"/>
      <c r="R123" s="34">
        <v>-6378</v>
      </c>
      <c r="S123" s="34"/>
      <c r="T123" s="53"/>
      <c r="U123" s="25"/>
      <c r="V123" s="5"/>
    </row>
    <row r="124" spans="1:22" ht="15.6" x14ac:dyDescent="0.3">
      <c r="A124" s="24"/>
      <c r="B124" s="25" t="s">
        <v>203</v>
      </c>
      <c r="C124" s="25"/>
      <c r="D124" s="25"/>
      <c r="E124" s="25"/>
      <c r="F124" s="25"/>
      <c r="G124" s="25"/>
      <c r="H124" s="25"/>
      <c r="I124" s="25"/>
      <c r="J124" s="25"/>
      <c r="K124" s="25"/>
      <c r="L124" s="25"/>
      <c r="M124" s="25"/>
      <c r="N124" s="25"/>
      <c r="O124" s="25"/>
      <c r="P124" s="25"/>
      <c r="Q124" s="25"/>
      <c r="R124" s="34">
        <v>-1681</v>
      </c>
      <c r="S124" s="34"/>
      <c r="T124" s="53"/>
      <c r="U124" s="25"/>
      <c r="V124" s="5"/>
    </row>
    <row r="125" spans="1:22" ht="15.6" x14ac:dyDescent="0.3">
      <c r="A125" s="24"/>
      <c r="B125" s="25" t="s">
        <v>202</v>
      </c>
      <c r="C125" s="25"/>
      <c r="D125" s="25"/>
      <c r="E125" s="25"/>
      <c r="F125" s="25"/>
      <c r="G125" s="25"/>
      <c r="H125" s="25"/>
      <c r="I125" s="25"/>
      <c r="J125" s="25"/>
      <c r="K125" s="25"/>
      <c r="L125" s="25"/>
      <c r="M125" s="25"/>
      <c r="N125" s="25"/>
      <c r="O125" s="25"/>
      <c r="P125" s="25"/>
      <c r="Q125" s="25"/>
      <c r="R125" s="34">
        <v>-1695</v>
      </c>
      <c r="S125" s="34"/>
      <c r="T125" s="53"/>
      <c r="U125" s="25"/>
      <c r="V125" s="5"/>
    </row>
    <row r="126" spans="1:22" ht="15.6" x14ac:dyDescent="0.3">
      <c r="A126" s="24"/>
      <c r="B126" s="25" t="s">
        <v>197</v>
      </c>
      <c r="C126" s="25"/>
      <c r="D126" s="25"/>
      <c r="E126" s="25"/>
      <c r="F126" s="25"/>
      <c r="G126" s="25"/>
      <c r="H126" s="25"/>
      <c r="I126" s="25"/>
      <c r="J126" s="25"/>
      <c r="K126" s="25"/>
      <c r="L126" s="25"/>
      <c r="M126" s="25"/>
      <c r="N126" s="25"/>
      <c r="O126" s="25"/>
      <c r="P126" s="25"/>
      <c r="Q126" s="25"/>
      <c r="R126" s="34">
        <v>0</v>
      </c>
      <c r="S126" s="34"/>
      <c r="T126" s="53"/>
      <c r="U126" s="25"/>
      <c r="V126" s="5"/>
    </row>
    <row r="127" spans="1:22" ht="15.6" x14ac:dyDescent="0.3">
      <c r="A127" s="24"/>
      <c r="B127" s="25" t="s">
        <v>196</v>
      </c>
      <c r="C127" s="25"/>
      <c r="D127" s="25"/>
      <c r="E127" s="25"/>
      <c r="F127" s="25"/>
      <c r="G127" s="25"/>
      <c r="H127" s="25"/>
      <c r="I127" s="25"/>
      <c r="J127" s="25"/>
      <c r="K127" s="25"/>
      <c r="L127" s="25"/>
      <c r="M127" s="25"/>
      <c r="N127" s="25"/>
      <c r="O127" s="25"/>
      <c r="P127" s="25"/>
      <c r="Q127" s="25"/>
      <c r="R127" s="34">
        <v>0</v>
      </c>
      <c r="S127" s="34"/>
      <c r="T127" s="53"/>
      <c r="U127" s="25"/>
      <c r="V127" s="5"/>
    </row>
    <row r="128" spans="1:22" ht="15.6" x14ac:dyDescent="0.3">
      <c r="A128" s="24"/>
      <c r="B128" s="25" t="s">
        <v>195</v>
      </c>
      <c r="C128" s="25"/>
      <c r="D128" s="25"/>
      <c r="E128" s="25"/>
      <c r="F128" s="25"/>
      <c r="G128" s="25"/>
      <c r="H128" s="25"/>
      <c r="I128" s="25"/>
      <c r="J128" s="25"/>
      <c r="K128" s="25"/>
      <c r="L128" s="25"/>
      <c r="M128" s="25"/>
      <c r="N128" s="25"/>
      <c r="O128" s="25"/>
      <c r="P128" s="25"/>
      <c r="Q128" s="25"/>
      <c r="R128" s="34">
        <v>0</v>
      </c>
      <c r="S128" s="34"/>
      <c r="T128" s="53"/>
      <c r="U128" s="25"/>
      <c r="V128" s="5"/>
    </row>
    <row r="129" spans="1:22" ht="15.6" x14ac:dyDescent="0.3">
      <c r="A129" s="24"/>
      <c r="B129" s="25" t="s">
        <v>40</v>
      </c>
      <c r="C129" s="25"/>
      <c r="D129" s="25"/>
      <c r="E129" s="25"/>
      <c r="F129" s="25"/>
      <c r="G129" s="25"/>
      <c r="H129" s="25"/>
      <c r="I129" s="25"/>
      <c r="J129" s="25"/>
      <c r="K129" s="25"/>
      <c r="L129" s="25"/>
      <c r="M129" s="25"/>
      <c r="N129" s="25"/>
      <c r="O129" s="25"/>
      <c r="P129" s="25"/>
      <c r="Q129" s="25"/>
      <c r="R129" s="34">
        <f>SUM(R120:R128)</f>
        <v>-10502</v>
      </c>
      <c r="S129" s="34"/>
      <c r="T129" s="34">
        <f>SUM(T102:T127)</f>
        <v>-8085</v>
      </c>
      <c r="U129" s="25"/>
      <c r="V129" s="5"/>
    </row>
    <row r="130" spans="1:22" ht="15.6" x14ac:dyDescent="0.3">
      <c r="A130" s="24"/>
      <c r="B130" s="25" t="s">
        <v>41</v>
      </c>
      <c r="C130" s="25"/>
      <c r="D130" s="25"/>
      <c r="E130" s="25"/>
      <c r="F130" s="25"/>
      <c r="G130" s="25"/>
      <c r="H130" s="25"/>
      <c r="I130" s="25"/>
      <c r="J130" s="25"/>
      <c r="K130" s="25"/>
      <c r="L130" s="25"/>
      <c r="M130" s="25"/>
      <c r="N130" s="25"/>
      <c r="O130" s="25"/>
      <c r="P130" s="25"/>
      <c r="Q130" s="25"/>
      <c r="R130" s="34">
        <f>R101+R129+R113</f>
        <v>0</v>
      </c>
      <c r="S130" s="34"/>
      <c r="T130" s="34">
        <f>T101+T129</f>
        <v>0</v>
      </c>
      <c r="U130" s="25"/>
      <c r="V130" s="5"/>
    </row>
    <row r="131" spans="1:22" ht="15.6" x14ac:dyDescent="0.3">
      <c r="A131" s="24"/>
      <c r="B131" s="25"/>
      <c r="C131" s="25"/>
      <c r="D131" s="25"/>
      <c r="E131" s="25"/>
      <c r="F131" s="25"/>
      <c r="G131" s="25"/>
      <c r="H131" s="25"/>
      <c r="I131" s="25"/>
      <c r="J131" s="25"/>
      <c r="K131" s="25"/>
      <c r="L131" s="25"/>
      <c r="M131" s="25"/>
      <c r="N131" s="25"/>
      <c r="O131" s="25"/>
      <c r="P131" s="25"/>
      <c r="Q131" s="25"/>
      <c r="R131" s="34"/>
      <c r="S131" s="34"/>
      <c r="T131" s="34"/>
      <c r="U131" s="25"/>
      <c r="V131" s="5"/>
    </row>
    <row r="132" spans="1:22" ht="15.6" x14ac:dyDescent="0.3">
      <c r="A132" s="6"/>
      <c r="B132" s="8"/>
      <c r="C132" s="8"/>
      <c r="D132" s="8"/>
      <c r="E132" s="8"/>
      <c r="F132" s="8"/>
      <c r="G132" s="8"/>
      <c r="H132" s="8"/>
      <c r="I132" s="8"/>
      <c r="J132" s="8"/>
      <c r="K132" s="8"/>
      <c r="L132" s="8"/>
      <c r="M132" s="8"/>
      <c r="N132" s="8"/>
      <c r="O132" s="8"/>
      <c r="P132" s="8"/>
      <c r="Q132" s="8"/>
      <c r="R132" s="8"/>
      <c r="S132" s="8"/>
      <c r="T132" s="52"/>
      <c r="U132" s="8"/>
      <c r="V132" s="5"/>
    </row>
    <row r="133" spans="1:22" ht="18" thickBot="1" x14ac:dyDescent="0.35">
      <c r="A133" s="101"/>
      <c r="B133" s="102" t="str">
        <f>B64</f>
        <v>PM11 INVESTOR REPORT QUARTER ENDING MARCH 2009</v>
      </c>
      <c r="C133" s="103"/>
      <c r="D133" s="103"/>
      <c r="E133" s="103"/>
      <c r="F133" s="103"/>
      <c r="G133" s="103"/>
      <c r="H133" s="103"/>
      <c r="I133" s="103"/>
      <c r="J133" s="103"/>
      <c r="K133" s="103"/>
      <c r="L133" s="103"/>
      <c r="M133" s="103"/>
      <c r="N133" s="103"/>
      <c r="O133" s="103"/>
      <c r="P133" s="103"/>
      <c r="Q133" s="103"/>
      <c r="R133" s="103"/>
      <c r="S133" s="103"/>
      <c r="T133" s="106"/>
      <c r="U133" s="105"/>
      <c r="V133" s="5"/>
    </row>
    <row r="134" spans="1:22" ht="15.6" x14ac:dyDescent="0.3">
      <c r="A134" s="2"/>
      <c r="B134" s="60" t="s">
        <v>42</v>
      </c>
      <c r="C134" s="4"/>
      <c r="D134" s="4"/>
      <c r="E134" s="4"/>
      <c r="F134" s="4"/>
      <c r="G134" s="4"/>
      <c r="H134" s="4"/>
      <c r="I134" s="4"/>
      <c r="J134" s="4"/>
      <c r="K134" s="4"/>
      <c r="L134" s="4"/>
      <c r="M134" s="4"/>
      <c r="N134" s="4"/>
      <c r="O134" s="4"/>
      <c r="P134" s="4"/>
      <c r="Q134" s="4"/>
      <c r="R134" s="4"/>
      <c r="S134" s="4"/>
      <c r="T134" s="50"/>
      <c r="U134" s="4"/>
      <c r="V134" s="5"/>
    </row>
    <row r="135" spans="1:22" ht="15.6" x14ac:dyDescent="0.3">
      <c r="A135" s="6"/>
      <c r="B135" s="21"/>
      <c r="C135" s="8"/>
      <c r="D135" s="8"/>
      <c r="E135" s="8"/>
      <c r="F135" s="8"/>
      <c r="G135" s="8"/>
      <c r="H135" s="8"/>
      <c r="I135" s="8"/>
      <c r="J135" s="8"/>
      <c r="K135" s="8"/>
      <c r="L135" s="8"/>
      <c r="M135" s="8"/>
      <c r="N135" s="8"/>
      <c r="O135" s="8"/>
      <c r="P135" s="8"/>
      <c r="Q135" s="8"/>
      <c r="R135" s="8"/>
      <c r="S135" s="8"/>
      <c r="T135" s="52"/>
      <c r="U135" s="8"/>
      <c r="V135" s="5"/>
    </row>
    <row r="136" spans="1:22" ht="15.6" x14ac:dyDescent="0.3">
      <c r="A136" s="6"/>
      <c r="B136" s="119" t="s">
        <v>43</v>
      </c>
      <c r="C136" s="8"/>
      <c r="D136" s="8"/>
      <c r="E136" s="8"/>
      <c r="F136" s="8"/>
      <c r="G136" s="8"/>
      <c r="H136" s="8"/>
      <c r="I136" s="8"/>
      <c r="J136" s="8"/>
      <c r="K136" s="8"/>
      <c r="L136" s="8"/>
      <c r="M136" s="8"/>
      <c r="N136" s="8"/>
      <c r="O136" s="8"/>
      <c r="P136" s="8"/>
      <c r="Q136" s="8"/>
      <c r="R136" s="8"/>
      <c r="S136" s="8"/>
      <c r="T136" s="52"/>
      <c r="U136" s="8"/>
      <c r="V136" s="5"/>
    </row>
    <row r="137" spans="1:22" ht="15.6" x14ac:dyDescent="0.3">
      <c r="A137" s="24"/>
      <c r="B137" s="25" t="s">
        <v>44</v>
      </c>
      <c r="C137" s="25"/>
      <c r="D137" s="25"/>
      <c r="E137" s="25"/>
      <c r="F137" s="25"/>
      <c r="G137" s="25"/>
      <c r="H137" s="25"/>
      <c r="I137" s="25"/>
      <c r="J137" s="25"/>
      <c r="K137" s="25"/>
      <c r="L137" s="25"/>
      <c r="M137" s="25"/>
      <c r="N137" s="25"/>
      <c r="O137" s="25"/>
      <c r="P137" s="25"/>
      <c r="Q137" s="25"/>
      <c r="R137" s="25"/>
      <c r="S137" s="25"/>
      <c r="T137" s="53">
        <f>+T34*0.019</f>
        <v>19000.95</v>
      </c>
      <c r="U137" s="25"/>
      <c r="V137" s="5"/>
    </row>
    <row r="138" spans="1:22" ht="15.6" x14ac:dyDescent="0.3">
      <c r="A138" s="24"/>
      <c r="B138" s="25" t="s">
        <v>45</v>
      </c>
      <c r="C138" s="25"/>
      <c r="D138" s="25"/>
      <c r="E138" s="25"/>
      <c r="F138" s="25"/>
      <c r="G138" s="25"/>
      <c r="H138" s="25"/>
      <c r="I138" s="25"/>
      <c r="J138" s="25"/>
      <c r="K138" s="25"/>
      <c r="L138" s="25"/>
      <c r="M138" s="25"/>
      <c r="N138" s="25"/>
      <c r="O138" s="25"/>
      <c r="P138" s="25"/>
      <c r="Q138" s="25"/>
      <c r="R138" s="25"/>
      <c r="S138" s="25"/>
      <c r="T138" s="53">
        <v>19001</v>
      </c>
      <c r="U138" s="25"/>
      <c r="V138" s="5"/>
    </row>
    <row r="139" spans="1:22" ht="15.6" x14ac:dyDescent="0.3">
      <c r="A139" s="24"/>
      <c r="B139" s="25" t="s">
        <v>142</v>
      </c>
      <c r="C139" s="25"/>
      <c r="D139" s="25"/>
      <c r="E139" s="25"/>
      <c r="F139" s="25"/>
      <c r="G139" s="25"/>
      <c r="H139" s="25"/>
      <c r="I139" s="25"/>
      <c r="J139" s="25"/>
      <c r="K139" s="25"/>
      <c r="L139" s="25"/>
      <c r="M139" s="25"/>
      <c r="N139" s="25"/>
      <c r="O139" s="25"/>
      <c r="P139" s="25"/>
      <c r="Q139" s="25"/>
      <c r="R139" s="25"/>
      <c r="S139" s="25"/>
      <c r="T139" s="53">
        <v>0</v>
      </c>
      <c r="U139" s="25"/>
      <c r="V139" s="5"/>
    </row>
    <row r="140" spans="1:22" ht="15.6" x14ac:dyDescent="0.3">
      <c r="A140" s="24"/>
      <c r="B140" s="25" t="s">
        <v>129</v>
      </c>
      <c r="C140" s="25"/>
      <c r="D140" s="25"/>
      <c r="E140" s="25"/>
      <c r="F140" s="25"/>
      <c r="G140" s="25"/>
      <c r="H140" s="25"/>
      <c r="I140" s="25"/>
      <c r="J140" s="25"/>
      <c r="K140" s="25"/>
      <c r="L140" s="25"/>
      <c r="M140" s="25"/>
      <c r="N140" s="25"/>
      <c r="O140" s="25"/>
      <c r="P140" s="25"/>
      <c r="Q140" s="25"/>
      <c r="R140" s="25"/>
      <c r="S140" s="25"/>
      <c r="T140" s="53">
        <v>0</v>
      </c>
      <c r="U140" s="25"/>
      <c r="V140" s="5"/>
    </row>
    <row r="141" spans="1:22" ht="15.6" x14ac:dyDescent="0.3">
      <c r="A141" s="24"/>
      <c r="B141" s="25" t="s">
        <v>130</v>
      </c>
      <c r="C141" s="25"/>
      <c r="D141" s="25"/>
      <c r="E141" s="25"/>
      <c r="F141" s="25"/>
      <c r="G141" s="25"/>
      <c r="H141" s="25"/>
      <c r="I141" s="25"/>
      <c r="J141" s="25"/>
      <c r="K141" s="25"/>
      <c r="L141" s="25"/>
      <c r="M141" s="25"/>
      <c r="N141" s="25"/>
      <c r="O141" s="25"/>
      <c r="P141" s="25"/>
      <c r="Q141" s="25"/>
      <c r="R141" s="25"/>
      <c r="S141" s="25"/>
      <c r="T141" s="53">
        <v>0</v>
      </c>
      <c r="U141" s="25"/>
      <c r="V141" s="5"/>
    </row>
    <row r="142" spans="1:22" ht="15.6" x14ac:dyDescent="0.3">
      <c r="A142" s="24"/>
      <c r="B142" s="25" t="s">
        <v>182</v>
      </c>
      <c r="C142" s="25"/>
      <c r="D142" s="25"/>
      <c r="E142" s="25"/>
      <c r="F142" s="25"/>
      <c r="G142" s="25"/>
      <c r="H142" s="25"/>
      <c r="I142" s="25"/>
      <c r="J142" s="25"/>
      <c r="K142" s="25"/>
      <c r="L142" s="25"/>
      <c r="M142" s="25"/>
      <c r="N142" s="25"/>
      <c r="O142" s="25"/>
      <c r="P142" s="25"/>
      <c r="Q142" s="25"/>
      <c r="R142" s="25"/>
      <c r="S142" s="25"/>
      <c r="T142" s="53">
        <v>0</v>
      </c>
      <c r="U142" s="25"/>
      <c r="V142" s="5"/>
    </row>
    <row r="143" spans="1:22" ht="15.6" x14ac:dyDescent="0.3">
      <c r="A143" s="24"/>
      <c r="B143" s="25" t="s">
        <v>46</v>
      </c>
      <c r="C143" s="25"/>
      <c r="D143" s="25"/>
      <c r="E143" s="25"/>
      <c r="F143" s="25"/>
      <c r="G143" s="25"/>
      <c r="H143" s="25"/>
      <c r="I143" s="25"/>
      <c r="J143" s="25"/>
      <c r="K143" s="25"/>
      <c r="L143" s="25"/>
      <c r="M143" s="25"/>
      <c r="N143" s="25"/>
      <c r="O143" s="25"/>
      <c r="P143" s="25"/>
      <c r="Q143" s="25"/>
      <c r="R143" s="25"/>
      <c r="S143" s="25"/>
      <c r="T143" s="53">
        <v>0</v>
      </c>
      <c r="U143" s="25"/>
      <c r="V143" s="5"/>
    </row>
    <row r="144" spans="1:22" ht="15.6" x14ac:dyDescent="0.3">
      <c r="A144" s="24"/>
      <c r="B144" s="25" t="s">
        <v>135</v>
      </c>
      <c r="C144" s="25"/>
      <c r="D144" s="25"/>
      <c r="E144" s="25"/>
      <c r="F144" s="25"/>
      <c r="G144" s="25"/>
      <c r="H144" s="25"/>
      <c r="I144" s="25"/>
      <c r="J144" s="25"/>
      <c r="K144" s="25"/>
      <c r="L144" s="25"/>
      <c r="M144" s="25"/>
      <c r="N144" s="25"/>
      <c r="O144" s="25"/>
      <c r="P144" s="25"/>
      <c r="Q144" s="25"/>
      <c r="R144" s="25"/>
      <c r="S144" s="25"/>
      <c r="T144" s="53">
        <v>0</v>
      </c>
      <c r="U144" s="25"/>
      <c r="V144" s="5"/>
    </row>
    <row r="145" spans="1:23" ht="15.6" x14ac:dyDescent="0.3">
      <c r="A145" s="24"/>
      <c r="B145" s="25" t="s">
        <v>251</v>
      </c>
      <c r="C145" s="25"/>
      <c r="D145" s="25"/>
      <c r="E145" s="25"/>
      <c r="F145" s="25"/>
      <c r="G145" s="25"/>
      <c r="H145" s="25"/>
      <c r="I145" s="25"/>
      <c r="J145" s="25"/>
      <c r="K145" s="25"/>
      <c r="L145" s="25"/>
      <c r="M145" s="25"/>
      <c r="N145" s="25"/>
      <c r="O145" s="25"/>
      <c r="P145" s="25"/>
      <c r="Q145" s="25"/>
      <c r="R145" s="25"/>
      <c r="S145" s="25"/>
      <c r="T145" s="53">
        <v>0</v>
      </c>
      <c r="U145" s="25"/>
      <c r="V145" s="5"/>
      <c r="W145" s="109"/>
    </row>
    <row r="146" spans="1:23" ht="15.6" x14ac:dyDescent="0.3">
      <c r="A146" s="24"/>
      <c r="B146" s="25" t="s">
        <v>47</v>
      </c>
      <c r="C146" s="25"/>
      <c r="D146" s="25"/>
      <c r="E146" s="25"/>
      <c r="F146" s="25"/>
      <c r="G146" s="25"/>
      <c r="H146" s="25"/>
      <c r="I146" s="25"/>
      <c r="J146" s="25"/>
      <c r="K146" s="25"/>
      <c r="L146" s="25"/>
      <c r="M146" s="25"/>
      <c r="N146" s="25"/>
      <c r="O146" s="25"/>
      <c r="P146" s="25"/>
      <c r="Q146" s="25"/>
      <c r="R146" s="25"/>
      <c r="S146" s="25"/>
      <c r="T146" s="53">
        <f>SUM(T138:T145)</f>
        <v>19001</v>
      </c>
      <c r="U146" s="25"/>
      <c r="V146" s="5"/>
    </row>
    <row r="147" spans="1:23" ht="15.6" x14ac:dyDescent="0.3">
      <c r="A147" s="24"/>
      <c r="B147" s="25"/>
      <c r="C147" s="25"/>
      <c r="D147" s="25"/>
      <c r="E147" s="25"/>
      <c r="F147" s="25"/>
      <c r="G147" s="25"/>
      <c r="H147" s="25"/>
      <c r="I147" s="25"/>
      <c r="J147" s="25"/>
      <c r="K147" s="25"/>
      <c r="L147" s="25"/>
      <c r="M147" s="25"/>
      <c r="N147" s="25"/>
      <c r="O147" s="25"/>
      <c r="P147" s="25"/>
      <c r="Q147" s="25"/>
      <c r="R147" s="25"/>
      <c r="S147" s="25"/>
      <c r="T147" s="53"/>
      <c r="U147" s="25"/>
      <c r="V147" s="5"/>
    </row>
    <row r="148" spans="1:23" ht="15.6" x14ac:dyDescent="0.3">
      <c r="A148" s="24"/>
      <c r="B148" s="138" t="s">
        <v>262</v>
      </c>
      <c r="C148" s="25"/>
      <c r="D148" s="25"/>
      <c r="E148" s="25"/>
      <c r="F148" s="25"/>
      <c r="G148" s="25"/>
      <c r="H148" s="25"/>
      <c r="I148" s="25"/>
      <c r="J148" s="25"/>
      <c r="K148" s="25"/>
      <c r="L148" s="25"/>
      <c r="M148" s="25"/>
      <c r="N148" s="25"/>
      <c r="O148" s="25"/>
      <c r="P148" s="25"/>
      <c r="Q148" s="25"/>
      <c r="R148" s="25"/>
      <c r="S148" s="25"/>
      <c r="T148" s="53"/>
      <c r="U148" s="25"/>
      <c r="V148" s="5"/>
    </row>
    <row r="149" spans="1:23" ht="15.6" x14ac:dyDescent="0.3">
      <c r="A149" s="24"/>
      <c r="B149" s="25" t="s">
        <v>263</v>
      </c>
      <c r="C149" s="25"/>
      <c r="D149" s="25"/>
      <c r="E149" s="25"/>
      <c r="F149" s="25"/>
      <c r="G149" s="25"/>
      <c r="H149" s="25"/>
      <c r="I149" s="25"/>
      <c r="J149" s="25"/>
      <c r="K149" s="25"/>
      <c r="L149" s="25"/>
      <c r="M149" s="25"/>
      <c r="N149" s="25"/>
      <c r="O149" s="25"/>
      <c r="P149" s="25"/>
      <c r="Q149" s="25"/>
      <c r="R149" s="25"/>
      <c r="S149" s="25"/>
      <c r="T149" s="53">
        <v>0</v>
      </c>
      <c r="U149" s="25"/>
      <c r="V149" s="5"/>
    </row>
    <row r="150" spans="1:23" ht="15.6" x14ac:dyDescent="0.3">
      <c r="A150" s="24"/>
      <c r="B150" s="25" t="s">
        <v>179</v>
      </c>
      <c r="C150" s="25"/>
      <c r="D150" s="25"/>
      <c r="E150" s="25"/>
      <c r="F150" s="25"/>
      <c r="G150" s="25"/>
      <c r="H150" s="25"/>
      <c r="I150" s="25"/>
      <c r="J150" s="25"/>
      <c r="K150" s="25"/>
      <c r="L150" s="25"/>
      <c r="M150" s="25"/>
      <c r="N150" s="25"/>
      <c r="O150" s="25"/>
      <c r="P150" s="25"/>
      <c r="Q150" s="25"/>
      <c r="R150" s="25"/>
      <c r="S150" s="25"/>
      <c r="T150" s="53">
        <v>0</v>
      </c>
      <c r="U150" s="25"/>
      <c r="V150" s="5"/>
    </row>
    <row r="151" spans="1:23" ht="15.6" x14ac:dyDescent="0.3">
      <c r="A151" s="24"/>
      <c r="B151" s="25" t="s">
        <v>264</v>
      </c>
      <c r="C151" s="25"/>
      <c r="D151" s="25"/>
      <c r="E151" s="25"/>
      <c r="F151" s="25"/>
      <c r="G151" s="25"/>
      <c r="H151" s="25"/>
      <c r="I151" s="25"/>
      <c r="J151" s="25"/>
      <c r="K151" s="25"/>
      <c r="L151" s="25"/>
      <c r="M151" s="25"/>
      <c r="N151" s="25"/>
      <c r="O151" s="25"/>
      <c r="P151" s="25"/>
      <c r="Q151" s="25"/>
      <c r="R151" s="25"/>
      <c r="S151" s="25"/>
      <c r="T151" s="53">
        <v>0</v>
      </c>
      <c r="U151" s="25"/>
      <c r="V151" s="5"/>
    </row>
    <row r="152" spans="1:23" ht="15.6" x14ac:dyDescent="0.3">
      <c r="A152" s="24"/>
      <c r="B152" s="25"/>
      <c r="C152" s="25"/>
      <c r="D152" s="25"/>
      <c r="E152" s="25"/>
      <c r="F152" s="25"/>
      <c r="G152" s="25"/>
      <c r="H152" s="25"/>
      <c r="I152" s="25"/>
      <c r="J152" s="25"/>
      <c r="K152" s="25"/>
      <c r="L152" s="25"/>
      <c r="M152" s="25"/>
      <c r="N152" s="25"/>
      <c r="O152" s="25"/>
      <c r="P152" s="25"/>
      <c r="Q152" s="25"/>
      <c r="R152" s="25"/>
      <c r="S152" s="25"/>
      <c r="T152" s="53"/>
      <c r="U152" s="25"/>
      <c r="V152" s="5"/>
    </row>
    <row r="153" spans="1:23" ht="15.6" x14ac:dyDescent="0.3">
      <c r="A153" s="24"/>
      <c r="B153" s="25"/>
      <c r="C153" s="25"/>
      <c r="D153" s="25"/>
      <c r="E153" s="25"/>
      <c r="F153" s="25"/>
      <c r="G153" s="25"/>
      <c r="H153" s="25"/>
      <c r="I153" s="25"/>
      <c r="J153" s="25"/>
      <c r="K153" s="25"/>
      <c r="L153" s="25"/>
      <c r="M153" s="25"/>
      <c r="N153" s="25"/>
      <c r="O153" s="25"/>
      <c r="P153" s="25"/>
      <c r="Q153" s="25"/>
      <c r="R153" s="25"/>
      <c r="S153" s="25"/>
      <c r="T153" s="61"/>
      <c r="U153" s="25"/>
      <c r="V153" s="5"/>
    </row>
    <row r="154" spans="1:23" ht="15.6" x14ac:dyDescent="0.3">
      <c r="A154" s="6"/>
      <c r="B154" s="119" t="s">
        <v>24</v>
      </c>
      <c r="C154" s="8"/>
      <c r="D154" s="8"/>
      <c r="E154" s="8"/>
      <c r="F154" s="8"/>
      <c r="G154" s="8"/>
      <c r="H154" s="8"/>
      <c r="I154" s="8"/>
      <c r="J154" s="8"/>
      <c r="K154" s="8"/>
      <c r="L154" s="8"/>
      <c r="M154" s="8"/>
      <c r="N154" s="8"/>
      <c r="O154" s="8"/>
      <c r="P154" s="8"/>
      <c r="Q154" s="8"/>
      <c r="R154" s="8"/>
      <c r="S154" s="8"/>
      <c r="T154" s="52"/>
      <c r="U154" s="8"/>
      <c r="V154" s="5"/>
    </row>
    <row r="155" spans="1:23" ht="15.6" x14ac:dyDescent="0.3">
      <c r="A155" s="24"/>
      <c r="B155" s="25" t="s">
        <v>48</v>
      </c>
      <c r="C155" s="25"/>
      <c r="D155" s="25"/>
      <c r="E155" s="25"/>
      <c r="F155" s="25"/>
      <c r="G155" s="25"/>
      <c r="H155" s="25"/>
      <c r="I155" s="25"/>
      <c r="J155" s="25"/>
      <c r="K155" s="25"/>
      <c r="L155" s="25"/>
      <c r="M155" s="25"/>
      <c r="N155" s="25"/>
      <c r="O155" s="25"/>
      <c r="P155" s="25"/>
      <c r="Q155" s="25"/>
      <c r="R155" s="25"/>
      <c r="S155" s="25"/>
      <c r="T155" s="59" t="s">
        <v>124</v>
      </c>
      <c r="U155" s="25"/>
      <c r="V155" s="5"/>
    </row>
    <row r="156" spans="1:23" ht="15.6" x14ac:dyDescent="0.3">
      <c r="A156" s="24"/>
      <c r="B156" s="25" t="s">
        <v>49</v>
      </c>
      <c r="C156" s="163"/>
      <c r="D156" s="163"/>
      <c r="E156" s="163"/>
      <c r="F156" s="163"/>
      <c r="G156" s="163"/>
      <c r="H156" s="163"/>
      <c r="I156" s="163"/>
      <c r="J156" s="163"/>
      <c r="K156" s="163"/>
      <c r="L156" s="163"/>
      <c r="M156" s="163"/>
      <c r="N156" s="163"/>
      <c r="O156" s="163"/>
      <c r="P156" s="163"/>
      <c r="Q156" s="163"/>
      <c r="R156" s="163"/>
      <c r="S156" s="163"/>
      <c r="T156" s="59" t="s">
        <v>124</v>
      </c>
      <c r="U156" s="25"/>
      <c r="V156" s="5"/>
    </row>
    <row r="157" spans="1:23" ht="15.6" x14ac:dyDescent="0.3">
      <c r="A157" s="24"/>
      <c r="B157" s="25" t="s">
        <v>50</v>
      </c>
      <c r="C157" s="25"/>
      <c r="D157" s="25"/>
      <c r="E157" s="25"/>
      <c r="F157" s="25"/>
      <c r="G157" s="25"/>
      <c r="H157" s="25"/>
      <c r="I157" s="25"/>
      <c r="J157" s="25"/>
      <c r="K157" s="25"/>
      <c r="L157" s="25"/>
      <c r="M157" s="25"/>
      <c r="N157" s="25"/>
      <c r="O157" s="25"/>
      <c r="P157" s="25"/>
      <c r="Q157" s="25"/>
      <c r="R157" s="25"/>
      <c r="S157" s="25"/>
      <c r="T157" s="59" t="s">
        <v>124</v>
      </c>
      <c r="U157" s="25"/>
      <c r="V157" s="5"/>
    </row>
    <row r="158" spans="1:23" ht="15.6" x14ac:dyDescent="0.3">
      <c r="A158" s="24"/>
      <c r="B158" s="25" t="s">
        <v>51</v>
      </c>
      <c r="C158" s="25"/>
      <c r="D158" s="25"/>
      <c r="E158" s="25"/>
      <c r="F158" s="25"/>
      <c r="G158" s="25"/>
      <c r="H158" s="25"/>
      <c r="I158" s="25"/>
      <c r="J158" s="25"/>
      <c r="K158" s="25"/>
      <c r="L158" s="25"/>
      <c r="M158" s="25"/>
      <c r="N158" s="25"/>
      <c r="O158" s="25"/>
      <c r="P158" s="25"/>
      <c r="Q158" s="25"/>
      <c r="R158" s="25"/>
      <c r="S158" s="25"/>
      <c r="T158" s="59" t="s">
        <v>124</v>
      </c>
      <c r="U158" s="25"/>
      <c r="V158" s="5"/>
    </row>
    <row r="159" spans="1:23" ht="15.6" x14ac:dyDescent="0.3">
      <c r="A159" s="24"/>
      <c r="B159" s="25"/>
      <c r="C159" s="25"/>
      <c r="D159" s="25"/>
      <c r="E159" s="25"/>
      <c r="F159" s="25"/>
      <c r="G159" s="25"/>
      <c r="H159" s="25"/>
      <c r="I159" s="25"/>
      <c r="J159" s="25"/>
      <c r="K159" s="25"/>
      <c r="L159" s="25"/>
      <c r="M159" s="25"/>
      <c r="N159" s="25"/>
      <c r="O159" s="25"/>
      <c r="P159" s="25"/>
      <c r="Q159" s="25"/>
      <c r="R159" s="25"/>
      <c r="S159" s="25"/>
      <c r="T159" s="61"/>
      <c r="U159" s="25"/>
      <c r="V159" s="5"/>
    </row>
    <row r="160" spans="1:23" ht="15.6" x14ac:dyDescent="0.3">
      <c r="A160" s="6"/>
      <c r="B160" s="119" t="s">
        <v>52</v>
      </c>
      <c r="C160" s="8"/>
      <c r="D160" s="8"/>
      <c r="E160" s="8"/>
      <c r="F160" s="8"/>
      <c r="G160" s="8"/>
      <c r="H160" s="8"/>
      <c r="I160" s="8"/>
      <c r="J160" s="8"/>
      <c r="K160" s="8"/>
      <c r="L160" s="8"/>
      <c r="M160" s="8"/>
      <c r="N160" s="8"/>
      <c r="O160" s="8"/>
      <c r="P160" s="8"/>
      <c r="Q160" s="8"/>
      <c r="R160" s="8"/>
      <c r="S160" s="8"/>
      <c r="T160" s="63"/>
      <c r="U160" s="8"/>
      <c r="V160" s="5"/>
    </row>
    <row r="161" spans="1:22" ht="15.6" x14ac:dyDescent="0.3">
      <c r="A161" s="24"/>
      <c r="B161" s="25" t="s">
        <v>53</v>
      </c>
      <c r="C161" s="25"/>
      <c r="D161" s="25"/>
      <c r="E161" s="25"/>
      <c r="F161" s="25"/>
      <c r="G161" s="25"/>
      <c r="H161" s="25"/>
      <c r="I161" s="25"/>
      <c r="J161" s="25"/>
      <c r="K161" s="25"/>
      <c r="L161" s="25"/>
      <c r="M161" s="25"/>
      <c r="N161" s="25"/>
      <c r="O161" s="25"/>
      <c r="P161" s="25"/>
      <c r="Q161" s="25"/>
      <c r="R161" s="25"/>
      <c r="S161" s="25"/>
      <c r="T161" s="53">
        <v>0</v>
      </c>
      <c r="U161" s="25"/>
      <c r="V161" s="5"/>
    </row>
    <row r="162" spans="1:22" ht="15.6" x14ac:dyDescent="0.3">
      <c r="A162" s="24"/>
      <c r="B162" s="25" t="s">
        <v>54</v>
      </c>
      <c r="C162" s="25"/>
      <c r="D162" s="25"/>
      <c r="E162" s="25"/>
      <c r="F162" s="25"/>
      <c r="G162" s="25"/>
      <c r="H162" s="25"/>
      <c r="I162" s="25"/>
      <c r="J162" s="25"/>
      <c r="K162" s="25"/>
      <c r="L162" s="25"/>
      <c r="M162" s="25"/>
      <c r="N162" s="25"/>
      <c r="O162" s="25"/>
      <c r="P162" s="25"/>
      <c r="Q162" s="25"/>
      <c r="R162" s="25"/>
      <c r="S162" s="25"/>
      <c r="T162" s="53">
        <f>R113</f>
        <v>346</v>
      </c>
      <c r="U162" s="25"/>
      <c r="V162" s="5"/>
    </row>
    <row r="163" spans="1:22" ht="15.6" x14ac:dyDescent="0.3">
      <c r="A163" s="24"/>
      <c r="B163" s="25" t="s">
        <v>55</v>
      </c>
      <c r="C163" s="25"/>
      <c r="D163" s="25"/>
      <c r="E163" s="25"/>
      <c r="F163" s="25"/>
      <c r="G163" s="25"/>
      <c r="H163" s="25"/>
      <c r="I163" s="25"/>
      <c r="J163" s="25"/>
      <c r="K163" s="25"/>
      <c r="L163" s="25"/>
      <c r="M163" s="25"/>
      <c r="N163" s="25"/>
      <c r="O163" s="25"/>
      <c r="P163" s="25"/>
      <c r="Q163" s="25"/>
      <c r="R163" s="25"/>
      <c r="S163" s="25"/>
      <c r="T163" s="53">
        <f>T162+T161</f>
        <v>346</v>
      </c>
      <c r="U163" s="25"/>
      <c r="V163" s="5"/>
    </row>
    <row r="164" spans="1:22" ht="15.6" x14ac:dyDescent="0.3">
      <c r="A164" s="24"/>
      <c r="B164" s="405" t="s">
        <v>301</v>
      </c>
      <c r="C164" s="25"/>
      <c r="D164" s="25"/>
      <c r="E164" s="25"/>
      <c r="F164" s="25"/>
      <c r="G164" s="25"/>
      <c r="H164" s="25"/>
      <c r="I164" s="25"/>
      <c r="J164" s="25"/>
      <c r="K164" s="25"/>
      <c r="L164" s="25"/>
      <c r="M164" s="25"/>
      <c r="N164" s="25"/>
      <c r="O164" s="25"/>
      <c r="P164" s="25"/>
      <c r="Q164" s="25"/>
      <c r="R164" s="25"/>
      <c r="S164" s="25"/>
      <c r="T164" s="53">
        <f>T113</f>
        <v>-346</v>
      </c>
      <c r="U164" s="25"/>
      <c r="V164" s="5"/>
    </row>
    <row r="165" spans="1:22" ht="15.6" x14ac:dyDescent="0.3">
      <c r="A165" s="24"/>
      <c r="B165" s="25" t="s">
        <v>56</v>
      </c>
      <c r="C165" s="25"/>
      <c r="D165" s="25"/>
      <c r="E165" s="25"/>
      <c r="F165" s="25"/>
      <c r="G165" s="25"/>
      <c r="H165" s="25"/>
      <c r="I165" s="25"/>
      <c r="J165" s="25"/>
      <c r="K165" s="25"/>
      <c r="L165" s="25"/>
      <c r="M165" s="25"/>
      <c r="N165" s="25"/>
      <c r="O165" s="25"/>
      <c r="P165" s="25"/>
      <c r="Q165" s="25"/>
      <c r="R165" s="25"/>
      <c r="S165" s="25"/>
      <c r="T165" s="53">
        <f>T163+T164</f>
        <v>0</v>
      </c>
      <c r="U165" s="25"/>
      <c r="V165" s="5"/>
    </row>
    <row r="166" spans="1:22" ht="16.2" thickBot="1" x14ac:dyDescent="0.35">
      <c r="A166" s="24"/>
      <c r="B166" s="25"/>
      <c r="C166" s="25"/>
      <c r="D166" s="25"/>
      <c r="E166" s="25"/>
      <c r="F166" s="25"/>
      <c r="G166" s="25"/>
      <c r="H166" s="25"/>
      <c r="I166" s="25"/>
      <c r="J166" s="25"/>
      <c r="K166" s="25"/>
      <c r="L166" s="25"/>
      <c r="M166" s="25"/>
      <c r="N166" s="25"/>
      <c r="O166" s="25"/>
      <c r="P166" s="25"/>
      <c r="Q166" s="25"/>
      <c r="R166" s="25"/>
      <c r="S166" s="25"/>
      <c r="T166" s="61"/>
      <c r="U166" s="25"/>
      <c r="V166" s="5"/>
    </row>
    <row r="167" spans="1:22" ht="15.6" x14ac:dyDescent="0.3">
      <c r="A167" s="2"/>
      <c r="B167" s="4"/>
      <c r="C167" s="4"/>
      <c r="D167" s="4"/>
      <c r="E167" s="4"/>
      <c r="F167" s="4"/>
      <c r="G167" s="4"/>
      <c r="H167" s="4"/>
      <c r="I167" s="4"/>
      <c r="J167" s="4"/>
      <c r="K167" s="4"/>
      <c r="L167" s="4"/>
      <c r="M167" s="4"/>
      <c r="N167" s="4"/>
      <c r="O167" s="4"/>
      <c r="P167" s="4"/>
      <c r="Q167" s="4"/>
      <c r="R167" s="4"/>
      <c r="S167" s="4"/>
      <c r="T167" s="50"/>
      <c r="U167" s="4"/>
      <c r="V167" s="5"/>
    </row>
    <row r="168" spans="1:22" ht="15.6" x14ac:dyDescent="0.3">
      <c r="A168" s="6"/>
      <c r="B168" s="119" t="s">
        <v>57</v>
      </c>
      <c r="C168" s="8"/>
      <c r="D168" s="8"/>
      <c r="E168" s="8"/>
      <c r="F168" s="8"/>
      <c r="G168" s="8"/>
      <c r="H168" s="8"/>
      <c r="I168" s="8"/>
      <c r="J168" s="8"/>
      <c r="K168" s="8"/>
      <c r="L168" s="8"/>
      <c r="M168" s="8"/>
      <c r="N168" s="8"/>
      <c r="O168" s="8"/>
      <c r="P168" s="8"/>
      <c r="Q168" s="8"/>
      <c r="R168" s="8"/>
      <c r="S168" s="8"/>
      <c r="T168" s="52"/>
      <c r="U168" s="8"/>
      <c r="V168" s="5"/>
    </row>
    <row r="169" spans="1:22" ht="15.6" x14ac:dyDescent="0.3">
      <c r="A169" s="6"/>
      <c r="B169" s="21"/>
      <c r="C169" s="8"/>
      <c r="D169" s="8"/>
      <c r="E169" s="8"/>
      <c r="F169" s="8"/>
      <c r="G169" s="8"/>
      <c r="H169" s="8"/>
      <c r="I169" s="8"/>
      <c r="J169" s="8"/>
      <c r="K169" s="8"/>
      <c r="L169" s="8"/>
      <c r="M169" s="8"/>
      <c r="N169" s="8"/>
      <c r="O169" s="8"/>
      <c r="P169" s="8"/>
      <c r="Q169" s="8"/>
      <c r="R169" s="8"/>
      <c r="S169" s="8"/>
      <c r="T169" s="52"/>
      <c r="U169" s="8"/>
      <c r="V169" s="5"/>
    </row>
    <row r="170" spans="1:22" ht="15.6" x14ac:dyDescent="0.3">
      <c r="A170" s="24"/>
      <c r="B170" s="25" t="s">
        <v>58</v>
      </c>
      <c r="C170" s="25"/>
      <c r="D170" s="25"/>
      <c r="E170" s="25"/>
      <c r="F170" s="25"/>
      <c r="G170" s="25"/>
      <c r="H170" s="25"/>
      <c r="I170" s="25"/>
      <c r="J170" s="25"/>
      <c r="K170" s="25"/>
      <c r="L170" s="25"/>
      <c r="M170" s="25"/>
      <c r="N170" s="25"/>
      <c r="O170" s="25"/>
      <c r="P170" s="25"/>
      <c r="Q170" s="25"/>
      <c r="R170" s="25"/>
      <c r="S170" s="25"/>
      <c r="T170" s="53">
        <f>T72</f>
        <v>620160</v>
      </c>
      <c r="U170" s="25"/>
      <c r="V170" s="5"/>
    </row>
    <row r="171" spans="1:22" ht="15.6" x14ac:dyDescent="0.3">
      <c r="A171" s="24"/>
      <c r="B171" s="25" t="s">
        <v>59</v>
      </c>
      <c r="C171" s="25"/>
      <c r="D171" s="25"/>
      <c r="E171" s="25"/>
      <c r="F171" s="25"/>
      <c r="G171" s="25"/>
      <c r="H171" s="25"/>
      <c r="I171" s="25"/>
      <c r="J171" s="25"/>
      <c r="K171" s="25"/>
      <c r="L171" s="25"/>
      <c r="M171" s="25"/>
      <c r="N171" s="25"/>
      <c r="O171" s="25"/>
      <c r="P171" s="25"/>
      <c r="Q171" s="25"/>
      <c r="R171" s="25"/>
      <c r="S171" s="25"/>
      <c r="T171" s="53">
        <f>T85</f>
        <v>620160</v>
      </c>
      <c r="U171" s="25"/>
      <c r="V171" s="5"/>
    </row>
    <row r="172" spans="1:22" ht="16.2" thickBot="1" x14ac:dyDescent="0.35">
      <c r="A172" s="24"/>
      <c r="B172" s="25"/>
      <c r="C172" s="25"/>
      <c r="D172" s="25"/>
      <c r="E172" s="25"/>
      <c r="F172" s="25"/>
      <c r="G172" s="25"/>
      <c r="H172" s="25"/>
      <c r="I172" s="25"/>
      <c r="J172" s="25"/>
      <c r="K172" s="25"/>
      <c r="L172" s="25"/>
      <c r="M172" s="25"/>
      <c r="N172" s="25"/>
      <c r="O172" s="25"/>
      <c r="P172" s="25"/>
      <c r="Q172" s="25"/>
      <c r="R172" s="25"/>
      <c r="S172" s="25"/>
      <c r="T172" s="61"/>
      <c r="U172" s="25"/>
      <c r="V172" s="5"/>
    </row>
    <row r="173" spans="1:22" ht="15.6" x14ac:dyDescent="0.3">
      <c r="A173" s="2"/>
      <c r="B173" s="4"/>
      <c r="C173" s="4"/>
      <c r="D173" s="4"/>
      <c r="E173" s="4"/>
      <c r="F173" s="4"/>
      <c r="G173" s="4"/>
      <c r="H173" s="4"/>
      <c r="I173" s="4"/>
      <c r="J173" s="4"/>
      <c r="K173" s="4"/>
      <c r="L173" s="4"/>
      <c r="M173" s="4"/>
      <c r="N173" s="4"/>
      <c r="O173" s="4"/>
      <c r="P173" s="4"/>
      <c r="Q173" s="4"/>
      <c r="R173" s="4"/>
      <c r="S173" s="4"/>
      <c r="T173" s="50"/>
      <c r="U173" s="4"/>
      <c r="V173" s="5"/>
    </row>
    <row r="174" spans="1:22" ht="15.6" x14ac:dyDescent="0.3">
      <c r="A174" s="6"/>
      <c r="B174" s="119" t="s">
        <v>60</v>
      </c>
      <c r="C174" s="117"/>
      <c r="D174" s="117"/>
      <c r="E174" s="117"/>
      <c r="F174" s="117"/>
      <c r="G174" s="117"/>
      <c r="H174" s="120"/>
      <c r="I174" s="120"/>
      <c r="J174" s="120"/>
      <c r="K174" s="120"/>
      <c r="L174" s="120"/>
      <c r="M174" s="120"/>
      <c r="N174" s="120"/>
      <c r="O174" s="120"/>
      <c r="P174" s="120"/>
      <c r="Q174" s="120" t="s">
        <v>104</v>
      </c>
      <c r="R174" s="120" t="s">
        <v>183</v>
      </c>
      <c r="S174" s="111"/>
      <c r="T174" s="121" t="s">
        <v>120</v>
      </c>
      <c r="U174" s="10"/>
      <c r="V174" s="5"/>
    </row>
    <row r="175" spans="1:22" ht="15.6" x14ac:dyDescent="0.3">
      <c r="A175" s="24"/>
      <c r="B175" s="25" t="s">
        <v>61</v>
      </c>
      <c r="C175" s="25"/>
      <c r="D175" s="25"/>
      <c r="E175" s="25"/>
      <c r="F175" s="25"/>
      <c r="G175" s="25"/>
      <c r="H175" s="25"/>
      <c r="I175" s="25"/>
      <c r="J175" s="25"/>
      <c r="K175" s="25"/>
      <c r="L175" s="25"/>
      <c r="M175" s="25"/>
      <c r="N175" s="25"/>
      <c r="O175" s="25"/>
      <c r="P175" s="25"/>
      <c r="Q175" s="53">
        <v>160008</v>
      </c>
      <c r="R175" s="40"/>
      <c r="S175" s="25"/>
      <c r="T175" s="53"/>
      <c r="U175" s="25"/>
      <c r="V175" s="5"/>
    </row>
    <row r="176" spans="1:22" ht="15.6" x14ac:dyDescent="0.3">
      <c r="A176" s="24"/>
      <c r="B176" s="25" t="s">
        <v>62</v>
      </c>
      <c r="C176" s="25"/>
      <c r="D176" s="25"/>
      <c r="E176" s="25"/>
      <c r="F176" s="25"/>
      <c r="G176" s="25"/>
      <c r="H176" s="25"/>
      <c r="I176" s="25"/>
      <c r="J176" s="25"/>
      <c r="K176" s="25"/>
      <c r="L176" s="25"/>
      <c r="M176" s="25"/>
      <c r="N176" s="25"/>
      <c r="O176" s="25"/>
      <c r="P176" s="25"/>
      <c r="Q176" s="53">
        <f>+'Dec 08'!Q178</f>
        <v>32834</v>
      </c>
      <c r="R176" s="53">
        <f>+'Dec 08'!R178</f>
        <v>3349</v>
      </c>
      <c r="S176" s="25"/>
      <c r="T176" s="53">
        <f>Q176+R176</f>
        <v>36183</v>
      </c>
      <c r="U176" s="25"/>
      <c r="V176" s="5"/>
    </row>
    <row r="177" spans="1:22" ht="15.6" x14ac:dyDescent="0.3">
      <c r="A177" s="24"/>
      <c r="B177" s="25" t="s">
        <v>63</v>
      </c>
      <c r="C177" s="25"/>
      <c r="D177" s="25"/>
      <c r="E177" s="25"/>
      <c r="F177" s="25"/>
      <c r="G177" s="25"/>
      <c r="H177" s="25"/>
      <c r="I177" s="25"/>
      <c r="J177" s="25"/>
      <c r="K177" s="25"/>
      <c r="L177" s="25"/>
      <c r="M177" s="25"/>
      <c r="N177" s="25"/>
      <c r="O177" s="25"/>
      <c r="P177" s="25"/>
      <c r="Q177" s="34">
        <f>499+144</f>
        <v>643</v>
      </c>
      <c r="R177" s="34">
        <v>21</v>
      </c>
      <c r="S177" s="25"/>
      <c r="T177" s="53">
        <f>Q177+R177</f>
        <v>664</v>
      </c>
      <c r="U177" s="25"/>
      <c r="V177" s="5"/>
    </row>
    <row r="178" spans="1:22" ht="15.6" x14ac:dyDescent="0.3">
      <c r="A178" s="24"/>
      <c r="B178" s="25" t="s">
        <v>64</v>
      </c>
      <c r="C178" s="25"/>
      <c r="D178" s="25"/>
      <c r="E178" s="25"/>
      <c r="F178" s="25"/>
      <c r="G178" s="25"/>
      <c r="H178" s="25"/>
      <c r="I178" s="25"/>
      <c r="J178" s="25"/>
      <c r="K178" s="25"/>
      <c r="L178" s="25"/>
      <c r="M178" s="25"/>
      <c r="N178" s="25"/>
      <c r="O178" s="25"/>
      <c r="P178" s="25"/>
      <c r="Q178" s="53">
        <f>Q176+Q177</f>
        <v>33477</v>
      </c>
      <c r="R178" s="53">
        <f>R177+R176</f>
        <v>3370</v>
      </c>
      <c r="S178" s="25"/>
      <c r="T178" s="53">
        <f>Q178+R178</f>
        <v>36847</v>
      </c>
      <c r="U178" s="25"/>
      <c r="V178" s="5"/>
    </row>
    <row r="179" spans="1:22" ht="15.6" x14ac:dyDescent="0.3">
      <c r="A179" s="24"/>
      <c r="B179" s="25" t="s">
        <v>65</v>
      </c>
      <c r="C179" s="25"/>
      <c r="D179" s="25"/>
      <c r="E179" s="25"/>
      <c r="F179" s="25"/>
      <c r="G179" s="25"/>
      <c r="H179" s="25"/>
      <c r="I179" s="25"/>
      <c r="J179" s="25"/>
      <c r="K179" s="25"/>
      <c r="L179" s="25"/>
      <c r="M179" s="25"/>
      <c r="N179" s="25"/>
      <c r="O179" s="25"/>
      <c r="P179" s="25"/>
      <c r="Q179" s="53">
        <f>Q175-Q178-R178</f>
        <v>123161</v>
      </c>
      <c r="R179" s="40"/>
      <c r="S179" s="25"/>
      <c r="T179" s="53"/>
      <c r="U179" s="25"/>
      <c r="V179" s="5"/>
    </row>
    <row r="180" spans="1:22" ht="16.2" thickBot="1" x14ac:dyDescent="0.35">
      <c r="A180" s="24"/>
      <c r="B180" s="25"/>
      <c r="C180" s="25"/>
      <c r="D180" s="25"/>
      <c r="E180" s="25"/>
      <c r="F180" s="25"/>
      <c r="G180" s="25"/>
      <c r="H180" s="25"/>
      <c r="I180" s="25"/>
      <c r="J180" s="25"/>
      <c r="K180" s="25"/>
      <c r="L180" s="25"/>
      <c r="M180" s="25"/>
      <c r="N180" s="25"/>
      <c r="O180" s="25"/>
      <c r="P180" s="25"/>
      <c r="Q180" s="25"/>
      <c r="R180" s="25"/>
      <c r="S180" s="25"/>
      <c r="T180" s="61"/>
      <c r="U180" s="25"/>
      <c r="V180" s="5"/>
    </row>
    <row r="181" spans="1:22" ht="15.6" x14ac:dyDescent="0.3">
      <c r="A181" s="2"/>
      <c r="B181" s="4"/>
      <c r="C181" s="4"/>
      <c r="D181" s="4"/>
      <c r="E181" s="4"/>
      <c r="F181" s="4"/>
      <c r="G181" s="4"/>
      <c r="H181" s="4"/>
      <c r="I181" s="4"/>
      <c r="J181" s="4"/>
      <c r="K181" s="4"/>
      <c r="L181" s="4"/>
      <c r="M181" s="4"/>
      <c r="N181" s="4"/>
      <c r="O181" s="4"/>
      <c r="P181" s="4"/>
      <c r="Q181" s="4"/>
      <c r="R181" s="4"/>
      <c r="S181" s="4"/>
      <c r="T181" s="50"/>
      <c r="U181" s="4"/>
      <c r="V181" s="5"/>
    </row>
    <row r="182" spans="1:22" ht="15.6" x14ac:dyDescent="0.3">
      <c r="A182" s="6"/>
      <c r="B182" s="119" t="s">
        <v>66</v>
      </c>
      <c r="C182" s="8"/>
      <c r="D182" s="8"/>
      <c r="E182" s="8"/>
      <c r="F182" s="8"/>
      <c r="G182" s="8"/>
      <c r="H182" s="8"/>
      <c r="I182" s="8"/>
      <c r="J182" s="8"/>
      <c r="K182" s="8"/>
      <c r="L182" s="8"/>
      <c r="M182" s="8"/>
      <c r="N182" s="8"/>
      <c r="O182" s="8"/>
      <c r="P182" s="8"/>
      <c r="Q182" s="8"/>
      <c r="R182" s="8"/>
      <c r="S182" s="8"/>
      <c r="T182" s="65"/>
      <c r="U182" s="8"/>
      <c r="V182" s="5"/>
    </row>
    <row r="183" spans="1:22" ht="15.6" x14ac:dyDescent="0.3">
      <c r="A183" s="24"/>
      <c r="B183" s="25" t="s">
        <v>67</v>
      </c>
      <c r="C183" s="25"/>
      <c r="D183" s="25"/>
      <c r="E183" s="25"/>
      <c r="F183" s="25"/>
      <c r="G183" s="25"/>
      <c r="H183" s="25"/>
      <c r="I183" s="25"/>
      <c r="J183" s="25"/>
      <c r="K183" s="25"/>
      <c r="L183" s="25"/>
      <c r="M183" s="25"/>
      <c r="N183" s="25"/>
      <c r="O183" s="25"/>
      <c r="P183" s="25"/>
      <c r="Q183" s="25"/>
      <c r="R183" s="25"/>
      <c r="S183" s="25"/>
      <c r="T183" s="59">
        <f>(T101+T103+T104+T105+T106)/-(T107+T108)</f>
        <v>2.1720723796517585</v>
      </c>
      <c r="U183" s="25" t="s">
        <v>121</v>
      </c>
      <c r="V183" s="5"/>
    </row>
    <row r="184" spans="1:22" ht="15.6" x14ac:dyDescent="0.3">
      <c r="A184" s="24"/>
      <c r="B184" s="25" t="s">
        <v>68</v>
      </c>
      <c r="C184" s="25"/>
      <c r="D184" s="25"/>
      <c r="E184" s="25"/>
      <c r="F184" s="25"/>
      <c r="G184" s="25"/>
      <c r="H184" s="25"/>
      <c r="I184" s="25"/>
      <c r="J184" s="25"/>
      <c r="K184" s="25"/>
      <c r="L184" s="25"/>
      <c r="M184" s="25"/>
      <c r="N184" s="25"/>
      <c r="O184" s="25"/>
      <c r="P184" s="25"/>
      <c r="Q184" s="25"/>
      <c r="R184" s="25"/>
      <c r="S184" s="25"/>
      <c r="T184" s="66">
        <v>1.45</v>
      </c>
      <c r="U184" s="25" t="s">
        <v>121</v>
      </c>
      <c r="V184" s="5"/>
    </row>
    <row r="185" spans="1:22" ht="15.6" x14ac:dyDescent="0.3">
      <c r="A185" s="24"/>
      <c r="B185" s="25" t="s">
        <v>69</v>
      </c>
      <c r="C185" s="25"/>
      <c r="D185" s="25"/>
      <c r="E185" s="25"/>
      <c r="F185" s="25"/>
      <c r="G185" s="25"/>
      <c r="H185" s="25"/>
      <c r="I185" s="25"/>
      <c r="J185" s="25"/>
      <c r="K185" s="25"/>
      <c r="L185" s="25"/>
      <c r="M185" s="25"/>
      <c r="N185" s="25"/>
      <c r="O185" s="25"/>
      <c r="P185" s="25"/>
      <c r="Q185" s="25"/>
      <c r="R185" s="25"/>
      <c r="S185" s="25"/>
      <c r="T185" s="59">
        <f>(T101+T103+T104+T105+T106+T107+T108)/-(T109+T110)</f>
        <v>7.6288888888888886</v>
      </c>
      <c r="U185" s="25" t="s">
        <v>121</v>
      </c>
      <c r="V185" s="5"/>
    </row>
    <row r="186" spans="1:22" ht="15.6" x14ac:dyDescent="0.3">
      <c r="A186" s="24"/>
      <c r="B186" s="25" t="s">
        <v>70</v>
      </c>
      <c r="C186" s="25"/>
      <c r="D186" s="25"/>
      <c r="E186" s="25"/>
      <c r="F186" s="25"/>
      <c r="G186" s="25"/>
      <c r="H186" s="25"/>
      <c r="I186" s="25"/>
      <c r="J186" s="25"/>
      <c r="K186" s="25"/>
      <c r="L186" s="25"/>
      <c r="M186" s="25"/>
      <c r="N186" s="25"/>
      <c r="O186" s="25"/>
      <c r="P186" s="25"/>
      <c r="Q186" s="25"/>
      <c r="R186" s="25"/>
      <c r="S186" s="25"/>
      <c r="T186" s="66">
        <v>4.34</v>
      </c>
      <c r="U186" s="25" t="s">
        <v>121</v>
      </c>
      <c r="V186" s="5"/>
    </row>
    <row r="187" spans="1:22" ht="15.6" x14ac:dyDescent="0.3">
      <c r="A187" s="24"/>
      <c r="B187" s="25" t="s">
        <v>206</v>
      </c>
      <c r="C187" s="25"/>
      <c r="D187" s="25"/>
      <c r="E187" s="25"/>
      <c r="F187" s="25"/>
      <c r="G187" s="25"/>
      <c r="H187" s="25"/>
      <c r="I187" s="25"/>
      <c r="J187" s="25"/>
      <c r="K187" s="25"/>
      <c r="L187" s="25"/>
      <c r="M187" s="25"/>
      <c r="N187" s="25"/>
      <c r="O187" s="25"/>
      <c r="P187" s="25"/>
      <c r="Q187" s="25"/>
      <c r="R187" s="25"/>
      <c r="S187" s="25"/>
      <c r="T187" s="59">
        <f>(T101+T103+T104+T105+T106+T107+T108+T109+T110)/-(T111)</f>
        <v>7.3112745098039218</v>
      </c>
      <c r="U187" s="25" t="s">
        <v>121</v>
      </c>
      <c r="V187" s="5"/>
    </row>
    <row r="188" spans="1:22" ht="15.6" x14ac:dyDescent="0.3">
      <c r="A188" s="24"/>
      <c r="B188" s="25" t="s">
        <v>207</v>
      </c>
      <c r="C188" s="25"/>
      <c r="D188" s="25"/>
      <c r="E188" s="25"/>
      <c r="F188" s="25"/>
      <c r="G188" s="25"/>
      <c r="H188" s="25"/>
      <c r="I188" s="25"/>
      <c r="J188" s="25"/>
      <c r="K188" s="25"/>
      <c r="L188" s="25"/>
      <c r="M188" s="25"/>
      <c r="N188" s="25"/>
      <c r="O188" s="25"/>
      <c r="P188" s="25"/>
      <c r="Q188" s="25"/>
      <c r="R188" s="25"/>
      <c r="S188" s="25"/>
      <c r="T188" s="66">
        <v>3.87</v>
      </c>
      <c r="U188" s="25" t="s">
        <v>121</v>
      </c>
      <c r="V188" s="5"/>
    </row>
    <row r="189" spans="1:22" ht="15.6" x14ac:dyDescent="0.3">
      <c r="A189" s="24"/>
      <c r="B189" s="25"/>
      <c r="C189" s="25"/>
      <c r="D189" s="25"/>
      <c r="E189" s="25"/>
      <c r="F189" s="25"/>
      <c r="G189" s="25"/>
      <c r="H189" s="25"/>
      <c r="I189" s="25"/>
      <c r="J189" s="25"/>
      <c r="K189" s="25"/>
      <c r="L189" s="25"/>
      <c r="M189" s="25"/>
      <c r="N189" s="25"/>
      <c r="O189" s="25"/>
      <c r="P189" s="25"/>
      <c r="Q189" s="25"/>
      <c r="R189" s="25"/>
      <c r="S189" s="25"/>
      <c r="T189" s="25"/>
      <c r="U189" s="25"/>
      <c r="V189" s="5"/>
    </row>
    <row r="190" spans="1:22" ht="15.6" x14ac:dyDescent="0.3">
      <c r="A190" s="24"/>
      <c r="B190" s="25"/>
      <c r="C190" s="25"/>
      <c r="D190" s="25"/>
      <c r="E190" s="25"/>
      <c r="F190" s="25"/>
      <c r="G190" s="25"/>
      <c r="H190" s="25"/>
      <c r="I190" s="25"/>
      <c r="J190" s="25"/>
      <c r="K190" s="25"/>
      <c r="L190" s="25"/>
      <c r="M190" s="25"/>
      <c r="N190" s="25"/>
      <c r="O190" s="25"/>
      <c r="P190" s="25"/>
      <c r="Q190" s="25"/>
      <c r="R190" s="25"/>
      <c r="S190" s="25"/>
      <c r="T190" s="25"/>
      <c r="U190" s="25"/>
      <c r="V190" s="5"/>
    </row>
    <row r="191" spans="1:22" ht="15.6" x14ac:dyDescent="0.3">
      <c r="A191" s="6"/>
      <c r="B191" s="8"/>
      <c r="C191" s="8"/>
      <c r="D191" s="8"/>
      <c r="E191" s="8"/>
      <c r="F191" s="8"/>
      <c r="G191" s="8"/>
      <c r="H191" s="8"/>
      <c r="I191" s="8"/>
      <c r="J191" s="8"/>
      <c r="K191" s="8"/>
      <c r="L191" s="8"/>
      <c r="M191" s="8"/>
      <c r="N191" s="8"/>
      <c r="O191" s="8"/>
      <c r="P191" s="8"/>
      <c r="Q191" s="8"/>
      <c r="R191" s="8"/>
      <c r="S191" s="8"/>
      <c r="T191" s="8"/>
      <c r="U191" s="8"/>
      <c r="V191" s="5"/>
    </row>
    <row r="192" spans="1:22" ht="18" thickBot="1" x14ac:dyDescent="0.35">
      <c r="A192" s="101"/>
      <c r="B192" s="102" t="str">
        <f>B133</f>
        <v>PM11 INVESTOR REPORT QUARTER ENDING MARCH 2009</v>
      </c>
      <c r="C192" s="165"/>
      <c r="D192" s="165"/>
      <c r="E192" s="165"/>
      <c r="F192" s="165"/>
      <c r="G192" s="165"/>
      <c r="H192" s="165"/>
      <c r="I192" s="165"/>
      <c r="J192" s="165"/>
      <c r="K192" s="165"/>
      <c r="L192" s="165"/>
      <c r="M192" s="165"/>
      <c r="N192" s="165"/>
      <c r="O192" s="165"/>
      <c r="P192" s="165"/>
      <c r="Q192" s="165"/>
      <c r="R192" s="165"/>
      <c r="S192" s="165"/>
      <c r="T192" s="165"/>
      <c r="U192" s="166"/>
      <c r="V192" s="5"/>
    </row>
    <row r="193" spans="1:22" ht="15.6" x14ac:dyDescent="0.3">
      <c r="A193" s="67"/>
      <c r="B193" s="60" t="s">
        <v>71</v>
      </c>
      <c r="C193" s="68"/>
      <c r="D193" s="68"/>
      <c r="E193" s="68"/>
      <c r="F193" s="68"/>
      <c r="G193" s="69"/>
      <c r="H193" s="69"/>
      <c r="I193" s="69"/>
      <c r="J193" s="69"/>
      <c r="K193" s="69"/>
      <c r="L193" s="69"/>
      <c r="M193" s="69"/>
      <c r="N193" s="69"/>
      <c r="O193" s="69"/>
      <c r="P193" s="69"/>
      <c r="Q193" s="69"/>
      <c r="R193" s="70">
        <v>39903</v>
      </c>
      <c r="S193" s="4"/>
      <c r="T193" s="4"/>
      <c r="U193" s="4"/>
      <c r="V193" s="5"/>
    </row>
    <row r="194" spans="1:22" ht="15.6" x14ac:dyDescent="0.3">
      <c r="A194" s="71"/>
      <c r="B194" s="72"/>
      <c r="C194" s="73"/>
      <c r="D194" s="73"/>
      <c r="E194" s="73"/>
      <c r="F194" s="73"/>
      <c r="G194" s="74"/>
      <c r="H194" s="74"/>
      <c r="I194" s="74"/>
      <c r="J194" s="74"/>
      <c r="K194" s="74"/>
      <c r="L194" s="74"/>
      <c r="M194" s="74"/>
      <c r="N194" s="74"/>
      <c r="O194" s="74"/>
      <c r="P194" s="74"/>
      <c r="Q194" s="74"/>
      <c r="R194" s="74"/>
      <c r="S194" s="8"/>
      <c r="T194" s="8"/>
      <c r="U194" s="8"/>
      <c r="V194" s="5"/>
    </row>
    <row r="195" spans="1:22" ht="15.6" x14ac:dyDescent="0.3">
      <c r="A195" s="75"/>
      <c r="B195" s="76" t="s">
        <v>72</v>
      </c>
      <c r="C195" s="77"/>
      <c r="D195" s="77"/>
      <c r="E195" s="77"/>
      <c r="F195" s="77"/>
      <c r="G195" s="64"/>
      <c r="H195" s="64"/>
      <c r="I195" s="64"/>
      <c r="J195" s="64"/>
      <c r="K195" s="64"/>
      <c r="L195" s="64"/>
      <c r="M195" s="64"/>
      <c r="N195" s="64"/>
      <c r="O195" s="64"/>
      <c r="P195" s="64"/>
      <c r="Q195" s="64"/>
      <c r="R195" s="78">
        <v>5.1569999999999998E-2</v>
      </c>
      <c r="S195" s="25"/>
      <c r="T195" s="25"/>
      <c r="U195" s="25"/>
      <c r="V195" s="5"/>
    </row>
    <row r="196" spans="1:22" ht="15.6" x14ac:dyDescent="0.3">
      <c r="A196" s="75"/>
      <c r="B196" s="76" t="s">
        <v>157</v>
      </c>
      <c r="C196" s="77"/>
      <c r="D196" s="77"/>
      <c r="E196" s="77"/>
      <c r="F196" s="77"/>
      <c r="G196" s="64"/>
      <c r="H196" s="64"/>
      <c r="I196" s="64"/>
      <c r="J196" s="64"/>
      <c r="K196" s="64"/>
      <c r="L196" s="64"/>
      <c r="M196" s="64"/>
      <c r="N196" s="64"/>
      <c r="O196" s="64"/>
      <c r="P196" s="64"/>
      <c r="Q196" s="64"/>
      <c r="R196" s="39">
        <v>4.6899999999999997E-2</v>
      </c>
      <c r="S196" s="25"/>
      <c r="T196" s="25"/>
      <c r="U196" s="25"/>
      <c r="V196" s="5"/>
    </row>
    <row r="197" spans="1:22" ht="15.6" x14ac:dyDescent="0.3">
      <c r="A197" s="75"/>
      <c r="B197" s="76" t="s">
        <v>73</v>
      </c>
      <c r="C197" s="77"/>
      <c r="D197" s="77"/>
      <c r="E197" s="77"/>
      <c r="F197" s="77"/>
      <c r="G197" s="64"/>
      <c r="H197" s="64"/>
      <c r="I197" s="64"/>
      <c r="J197" s="64"/>
      <c r="K197" s="64"/>
      <c r="L197" s="64"/>
      <c r="M197" s="64"/>
      <c r="N197" s="64"/>
      <c r="O197" s="64"/>
      <c r="P197" s="64"/>
      <c r="Q197" s="64"/>
      <c r="R197" s="78">
        <f>R195-R196</f>
        <v>4.6700000000000005E-3</v>
      </c>
      <c r="S197" s="25"/>
      <c r="T197" s="25"/>
      <c r="U197" s="25"/>
      <c r="V197" s="5"/>
    </row>
    <row r="198" spans="1:22" ht="15.6" x14ac:dyDescent="0.3">
      <c r="A198" s="75"/>
      <c r="B198" s="76" t="s">
        <v>74</v>
      </c>
      <c r="C198" s="77"/>
      <c r="D198" s="77"/>
      <c r="E198" s="77"/>
      <c r="F198" s="77"/>
      <c r="G198" s="64"/>
      <c r="H198" s="64"/>
      <c r="I198" s="64"/>
      <c r="J198" s="64"/>
      <c r="K198" s="64"/>
      <c r="L198" s="64"/>
      <c r="M198" s="64"/>
      <c r="N198" s="64"/>
      <c r="O198" s="64"/>
      <c r="P198" s="64"/>
      <c r="Q198" s="64"/>
      <c r="R198" s="78">
        <v>4.4499999999999998E-2</v>
      </c>
      <c r="S198" s="25"/>
      <c r="T198" s="25"/>
      <c r="U198" s="25"/>
      <c r="V198" s="5"/>
    </row>
    <row r="199" spans="1:22" ht="15.6" x14ac:dyDescent="0.3">
      <c r="A199" s="75"/>
      <c r="B199" s="76" t="s">
        <v>257</v>
      </c>
      <c r="C199" s="77"/>
      <c r="D199" s="77"/>
      <c r="E199" s="77"/>
      <c r="F199" s="77"/>
      <c r="G199" s="64"/>
      <c r="H199" s="64"/>
      <c r="I199" s="64"/>
      <c r="J199" s="64"/>
      <c r="K199" s="64"/>
      <c r="L199" s="64"/>
      <c r="M199" s="64"/>
      <c r="N199" s="64"/>
      <c r="O199" s="64"/>
      <c r="P199" s="64"/>
      <c r="Q199" s="64"/>
      <c r="R199" s="78">
        <f>T43</f>
        <v>2.4385826187152793E-2</v>
      </c>
      <c r="S199" s="25"/>
      <c r="T199" s="25"/>
      <c r="U199" s="25"/>
      <c r="V199" s="5"/>
    </row>
    <row r="200" spans="1:22" ht="15.6" x14ac:dyDescent="0.3">
      <c r="A200" s="75"/>
      <c r="B200" s="76" t="s">
        <v>75</v>
      </c>
      <c r="C200" s="77"/>
      <c r="D200" s="77"/>
      <c r="E200" s="77"/>
      <c r="F200" s="77"/>
      <c r="G200" s="64"/>
      <c r="H200" s="64"/>
      <c r="I200" s="64"/>
      <c r="J200" s="64"/>
      <c r="K200" s="64"/>
      <c r="L200" s="64"/>
      <c r="M200" s="64"/>
      <c r="N200" s="64"/>
      <c r="O200" s="64"/>
      <c r="P200" s="64"/>
      <c r="Q200" s="64"/>
      <c r="R200" s="78">
        <f>R198-R199</f>
        <v>2.0114173812847205E-2</v>
      </c>
      <c r="S200" s="25"/>
      <c r="T200" s="25"/>
      <c r="U200" s="25"/>
      <c r="V200" s="5"/>
    </row>
    <row r="201" spans="1:22" ht="15.6" x14ac:dyDescent="0.3">
      <c r="A201" s="75"/>
      <c r="B201" s="76" t="s">
        <v>260</v>
      </c>
      <c r="C201" s="77"/>
      <c r="D201" s="77"/>
      <c r="E201" s="77"/>
      <c r="F201" s="77"/>
      <c r="G201" s="64"/>
      <c r="H201" s="64"/>
      <c r="I201" s="64"/>
      <c r="J201" s="64"/>
      <c r="K201" s="64"/>
      <c r="L201" s="64"/>
      <c r="M201" s="64"/>
      <c r="N201" s="64"/>
      <c r="O201" s="64"/>
      <c r="P201" s="64"/>
      <c r="Q201" s="64"/>
      <c r="R201" s="78">
        <f>+T101/L72</f>
        <v>1.2835085424359516E-2</v>
      </c>
      <c r="S201" s="25"/>
      <c r="T201" s="25"/>
      <c r="U201" s="25"/>
      <c r="V201" s="5"/>
    </row>
    <row r="202" spans="1:22" ht="15.6" x14ac:dyDescent="0.3">
      <c r="A202" s="75"/>
      <c r="B202" s="76" t="s">
        <v>217</v>
      </c>
      <c r="C202" s="77"/>
      <c r="D202" s="77"/>
      <c r="E202" s="77"/>
      <c r="F202" s="77"/>
      <c r="G202" s="64"/>
      <c r="H202" s="64"/>
      <c r="I202" s="64"/>
      <c r="J202" s="64"/>
      <c r="K202" s="64"/>
      <c r="L202" s="64"/>
      <c r="M202" s="64"/>
      <c r="N202" s="64"/>
      <c r="O202" s="64"/>
      <c r="P202" s="64"/>
      <c r="Q202" s="64"/>
      <c r="R202" s="129">
        <v>15250</v>
      </c>
      <c r="S202" s="25"/>
      <c r="T202" s="25"/>
      <c r="U202" s="25"/>
      <c r="V202" s="5"/>
    </row>
    <row r="203" spans="1:22" ht="15.6" x14ac:dyDescent="0.3">
      <c r="A203" s="75"/>
      <c r="B203" s="76" t="s">
        <v>218</v>
      </c>
      <c r="C203" s="77"/>
      <c r="D203" s="77"/>
      <c r="E203" s="77"/>
      <c r="F203" s="77"/>
      <c r="G203" s="64"/>
      <c r="H203" s="64"/>
      <c r="I203" s="64"/>
      <c r="J203" s="64"/>
      <c r="K203" s="64"/>
      <c r="L203" s="64"/>
      <c r="M203" s="64"/>
      <c r="N203" s="64"/>
      <c r="O203" s="64"/>
      <c r="P203" s="64"/>
      <c r="Q203" s="64"/>
      <c r="R203" s="129">
        <v>15250</v>
      </c>
      <c r="S203" s="25"/>
      <c r="T203" s="25"/>
      <c r="U203" s="25"/>
      <c r="V203" s="5"/>
    </row>
    <row r="204" spans="1:22" ht="15.6" x14ac:dyDescent="0.3">
      <c r="A204" s="75"/>
      <c r="B204" s="76" t="s">
        <v>219</v>
      </c>
      <c r="C204" s="77"/>
      <c r="D204" s="77"/>
      <c r="E204" s="77"/>
      <c r="F204" s="77"/>
      <c r="G204" s="64"/>
      <c r="H204" s="64"/>
      <c r="I204" s="64"/>
      <c r="J204" s="64"/>
      <c r="K204" s="64"/>
      <c r="L204" s="64"/>
      <c r="M204" s="64"/>
      <c r="N204" s="64"/>
      <c r="O204" s="64"/>
      <c r="P204" s="64"/>
      <c r="Q204" s="64"/>
      <c r="R204" s="129">
        <v>15250</v>
      </c>
      <c r="S204" s="25"/>
      <c r="T204" s="25"/>
      <c r="U204" s="25"/>
      <c r="V204" s="5"/>
    </row>
    <row r="205" spans="1:22" ht="15.6" x14ac:dyDescent="0.3">
      <c r="A205" s="75"/>
      <c r="B205" s="76" t="s">
        <v>76</v>
      </c>
      <c r="C205" s="77"/>
      <c r="D205" s="77"/>
      <c r="E205" s="77"/>
      <c r="F205" s="77"/>
      <c r="G205" s="64"/>
      <c r="H205" s="64"/>
      <c r="I205" s="64"/>
      <c r="J205" s="64"/>
      <c r="K205" s="64"/>
      <c r="L205" s="64"/>
      <c r="M205" s="64"/>
      <c r="N205" s="64"/>
      <c r="O205" s="64"/>
      <c r="P205" s="64"/>
      <c r="Q205" s="64"/>
      <c r="R205" s="133">
        <v>21.18</v>
      </c>
      <c r="S205" s="25" t="s">
        <v>116</v>
      </c>
      <c r="T205" s="25"/>
      <c r="U205" s="25"/>
      <c r="V205" s="5"/>
    </row>
    <row r="206" spans="1:22" ht="15.6" x14ac:dyDescent="0.3">
      <c r="A206" s="75"/>
      <c r="B206" s="76" t="s">
        <v>77</v>
      </c>
      <c r="C206" s="77"/>
      <c r="D206" s="77"/>
      <c r="E206" s="77"/>
      <c r="F206" s="77"/>
      <c r="G206" s="64"/>
      <c r="H206" s="64"/>
      <c r="I206" s="64"/>
      <c r="J206" s="64"/>
      <c r="K206" s="64"/>
      <c r="L206" s="64"/>
      <c r="M206" s="64"/>
      <c r="N206" s="64"/>
      <c r="O206" s="64"/>
      <c r="P206" s="64"/>
      <c r="Q206" s="64"/>
      <c r="R206" s="133">
        <v>18.23</v>
      </c>
      <c r="S206" s="25" t="s">
        <v>116</v>
      </c>
      <c r="T206" s="25"/>
      <c r="U206" s="25"/>
      <c r="V206" s="5"/>
    </row>
    <row r="207" spans="1:22" ht="15.6" x14ac:dyDescent="0.3">
      <c r="A207" s="75"/>
      <c r="B207" s="76" t="s">
        <v>78</v>
      </c>
      <c r="C207" s="77"/>
      <c r="D207" s="77"/>
      <c r="E207" s="77"/>
      <c r="F207" s="77"/>
      <c r="G207" s="64"/>
      <c r="H207" s="64"/>
      <c r="I207" s="64"/>
      <c r="J207" s="64"/>
      <c r="K207" s="64"/>
      <c r="L207" s="64"/>
      <c r="M207" s="64"/>
      <c r="N207" s="64"/>
      <c r="O207" s="64"/>
      <c r="P207" s="64"/>
      <c r="Q207" s="64"/>
      <c r="R207" s="78">
        <f>N69/L69</f>
        <v>1.6703867512073076E-2</v>
      </c>
      <c r="S207" s="25"/>
      <c r="T207" s="25"/>
      <c r="U207" s="25"/>
      <c r="V207" s="5"/>
    </row>
    <row r="208" spans="1:22" ht="15.6" x14ac:dyDescent="0.3">
      <c r="A208" s="75"/>
      <c r="B208" s="76" t="s">
        <v>79</v>
      </c>
      <c r="C208" s="77"/>
      <c r="D208" s="77"/>
      <c r="E208" s="77"/>
      <c r="F208" s="77"/>
      <c r="G208" s="64"/>
      <c r="H208" s="64"/>
      <c r="I208" s="64"/>
      <c r="J208" s="64"/>
      <c r="K208" s="64"/>
      <c r="L208" s="64"/>
      <c r="M208" s="64"/>
      <c r="N208" s="64"/>
      <c r="O208" s="64"/>
      <c r="P208" s="64"/>
      <c r="Q208" s="64"/>
      <c r="R208" s="78">
        <v>0.1583</v>
      </c>
      <c r="S208" s="25"/>
      <c r="T208" s="25"/>
      <c r="U208" s="25"/>
      <c r="V208" s="5"/>
    </row>
    <row r="209" spans="1:22" ht="15.6" x14ac:dyDescent="0.3">
      <c r="A209" s="75"/>
      <c r="B209" s="76"/>
      <c r="C209" s="76"/>
      <c r="D209" s="76"/>
      <c r="E209" s="76"/>
      <c r="F209" s="76"/>
      <c r="G209" s="25"/>
      <c r="H209" s="25"/>
      <c r="I209" s="25"/>
      <c r="J209" s="25"/>
      <c r="K209" s="25"/>
      <c r="L209" s="25"/>
      <c r="M209" s="25"/>
      <c r="N209" s="25"/>
      <c r="O209" s="25"/>
      <c r="P209" s="25"/>
      <c r="Q209" s="25"/>
      <c r="R209" s="61"/>
      <c r="S209" s="25"/>
      <c r="T209" s="79"/>
      <c r="U209" s="25"/>
      <c r="V209" s="5"/>
    </row>
    <row r="210" spans="1:22" ht="15.6" x14ac:dyDescent="0.3">
      <c r="A210" s="80"/>
      <c r="B210" s="14" t="s">
        <v>80</v>
      </c>
      <c r="C210" s="81"/>
      <c r="D210" s="81"/>
      <c r="E210" s="81"/>
      <c r="F210" s="82"/>
      <c r="G210" s="81"/>
      <c r="H210" s="17"/>
      <c r="I210" s="17"/>
      <c r="J210" s="17"/>
      <c r="K210" s="17"/>
      <c r="L210" s="17"/>
      <c r="M210" s="17"/>
      <c r="N210" s="17"/>
      <c r="O210" s="17"/>
      <c r="P210" s="17"/>
      <c r="Q210" s="17" t="s">
        <v>105</v>
      </c>
      <c r="R210" s="83" t="s">
        <v>112</v>
      </c>
      <c r="S210" s="8"/>
      <c r="T210" s="8"/>
      <c r="U210" s="8"/>
      <c r="V210" s="5"/>
    </row>
    <row r="211" spans="1:22" ht="15.6" x14ac:dyDescent="0.3">
      <c r="A211" s="84"/>
      <c r="B211" s="76" t="s">
        <v>81</v>
      </c>
      <c r="C211" s="54"/>
      <c r="D211" s="54"/>
      <c r="E211" s="54"/>
      <c r="F211" s="25"/>
      <c r="G211" s="25"/>
      <c r="H211" s="30"/>
      <c r="I211" s="30"/>
      <c r="J211" s="30"/>
      <c r="K211" s="30"/>
      <c r="L211" s="30"/>
      <c r="M211" s="30"/>
      <c r="N211" s="30"/>
      <c r="O211" s="30"/>
      <c r="P211" s="30"/>
      <c r="Q211" s="30">
        <v>0</v>
      </c>
      <c r="R211" s="85">
        <v>0</v>
      </c>
      <c r="S211" s="25"/>
      <c r="T211" s="79"/>
      <c r="U211" s="86"/>
      <c r="V211" s="5"/>
    </row>
    <row r="212" spans="1:22" ht="15.6" x14ac:dyDescent="0.3">
      <c r="A212" s="84"/>
      <c r="B212" s="76" t="s">
        <v>151</v>
      </c>
      <c r="C212" s="54"/>
      <c r="D212" s="54"/>
      <c r="E212" s="54"/>
      <c r="F212" s="25"/>
      <c r="G212" s="25"/>
      <c r="H212" s="30"/>
      <c r="I212" s="30"/>
      <c r="J212" s="30"/>
      <c r="K212" s="30"/>
      <c r="L212" s="30"/>
      <c r="M212" s="30"/>
      <c r="N212" s="30"/>
      <c r="O212" s="30"/>
      <c r="P212" s="30"/>
      <c r="Q212" s="152">
        <f>+P252</f>
        <v>149</v>
      </c>
      <c r="R212" s="85">
        <f>+R252</f>
        <v>21999</v>
      </c>
      <c r="S212" s="25"/>
      <c r="T212" s="79"/>
      <c r="U212" s="86"/>
      <c r="V212" s="5"/>
    </row>
    <row r="213" spans="1:22" ht="15.6" x14ac:dyDescent="0.3">
      <c r="A213" s="84"/>
      <c r="B213" s="76" t="s">
        <v>82</v>
      </c>
      <c r="C213" s="54"/>
      <c r="D213" s="54"/>
      <c r="E213" s="54"/>
      <c r="F213" s="25"/>
      <c r="G213" s="25"/>
      <c r="H213" s="30"/>
      <c r="I213" s="30"/>
      <c r="J213" s="30"/>
      <c r="K213" s="30"/>
      <c r="L213" s="30"/>
      <c r="M213" s="30"/>
      <c r="N213" s="30"/>
      <c r="O213" s="30"/>
      <c r="P213" s="30"/>
      <c r="Q213" s="152">
        <f>+P264</f>
        <v>0</v>
      </c>
      <c r="R213" s="85">
        <f>+R264</f>
        <v>0</v>
      </c>
      <c r="S213" s="25"/>
      <c r="T213" s="79"/>
      <c r="U213" s="86"/>
      <c r="V213" s="5"/>
    </row>
    <row r="214" spans="1:22" ht="15.6" x14ac:dyDescent="0.3">
      <c r="A214" s="84"/>
      <c r="B214" s="122" t="s">
        <v>83</v>
      </c>
      <c r="C214" s="54"/>
      <c r="D214" s="54"/>
      <c r="E214" s="54"/>
      <c r="F214" s="25"/>
      <c r="G214" s="25"/>
      <c r="H214" s="25"/>
      <c r="I214" s="25"/>
      <c r="J214" s="25"/>
      <c r="K214" s="25"/>
      <c r="L214" s="25"/>
      <c r="M214" s="25"/>
      <c r="N214" s="25"/>
      <c r="O214" s="25"/>
      <c r="P214" s="25"/>
      <c r="Q214" s="25"/>
      <c r="R214" s="85">
        <v>0</v>
      </c>
      <c r="S214" s="25"/>
      <c r="T214" s="79"/>
      <c r="U214" s="86"/>
      <c r="V214" s="5"/>
    </row>
    <row r="215" spans="1:22" ht="15.6" x14ac:dyDescent="0.3">
      <c r="A215" s="84"/>
      <c r="B215" s="122" t="s">
        <v>84</v>
      </c>
      <c r="C215" s="54"/>
      <c r="D215" s="54"/>
      <c r="E215" s="54"/>
      <c r="F215" s="25"/>
      <c r="G215" s="25"/>
      <c r="H215" s="25"/>
      <c r="I215" s="25"/>
      <c r="J215" s="25"/>
      <c r="K215" s="25"/>
      <c r="L215" s="25"/>
      <c r="M215" s="25"/>
      <c r="N215" s="25"/>
      <c r="O215" s="25"/>
      <c r="P215" s="25"/>
      <c r="Q215" s="25"/>
      <c r="R215" s="62" t="s">
        <v>113</v>
      </c>
      <c r="S215" s="25"/>
      <c r="T215" s="79"/>
      <c r="U215" s="86"/>
      <c r="V215" s="5"/>
    </row>
    <row r="216" spans="1:22" ht="15.6" x14ac:dyDescent="0.3">
      <c r="A216" s="87"/>
      <c r="B216" s="122" t="s">
        <v>85</v>
      </c>
      <c r="C216" s="76"/>
      <c r="D216" s="76"/>
      <c r="E216" s="76"/>
      <c r="F216" s="76"/>
      <c r="G216" s="25"/>
      <c r="H216" s="25"/>
      <c r="I216" s="25"/>
      <c r="J216" s="25"/>
      <c r="K216" s="25"/>
      <c r="L216" s="25"/>
      <c r="M216" s="25"/>
      <c r="N216" s="25"/>
      <c r="O216" s="25"/>
      <c r="P216" s="25"/>
      <c r="Q216" s="25"/>
      <c r="R216" s="85"/>
      <c r="S216" s="25"/>
      <c r="T216" s="79"/>
      <c r="U216" s="88"/>
      <c r="V216" s="5"/>
    </row>
    <row r="217" spans="1:22" ht="15.6" x14ac:dyDescent="0.3">
      <c r="A217" s="87"/>
      <c r="B217" s="131" t="s">
        <v>86</v>
      </c>
      <c r="C217" s="76"/>
      <c r="D217" s="76"/>
      <c r="E217" s="76"/>
      <c r="F217" s="76"/>
      <c r="G217" s="25"/>
      <c r="H217" s="25"/>
      <c r="I217" s="25"/>
      <c r="J217" s="25"/>
      <c r="K217" s="25"/>
      <c r="L217" s="25"/>
      <c r="M217" s="25"/>
      <c r="N217" s="25"/>
      <c r="O217" s="25"/>
      <c r="P217" s="25"/>
      <c r="Q217" s="30"/>
      <c r="R217" s="85">
        <f>T162</f>
        <v>346</v>
      </c>
      <c r="S217" s="25"/>
      <c r="T217" s="79"/>
      <c r="U217" s="88"/>
      <c r="V217" s="5"/>
    </row>
    <row r="218" spans="1:22" ht="15.6" x14ac:dyDescent="0.3">
      <c r="A218" s="84"/>
      <c r="B218" s="76" t="s">
        <v>87</v>
      </c>
      <c r="C218" s="54"/>
      <c r="D218" s="54"/>
      <c r="E218" s="54"/>
      <c r="F218" s="54"/>
      <c r="G218" s="25"/>
      <c r="H218" s="25"/>
      <c r="I218" s="25"/>
      <c r="J218" s="25"/>
      <c r="K218" s="25"/>
      <c r="L218" s="25"/>
      <c r="M218" s="25"/>
      <c r="N218" s="25"/>
      <c r="O218" s="25"/>
      <c r="P218" s="25"/>
      <c r="Q218" s="30"/>
      <c r="R218" s="85">
        <f>+'Dec 08'!R218+R217</f>
        <v>555</v>
      </c>
      <c r="S218" s="25"/>
      <c r="T218" s="79"/>
      <c r="U218" s="88"/>
      <c r="V218" s="5"/>
    </row>
    <row r="219" spans="1:22" ht="15.6" x14ac:dyDescent="0.3">
      <c r="A219" s="87"/>
      <c r="B219" s="122" t="s">
        <v>282</v>
      </c>
      <c r="C219" s="76"/>
      <c r="D219" s="76"/>
      <c r="E219" s="76"/>
      <c r="F219" s="76"/>
      <c r="G219" s="25"/>
      <c r="H219" s="25"/>
      <c r="I219" s="25"/>
      <c r="J219" s="25"/>
      <c r="K219" s="25"/>
      <c r="L219" s="25"/>
      <c r="M219" s="25"/>
      <c r="N219" s="25"/>
      <c r="O219" s="25"/>
      <c r="P219" s="25"/>
      <c r="Q219" s="30"/>
      <c r="R219" s="85"/>
      <c r="S219" s="25"/>
      <c r="T219" s="79"/>
      <c r="U219" s="88"/>
      <c r="V219" s="5"/>
    </row>
    <row r="220" spans="1:22" ht="15.6" x14ac:dyDescent="0.3">
      <c r="A220" s="87"/>
      <c r="B220" s="76" t="s">
        <v>280</v>
      </c>
      <c r="C220" s="76"/>
      <c r="D220" s="76"/>
      <c r="E220" s="76"/>
      <c r="F220" s="76"/>
      <c r="G220" s="25"/>
      <c r="H220" s="25"/>
      <c r="I220" s="25"/>
      <c r="J220" s="25"/>
      <c r="K220" s="25"/>
      <c r="L220" s="25"/>
      <c r="M220" s="25"/>
      <c r="N220" s="25"/>
      <c r="O220" s="25"/>
      <c r="P220" s="25"/>
      <c r="Q220" s="30">
        <v>0</v>
      </c>
      <c r="R220" s="85">
        <v>0</v>
      </c>
      <c r="S220" s="25"/>
      <c r="T220" s="79"/>
      <c r="U220" s="88"/>
      <c r="V220" s="5"/>
    </row>
    <row r="221" spans="1:22" ht="15.6" x14ac:dyDescent="0.3">
      <c r="A221" s="84"/>
      <c r="B221" s="76" t="s">
        <v>89</v>
      </c>
      <c r="C221" s="89"/>
      <c r="D221" s="89"/>
      <c r="E221" s="89"/>
      <c r="F221" s="90"/>
      <c r="G221" s="25"/>
      <c r="H221" s="25"/>
      <c r="I221" s="25"/>
      <c r="J221" s="25"/>
      <c r="K221" s="25"/>
      <c r="L221" s="25"/>
      <c r="M221" s="25"/>
      <c r="N221" s="25"/>
      <c r="O221" s="25"/>
      <c r="P221" s="25"/>
      <c r="Q221" s="25"/>
      <c r="R221" s="62">
        <v>0</v>
      </c>
      <c r="S221" s="25"/>
      <c r="T221" s="79"/>
      <c r="U221" s="88"/>
      <c r="V221" s="5"/>
    </row>
    <row r="222" spans="1:22" ht="15.6" x14ac:dyDescent="0.3">
      <c r="A222" s="84"/>
      <c r="B222" s="76" t="s">
        <v>90</v>
      </c>
      <c r="C222" s="89"/>
      <c r="D222" s="89"/>
      <c r="E222" s="89"/>
      <c r="F222" s="90"/>
      <c r="G222" s="25"/>
      <c r="H222" s="25"/>
      <c r="I222" s="25"/>
      <c r="J222" s="25"/>
      <c r="K222" s="25"/>
      <c r="L222" s="25"/>
      <c r="M222" s="25"/>
      <c r="N222" s="25"/>
      <c r="O222" s="25"/>
      <c r="P222" s="25"/>
      <c r="Q222" s="25"/>
      <c r="R222" s="62">
        <v>0</v>
      </c>
      <c r="S222" s="25"/>
      <c r="T222" s="79"/>
      <c r="U222" s="88"/>
      <c r="V222" s="5"/>
    </row>
    <row r="223" spans="1:22" ht="15.6" x14ac:dyDescent="0.3">
      <c r="A223" s="84"/>
      <c r="B223" s="122" t="s">
        <v>226</v>
      </c>
      <c r="C223" s="89"/>
      <c r="D223" s="89"/>
      <c r="E223" s="89"/>
      <c r="F223" s="90"/>
      <c r="G223" s="25"/>
      <c r="H223" s="25"/>
      <c r="I223" s="25"/>
      <c r="J223" s="25"/>
      <c r="K223" s="25"/>
      <c r="L223" s="25"/>
      <c r="M223" s="25"/>
      <c r="N223" s="25"/>
      <c r="O223" s="25"/>
      <c r="P223" s="25"/>
      <c r="Q223" s="30"/>
      <c r="R223" s="91"/>
      <c r="S223" s="25"/>
      <c r="T223" s="79"/>
      <c r="U223" s="88"/>
      <c r="V223" s="5"/>
    </row>
    <row r="224" spans="1:22" ht="15.6" x14ac:dyDescent="0.3">
      <c r="A224" s="84"/>
      <c r="B224" s="76" t="s">
        <v>280</v>
      </c>
      <c r="C224" s="89"/>
      <c r="D224" s="89"/>
      <c r="E224" s="89"/>
      <c r="F224" s="90"/>
      <c r="G224" s="25"/>
      <c r="H224" s="25"/>
      <c r="I224" s="25"/>
      <c r="J224" s="25"/>
      <c r="K224" s="25"/>
      <c r="L224" s="25"/>
      <c r="M224" s="25"/>
      <c r="N224" s="25"/>
      <c r="O224" s="25"/>
      <c r="P224" s="25"/>
      <c r="Q224" s="30">
        <v>11</v>
      </c>
      <c r="R224" s="85">
        <v>1200</v>
      </c>
      <c r="S224" s="25"/>
      <c r="T224" s="79"/>
      <c r="U224" s="88"/>
      <c r="V224" s="5"/>
    </row>
    <row r="225" spans="1:23" ht="15.6" x14ac:dyDescent="0.3">
      <c r="A225" s="84"/>
      <c r="B225" s="76" t="s">
        <v>227</v>
      </c>
      <c r="C225" s="89"/>
      <c r="D225" s="89"/>
      <c r="E225" s="89"/>
      <c r="F225" s="90"/>
      <c r="G225" s="25"/>
      <c r="H225" s="25"/>
      <c r="I225" s="25"/>
      <c r="J225" s="25"/>
      <c r="K225" s="25"/>
      <c r="L225" s="25"/>
      <c r="M225" s="25"/>
      <c r="N225" s="25"/>
      <c r="O225" s="25"/>
      <c r="P225" s="25"/>
      <c r="Q225" s="30"/>
      <c r="R225" s="62">
        <v>8.61</v>
      </c>
      <c r="S225" s="25"/>
      <c r="T225" s="79"/>
      <c r="U225" s="88"/>
      <c r="V225" s="5"/>
    </row>
    <row r="226" spans="1:23" ht="15.6" x14ac:dyDescent="0.3">
      <c r="A226" s="84"/>
      <c r="B226" s="76"/>
      <c r="C226" s="89"/>
      <c r="D226" s="89"/>
      <c r="E226" s="89"/>
      <c r="F226" s="90"/>
      <c r="G226" s="25"/>
      <c r="H226" s="25"/>
      <c r="I226" s="25"/>
      <c r="J226" s="25"/>
      <c r="K226" s="25"/>
      <c r="L226" s="25"/>
      <c r="M226" s="25"/>
      <c r="N226" s="25"/>
      <c r="O226" s="25"/>
      <c r="P226" s="25"/>
      <c r="Q226" s="25"/>
      <c r="R226" s="91"/>
      <c r="S226" s="25"/>
      <c r="T226" s="79"/>
      <c r="U226" s="88"/>
      <c r="V226" s="5"/>
    </row>
    <row r="227" spans="1:23" ht="15.6" x14ac:dyDescent="0.3">
      <c r="A227" s="84"/>
      <c r="B227" s="76"/>
      <c r="C227" s="89"/>
      <c r="D227" s="89"/>
      <c r="E227" s="89"/>
      <c r="F227" s="90"/>
      <c r="G227" s="25"/>
      <c r="H227" s="25"/>
      <c r="I227" s="25"/>
      <c r="J227" s="25"/>
      <c r="K227" s="25"/>
      <c r="L227" s="25"/>
      <c r="M227" s="25"/>
      <c r="N227" s="25"/>
      <c r="O227" s="25"/>
      <c r="P227" s="25"/>
      <c r="Q227" s="25"/>
      <c r="R227" s="91"/>
      <c r="S227" s="25"/>
      <c r="T227" s="79"/>
      <c r="U227" s="88"/>
      <c r="V227" s="5"/>
    </row>
    <row r="228" spans="1:23" ht="17.399999999999999" x14ac:dyDescent="0.3">
      <c r="A228" s="84"/>
      <c r="B228" s="149" t="s">
        <v>175</v>
      </c>
      <c r="C228" s="89"/>
      <c r="D228" s="89"/>
      <c r="E228" s="89"/>
      <c r="F228" s="90"/>
      <c r="G228" s="25"/>
      <c r="H228" s="25"/>
      <c r="I228" s="25"/>
      <c r="J228" s="25"/>
      <c r="K228" s="25"/>
      <c r="L228" s="25"/>
      <c r="M228" s="25"/>
      <c r="N228" s="150" t="s">
        <v>174</v>
      </c>
      <c r="O228" s="25"/>
      <c r="P228" s="25"/>
      <c r="Q228" s="25"/>
      <c r="R228" s="91"/>
      <c r="S228" s="25"/>
      <c r="T228" s="79"/>
      <c r="U228" s="88"/>
      <c r="V228" s="5"/>
    </row>
    <row r="229" spans="1:23" ht="15.6" x14ac:dyDescent="0.3">
      <c r="A229" s="84"/>
      <c r="B229" s="76"/>
      <c r="C229" s="89"/>
      <c r="D229" s="89"/>
      <c r="E229" s="89"/>
      <c r="F229" s="90"/>
      <c r="G229" s="25"/>
      <c r="H229" s="25"/>
      <c r="I229" s="25"/>
      <c r="J229" s="25"/>
      <c r="K229" s="25"/>
      <c r="L229" s="25"/>
      <c r="M229" s="25"/>
      <c r="N229" s="25"/>
      <c r="O229" s="25"/>
      <c r="P229" s="25"/>
      <c r="Q229" s="25"/>
      <c r="R229" s="91"/>
      <c r="S229" s="25"/>
      <c r="T229" s="79"/>
      <c r="U229" s="88"/>
      <c r="V229" s="5"/>
    </row>
    <row r="230" spans="1:23" ht="15.6" x14ac:dyDescent="0.3">
      <c r="A230" s="6"/>
      <c r="B230" s="14" t="s">
        <v>169</v>
      </c>
      <c r="C230" s="81"/>
      <c r="D230" s="81"/>
      <c r="E230" s="81"/>
      <c r="F230" s="82"/>
      <c r="G230" s="81"/>
      <c r="H230" s="17"/>
      <c r="I230" s="17"/>
      <c r="J230" s="17"/>
      <c r="K230" s="17"/>
      <c r="L230" s="17"/>
      <c r="M230" s="17"/>
      <c r="N230" s="17"/>
      <c r="O230" s="17"/>
      <c r="P230" s="83" t="s">
        <v>105</v>
      </c>
      <c r="Q230" s="17" t="s">
        <v>106</v>
      </c>
      <c r="R230" s="83" t="s">
        <v>114</v>
      </c>
      <c r="S230" s="17" t="s">
        <v>106</v>
      </c>
      <c r="T230" s="8"/>
      <c r="U230" s="92"/>
      <c r="V230" s="5"/>
    </row>
    <row r="231" spans="1:23" ht="15.6" x14ac:dyDescent="0.3">
      <c r="A231" s="24"/>
      <c r="B231" s="54" t="s">
        <v>91</v>
      </c>
      <c r="C231" s="93"/>
      <c r="D231" s="93"/>
      <c r="E231" s="93"/>
      <c r="F231" s="25"/>
      <c r="G231" s="93"/>
      <c r="H231" s="93"/>
      <c r="I231" s="93"/>
      <c r="J231" s="93"/>
      <c r="K231" s="93"/>
      <c r="L231" s="93"/>
      <c r="M231" s="93"/>
      <c r="N231" s="93"/>
      <c r="O231" s="93"/>
      <c r="P231" s="54">
        <v>4397</v>
      </c>
      <c r="Q231" s="94">
        <f t="shared" ref="Q231:Q238" si="1">P231/$P$240</f>
        <v>0.97776295307983097</v>
      </c>
      <c r="R231" s="53">
        <v>584358</v>
      </c>
      <c r="S231" s="132">
        <f t="shared" ref="S231:S238" si="2">R231/$R$240</f>
        <v>0.97692427289642758</v>
      </c>
      <c r="T231" s="79"/>
      <c r="U231" s="88"/>
      <c r="V231" s="5"/>
    </row>
    <row r="232" spans="1:23" ht="15.6" x14ac:dyDescent="0.3">
      <c r="A232" s="24"/>
      <c r="B232" s="54" t="s">
        <v>92</v>
      </c>
      <c r="C232" s="93"/>
      <c r="D232" s="93"/>
      <c r="E232" s="93"/>
      <c r="F232" s="25"/>
      <c r="G232" s="94"/>
      <c r="H232" s="93"/>
      <c r="I232" s="93"/>
      <c r="J232" s="93"/>
      <c r="K232" s="93"/>
      <c r="L232" s="93"/>
      <c r="M232" s="93"/>
      <c r="N232" s="93"/>
      <c r="O232" s="93"/>
      <c r="P232" s="54">
        <v>53</v>
      </c>
      <c r="Q232" s="94">
        <f t="shared" si="1"/>
        <v>1.1785634867689571E-2</v>
      </c>
      <c r="R232" s="53">
        <v>7199</v>
      </c>
      <c r="S232" s="132">
        <f t="shared" si="2"/>
        <v>1.2035221286576692E-2</v>
      </c>
      <c r="T232" s="79"/>
      <c r="U232" s="88"/>
      <c r="V232" s="5"/>
      <c r="W232" s="109"/>
    </row>
    <row r="233" spans="1:23" ht="15.6" x14ac:dyDescent="0.3">
      <c r="A233" s="24"/>
      <c r="B233" s="54" t="s">
        <v>93</v>
      </c>
      <c r="C233" s="93"/>
      <c r="D233" s="93"/>
      <c r="E233" s="93"/>
      <c r="F233" s="25"/>
      <c r="G233" s="94"/>
      <c r="H233" s="93"/>
      <c r="I233" s="93"/>
      <c r="J233" s="93"/>
      <c r="K233" s="93"/>
      <c r="L233" s="93"/>
      <c r="M233" s="93"/>
      <c r="N233" s="93"/>
      <c r="O233" s="93"/>
      <c r="P233" s="54">
        <v>30</v>
      </c>
      <c r="Q233" s="94">
        <f t="shared" si="1"/>
        <v>6.6711140760507001E-3</v>
      </c>
      <c r="R233" s="53">
        <v>4126</v>
      </c>
      <c r="S233" s="132">
        <f t="shared" si="2"/>
        <v>6.8978084495645818E-3</v>
      </c>
      <c r="T233" s="79"/>
      <c r="U233" s="88"/>
      <c r="V233" s="5"/>
    </row>
    <row r="234" spans="1:23" ht="15.6" x14ac:dyDescent="0.3">
      <c r="A234" s="24"/>
      <c r="B234" s="54" t="s">
        <v>163</v>
      </c>
      <c r="C234" s="93"/>
      <c r="D234" s="93"/>
      <c r="E234" s="93"/>
      <c r="F234" s="25"/>
      <c r="G234" s="94"/>
      <c r="H234" s="93"/>
      <c r="I234" s="93"/>
      <c r="J234" s="93"/>
      <c r="K234" s="93"/>
      <c r="L234" s="93"/>
      <c r="M234" s="93"/>
      <c r="N234" s="93"/>
      <c r="O234" s="93"/>
      <c r="P234" s="54">
        <v>5</v>
      </c>
      <c r="Q234" s="94">
        <f t="shared" si="1"/>
        <v>1.1118523460084502E-3</v>
      </c>
      <c r="R234" s="53">
        <v>684</v>
      </c>
      <c r="S234" s="132">
        <f t="shared" si="2"/>
        <v>1.1435048423417775E-3</v>
      </c>
      <c r="T234" s="79"/>
      <c r="U234" s="88"/>
      <c r="V234" s="5"/>
      <c r="W234" s="109"/>
    </row>
    <row r="235" spans="1:23" ht="15.6" x14ac:dyDescent="0.3">
      <c r="A235" s="24"/>
      <c r="B235" s="54" t="s">
        <v>164</v>
      </c>
      <c r="C235" s="93"/>
      <c r="D235" s="93"/>
      <c r="E235" s="93"/>
      <c r="F235" s="25"/>
      <c r="G235" s="94"/>
      <c r="H235" s="93"/>
      <c r="I235" s="93"/>
      <c r="J235" s="93"/>
      <c r="K235" s="93"/>
      <c r="L235" s="93"/>
      <c r="M235" s="93"/>
      <c r="N235" s="93"/>
      <c r="O235" s="93"/>
      <c r="P235" s="54">
        <v>5</v>
      </c>
      <c r="Q235" s="94">
        <f t="shared" si="1"/>
        <v>1.1118523460084502E-3</v>
      </c>
      <c r="R235" s="53">
        <v>650</v>
      </c>
      <c r="S235" s="132">
        <f t="shared" si="2"/>
        <v>1.0866639583657243E-3</v>
      </c>
      <c r="T235" s="79"/>
      <c r="U235" s="88"/>
      <c r="V235" s="5"/>
    </row>
    <row r="236" spans="1:23" ht="15.6" x14ac:dyDescent="0.3">
      <c r="A236" s="24"/>
      <c r="B236" s="54" t="s">
        <v>165</v>
      </c>
      <c r="C236" s="93"/>
      <c r="D236" s="93"/>
      <c r="E236" s="93"/>
      <c r="F236" s="25"/>
      <c r="G236" s="94"/>
      <c r="H236" s="93"/>
      <c r="I236" s="93"/>
      <c r="J236" s="93"/>
      <c r="K236" s="93"/>
      <c r="L236" s="93"/>
      <c r="M236" s="93"/>
      <c r="N236" s="93"/>
      <c r="O236" s="93"/>
      <c r="P236" s="54">
        <v>1</v>
      </c>
      <c r="Q236" s="94">
        <f t="shared" si="1"/>
        <v>2.2237046920169001E-4</v>
      </c>
      <c r="R236" s="53">
        <v>148</v>
      </c>
      <c r="S236" s="132">
        <f t="shared" si="2"/>
        <v>2.4742502436634955E-4</v>
      </c>
      <c r="T236" s="79"/>
      <c r="U236" s="88"/>
      <c r="V236" s="5"/>
      <c r="W236" s="109"/>
    </row>
    <row r="237" spans="1:23" ht="15.6" x14ac:dyDescent="0.3">
      <c r="A237" s="24"/>
      <c r="B237" s="54" t="s">
        <v>166</v>
      </c>
      <c r="C237" s="93"/>
      <c r="D237" s="93"/>
      <c r="E237" s="93"/>
      <c r="F237" s="25"/>
      <c r="G237" s="94"/>
      <c r="H237" s="93"/>
      <c r="I237" s="93"/>
      <c r="J237" s="93"/>
      <c r="K237" s="93"/>
      <c r="L237" s="93"/>
      <c r="M237" s="93"/>
      <c r="N237" s="93"/>
      <c r="O237" s="93"/>
      <c r="P237" s="54">
        <v>5</v>
      </c>
      <c r="Q237" s="94">
        <f t="shared" si="1"/>
        <v>1.1118523460084502E-3</v>
      </c>
      <c r="R237" s="53">
        <v>850</v>
      </c>
      <c r="S237" s="132">
        <f t="shared" si="2"/>
        <v>1.4210220994013317E-3</v>
      </c>
      <c r="T237" s="79"/>
      <c r="U237" s="88"/>
      <c r="V237" s="5"/>
    </row>
    <row r="238" spans="1:23" ht="15.6" x14ac:dyDescent="0.3">
      <c r="A238" s="24"/>
      <c r="B238" s="54" t="s">
        <v>167</v>
      </c>
      <c r="C238" s="93"/>
      <c r="D238" s="93"/>
      <c r="E238" s="93"/>
      <c r="F238" s="25"/>
      <c r="G238" s="94"/>
      <c r="H238" s="93"/>
      <c r="I238" s="93"/>
      <c r="J238" s="93"/>
      <c r="K238" s="93"/>
      <c r="L238" s="93"/>
      <c r="M238" s="93"/>
      <c r="N238" s="93"/>
      <c r="O238" s="93"/>
      <c r="P238" s="54">
        <v>1</v>
      </c>
      <c r="Q238" s="94">
        <f t="shared" si="1"/>
        <v>2.2237046920169001E-4</v>
      </c>
      <c r="R238" s="53">
        <v>146</v>
      </c>
      <c r="S238" s="132">
        <f t="shared" si="2"/>
        <v>2.4408144295599344E-4</v>
      </c>
      <c r="T238" s="79"/>
      <c r="U238" s="88"/>
      <c r="V238" s="5"/>
      <c r="W238" s="109"/>
    </row>
    <row r="239" spans="1:23" ht="15.6" x14ac:dyDescent="0.3">
      <c r="A239" s="24"/>
      <c r="B239" s="54"/>
      <c r="C239" s="93"/>
      <c r="D239" s="93"/>
      <c r="E239" s="93"/>
      <c r="F239" s="25"/>
      <c r="G239" s="94"/>
      <c r="H239" s="93"/>
      <c r="I239" s="93"/>
      <c r="J239" s="93"/>
      <c r="K239" s="93"/>
      <c r="L239" s="93"/>
      <c r="M239" s="93"/>
      <c r="N239" s="93"/>
      <c r="O239" s="93"/>
      <c r="P239" s="54"/>
      <c r="Q239" s="94"/>
      <c r="R239" s="53"/>
      <c r="S239" s="132"/>
      <c r="T239" s="79"/>
      <c r="U239" s="88"/>
      <c r="V239" s="5"/>
    </row>
    <row r="240" spans="1:23" ht="15.6" x14ac:dyDescent="0.3">
      <c r="A240" s="24"/>
      <c r="B240" s="25" t="s">
        <v>120</v>
      </c>
      <c r="C240" s="25"/>
      <c r="D240" s="25"/>
      <c r="E240" s="25"/>
      <c r="F240" s="25"/>
      <c r="G240" s="25"/>
      <c r="H240" s="95"/>
      <c r="I240" s="95"/>
      <c r="J240" s="95"/>
      <c r="K240" s="95"/>
      <c r="L240" s="95"/>
      <c r="M240" s="95"/>
      <c r="N240" s="95"/>
      <c r="O240" s="95"/>
      <c r="P240" s="34">
        <f>SUM(P231:P239)</f>
        <v>4497</v>
      </c>
      <c r="Q240" s="132">
        <f>SUM(Q231:Q239)</f>
        <v>0.99999999999999989</v>
      </c>
      <c r="R240" s="53">
        <f>SUM(R231:R239)</f>
        <v>598161</v>
      </c>
      <c r="S240" s="132">
        <f>SUM(S231:S239)</f>
        <v>1</v>
      </c>
      <c r="T240" s="25"/>
      <c r="U240" s="25"/>
      <c r="V240" s="5"/>
    </row>
    <row r="241" spans="1:22" ht="15.6" x14ac:dyDescent="0.3">
      <c r="A241" s="24"/>
      <c r="B241" s="25"/>
      <c r="C241" s="25"/>
      <c r="D241" s="25"/>
      <c r="E241" s="25"/>
      <c r="F241" s="25"/>
      <c r="G241" s="25"/>
      <c r="H241" s="95"/>
      <c r="I241" s="95"/>
      <c r="J241" s="95"/>
      <c r="K241" s="95"/>
      <c r="L241" s="95"/>
      <c r="M241" s="95"/>
      <c r="N241" s="95"/>
      <c r="O241" s="95"/>
      <c r="P241" s="34"/>
      <c r="Q241" s="132"/>
      <c r="R241" s="53"/>
      <c r="S241" s="132"/>
      <c r="T241" s="25"/>
      <c r="U241" s="25"/>
      <c r="V241" s="5"/>
    </row>
    <row r="242" spans="1:22" ht="15.6" x14ac:dyDescent="0.3">
      <c r="A242" s="141"/>
      <c r="B242" s="14" t="s">
        <v>267</v>
      </c>
      <c r="C242" s="81"/>
      <c r="D242" s="81"/>
      <c r="E242" s="81"/>
      <c r="F242" s="82"/>
      <c r="G242" s="81"/>
      <c r="H242" s="17"/>
      <c r="I242" s="17"/>
      <c r="J242" s="17"/>
      <c r="K242" s="17"/>
      <c r="L242" s="17"/>
      <c r="M242" s="17"/>
      <c r="N242" s="17"/>
      <c r="O242" s="17"/>
      <c r="P242" s="83" t="s">
        <v>105</v>
      </c>
      <c r="Q242" s="17" t="s">
        <v>106</v>
      </c>
      <c r="R242" s="83" t="s">
        <v>114</v>
      </c>
      <c r="S242" s="17" t="s">
        <v>106</v>
      </c>
      <c r="T242" s="139"/>
      <c r="U242" s="140"/>
      <c r="V242" s="5"/>
    </row>
    <row r="243" spans="1:22" ht="15.6" x14ac:dyDescent="0.3">
      <c r="A243" s="24"/>
      <c r="B243" s="54" t="s">
        <v>91</v>
      </c>
      <c r="C243" s="93"/>
      <c r="D243" s="93"/>
      <c r="E243" s="93"/>
      <c r="F243" s="25"/>
      <c r="G243" s="93"/>
      <c r="H243" s="93"/>
      <c r="I243" s="93"/>
      <c r="J243" s="93"/>
      <c r="K243" s="93"/>
      <c r="L243" s="93"/>
      <c r="M243" s="93"/>
      <c r="N243" s="93"/>
      <c r="O243" s="93"/>
      <c r="P243" s="54">
        <v>13</v>
      </c>
      <c r="Q243" s="94">
        <f t="shared" ref="Q243:Q250" si="3">P243/$P$252</f>
        <v>8.7248322147651006E-2</v>
      </c>
      <c r="R243" s="53">
        <v>1692</v>
      </c>
      <c r="S243" s="132">
        <f t="shared" ref="S243:S250" si="4">R243/$R$252</f>
        <v>7.6912586935769814E-2</v>
      </c>
      <c r="T243" s="25"/>
      <c r="U243" s="25"/>
      <c r="V243" s="5"/>
    </row>
    <row r="244" spans="1:22" ht="15.6" x14ac:dyDescent="0.3">
      <c r="A244" s="24"/>
      <c r="B244" s="54" t="s">
        <v>92</v>
      </c>
      <c r="C244" s="93"/>
      <c r="D244" s="93"/>
      <c r="E244" s="93"/>
      <c r="F244" s="25"/>
      <c r="G244" s="94"/>
      <c r="H244" s="93"/>
      <c r="I244" s="93"/>
      <c r="J244" s="93"/>
      <c r="K244" s="93"/>
      <c r="L244" s="93"/>
      <c r="M244" s="93"/>
      <c r="N244" s="93"/>
      <c r="O244" s="93"/>
      <c r="P244" s="54">
        <v>66</v>
      </c>
      <c r="Q244" s="94">
        <f t="shared" si="3"/>
        <v>0.44295302013422821</v>
      </c>
      <c r="R244" s="53">
        <v>10309</v>
      </c>
      <c r="S244" s="132">
        <f t="shared" si="4"/>
        <v>0.46861220964589301</v>
      </c>
      <c r="T244" s="25"/>
      <c r="U244" s="25"/>
      <c r="V244" s="5"/>
    </row>
    <row r="245" spans="1:22" ht="15.6" x14ac:dyDescent="0.3">
      <c r="A245" s="24"/>
      <c r="B245" s="54" t="s">
        <v>93</v>
      </c>
      <c r="C245" s="93"/>
      <c r="D245" s="93"/>
      <c r="E245" s="93"/>
      <c r="F245" s="25"/>
      <c r="G245" s="94"/>
      <c r="H245" s="93"/>
      <c r="I245" s="93"/>
      <c r="J245" s="93"/>
      <c r="K245" s="93"/>
      <c r="L245" s="93"/>
      <c r="M245" s="93"/>
      <c r="N245" s="93"/>
      <c r="O245" s="93"/>
      <c r="P245" s="54">
        <v>10</v>
      </c>
      <c r="Q245" s="94">
        <f t="shared" si="3"/>
        <v>6.7114093959731544E-2</v>
      </c>
      <c r="R245" s="53">
        <v>1292</v>
      </c>
      <c r="S245" s="132">
        <f t="shared" si="4"/>
        <v>5.8729942270103183E-2</v>
      </c>
      <c r="T245" s="25"/>
      <c r="U245" s="25"/>
      <c r="V245" s="5"/>
    </row>
    <row r="246" spans="1:22" ht="15.6" x14ac:dyDescent="0.3">
      <c r="A246" s="24"/>
      <c r="B246" s="54" t="s">
        <v>163</v>
      </c>
      <c r="C246" s="93"/>
      <c r="D246" s="93"/>
      <c r="E246" s="93"/>
      <c r="F246" s="25"/>
      <c r="G246" s="94"/>
      <c r="H246" s="93"/>
      <c r="I246" s="93"/>
      <c r="J246" s="93"/>
      <c r="K246" s="93"/>
      <c r="L246" s="93"/>
      <c r="M246" s="93"/>
      <c r="N246" s="93"/>
      <c r="O246" s="93"/>
      <c r="P246" s="54">
        <v>7</v>
      </c>
      <c r="Q246" s="94">
        <f t="shared" si="3"/>
        <v>4.6979865771812082E-2</v>
      </c>
      <c r="R246" s="53">
        <v>1003</v>
      </c>
      <c r="S246" s="132">
        <f t="shared" si="4"/>
        <v>4.5592981499159052E-2</v>
      </c>
      <c r="T246" s="25"/>
      <c r="U246" s="25"/>
      <c r="V246" s="5"/>
    </row>
    <row r="247" spans="1:22" ht="15.6" x14ac:dyDescent="0.3">
      <c r="A247" s="24"/>
      <c r="B247" s="54" t="s">
        <v>164</v>
      </c>
      <c r="C247" s="93"/>
      <c r="D247" s="93"/>
      <c r="E247" s="93"/>
      <c r="F247" s="25"/>
      <c r="G247" s="94"/>
      <c r="H247" s="93"/>
      <c r="I247" s="93"/>
      <c r="J247" s="93"/>
      <c r="K247" s="93"/>
      <c r="L247" s="93"/>
      <c r="M247" s="93"/>
      <c r="N247" s="93"/>
      <c r="O247" s="93"/>
      <c r="P247" s="54">
        <v>4</v>
      </c>
      <c r="Q247" s="94">
        <f t="shared" si="3"/>
        <v>2.6845637583892617E-2</v>
      </c>
      <c r="R247" s="53">
        <v>619</v>
      </c>
      <c r="S247" s="132">
        <f t="shared" si="4"/>
        <v>2.8137642620119096E-2</v>
      </c>
      <c r="T247" s="25"/>
      <c r="U247" s="25"/>
      <c r="V247" s="5"/>
    </row>
    <row r="248" spans="1:22" ht="15.6" x14ac:dyDescent="0.3">
      <c r="A248" s="24"/>
      <c r="B248" s="54" t="s">
        <v>165</v>
      </c>
      <c r="C248" s="93"/>
      <c r="D248" s="93"/>
      <c r="E248" s="93"/>
      <c r="F248" s="25"/>
      <c r="G248" s="94"/>
      <c r="H248" s="93"/>
      <c r="I248" s="93"/>
      <c r="J248" s="93"/>
      <c r="K248" s="93"/>
      <c r="L248" s="93"/>
      <c r="M248" s="93"/>
      <c r="N248" s="93"/>
      <c r="O248" s="93"/>
      <c r="P248" s="54">
        <v>4</v>
      </c>
      <c r="Q248" s="94">
        <f t="shared" si="3"/>
        <v>2.6845637583892617E-2</v>
      </c>
      <c r="R248" s="53">
        <v>708</v>
      </c>
      <c r="S248" s="132">
        <f t="shared" si="4"/>
        <v>3.2183281058229922E-2</v>
      </c>
      <c r="T248" s="25"/>
      <c r="U248" s="25"/>
      <c r="V248" s="5"/>
    </row>
    <row r="249" spans="1:22" ht="15.6" x14ac:dyDescent="0.3">
      <c r="A249" s="24"/>
      <c r="B249" s="54" t="s">
        <v>166</v>
      </c>
      <c r="C249" s="93"/>
      <c r="D249" s="93"/>
      <c r="E249" s="93"/>
      <c r="F249" s="25"/>
      <c r="G249" s="94"/>
      <c r="H249" s="93"/>
      <c r="I249" s="93"/>
      <c r="J249" s="93"/>
      <c r="K249" s="93"/>
      <c r="L249" s="93"/>
      <c r="M249" s="93"/>
      <c r="N249" s="93"/>
      <c r="O249" s="93"/>
      <c r="P249" s="54">
        <v>29</v>
      </c>
      <c r="Q249" s="94">
        <f t="shared" si="3"/>
        <v>0.19463087248322147</v>
      </c>
      <c r="R249" s="53">
        <v>3226</v>
      </c>
      <c r="S249" s="132">
        <f t="shared" si="4"/>
        <v>0.14664302922860131</v>
      </c>
      <c r="T249" s="25"/>
      <c r="U249" s="25"/>
      <c r="V249" s="5"/>
    </row>
    <row r="250" spans="1:22" ht="15.6" x14ac:dyDescent="0.3">
      <c r="A250" s="24"/>
      <c r="B250" s="54" t="s">
        <v>167</v>
      </c>
      <c r="C250" s="93"/>
      <c r="D250" s="93"/>
      <c r="E250" s="93"/>
      <c r="F250" s="25"/>
      <c r="G250" s="94"/>
      <c r="H250" s="93"/>
      <c r="I250" s="93"/>
      <c r="J250" s="93"/>
      <c r="K250" s="93"/>
      <c r="L250" s="93"/>
      <c r="M250" s="93"/>
      <c r="N250" s="93"/>
      <c r="O250" s="93"/>
      <c r="P250" s="54">
        <v>16</v>
      </c>
      <c r="Q250" s="94">
        <f t="shared" si="3"/>
        <v>0.10738255033557047</v>
      </c>
      <c r="R250" s="53">
        <v>3150</v>
      </c>
      <c r="S250" s="132">
        <f t="shared" si="4"/>
        <v>0.14318832674212464</v>
      </c>
      <c r="T250" s="25"/>
      <c r="U250" s="25"/>
      <c r="V250" s="5"/>
    </row>
    <row r="251" spans="1:22" ht="15.6" x14ac:dyDescent="0.3">
      <c r="A251" s="24"/>
      <c r="B251" s="54"/>
      <c r="C251" s="93"/>
      <c r="D251" s="93"/>
      <c r="E251" s="93"/>
      <c r="F251" s="25"/>
      <c r="G251" s="94"/>
      <c r="H251" s="93"/>
      <c r="I251" s="93"/>
      <c r="J251" s="93"/>
      <c r="K251" s="93"/>
      <c r="L251" s="93"/>
      <c r="M251" s="93"/>
      <c r="N251" s="93"/>
      <c r="O251" s="93"/>
      <c r="P251" s="54"/>
      <c r="Q251" s="94"/>
      <c r="R251" s="53"/>
      <c r="S251" s="132"/>
      <c r="T251" s="25"/>
      <c r="U251" s="25"/>
      <c r="V251" s="5"/>
    </row>
    <row r="252" spans="1:22" ht="15.6" x14ac:dyDescent="0.3">
      <c r="A252" s="24"/>
      <c r="B252" s="25" t="s">
        <v>120</v>
      </c>
      <c r="C252" s="25"/>
      <c r="D252" s="25"/>
      <c r="E252" s="25"/>
      <c r="F252" s="25"/>
      <c r="G252" s="25"/>
      <c r="H252" s="95"/>
      <c r="I252" s="95"/>
      <c r="J252" s="95"/>
      <c r="K252" s="95"/>
      <c r="L252" s="95"/>
      <c r="M252" s="95"/>
      <c r="N252" s="95"/>
      <c r="O252" s="95"/>
      <c r="P252" s="34">
        <f>SUM(P243:P251)</f>
        <v>149</v>
      </c>
      <c r="Q252" s="132">
        <f>SUM(Q243:Q251)</f>
        <v>0.99999999999999989</v>
      </c>
      <c r="R252" s="53">
        <f>SUM(R243:R251)</f>
        <v>21999</v>
      </c>
      <c r="S252" s="132">
        <f>SUM(S243:S251)</f>
        <v>1</v>
      </c>
      <c r="T252" s="25"/>
      <c r="U252" s="25"/>
      <c r="V252" s="5"/>
    </row>
    <row r="253" spans="1:22" ht="15.6" x14ac:dyDescent="0.3">
      <c r="A253" s="24"/>
      <c r="B253" s="25"/>
      <c r="C253" s="25"/>
      <c r="D253" s="25"/>
      <c r="E253" s="25"/>
      <c r="F253" s="25"/>
      <c r="G253" s="25"/>
      <c r="H253" s="95"/>
      <c r="I253" s="95"/>
      <c r="J253" s="95"/>
      <c r="K253" s="95"/>
      <c r="L253" s="95"/>
      <c r="M253" s="95"/>
      <c r="N253" s="95"/>
      <c r="O253" s="95"/>
      <c r="P253" s="34"/>
      <c r="Q253" s="132"/>
      <c r="R253" s="53"/>
      <c r="S253" s="132"/>
      <c r="T253" s="25"/>
      <c r="U253" s="25"/>
      <c r="V253" s="5"/>
    </row>
    <row r="254" spans="1:22" ht="15.6" x14ac:dyDescent="0.3">
      <c r="A254" s="141"/>
      <c r="B254" s="14" t="s">
        <v>170</v>
      </c>
      <c r="C254" s="139"/>
      <c r="D254" s="139"/>
      <c r="E254" s="139"/>
      <c r="F254" s="139"/>
      <c r="G254" s="139"/>
      <c r="H254" s="145"/>
      <c r="I254" s="145"/>
      <c r="J254" s="145"/>
      <c r="K254" s="145"/>
      <c r="L254" s="145"/>
      <c r="M254" s="145"/>
      <c r="N254" s="145"/>
      <c r="O254" s="145"/>
      <c r="P254" s="83" t="s">
        <v>105</v>
      </c>
      <c r="Q254" s="17" t="s">
        <v>106</v>
      </c>
      <c r="R254" s="83" t="s">
        <v>114</v>
      </c>
      <c r="S254" s="17" t="s">
        <v>106</v>
      </c>
      <c r="T254" s="139"/>
      <c r="U254" s="140"/>
      <c r="V254" s="5"/>
    </row>
    <row r="255" spans="1:22" ht="15.6" x14ac:dyDescent="0.3">
      <c r="A255" s="24"/>
      <c r="B255" s="54" t="s">
        <v>91</v>
      </c>
      <c r="C255" s="25"/>
      <c r="D255" s="25"/>
      <c r="E255" s="25"/>
      <c r="F255" s="25"/>
      <c r="G255" s="25"/>
      <c r="H255" s="95"/>
      <c r="I255" s="95"/>
      <c r="J255" s="95"/>
      <c r="K255" s="95"/>
      <c r="L255" s="95"/>
      <c r="M255" s="95"/>
      <c r="N255" s="95"/>
      <c r="O255" s="95"/>
      <c r="P255" s="54">
        <v>0</v>
      </c>
      <c r="Q255" s="94">
        <v>0</v>
      </c>
      <c r="R255" s="53">
        <v>0</v>
      </c>
      <c r="S255" s="132">
        <v>0</v>
      </c>
      <c r="T255" s="25"/>
      <c r="U255" s="25"/>
      <c r="V255" s="5"/>
    </row>
    <row r="256" spans="1:22" ht="15.6" x14ac:dyDescent="0.3">
      <c r="A256" s="24"/>
      <c r="B256" s="54" t="s">
        <v>92</v>
      </c>
      <c r="C256" s="25"/>
      <c r="D256" s="25"/>
      <c r="E256" s="25"/>
      <c r="F256" s="25"/>
      <c r="G256" s="25"/>
      <c r="H256" s="95"/>
      <c r="I256" s="95"/>
      <c r="J256" s="95"/>
      <c r="K256" s="95"/>
      <c r="L256" s="95"/>
      <c r="M256" s="95"/>
      <c r="N256" s="95"/>
      <c r="O256" s="95"/>
      <c r="P256" s="54">
        <v>0</v>
      </c>
      <c r="Q256" s="94">
        <v>0</v>
      </c>
      <c r="R256" s="53">
        <v>0</v>
      </c>
      <c r="S256" s="132">
        <v>0</v>
      </c>
      <c r="T256" s="25"/>
      <c r="U256" s="25"/>
      <c r="V256" s="5"/>
    </row>
    <row r="257" spans="1:22" ht="15.6" x14ac:dyDescent="0.3">
      <c r="A257" s="24"/>
      <c r="B257" s="54" t="s">
        <v>93</v>
      </c>
      <c r="C257" s="25"/>
      <c r="D257" s="25"/>
      <c r="E257" s="25"/>
      <c r="F257" s="25"/>
      <c r="G257" s="25"/>
      <c r="H257" s="95"/>
      <c r="I257" s="95"/>
      <c r="J257" s="95"/>
      <c r="K257" s="95"/>
      <c r="L257" s="95"/>
      <c r="M257" s="95"/>
      <c r="N257" s="95"/>
      <c r="O257" s="95"/>
      <c r="P257" s="54">
        <v>0</v>
      </c>
      <c r="Q257" s="94">
        <v>0</v>
      </c>
      <c r="R257" s="53">
        <v>0</v>
      </c>
      <c r="S257" s="132">
        <v>0</v>
      </c>
      <c r="T257" s="25"/>
      <c r="U257" s="25"/>
      <c r="V257" s="5"/>
    </row>
    <row r="258" spans="1:22" ht="15.6" x14ac:dyDescent="0.3">
      <c r="A258" s="24"/>
      <c r="B258" s="54" t="s">
        <v>163</v>
      </c>
      <c r="C258" s="25"/>
      <c r="D258" s="25"/>
      <c r="E258" s="25"/>
      <c r="F258" s="25"/>
      <c r="G258" s="25"/>
      <c r="H258" s="95"/>
      <c r="I258" s="95"/>
      <c r="J258" s="95"/>
      <c r="K258" s="95"/>
      <c r="L258" s="95"/>
      <c r="M258" s="95"/>
      <c r="N258" s="95"/>
      <c r="O258" s="95"/>
      <c r="P258" s="54">
        <v>0</v>
      </c>
      <c r="Q258" s="94">
        <v>0</v>
      </c>
      <c r="R258" s="53">
        <v>0</v>
      </c>
      <c r="S258" s="132">
        <v>0</v>
      </c>
      <c r="T258" s="25"/>
      <c r="U258" s="25"/>
      <c r="V258" s="5"/>
    </row>
    <row r="259" spans="1:22" ht="15.6" x14ac:dyDescent="0.3">
      <c r="A259" s="24"/>
      <c r="B259" s="54" t="s">
        <v>164</v>
      </c>
      <c r="C259" s="25"/>
      <c r="D259" s="25"/>
      <c r="E259" s="25"/>
      <c r="F259" s="25"/>
      <c r="G259" s="25"/>
      <c r="H259" s="95"/>
      <c r="I259" s="95"/>
      <c r="J259" s="95"/>
      <c r="K259" s="95"/>
      <c r="L259" s="95"/>
      <c r="M259" s="95"/>
      <c r="N259" s="95"/>
      <c r="O259" s="95"/>
      <c r="P259" s="54">
        <v>0</v>
      </c>
      <c r="Q259" s="94">
        <v>0</v>
      </c>
      <c r="R259" s="53">
        <v>0</v>
      </c>
      <c r="S259" s="132">
        <v>0</v>
      </c>
      <c r="T259" s="25"/>
      <c r="U259" s="25"/>
      <c r="V259" s="5"/>
    </row>
    <row r="260" spans="1:22" ht="15.6" x14ac:dyDescent="0.3">
      <c r="A260" s="24"/>
      <c r="B260" s="54" t="s">
        <v>165</v>
      </c>
      <c r="C260" s="25"/>
      <c r="D260" s="25"/>
      <c r="E260" s="25"/>
      <c r="F260" s="25"/>
      <c r="G260" s="25"/>
      <c r="H260" s="95"/>
      <c r="I260" s="95"/>
      <c r="J260" s="95"/>
      <c r="K260" s="95"/>
      <c r="L260" s="95"/>
      <c r="M260" s="95"/>
      <c r="N260" s="95"/>
      <c r="O260" s="95"/>
      <c r="P260" s="54">
        <v>0</v>
      </c>
      <c r="Q260" s="94">
        <v>0</v>
      </c>
      <c r="R260" s="53">
        <v>0</v>
      </c>
      <c r="S260" s="132">
        <v>0</v>
      </c>
      <c r="T260" s="25"/>
      <c r="U260" s="25"/>
      <c r="V260" s="5"/>
    </row>
    <row r="261" spans="1:22" ht="15.6" x14ac:dyDescent="0.3">
      <c r="A261" s="24"/>
      <c r="B261" s="54" t="s">
        <v>166</v>
      </c>
      <c r="C261" s="25"/>
      <c r="D261" s="25"/>
      <c r="E261" s="25"/>
      <c r="F261" s="25"/>
      <c r="G261" s="25"/>
      <c r="H261" s="95"/>
      <c r="I261" s="95"/>
      <c r="J261" s="95"/>
      <c r="K261" s="95"/>
      <c r="L261" s="95"/>
      <c r="M261" s="95"/>
      <c r="N261" s="95"/>
      <c r="O261" s="95"/>
      <c r="P261" s="54">
        <v>0</v>
      </c>
      <c r="Q261" s="94">
        <v>0</v>
      </c>
      <c r="R261" s="53">
        <v>0</v>
      </c>
      <c r="S261" s="132">
        <v>0</v>
      </c>
      <c r="T261" s="25"/>
      <c r="U261" s="25"/>
      <c r="V261" s="5"/>
    </row>
    <row r="262" spans="1:22" ht="15.6" x14ac:dyDescent="0.3">
      <c r="A262" s="24"/>
      <c r="B262" s="54" t="s">
        <v>167</v>
      </c>
      <c r="C262" s="25"/>
      <c r="D262" s="25"/>
      <c r="E262" s="25"/>
      <c r="F262" s="25"/>
      <c r="G262" s="25"/>
      <c r="H262" s="95"/>
      <c r="I262" s="95"/>
      <c r="J262" s="95"/>
      <c r="K262" s="95"/>
      <c r="L262" s="95"/>
      <c r="M262" s="95"/>
      <c r="N262" s="95"/>
      <c r="O262" s="95"/>
      <c r="P262" s="54">
        <v>0</v>
      </c>
      <c r="Q262" s="94">
        <v>0</v>
      </c>
      <c r="R262" s="53">
        <v>0</v>
      </c>
      <c r="S262" s="132">
        <v>0</v>
      </c>
      <c r="T262" s="25"/>
      <c r="U262" s="25"/>
      <c r="V262" s="5"/>
    </row>
    <row r="263" spans="1:22" ht="15.6" x14ac:dyDescent="0.3">
      <c r="A263" s="24"/>
      <c r="B263" s="54"/>
      <c r="C263" s="25"/>
      <c r="D263" s="25"/>
      <c r="E263" s="25"/>
      <c r="F263" s="25"/>
      <c r="G263" s="25"/>
      <c r="H263" s="95"/>
      <c r="I263" s="95"/>
      <c r="J263" s="95"/>
      <c r="K263" s="95"/>
      <c r="L263" s="95"/>
      <c r="M263" s="95"/>
      <c r="N263" s="95"/>
      <c r="O263" s="95"/>
      <c r="P263" s="54"/>
      <c r="Q263" s="94"/>
      <c r="R263" s="53"/>
      <c r="S263" s="132"/>
      <c r="T263" s="25"/>
      <c r="U263" s="25"/>
      <c r="V263" s="5"/>
    </row>
    <row r="264" spans="1:22" ht="15.6" x14ac:dyDescent="0.3">
      <c r="A264" s="24"/>
      <c r="B264" s="25" t="s">
        <v>120</v>
      </c>
      <c r="C264" s="25"/>
      <c r="D264" s="25"/>
      <c r="E264" s="25"/>
      <c r="F264" s="25"/>
      <c r="G264" s="25"/>
      <c r="H264" s="95"/>
      <c r="I264" s="95"/>
      <c r="J264" s="95"/>
      <c r="K264" s="95"/>
      <c r="L264" s="95"/>
      <c r="M264" s="95"/>
      <c r="N264" s="95"/>
      <c r="O264" s="95"/>
      <c r="P264" s="34">
        <f>SUM(P255:P262)</f>
        <v>0</v>
      </c>
      <c r="Q264" s="132">
        <f>SUM(Q255:Q263)</f>
        <v>0</v>
      </c>
      <c r="R264" s="53">
        <f>SUM(R255:R262)</f>
        <v>0</v>
      </c>
      <c r="S264" s="132">
        <f>SUM(S255:S263)</f>
        <v>0</v>
      </c>
      <c r="T264" s="25"/>
      <c r="U264" s="25"/>
      <c r="V264" s="5"/>
    </row>
    <row r="265" spans="1:22" ht="15.6" x14ac:dyDescent="0.3">
      <c r="A265" s="24"/>
      <c r="B265" s="25"/>
      <c r="C265" s="25"/>
      <c r="D265" s="25"/>
      <c r="E265" s="25"/>
      <c r="F265" s="25"/>
      <c r="G265" s="25"/>
      <c r="H265" s="95"/>
      <c r="I265" s="95"/>
      <c r="J265" s="95"/>
      <c r="K265" s="95"/>
      <c r="L265" s="95"/>
      <c r="M265" s="95"/>
      <c r="N265" s="95"/>
      <c r="O265" s="95"/>
      <c r="P265" s="34"/>
      <c r="Q265" s="132"/>
      <c r="R265" s="53"/>
      <c r="S265" s="132"/>
      <c r="T265" s="25"/>
      <c r="U265" s="25"/>
      <c r="V265" s="5"/>
    </row>
    <row r="266" spans="1:22" ht="15.6" x14ac:dyDescent="0.3">
      <c r="A266" s="24"/>
      <c r="B266" s="142" t="s">
        <v>171</v>
      </c>
      <c r="C266" s="25"/>
      <c r="D266" s="25"/>
      <c r="E266" s="25"/>
      <c r="F266" s="25"/>
      <c r="G266" s="25"/>
      <c r="H266" s="95"/>
      <c r="I266" s="95"/>
      <c r="J266" s="95"/>
      <c r="K266" s="95"/>
      <c r="L266" s="95"/>
      <c r="M266" s="95"/>
      <c r="N266" s="95"/>
      <c r="O266" s="95"/>
      <c r="P266" s="161">
        <f>P264+P252+P240</f>
        <v>4646</v>
      </c>
      <c r="Q266" s="143"/>
      <c r="R266" s="144">
        <f>+R264+R252+R240</f>
        <v>620160</v>
      </c>
      <c r="S266" s="143"/>
      <c r="T266" s="25"/>
      <c r="U266" s="25"/>
      <c r="V266" s="5"/>
    </row>
    <row r="267" spans="1:22" ht="15.6" x14ac:dyDescent="0.3">
      <c r="A267" s="24"/>
      <c r="B267" s="25"/>
      <c r="C267" s="25"/>
      <c r="D267" s="25"/>
      <c r="E267" s="25"/>
      <c r="F267" s="25"/>
      <c r="G267" s="25"/>
      <c r="H267" s="95"/>
      <c r="I267" s="95"/>
      <c r="J267" s="95"/>
      <c r="K267" s="95"/>
      <c r="L267" s="95"/>
      <c r="M267" s="95"/>
      <c r="N267" s="95"/>
      <c r="O267" s="95"/>
      <c r="P267" s="95"/>
      <c r="Q267" s="95"/>
      <c r="R267" s="53"/>
      <c r="S267" s="95"/>
      <c r="T267" s="25"/>
      <c r="U267" s="25"/>
      <c r="V267" s="5"/>
    </row>
    <row r="268" spans="1:22" ht="15.6" x14ac:dyDescent="0.3">
      <c r="A268" s="6"/>
      <c r="B268" s="8"/>
      <c r="C268" s="8"/>
      <c r="D268" s="8"/>
      <c r="E268" s="8"/>
      <c r="F268" s="8"/>
      <c r="G268" s="8"/>
      <c r="H268" s="96"/>
      <c r="I268" s="96"/>
      <c r="J268" s="96"/>
      <c r="K268" s="96"/>
      <c r="L268" s="96"/>
      <c r="M268" s="96"/>
      <c r="N268" s="96"/>
      <c r="O268" s="96"/>
      <c r="P268" s="96"/>
      <c r="Q268" s="96"/>
      <c r="R268" s="97"/>
      <c r="S268" s="96"/>
      <c r="T268" s="8"/>
      <c r="U268" s="8"/>
      <c r="V268" s="5"/>
    </row>
    <row r="269" spans="1:22" ht="15.6" x14ac:dyDescent="0.3">
      <c r="A269" s="167"/>
      <c r="B269" s="14" t="s">
        <v>94</v>
      </c>
      <c r="C269" s="15"/>
      <c r="D269" s="15"/>
      <c r="E269" s="15"/>
      <c r="F269" s="17" t="s">
        <v>100</v>
      </c>
      <c r="G269" s="15"/>
      <c r="H269" s="14" t="s">
        <v>102</v>
      </c>
      <c r="I269" s="162"/>
      <c r="J269" s="162"/>
      <c r="K269" s="162"/>
      <c r="L269" s="162"/>
      <c r="M269" s="162"/>
      <c r="N269" s="162"/>
      <c r="O269" s="162"/>
      <c r="P269" s="162"/>
      <c r="Q269" s="162"/>
      <c r="R269" s="162"/>
      <c r="S269" s="162"/>
      <c r="T269" s="162"/>
      <c r="U269" s="162"/>
      <c r="V269" s="5"/>
    </row>
    <row r="270" spans="1:22" ht="15.6" x14ac:dyDescent="0.3">
      <c r="A270" s="167"/>
      <c r="B270" s="13" t="s">
        <v>95</v>
      </c>
      <c r="C270" s="13"/>
      <c r="D270" s="13"/>
      <c r="E270" s="13"/>
      <c r="F270" s="130" t="s">
        <v>154</v>
      </c>
      <c r="G270" s="13"/>
      <c r="H270" s="13" t="s">
        <v>158</v>
      </c>
      <c r="I270" s="162"/>
      <c r="J270" s="162"/>
      <c r="K270" s="162"/>
      <c r="L270" s="162"/>
      <c r="M270" s="162"/>
      <c r="N270" s="162"/>
      <c r="O270" s="162"/>
      <c r="P270" s="162"/>
      <c r="Q270" s="162"/>
      <c r="R270" s="162"/>
      <c r="S270" s="162"/>
      <c r="T270" s="162"/>
      <c r="U270" s="162"/>
      <c r="V270" s="5"/>
    </row>
    <row r="271" spans="1:22" ht="15.6" x14ac:dyDescent="0.3">
      <c r="A271" s="167"/>
      <c r="B271" s="13" t="s">
        <v>268</v>
      </c>
      <c r="C271" s="13"/>
      <c r="D271" s="13"/>
      <c r="E271" s="13"/>
      <c r="F271" s="130" t="s">
        <v>269</v>
      </c>
      <c r="G271" s="13"/>
      <c r="H271" s="13" t="s">
        <v>270</v>
      </c>
      <c r="I271" s="162"/>
      <c r="J271" s="162"/>
      <c r="K271" s="162"/>
      <c r="L271" s="162"/>
      <c r="M271" s="162"/>
      <c r="N271" s="162"/>
      <c r="O271" s="162"/>
      <c r="P271" s="162"/>
      <c r="Q271" s="162"/>
      <c r="R271" s="162"/>
      <c r="S271" s="162"/>
      <c r="T271" s="162"/>
      <c r="U271" s="162"/>
      <c r="V271" s="5"/>
    </row>
    <row r="272" spans="1:22" ht="15.6" x14ac:dyDescent="0.3">
      <c r="A272" s="167"/>
      <c r="B272" s="13" t="s">
        <v>96</v>
      </c>
      <c r="C272" s="13"/>
      <c r="D272" s="13"/>
      <c r="E272" s="13"/>
      <c r="F272" s="130" t="s">
        <v>153</v>
      </c>
      <c r="G272" s="13"/>
      <c r="H272" s="13" t="s">
        <v>159</v>
      </c>
      <c r="I272" s="162"/>
      <c r="J272" s="162"/>
      <c r="K272" s="162"/>
      <c r="L272" s="162"/>
      <c r="M272" s="162"/>
      <c r="N272" s="162"/>
      <c r="O272" s="162"/>
      <c r="P272" s="162"/>
      <c r="Q272" s="162"/>
      <c r="R272" s="162"/>
      <c r="S272" s="162"/>
      <c r="T272" s="162"/>
      <c r="U272" s="162"/>
      <c r="V272" s="5"/>
    </row>
    <row r="273" spans="1:22" ht="15.6" x14ac:dyDescent="0.3">
      <c r="A273" s="167"/>
      <c r="B273" s="13"/>
      <c r="C273" s="13"/>
      <c r="D273" s="13"/>
      <c r="E273" s="13"/>
      <c r="F273" s="13"/>
      <c r="G273" s="99"/>
      <c r="H273" s="162"/>
      <c r="I273" s="162"/>
      <c r="J273" s="162"/>
      <c r="K273" s="162"/>
      <c r="L273" s="162"/>
      <c r="M273" s="162"/>
      <c r="N273" s="162"/>
      <c r="O273" s="162"/>
      <c r="P273" s="162"/>
      <c r="Q273" s="162"/>
      <c r="R273" s="162"/>
      <c r="S273" s="162"/>
      <c r="T273" s="162"/>
      <c r="U273" s="162"/>
      <c r="V273" s="5"/>
    </row>
    <row r="274" spans="1:22" ht="15.6" x14ac:dyDescent="0.3">
      <c r="A274" s="167"/>
      <c r="B274" s="13"/>
      <c r="C274" s="13"/>
      <c r="D274" s="13"/>
      <c r="E274" s="13"/>
      <c r="F274" s="13"/>
      <c r="G274" s="99"/>
      <c r="H274" s="162"/>
      <c r="I274" s="162"/>
      <c r="J274" s="162"/>
      <c r="K274" s="162"/>
      <c r="L274" s="162"/>
      <c r="M274" s="162"/>
      <c r="N274" s="162"/>
      <c r="O274" s="162"/>
      <c r="P274" s="162"/>
      <c r="Q274" s="162"/>
      <c r="R274" s="162"/>
      <c r="S274" s="162"/>
      <c r="T274" s="162"/>
      <c r="U274" s="162"/>
      <c r="V274" s="5"/>
    </row>
    <row r="275" spans="1:22" ht="18" thickBot="1" x14ac:dyDescent="0.35">
      <c r="A275" s="167"/>
      <c r="B275" s="49" t="str">
        <f>B192</f>
        <v>PM11 INVESTOR REPORT QUARTER ENDING MARCH 2009</v>
      </c>
      <c r="C275" s="13"/>
      <c r="D275" s="13"/>
      <c r="E275" s="13"/>
      <c r="F275" s="13"/>
      <c r="G275" s="99"/>
      <c r="H275" s="162"/>
      <c r="I275" s="162"/>
      <c r="J275" s="162"/>
      <c r="K275" s="162"/>
      <c r="L275" s="162"/>
      <c r="M275" s="162"/>
      <c r="N275" s="162"/>
      <c r="O275" s="162"/>
      <c r="P275" s="162"/>
      <c r="Q275" s="162"/>
      <c r="R275" s="162"/>
      <c r="S275" s="162"/>
      <c r="T275" s="162"/>
      <c r="U275" s="162"/>
      <c r="V275" s="5"/>
    </row>
    <row r="276" spans="1:22" x14ac:dyDescent="0.25">
      <c r="A276" s="100"/>
      <c r="B276" s="100"/>
      <c r="C276" s="100"/>
      <c r="D276" s="100"/>
      <c r="E276" s="100"/>
      <c r="F276" s="100"/>
      <c r="G276" s="100"/>
      <c r="H276" s="100"/>
      <c r="I276" s="100"/>
      <c r="J276" s="100"/>
      <c r="K276" s="100"/>
      <c r="L276" s="100"/>
      <c r="M276" s="100"/>
      <c r="N276" s="100"/>
      <c r="O276" s="100"/>
      <c r="P276" s="100"/>
      <c r="Q276" s="100"/>
      <c r="R276" s="100"/>
      <c r="S276" s="100"/>
      <c r="T276" s="100"/>
      <c r="U276" s="100"/>
    </row>
  </sheetData>
  <phoneticPr fontId="0" type="noConversion"/>
  <hyperlinks>
    <hyperlink ref="N228" r:id="rId1" xr:uid="{00000000-0004-0000-0B00-000000000000}"/>
    <hyperlink ref="J9" r:id="rId2" xr:uid="{00000000-0004-0000-0B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4" max="14" man="1"/>
    <brk id="133" max="14" man="1"/>
    <brk id="192" max="14" man="1"/>
  </rowBreaks>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9CB31"/>
  </sheetPr>
  <dimension ref="A1:X276"/>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08984375" style="1" customWidth="1"/>
    <col min="10" max="10" width="17.81640625" style="1" customWidth="1"/>
    <col min="11" max="11" width="2.1796875" style="1" customWidth="1"/>
    <col min="12" max="12" width="14.81640625" style="1" customWidth="1"/>
    <col min="13" max="13" width="2.1796875" style="1" customWidth="1"/>
    <col min="14" max="14" width="15.54296875" style="1" customWidth="1"/>
    <col min="15" max="15" width="2.08984375" style="1" customWidth="1"/>
    <col min="16" max="16" width="15.54296875" style="1" customWidth="1"/>
    <col min="17" max="18" width="12.81640625" style="1" customWidth="1"/>
    <col min="19" max="19" width="7.81640625" style="1" customWidth="1"/>
    <col min="20" max="20" width="14.81640625" style="1" customWidth="1"/>
    <col min="21" max="21" width="11.81640625" style="1" customWidth="1"/>
    <col min="22" max="16384" width="9.81640625" style="1"/>
  </cols>
  <sheetData>
    <row r="1" spans="1:22" ht="20.399999999999999" x14ac:dyDescent="0.35">
      <c r="A1" s="2"/>
      <c r="B1" s="3" t="s">
        <v>228</v>
      </c>
      <c r="C1" s="4"/>
      <c r="D1" s="4"/>
      <c r="E1" s="4"/>
      <c r="F1" s="4"/>
      <c r="G1" s="4"/>
      <c r="H1" s="4"/>
      <c r="I1" s="4"/>
      <c r="J1" s="4"/>
      <c r="K1" s="4"/>
      <c r="L1" s="4"/>
      <c r="M1" s="4"/>
      <c r="N1" s="4"/>
      <c r="O1" s="4"/>
      <c r="P1" s="4"/>
      <c r="Q1" s="4"/>
      <c r="R1" s="4"/>
      <c r="S1" s="4"/>
      <c r="T1" s="4"/>
      <c r="U1" s="4"/>
      <c r="V1" s="5"/>
    </row>
    <row r="2" spans="1:22" ht="15.6" x14ac:dyDescent="0.3">
      <c r="A2" s="6"/>
      <c r="B2" s="7"/>
      <c r="C2" s="8"/>
      <c r="D2" s="8"/>
      <c r="E2" s="8"/>
      <c r="F2" s="8"/>
      <c r="G2" s="8"/>
      <c r="H2" s="8"/>
      <c r="I2" s="8"/>
      <c r="J2" s="8"/>
      <c r="K2" s="8"/>
      <c r="L2" s="8"/>
      <c r="M2" s="8"/>
      <c r="N2" s="8"/>
      <c r="O2" s="8"/>
      <c r="P2" s="8"/>
      <c r="Q2" s="8"/>
      <c r="R2" s="8"/>
      <c r="S2" s="8"/>
      <c r="T2" s="8"/>
      <c r="U2" s="8"/>
      <c r="V2" s="5"/>
    </row>
    <row r="3" spans="1:22" ht="15.6" x14ac:dyDescent="0.3">
      <c r="A3" s="9"/>
      <c r="B3" s="111" t="s">
        <v>229</v>
      </c>
      <c r="C3" s="8"/>
      <c r="D3" s="8"/>
      <c r="E3" s="8"/>
      <c r="F3" s="8"/>
      <c r="G3" s="8"/>
      <c r="H3" s="8"/>
      <c r="I3" s="8"/>
      <c r="J3" s="8"/>
      <c r="K3" s="8"/>
      <c r="L3" s="8"/>
      <c r="M3" s="8"/>
      <c r="N3" s="8"/>
      <c r="O3" s="8"/>
      <c r="P3" s="8"/>
      <c r="Q3" s="8"/>
      <c r="R3" s="8"/>
      <c r="S3" s="8"/>
      <c r="T3" s="8"/>
      <c r="U3" s="8"/>
      <c r="V3" s="5"/>
    </row>
    <row r="4" spans="1:22" ht="15.6" x14ac:dyDescent="0.3">
      <c r="A4" s="6"/>
      <c r="B4" s="7"/>
      <c r="C4" s="8"/>
      <c r="D4" s="8"/>
      <c r="E4" s="8"/>
      <c r="F4" s="8"/>
      <c r="G4" s="8"/>
      <c r="H4" s="8"/>
      <c r="I4" s="8"/>
      <c r="J4" s="8"/>
      <c r="K4" s="8"/>
      <c r="L4" s="8"/>
      <c r="M4" s="8"/>
      <c r="N4" s="8"/>
      <c r="O4" s="8"/>
      <c r="P4" s="8"/>
      <c r="Q4" s="8"/>
      <c r="R4" s="8"/>
      <c r="S4" s="8"/>
      <c r="T4" s="8"/>
      <c r="U4" s="8"/>
      <c r="V4" s="5"/>
    </row>
    <row r="5" spans="1:22" ht="15.6" x14ac:dyDescent="0.3">
      <c r="A5" s="6"/>
      <c r="B5" s="11" t="s">
        <v>143</v>
      </c>
      <c r="C5" s="8"/>
      <c r="D5" s="8"/>
      <c r="E5" s="8"/>
      <c r="F5" s="8"/>
      <c r="G5" s="8"/>
      <c r="H5" s="8"/>
      <c r="I5" s="8"/>
      <c r="J5" s="8"/>
      <c r="K5" s="8"/>
      <c r="L5" s="8"/>
      <c r="M5" s="8"/>
      <c r="N5" s="8"/>
      <c r="O5" s="8"/>
      <c r="P5" s="8"/>
      <c r="Q5" s="8"/>
      <c r="R5" s="8"/>
      <c r="S5" s="8"/>
      <c r="T5" s="8"/>
      <c r="U5" s="8"/>
      <c r="V5" s="5"/>
    </row>
    <row r="6" spans="1:22" ht="15.6" x14ac:dyDescent="0.3">
      <c r="A6" s="6"/>
      <c r="B6" s="11" t="s">
        <v>145</v>
      </c>
      <c r="C6" s="8"/>
      <c r="D6" s="8"/>
      <c r="E6" s="8"/>
      <c r="F6" s="8"/>
      <c r="G6" s="8"/>
      <c r="H6" s="8"/>
      <c r="I6" s="8"/>
      <c r="J6" s="8"/>
      <c r="K6" s="8"/>
      <c r="L6" s="8"/>
      <c r="M6" s="8"/>
      <c r="N6" s="8"/>
      <c r="O6" s="8"/>
      <c r="P6" s="8"/>
      <c r="Q6" s="8"/>
      <c r="R6" s="8"/>
      <c r="S6" s="8"/>
      <c r="T6" s="8"/>
      <c r="U6" s="8"/>
      <c r="V6" s="5"/>
    </row>
    <row r="7" spans="1:22" ht="15.6" x14ac:dyDescent="0.3">
      <c r="A7" s="6"/>
      <c r="B7" s="11" t="s">
        <v>144</v>
      </c>
      <c r="C7" s="8"/>
      <c r="D7" s="8"/>
      <c r="E7" s="8"/>
      <c r="F7" s="8"/>
      <c r="G7" s="8"/>
      <c r="H7" s="8"/>
      <c r="I7" s="8"/>
      <c r="J7" s="8"/>
      <c r="K7" s="8"/>
      <c r="L7" s="8"/>
      <c r="M7" s="8"/>
      <c r="N7" s="8"/>
      <c r="O7" s="8"/>
      <c r="P7" s="8"/>
      <c r="Q7" s="8"/>
      <c r="R7" s="8"/>
      <c r="S7" s="8"/>
      <c r="T7" s="8"/>
      <c r="U7" s="8"/>
      <c r="V7" s="5"/>
    </row>
    <row r="8" spans="1:22" ht="15.6" x14ac:dyDescent="0.3">
      <c r="A8" s="6"/>
      <c r="B8" s="11"/>
      <c r="C8" s="8"/>
      <c r="D8" s="8"/>
      <c r="E8" s="8"/>
      <c r="F8" s="8"/>
      <c r="G8" s="8"/>
      <c r="H8" s="8"/>
      <c r="I8" s="8"/>
      <c r="J8" s="8"/>
      <c r="K8" s="8"/>
      <c r="L8" s="8"/>
      <c r="M8" s="8"/>
      <c r="N8" s="8"/>
      <c r="O8" s="8"/>
      <c r="P8" s="8"/>
      <c r="Q8" s="8"/>
      <c r="R8" s="8"/>
      <c r="S8" s="8"/>
      <c r="T8" s="8"/>
      <c r="U8" s="8"/>
      <c r="V8" s="5"/>
    </row>
    <row r="9" spans="1:22" ht="17.399999999999999" x14ac:dyDescent="0.3">
      <c r="A9" s="6"/>
      <c r="B9" s="147" t="s">
        <v>173</v>
      </c>
      <c r="C9" s="8"/>
      <c r="D9" s="8"/>
      <c r="E9" s="8"/>
      <c r="F9" s="8"/>
      <c r="G9" s="8"/>
      <c r="H9" s="8"/>
      <c r="I9" s="8"/>
      <c r="J9" s="148" t="s">
        <v>174</v>
      </c>
      <c r="K9" s="8"/>
      <c r="L9" s="148"/>
      <c r="M9" s="8"/>
      <c r="N9" s="8"/>
      <c r="O9" s="8"/>
      <c r="P9" s="8"/>
      <c r="Q9" s="8"/>
      <c r="R9" s="8"/>
      <c r="S9" s="8"/>
      <c r="T9" s="8"/>
      <c r="U9" s="8"/>
      <c r="V9" s="5"/>
    </row>
    <row r="10" spans="1:22" ht="15.6" x14ac:dyDescent="0.3">
      <c r="A10" s="6"/>
      <c r="B10" s="11"/>
      <c r="C10" s="13"/>
      <c r="D10" s="13"/>
      <c r="E10" s="13"/>
      <c r="F10" s="8"/>
      <c r="G10" s="8"/>
      <c r="H10" s="8"/>
      <c r="I10" s="8"/>
      <c r="J10" s="8"/>
      <c r="K10" s="8"/>
      <c r="L10" s="8"/>
      <c r="M10" s="8"/>
      <c r="N10" s="8"/>
      <c r="O10" s="8"/>
      <c r="P10" s="8"/>
      <c r="Q10" s="8"/>
      <c r="R10" s="8"/>
      <c r="S10" s="8"/>
      <c r="T10" s="8"/>
      <c r="U10" s="8"/>
      <c r="V10" s="5"/>
    </row>
    <row r="11" spans="1:22" ht="15.6" x14ac:dyDescent="0.3">
      <c r="A11" s="6"/>
      <c r="B11" s="14" t="s">
        <v>0</v>
      </c>
      <c r="C11" s="8"/>
      <c r="D11" s="8"/>
      <c r="E11" s="8"/>
      <c r="F11" s="8"/>
      <c r="G11" s="8"/>
      <c r="H11" s="8"/>
      <c r="I11" s="8"/>
      <c r="J11" s="8"/>
      <c r="K11" s="8"/>
      <c r="L11" s="8"/>
      <c r="M11" s="8"/>
      <c r="N11" s="8"/>
      <c r="O11" s="8"/>
      <c r="P11" s="8"/>
      <c r="Q11" s="8"/>
      <c r="R11" s="8"/>
      <c r="S11" s="8"/>
      <c r="T11" s="8"/>
      <c r="U11" s="8"/>
      <c r="V11" s="5"/>
    </row>
    <row r="12" spans="1:22" ht="16.2" thickBot="1" x14ac:dyDescent="0.35">
      <c r="A12" s="6"/>
      <c r="B12" s="13"/>
      <c r="C12" s="8"/>
      <c r="D12" s="8"/>
      <c r="E12" s="8"/>
      <c r="F12" s="8"/>
      <c r="G12" s="8"/>
      <c r="H12" s="8"/>
      <c r="I12" s="8"/>
      <c r="J12" s="8"/>
      <c r="K12" s="8"/>
      <c r="L12" s="8"/>
      <c r="M12" s="8"/>
      <c r="N12" s="8"/>
      <c r="O12" s="8"/>
      <c r="P12" s="8"/>
      <c r="Q12" s="8"/>
      <c r="R12" s="8"/>
      <c r="S12" s="8"/>
      <c r="T12" s="8"/>
      <c r="U12" s="8"/>
      <c r="V12" s="5"/>
    </row>
    <row r="13" spans="1:22" ht="15.6" x14ac:dyDescent="0.3">
      <c r="A13" s="2"/>
      <c r="B13" s="4"/>
      <c r="C13" s="4"/>
      <c r="D13" s="4"/>
      <c r="E13" s="4"/>
      <c r="F13" s="4"/>
      <c r="G13" s="4"/>
      <c r="H13" s="4"/>
      <c r="I13" s="4"/>
      <c r="J13" s="4"/>
      <c r="K13" s="4"/>
      <c r="L13" s="4"/>
      <c r="M13" s="4"/>
      <c r="N13" s="4"/>
      <c r="O13" s="4"/>
      <c r="P13" s="4"/>
      <c r="Q13" s="4"/>
      <c r="R13" s="4"/>
      <c r="S13" s="4"/>
      <c r="T13" s="4"/>
      <c r="U13" s="4"/>
      <c r="V13" s="5"/>
    </row>
    <row r="14" spans="1:22" ht="15.6" x14ac:dyDescent="0.3">
      <c r="A14" s="6"/>
      <c r="B14" s="14" t="s">
        <v>1</v>
      </c>
      <c r="C14" s="15"/>
      <c r="D14" s="15"/>
      <c r="E14" s="15"/>
      <c r="F14" s="15"/>
      <c r="G14" s="15"/>
      <c r="H14" s="15"/>
      <c r="I14" s="15"/>
      <c r="J14" s="15"/>
      <c r="K14" s="15"/>
      <c r="L14" s="15"/>
      <c r="M14" s="15"/>
      <c r="N14" s="15"/>
      <c r="O14" s="15"/>
      <c r="P14" s="15"/>
      <c r="Q14" s="15"/>
      <c r="R14" s="15"/>
      <c r="S14" s="15"/>
      <c r="T14" s="16" t="s">
        <v>230</v>
      </c>
      <c r="U14" s="15"/>
      <c r="V14" s="5"/>
    </row>
    <row r="15" spans="1:22" ht="15.6" x14ac:dyDescent="0.3">
      <c r="A15" s="6"/>
      <c r="B15" s="14" t="s">
        <v>2</v>
      </c>
      <c r="C15" s="15"/>
      <c r="D15" s="15"/>
      <c r="E15" s="15"/>
      <c r="F15" s="15"/>
      <c r="G15" s="15"/>
      <c r="H15" s="18"/>
      <c r="I15" s="18"/>
      <c r="J15" s="18"/>
      <c r="K15" s="18"/>
      <c r="L15" s="18"/>
      <c r="M15" s="18"/>
      <c r="N15" s="18"/>
      <c r="O15" s="18"/>
      <c r="P15" s="18" t="s">
        <v>107</v>
      </c>
      <c r="Q15" s="137">
        <v>0.40749999999999997</v>
      </c>
      <c r="R15" s="17" t="s">
        <v>146</v>
      </c>
      <c r="S15" s="137">
        <v>0.59250000000000003</v>
      </c>
      <c r="T15" s="16"/>
      <c r="U15" s="15"/>
      <c r="V15" s="5"/>
    </row>
    <row r="16" spans="1:22" ht="15.6" x14ac:dyDescent="0.3">
      <c r="A16" s="6"/>
      <c r="B16" s="14" t="s">
        <v>3</v>
      </c>
      <c r="C16" s="15"/>
      <c r="D16" s="15"/>
      <c r="E16" s="15"/>
      <c r="F16" s="15"/>
      <c r="G16" s="15"/>
      <c r="H16" s="18"/>
      <c r="I16" s="18"/>
      <c r="J16" s="18"/>
      <c r="K16" s="18"/>
      <c r="L16" s="18"/>
      <c r="M16" s="18"/>
      <c r="N16" s="18"/>
      <c r="O16" s="18"/>
      <c r="P16" s="18" t="s">
        <v>107</v>
      </c>
      <c r="Q16" s="137">
        <v>0.4451</v>
      </c>
      <c r="R16" s="17" t="s">
        <v>146</v>
      </c>
      <c r="S16" s="137">
        <v>0.55489999999999995</v>
      </c>
      <c r="T16" s="16"/>
      <c r="U16" s="15"/>
      <c r="V16" s="5"/>
    </row>
    <row r="17" spans="1:22" ht="15.6" x14ac:dyDescent="0.3">
      <c r="A17" s="6"/>
      <c r="B17" s="14" t="s">
        <v>4</v>
      </c>
      <c r="C17" s="15"/>
      <c r="D17" s="15"/>
      <c r="E17" s="15"/>
      <c r="F17" s="15"/>
      <c r="G17" s="15"/>
      <c r="H17" s="15"/>
      <c r="I17" s="15"/>
      <c r="J17" s="15"/>
      <c r="K17" s="15"/>
      <c r="L17" s="15"/>
      <c r="M17" s="15"/>
      <c r="N17" s="15"/>
      <c r="O17" s="15"/>
      <c r="P17" s="15"/>
      <c r="Q17" s="15"/>
      <c r="R17" s="15"/>
      <c r="S17" s="15"/>
      <c r="T17" s="19">
        <v>38799</v>
      </c>
      <c r="U17" s="15"/>
      <c r="V17" s="5"/>
    </row>
    <row r="18" spans="1:22" ht="15.6" x14ac:dyDescent="0.3">
      <c r="A18" s="6"/>
      <c r="B18" s="14" t="s">
        <v>5</v>
      </c>
      <c r="C18" s="15"/>
      <c r="D18" s="15"/>
      <c r="E18" s="15"/>
      <c r="F18" s="15"/>
      <c r="G18" s="15"/>
      <c r="H18" s="15"/>
      <c r="I18" s="15"/>
      <c r="J18" s="15"/>
      <c r="K18" s="15"/>
      <c r="L18" s="15"/>
      <c r="M18" s="15"/>
      <c r="N18" s="15"/>
      <c r="O18" s="15"/>
      <c r="P18" s="15"/>
      <c r="Q18" s="15"/>
      <c r="R18" s="15"/>
      <c r="S18" s="15"/>
      <c r="T18" s="19">
        <v>40016</v>
      </c>
      <c r="U18" s="15"/>
      <c r="V18" s="5"/>
    </row>
    <row r="19" spans="1:22" ht="15.6" x14ac:dyDescent="0.3">
      <c r="A19" s="6"/>
      <c r="B19" s="8"/>
      <c r="C19" s="8"/>
      <c r="D19" s="8"/>
      <c r="E19" s="8"/>
      <c r="F19" s="8"/>
      <c r="G19" s="8"/>
      <c r="H19" s="8"/>
      <c r="I19" s="8"/>
      <c r="J19" s="8"/>
      <c r="K19" s="8"/>
      <c r="L19" s="8"/>
      <c r="M19" s="8"/>
      <c r="N19" s="8"/>
      <c r="O19" s="8"/>
      <c r="P19" s="8"/>
      <c r="Q19" s="8"/>
      <c r="R19" s="8"/>
      <c r="S19" s="8"/>
      <c r="T19" s="20"/>
      <c r="U19" s="8"/>
      <c r="V19" s="5"/>
    </row>
    <row r="20" spans="1:22" ht="15.6" x14ac:dyDescent="0.3">
      <c r="A20" s="6"/>
      <c r="B20" s="21" t="s">
        <v>6</v>
      </c>
      <c r="C20" s="8"/>
      <c r="D20" s="8"/>
      <c r="E20" s="8"/>
      <c r="F20" s="8"/>
      <c r="G20" s="8"/>
      <c r="H20" s="8"/>
      <c r="I20" s="8"/>
      <c r="J20" s="8"/>
      <c r="K20" s="8"/>
      <c r="L20" s="8"/>
      <c r="M20" s="8"/>
      <c r="N20" s="8"/>
      <c r="O20" s="8"/>
      <c r="P20" s="8"/>
      <c r="Q20" s="8"/>
      <c r="R20" s="20" t="s">
        <v>108</v>
      </c>
      <c r="S20" s="8"/>
      <c r="T20" s="162"/>
      <c r="U20" s="8"/>
      <c r="V20" s="5"/>
    </row>
    <row r="21" spans="1:22" ht="15.6" x14ac:dyDescent="0.3">
      <c r="A21" s="6"/>
      <c r="B21" s="8"/>
      <c r="C21" s="8"/>
      <c r="D21" s="8"/>
      <c r="E21" s="8"/>
      <c r="F21" s="8"/>
      <c r="G21" s="8"/>
      <c r="H21" s="8"/>
      <c r="I21" s="8"/>
      <c r="J21" s="8"/>
      <c r="K21" s="8"/>
      <c r="L21" s="8"/>
      <c r="M21" s="8"/>
      <c r="N21" s="8"/>
      <c r="O21" s="8"/>
      <c r="P21" s="8"/>
      <c r="Q21" s="8"/>
      <c r="R21" s="8"/>
      <c r="S21" s="8"/>
      <c r="T21" s="22"/>
      <c r="U21" s="8"/>
      <c r="V21" s="5"/>
    </row>
    <row r="22" spans="1:22" ht="15.6" x14ac:dyDescent="0.3">
      <c r="A22" s="6"/>
      <c r="B22" s="8"/>
      <c r="C22" s="112"/>
      <c r="D22" s="112" t="s">
        <v>184</v>
      </c>
      <c r="E22" s="112"/>
      <c r="F22" s="112" t="s">
        <v>185</v>
      </c>
      <c r="G22" s="112"/>
      <c r="H22" s="112" t="s">
        <v>186</v>
      </c>
      <c r="I22" s="112"/>
      <c r="J22" s="112" t="s">
        <v>187</v>
      </c>
      <c r="K22" s="112"/>
      <c r="L22" s="112" t="s">
        <v>188</v>
      </c>
      <c r="M22" s="112"/>
      <c r="N22" s="112" t="s">
        <v>189</v>
      </c>
      <c r="O22" s="112"/>
      <c r="P22" s="112"/>
      <c r="Q22" s="113"/>
      <c r="R22" s="23"/>
      <c r="S22" s="162"/>
      <c r="T22" s="162"/>
      <c r="U22" s="8"/>
      <c r="V22" s="5"/>
    </row>
    <row r="23" spans="1:22" ht="15.6" x14ac:dyDescent="0.3">
      <c r="A23" s="24"/>
      <c r="B23" s="25" t="s">
        <v>7</v>
      </c>
      <c r="C23" s="26"/>
      <c r="D23" s="26" t="s">
        <v>222</v>
      </c>
      <c r="E23" s="26"/>
      <c r="F23" s="26" t="s">
        <v>147</v>
      </c>
      <c r="G23" s="26"/>
      <c r="H23" s="26" t="s">
        <v>147</v>
      </c>
      <c r="I23" s="26"/>
      <c r="J23" s="26" t="s">
        <v>190</v>
      </c>
      <c r="K23" s="26"/>
      <c r="L23" s="26" t="s">
        <v>190</v>
      </c>
      <c r="M23" s="26"/>
      <c r="N23" s="26" t="s">
        <v>148</v>
      </c>
      <c r="O23" s="26"/>
      <c r="P23" s="26"/>
      <c r="Q23" s="26"/>
      <c r="R23" s="26"/>
      <c r="S23" s="163"/>
      <c r="T23" s="163"/>
      <c r="U23" s="25"/>
      <c r="V23" s="5"/>
    </row>
    <row r="24" spans="1:22" ht="15.6" x14ac:dyDescent="0.3">
      <c r="A24" s="24"/>
      <c r="B24" s="25" t="s">
        <v>8</v>
      </c>
      <c r="C24" s="26"/>
      <c r="D24" s="26" t="s">
        <v>223</v>
      </c>
      <c r="E24" s="26"/>
      <c r="F24" s="26" t="s">
        <v>149</v>
      </c>
      <c r="G24" s="26"/>
      <c r="H24" s="26" t="s">
        <v>149</v>
      </c>
      <c r="I24" s="26"/>
      <c r="J24" s="26" t="s">
        <v>172</v>
      </c>
      <c r="K24" s="26"/>
      <c r="L24" s="26" t="s">
        <v>172</v>
      </c>
      <c r="M24" s="26"/>
      <c r="N24" s="26" t="s">
        <v>150</v>
      </c>
      <c r="O24" s="26"/>
      <c r="P24" s="26"/>
      <c r="Q24" s="26"/>
      <c r="R24" s="26"/>
      <c r="S24" s="163"/>
      <c r="T24" s="163"/>
      <c r="U24" s="25"/>
      <c r="V24" s="5"/>
    </row>
    <row r="25" spans="1:22" ht="15.6" x14ac:dyDescent="0.3">
      <c r="A25" s="28"/>
      <c r="B25" s="131" t="s">
        <v>198</v>
      </c>
      <c r="C25" s="123"/>
      <c r="D25" s="26" t="s">
        <v>224</v>
      </c>
      <c r="E25" s="26"/>
      <c r="F25" s="26" t="s">
        <v>149</v>
      </c>
      <c r="G25" s="26"/>
      <c r="H25" s="26" t="s">
        <v>149</v>
      </c>
      <c r="I25" s="26"/>
      <c r="J25" s="26" t="s">
        <v>172</v>
      </c>
      <c r="K25" s="26"/>
      <c r="L25" s="26" t="s">
        <v>172</v>
      </c>
      <c r="M25" s="26"/>
      <c r="N25" s="26" t="s">
        <v>150</v>
      </c>
      <c r="O25" s="26"/>
      <c r="P25" s="26"/>
      <c r="Q25" s="123"/>
      <c r="R25" s="26"/>
      <c r="S25" s="163"/>
      <c r="T25" s="163"/>
      <c r="U25" s="25"/>
      <c r="V25" s="5"/>
    </row>
    <row r="26" spans="1:22" ht="15.6" x14ac:dyDescent="0.3">
      <c r="A26" s="28"/>
      <c r="B26" s="29" t="s">
        <v>9</v>
      </c>
      <c r="C26" s="123"/>
      <c r="D26" s="123" t="s">
        <v>222</v>
      </c>
      <c r="E26" s="123"/>
      <c r="F26" s="123" t="s">
        <v>147</v>
      </c>
      <c r="G26" s="123"/>
      <c r="H26" s="123" t="s">
        <v>147</v>
      </c>
      <c r="I26" s="123"/>
      <c r="J26" s="123" t="s">
        <v>190</v>
      </c>
      <c r="K26" s="123"/>
      <c r="L26" s="123" t="s">
        <v>190</v>
      </c>
      <c r="M26" s="123"/>
      <c r="N26" s="123" t="s">
        <v>148</v>
      </c>
      <c r="O26" s="123"/>
      <c r="P26" s="123"/>
      <c r="Q26" s="123"/>
      <c r="R26" s="26"/>
      <c r="S26" s="163"/>
      <c r="T26" s="163"/>
      <c r="U26" s="25"/>
      <c r="V26" s="5"/>
    </row>
    <row r="27" spans="1:22" ht="15.6" x14ac:dyDescent="0.3">
      <c r="A27" s="24"/>
      <c r="B27" s="29" t="s">
        <v>199</v>
      </c>
      <c r="C27" s="26"/>
      <c r="D27" s="123" t="s">
        <v>223</v>
      </c>
      <c r="E27" s="123"/>
      <c r="F27" s="123" t="s">
        <v>149</v>
      </c>
      <c r="G27" s="123"/>
      <c r="H27" s="123" t="s">
        <v>149</v>
      </c>
      <c r="I27" s="123"/>
      <c r="J27" s="123" t="s">
        <v>172</v>
      </c>
      <c r="K27" s="123"/>
      <c r="L27" s="123" t="s">
        <v>172</v>
      </c>
      <c r="M27" s="123"/>
      <c r="N27" s="123" t="s">
        <v>150</v>
      </c>
      <c r="O27" s="123"/>
      <c r="P27" s="123"/>
      <c r="Q27" s="26"/>
      <c r="R27" s="30"/>
      <c r="S27" s="163"/>
      <c r="T27" s="163"/>
      <c r="U27" s="25"/>
      <c r="V27" s="5"/>
    </row>
    <row r="28" spans="1:22" ht="15.6" x14ac:dyDescent="0.3">
      <c r="A28" s="24"/>
      <c r="B28" s="153" t="s">
        <v>200</v>
      </c>
      <c r="C28" s="26"/>
      <c r="D28" s="123" t="s">
        <v>224</v>
      </c>
      <c r="E28" s="123"/>
      <c r="F28" s="123" t="s">
        <v>149</v>
      </c>
      <c r="G28" s="123"/>
      <c r="H28" s="123" t="s">
        <v>149</v>
      </c>
      <c r="I28" s="123"/>
      <c r="J28" s="123" t="s">
        <v>172</v>
      </c>
      <c r="K28" s="123"/>
      <c r="L28" s="123" t="s">
        <v>172</v>
      </c>
      <c r="M28" s="123"/>
      <c r="N28" s="123" t="s">
        <v>150</v>
      </c>
      <c r="O28" s="123"/>
      <c r="P28" s="123"/>
      <c r="Q28" s="26"/>
      <c r="R28" s="30"/>
      <c r="S28" s="163"/>
      <c r="T28" s="163"/>
      <c r="U28" s="25"/>
      <c r="V28" s="5"/>
    </row>
    <row r="29" spans="1:22" ht="15.6" x14ac:dyDescent="0.3">
      <c r="A29" s="24"/>
      <c r="B29" s="25" t="s">
        <v>10</v>
      </c>
      <c r="C29" s="32"/>
      <c r="D29" s="26" t="s">
        <v>237</v>
      </c>
      <c r="E29" s="26"/>
      <c r="F29" s="30" t="s">
        <v>238</v>
      </c>
      <c r="G29" s="26"/>
      <c r="H29" s="26" t="s">
        <v>239</v>
      </c>
      <c r="I29" s="26"/>
      <c r="J29" s="26" t="s">
        <v>240</v>
      </c>
      <c r="K29" s="26"/>
      <c r="L29" s="26" t="s">
        <v>241</v>
      </c>
      <c r="M29" s="26"/>
      <c r="N29" s="26" t="s">
        <v>242</v>
      </c>
      <c r="O29" s="26"/>
      <c r="P29" s="26"/>
      <c r="Q29" s="31"/>
      <c r="R29" s="31"/>
      <c r="S29" s="164"/>
      <c r="T29" s="31"/>
      <c r="U29" s="34"/>
      <c r="V29" s="5"/>
    </row>
    <row r="30" spans="1:22" ht="15.6" x14ac:dyDescent="0.3">
      <c r="A30" s="24"/>
      <c r="B30" s="25" t="s">
        <v>10</v>
      </c>
      <c r="C30" s="32"/>
      <c r="D30" s="26" t="s">
        <v>236</v>
      </c>
      <c r="E30" s="26"/>
      <c r="F30" s="30" t="s">
        <v>124</v>
      </c>
      <c r="G30" s="26"/>
      <c r="H30" s="26" t="s">
        <v>124</v>
      </c>
      <c r="I30" s="26"/>
      <c r="J30" s="26" t="s">
        <v>124</v>
      </c>
      <c r="K30" s="26"/>
      <c r="L30" s="26" t="s">
        <v>124</v>
      </c>
      <c r="M30" s="26"/>
      <c r="N30" s="26" t="s">
        <v>124</v>
      </c>
      <c r="O30" s="26"/>
      <c r="P30" s="26"/>
      <c r="Q30" s="31"/>
      <c r="R30" s="31"/>
      <c r="S30" s="164"/>
      <c r="T30" s="31"/>
      <c r="U30" s="34"/>
      <c r="V30" s="5"/>
    </row>
    <row r="31" spans="1:22" ht="15.6" x14ac:dyDescent="0.3">
      <c r="A31" s="28"/>
      <c r="B31" s="25" t="s">
        <v>139</v>
      </c>
      <c r="C31" s="36"/>
      <c r="D31" s="146">
        <v>985000</v>
      </c>
      <c r="E31" s="32"/>
      <c r="F31" s="31">
        <v>149500</v>
      </c>
      <c r="G31" s="31"/>
      <c r="H31" s="124">
        <v>219700</v>
      </c>
      <c r="I31" s="31"/>
      <c r="J31" s="31">
        <v>16000</v>
      </c>
      <c r="K31" s="31"/>
      <c r="L31" s="124">
        <v>82400</v>
      </c>
      <c r="M31" s="31"/>
      <c r="N31" s="124">
        <v>87500</v>
      </c>
      <c r="O31" s="31"/>
      <c r="P31" s="124"/>
      <c r="Q31" s="35"/>
      <c r="R31" s="35"/>
      <c r="S31" s="37"/>
      <c r="T31" s="35"/>
      <c r="U31" s="34"/>
      <c r="V31" s="5"/>
    </row>
    <row r="32" spans="1:22" ht="15.6" x14ac:dyDescent="0.3">
      <c r="A32" s="24"/>
      <c r="B32" s="25" t="s">
        <v>138</v>
      </c>
      <c r="C32" s="32"/>
      <c r="D32" s="146">
        <f>D38*D31</f>
        <v>553653.23250000004</v>
      </c>
      <c r="E32" s="32"/>
      <c r="F32" s="31">
        <f>F38*F31</f>
        <v>84031.67760000001</v>
      </c>
      <c r="G32" s="31"/>
      <c r="H32" s="124">
        <f>H38*H31</f>
        <v>123490.03056000001</v>
      </c>
      <c r="I32" s="31"/>
      <c r="J32" s="31">
        <f>+J31</f>
        <v>16000</v>
      </c>
      <c r="K32" s="31"/>
      <c r="L32" s="124">
        <f>+L31</f>
        <v>82400</v>
      </c>
      <c r="M32" s="31"/>
      <c r="N32" s="124">
        <f>+N31</f>
        <v>87500</v>
      </c>
      <c r="O32" s="31"/>
      <c r="P32" s="124"/>
      <c r="Q32" s="31"/>
      <c r="R32" s="31"/>
      <c r="S32" s="164"/>
      <c r="T32" s="31"/>
      <c r="U32" s="34"/>
      <c r="V32" s="5"/>
    </row>
    <row r="33" spans="1:22" ht="15.6" x14ac:dyDescent="0.3">
      <c r="A33" s="24"/>
      <c r="B33" s="29" t="s">
        <v>140</v>
      </c>
      <c r="C33" s="32"/>
      <c r="D33" s="151">
        <f>D37*D31</f>
        <v>548275.23100000003</v>
      </c>
      <c r="E33" s="36"/>
      <c r="F33" s="35">
        <f>F37*F31</f>
        <v>83215.4375</v>
      </c>
      <c r="G33" s="35"/>
      <c r="H33" s="125">
        <f>H31*H37</f>
        <v>122290.51250000001</v>
      </c>
      <c r="I33" s="35"/>
      <c r="J33" s="35">
        <f>J31*J37</f>
        <v>16000</v>
      </c>
      <c r="K33" s="35"/>
      <c r="L33" s="125">
        <f>L31*L37</f>
        <v>82400</v>
      </c>
      <c r="M33" s="35"/>
      <c r="N33" s="125">
        <f>N31*N37</f>
        <v>87500</v>
      </c>
      <c r="O33" s="35"/>
      <c r="P33" s="125"/>
      <c r="Q33" s="31"/>
      <c r="R33" s="31"/>
      <c r="S33" s="164"/>
      <c r="T33" s="31"/>
      <c r="U33" s="34"/>
      <c r="V33" s="5"/>
    </row>
    <row r="34" spans="1:22" ht="15.6" x14ac:dyDescent="0.3">
      <c r="A34" s="28"/>
      <c r="B34" s="25" t="s">
        <v>283</v>
      </c>
      <c r="C34" s="36"/>
      <c r="D34" s="31">
        <v>567282</v>
      </c>
      <c r="E34" s="32"/>
      <c r="F34" s="31">
        <v>149500</v>
      </c>
      <c r="G34" s="31"/>
      <c r="H34" s="31">
        <v>150716</v>
      </c>
      <c r="I34" s="31"/>
      <c r="J34" s="31">
        <v>16000</v>
      </c>
      <c r="K34" s="31"/>
      <c r="L34" s="31">
        <v>56527</v>
      </c>
      <c r="M34" s="31"/>
      <c r="N34" s="31">
        <v>60025</v>
      </c>
      <c r="O34" s="31"/>
      <c r="P34" s="31"/>
      <c r="Q34" s="35"/>
      <c r="R34" s="35"/>
      <c r="S34" s="37"/>
      <c r="T34" s="154">
        <f>SUM(C34:P34)</f>
        <v>1000050</v>
      </c>
      <c r="U34" s="34"/>
      <c r="V34" s="5"/>
    </row>
    <row r="35" spans="1:22" ht="15.6" x14ac:dyDescent="0.3">
      <c r="A35" s="28"/>
      <c r="B35" s="25" t="s">
        <v>284</v>
      </c>
      <c r="C35" s="126"/>
      <c r="D35" s="31">
        <f>D38*D34</f>
        <v>318860.419329</v>
      </c>
      <c r="E35" s="32"/>
      <c r="F35" s="31">
        <f>F38*F34</f>
        <v>84031.67760000001</v>
      </c>
      <c r="G35" s="31"/>
      <c r="H35" s="31">
        <f>H38*H34</f>
        <v>84715.172716800007</v>
      </c>
      <c r="I35" s="31"/>
      <c r="J35" s="31">
        <f>+J34</f>
        <v>16000</v>
      </c>
      <c r="K35" s="31"/>
      <c r="L35" s="31">
        <f>+L34</f>
        <v>56527</v>
      </c>
      <c r="M35" s="31"/>
      <c r="N35" s="31">
        <f>+N34</f>
        <v>60025</v>
      </c>
      <c r="O35" s="31"/>
      <c r="P35" s="31"/>
      <c r="Q35" s="31"/>
      <c r="R35" s="31"/>
      <c r="S35" s="164"/>
      <c r="T35" s="154">
        <f>SUM(C35:P35)+1</f>
        <v>620160.2696458</v>
      </c>
      <c r="U35" s="34"/>
      <c r="V35" s="5"/>
    </row>
    <row r="36" spans="1:22" ht="15.6" x14ac:dyDescent="0.3">
      <c r="A36" s="28"/>
      <c r="B36" s="29" t="s">
        <v>285</v>
      </c>
      <c r="C36" s="126"/>
      <c r="D36" s="35">
        <f>D37*D34</f>
        <v>315763.11633719999</v>
      </c>
      <c r="E36" s="36"/>
      <c r="F36" s="35">
        <f>F37*F34</f>
        <v>83215.4375</v>
      </c>
      <c r="G36" s="35"/>
      <c r="H36" s="35">
        <f>H37*H34</f>
        <v>83892.2935</v>
      </c>
      <c r="I36" s="35"/>
      <c r="J36" s="35">
        <f>+J34</f>
        <v>16000</v>
      </c>
      <c r="K36" s="35"/>
      <c r="L36" s="35">
        <f>+L34</f>
        <v>56527</v>
      </c>
      <c r="M36" s="35"/>
      <c r="N36" s="35">
        <f>+N34</f>
        <v>60025</v>
      </c>
      <c r="O36" s="35"/>
      <c r="P36" s="35"/>
      <c r="Q36" s="128"/>
      <c r="R36" s="128"/>
      <c r="S36" s="164"/>
      <c r="T36" s="155">
        <f>SUM(C36:P36)+1</f>
        <v>615423.84733719996</v>
      </c>
      <c r="U36" s="34"/>
      <c r="V36" s="5"/>
    </row>
    <row r="37" spans="1:22" ht="15.6" x14ac:dyDescent="0.3">
      <c r="A37" s="24"/>
      <c r="B37" s="122" t="s">
        <v>136</v>
      </c>
      <c r="C37" s="25"/>
      <c r="D37" s="168">
        <v>0.55662460000000002</v>
      </c>
      <c r="E37" s="136"/>
      <c r="F37" s="168">
        <v>0.55662500000000004</v>
      </c>
      <c r="G37" s="135"/>
      <c r="H37" s="168">
        <v>0.55662500000000004</v>
      </c>
      <c r="I37" s="135"/>
      <c r="J37" s="168">
        <v>1</v>
      </c>
      <c r="K37" s="135"/>
      <c r="L37" s="168">
        <v>1</v>
      </c>
      <c r="M37" s="135"/>
      <c r="N37" s="168">
        <v>1</v>
      </c>
      <c r="O37" s="135"/>
      <c r="P37" s="135"/>
      <c r="Q37" s="30"/>
      <c r="R37" s="30"/>
      <c r="S37" s="163"/>
      <c r="T37" s="163"/>
      <c r="U37" s="25"/>
      <c r="V37" s="5"/>
    </row>
    <row r="38" spans="1:22" ht="15.6" x14ac:dyDescent="0.3">
      <c r="A38" s="24"/>
      <c r="B38" s="122" t="s">
        <v>137</v>
      </c>
      <c r="C38" s="25"/>
      <c r="D38" s="168">
        <v>0.56208449999999999</v>
      </c>
      <c r="E38" s="136"/>
      <c r="F38" s="168">
        <v>0.56208480000000005</v>
      </c>
      <c r="G38" s="135"/>
      <c r="H38" s="168">
        <v>0.56208480000000005</v>
      </c>
      <c r="I38" s="135"/>
      <c r="J38" s="135">
        <v>1</v>
      </c>
      <c r="K38" s="135"/>
      <c r="L38" s="135">
        <v>1</v>
      </c>
      <c r="M38" s="135"/>
      <c r="N38" s="135">
        <v>1</v>
      </c>
      <c r="O38" s="135"/>
      <c r="P38" s="135"/>
      <c r="Q38" s="39"/>
      <c r="R38" s="38"/>
      <c r="S38" s="163"/>
      <c r="T38" s="39"/>
      <c r="U38" s="25"/>
      <c r="V38" s="5"/>
    </row>
    <row r="39" spans="1:22" ht="15.6" x14ac:dyDescent="0.3">
      <c r="A39" s="24"/>
      <c r="B39" s="25" t="s">
        <v>11</v>
      </c>
      <c r="C39" s="25"/>
      <c r="D39" s="30" t="s">
        <v>275</v>
      </c>
      <c r="E39" s="25"/>
      <c r="F39" s="30" t="s">
        <v>231</v>
      </c>
      <c r="G39" s="30"/>
      <c r="H39" s="30" t="s">
        <v>231</v>
      </c>
      <c r="I39" s="30"/>
      <c r="J39" s="30" t="s">
        <v>232</v>
      </c>
      <c r="K39" s="30"/>
      <c r="L39" s="30" t="s">
        <v>232</v>
      </c>
      <c r="M39" s="30"/>
      <c r="N39" s="30" t="s">
        <v>233</v>
      </c>
      <c r="O39" s="30"/>
      <c r="P39" s="30"/>
      <c r="Q39" s="39"/>
      <c r="R39" s="38"/>
      <c r="S39" s="163"/>
      <c r="T39" s="163"/>
      <c r="U39" s="25"/>
      <c r="V39" s="5"/>
    </row>
    <row r="40" spans="1:22" ht="15.6" x14ac:dyDescent="0.3">
      <c r="A40" s="24"/>
      <c r="B40" s="25" t="s">
        <v>12</v>
      </c>
      <c r="C40" s="25"/>
      <c r="D40" s="38">
        <v>4.1938000000000001E-3</v>
      </c>
      <c r="E40" s="25"/>
      <c r="F40" s="38">
        <v>1.6543800000000001E-2</v>
      </c>
      <c r="G40" s="39"/>
      <c r="H40" s="38">
        <v>1.555E-2</v>
      </c>
      <c r="I40" s="39"/>
      <c r="J40" s="38">
        <v>1.7743800000000001E-2</v>
      </c>
      <c r="K40" s="39"/>
      <c r="L40" s="38">
        <v>1.6750000000000001E-2</v>
      </c>
      <c r="M40" s="39"/>
      <c r="N40" s="38">
        <v>1.8849999999999999E-2</v>
      </c>
      <c r="O40" s="39"/>
      <c r="P40" s="38"/>
      <c r="Q40" s="39"/>
      <c r="R40" s="38"/>
      <c r="S40" s="163"/>
      <c r="T40" s="30"/>
      <c r="U40" s="25"/>
      <c r="V40" s="5"/>
    </row>
    <row r="41" spans="1:22" ht="15.6" x14ac:dyDescent="0.3">
      <c r="A41" s="24"/>
      <c r="B41" s="25" t="s">
        <v>13</v>
      </c>
      <c r="C41" s="25"/>
      <c r="D41" s="38">
        <v>6.5624999999999998E-3</v>
      </c>
      <c r="E41" s="25"/>
      <c r="F41" s="38">
        <v>2.3862499999999998E-2</v>
      </c>
      <c r="G41" s="39"/>
      <c r="H41" s="38">
        <v>2.7320000000000001E-2</v>
      </c>
      <c r="I41" s="39"/>
      <c r="J41" s="38">
        <v>2.5062500000000001E-2</v>
      </c>
      <c r="K41" s="39"/>
      <c r="L41" s="38">
        <v>2.852E-2</v>
      </c>
      <c r="M41" s="39"/>
      <c r="N41" s="38">
        <v>3.0620000000000001E-2</v>
      </c>
      <c r="O41" s="39"/>
      <c r="P41" s="38"/>
      <c r="Q41" s="39"/>
      <c r="R41" s="38"/>
      <c r="S41" s="163"/>
      <c r="T41" s="39" t="s">
        <v>201</v>
      </c>
      <c r="U41" s="25"/>
      <c r="V41" s="5"/>
    </row>
    <row r="42" spans="1:22" ht="15.6" x14ac:dyDescent="0.3">
      <c r="A42" s="24"/>
      <c r="B42" s="25" t="s">
        <v>286</v>
      </c>
      <c r="C42" s="25"/>
      <c r="D42" s="30" t="s">
        <v>231</v>
      </c>
      <c r="E42" s="25"/>
      <c r="F42" s="30" t="s">
        <v>231</v>
      </c>
      <c r="G42" s="30"/>
      <c r="H42" s="30" t="s">
        <v>243</v>
      </c>
      <c r="I42" s="30"/>
      <c r="J42" s="30" t="s">
        <v>232</v>
      </c>
      <c r="K42" s="30"/>
      <c r="L42" s="30" t="s">
        <v>244</v>
      </c>
      <c r="M42" s="30"/>
      <c r="N42" s="30" t="s">
        <v>246</v>
      </c>
      <c r="O42" s="30"/>
      <c r="P42" s="30"/>
      <c r="Q42" s="39"/>
      <c r="R42" s="38"/>
      <c r="S42" s="163"/>
      <c r="T42" s="163"/>
      <c r="U42" s="25"/>
      <c r="V42" s="5"/>
    </row>
    <row r="43" spans="1:22" ht="15.6" x14ac:dyDescent="0.3">
      <c r="A43" s="24"/>
      <c r="B43" s="25" t="s">
        <v>287</v>
      </c>
      <c r="C43" s="110"/>
      <c r="D43" s="38">
        <v>1.6580000000000001E-2</v>
      </c>
      <c r="E43" s="38"/>
      <c r="F43" s="38">
        <f>+F40</f>
        <v>1.6543800000000001E-2</v>
      </c>
      <c r="G43" s="38"/>
      <c r="H43" s="38">
        <v>1.6541799999999999E-2</v>
      </c>
      <c r="I43" s="38"/>
      <c r="J43" s="38">
        <f>+J40</f>
        <v>1.7743800000000001E-2</v>
      </c>
      <c r="K43" s="38"/>
      <c r="L43" s="38">
        <v>1.7896800000000001E-2</v>
      </c>
      <c r="M43" s="38"/>
      <c r="N43" s="38">
        <v>2.0248800000000001E-2</v>
      </c>
      <c r="O43" s="39"/>
      <c r="P43" s="38"/>
      <c r="Q43" s="30"/>
      <c r="R43" s="30"/>
      <c r="S43" s="163"/>
      <c r="T43" s="39">
        <f>SUMPRODUCT(D43:N43,D35:N35)/T35</f>
        <v>1.7075002086232371E-2</v>
      </c>
      <c r="U43" s="25"/>
      <c r="V43" s="5"/>
    </row>
    <row r="44" spans="1:22" ht="15.6" x14ac:dyDescent="0.3">
      <c r="A44" s="24"/>
      <c r="B44" s="25" t="s">
        <v>288</v>
      </c>
      <c r="C44" s="110"/>
      <c r="D44" s="38">
        <v>2.3898699999999998E-2</v>
      </c>
      <c r="E44" s="38"/>
      <c r="F44" s="38">
        <f>+F41</f>
        <v>2.3862499999999998E-2</v>
      </c>
      <c r="G44" s="38"/>
      <c r="H44" s="38">
        <v>2.38605E-2</v>
      </c>
      <c r="I44" s="38"/>
      <c r="J44" s="38">
        <f>+J41</f>
        <v>2.5062500000000001E-2</v>
      </c>
      <c r="K44" s="38"/>
      <c r="L44" s="38">
        <v>2.5215499999999998E-2</v>
      </c>
      <c r="M44" s="38"/>
      <c r="N44" s="38">
        <v>2.7567500000000002E-2</v>
      </c>
      <c r="O44" s="39"/>
      <c r="P44" s="38"/>
      <c r="Q44" s="30"/>
      <c r="R44" s="30"/>
      <c r="S44" s="163"/>
      <c r="T44" s="163"/>
      <c r="U44" s="25"/>
      <c r="V44" s="5"/>
    </row>
    <row r="45" spans="1:22" ht="15.6" x14ac:dyDescent="0.3">
      <c r="A45" s="24"/>
      <c r="B45" s="25" t="s">
        <v>14</v>
      </c>
      <c r="C45" s="25"/>
      <c r="D45" s="110">
        <v>40283</v>
      </c>
      <c r="E45" s="110"/>
      <c r="F45" s="110">
        <v>40283</v>
      </c>
      <c r="G45" s="110"/>
      <c r="H45" s="110">
        <v>40283</v>
      </c>
      <c r="I45" s="110"/>
      <c r="J45" s="110">
        <v>40283</v>
      </c>
      <c r="K45" s="110"/>
      <c r="L45" s="110">
        <v>40283</v>
      </c>
      <c r="M45" s="110"/>
      <c r="N45" s="110">
        <v>40283</v>
      </c>
      <c r="O45" s="110"/>
      <c r="P45" s="110"/>
      <c r="Q45" s="30"/>
      <c r="R45" s="30"/>
      <c r="S45" s="163"/>
      <c r="T45" s="163"/>
      <c r="U45" s="25"/>
      <c r="V45" s="5"/>
    </row>
    <row r="46" spans="1:22" ht="15.6" x14ac:dyDescent="0.3">
      <c r="A46" s="24"/>
      <c r="B46" s="25" t="s">
        <v>15</v>
      </c>
      <c r="C46" s="25"/>
      <c r="D46" s="110">
        <v>40648</v>
      </c>
      <c r="E46" s="110"/>
      <c r="F46" s="110">
        <v>40648</v>
      </c>
      <c r="G46" s="110"/>
      <c r="H46" s="110">
        <v>40648</v>
      </c>
      <c r="I46" s="30"/>
      <c r="J46" s="110">
        <v>40648</v>
      </c>
      <c r="K46" s="30"/>
      <c r="L46" s="110">
        <v>40648</v>
      </c>
      <c r="M46" s="30"/>
      <c r="N46" s="110">
        <v>40648</v>
      </c>
      <c r="O46" s="30"/>
      <c r="P46" s="110"/>
      <c r="Q46" s="30"/>
      <c r="R46" s="30"/>
      <c r="S46" s="163"/>
      <c r="T46" s="163"/>
      <c r="U46" s="25"/>
      <c r="V46" s="5"/>
    </row>
    <row r="47" spans="1:22" ht="15.6" x14ac:dyDescent="0.3">
      <c r="A47" s="24"/>
      <c r="B47" s="25" t="s">
        <v>125</v>
      </c>
      <c r="C47" s="25"/>
      <c r="D47" s="160" t="s">
        <v>124</v>
      </c>
      <c r="E47" s="25"/>
      <c r="F47" s="30" t="s">
        <v>232</v>
      </c>
      <c r="G47" s="30"/>
      <c r="H47" s="30" t="s">
        <v>232</v>
      </c>
      <c r="I47" s="30"/>
      <c r="J47" s="30" t="s">
        <v>234</v>
      </c>
      <c r="K47" s="30"/>
      <c r="L47" s="30" t="s">
        <v>234</v>
      </c>
      <c r="M47" s="30"/>
      <c r="N47" s="30" t="s">
        <v>235</v>
      </c>
      <c r="O47" s="30"/>
      <c r="P47" s="30"/>
      <c r="Q47" s="40"/>
      <c r="R47" s="40"/>
      <c r="S47" s="40"/>
      <c r="T47" s="40"/>
      <c r="U47" s="25"/>
      <c r="V47" s="5"/>
    </row>
    <row r="48" spans="1:22" ht="15.6" x14ac:dyDescent="0.3">
      <c r="A48" s="24"/>
      <c r="B48" s="25" t="s">
        <v>289</v>
      </c>
      <c r="C48" s="25"/>
      <c r="D48" s="30" t="s">
        <v>208</v>
      </c>
      <c r="E48" s="25"/>
      <c r="F48" s="30" t="s">
        <v>232</v>
      </c>
      <c r="G48" s="30"/>
      <c r="H48" s="30" t="s">
        <v>232</v>
      </c>
      <c r="I48" s="30"/>
      <c r="J48" s="30" t="s">
        <v>234</v>
      </c>
      <c r="K48" s="30"/>
      <c r="L48" s="30" t="s">
        <v>245</v>
      </c>
      <c r="M48" s="30"/>
      <c r="N48" s="30" t="s">
        <v>247</v>
      </c>
      <c r="O48" s="30"/>
      <c r="P48" s="30"/>
      <c r="Q48" s="25"/>
      <c r="R48" s="25"/>
      <c r="S48" s="25"/>
      <c r="T48" s="39"/>
      <c r="U48" s="25"/>
      <c r="V48" s="5"/>
    </row>
    <row r="49" spans="1:23" ht="15.6" x14ac:dyDescent="0.3">
      <c r="A49" s="24"/>
      <c r="B49" s="25"/>
      <c r="C49" s="25"/>
      <c r="D49" s="30"/>
      <c r="E49" s="25"/>
      <c r="F49" s="30"/>
      <c r="G49" s="30"/>
      <c r="H49" s="30"/>
      <c r="I49" s="30"/>
      <c r="J49" s="30"/>
      <c r="K49" s="30"/>
      <c r="L49" s="30"/>
      <c r="M49" s="30"/>
      <c r="N49" s="30"/>
      <c r="O49" s="30"/>
      <c r="P49" s="30"/>
      <c r="Q49" s="25"/>
      <c r="R49" s="25"/>
      <c r="S49" s="25"/>
      <c r="T49" s="39" t="s">
        <v>201</v>
      </c>
      <c r="U49" s="25"/>
      <c r="V49" s="5"/>
    </row>
    <row r="50" spans="1:23" ht="15.6" x14ac:dyDescent="0.3">
      <c r="A50" s="24"/>
      <c r="B50" s="25" t="s">
        <v>176</v>
      </c>
      <c r="C50" s="25"/>
      <c r="D50" s="30"/>
      <c r="E50" s="25"/>
      <c r="F50" s="30"/>
      <c r="G50" s="30"/>
      <c r="H50" s="30"/>
      <c r="I50" s="30"/>
      <c r="J50" s="30"/>
      <c r="K50" s="30"/>
      <c r="L50" s="30"/>
      <c r="M50" s="30"/>
      <c r="N50" s="30"/>
      <c r="O50" s="30"/>
      <c r="P50" s="30"/>
      <c r="Q50" s="25"/>
      <c r="R50" s="25"/>
      <c r="S50" s="25"/>
      <c r="T50" s="39">
        <f>SUM(J34:P34)/SUM(D34:H34)</f>
        <v>0.15279804679664968</v>
      </c>
      <c r="U50" s="25"/>
      <c r="V50" s="5"/>
    </row>
    <row r="51" spans="1:23" ht="15.6" x14ac:dyDescent="0.3">
      <c r="A51" s="24"/>
      <c r="B51" s="25" t="s">
        <v>177</v>
      </c>
      <c r="C51" s="25"/>
      <c r="D51" s="25"/>
      <c r="E51" s="25"/>
      <c r="F51" s="41"/>
      <c r="G51" s="25"/>
      <c r="H51" s="25"/>
      <c r="I51" s="25"/>
      <c r="J51" s="25"/>
      <c r="K51" s="25"/>
      <c r="L51" s="25"/>
      <c r="M51" s="25"/>
      <c r="N51" s="25"/>
      <c r="O51" s="25"/>
      <c r="P51" s="25"/>
      <c r="Q51" s="25"/>
      <c r="R51" s="25"/>
      <c r="S51" s="25"/>
      <c r="T51" s="39">
        <f>SUM(J36:P36)/SUM(D36:H36)</f>
        <v>0.27450818522377235</v>
      </c>
      <c r="U51" s="25"/>
      <c r="V51" s="5"/>
    </row>
    <row r="52" spans="1:23" ht="15.6" x14ac:dyDescent="0.3">
      <c r="A52" s="24"/>
      <c r="B52" s="25" t="s">
        <v>178</v>
      </c>
      <c r="C52" s="25"/>
      <c r="D52" s="25"/>
      <c r="E52" s="25"/>
      <c r="F52" s="25"/>
      <c r="G52" s="25"/>
      <c r="H52" s="25"/>
      <c r="I52" s="25"/>
      <c r="J52" s="25"/>
      <c r="K52" s="25"/>
      <c r="L52" s="25"/>
      <c r="M52" s="25"/>
      <c r="N52" s="25"/>
      <c r="O52" s="25"/>
      <c r="P52" s="25"/>
      <c r="Q52" s="25"/>
      <c r="R52" s="30" t="s">
        <v>109</v>
      </c>
      <c r="S52" s="30" t="s">
        <v>115</v>
      </c>
      <c r="T52" s="31">
        <f>+T34/2-SUM(J34:P34)</f>
        <v>367473</v>
      </c>
      <c r="U52" s="25"/>
      <c r="V52" s="5"/>
    </row>
    <row r="53" spans="1:23" ht="15.6" x14ac:dyDescent="0.3">
      <c r="A53" s="24"/>
      <c r="B53" s="25"/>
      <c r="C53" s="25"/>
      <c r="D53" s="25"/>
      <c r="E53" s="25"/>
      <c r="F53" s="25"/>
      <c r="G53" s="25"/>
      <c r="H53" s="25"/>
      <c r="I53" s="25"/>
      <c r="J53" s="25"/>
      <c r="K53" s="25"/>
      <c r="L53" s="25"/>
      <c r="M53" s="25"/>
      <c r="N53" s="25"/>
      <c r="O53" s="25"/>
      <c r="P53" s="25"/>
      <c r="Q53" s="25"/>
      <c r="R53" s="25"/>
      <c r="S53" s="25"/>
      <c r="T53" s="42"/>
      <c r="U53" s="25"/>
      <c r="V53" s="5"/>
    </row>
    <row r="54" spans="1:23" ht="15.6" x14ac:dyDescent="0.3">
      <c r="A54" s="24"/>
      <c r="B54" s="25" t="s">
        <v>211</v>
      </c>
      <c r="C54" s="25"/>
      <c r="D54" s="25"/>
      <c r="E54" s="25"/>
      <c r="F54" s="25"/>
      <c r="G54" s="25"/>
      <c r="H54" s="25"/>
      <c r="I54" s="25"/>
      <c r="J54" s="25"/>
      <c r="K54" s="25"/>
      <c r="L54" s="25"/>
      <c r="M54" s="25"/>
      <c r="N54" s="25"/>
      <c r="O54" s="25"/>
      <c r="P54" s="25"/>
      <c r="Q54" s="25"/>
      <c r="R54" s="25"/>
      <c r="S54" s="25"/>
      <c r="T54" s="156" t="s">
        <v>212</v>
      </c>
      <c r="U54" s="25"/>
      <c r="V54" s="5"/>
    </row>
    <row r="55" spans="1:23" ht="15.6" x14ac:dyDescent="0.3">
      <c r="A55" s="24"/>
      <c r="B55" s="25" t="s">
        <v>253</v>
      </c>
      <c r="C55" s="25"/>
      <c r="D55" s="25"/>
      <c r="E55" s="25"/>
      <c r="F55" s="25"/>
      <c r="G55" s="25"/>
      <c r="H55" s="25"/>
      <c r="I55" s="25"/>
      <c r="J55" s="25"/>
      <c r="K55" s="25"/>
      <c r="L55" s="25"/>
      <c r="M55" s="25"/>
      <c r="N55" s="25"/>
      <c r="O55" s="25"/>
      <c r="P55" s="25"/>
      <c r="Q55" s="25"/>
      <c r="R55" s="30"/>
      <c r="S55" s="30"/>
      <c r="T55" s="157" t="s">
        <v>117</v>
      </c>
      <c r="U55" s="25"/>
      <c r="V55" s="5"/>
    </row>
    <row r="56" spans="1:23" ht="15.6" x14ac:dyDescent="0.3">
      <c r="A56" s="24"/>
      <c r="B56" s="29" t="s">
        <v>210</v>
      </c>
      <c r="C56" s="29"/>
      <c r="D56" s="29"/>
      <c r="E56" s="29"/>
      <c r="F56" s="29"/>
      <c r="G56" s="29"/>
      <c r="H56" s="29"/>
      <c r="I56" s="29"/>
      <c r="J56" s="29"/>
      <c r="K56" s="29"/>
      <c r="L56" s="29"/>
      <c r="M56" s="29"/>
      <c r="N56" s="29"/>
      <c r="O56" s="29"/>
      <c r="P56" s="29"/>
      <c r="Q56" s="29"/>
      <c r="R56" s="43"/>
      <c r="S56" s="43"/>
      <c r="T56" s="44">
        <v>40009</v>
      </c>
      <c r="U56" s="25"/>
      <c r="V56" s="5"/>
    </row>
    <row r="57" spans="1:23" ht="15.6" x14ac:dyDescent="0.3">
      <c r="A57" s="24"/>
      <c r="B57" s="25" t="s">
        <v>127</v>
      </c>
      <c r="C57" s="25"/>
      <c r="D57" s="25"/>
      <c r="E57" s="25"/>
      <c r="F57" s="25"/>
      <c r="G57" s="25"/>
      <c r="H57" s="58"/>
      <c r="I57" s="58"/>
      <c r="J57" s="58"/>
      <c r="K57" s="58"/>
      <c r="L57" s="58"/>
      <c r="M57" s="58"/>
      <c r="N57" s="58"/>
      <c r="O57" s="58"/>
      <c r="P57" s="25">
        <f>+T57-R57+1</f>
        <v>90</v>
      </c>
      <c r="Q57" s="58"/>
      <c r="R57" s="45">
        <v>39828</v>
      </c>
      <c r="S57" s="46"/>
      <c r="T57" s="45">
        <v>39917</v>
      </c>
      <c r="U57" s="25"/>
      <c r="V57" s="5"/>
    </row>
    <row r="58" spans="1:23" ht="15.6" x14ac:dyDescent="0.3">
      <c r="A58" s="24"/>
      <c r="B58" s="25" t="s">
        <v>128</v>
      </c>
      <c r="C58" s="25"/>
      <c r="D58" s="25"/>
      <c r="E58" s="25"/>
      <c r="F58" s="25"/>
      <c r="G58" s="25"/>
      <c r="H58" s="25"/>
      <c r="I58" s="25"/>
      <c r="J58" s="25"/>
      <c r="K58" s="25"/>
      <c r="L58" s="25"/>
      <c r="M58" s="25"/>
      <c r="N58" s="25"/>
      <c r="O58" s="25"/>
      <c r="P58" s="25">
        <f>+T58-R58+1</f>
        <v>91</v>
      </c>
      <c r="Q58" s="25"/>
      <c r="R58" s="45">
        <v>39918</v>
      </c>
      <c r="S58" s="46"/>
      <c r="T58" s="45">
        <v>40008</v>
      </c>
      <c r="U58" s="25"/>
      <c r="V58" s="5"/>
    </row>
    <row r="59" spans="1:23" ht="15.6" x14ac:dyDescent="0.3">
      <c r="A59" s="24"/>
      <c r="B59" s="25" t="s">
        <v>209</v>
      </c>
      <c r="C59" s="25"/>
      <c r="D59" s="25"/>
      <c r="E59" s="25"/>
      <c r="F59" s="25"/>
      <c r="G59" s="25"/>
      <c r="H59" s="25"/>
      <c r="I59" s="25"/>
      <c r="J59" s="25"/>
      <c r="K59" s="25"/>
      <c r="L59" s="25"/>
      <c r="M59" s="25"/>
      <c r="N59" s="25"/>
      <c r="O59" s="25"/>
      <c r="P59" s="25"/>
      <c r="Q59" s="25"/>
      <c r="R59" s="45"/>
      <c r="S59" s="46"/>
      <c r="T59" s="45" t="s">
        <v>126</v>
      </c>
      <c r="U59" s="25"/>
      <c r="V59" s="5"/>
    </row>
    <row r="60" spans="1:23" ht="15.6" x14ac:dyDescent="0.3">
      <c r="A60" s="24"/>
      <c r="B60" s="25" t="s">
        <v>249</v>
      </c>
      <c r="C60" s="25"/>
      <c r="D60" s="25"/>
      <c r="E60" s="25"/>
      <c r="F60" s="25"/>
      <c r="G60" s="25"/>
      <c r="H60" s="25"/>
      <c r="I60" s="25"/>
      <c r="J60" s="25"/>
      <c r="K60" s="25"/>
      <c r="L60" s="25"/>
      <c r="M60" s="25"/>
      <c r="N60" s="25"/>
      <c r="O60" s="25"/>
      <c r="P60" s="25"/>
      <c r="Q60" s="25"/>
      <c r="R60" s="45"/>
      <c r="S60" s="46"/>
      <c r="T60" s="45" t="s">
        <v>160</v>
      </c>
      <c r="U60" s="25"/>
      <c r="V60" s="5"/>
      <c r="W60" s="134"/>
    </row>
    <row r="61" spans="1:23" ht="15.6" x14ac:dyDescent="0.3">
      <c r="A61" s="24"/>
      <c r="B61" s="25" t="s">
        <v>16</v>
      </c>
      <c r="C61" s="25"/>
      <c r="D61" s="25"/>
      <c r="E61" s="25"/>
      <c r="F61" s="25"/>
      <c r="G61" s="25"/>
      <c r="H61" s="25"/>
      <c r="I61" s="25"/>
      <c r="J61" s="25"/>
      <c r="K61" s="25"/>
      <c r="L61" s="25"/>
      <c r="M61" s="25"/>
      <c r="N61" s="25"/>
      <c r="O61" s="25"/>
      <c r="P61" s="25"/>
      <c r="Q61" s="25"/>
      <c r="R61" s="45"/>
      <c r="S61" s="46"/>
      <c r="T61" s="45">
        <v>39995</v>
      </c>
      <c r="U61" s="25"/>
      <c r="V61" s="5"/>
    </row>
    <row r="62" spans="1:23" ht="15.6" x14ac:dyDescent="0.3">
      <c r="A62" s="24"/>
      <c r="B62" s="25"/>
      <c r="C62" s="25"/>
      <c r="D62" s="25"/>
      <c r="E62" s="25"/>
      <c r="F62" s="25"/>
      <c r="G62" s="25"/>
      <c r="H62" s="25"/>
      <c r="I62" s="25"/>
      <c r="J62" s="25"/>
      <c r="K62" s="25"/>
      <c r="L62" s="25"/>
      <c r="M62" s="25"/>
      <c r="N62" s="25"/>
      <c r="O62" s="25"/>
      <c r="P62" s="25"/>
      <c r="Q62" s="25"/>
      <c r="R62" s="45"/>
      <c r="S62" s="46"/>
      <c r="T62" s="45"/>
      <c r="U62" s="25"/>
      <c r="V62" s="5"/>
    </row>
    <row r="63" spans="1:23" ht="15.6" x14ac:dyDescent="0.3">
      <c r="A63" s="6"/>
      <c r="B63" s="8"/>
      <c r="C63" s="8"/>
      <c r="D63" s="8"/>
      <c r="E63" s="8"/>
      <c r="F63" s="8"/>
      <c r="G63" s="8"/>
      <c r="H63" s="8"/>
      <c r="I63" s="8"/>
      <c r="J63" s="8"/>
      <c r="K63" s="8"/>
      <c r="L63" s="8"/>
      <c r="M63" s="8"/>
      <c r="N63" s="8"/>
      <c r="O63" s="8"/>
      <c r="P63" s="8"/>
      <c r="Q63" s="8"/>
      <c r="R63" s="47"/>
      <c r="S63" s="48"/>
      <c r="T63" s="47"/>
      <c r="U63" s="8"/>
      <c r="V63" s="5"/>
    </row>
    <row r="64" spans="1:23" ht="18" thickBot="1" x14ac:dyDescent="0.35">
      <c r="A64" s="101"/>
      <c r="B64" s="102" t="s">
        <v>281</v>
      </c>
      <c r="C64" s="103"/>
      <c r="D64" s="103"/>
      <c r="E64" s="103"/>
      <c r="F64" s="103"/>
      <c r="G64" s="103"/>
      <c r="H64" s="103"/>
      <c r="I64" s="103"/>
      <c r="J64" s="103"/>
      <c r="K64" s="103"/>
      <c r="L64" s="103"/>
      <c r="M64" s="103"/>
      <c r="N64" s="103"/>
      <c r="O64" s="103"/>
      <c r="P64" s="103"/>
      <c r="Q64" s="103"/>
      <c r="R64" s="103"/>
      <c r="S64" s="103"/>
      <c r="T64" s="104"/>
      <c r="U64" s="105"/>
      <c r="V64" s="5"/>
    </row>
    <row r="65" spans="1:22" ht="15.6" x14ac:dyDescent="0.3">
      <c r="A65" s="2"/>
      <c r="B65" s="4"/>
      <c r="C65" s="4"/>
      <c r="D65" s="4"/>
      <c r="E65" s="4"/>
      <c r="F65" s="4"/>
      <c r="G65" s="4"/>
      <c r="H65" s="4"/>
      <c r="I65" s="4"/>
      <c r="J65" s="4"/>
      <c r="K65" s="4"/>
      <c r="L65" s="4"/>
      <c r="M65" s="4"/>
      <c r="N65" s="4"/>
      <c r="O65" s="4"/>
      <c r="P65" s="4"/>
      <c r="Q65" s="4"/>
      <c r="R65" s="4"/>
      <c r="S65" s="4"/>
      <c r="T65" s="50"/>
      <c r="U65" s="4"/>
      <c r="V65" s="5"/>
    </row>
    <row r="66" spans="1:22" ht="15.6" x14ac:dyDescent="0.3">
      <c r="A66" s="6"/>
      <c r="B66" s="51" t="s">
        <v>17</v>
      </c>
      <c r="C66" s="8"/>
      <c r="D66" s="8"/>
      <c r="E66" s="8"/>
      <c r="F66" s="8"/>
      <c r="G66" s="8"/>
      <c r="H66" s="8"/>
      <c r="I66" s="8"/>
      <c r="J66" s="8"/>
      <c r="K66" s="8"/>
      <c r="L66" s="8"/>
      <c r="M66" s="8"/>
      <c r="N66" s="8"/>
      <c r="O66" s="8"/>
      <c r="P66" s="8"/>
      <c r="Q66" s="8"/>
      <c r="R66" s="8"/>
      <c r="S66" s="8"/>
      <c r="T66" s="52"/>
      <c r="U66" s="8"/>
      <c r="V66" s="5"/>
    </row>
    <row r="67" spans="1:22" ht="15.6" x14ac:dyDescent="0.3">
      <c r="A67" s="6"/>
      <c r="B67" s="13"/>
      <c r="C67" s="8"/>
      <c r="D67" s="8"/>
      <c r="E67" s="8"/>
      <c r="F67" s="8"/>
      <c r="G67" s="8"/>
      <c r="H67" s="8"/>
      <c r="I67" s="8"/>
      <c r="J67" s="8"/>
      <c r="K67" s="8"/>
      <c r="L67" s="8"/>
      <c r="M67" s="8"/>
      <c r="N67" s="8"/>
      <c r="O67" s="8"/>
      <c r="P67" s="8"/>
      <c r="Q67" s="8"/>
      <c r="R67" s="8"/>
      <c r="S67" s="8"/>
      <c r="T67" s="52"/>
      <c r="U67" s="8"/>
      <c r="V67" s="5"/>
    </row>
    <row r="68" spans="1:22" ht="46.8" x14ac:dyDescent="0.3">
      <c r="A68" s="6"/>
      <c r="B68" s="114" t="s">
        <v>18</v>
      </c>
      <c r="C68" s="115"/>
      <c r="D68" s="115"/>
      <c r="E68" s="115"/>
      <c r="F68" s="115"/>
      <c r="G68" s="115"/>
      <c r="H68" s="115"/>
      <c r="I68" s="115"/>
      <c r="J68" s="115" t="s">
        <v>97</v>
      </c>
      <c r="K68" s="115"/>
      <c r="L68" s="115" t="s">
        <v>99</v>
      </c>
      <c r="M68" s="115"/>
      <c r="N68" s="115" t="s">
        <v>101</v>
      </c>
      <c r="O68" s="115"/>
      <c r="P68" s="115" t="s">
        <v>103</v>
      </c>
      <c r="Q68" s="115"/>
      <c r="R68" s="115" t="s">
        <v>110</v>
      </c>
      <c r="S68" s="115"/>
      <c r="T68" s="116" t="s">
        <v>118</v>
      </c>
      <c r="U68" s="117"/>
      <c r="V68" s="5"/>
    </row>
    <row r="69" spans="1:22" ht="15.6" x14ac:dyDescent="0.3">
      <c r="A69" s="24"/>
      <c r="B69" s="25" t="s">
        <v>19</v>
      </c>
      <c r="C69" s="34"/>
      <c r="D69" s="34"/>
      <c r="E69" s="34"/>
      <c r="F69" s="34"/>
      <c r="G69" s="34"/>
      <c r="H69" s="34"/>
      <c r="I69" s="34"/>
      <c r="J69" s="34">
        <v>1000039</v>
      </c>
      <c r="K69" s="34"/>
      <c r="L69" s="53">
        <v>620160</v>
      </c>
      <c r="M69" s="34"/>
      <c r="N69" s="34">
        <f>4737+351+550-1</f>
        <v>5637</v>
      </c>
      <c r="O69" s="34"/>
      <c r="P69" s="34">
        <f>351+550</f>
        <v>901</v>
      </c>
      <c r="Q69" s="34"/>
      <c r="R69" s="34">
        <v>0</v>
      </c>
      <c r="S69" s="34"/>
      <c r="T69" s="53">
        <f>+L69-N69+P69-R69</f>
        <v>615424</v>
      </c>
      <c r="U69" s="25"/>
      <c r="V69" s="5"/>
    </row>
    <row r="70" spans="1:22" ht="15.6" x14ac:dyDescent="0.3">
      <c r="A70" s="24"/>
      <c r="B70" s="25" t="s">
        <v>20</v>
      </c>
      <c r="C70" s="34"/>
      <c r="D70" s="34"/>
      <c r="E70" s="34"/>
      <c r="F70" s="34"/>
      <c r="G70" s="34"/>
      <c r="H70" s="34"/>
      <c r="I70" s="34"/>
      <c r="J70" s="34">
        <v>10</v>
      </c>
      <c r="K70" s="34"/>
      <c r="L70" s="53">
        <v>0</v>
      </c>
      <c r="M70" s="34"/>
      <c r="N70" s="34">
        <v>0</v>
      </c>
      <c r="O70" s="34"/>
      <c r="P70" s="34">
        <v>0</v>
      </c>
      <c r="Q70" s="34"/>
      <c r="R70" s="34">
        <v>0</v>
      </c>
      <c r="S70" s="34"/>
      <c r="T70" s="53">
        <v>0</v>
      </c>
      <c r="U70" s="25"/>
      <c r="V70" s="5"/>
    </row>
    <row r="71" spans="1:22" ht="15.6" x14ac:dyDescent="0.3">
      <c r="A71" s="24"/>
      <c r="B71" s="25"/>
      <c r="C71" s="34"/>
      <c r="D71" s="34"/>
      <c r="E71" s="34"/>
      <c r="F71" s="34"/>
      <c r="G71" s="34"/>
      <c r="H71" s="34"/>
      <c r="I71" s="34"/>
      <c r="J71" s="34"/>
      <c r="K71" s="34"/>
      <c r="L71" s="53"/>
      <c r="M71" s="34"/>
      <c r="N71" s="34"/>
      <c r="O71" s="34"/>
      <c r="P71" s="34"/>
      <c r="Q71" s="34"/>
      <c r="R71" s="34"/>
      <c r="S71" s="34"/>
      <c r="T71" s="53"/>
      <c r="U71" s="25"/>
      <c r="V71" s="5"/>
    </row>
    <row r="72" spans="1:22" ht="15.6" x14ac:dyDescent="0.3">
      <c r="A72" s="24"/>
      <c r="B72" s="25" t="s">
        <v>21</v>
      </c>
      <c r="C72" s="34"/>
      <c r="D72" s="34"/>
      <c r="E72" s="34"/>
      <c r="F72" s="34"/>
      <c r="G72" s="34"/>
      <c r="H72" s="34"/>
      <c r="I72" s="34"/>
      <c r="J72" s="34">
        <f>SUM(J69:J71)</f>
        <v>1000049</v>
      </c>
      <c r="K72" s="34"/>
      <c r="L72" s="54">
        <f>L69+L70</f>
        <v>620160</v>
      </c>
      <c r="M72" s="34"/>
      <c r="N72" s="34">
        <f>SUM(N69:N71)</f>
        <v>5637</v>
      </c>
      <c r="O72" s="34"/>
      <c r="P72" s="34">
        <f>SUM(P69:P71)</f>
        <v>901</v>
      </c>
      <c r="Q72" s="34"/>
      <c r="R72" s="34">
        <f>SUM(R69:R71)</f>
        <v>0</v>
      </c>
      <c r="S72" s="34"/>
      <c r="T72" s="54">
        <f>SUM(T69:T71)</f>
        <v>615424</v>
      </c>
      <c r="U72" s="25"/>
      <c r="V72" s="5"/>
    </row>
    <row r="73" spans="1:22" ht="15.6" x14ac:dyDescent="0.3">
      <c r="A73" s="24"/>
      <c r="B73" s="25"/>
      <c r="C73" s="34"/>
      <c r="D73" s="34"/>
      <c r="E73" s="34"/>
      <c r="F73" s="34"/>
      <c r="G73" s="34"/>
      <c r="H73" s="34"/>
      <c r="I73" s="34"/>
      <c r="J73" s="34"/>
      <c r="K73" s="34"/>
      <c r="L73" s="34"/>
      <c r="M73" s="34"/>
      <c r="N73" s="34"/>
      <c r="O73" s="34"/>
      <c r="P73" s="34"/>
      <c r="Q73" s="34"/>
      <c r="R73" s="34"/>
      <c r="S73" s="34"/>
      <c r="T73" s="54"/>
      <c r="U73" s="25"/>
      <c r="V73" s="5"/>
    </row>
    <row r="74" spans="1:22" ht="15.6" x14ac:dyDescent="0.3">
      <c r="A74" s="6"/>
      <c r="B74" s="111" t="s">
        <v>22</v>
      </c>
      <c r="C74" s="55"/>
      <c r="D74" s="55"/>
      <c r="E74" s="55"/>
      <c r="F74" s="55"/>
      <c r="G74" s="55"/>
      <c r="H74" s="55"/>
      <c r="I74" s="55"/>
      <c r="J74" s="55"/>
      <c r="K74" s="55"/>
      <c r="L74" s="55"/>
      <c r="M74" s="55"/>
      <c r="N74" s="55"/>
      <c r="O74" s="55"/>
      <c r="P74" s="55"/>
      <c r="Q74" s="55"/>
      <c r="R74" s="55"/>
      <c r="S74" s="55"/>
      <c r="T74" s="56"/>
      <c r="U74" s="8"/>
      <c r="V74" s="5"/>
    </row>
    <row r="75" spans="1:22" ht="15.6" x14ac:dyDescent="0.3">
      <c r="A75" s="6"/>
      <c r="B75" s="8"/>
      <c r="C75" s="55"/>
      <c r="D75" s="55"/>
      <c r="E75" s="55"/>
      <c r="F75" s="55"/>
      <c r="G75" s="55"/>
      <c r="H75" s="55"/>
      <c r="I75" s="55"/>
      <c r="J75" s="55"/>
      <c r="K75" s="55"/>
      <c r="L75" s="55"/>
      <c r="M75" s="55"/>
      <c r="N75" s="55"/>
      <c r="O75" s="55"/>
      <c r="P75" s="55"/>
      <c r="Q75" s="55"/>
      <c r="R75" s="55"/>
      <c r="S75" s="55"/>
      <c r="T75" s="56"/>
      <c r="U75" s="8"/>
      <c r="V75" s="5"/>
    </row>
    <row r="76" spans="1:22" ht="15.6" x14ac:dyDescent="0.3">
      <c r="A76" s="24"/>
      <c r="B76" s="25" t="s">
        <v>19</v>
      </c>
      <c r="C76" s="34"/>
      <c r="D76" s="34"/>
      <c r="E76" s="34"/>
      <c r="F76" s="34"/>
      <c r="G76" s="34"/>
      <c r="H76" s="34"/>
      <c r="I76" s="34"/>
      <c r="J76" s="34"/>
      <c r="K76" s="34"/>
      <c r="L76" s="34"/>
      <c r="M76" s="34"/>
      <c r="N76" s="34"/>
      <c r="O76" s="34"/>
      <c r="P76" s="34"/>
      <c r="Q76" s="34"/>
      <c r="R76" s="34"/>
      <c r="S76" s="34"/>
      <c r="T76" s="54"/>
      <c r="U76" s="25"/>
      <c r="V76" s="5"/>
    </row>
    <row r="77" spans="1:22" ht="15.6" x14ac:dyDescent="0.3">
      <c r="A77" s="24"/>
      <c r="B77" s="25" t="s">
        <v>20</v>
      </c>
      <c r="C77" s="34"/>
      <c r="D77" s="34"/>
      <c r="E77" s="34"/>
      <c r="F77" s="34"/>
      <c r="G77" s="34"/>
      <c r="H77" s="34"/>
      <c r="I77" s="34"/>
      <c r="J77" s="34"/>
      <c r="K77" s="34"/>
      <c r="L77" s="34"/>
      <c r="M77" s="34"/>
      <c r="N77" s="34"/>
      <c r="O77" s="34"/>
      <c r="P77" s="34"/>
      <c r="Q77" s="34"/>
      <c r="R77" s="34"/>
      <c r="S77" s="34"/>
      <c r="T77" s="54"/>
      <c r="U77" s="25"/>
      <c r="V77" s="5"/>
    </row>
    <row r="78" spans="1:22" ht="15.6" x14ac:dyDescent="0.3">
      <c r="A78" s="24"/>
      <c r="B78" s="25"/>
      <c r="C78" s="34"/>
      <c r="D78" s="34"/>
      <c r="E78" s="34"/>
      <c r="F78" s="34"/>
      <c r="G78" s="34"/>
      <c r="H78" s="34"/>
      <c r="I78" s="34"/>
      <c r="J78" s="34"/>
      <c r="K78" s="34"/>
      <c r="L78" s="34"/>
      <c r="M78" s="34"/>
      <c r="N78" s="34"/>
      <c r="O78" s="34"/>
      <c r="P78" s="34"/>
      <c r="Q78" s="34"/>
      <c r="R78" s="34"/>
      <c r="S78" s="34"/>
      <c r="T78" s="54"/>
      <c r="U78" s="25"/>
      <c r="V78" s="5"/>
    </row>
    <row r="79" spans="1:22" ht="15.6" x14ac:dyDescent="0.3">
      <c r="A79" s="24"/>
      <c r="B79" s="25" t="s">
        <v>21</v>
      </c>
      <c r="C79" s="34"/>
      <c r="D79" s="34"/>
      <c r="E79" s="34"/>
      <c r="F79" s="34"/>
      <c r="G79" s="34"/>
      <c r="H79" s="34"/>
      <c r="I79" s="34"/>
      <c r="J79" s="34"/>
      <c r="K79" s="34"/>
      <c r="L79" s="34"/>
      <c r="M79" s="34"/>
      <c r="N79" s="34"/>
      <c r="O79" s="34"/>
      <c r="P79" s="34"/>
      <c r="Q79" s="34"/>
      <c r="R79" s="34"/>
      <c r="S79" s="34"/>
      <c r="T79" s="34"/>
      <c r="U79" s="25"/>
      <c r="V79" s="5"/>
    </row>
    <row r="80" spans="1:22" ht="15.6" x14ac:dyDescent="0.3">
      <c r="A80" s="24"/>
      <c r="B80" s="25"/>
      <c r="C80" s="34"/>
      <c r="D80" s="34"/>
      <c r="E80" s="34"/>
      <c r="F80" s="34"/>
      <c r="G80" s="34"/>
      <c r="H80" s="34"/>
      <c r="I80" s="34"/>
      <c r="J80" s="34"/>
      <c r="K80" s="34"/>
      <c r="L80" s="34"/>
      <c r="M80" s="34"/>
      <c r="N80" s="34"/>
      <c r="O80" s="34"/>
      <c r="P80" s="34"/>
      <c r="Q80" s="34"/>
      <c r="R80" s="34"/>
      <c r="S80" s="34"/>
      <c r="T80" s="34"/>
      <c r="U80" s="25"/>
      <c r="V80" s="5"/>
    </row>
    <row r="81" spans="1:22" ht="15.6" x14ac:dyDescent="0.3">
      <c r="A81" s="24"/>
      <c r="B81" s="25" t="s">
        <v>23</v>
      </c>
      <c r="C81" s="34"/>
      <c r="D81" s="34"/>
      <c r="E81" s="34"/>
      <c r="F81" s="34"/>
      <c r="G81" s="34"/>
      <c r="H81" s="34"/>
      <c r="I81" s="34"/>
      <c r="J81" s="34">
        <v>0</v>
      </c>
      <c r="K81" s="34"/>
      <c r="L81" s="34">
        <v>0</v>
      </c>
      <c r="M81" s="34"/>
      <c r="N81" s="34"/>
      <c r="O81" s="34"/>
      <c r="P81" s="34"/>
      <c r="Q81" s="34"/>
      <c r="R81" s="34"/>
      <c r="S81" s="34"/>
      <c r="T81" s="53">
        <v>0</v>
      </c>
      <c r="U81" s="25"/>
      <c r="V81" s="5"/>
    </row>
    <row r="82" spans="1:22" ht="15.6" x14ac:dyDescent="0.3">
      <c r="A82" s="24"/>
      <c r="B82" s="25" t="s">
        <v>123</v>
      </c>
      <c r="C82" s="34"/>
      <c r="D82" s="34"/>
      <c r="E82" s="34"/>
      <c r="F82" s="34"/>
      <c r="G82" s="34"/>
      <c r="H82" s="34"/>
      <c r="I82" s="34"/>
      <c r="J82" s="34">
        <v>0</v>
      </c>
      <c r="K82" s="34"/>
      <c r="L82" s="34">
        <v>0</v>
      </c>
      <c r="M82" s="34"/>
      <c r="N82" s="34"/>
      <c r="O82" s="34"/>
      <c r="P82" s="34"/>
      <c r="Q82" s="34"/>
      <c r="R82" s="34"/>
      <c r="S82" s="34"/>
      <c r="T82" s="54">
        <f>SUM(J82:P82)</f>
        <v>0</v>
      </c>
      <c r="U82" s="25"/>
      <c r="V82" s="5"/>
    </row>
    <row r="83" spans="1:22" ht="15.6" x14ac:dyDescent="0.3">
      <c r="A83" s="24"/>
      <c r="B83" s="25" t="s">
        <v>152</v>
      </c>
      <c r="C83" s="34"/>
      <c r="D83" s="34"/>
      <c r="E83" s="34"/>
      <c r="F83" s="34"/>
      <c r="G83" s="34"/>
      <c r="H83" s="34"/>
      <c r="I83" s="34"/>
      <c r="J83" s="34">
        <v>1</v>
      </c>
      <c r="K83" s="34"/>
      <c r="L83" s="34">
        <v>0</v>
      </c>
      <c r="M83" s="34"/>
      <c r="N83" s="34">
        <v>0</v>
      </c>
      <c r="O83" s="34"/>
      <c r="P83" s="34"/>
      <c r="Q83" s="34"/>
      <c r="R83" s="34"/>
      <c r="S83" s="34"/>
      <c r="T83" s="54">
        <f>+L83+N83</f>
        <v>0</v>
      </c>
      <c r="U83" s="25"/>
      <c r="V83" s="5"/>
    </row>
    <row r="84" spans="1:22" ht="15.6" x14ac:dyDescent="0.3">
      <c r="A84" s="24"/>
      <c r="B84" s="25" t="s">
        <v>25</v>
      </c>
      <c r="C84" s="34"/>
      <c r="D84" s="34"/>
      <c r="E84" s="34"/>
      <c r="F84" s="34"/>
      <c r="G84" s="34"/>
      <c r="H84" s="34"/>
      <c r="I84" s="34"/>
      <c r="J84" s="34">
        <v>0</v>
      </c>
      <c r="K84" s="34"/>
      <c r="L84" s="34">
        <v>0</v>
      </c>
      <c r="M84" s="34"/>
      <c r="N84" s="34"/>
      <c r="O84" s="34"/>
      <c r="P84" s="34"/>
      <c r="Q84" s="34"/>
      <c r="R84" s="34"/>
      <c r="S84" s="34"/>
      <c r="T84" s="54">
        <v>0</v>
      </c>
      <c r="U84" s="25"/>
      <c r="V84" s="5"/>
    </row>
    <row r="85" spans="1:22" ht="15.6" x14ac:dyDescent="0.3">
      <c r="A85" s="24"/>
      <c r="B85" s="25" t="s">
        <v>26</v>
      </c>
      <c r="C85" s="34"/>
      <c r="D85" s="34"/>
      <c r="E85" s="34"/>
      <c r="F85" s="54"/>
      <c r="G85" s="34"/>
      <c r="H85" s="54"/>
      <c r="I85" s="54"/>
      <c r="J85" s="54">
        <f>SUM(J72:J84)</f>
        <v>1000050</v>
      </c>
      <c r="K85" s="34"/>
      <c r="L85" s="54">
        <f>SUM(L72:L84)</f>
        <v>620160</v>
      </c>
      <c r="M85" s="34"/>
      <c r="N85" s="34"/>
      <c r="O85" s="34"/>
      <c r="P85" s="34"/>
      <c r="Q85" s="34"/>
      <c r="R85" s="54"/>
      <c r="S85" s="34"/>
      <c r="T85" s="54">
        <f>SUM(T72:T84)</f>
        <v>615424</v>
      </c>
      <c r="U85" s="25"/>
      <c r="V85" s="5"/>
    </row>
    <row r="86" spans="1:22" ht="15.6" x14ac:dyDescent="0.3">
      <c r="A86" s="24"/>
      <c r="B86" s="25"/>
      <c r="C86" s="34"/>
      <c r="D86" s="34"/>
      <c r="E86" s="34"/>
      <c r="F86" s="34"/>
      <c r="G86" s="34"/>
      <c r="H86" s="34"/>
      <c r="I86" s="34"/>
      <c r="J86" s="34"/>
      <c r="K86" s="34"/>
      <c r="L86" s="34"/>
      <c r="M86" s="34"/>
      <c r="N86" s="34"/>
      <c r="O86" s="34"/>
      <c r="P86" s="34"/>
      <c r="Q86" s="34"/>
      <c r="R86" s="34"/>
      <c r="S86" s="34"/>
      <c r="T86" s="54"/>
      <c r="U86" s="25"/>
      <c r="V86" s="5"/>
    </row>
    <row r="87" spans="1:22" ht="15.6" x14ac:dyDescent="0.3">
      <c r="A87" s="6"/>
      <c r="B87" s="8"/>
      <c r="C87" s="8"/>
      <c r="D87" s="8"/>
      <c r="E87" s="8"/>
      <c r="F87" s="8"/>
      <c r="G87" s="8"/>
      <c r="H87" s="8"/>
      <c r="I87" s="8"/>
      <c r="J87" s="8"/>
      <c r="K87" s="8"/>
      <c r="L87" s="8"/>
      <c r="M87" s="8"/>
      <c r="N87" s="8"/>
      <c r="O87" s="8"/>
      <c r="P87" s="8"/>
      <c r="Q87" s="8"/>
      <c r="R87" s="8"/>
      <c r="S87" s="8"/>
      <c r="T87" s="8"/>
      <c r="U87" s="8"/>
      <c r="V87" s="5"/>
    </row>
    <row r="88" spans="1:22" ht="15.6" x14ac:dyDescent="0.3">
      <c r="A88" s="6"/>
      <c r="B88" s="51" t="s">
        <v>27</v>
      </c>
      <c r="C88" s="14"/>
      <c r="D88" s="14"/>
      <c r="E88" s="14"/>
      <c r="F88" s="14"/>
      <c r="G88" s="14"/>
      <c r="H88" s="17"/>
      <c r="I88" s="17"/>
      <c r="J88" s="159" t="s">
        <v>98</v>
      </c>
      <c r="K88" s="17"/>
      <c r="L88" s="158">
        <f>+R193</f>
        <v>39994</v>
      </c>
      <c r="M88" s="17"/>
      <c r="N88" s="17"/>
      <c r="O88" s="17"/>
      <c r="P88" s="17"/>
      <c r="Q88" s="17"/>
      <c r="R88" s="17" t="s">
        <v>111</v>
      </c>
      <c r="S88" s="17"/>
      <c r="T88" s="17" t="s">
        <v>119</v>
      </c>
      <c r="U88" s="8"/>
      <c r="V88" s="5"/>
    </row>
    <row r="89" spans="1:22" ht="15.6" x14ac:dyDescent="0.3">
      <c r="A89" s="24"/>
      <c r="B89" s="25" t="s">
        <v>28</v>
      </c>
      <c r="C89" s="25"/>
      <c r="D89" s="25"/>
      <c r="E89" s="25"/>
      <c r="F89" s="25"/>
      <c r="G89" s="25"/>
      <c r="H89" s="25"/>
      <c r="I89" s="25"/>
      <c r="J89" s="25"/>
      <c r="K89" s="25"/>
      <c r="L89" s="25"/>
      <c r="M89" s="25"/>
      <c r="N89" s="25"/>
      <c r="O89" s="25"/>
      <c r="P89" s="25"/>
      <c r="Q89" s="25"/>
      <c r="R89" s="34">
        <v>0</v>
      </c>
      <c r="S89" s="25"/>
      <c r="T89" s="53">
        <v>0</v>
      </c>
      <c r="U89" s="25"/>
      <c r="V89" s="5"/>
    </row>
    <row r="90" spans="1:22" ht="15.6" x14ac:dyDescent="0.3">
      <c r="A90" s="24"/>
      <c r="B90" s="25" t="s">
        <v>29</v>
      </c>
      <c r="C90" s="25"/>
      <c r="D90" s="25"/>
      <c r="E90" s="25"/>
      <c r="F90" s="25"/>
      <c r="G90" s="25"/>
      <c r="H90" s="40"/>
      <c r="I90" s="57"/>
      <c r="J90" s="40"/>
      <c r="K90" s="25"/>
      <c r="L90" s="127"/>
      <c r="M90" s="25"/>
      <c r="N90" s="25"/>
      <c r="O90" s="25"/>
      <c r="P90" s="25"/>
      <c r="Q90" s="25"/>
      <c r="R90" s="34">
        <f>5637-520</f>
        <v>5117</v>
      </c>
      <c r="S90" s="25"/>
      <c r="T90" s="53"/>
      <c r="U90" s="25"/>
      <c r="V90" s="5"/>
    </row>
    <row r="91" spans="1:22" ht="15.6" x14ac:dyDescent="0.3">
      <c r="A91" s="24"/>
      <c r="B91" s="25" t="s">
        <v>225</v>
      </c>
      <c r="C91" s="25"/>
      <c r="D91" s="25"/>
      <c r="E91" s="25"/>
      <c r="F91" s="25"/>
      <c r="G91" s="25"/>
      <c r="H91" s="40"/>
      <c r="I91" s="57"/>
      <c r="J91" s="40"/>
      <c r="K91" s="25"/>
      <c r="L91" s="127"/>
      <c r="M91" s="25"/>
      <c r="N91" s="25"/>
      <c r="O91" s="25"/>
      <c r="P91" s="25"/>
      <c r="Q91" s="25"/>
      <c r="R91" s="34"/>
      <c r="S91" s="25"/>
      <c r="T91" s="53">
        <f>3241+3595+41+3-395-237</f>
        <v>6248</v>
      </c>
      <c r="U91" s="25"/>
      <c r="V91" s="5"/>
    </row>
    <row r="92" spans="1:22" ht="15.6" x14ac:dyDescent="0.3">
      <c r="A92" s="24"/>
      <c r="B92" s="25" t="s">
        <v>220</v>
      </c>
      <c r="C92" s="25"/>
      <c r="D92" s="25"/>
      <c r="E92" s="25"/>
      <c r="F92" s="25"/>
      <c r="G92" s="25"/>
      <c r="H92" s="40"/>
      <c r="I92" s="57"/>
      <c r="J92" s="40"/>
      <c r="K92" s="25"/>
      <c r="L92" s="127"/>
      <c r="M92" s="25"/>
      <c r="N92" s="25"/>
      <c r="O92" s="25"/>
      <c r="P92" s="25"/>
      <c r="Q92" s="25"/>
      <c r="R92" s="34"/>
      <c r="S92" s="25"/>
      <c r="T92" s="53">
        <f>45+67</f>
        <v>112</v>
      </c>
      <c r="U92" s="25"/>
      <c r="V92" s="5"/>
    </row>
    <row r="93" spans="1:22" ht="15.6" x14ac:dyDescent="0.3">
      <c r="A93" s="24"/>
      <c r="B93" s="25" t="s">
        <v>221</v>
      </c>
      <c r="C93" s="25"/>
      <c r="D93" s="25"/>
      <c r="E93" s="25"/>
      <c r="F93" s="25"/>
      <c r="G93" s="25"/>
      <c r="H93" s="40"/>
      <c r="I93" s="57"/>
      <c r="J93" s="40"/>
      <c r="K93" s="25"/>
      <c r="L93" s="127"/>
      <c r="M93" s="25"/>
      <c r="N93" s="25"/>
      <c r="O93" s="25"/>
      <c r="P93" s="25"/>
      <c r="Q93" s="25"/>
      <c r="R93" s="34"/>
      <c r="S93" s="25"/>
      <c r="T93" s="53">
        <v>129</v>
      </c>
      <c r="U93" s="25"/>
      <c r="V93" s="5"/>
    </row>
    <row r="94" spans="1:22" ht="15.6" x14ac:dyDescent="0.3">
      <c r="A94" s="24"/>
      <c r="B94" s="25" t="s">
        <v>261</v>
      </c>
      <c r="C94" s="25"/>
      <c r="D94" s="25"/>
      <c r="E94" s="25"/>
      <c r="F94" s="25"/>
      <c r="G94" s="25"/>
      <c r="H94" s="40"/>
      <c r="I94" s="57"/>
      <c r="J94" s="40"/>
      <c r="K94" s="25"/>
      <c r="L94" s="127"/>
      <c r="M94" s="25"/>
      <c r="N94" s="25"/>
      <c r="O94" s="25"/>
      <c r="P94" s="25"/>
      <c r="Q94" s="25"/>
      <c r="R94" s="34"/>
      <c r="S94" s="25"/>
      <c r="T94" s="53">
        <v>0</v>
      </c>
      <c r="U94" s="25"/>
      <c r="V94" s="5"/>
    </row>
    <row r="95" spans="1:22" ht="15.6" x14ac:dyDescent="0.3">
      <c r="A95" s="24"/>
      <c r="B95" s="25" t="s">
        <v>141</v>
      </c>
      <c r="C95" s="25"/>
      <c r="D95" s="25"/>
      <c r="E95" s="25"/>
      <c r="F95" s="25"/>
      <c r="G95" s="25"/>
      <c r="H95" s="25"/>
      <c r="I95" s="25"/>
      <c r="J95" s="25"/>
      <c r="K95" s="25"/>
      <c r="L95" s="25"/>
      <c r="M95" s="25"/>
      <c r="N95" s="25"/>
      <c r="O95" s="25"/>
      <c r="P95" s="25"/>
      <c r="Q95" s="25"/>
      <c r="R95" s="34"/>
      <c r="S95" s="25"/>
      <c r="T95" s="53">
        <v>0</v>
      </c>
      <c r="U95" s="25"/>
      <c r="V95" s="5"/>
    </row>
    <row r="96" spans="1:22" ht="15.6" x14ac:dyDescent="0.3">
      <c r="A96" s="24"/>
      <c r="B96" s="25" t="s">
        <v>250</v>
      </c>
      <c r="C96" s="25"/>
      <c r="D96" s="25"/>
      <c r="E96" s="25"/>
      <c r="F96" s="25"/>
      <c r="G96" s="25"/>
      <c r="H96" s="25"/>
      <c r="I96" s="25"/>
      <c r="J96" s="25"/>
      <c r="K96" s="25"/>
      <c r="L96" s="25"/>
      <c r="M96" s="25"/>
      <c r="N96" s="25"/>
      <c r="O96" s="25"/>
      <c r="P96" s="25"/>
      <c r="Q96" s="25"/>
      <c r="R96" s="34"/>
      <c r="S96" s="25"/>
      <c r="T96" s="53">
        <v>0</v>
      </c>
      <c r="U96" s="25"/>
      <c r="V96" s="5"/>
    </row>
    <row r="97" spans="1:24" ht="15.6" x14ac:dyDescent="0.3">
      <c r="A97" s="24"/>
      <c r="B97" s="25" t="s">
        <v>30</v>
      </c>
      <c r="C97" s="25"/>
      <c r="D97" s="25"/>
      <c r="E97" s="25"/>
      <c r="F97" s="25"/>
      <c r="G97" s="25"/>
      <c r="H97" s="25"/>
      <c r="I97" s="25"/>
      <c r="J97" s="25"/>
      <c r="K97" s="25"/>
      <c r="L97" s="25"/>
      <c r="M97" s="25"/>
      <c r="N97" s="25"/>
      <c r="O97" s="25"/>
      <c r="P97" s="25"/>
      <c r="Q97" s="25"/>
      <c r="R97" s="34">
        <f>SUM(R89:R96)</f>
        <v>5117</v>
      </c>
      <c r="S97" s="25"/>
      <c r="T97" s="54">
        <f>SUM(T89:T96)</f>
        <v>6489</v>
      </c>
      <c r="U97" s="25"/>
      <c r="V97" s="5"/>
    </row>
    <row r="98" spans="1:24" ht="15.6" x14ac:dyDescent="0.3">
      <c r="A98" s="24"/>
      <c r="B98" s="25" t="s">
        <v>168</v>
      </c>
      <c r="C98" s="25"/>
      <c r="D98" s="25"/>
      <c r="E98" s="25"/>
      <c r="F98" s="25"/>
      <c r="G98" s="25"/>
      <c r="H98" s="25"/>
      <c r="I98" s="25"/>
      <c r="J98" s="25"/>
      <c r="K98" s="25"/>
      <c r="L98" s="25"/>
      <c r="M98" s="25"/>
      <c r="N98" s="25"/>
      <c r="O98" s="25"/>
      <c r="P98" s="25"/>
      <c r="Q98" s="25"/>
      <c r="R98" s="34">
        <v>-23</v>
      </c>
      <c r="S98" s="25"/>
      <c r="T98" s="54">
        <f>-R98</f>
        <v>23</v>
      </c>
      <c r="U98" s="25"/>
      <c r="V98" s="5"/>
    </row>
    <row r="99" spans="1:24" ht="15.6" x14ac:dyDescent="0.3">
      <c r="A99" s="24"/>
      <c r="B99" s="25" t="s">
        <v>31</v>
      </c>
      <c r="C99" s="25"/>
      <c r="D99" s="25"/>
      <c r="E99" s="25"/>
      <c r="F99" s="25"/>
      <c r="G99" s="25"/>
      <c r="H99" s="25"/>
      <c r="I99" s="25"/>
      <c r="J99" s="25"/>
      <c r="K99" s="25"/>
      <c r="L99" s="25"/>
      <c r="M99" s="25"/>
      <c r="N99" s="25"/>
      <c r="O99" s="25"/>
      <c r="P99" s="25"/>
      <c r="Q99" s="25"/>
      <c r="R99" s="34">
        <f>-T99</f>
        <v>0</v>
      </c>
      <c r="S99" s="25"/>
      <c r="T99" s="53">
        <v>0</v>
      </c>
      <c r="U99" s="25"/>
      <c r="V99" s="5"/>
    </row>
    <row r="100" spans="1:24" ht="15.6" x14ac:dyDescent="0.3">
      <c r="A100" s="24"/>
      <c r="B100" s="25" t="s">
        <v>273</v>
      </c>
      <c r="C100" s="25"/>
      <c r="D100" s="25"/>
      <c r="E100" s="25"/>
      <c r="F100" s="25"/>
      <c r="G100" s="25"/>
      <c r="H100" s="25"/>
      <c r="I100" s="25"/>
      <c r="J100" s="25"/>
      <c r="K100" s="25"/>
      <c r="L100" s="25"/>
      <c r="M100" s="25"/>
      <c r="N100" s="25"/>
      <c r="O100" s="25"/>
      <c r="P100" s="25"/>
      <c r="Q100" s="25"/>
      <c r="R100" s="34"/>
      <c r="S100" s="25"/>
      <c r="T100" s="53">
        <v>241</v>
      </c>
      <c r="U100" s="25"/>
      <c r="V100" s="5"/>
    </row>
    <row r="101" spans="1:24" ht="15.6" x14ac:dyDescent="0.3">
      <c r="A101" s="24"/>
      <c r="B101" s="25" t="s">
        <v>32</v>
      </c>
      <c r="C101" s="25"/>
      <c r="D101" s="25"/>
      <c r="E101" s="25"/>
      <c r="F101" s="25"/>
      <c r="G101" s="25"/>
      <c r="H101" s="25"/>
      <c r="I101" s="25"/>
      <c r="J101" s="25"/>
      <c r="K101" s="25"/>
      <c r="L101" s="25"/>
      <c r="M101" s="25"/>
      <c r="N101" s="25"/>
      <c r="O101" s="25"/>
      <c r="P101" s="25"/>
      <c r="Q101" s="25"/>
      <c r="R101" s="34">
        <f>R97+R99+R98</f>
        <v>5094</v>
      </c>
      <c r="S101" s="25"/>
      <c r="T101" s="54">
        <f>T97+T99+T98+T100</f>
        <v>6753</v>
      </c>
      <c r="U101" s="25"/>
      <c r="V101" s="5"/>
    </row>
    <row r="102" spans="1:24" ht="15.6" x14ac:dyDescent="0.3">
      <c r="A102" s="24"/>
      <c r="B102" s="118" t="s">
        <v>33</v>
      </c>
      <c r="C102" s="25"/>
      <c r="D102" s="25"/>
      <c r="E102" s="25"/>
      <c r="F102" s="25"/>
      <c r="G102" s="25"/>
      <c r="H102" s="25"/>
      <c r="I102" s="25"/>
      <c r="J102" s="25"/>
      <c r="K102" s="25"/>
      <c r="L102" s="25"/>
      <c r="M102" s="25"/>
      <c r="N102" s="25"/>
      <c r="O102" s="25"/>
      <c r="P102" s="25"/>
      <c r="Q102" s="25"/>
      <c r="R102" s="34"/>
      <c r="S102" s="25"/>
      <c r="T102" s="53"/>
      <c r="U102" s="25"/>
      <c r="V102" s="5"/>
    </row>
    <row r="103" spans="1:24" ht="15.6" x14ac:dyDescent="0.3">
      <c r="A103" s="24">
        <v>1</v>
      </c>
      <c r="B103" s="25" t="s">
        <v>34</v>
      </c>
      <c r="C103" s="25"/>
      <c r="D103" s="25"/>
      <c r="E103" s="25"/>
      <c r="F103" s="25"/>
      <c r="G103" s="25"/>
      <c r="H103" s="25"/>
      <c r="I103" s="25"/>
      <c r="J103" s="25"/>
      <c r="K103" s="25"/>
      <c r="L103" s="25"/>
      <c r="M103" s="25"/>
      <c r="N103" s="25"/>
      <c r="O103" s="25"/>
      <c r="P103" s="25"/>
      <c r="Q103" s="25"/>
      <c r="R103" s="25"/>
      <c r="S103" s="25"/>
      <c r="T103" s="53">
        <v>0</v>
      </c>
      <c r="U103" s="25"/>
      <c r="V103" s="5"/>
    </row>
    <row r="104" spans="1:24" ht="15.6" x14ac:dyDescent="0.3">
      <c r="A104" s="24">
        <f>+A103+1</f>
        <v>2</v>
      </c>
      <c r="B104" s="25" t="s">
        <v>255</v>
      </c>
      <c r="C104" s="25"/>
      <c r="D104" s="25"/>
      <c r="E104" s="25"/>
      <c r="F104" s="25"/>
      <c r="G104" s="25"/>
      <c r="H104" s="25"/>
      <c r="I104" s="25"/>
      <c r="J104" s="25"/>
      <c r="K104" s="25"/>
      <c r="L104" s="25"/>
      <c r="M104" s="25"/>
      <c r="N104" s="25"/>
      <c r="O104" s="25"/>
      <c r="P104" s="25"/>
      <c r="Q104" s="25"/>
      <c r="R104" s="25"/>
      <c r="S104" s="25"/>
      <c r="T104" s="53">
        <v>-2</v>
      </c>
      <c r="U104" s="25"/>
      <c r="V104" s="5"/>
    </row>
    <row r="105" spans="1:24" ht="15.6" x14ac:dyDescent="0.3">
      <c r="A105" s="24">
        <f>+A104+1</f>
        <v>3</v>
      </c>
      <c r="B105" s="25" t="s">
        <v>213</v>
      </c>
      <c r="C105" s="25"/>
      <c r="D105" s="25"/>
      <c r="E105" s="25"/>
      <c r="F105" s="25"/>
      <c r="G105" s="25"/>
      <c r="H105" s="25"/>
      <c r="I105" s="25"/>
      <c r="J105" s="25"/>
      <c r="K105" s="25"/>
      <c r="L105" s="25"/>
      <c r="M105" s="25"/>
      <c r="N105" s="25"/>
      <c r="O105" s="25"/>
      <c r="P105" s="25"/>
      <c r="Q105" s="25"/>
      <c r="R105" s="25"/>
      <c r="S105" s="25"/>
      <c r="T105" s="53">
        <f>-233-187-7</f>
        <v>-427</v>
      </c>
      <c r="U105" s="25"/>
      <c r="V105" s="5"/>
    </row>
    <row r="106" spans="1:24" ht="15.6" x14ac:dyDescent="0.3">
      <c r="A106" s="24" t="s">
        <v>133</v>
      </c>
      <c r="B106" s="25" t="s">
        <v>122</v>
      </c>
      <c r="C106" s="25"/>
      <c r="D106" s="25"/>
      <c r="E106" s="25"/>
      <c r="F106" s="25"/>
      <c r="G106" s="25"/>
      <c r="H106" s="25"/>
      <c r="I106" s="25"/>
      <c r="J106" s="25"/>
      <c r="K106" s="25"/>
      <c r="L106" s="25"/>
      <c r="M106" s="25"/>
      <c r="N106" s="25"/>
      <c r="O106" s="25"/>
      <c r="P106" s="25"/>
      <c r="Q106" s="25"/>
      <c r="R106" s="25"/>
      <c r="S106" s="25"/>
      <c r="T106" s="53">
        <f>-1597-27</f>
        <v>-1624</v>
      </c>
      <c r="U106" s="25"/>
      <c r="V106" s="5"/>
    </row>
    <row r="107" spans="1:24" ht="15.6" x14ac:dyDescent="0.3">
      <c r="A107" s="24" t="s">
        <v>134</v>
      </c>
      <c r="B107" s="25" t="s">
        <v>194</v>
      </c>
      <c r="C107" s="25"/>
      <c r="D107" s="25"/>
      <c r="E107" s="25"/>
      <c r="F107" s="25"/>
      <c r="G107" s="25"/>
      <c r="H107" s="25"/>
      <c r="I107" s="25"/>
      <c r="J107" s="25"/>
      <c r="K107" s="25"/>
      <c r="L107" s="25"/>
      <c r="M107" s="25"/>
      <c r="N107" s="25"/>
      <c r="O107" s="25"/>
      <c r="P107" s="25"/>
      <c r="Q107" s="25"/>
      <c r="R107" s="25"/>
      <c r="S107" s="25"/>
      <c r="T107" s="53">
        <f>-2014+347</f>
        <v>-1667</v>
      </c>
      <c r="U107" s="25"/>
      <c r="V107" s="5"/>
      <c r="W107" s="109"/>
    </row>
    <row r="108" spans="1:24" ht="15.6" x14ac:dyDescent="0.3">
      <c r="A108" s="24" t="s">
        <v>156</v>
      </c>
      <c r="B108" s="25" t="s">
        <v>191</v>
      </c>
      <c r="C108" s="25"/>
      <c r="D108" s="25"/>
      <c r="E108" s="25"/>
      <c r="F108" s="25"/>
      <c r="G108" s="25"/>
      <c r="H108" s="25"/>
      <c r="I108" s="25"/>
      <c r="J108" s="25"/>
      <c r="K108" s="25"/>
      <c r="L108" s="25"/>
      <c r="M108" s="25"/>
      <c r="N108" s="25"/>
      <c r="O108" s="25"/>
      <c r="P108" s="25"/>
      <c r="Q108" s="25"/>
      <c r="R108" s="25"/>
      <c r="S108" s="25"/>
      <c r="T108" s="53">
        <v>-347</v>
      </c>
      <c r="U108" s="25"/>
      <c r="V108" s="5"/>
      <c r="W108" s="109"/>
    </row>
    <row r="109" spans="1:24" ht="15.6" x14ac:dyDescent="0.3">
      <c r="A109" s="24" t="s">
        <v>214</v>
      </c>
      <c r="B109" s="25" t="s">
        <v>192</v>
      </c>
      <c r="C109" s="25"/>
      <c r="D109" s="25"/>
      <c r="E109" s="25"/>
      <c r="F109" s="25"/>
      <c r="G109" s="25"/>
      <c r="H109" s="25"/>
      <c r="I109" s="25"/>
      <c r="J109" s="25"/>
      <c r="K109" s="25"/>
      <c r="L109" s="25"/>
      <c r="M109" s="25"/>
      <c r="N109" s="25"/>
      <c r="O109" s="25"/>
      <c r="P109" s="25"/>
      <c r="Q109" s="25"/>
      <c r="R109" s="25"/>
      <c r="S109" s="25"/>
      <c r="T109" s="53">
        <v>-252</v>
      </c>
      <c r="U109" s="25"/>
      <c r="V109" s="5"/>
      <c r="W109" s="109"/>
      <c r="X109" s="109"/>
    </row>
    <row r="110" spans="1:24" ht="15.6" x14ac:dyDescent="0.3">
      <c r="A110" s="24" t="s">
        <v>215</v>
      </c>
      <c r="B110" s="25" t="s">
        <v>193</v>
      </c>
      <c r="C110" s="25"/>
      <c r="D110" s="25"/>
      <c r="E110" s="25"/>
      <c r="F110" s="25"/>
      <c r="G110" s="25"/>
      <c r="H110" s="25"/>
      <c r="I110" s="25"/>
      <c r="J110" s="25"/>
      <c r="K110" s="25"/>
      <c r="L110" s="25"/>
      <c r="M110" s="25"/>
      <c r="N110" s="25"/>
      <c r="O110" s="25"/>
      <c r="P110" s="25"/>
      <c r="Q110" s="25"/>
      <c r="R110" s="25"/>
      <c r="S110" s="25"/>
      <c r="T110" s="53">
        <v>-71</v>
      </c>
      <c r="U110" s="25"/>
      <c r="V110" s="169"/>
      <c r="W110" s="109"/>
    </row>
    <row r="111" spans="1:24" ht="15.6" x14ac:dyDescent="0.3">
      <c r="A111" s="24" t="s">
        <v>216</v>
      </c>
      <c r="B111" s="25" t="s">
        <v>204</v>
      </c>
      <c r="C111" s="25"/>
      <c r="D111" s="25"/>
      <c r="E111" s="25"/>
      <c r="F111" s="25"/>
      <c r="G111" s="25"/>
      <c r="H111" s="25"/>
      <c r="I111" s="25"/>
      <c r="J111" s="25"/>
      <c r="K111" s="25"/>
      <c r="L111" s="25"/>
      <c r="M111" s="25"/>
      <c r="N111" s="25"/>
      <c r="O111" s="25"/>
      <c r="P111" s="25"/>
      <c r="Q111" s="25"/>
      <c r="R111" s="25"/>
      <c r="S111" s="25"/>
      <c r="T111" s="53">
        <v>-303</v>
      </c>
      <c r="U111" s="25"/>
      <c r="V111" s="5"/>
      <c r="W111" s="109"/>
    </row>
    <row r="112" spans="1:24" ht="15.6" x14ac:dyDescent="0.3">
      <c r="A112" s="24">
        <v>7</v>
      </c>
      <c r="B112" s="25" t="s">
        <v>35</v>
      </c>
      <c r="C112" s="25"/>
      <c r="D112" s="25"/>
      <c r="E112" s="25"/>
      <c r="F112" s="25"/>
      <c r="G112" s="25"/>
      <c r="H112" s="25"/>
      <c r="I112" s="25"/>
      <c r="J112" s="25"/>
      <c r="K112" s="25"/>
      <c r="L112" s="25"/>
      <c r="M112" s="25"/>
      <c r="N112" s="25"/>
      <c r="O112" s="25"/>
      <c r="P112" s="25"/>
      <c r="Q112" s="25"/>
      <c r="R112" s="25"/>
      <c r="S112" s="25"/>
      <c r="T112" s="53">
        <v>-10</v>
      </c>
      <c r="U112" s="25"/>
      <c r="V112" s="5"/>
    </row>
    <row r="113" spans="1:22" ht="15.6" x14ac:dyDescent="0.3">
      <c r="A113" s="24">
        <f t="shared" ref="A113:A118" si="0">+A112+1</f>
        <v>8</v>
      </c>
      <c r="B113" s="25" t="s">
        <v>46</v>
      </c>
      <c r="C113" s="25"/>
      <c r="D113" s="25"/>
      <c r="E113" s="25"/>
      <c r="F113" s="25"/>
      <c r="G113" s="25"/>
      <c r="H113" s="25"/>
      <c r="I113" s="25"/>
      <c r="J113" s="25"/>
      <c r="K113" s="25"/>
      <c r="L113" s="25"/>
      <c r="M113" s="25"/>
      <c r="N113" s="25"/>
      <c r="O113" s="25"/>
      <c r="P113" s="25"/>
      <c r="Q113" s="25"/>
      <c r="R113" s="34">
        <f>-T113</f>
        <v>520</v>
      </c>
      <c r="S113" s="25"/>
      <c r="T113" s="53">
        <v>-520</v>
      </c>
      <c r="U113" s="25"/>
      <c r="V113" s="5"/>
    </row>
    <row r="114" spans="1:22" ht="15.6" x14ac:dyDescent="0.3">
      <c r="A114" s="24">
        <f t="shared" si="0"/>
        <v>9</v>
      </c>
      <c r="B114" s="25" t="s">
        <v>131</v>
      </c>
      <c r="C114" s="25"/>
      <c r="D114" s="25"/>
      <c r="E114" s="25"/>
      <c r="F114" s="25"/>
      <c r="G114" s="25"/>
      <c r="H114" s="25"/>
      <c r="I114" s="25"/>
      <c r="J114" s="25"/>
      <c r="K114" s="25"/>
      <c r="L114" s="25"/>
      <c r="M114" s="25"/>
      <c r="N114" s="25"/>
      <c r="O114" s="25"/>
      <c r="P114" s="25"/>
      <c r="Q114" s="25"/>
      <c r="R114" s="25"/>
      <c r="S114" s="25"/>
      <c r="T114" s="53">
        <v>0</v>
      </c>
      <c r="U114" s="25"/>
      <c r="V114" s="5"/>
    </row>
    <row r="115" spans="1:22" ht="15.6" x14ac:dyDescent="0.3">
      <c r="A115" s="24">
        <f t="shared" si="0"/>
        <v>10</v>
      </c>
      <c r="B115" s="25" t="s">
        <v>36</v>
      </c>
      <c r="C115" s="25"/>
      <c r="D115" s="25"/>
      <c r="E115" s="25"/>
      <c r="F115" s="25"/>
      <c r="G115" s="25"/>
      <c r="H115" s="25"/>
      <c r="I115" s="25"/>
      <c r="J115" s="25"/>
      <c r="K115" s="25"/>
      <c r="L115" s="25"/>
      <c r="M115" s="25"/>
      <c r="N115" s="25"/>
      <c r="O115" s="25"/>
      <c r="P115" s="25"/>
      <c r="Q115" s="25"/>
      <c r="R115" s="25"/>
      <c r="S115" s="25"/>
      <c r="T115" s="53">
        <v>0</v>
      </c>
      <c r="U115" s="25"/>
      <c r="V115" s="5"/>
    </row>
    <row r="116" spans="1:22" ht="15.6" x14ac:dyDescent="0.3">
      <c r="A116" s="24">
        <f t="shared" si="0"/>
        <v>11</v>
      </c>
      <c r="B116" s="25" t="s">
        <v>37</v>
      </c>
      <c r="C116" s="25"/>
      <c r="D116" s="25"/>
      <c r="E116" s="25"/>
      <c r="F116" s="25"/>
      <c r="G116" s="25"/>
      <c r="H116" s="25"/>
      <c r="I116" s="25"/>
      <c r="J116" s="25"/>
      <c r="K116" s="25"/>
      <c r="L116" s="25"/>
      <c r="M116" s="25"/>
      <c r="N116" s="25"/>
      <c r="O116" s="25"/>
      <c r="P116" s="25"/>
      <c r="Q116" s="25"/>
      <c r="R116" s="25"/>
      <c r="S116" s="25"/>
      <c r="T116" s="53">
        <v>0</v>
      </c>
      <c r="U116" s="25"/>
      <c r="V116" s="5"/>
    </row>
    <row r="117" spans="1:22" ht="15.6" x14ac:dyDescent="0.3">
      <c r="A117" s="24">
        <f t="shared" si="0"/>
        <v>12</v>
      </c>
      <c r="B117" s="25" t="s">
        <v>155</v>
      </c>
      <c r="C117" s="25"/>
      <c r="D117" s="25"/>
      <c r="E117" s="25"/>
      <c r="F117" s="25"/>
      <c r="G117" s="25"/>
      <c r="H117" s="25"/>
      <c r="I117" s="25"/>
      <c r="J117" s="25"/>
      <c r="K117" s="25"/>
      <c r="L117" s="25"/>
      <c r="M117" s="25"/>
      <c r="N117" s="25"/>
      <c r="O117" s="25"/>
      <c r="P117" s="25"/>
      <c r="Q117" s="25"/>
      <c r="R117" s="25"/>
      <c r="S117" s="25"/>
      <c r="T117" s="53">
        <v>-233</v>
      </c>
      <c r="U117" s="25"/>
      <c r="V117" s="5"/>
    </row>
    <row r="118" spans="1:22" ht="15.6" x14ac:dyDescent="0.3">
      <c r="A118" s="24">
        <f t="shared" si="0"/>
        <v>13</v>
      </c>
      <c r="B118" s="25" t="s">
        <v>132</v>
      </c>
      <c r="C118" s="25"/>
      <c r="D118" s="25"/>
      <c r="E118" s="25"/>
      <c r="F118" s="25"/>
      <c r="G118" s="25"/>
      <c r="H118" s="25"/>
      <c r="I118" s="25"/>
      <c r="J118" s="25"/>
      <c r="K118" s="25"/>
      <c r="L118" s="25"/>
      <c r="M118" s="25"/>
      <c r="N118" s="25"/>
      <c r="O118" s="25"/>
      <c r="P118" s="25"/>
      <c r="Q118" s="25"/>
      <c r="R118" s="25"/>
      <c r="S118" s="25"/>
      <c r="T118" s="53">
        <f>-T101-SUM(T103:T117)</f>
        <v>-1297</v>
      </c>
      <c r="U118" s="25"/>
      <c r="V118" s="5"/>
    </row>
    <row r="119" spans="1:22" ht="15.6" x14ac:dyDescent="0.3">
      <c r="A119" s="24"/>
      <c r="B119" s="118" t="s">
        <v>38</v>
      </c>
      <c r="C119" s="25"/>
      <c r="D119" s="25"/>
      <c r="E119" s="25"/>
      <c r="F119" s="25"/>
      <c r="G119" s="25"/>
      <c r="H119" s="25"/>
      <c r="I119" s="25"/>
      <c r="J119" s="25"/>
      <c r="K119" s="25"/>
      <c r="L119" s="25"/>
      <c r="M119" s="25"/>
      <c r="N119" s="25"/>
      <c r="O119" s="25"/>
      <c r="P119" s="25"/>
      <c r="Q119" s="25"/>
      <c r="R119" s="25"/>
      <c r="S119" s="25"/>
      <c r="T119" s="59"/>
      <c r="U119" s="25"/>
      <c r="V119" s="5"/>
    </row>
    <row r="120" spans="1:22" ht="15.6" x14ac:dyDescent="0.3">
      <c r="A120" s="24"/>
      <c r="B120" s="25" t="s">
        <v>180</v>
      </c>
      <c r="C120" s="25"/>
      <c r="D120" s="25"/>
      <c r="E120" s="25"/>
      <c r="F120" s="25"/>
      <c r="G120" s="25"/>
      <c r="H120" s="25"/>
      <c r="I120" s="25"/>
      <c r="J120" s="25"/>
      <c r="K120" s="25"/>
      <c r="L120" s="25"/>
      <c r="M120" s="25"/>
      <c r="N120" s="25"/>
      <c r="O120" s="25"/>
      <c r="P120" s="25"/>
      <c r="Q120" s="25"/>
      <c r="R120" s="34">
        <f>-R177</f>
        <v>-43</v>
      </c>
      <c r="S120" s="34"/>
      <c r="T120" s="53"/>
      <c r="U120" s="25"/>
      <c r="V120" s="5"/>
    </row>
    <row r="121" spans="1:22" ht="15.6" x14ac:dyDescent="0.3">
      <c r="A121" s="24"/>
      <c r="B121" s="25" t="s">
        <v>181</v>
      </c>
      <c r="C121" s="25"/>
      <c r="D121" s="25"/>
      <c r="E121" s="25"/>
      <c r="F121" s="25"/>
      <c r="G121" s="25"/>
      <c r="H121" s="25"/>
      <c r="I121" s="25"/>
      <c r="J121" s="25"/>
      <c r="K121" s="25"/>
      <c r="L121" s="25"/>
      <c r="M121" s="25"/>
      <c r="N121" s="25"/>
      <c r="O121" s="25"/>
      <c r="P121" s="25"/>
      <c r="Q121" s="25"/>
      <c r="R121" s="34">
        <v>-362</v>
      </c>
      <c r="S121" s="34"/>
      <c r="T121" s="53"/>
      <c r="U121" s="25"/>
      <c r="V121" s="5"/>
    </row>
    <row r="122" spans="1:22" ht="15.6" x14ac:dyDescent="0.3">
      <c r="A122" s="24"/>
      <c r="B122" s="25" t="s">
        <v>39</v>
      </c>
      <c r="C122" s="25"/>
      <c r="D122" s="25"/>
      <c r="E122" s="25"/>
      <c r="F122" s="25"/>
      <c r="G122" s="25"/>
      <c r="H122" s="25"/>
      <c r="I122" s="25"/>
      <c r="J122" s="25"/>
      <c r="K122" s="25"/>
      <c r="L122" s="25"/>
      <c r="M122" s="25"/>
      <c r="N122" s="25"/>
      <c r="O122" s="25"/>
      <c r="P122" s="25"/>
      <c r="Q122" s="25"/>
      <c r="R122" s="34">
        <f>-Q177</f>
        <v>-473</v>
      </c>
      <c r="S122" s="34"/>
      <c r="T122" s="53"/>
      <c r="U122" s="25"/>
      <c r="V122" s="5"/>
    </row>
    <row r="123" spans="1:22" ht="15.6" x14ac:dyDescent="0.3">
      <c r="A123" s="24"/>
      <c r="B123" s="25" t="s">
        <v>205</v>
      </c>
      <c r="C123" s="25"/>
      <c r="D123" s="25"/>
      <c r="E123" s="25"/>
      <c r="F123" s="25"/>
      <c r="G123" s="25"/>
      <c r="H123" s="25"/>
      <c r="I123" s="25"/>
      <c r="J123" s="25"/>
      <c r="K123" s="25"/>
      <c r="L123" s="25"/>
      <c r="M123" s="25"/>
      <c r="N123" s="25"/>
      <c r="O123" s="25"/>
      <c r="P123" s="25"/>
      <c r="Q123" s="25"/>
      <c r="R123" s="34">
        <v>-3097</v>
      </c>
      <c r="S123" s="34"/>
      <c r="T123" s="53"/>
      <c r="U123" s="25"/>
      <c r="V123" s="5"/>
    </row>
    <row r="124" spans="1:22" ht="15.6" x14ac:dyDescent="0.3">
      <c r="A124" s="24"/>
      <c r="B124" s="25" t="s">
        <v>203</v>
      </c>
      <c r="C124" s="25"/>
      <c r="D124" s="25"/>
      <c r="E124" s="25"/>
      <c r="F124" s="25"/>
      <c r="G124" s="25"/>
      <c r="H124" s="25"/>
      <c r="I124" s="25"/>
      <c r="J124" s="25"/>
      <c r="K124" s="25"/>
      <c r="L124" s="25"/>
      <c r="M124" s="25"/>
      <c r="N124" s="25"/>
      <c r="O124" s="25"/>
      <c r="P124" s="25"/>
      <c r="Q124" s="25"/>
      <c r="R124" s="34">
        <v>-816</v>
      </c>
      <c r="S124" s="34"/>
      <c r="T124" s="53"/>
      <c r="U124" s="25"/>
      <c r="V124" s="5"/>
    </row>
    <row r="125" spans="1:22" ht="15.6" x14ac:dyDescent="0.3">
      <c r="A125" s="24"/>
      <c r="B125" s="25" t="s">
        <v>202</v>
      </c>
      <c r="C125" s="25"/>
      <c r="D125" s="25"/>
      <c r="E125" s="25"/>
      <c r="F125" s="25"/>
      <c r="G125" s="25"/>
      <c r="H125" s="25"/>
      <c r="I125" s="25"/>
      <c r="J125" s="25"/>
      <c r="K125" s="25"/>
      <c r="L125" s="25"/>
      <c r="M125" s="25"/>
      <c r="N125" s="25"/>
      <c r="O125" s="25"/>
      <c r="P125" s="25"/>
      <c r="Q125" s="25"/>
      <c r="R125" s="34">
        <v>-823</v>
      </c>
      <c r="S125" s="34"/>
      <c r="T125" s="53"/>
      <c r="U125" s="25"/>
      <c r="V125" s="5"/>
    </row>
    <row r="126" spans="1:22" ht="15.6" x14ac:dyDescent="0.3">
      <c r="A126" s="24"/>
      <c r="B126" s="25" t="s">
        <v>197</v>
      </c>
      <c r="C126" s="25"/>
      <c r="D126" s="25"/>
      <c r="E126" s="25"/>
      <c r="F126" s="25"/>
      <c r="G126" s="25"/>
      <c r="H126" s="25"/>
      <c r="I126" s="25"/>
      <c r="J126" s="25"/>
      <c r="K126" s="25"/>
      <c r="L126" s="25"/>
      <c r="M126" s="25"/>
      <c r="N126" s="25"/>
      <c r="O126" s="25"/>
      <c r="P126" s="25"/>
      <c r="Q126" s="25"/>
      <c r="R126" s="34">
        <v>0</v>
      </c>
      <c r="S126" s="34"/>
      <c r="T126" s="53"/>
      <c r="U126" s="25"/>
      <c r="V126" s="5"/>
    </row>
    <row r="127" spans="1:22" ht="15.6" x14ac:dyDescent="0.3">
      <c r="A127" s="24"/>
      <c r="B127" s="25" t="s">
        <v>196</v>
      </c>
      <c r="C127" s="25"/>
      <c r="D127" s="25"/>
      <c r="E127" s="25"/>
      <c r="F127" s="25"/>
      <c r="G127" s="25"/>
      <c r="H127" s="25"/>
      <c r="I127" s="25"/>
      <c r="J127" s="25"/>
      <c r="K127" s="25"/>
      <c r="L127" s="25"/>
      <c r="M127" s="25"/>
      <c r="N127" s="25"/>
      <c r="O127" s="25"/>
      <c r="P127" s="25"/>
      <c r="Q127" s="25"/>
      <c r="R127" s="34">
        <v>0</v>
      </c>
      <c r="S127" s="34"/>
      <c r="T127" s="53"/>
      <c r="U127" s="25"/>
      <c r="V127" s="5"/>
    </row>
    <row r="128" spans="1:22" ht="15.6" x14ac:dyDescent="0.3">
      <c r="A128" s="24"/>
      <c r="B128" s="25" t="s">
        <v>195</v>
      </c>
      <c r="C128" s="25"/>
      <c r="D128" s="25"/>
      <c r="E128" s="25"/>
      <c r="F128" s="25"/>
      <c r="G128" s="25"/>
      <c r="H128" s="25"/>
      <c r="I128" s="25"/>
      <c r="J128" s="25"/>
      <c r="K128" s="25"/>
      <c r="L128" s="25"/>
      <c r="M128" s="25"/>
      <c r="N128" s="25"/>
      <c r="O128" s="25"/>
      <c r="P128" s="25"/>
      <c r="Q128" s="25"/>
      <c r="R128" s="34">
        <v>0</v>
      </c>
      <c r="S128" s="34"/>
      <c r="T128" s="53"/>
      <c r="U128" s="25"/>
      <c r="V128" s="5"/>
    </row>
    <row r="129" spans="1:22" ht="15.6" x14ac:dyDescent="0.3">
      <c r="A129" s="24"/>
      <c r="B129" s="25" t="s">
        <v>40</v>
      </c>
      <c r="C129" s="25"/>
      <c r="D129" s="25"/>
      <c r="E129" s="25"/>
      <c r="F129" s="25"/>
      <c r="G129" s="25"/>
      <c r="H129" s="25"/>
      <c r="I129" s="25"/>
      <c r="J129" s="25"/>
      <c r="K129" s="25"/>
      <c r="L129" s="25"/>
      <c r="M129" s="25"/>
      <c r="N129" s="25"/>
      <c r="O129" s="25"/>
      <c r="P129" s="25"/>
      <c r="Q129" s="25"/>
      <c r="R129" s="34">
        <f>SUM(R120:R128)</f>
        <v>-5614</v>
      </c>
      <c r="S129" s="34"/>
      <c r="T129" s="34">
        <f>SUM(T102:T127)</f>
        <v>-6753</v>
      </c>
      <c r="U129" s="25"/>
      <c r="V129" s="5"/>
    </row>
    <row r="130" spans="1:22" ht="15.6" x14ac:dyDescent="0.3">
      <c r="A130" s="24"/>
      <c r="B130" s="25" t="s">
        <v>41</v>
      </c>
      <c r="C130" s="25"/>
      <c r="D130" s="25"/>
      <c r="E130" s="25"/>
      <c r="F130" s="25"/>
      <c r="G130" s="25"/>
      <c r="H130" s="25"/>
      <c r="I130" s="25"/>
      <c r="J130" s="25"/>
      <c r="K130" s="25"/>
      <c r="L130" s="25"/>
      <c r="M130" s="25"/>
      <c r="N130" s="25"/>
      <c r="O130" s="25"/>
      <c r="P130" s="25"/>
      <c r="Q130" s="25"/>
      <c r="R130" s="34">
        <f>R101+R129+R113</f>
        <v>0</v>
      </c>
      <c r="S130" s="34"/>
      <c r="T130" s="34">
        <f>T101+T129</f>
        <v>0</v>
      </c>
      <c r="U130" s="25"/>
      <c r="V130" s="5"/>
    </row>
    <row r="131" spans="1:22" ht="15.6" x14ac:dyDescent="0.3">
      <c r="A131" s="24"/>
      <c r="B131" s="25"/>
      <c r="C131" s="25"/>
      <c r="D131" s="25"/>
      <c r="E131" s="25"/>
      <c r="F131" s="25"/>
      <c r="G131" s="25"/>
      <c r="H131" s="25"/>
      <c r="I131" s="25"/>
      <c r="J131" s="25"/>
      <c r="K131" s="25"/>
      <c r="L131" s="25"/>
      <c r="M131" s="25"/>
      <c r="N131" s="25"/>
      <c r="O131" s="25"/>
      <c r="P131" s="25"/>
      <c r="Q131" s="25"/>
      <c r="R131" s="34"/>
      <c r="S131" s="34"/>
      <c r="T131" s="34"/>
      <c r="U131" s="25"/>
      <c r="V131" s="5"/>
    </row>
    <row r="132" spans="1:22" ht="15.6" x14ac:dyDescent="0.3">
      <c r="A132" s="6"/>
      <c r="B132" s="8"/>
      <c r="C132" s="8"/>
      <c r="D132" s="8"/>
      <c r="E132" s="8"/>
      <c r="F132" s="8"/>
      <c r="G132" s="8"/>
      <c r="H132" s="8"/>
      <c r="I132" s="8"/>
      <c r="J132" s="8"/>
      <c r="K132" s="8"/>
      <c r="L132" s="8"/>
      <c r="M132" s="8"/>
      <c r="N132" s="8"/>
      <c r="O132" s="8"/>
      <c r="P132" s="8"/>
      <c r="Q132" s="8"/>
      <c r="R132" s="8"/>
      <c r="S132" s="8"/>
      <c r="T132" s="52"/>
      <c r="U132" s="8"/>
      <c r="V132" s="5"/>
    </row>
    <row r="133" spans="1:22" ht="18" thickBot="1" x14ac:dyDescent="0.35">
      <c r="A133" s="101"/>
      <c r="B133" s="102" t="str">
        <f>B64</f>
        <v>PM11 INVESTOR REPORT QUARTER ENDING JUNE 2009</v>
      </c>
      <c r="C133" s="103"/>
      <c r="D133" s="103"/>
      <c r="E133" s="103"/>
      <c r="F133" s="103"/>
      <c r="G133" s="103"/>
      <c r="H133" s="103"/>
      <c r="I133" s="103"/>
      <c r="J133" s="103"/>
      <c r="K133" s="103"/>
      <c r="L133" s="103"/>
      <c r="M133" s="103"/>
      <c r="N133" s="103"/>
      <c r="O133" s="103"/>
      <c r="P133" s="103"/>
      <c r="Q133" s="103"/>
      <c r="R133" s="103"/>
      <c r="S133" s="103"/>
      <c r="T133" s="106"/>
      <c r="U133" s="105"/>
      <c r="V133" s="5"/>
    </row>
    <row r="134" spans="1:22" ht="15.6" x14ac:dyDescent="0.3">
      <c r="A134" s="2"/>
      <c r="B134" s="60" t="s">
        <v>42</v>
      </c>
      <c r="C134" s="4"/>
      <c r="D134" s="4"/>
      <c r="E134" s="4"/>
      <c r="F134" s="4"/>
      <c r="G134" s="4"/>
      <c r="H134" s="4"/>
      <c r="I134" s="4"/>
      <c r="J134" s="4"/>
      <c r="K134" s="4"/>
      <c r="L134" s="4"/>
      <c r="M134" s="4"/>
      <c r="N134" s="4"/>
      <c r="O134" s="4"/>
      <c r="P134" s="4"/>
      <c r="Q134" s="4"/>
      <c r="R134" s="4"/>
      <c r="S134" s="4"/>
      <c r="T134" s="50"/>
      <c r="U134" s="4"/>
      <c r="V134" s="5"/>
    </row>
    <row r="135" spans="1:22" ht="15.6" x14ac:dyDescent="0.3">
      <c r="A135" s="6"/>
      <c r="B135" s="21"/>
      <c r="C135" s="8"/>
      <c r="D135" s="8"/>
      <c r="E135" s="8"/>
      <c r="F135" s="8"/>
      <c r="G135" s="8"/>
      <c r="H135" s="8"/>
      <c r="I135" s="8"/>
      <c r="J135" s="8"/>
      <c r="K135" s="8"/>
      <c r="L135" s="8"/>
      <c r="M135" s="8"/>
      <c r="N135" s="8"/>
      <c r="O135" s="8"/>
      <c r="P135" s="8"/>
      <c r="Q135" s="8"/>
      <c r="R135" s="8"/>
      <c r="S135" s="8"/>
      <c r="T135" s="52"/>
      <c r="U135" s="8"/>
      <c r="V135" s="5"/>
    </row>
    <row r="136" spans="1:22" ht="15.6" x14ac:dyDescent="0.3">
      <c r="A136" s="6"/>
      <c r="B136" s="119" t="s">
        <v>43</v>
      </c>
      <c r="C136" s="8"/>
      <c r="D136" s="8"/>
      <c r="E136" s="8"/>
      <c r="F136" s="8"/>
      <c r="G136" s="8"/>
      <c r="H136" s="8"/>
      <c r="I136" s="8"/>
      <c r="J136" s="8"/>
      <c r="K136" s="8"/>
      <c r="L136" s="8"/>
      <c r="M136" s="8"/>
      <c r="N136" s="8"/>
      <c r="O136" s="8"/>
      <c r="P136" s="8"/>
      <c r="Q136" s="8"/>
      <c r="R136" s="8"/>
      <c r="S136" s="8"/>
      <c r="T136" s="52"/>
      <c r="U136" s="8"/>
      <c r="V136" s="5"/>
    </row>
    <row r="137" spans="1:22" ht="15.6" x14ac:dyDescent="0.3">
      <c r="A137" s="24"/>
      <c r="B137" s="25" t="s">
        <v>44</v>
      </c>
      <c r="C137" s="25"/>
      <c r="D137" s="25"/>
      <c r="E137" s="25"/>
      <c r="F137" s="25"/>
      <c r="G137" s="25"/>
      <c r="H137" s="25"/>
      <c r="I137" s="25"/>
      <c r="J137" s="25"/>
      <c r="K137" s="25"/>
      <c r="L137" s="25"/>
      <c r="M137" s="25"/>
      <c r="N137" s="25"/>
      <c r="O137" s="25"/>
      <c r="P137" s="25"/>
      <c r="Q137" s="25"/>
      <c r="R137" s="25"/>
      <c r="S137" s="25"/>
      <c r="T137" s="53">
        <f>+T34*0.019</f>
        <v>19000.95</v>
      </c>
      <c r="U137" s="25"/>
      <c r="V137" s="5"/>
    </row>
    <row r="138" spans="1:22" ht="15.6" x14ac:dyDescent="0.3">
      <c r="A138" s="24"/>
      <c r="B138" s="25" t="s">
        <v>45</v>
      </c>
      <c r="C138" s="25"/>
      <c r="D138" s="25"/>
      <c r="E138" s="25"/>
      <c r="F138" s="25"/>
      <c r="G138" s="25"/>
      <c r="H138" s="25"/>
      <c r="I138" s="25"/>
      <c r="J138" s="25"/>
      <c r="K138" s="25"/>
      <c r="L138" s="25"/>
      <c r="M138" s="25"/>
      <c r="N138" s="25"/>
      <c r="O138" s="25"/>
      <c r="P138" s="25"/>
      <c r="Q138" s="25"/>
      <c r="R138" s="25"/>
      <c r="S138" s="25"/>
      <c r="T138" s="53">
        <v>19001</v>
      </c>
      <c r="U138" s="25"/>
      <c r="V138" s="5"/>
    </row>
    <row r="139" spans="1:22" ht="15.6" x14ac:dyDescent="0.3">
      <c r="A139" s="24"/>
      <c r="B139" s="25" t="s">
        <v>142</v>
      </c>
      <c r="C139" s="25"/>
      <c r="D139" s="25"/>
      <c r="E139" s="25"/>
      <c r="F139" s="25"/>
      <c r="G139" s="25"/>
      <c r="H139" s="25"/>
      <c r="I139" s="25"/>
      <c r="J139" s="25"/>
      <c r="K139" s="25"/>
      <c r="L139" s="25"/>
      <c r="M139" s="25"/>
      <c r="N139" s="25"/>
      <c r="O139" s="25"/>
      <c r="P139" s="25"/>
      <c r="Q139" s="25"/>
      <c r="R139" s="25"/>
      <c r="S139" s="25"/>
      <c r="T139" s="53">
        <v>0</v>
      </c>
      <c r="U139" s="25"/>
      <c r="V139" s="5"/>
    </row>
    <row r="140" spans="1:22" ht="15.6" x14ac:dyDescent="0.3">
      <c r="A140" s="24"/>
      <c r="B140" s="25" t="s">
        <v>129</v>
      </c>
      <c r="C140" s="25"/>
      <c r="D140" s="25"/>
      <c r="E140" s="25"/>
      <c r="F140" s="25"/>
      <c r="G140" s="25"/>
      <c r="H140" s="25"/>
      <c r="I140" s="25"/>
      <c r="J140" s="25"/>
      <c r="K140" s="25"/>
      <c r="L140" s="25"/>
      <c r="M140" s="25"/>
      <c r="N140" s="25"/>
      <c r="O140" s="25"/>
      <c r="P140" s="25"/>
      <c r="Q140" s="25"/>
      <c r="R140" s="25"/>
      <c r="S140" s="25"/>
      <c r="T140" s="53">
        <v>0</v>
      </c>
      <c r="U140" s="25"/>
      <c r="V140" s="5"/>
    </row>
    <row r="141" spans="1:22" ht="15.6" x14ac:dyDescent="0.3">
      <c r="A141" s="24"/>
      <c r="B141" s="25" t="s">
        <v>130</v>
      </c>
      <c r="C141" s="25"/>
      <c r="D141" s="25"/>
      <c r="E141" s="25"/>
      <c r="F141" s="25"/>
      <c r="G141" s="25"/>
      <c r="H141" s="25"/>
      <c r="I141" s="25"/>
      <c r="J141" s="25"/>
      <c r="K141" s="25"/>
      <c r="L141" s="25"/>
      <c r="M141" s="25"/>
      <c r="N141" s="25"/>
      <c r="O141" s="25"/>
      <c r="P141" s="25"/>
      <c r="Q141" s="25"/>
      <c r="R141" s="25"/>
      <c r="S141" s="25"/>
      <c r="T141" s="53">
        <v>0</v>
      </c>
      <c r="U141" s="25"/>
      <c r="V141" s="5"/>
    </row>
    <row r="142" spans="1:22" ht="15.6" x14ac:dyDescent="0.3">
      <c r="A142" s="24"/>
      <c r="B142" s="25" t="s">
        <v>182</v>
      </c>
      <c r="C142" s="25"/>
      <c r="D142" s="25"/>
      <c r="E142" s="25"/>
      <c r="F142" s="25"/>
      <c r="G142" s="25"/>
      <c r="H142" s="25"/>
      <c r="I142" s="25"/>
      <c r="J142" s="25"/>
      <c r="K142" s="25"/>
      <c r="L142" s="25"/>
      <c r="M142" s="25"/>
      <c r="N142" s="25"/>
      <c r="O142" s="25"/>
      <c r="P142" s="25"/>
      <c r="Q142" s="25"/>
      <c r="R142" s="25"/>
      <c r="S142" s="25"/>
      <c r="T142" s="53">
        <v>0</v>
      </c>
      <c r="U142" s="25"/>
      <c r="V142" s="5"/>
    </row>
    <row r="143" spans="1:22" ht="15.6" x14ac:dyDescent="0.3">
      <c r="A143" s="24"/>
      <c r="B143" s="25" t="s">
        <v>46</v>
      </c>
      <c r="C143" s="25"/>
      <c r="D143" s="25"/>
      <c r="E143" s="25"/>
      <c r="F143" s="25"/>
      <c r="G143" s="25"/>
      <c r="H143" s="25"/>
      <c r="I143" s="25"/>
      <c r="J143" s="25"/>
      <c r="K143" s="25"/>
      <c r="L143" s="25"/>
      <c r="M143" s="25"/>
      <c r="N143" s="25"/>
      <c r="O143" s="25"/>
      <c r="P143" s="25"/>
      <c r="Q143" s="25"/>
      <c r="R143" s="25"/>
      <c r="S143" s="25"/>
      <c r="T143" s="53">
        <v>0</v>
      </c>
      <c r="U143" s="25"/>
      <c r="V143" s="5"/>
    </row>
    <row r="144" spans="1:22" ht="15.6" x14ac:dyDescent="0.3">
      <c r="A144" s="24"/>
      <c r="B144" s="25" t="s">
        <v>135</v>
      </c>
      <c r="C144" s="25"/>
      <c r="D144" s="25"/>
      <c r="E144" s="25"/>
      <c r="F144" s="25"/>
      <c r="G144" s="25"/>
      <c r="H144" s="25"/>
      <c r="I144" s="25"/>
      <c r="J144" s="25"/>
      <c r="K144" s="25"/>
      <c r="L144" s="25"/>
      <c r="M144" s="25"/>
      <c r="N144" s="25"/>
      <c r="O144" s="25"/>
      <c r="P144" s="25"/>
      <c r="Q144" s="25"/>
      <c r="R144" s="25"/>
      <c r="S144" s="25"/>
      <c r="T144" s="53">
        <v>0</v>
      </c>
      <c r="U144" s="25"/>
      <c r="V144" s="5"/>
    </row>
    <row r="145" spans="1:23" ht="15.6" x14ac:dyDescent="0.3">
      <c r="A145" s="24"/>
      <c r="B145" s="25" t="s">
        <v>251</v>
      </c>
      <c r="C145" s="25"/>
      <c r="D145" s="25"/>
      <c r="E145" s="25"/>
      <c r="F145" s="25"/>
      <c r="G145" s="25"/>
      <c r="H145" s="25"/>
      <c r="I145" s="25"/>
      <c r="J145" s="25"/>
      <c r="K145" s="25"/>
      <c r="L145" s="25"/>
      <c r="M145" s="25"/>
      <c r="N145" s="25"/>
      <c r="O145" s="25"/>
      <c r="P145" s="25"/>
      <c r="Q145" s="25"/>
      <c r="R145" s="25"/>
      <c r="S145" s="25"/>
      <c r="T145" s="53">
        <v>0</v>
      </c>
      <c r="U145" s="25"/>
      <c r="V145" s="5"/>
      <c r="W145" s="109"/>
    </row>
    <row r="146" spans="1:23" ht="15.6" x14ac:dyDescent="0.3">
      <c r="A146" s="24"/>
      <c r="B146" s="25" t="s">
        <v>47</v>
      </c>
      <c r="C146" s="25"/>
      <c r="D146" s="25"/>
      <c r="E146" s="25"/>
      <c r="F146" s="25"/>
      <c r="G146" s="25"/>
      <c r="H146" s="25"/>
      <c r="I146" s="25"/>
      <c r="J146" s="25"/>
      <c r="K146" s="25"/>
      <c r="L146" s="25"/>
      <c r="M146" s="25"/>
      <c r="N146" s="25"/>
      <c r="O146" s="25"/>
      <c r="P146" s="25"/>
      <c r="Q146" s="25"/>
      <c r="R146" s="25"/>
      <c r="S146" s="25"/>
      <c r="T146" s="53">
        <f>SUM(T138:T145)</f>
        <v>19001</v>
      </c>
      <c r="U146" s="25"/>
      <c r="V146" s="5"/>
    </row>
    <row r="147" spans="1:23" ht="15.6" x14ac:dyDescent="0.3">
      <c r="A147" s="24"/>
      <c r="B147" s="25"/>
      <c r="C147" s="25"/>
      <c r="D147" s="25"/>
      <c r="E147" s="25"/>
      <c r="F147" s="25"/>
      <c r="G147" s="25"/>
      <c r="H147" s="25"/>
      <c r="I147" s="25"/>
      <c r="J147" s="25"/>
      <c r="K147" s="25"/>
      <c r="L147" s="25"/>
      <c r="M147" s="25"/>
      <c r="N147" s="25"/>
      <c r="O147" s="25"/>
      <c r="P147" s="25"/>
      <c r="Q147" s="25"/>
      <c r="R147" s="25"/>
      <c r="S147" s="25"/>
      <c r="T147" s="53"/>
      <c r="U147" s="25"/>
      <c r="V147" s="5"/>
    </row>
    <row r="148" spans="1:23" ht="15.6" x14ac:dyDescent="0.3">
      <c r="A148" s="24"/>
      <c r="B148" s="138" t="s">
        <v>262</v>
      </c>
      <c r="C148" s="25"/>
      <c r="D148" s="25"/>
      <c r="E148" s="25"/>
      <c r="F148" s="25"/>
      <c r="G148" s="25"/>
      <c r="H148" s="25"/>
      <c r="I148" s="25"/>
      <c r="J148" s="25"/>
      <c r="K148" s="25"/>
      <c r="L148" s="25"/>
      <c r="M148" s="25"/>
      <c r="N148" s="25"/>
      <c r="O148" s="25"/>
      <c r="P148" s="25"/>
      <c r="Q148" s="25"/>
      <c r="R148" s="25"/>
      <c r="S148" s="25"/>
      <c r="T148" s="53"/>
      <c r="U148" s="25"/>
      <c r="V148" s="5"/>
    </row>
    <row r="149" spans="1:23" ht="15.6" x14ac:dyDescent="0.3">
      <c r="A149" s="24"/>
      <c r="B149" s="25" t="s">
        <v>263</v>
      </c>
      <c r="C149" s="25"/>
      <c r="D149" s="25"/>
      <c r="E149" s="25"/>
      <c r="F149" s="25"/>
      <c r="G149" s="25"/>
      <c r="H149" s="25"/>
      <c r="I149" s="25"/>
      <c r="J149" s="25"/>
      <c r="K149" s="25"/>
      <c r="L149" s="25"/>
      <c r="M149" s="25"/>
      <c r="N149" s="25"/>
      <c r="O149" s="25"/>
      <c r="P149" s="25"/>
      <c r="Q149" s="25"/>
      <c r="R149" s="25"/>
      <c r="S149" s="25"/>
      <c r="T149" s="53">
        <v>0</v>
      </c>
      <c r="U149" s="25"/>
      <c r="V149" s="5"/>
    </row>
    <row r="150" spans="1:23" ht="15.6" x14ac:dyDescent="0.3">
      <c r="A150" s="24"/>
      <c r="B150" s="25" t="s">
        <v>179</v>
      </c>
      <c r="C150" s="25"/>
      <c r="D150" s="25"/>
      <c r="E150" s="25"/>
      <c r="F150" s="25"/>
      <c r="G150" s="25"/>
      <c r="H150" s="25"/>
      <c r="I150" s="25"/>
      <c r="J150" s="25"/>
      <c r="K150" s="25"/>
      <c r="L150" s="25"/>
      <c r="M150" s="25"/>
      <c r="N150" s="25"/>
      <c r="O150" s="25"/>
      <c r="P150" s="25"/>
      <c r="Q150" s="25"/>
      <c r="R150" s="25"/>
      <c r="S150" s="25"/>
      <c r="T150" s="53">
        <v>0</v>
      </c>
      <c r="U150" s="25"/>
      <c r="V150" s="5"/>
    </row>
    <row r="151" spans="1:23" ht="15.6" x14ac:dyDescent="0.3">
      <c r="A151" s="24"/>
      <c r="B151" s="25" t="s">
        <v>264</v>
      </c>
      <c r="C151" s="25"/>
      <c r="D151" s="25"/>
      <c r="E151" s="25"/>
      <c r="F151" s="25"/>
      <c r="G151" s="25"/>
      <c r="H151" s="25"/>
      <c r="I151" s="25"/>
      <c r="J151" s="25"/>
      <c r="K151" s="25"/>
      <c r="L151" s="25"/>
      <c r="M151" s="25"/>
      <c r="N151" s="25"/>
      <c r="O151" s="25"/>
      <c r="P151" s="25"/>
      <c r="Q151" s="25"/>
      <c r="R151" s="25"/>
      <c r="S151" s="25"/>
      <c r="T151" s="53">
        <v>0</v>
      </c>
      <c r="U151" s="25"/>
      <c r="V151" s="5"/>
    </row>
    <row r="152" spans="1:23" ht="15.6" x14ac:dyDescent="0.3">
      <c r="A152" s="24"/>
      <c r="B152" s="25"/>
      <c r="C152" s="25"/>
      <c r="D152" s="25"/>
      <c r="E152" s="25"/>
      <c r="F152" s="25"/>
      <c r="G152" s="25"/>
      <c r="H152" s="25"/>
      <c r="I152" s="25"/>
      <c r="J152" s="25"/>
      <c r="K152" s="25"/>
      <c r="L152" s="25"/>
      <c r="M152" s="25"/>
      <c r="N152" s="25"/>
      <c r="O152" s="25"/>
      <c r="P152" s="25"/>
      <c r="Q152" s="25"/>
      <c r="R152" s="25"/>
      <c r="S152" s="25"/>
      <c r="T152" s="53"/>
      <c r="U152" s="25"/>
      <c r="V152" s="5"/>
    </row>
    <row r="153" spans="1:23" ht="15.6" x14ac:dyDescent="0.3">
      <c r="A153" s="24"/>
      <c r="B153" s="25"/>
      <c r="C153" s="25"/>
      <c r="D153" s="25"/>
      <c r="E153" s="25"/>
      <c r="F153" s="25"/>
      <c r="G153" s="25"/>
      <c r="H153" s="25"/>
      <c r="I153" s="25"/>
      <c r="J153" s="25"/>
      <c r="K153" s="25"/>
      <c r="L153" s="25"/>
      <c r="M153" s="25"/>
      <c r="N153" s="25"/>
      <c r="O153" s="25"/>
      <c r="P153" s="25"/>
      <c r="Q153" s="25"/>
      <c r="R153" s="25"/>
      <c r="S153" s="25"/>
      <c r="T153" s="61"/>
      <c r="U153" s="25"/>
      <c r="V153" s="5"/>
    </row>
    <row r="154" spans="1:23" ht="15.6" x14ac:dyDescent="0.3">
      <c r="A154" s="6"/>
      <c r="B154" s="119" t="s">
        <v>24</v>
      </c>
      <c r="C154" s="8"/>
      <c r="D154" s="8"/>
      <c r="E154" s="8"/>
      <c r="F154" s="8"/>
      <c r="G154" s="8"/>
      <c r="H154" s="8"/>
      <c r="I154" s="8"/>
      <c r="J154" s="8"/>
      <c r="K154" s="8"/>
      <c r="L154" s="8"/>
      <c r="M154" s="8"/>
      <c r="N154" s="8"/>
      <c r="O154" s="8"/>
      <c r="P154" s="8"/>
      <c r="Q154" s="8"/>
      <c r="R154" s="8"/>
      <c r="S154" s="8"/>
      <c r="T154" s="52"/>
      <c r="U154" s="8"/>
      <c r="V154" s="5"/>
    </row>
    <row r="155" spans="1:23" ht="15.6" x14ac:dyDescent="0.3">
      <c r="A155" s="24"/>
      <c r="B155" s="25" t="s">
        <v>48</v>
      </c>
      <c r="C155" s="25"/>
      <c r="D155" s="25"/>
      <c r="E155" s="25"/>
      <c r="F155" s="25"/>
      <c r="G155" s="25"/>
      <c r="H155" s="25"/>
      <c r="I155" s="25"/>
      <c r="J155" s="25"/>
      <c r="K155" s="25"/>
      <c r="L155" s="25"/>
      <c r="M155" s="25"/>
      <c r="N155" s="25"/>
      <c r="O155" s="25"/>
      <c r="P155" s="25"/>
      <c r="Q155" s="25"/>
      <c r="R155" s="25"/>
      <c r="S155" s="25"/>
      <c r="T155" s="59" t="s">
        <v>124</v>
      </c>
      <c r="U155" s="25"/>
      <c r="V155" s="5"/>
    </row>
    <row r="156" spans="1:23" ht="15.6" x14ac:dyDescent="0.3">
      <c r="A156" s="24"/>
      <c r="B156" s="25" t="s">
        <v>49</v>
      </c>
      <c r="C156" s="163"/>
      <c r="D156" s="163"/>
      <c r="E156" s="163"/>
      <c r="F156" s="163"/>
      <c r="G156" s="163"/>
      <c r="H156" s="163"/>
      <c r="I156" s="163"/>
      <c r="J156" s="163"/>
      <c r="K156" s="163"/>
      <c r="L156" s="163"/>
      <c r="M156" s="163"/>
      <c r="N156" s="163"/>
      <c r="O156" s="163"/>
      <c r="P156" s="163"/>
      <c r="Q156" s="163"/>
      <c r="R156" s="163"/>
      <c r="S156" s="163"/>
      <c r="T156" s="59" t="s">
        <v>124</v>
      </c>
      <c r="U156" s="25"/>
      <c r="V156" s="5"/>
    </row>
    <row r="157" spans="1:23" ht="15.6" x14ac:dyDescent="0.3">
      <c r="A157" s="24"/>
      <c r="B157" s="25" t="s">
        <v>50</v>
      </c>
      <c r="C157" s="25"/>
      <c r="D157" s="25"/>
      <c r="E157" s="25"/>
      <c r="F157" s="25"/>
      <c r="G157" s="25"/>
      <c r="H157" s="25"/>
      <c r="I157" s="25"/>
      <c r="J157" s="25"/>
      <c r="K157" s="25"/>
      <c r="L157" s="25"/>
      <c r="M157" s="25"/>
      <c r="N157" s="25"/>
      <c r="O157" s="25"/>
      <c r="P157" s="25"/>
      <c r="Q157" s="25"/>
      <c r="R157" s="25"/>
      <c r="S157" s="25"/>
      <c r="T157" s="59" t="s">
        <v>124</v>
      </c>
      <c r="U157" s="25"/>
      <c r="V157" s="5"/>
    </row>
    <row r="158" spans="1:23" ht="15.6" x14ac:dyDescent="0.3">
      <c r="A158" s="24"/>
      <c r="B158" s="25" t="s">
        <v>51</v>
      </c>
      <c r="C158" s="25"/>
      <c r="D158" s="25"/>
      <c r="E158" s="25"/>
      <c r="F158" s="25"/>
      <c r="G158" s="25"/>
      <c r="H158" s="25"/>
      <c r="I158" s="25"/>
      <c r="J158" s="25"/>
      <c r="K158" s="25"/>
      <c r="L158" s="25"/>
      <c r="M158" s="25"/>
      <c r="N158" s="25"/>
      <c r="O158" s="25"/>
      <c r="P158" s="25"/>
      <c r="Q158" s="25"/>
      <c r="R158" s="25"/>
      <c r="S158" s="25"/>
      <c r="T158" s="59" t="s">
        <v>124</v>
      </c>
      <c r="U158" s="25"/>
      <c r="V158" s="5"/>
    </row>
    <row r="159" spans="1:23" ht="15.6" x14ac:dyDescent="0.3">
      <c r="A159" s="24"/>
      <c r="B159" s="25"/>
      <c r="C159" s="25"/>
      <c r="D159" s="25"/>
      <c r="E159" s="25"/>
      <c r="F159" s="25"/>
      <c r="G159" s="25"/>
      <c r="H159" s="25"/>
      <c r="I159" s="25"/>
      <c r="J159" s="25"/>
      <c r="K159" s="25"/>
      <c r="L159" s="25"/>
      <c r="M159" s="25"/>
      <c r="N159" s="25"/>
      <c r="O159" s="25"/>
      <c r="P159" s="25"/>
      <c r="Q159" s="25"/>
      <c r="R159" s="25"/>
      <c r="S159" s="25"/>
      <c r="T159" s="61"/>
      <c r="U159" s="25"/>
      <c r="V159" s="5"/>
    </row>
    <row r="160" spans="1:23" ht="15.6" x14ac:dyDescent="0.3">
      <c r="A160" s="6"/>
      <c r="B160" s="119" t="s">
        <v>52</v>
      </c>
      <c r="C160" s="8"/>
      <c r="D160" s="8"/>
      <c r="E160" s="8"/>
      <c r="F160" s="8"/>
      <c r="G160" s="8"/>
      <c r="H160" s="8"/>
      <c r="I160" s="8"/>
      <c r="J160" s="8"/>
      <c r="K160" s="8"/>
      <c r="L160" s="8"/>
      <c r="M160" s="8"/>
      <c r="N160" s="8"/>
      <c r="O160" s="8"/>
      <c r="P160" s="8"/>
      <c r="Q160" s="8"/>
      <c r="R160" s="8"/>
      <c r="S160" s="8"/>
      <c r="T160" s="63"/>
      <c r="U160" s="8"/>
      <c r="V160" s="5"/>
    </row>
    <row r="161" spans="1:22" ht="15.6" x14ac:dyDescent="0.3">
      <c r="A161" s="24"/>
      <c r="B161" s="25" t="s">
        <v>53</v>
      </c>
      <c r="C161" s="25"/>
      <c r="D161" s="25"/>
      <c r="E161" s="25"/>
      <c r="F161" s="25"/>
      <c r="G161" s="25"/>
      <c r="H161" s="25"/>
      <c r="I161" s="25"/>
      <c r="J161" s="25"/>
      <c r="K161" s="25"/>
      <c r="L161" s="25"/>
      <c r="M161" s="25"/>
      <c r="N161" s="25"/>
      <c r="O161" s="25"/>
      <c r="P161" s="25"/>
      <c r="Q161" s="25"/>
      <c r="R161" s="25"/>
      <c r="S161" s="25"/>
      <c r="T161" s="53">
        <v>0</v>
      </c>
      <c r="U161" s="25"/>
      <c r="V161" s="5"/>
    </row>
    <row r="162" spans="1:22" ht="15.6" x14ac:dyDescent="0.3">
      <c r="A162" s="24"/>
      <c r="B162" s="25" t="s">
        <v>54</v>
      </c>
      <c r="C162" s="25"/>
      <c r="D162" s="25"/>
      <c r="E162" s="25"/>
      <c r="F162" s="25"/>
      <c r="G162" s="25"/>
      <c r="H162" s="25"/>
      <c r="I162" s="25"/>
      <c r="J162" s="25"/>
      <c r="K162" s="25"/>
      <c r="L162" s="25"/>
      <c r="M162" s="25"/>
      <c r="N162" s="25"/>
      <c r="O162" s="25"/>
      <c r="P162" s="25"/>
      <c r="Q162" s="25"/>
      <c r="R162" s="25"/>
      <c r="S162" s="25"/>
      <c r="T162" s="53">
        <f>R113</f>
        <v>520</v>
      </c>
      <c r="U162" s="25"/>
      <c r="V162" s="5"/>
    </row>
    <row r="163" spans="1:22" ht="15.6" x14ac:dyDescent="0.3">
      <c r="A163" s="24"/>
      <c r="B163" s="25" t="s">
        <v>55</v>
      </c>
      <c r="C163" s="25"/>
      <c r="D163" s="25"/>
      <c r="E163" s="25"/>
      <c r="F163" s="25"/>
      <c r="G163" s="25"/>
      <c r="H163" s="25"/>
      <c r="I163" s="25"/>
      <c r="J163" s="25"/>
      <c r="K163" s="25"/>
      <c r="L163" s="25"/>
      <c r="M163" s="25"/>
      <c r="N163" s="25"/>
      <c r="O163" s="25"/>
      <c r="P163" s="25"/>
      <c r="Q163" s="25"/>
      <c r="R163" s="25"/>
      <c r="S163" s="25"/>
      <c r="T163" s="53">
        <f>T162+T161</f>
        <v>520</v>
      </c>
      <c r="U163" s="25"/>
      <c r="V163" s="5"/>
    </row>
    <row r="164" spans="1:22" ht="15.6" x14ac:dyDescent="0.3">
      <c r="A164" s="24"/>
      <c r="B164" s="405" t="s">
        <v>301</v>
      </c>
      <c r="C164" s="25"/>
      <c r="D164" s="25"/>
      <c r="E164" s="25"/>
      <c r="F164" s="25"/>
      <c r="G164" s="25"/>
      <c r="H164" s="25"/>
      <c r="I164" s="25"/>
      <c r="J164" s="25"/>
      <c r="K164" s="25"/>
      <c r="L164" s="25"/>
      <c r="M164" s="25"/>
      <c r="N164" s="25"/>
      <c r="O164" s="25"/>
      <c r="P164" s="25"/>
      <c r="Q164" s="25"/>
      <c r="R164" s="25"/>
      <c r="S164" s="25"/>
      <c r="T164" s="53">
        <f>T113</f>
        <v>-520</v>
      </c>
      <c r="U164" s="25"/>
      <c r="V164" s="5"/>
    </row>
    <row r="165" spans="1:22" ht="15.6" x14ac:dyDescent="0.3">
      <c r="A165" s="24"/>
      <c r="B165" s="25" t="s">
        <v>56</v>
      </c>
      <c r="C165" s="25"/>
      <c r="D165" s="25"/>
      <c r="E165" s="25"/>
      <c r="F165" s="25"/>
      <c r="G165" s="25"/>
      <c r="H165" s="25"/>
      <c r="I165" s="25"/>
      <c r="J165" s="25"/>
      <c r="K165" s="25"/>
      <c r="L165" s="25"/>
      <c r="M165" s="25"/>
      <c r="N165" s="25"/>
      <c r="O165" s="25"/>
      <c r="P165" s="25"/>
      <c r="Q165" s="25"/>
      <c r="R165" s="25"/>
      <c r="S165" s="25"/>
      <c r="T165" s="53">
        <f>T163+T164</f>
        <v>0</v>
      </c>
      <c r="U165" s="25"/>
      <c r="V165" s="5"/>
    </row>
    <row r="166" spans="1:22" ht="16.2" thickBot="1" x14ac:dyDescent="0.35">
      <c r="A166" s="24"/>
      <c r="B166" s="25"/>
      <c r="C166" s="25"/>
      <c r="D166" s="25"/>
      <c r="E166" s="25"/>
      <c r="F166" s="25"/>
      <c r="G166" s="25"/>
      <c r="H166" s="25"/>
      <c r="I166" s="25"/>
      <c r="J166" s="25"/>
      <c r="K166" s="25"/>
      <c r="L166" s="25"/>
      <c r="M166" s="25"/>
      <c r="N166" s="25"/>
      <c r="O166" s="25"/>
      <c r="P166" s="25"/>
      <c r="Q166" s="25"/>
      <c r="R166" s="25"/>
      <c r="S166" s="25"/>
      <c r="T166" s="61"/>
      <c r="U166" s="25"/>
      <c r="V166" s="5"/>
    </row>
    <row r="167" spans="1:22" ht="15.6" x14ac:dyDescent="0.3">
      <c r="A167" s="2"/>
      <c r="B167" s="4"/>
      <c r="C167" s="4"/>
      <c r="D167" s="4"/>
      <c r="E167" s="4"/>
      <c r="F167" s="4"/>
      <c r="G167" s="4"/>
      <c r="H167" s="4"/>
      <c r="I167" s="4"/>
      <c r="J167" s="4"/>
      <c r="K167" s="4"/>
      <c r="L167" s="4"/>
      <c r="M167" s="4"/>
      <c r="N167" s="4"/>
      <c r="O167" s="4"/>
      <c r="P167" s="4"/>
      <c r="Q167" s="4"/>
      <c r="R167" s="4"/>
      <c r="S167" s="4"/>
      <c r="T167" s="50"/>
      <c r="U167" s="4"/>
      <c r="V167" s="5"/>
    </row>
    <row r="168" spans="1:22" ht="15.6" x14ac:dyDescent="0.3">
      <c r="A168" s="6"/>
      <c r="B168" s="119" t="s">
        <v>57</v>
      </c>
      <c r="C168" s="8"/>
      <c r="D168" s="8"/>
      <c r="E168" s="8"/>
      <c r="F168" s="8"/>
      <c r="G168" s="8"/>
      <c r="H168" s="8"/>
      <c r="I168" s="8"/>
      <c r="J168" s="8"/>
      <c r="K168" s="8"/>
      <c r="L168" s="8"/>
      <c r="M168" s="8"/>
      <c r="N168" s="8"/>
      <c r="O168" s="8"/>
      <c r="P168" s="8"/>
      <c r="Q168" s="8"/>
      <c r="R168" s="8"/>
      <c r="S168" s="8"/>
      <c r="T168" s="52"/>
      <c r="U168" s="8"/>
      <c r="V168" s="5"/>
    </row>
    <row r="169" spans="1:22" ht="15.6" x14ac:dyDescent="0.3">
      <c r="A169" s="6"/>
      <c r="B169" s="21"/>
      <c r="C169" s="8"/>
      <c r="D169" s="8"/>
      <c r="E169" s="8"/>
      <c r="F169" s="8"/>
      <c r="G169" s="8"/>
      <c r="H169" s="8"/>
      <c r="I169" s="8"/>
      <c r="J169" s="8"/>
      <c r="K169" s="8"/>
      <c r="L169" s="8"/>
      <c r="M169" s="8"/>
      <c r="N169" s="8"/>
      <c r="O169" s="8"/>
      <c r="P169" s="8"/>
      <c r="Q169" s="8"/>
      <c r="R169" s="8"/>
      <c r="S169" s="8"/>
      <c r="T169" s="52"/>
      <c r="U169" s="8"/>
      <c r="V169" s="5"/>
    </row>
    <row r="170" spans="1:22" ht="15.6" x14ac:dyDescent="0.3">
      <c r="A170" s="24"/>
      <c r="B170" s="25" t="s">
        <v>58</v>
      </c>
      <c r="C170" s="25"/>
      <c r="D170" s="25"/>
      <c r="E170" s="25"/>
      <c r="F170" s="25"/>
      <c r="G170" s="25"/>
      <c r="H170" s="25"/>
      <c r="I170" s="25"/>
      <c r="J170" s="25"/>
      <c r="K170" s="25"/>
      <c r="L170" s="25"/>
      <c r="M170" s="25"/>
      <c r="N170" s="25"/>
      <c r="O170" s="25"/>
      <c r="P170" s="25"/>
      <c r="Q170" s="25"/>
      <c r="R170" s="25"/>
      <c r="S170" s="25"/>
      <c r="T170" s="53">
        <f>T72</f>
        <v>615424</v>
      </c>
      <c r="U170" s="25"/>
      <c r="V170" s="5"/>
    </row>
    <row r="171" spans="1:22" ht="15.6" x14ac:dyDescent="0.3">
      <c r="A171" s="24"/>
      <c r="B171" s="25" t="s">
        <v>59</v>
      </c>
      <c r="C171" s="25"/>
      <c r="D171" s="25"/>
      <c r="E171" s="25"/>
      <c r="F171" s="25"/>
      <c r="G171" s="25"/>
      <c r="H171" s="25"/>
      <c r="I171" s="25"/>
      <c r="J171" s="25"/>
      <c r="K171" s="25"/>
      <c r="L171" s="25"/>
      <c r="M171" s="25"/>
      <c r="N171" s="25"/>
      <c r="O171" s="25"/>
      <c r="P171" s="25"/>
      <c r="Q171" s="25"/>
      <c r="R171" s="25"/>
      <c r="S171" s="25"/>
      <c r="T171" s="53">
        <f>T85</f>
        <v>615424</v>
      </c>
      <c r="U171" s="25"/>
      <c r="V171" s="5"/>
    </row>
    <row r="172" spans="1:22" ht="16.2" thickBot="1" x14ac:dyDescent="0.35">
      <c r="A172" s="24"/>
      <c r="B172" s="25"/>
      <c r="C172" s="25"/>
      <c r="D172" s="25"/>
      <c r="E172" s="25"/>
      <c r="F172" s="25"/>
      <c r="G172" s="25"/>
      <c r="H172" s="25"/>
      <c r="I172" s="25"/>
      <c r="J172" s="25"/>
      <c r="K172" s="25"/>
      <c r="L172" s="25"/>
      <c r="M172" s="25"/>
      <c r="N172" s="25"/>
      <c r="O172" s="25"/>
      <c r="P172" s="25"/>
      <c r="Q172" s="25"/>
      <c r="R172" s="25"/>
      <c r="S172" s="25"/>
      <c r="T172" s="61"/>
      <c r="U172" s="25"/>
      <c r="V172" s="5"/>
    </row>
    <row r="173" spans="1:22" ht="15.6" x14ac:dyDescent="0.3">
      <c r="A173" s="2"/>
      <c r="B173" s="4"/>
      <c r="C173" s="4"/>
      <c r="D173" s="4"/>
      <c r="E173" s="4"/>
      <c r="F173" s="4"/>
      <c r="G173" s="4"/>
      <c r="H173" s="4"/>
      <c r="I173" s="4"/>
      <c r="J173" s="4"/>
      <c r="K173" s="4"/>
      <c r="L173" s="4"/>
      <c r="M173" s="4"/>
      <c r="N173" s="4"/>
      <c r="O173" s="4"/>
      <c r="P173" s="4"/>
      <c r="Q173" s="4"/>
      <c r="R173" s="4"/>
      <c r="S173" s="4"/>
      <c r="T173" s="50"/>
      <c r="U173" s="4"/>
      <c r="V173" s="5"/>
    </row>
    <row r="174" spans="1:22" ht="15.6" x14ac:dyDescent="0.3">
      <c r="A174" s="6"/>
      <c r="B174" s="119" t="s">
        <v>60</v>
      </c>
      <c r="C174" s="117"/>
      <c r="D174" s="117"/>
      <c r="E174" s="117"/>
      <c r="F174" s="117"/>
      <c r="G174" s="117"/>
      <c r="H174" s="120"/>
      <c r="I174" s="120"/>
      <c r="J174" s="120"/>
      <c r="K174" s="120"/>
      <c r="L174" s="120"/>
      <c r="M174" s="120"/>
      <c r="N174" s="120"/>
      <c r="O174" s="120"/>
      <c r="P174" s="120"/>
      <c r="Q174" s="120" t="s">
        <v>104</v>
      </c>
      <c r="R174" s="120" t="s">
        <v>183</v>
      </c>
      <c r="S174" s="111"/>
      <c r="T174" s="121" t="s">
        <v>120</v>
      </c>
      <c r="U174" s="10"/>
      <c r="V174" s="5"/>
    </row>
    <row r="175" spans="1:22" ht="15.6" x14ac:dyDescent="0.3">
      <c r="A175" s="24"/>
      <c r="B175" s="25" t="s">
        <v>61</v>
      </c>
      <c r="C175" s="25"/>
      <c r="D175" s="25"/>
      <c r="E175" s="25"/>
      <c r="F175" s="25"/>
      <c r="G175" s="25"/>
      <c r="H175" s="25"/>
      <c r="I175" s="25"/>
      <c r="J175" s="25"/>
      <c r="K175" s="25"/>
      <c r="L175" s="25"/>
      <c r="M175" s="25"/>
      <c r="N175" s="25"/>
      <c r="O175" s="25"/>
      <c r="P175" s="25"/>
      <c r="Q175" s="53">
        <v>160008</v>
      </c>
      <c r="R175" s="40"/>
      <c r="S175" s="25"/>
      <c r="T175" s="53"/>
      <c r="U175" s="25"/>
      <c r="V175" s="5"/>
    </row>
    <row r="176" spans="1:22" ht="15.6" x14ac:dyDescent="0.3">
      <c r="A176" s="24"/>
      <c r="B176" s="25" t="s">
        <v>62</v>
      </c>
      <c r="C176" s="25"/>
      <c r="D176" s="25"/>
      <c r="E176" s="25"/>
      <c r="F176" s="25"/>
      <c r="G176" s="25"/>
      <c r="H176" s="25"/>
      <c r="I176" s="25"/>
      <c r="J176" s="25"/>
      <c r="K176" s="25"/>
      <c r="L176" s="25"/>
      <c r="M176" s="25"/>
      <c r="N176" s="25"/>
      <c r="O176" s="25"/>
      <c r="P176" s="25"/>
      <c r="Q176" s="53">
        <f>+'March 09'!Q178</f>
        <v>33477</v>
      </c>
      <c r="R176" s="53">
        <f>+'March 09'!R178</f>
        <v>3370</v>
      </c>
      <c r="S176" s="25"/>
      <c r="T176" s="53">
        <f>Q176+R176</f>
        <v>36847</v>
      </c>
      <c r="U176" s="25"/>
      <c r="V176" s="5"/>
    </row>
    <row r="177" spans="1:22" ht="15.6" x14ac:dyDescent="0.3">
      <c r="A177" s="24"/>
      <c r="B177" s="25" t="s">
        <v>63</v>
      </c>
      <c r="C177" s="25"/>
      <c r="D177" s="25"/>
      <c r="E177" s="25"/>
      <c r="F177" s="25"/>
      <c r="G177" s="25"/>
      <c r="H177" s="25"/>
      <c r="I177" s="25"/>
      <c r="J177" s="25"/>
      <c r="K177" s="25"/>
      <c r="L177" s="25"/>
      <c r="M177" s="25"/>
      <c r="N177" s="25"/>
      <c r="O177" s="25"/>
      <c r="P177" s="25"/>
      <c r="Q177" s="34">
        <f>308+165</f>
        <v>473</v>
      </c>
      <c r="R177" s="34">
        <v>43</v>
      </c>
      <c r="S177" s="25"/>
      <c r="T177" s="53">
        <f>Q177+R177</f>
        <v>516</v>
      </c>
      <c r="U177" s="25"/>
      <c r="V177" s="5"/>
    </row>
    <row r="178" spans="1:22" ht="15.6" x14ac:dyDescent="0.3">
      <c r="A178" s="24"/>
      <c r="B178" s="25" t="s">
        <v>64</v>
      </c>
      <c r="C178" s="25"/>
      <c r="D178" s="25"/>
      <c r="E178" s="25"/>
      <c r="F178" s="25"/>
      <c r="G178" s="25"/>
      <c r="H178" s="25"/>
      <c r="I178" s="25"/>
      <c r="J178" s="25"/>
      <c r="K178" s="25"/>
      <c r="L178" s="25"/>
      <c r="M178" s="25"/>
      <c r="N178" s="25"/>
      <c r="O178" s="25"/>
      <c r="P178" s="25"/>
      <c r="Q178" s="53">
        <f>Q176+Q177</f>
        <v>33950</v>
      </c>
      <c r="R178" s="53">
        <f>R177+R176</f>
        <v>3413</v>
      </c>
      <c r="S178" s="25"/>
      <c r="T178" s="53">
        <f>Q178+R178</f>
        <v>37363</v>
      </c>
      <c r="U178" s="25"/>
      <c r="V178" s="5"/>
    </row>
    <row r="179" spans="1:22" ht="15.6" x14ac:dyDescent="0.3">
      <c r="A179" s="24"/>
      <c r="B179" s="25" t="s">
        <v>65</v>
      </c>
      <c r="C179" s="25"/>
      <c r="D179" s="25"/>
      <c r="E179" s="25"/>
      <c r="F179" s="25"/>
      <c r="G179" s="25"/>
      <c r="H179" s="25"/>
      <c r="I179" s="25"/>
      <c r="J179" s="25"/>
      <c r="K179" s="25"/>
      <c r="L179" s="25"/>
      <c r="M179" s="25"/>
      <c r="N179" s="25"/>
      <c r="O179" s="25"/>
      <c r="P179" s="25"/>
      <c r="Q179" s="53">
        <f>Q175-Q178-R178</f>
        <v>122645</v>
      </c>
      <c r="R179" s="40"/>
      <c r="S179" s="25"/>
      <c r="T179" s="53"/>
      <c r="U179" s="25"/>
      <c r="V179" s="5"/>
    </row>
    <row r="180" spans="1:22" ht="16.2" thickBot="1" x14ac:dyDescent="0.35">
      <c r="A180" s="24"/>
      <c r="B180" s="25"/>
      <c r="C180" s="25"/>
      <c r="D180" s="25"/>
      <c r="E180" s="25"/>
      <c r="F180" s="25"/>
      <c r="G180" s="25"/>
      <c r="H180" s="25"/>
      <c r="I180" s="25"/>
      <c r="J180" s="25"/>
      <c r="K180" s="25"/>
      <c r="L180" s="25"/>
      <c r="M180" s="25"/>
      <c r="N180" s="25"/>
      <c r="O180" s="25"/>
      <c r="P180" s="25"/>
      <c r="Q180" s="25"/>
      <c r="R180" s="25"/>
      <c r="S180" s="25"/>
      <c r="T180" s="61"/>
      <c r="U180" s="25"/>
      <c r="V180" s="5"/>
    </row>
    <row r="181" spans="1:22" ht="15.6" x14ac:dyDescent="0.3">
      <c r="A181" s="2"/>
      <c r="B181" s="4"/>
      <c r="C181" s="4"/>
      <c r="D181" s="4"/>
      <c r="E181" s="4"/>
      <c r="F181" s="4"/>
      <c r="G181" s="4"/>
      <c r="H181" s="4"/>
      <c r="I181" s="4"/>
      <c r="J181" s="4"/>
      <c r="K181" s="4"/>
      <c r="L181" s="4"/>
      <c r="M181" s="4"/>
      <c r="N181" s="4"/>
      <c r="O181" s="4"/>
      <c r="P181" s="4"/>
      <c r="Q181" s="4"/>
      <c r="R181" s="4"/>
      <c r="S181" s="4"/>
      <c r="T181" s="50"/>
      <c r="U181" s="4"/>
      <c r="V181" s="5"/>
    </row>
    <row r="182" spans="1:22" ht="15.6" x14ac:dyDescent="0.3">
      <c r="A182" s="6"/>
      <c r="B182" s="119" t="s">
        <v>66</v>
      </c>
      <c r="C182" s="8"/>
      <c r="D182" s="8"/>
      <c r="E182" s="8"/>
      <c r="F182" s="8"/>
      <c r="G182" s="8"/>
      <c r="H182" s="8"/>
      <c r="I182" s="8"/>
      <c r="J182" s="8"/>
      <c r="K182" s="8"/>
      <c r="L182" s="8"/>
      <c r="M182" s="8"/>
      <c r="N182" s="8"/>
      <c r="O182" s="8"/>
      <c r="P182" s="8"/>
      <c r="Q182" s="8"/>
      <c r="R182" s="8"/>
      <c r="S182" s="8"/>
      <c r="T182" s="65"/>
      <c r="U182" s="8"/>
      <c r="V182" s="5"/>
    </row>
    <row r="183" spans="1:22" ht="15.6" x14ac:dyDescent="0.3">
      <c r="A183" s="24"/>
      <c r="B183" s="25" t="s">
        <v>67</v>
      </c>
      <c r="C183" s="25"/>
      <c r="D183" s="25"/>
      <c r="E183" s="25"/>
      <c r="F183" s="25"/>
      <c r="G183" s="25"/>
      <c r="H183" s="25"/>
      <c r="I183" s="25"/>
      <c r="J183" s="25"/>
      <c r="K183" s="25"/>
      <c r="L183" s="25"/>
      <c r="M183" s="25"/>
      <c r="N183" s="25"/>
      <c r="O183" s="25"/>
      <c r="P183" s="25"/>
      <c r="Q183" s="25"/>
      <c r="R183" s="25"/>
      <c r="S183" s="25"/>
      <c r="T183" s="59">
        <f>(T101+T103+T104+T105+T106)/-(T107+T108)</f>
        <v>2.333664349553128</v>
      </c>
      <c r="U183" s="25" t="s">
        <v>121</v>
      </c>
      <c r="V183" s="5"/>
    </row>
    <row r="184" spans="1:22" ht="15.6" x14ac:dyDescent="0.3">
      <c r="A184" s="24"/>
      <c r="B184" s="25" t="s">
        <v>68</v>
      </c>
      <c r="C184" s="25"/>
      <c r="D184" s="25"/>
      <c r="E184" s="25"/>
      <c r="F184" s="25"/>
      <c r="G184" s="25"/>
      <c r="H184" s="25"/>
      <c r="I184" s="25"/>
      <c r="J184" s="25"/>
      <c r="K184" s="25"/>
      <c r="L184" s="25"/>
      <c r="M184" s="25"/>
      <c r="N184" s="25"/>
      <c r="O184" s="25"/>
      <c r="P184" s="25"/>
      <c r="Q184" s="25"/>
      <c r="R184" s="25"/>
      <c r="S184" s="25"/>
      <c r="T184" s="66">
        <v>1.47</v>
      </c>
      <c r="U184" s="25" t="s">
        <v>121</v>
      </c>
      <c r="V184" s="5"/>
    </row>
    <row r="185" spans="1:22" ht="15.6" x14ac:dyDescent="0.3">
      <c r="A185" s="24"/>
      <c r="B185" s="25" t="s">
        <v>69</v>
      </c>
      <c r="C185" s="25"/>
      <c r="D185" s="25"/>
      <c r="E185" s="25"/>
      <c r="F185" s="25"/>
      <c r="G185" s="25"/>
      <c r="H185" s="25"/>
      <c r="I185" s="25"/>
      <c r="J185" s="25"/>
      <c r="K185" s="25"/>
      <c r="L185" s="25"/>
      <c r="M185" s="25"/>
      <c r="N185" s="25"/>
      <c r="O185" s="25"/>
      <c r="P185" s="25"/>
      <c r="Q185" s="25"/>
      <c r="R185" s="25"/>
      <c r="S185" s="25"/>
      <c r="T185" s="59">
        <f>(T101+T103+T104+T105+T106+T107+T108)/-(T109+T110)</f>
        <v>8.3157894736842106</v>
      </c>
      <c r="U185" s="25" t="s">
        <v>121</v>
      </c>
      <c r="V185" s="5"/>
    </row>
    <row r="186" spans="1:22" ht="15.6" x14ac:dyDescent="0.3">
      <c r="A186" s="24"/>
      <c r="B186" s="25" t="s">
        <v>70</v>
      </c>
      <c r="C186" s="25"/>
      <c r="D186" s="25"/>
      <c r="E186" s="25"/>
      <c r="F186" s="25"/>
      <c r="G186" s="25"/>
      <c r="H186" s="25"/>
      <c r="I186" s="25"/>
      <c r="J186" s="25"/>
      <c r="K186" s="25"/>
      <c r="L186" s="25"/>
      <c r="M186" s="25"/>
      <c r="N186" s="25"/>
      <c r="O186" s="25"/>
      <c r="P186" s="25"/>
      <c r="Q186" s="25"/>
      <c r="R186" s="25"/>
      <c r="S186" s="25"/>
      <c r="T186" s="66">
        <v>4.45</v>
      </c>
      <c r="U186" s="25" t="s">
        <v>121</v>
      </c>
      <c r="V186" s="5"/>
    </row>
    <row r="187" spans="1:22" ht="15.6" x14ac:dyDescent="0.3">
      <c r="A187" s="24"/>
      <c r="B187" s="25" t="s">
        <v>206</v>
      </c>
      <c r="C187" s="25"/>
      <c r="D187" s="25"/>
      <c r="E187" s="25"/>
      <c r="F187" s="25"/>
      <c r="G187" s="25"/>
      <c r="H187" s="25"/>
      <c r="I187" s="25"/>
      <c r="J187" s="25"/>
      <c r="K187" s="25"/>
      <c r="L187" s="25"/>
      <c r="M187" s="25"/>
      <c r="N187" s="25"/>
      <c r="O187" s="25"/>
      <c r="P187" s="25"/>
      <c r="Q187" s="25"/>
      <c r="R187" s="25"/>
      <c r="S187" s="25"/>
      <c r="T187" s="59">
        <f>(T101+T103+T104+T105+T106+T107+T108+T109+T110)/-(T111)</f>
        <v>7.7986798679867988</v>
      </c>
      <c r="U187" s="25" t="s">
        <v>121</v>
      </c>
      <c r="V187" s="5"/>
    </row>
    <row r="188" spans="1:22" ht="15.6" x14ac:dyDescent="0.3">
      <c r="A188" s="24"/>
      <c r="B188" s="25" t="s">
        <v>207</v>
      </c>
      <c r="C188" s="25"/>
      <c r="D188" s="25"/>
      <c r="E188" s="25"/>
      <c r="F188" s="25"/>
      <c r="G188" s="25"/>
      <c r="H188" s="25"/>
      <c r="I188" s="25"/>
      <c r="J188" s="25"/>
      <c r="K188" s="25"/>
      <c r="L188" s="25"/>
      <c r="M188" s="25"/>
      <c r="N188" s="25"/>
      <c r="O188" s="25"/>
      <c r="P188" s="25"/>
      <c r="Q188" s="25"/>
      <c r="R188" s="25"/>
      <c r="S188" s="25"/>
      <c r="T188" s="66">
        <v>3.98</v>
      </c>
      <c r="U188" s="25" t="s">
        <v>121</v>
      </c>
      <c r="V188" s="5"/>
    </row>
    <row r="189" spans="1:22" ht="15.6" x14ac:dyDescent="0.3">
      <c r="A189" s="24"/>
      <c r="B189" s="25"/>
      <c r="C189" s="25"/>
      <c r="D189" s="25"/>
      <c r="E189" s="25"/>
      <c r="F189" s="25"/>
      <c r="G189" s="25"/>
      <c r="H189" s="25"/>
      <c r="I189" s="25"/>
      <c r="J189" s="25"/>
      <c r="K189" s="25"/>
      <c r="L189" s="25"/>
      <c r="M189" s="25"/>
      <c r="N189" s="25"/>
      <c r="O189" s="25"/>
      <c r="P189" s="25"/>
      <c r="Q189" s="25"/>
      <c r="R189" s="25"/>
      <c r="S189" s="25"/>
      <c r="T189" s="25"/>
      <c r="U189" s="25"/>
      <c r="V189" s="5"/>
    </row>
    <row r="190" spans="1:22" ht="15.6" x14ac:dyDescent="0.3">
      <c r="A190" s="24"/>
      <c r="B190" s="25"/>
      <c r="C190" s="25"/>
      <c r="D190" s="25"/>
      <c r="E190" s="25"/>
      <c r="F190" s="25"/>
      <c r="G190" s="25"/>
      <c r="H190" s="25"/>
      <c r="I190" s="25"/>
      <c r="J190" s="25"/>
      <c r="K190" s="25"/>
      <c r="L190" s="25"/>
      <c r="M190" s="25"/>
      <c r="N190" s="25"/>
      <c r="O190" s="25"/>
      <c r="P190" s="25"/>
      <c r="Q190" s="25"/>
      <c r="R190" s="25"/>
      <c r="S190" s="25"/>
      <c r="T190" s="25"/>
      <c r="U190" s="25"/>
      <c r="V190" s="5"/>
    </row>
    <row r="191" spans="1:22" ht="15.6" x14ac:dyDescent="0.3">
      <c r="A191" s="6"/>
      <c r="B191" s="8"/>
      <c r="C191" s="8"/>
      <c r="D191" s="8"/>
      <c r="E191" s="8"/>
      <c r="F191" s="8"/>
      <c r="G191" s="8"/>
      <c r="H191" s="8"/>
      <c r="I191" s="8"/>
      <c r="J191" s="8"/>
      <c r="K191" s="8"/>
      <c r="L191" s="8"/>
      <c r="M191" s="8"/>
      <c r="N191" s="8"/>
      <c r="O191" s="8"/>
      <c r="P191" s="8"/>
      <c r="Q191" s="8"/>
      <c r="R191" s="8"/>
      <c r="S191" s="8"/>
      <c r="T191" s="8"/>
      <c r="U191" s="8"/>
      <c r="V191" s="5"/>
    </row>
    <row r="192" spans="1:22" ht="18" thickBot="1" x14ac:dyDescent="0.35">
      <c r="A192" s="101"/>
      <c r="B192" s="102" t="str">
        <f>B133</f>
        <v>PM11 INVESTOR REPORT QUARTER ENDING JUNE 2009</v>
      </c>
      <c r="C192" s="165"/>
      <c r="D192" s="165"/>
      <c r="E192" s="165"/>
      <c r="F192" s="165"/>
      <c r="G192" s="165"/>
      <c r="H192" s="165"/>
      <c r="I192" s="165"/>
      <c r="J192" s="165"/>
      <c r="K192" s="165"/>
      <c r="L192" s="165"/>
      <c r="M192" s="165"/>
      <c r="N192" s="165"/>
      <c r="O192" s="165"/>
      <c r="P192" s="165"/>
      <c r="Q192" s="165"/>
      <c r="R192" s="165"/>
      <c r="S192" s="165"/>
      <c r="T192" s="165"/>
      <c r="U192" s="166"/>
      <c r="V192" s="5"/>
    </row>
    <row r="193" spans="1:22" ht="15.6" x14ac:dyDescent="0.3">
      <c r="A193" s="67"/>
      <c r="B193" s="60" t="s">
        <v>71</v>
      </c>
      <c r="C193" s="68"/>
      <c r="D193" s="68"/>
      <c r="E193" s="68"/>
      <c r="F193" s="68"/>
      <c r="G193" s="69"/>
      <c r="H193" s="69"/>
      <c r="I193" s="69"/>
      <c r="J193" s="69"/>
      <c r="K193" s="69"/>
      <c r="L193" s="69"/>
      <c r="M193" s="69"/>
      <c r="N193" s="69"/>
      <c r="O193" s="69"/>
      <c r="P193" s="69"/>
      <c r="Q193" s="69"/>
      <c r="R193" s="70">
        <v>39994</v>
      </c>
      <c r="S193" s="4"/>
      <c r="T193" s="4"/>
      <c r="U193" s="4"/>
      <c r="V193" s="5"/>
    </row>
    <row r="194" spans="1:22" ht="15.6" x14ac:dyDescent="0.3">
      <c r="A194" s="71"/>
      <c r="B194" s="72"/>
      <c r="C194" s="73"/>
      <c r="D194" s="73"/>
      <c r="E194" s="73"/>
      <c r="F194" s="73"/>
      <c r="G194" s="74"/>
      <c r="H194" s="74"/>
      <c r="I194" s="74"/>
      <c r="J194" s="74"/>
      <c r="K194" s="74"/>
      <c r="L194" s="74"/>
      <c r="M194" s="74"/>
      <c r="N194" s="74"/>
      <c r="O194" s="74"/>
      <c r="P194" s="74"/>
      <c r="Q194" s="74"/>
      <c r="R194" s="74"/>
      <c r="S194" s="8"/>
      <c r="T194" s="8"/>
      <c r="U194" s="8"/>
      <c r="V194" s="5"/>
    </row>
    <row r="195" spans="1:22" ht="15.6" x14ac:dyDescent="0.3">
      <c r="A195" s="75"/>
      <c r="B195" s="76" t="s">
        <v>72</v>
      </c>
      <c r="C195" s="77"/>
      <c r="D195" s="77"/>
      <c r="E195" s="77"/>
      <c r="F195" s="77"/>
      <c r="G195" s="64"/>
      <c r="H195" s="64"/>
      <c r="I195" s="64"/>
      <c r="J195" s="64"/>
      <c r="K195" s="64"/>
      <c r="L195" s="64"/>
      <c r="M195" s="64"/>
      <c r="N195" s="64"/>
      <c r="O195" s="64"/>
      <c r="P195" s="64"/>
      <c r="Q195" s="64"/>
      <c r="R195" s="78">
        <v>5.1569999999999998E-2</v>
      </c>
      <c r="S195" s="25"/>
      <c r="T195" s="25"/>
      <c r="U195" s="25"/>
      <c r="V195" s="5"/>
    </row>
    <row r="196" spans="1:22" ht="15.6" x14ac:dyDescent="0.3">
      <c r="A196" s="75"/>
      <c r="B196" s="76" t="s">
        <v>157</v>
      </c>
      <c r="C196" s="77"/>
      <c r="D196" s="77"/>
      <c r="E196" s="77"/>
      <c r="F196" s="77"/>
      <c r="G196" s="64"/>
      <c r="H196" s="64"/>
      <c r="I196" s="64"/>
      <c r="J196" s="64"/>
      <c r="K196" s="64"/>
      <c r="L196" s="64"/>
      <c r="M196" s="64"/>
      <c r="N196" s="64"/>
      <c r="O196" s="64"/>
      <c r="P196" s="64"/>
      <c r="Q196" s="64"/>
      <c r="R196" s="39">
        <v>4.6899999999999997E-2</v>
      </c>
      <c r="S196" s="25"/>
      <c r="T196" s="25"/>
      <c r="U196" s="25"/>
      <c r="V196" s="5"/>
    </row>
    <row r="197" spans="1:22" ht="15.6" x14ac:dyDescent="0.3">
      <c r="A197" s="75"/>
      <c r="B197" s="76" t="s">
        <v>73</v>
      </c>
      <c r="C197" s="77"/>
      <c r="D197" s="77"/>
      <c r="E197" s="77"/>
      <c r="F197" s="77"/>
      <c r="G197" s="64"/>
      <c r="H197" s="64"/>
      <c r="I197" s="64"/>
      <c r="J197" s="64"/>
      <c r="K197" s="64"/>
      <c r="L197" s="64"/>
      <c r="M197" s="64"/>
      <c r="N197" s="64"/>
      <c r="O197" s="64"/>
      <c r="P197" s="64"/>
      <c r="Q197" s="64"/>
      <c r="R197" s="78">
        <f>R195-R196</f>
        <v>4.6700000000000005E-3</v>
      </c>
      <c r="S197" s="25"/>
      <c r="T197" s="25"/>
      <c r="U197" s="25"/>
      <c r="V197" s="5"/>
    </row>
    <row r="198" spans="1:22" ht="15.6" x14ac:dyDescent="0.3">
      <c r="A198" s="75"/>
      <c r="B198" s="76" t="s">
        <v>74</v>
      </c>
      <c r="C198" s="77"/>
      <c r="D198" s="77"/>
      <c r="E198" s="77"/>
      <c r="F198" s="77"/>
      <c r="G198" s="64"/>
      <c r="H198" s="64"/>
      <c r="I198" s="64"/>
      <c r="J198" s="64"/>
      <c r="K198" s="64"/>
      <c r="L198" s="64"/>
      <c r="M198" s="64"/>
      <c r="N198" s="64"/>
      <c r="O198" s="64"/>
      <c r="P198" s="64"/>
      <c r="Q198" s="64"/>
      <c r="R198" s="78">
        <v>3.848E-2</v>
      </c>
      <c r="S198" s="25"/>
      <c r="T198" s="25"/>
      <c r="U198" s="25"/>
      <c r="V198" s="5"/>
    </row>
    <row r="199" spans="1:22" ht="15.6" x14ac:dyDescent="0.3">
      <c r="A199" s="75"/>
      <c r="B199" s="76" t="s">
        <v>257</v>
      </c>
      <c r="C199" s="77"/>
      <c r="D199" s="77"/>
      <c r="E199" s="77"/>
      <c r="F199" s="77"/>
      <c r="G199" s="64"/>
      <c r="H199" s="64"/>
      <c r="I199" s="64"/>
      <c r="J199" s="64"/>
      <c r="K199" s="64"/>
      <c r="L199" s="64"/>
      <c r="M199" s="64"/>
      <c r="N199" s="64"/>
      <c r="O199" s="64"/>
      <c r="P199" s="64"/>
      <c r="Q199" s="64"/>
      <c r="R199" s="78">
        <f>T43</f>
        <v>1.7075002086232371E-2</v>
      </c>
      <c r="S199" s="25"/>
      <c r="T199" s="25"/>
      <c r="U199" s="25"/>
      <c r="V199" s="5"/>
    </row>
    <row r="200" spans="1:22" ht="15.6" x14ac:dyDescent="0.3">
      <c r="A200" s="75"/>
      <c r="B200" s="76" t="s">
        <v>75</v>
      </c>
      <c r="C200" s="77"/>
      <c r="D200" s="77"/>
      <c r="E200" s="77"/>
      <c r="F200" s="77"/>
      <c r="G200" s="64"/>
      <c r="H200" s="64"/>
      <c r="I200" s="64"/>
      <c r="J200" s="64"/>
      <c r="K200" s="64"/>
      <c r="L200" s="64"/>
      <c r="M200" s="64"/>
      <c r="N200" s="64"/>
      <c r="O200" s="64"/>
      <c r="P200" s="64"/>
      <c r="Q200" s="64"/>
      <c r="R200" s="78">
        <f>R198-R199</f>
        <v>2.140499791376763E-2</v>
      </c>
      <c r="S200" s="25"/>
      <c r="T200" s="25"/>
      <c r="U200" s="25"/>
      <c r="V200" s="5"/>
    </row>
    <row r="201" spans="1:22" ht="15.6" x14ac:dyDescent="0.3">
      <c r="A201" s="75"/>
      <c r="B201" s="76" t="s">
        <v>260</v>
      </c>
      <c r="C201" s="77"/>
      <c r="D201" s="77"/>
      <c r="E201" s="77"/>
      <c r="F201" s="77"/>
      <c r="G201" s="64"/>
      <c r="H201" s="64"/>
      <c r="I201" s="64"/>
      <c r="J201" s="64"/>
      <c r="K201" s="64"/>
      <c r="L201" s="64"/>
      <c r="M201" s="64"/>
      <c r="N201" s="64"/>
      <c r="O201" s="64"/>
      <c r="P201" s="64"/>
      <c r="Q201" s="64"/>
      <c r="R201" s="78">
        <f>+T101/L72</f>
        <v>1.0889125386996905E-2</v>
      </c>
      <c r="S201" s="25"/>
      <c r="T201" s="25"/>
      <c r="U201" s="25"/>
      <c r="V201" s="5"/>
    </row>
    <row r="202" spans="1:22" ht="15.6" x14ac:dyDescent="0.3">
      <c r="A202" s="75"/>
      <c r="B202" s="76" t="s">
        <v>217</v>
      </c>
      <c r="C202" s="77"/>
      <c r="D202" s="77"/>
      <c r="E202" s="77"/>
      <c r="F202" s="77"/>
      <c r="G202" s="64"/>
      <c r="H202" s="64"/>
      <c r="I202" s="64"/>
      <c r="J202" s="64"/>
      <c r="K202" s="64"/>
      <c r="L202" s="64"/>
      <c r="M202" s="64"/>
      <c r="N202" s="64"/>
      <c r="O202" s="64"/>
      <c r="P202" s="64"/>
      <c r="Q202" s="64"/>
      <c r="R202" s="129">
        <v>15250</v>
      </c>
      <c r="S202" s="25"/>
      <c r="T202" s="25"/>
      <c r="U202" s="25"/>
      <c r="V202" s="5"/>
    </row>
    <row r="203" spans="1:22" ht="15.6" x14ac:dyDescent="0.3">
      <c r="A203" s="75"/>
      <c r="B203" s="76" t="s">
        <v>218</v>
      </c>
      <c r="C203" s="77"/>
      <c r="D203" s="77"/>
      <c r="E203" s="77"/>
      <c r="F203" s="77"/>
      <c r="G203" s="64"/>
      <c r="H203" s="64"/>
      <c r="I203" s="64"/>
      <c r="J203" s="64"/>
      <c r="K203" s="64"/>
      <c r="L203" s="64"/>
      <c r="M203" s="64"/>
      <c r="N203" s="64"/>
      <c r="O203" s="64"/>
      <c r="P203" s="64"/>
      <c r="Q203" s="64"/>
      <c r="R203" s="129">
        <v>15250</v>
      </c>
      <c r="S203" s="25"/>
      <c r="T203" s="25"/>
      <c r="U203" s="25"/>
      <c r="V203" s="5"/>
    </row>
    <row r="204" spans="1:22" ht="15.6" x14ac:dyDescent="0.3">
      <c r="A204" s="75"/>
      <c r="B204" s="76" t="s">
        <v>219</v>
      </c>
      <c r="C204" s="77"/>
      <c r="D204" s="77"/>
      <c r="E204" s="77"/>
      <c r="F204" s="77"/>
      <c r="G204" s="64"/>
      <c r="H204" s="64"/>
      <c r="I204" s="64"/>
      <c r="J204" s="64"/>
      <c r="K204" s="64"/>
      <c r="L204" s="64"/>
      <c r="M204" s="64"/>
      <c r="N204" s="64"/>
      <c r="O204" s="64"/>
      <c r="P204" s="64"/>
      <c r="Q204" s="64"/>
      <c r="R204" s="129">
        <v>15250</v>
      </c>
      <c r="S204" s="25"/>
      <c r="T204" s="25"/>
      <c r="U204" s="25"/>
      <c r="V204" s="5"/>
    </row>
    <row r="205" spans="1:22" ht="15.6" x14ac:dyDescent="0.3">
      <c r="A205" s="75"/>
      <c r="B205" s="76" t="s">
        <v>76</v>
      </c>
      <c r="C205" s="77"/>
      <c r="D205" s="77"/>
      <c r="E205" s="77"/>
      <c r="F205" s="77"/>
      <c r="G205" s="64"/>
      <c r="H205" s="64"/>
      <c r="I205" s="64"/>
      <c r="J205" s="64"/>
      <c r="K205" s="64"/>
      <c r="L205" s="64"/>
      <c r="M205" s="64"/>
      <c r="N205" s="64"/>
      <c r="O205" s="64"/>
      <c r="P205" s="64"/>
      <c r="Q205" s="64"/>
      <c r="R205" s="133">
        <v>21.18</v>
      </c>
      <c r="S205" s="25" t="s">
        <v>116</v>
      </c>
      <c r="T205" s="25"/>
      <c r="U205" s="25"/>
      <c r="V205" s="5"/>
    </row>
    <row r="206" spans="1:22" ht="15.6" x14ac:dyDescent="0.3">
      <c r="A206" s="75"/>
      <c r="B206" s="76" t="s">
        <v>77</v>
      </c>
      <c r="C206" s="77"/>
      <c r="D206" s="77"/>
      <c r="E206" s="77"/>
      <c r="F206" s="77"/>
      <c r="G206" s="64"/>
      <c r="H206" s="64"/>
      <c r="I206" s="64"/>
      <c r="J206" s="64"/>
      <c r="K206" s="64"/>
      <c r="L206" s="64"/>
      <c r="M206" s="64"/>
      <c r="N206" s="64"/>
      <c r="O206" s="64"/>
      <c r="P206" s="64"/>
      <c r="Q206" s="64"/>
      <c r="R206" s="133">
        <v>17.98</v>
      </c>
      <c r="S206" s="25" t="s">
        <v>116</v>
      </c>
      <c r="T206" s="25"/>
      <c r="U206" s="25"/>
      <c r="V206" s="5"/>
    </row>
    <row r="207" spans="1:22" ht="15.6" x14ac:dyDescent="0.3">
      <c r="A207" s="75"/>
      <c r="B207" s="76" t="s">
        <v>78</v>
      </c>
      <c r="C207" s="77"/>
      <c r="D207" s="77"/>
      <c r="E207" s="77"/>
      <c r="F207" s="77"/>
      <c r="G207" s="64"/>
      <c r="H207" s="64"/>
      <c r="I207" s="64"/>
      <c r="J207" s="64"/>
      <c r="K207" s="64"/>
      <c r="L207" s="64"/>
      <c r="M207" s="64"/>
      <c r="N207" s="64"/>
      <c r="O207" s="64"/>
      <c r="P207" s="64"/>
      <c r="Q207" s="64"/>
      <c r="R207" s="78">
        <f>N69/L69</f>
        <v>9.0895897832817332E-3</v>
      </c>
      <c r="S207" s="25"/>
      <c r="T207" s="25"/>
      <c r="U207" s="25"/>
      <c r="V207" s="5"/>
    </row>
    <row r="208" spans="1:22" ht="15.6" x14ac:dyDescent="0.3">
      <c r="A208" s="75"/>
      <c r="B208" s="76" t="s">
        <v>79</v>
      </c>
      <c r="C208" s="77"/>
      <c r="D208" s="77"/>
      <c r="E208" s="77"/>
      <c r="F208" s="77"/>
      <c r="G208" s="64"/>
      <c r="H208" s="64"/>
      <c r="I208" s="64"/>
      <c r="J208" s="64"/>
      <c r="K208" s="64"/>
      <c r="L208" s="64"/>
      <c r="M208" s="64"/>
      <c r="N208" s="64"/>
      <c r="O208" s="64"/>
      <c r="P208" s="64"/>
      <c r="Q208" s="64"/>
      <c r="R208" s="78">
        <v>0.14940000000000001</v>
      </c>
      <c r="S208" s="25"/>
      <c r="T208" s="25"/>
      <c r="U208" s="25"/>
      <c r="V208" s="5"/>
    </row>
    <row r="209" spans="1:22" ht="15.6" x14ac:dyDescent="0.3">
      <c r="A209" s="75"/>
      <c r="B209" s="76"/>
      <c r="C209" s="76"/>
      <c r="D209" s="76"/>
      <c r="E209" s="76"/>
      <c r="F209" s="76"/>
      <c r="G209" s="25"/>
      <c r="H209" s="25"/>
      <c r="I209" s="25"/>
      <c r="J209" s="25"/>
      <c r="K209" s="25"/>
      <c r="L209" s="25"/>
      <c r="M209" s="25"/>
      <c r="N209" s="25"/>
      <c r="O209" s="25"/>
      <c r="P209" s="25"/>
      <c r="Q209" s="25"/>
      <c r="R209" s="61"/>
      <c r="S209" s="25"/>
      <c r="T209" s="79"/>
      <c r="U209" s="25"/>
      <c r="V209" s="5"/>
    </row>
    <row r="210" spans="1:22" ht="15.6" x14ac:dyDescent="0.3">
      <c r="A210" s="80"/>
      <c r="B210" s="14" t="s">
        <v>80</v>
      </c>
      <c r="C210" s="81"/>
      <c r="D210" s="81"/>
      <c r="E210" s="81"/>
      <c r="F210" s="82"/>
      <c r="G210" s="81"/>
      <c r="H210" s="17"/>
      <c r="I210" s="17"/>
      <c r="J210" s="17"/>
      <c r="K210" s="17"/>
      <c r="L210" s="17"/>
      <c r="M210" s="17"/>
      <c r="N210" s="17"/>
      <c r="O210" s="17"/>
      <c r="P210" s="17"/>
      <c r="Q210" s="17" t="s">
        <v>105</v>
      </c>
      <c r="R210" s="83" t="s">
        <v>112</v>
      </c>
      <c r="S210" s="8"/>
      <c r="T210" s="8"/>
      <c r="U210" s="8"/>
      <c r="V210" s="5"/>
    </row>
    <row r="211" spans="1:22" ht="15.6" x14ac:dyDescent="0.3">
      <c r="A211" s="84"/>
      <c r="B211" s="76" t="s">
        <v>81</v>
      </c>
      <c r="C211" s="54"/>
      <c r="D211" s="54"/>
      <c r="E211" s="54"/>
      <c r="F211" s="25"/>
      <c r="G211" s="25"/>
      <c r="H211" s="30"/>
      <c r="I211" s="30"/>
      <c r="J211" s="30"/>
      <c r="K211" s="30"/>
      <c r="L211" s="30"/>
      <c r="M211" s="30"/>
      <c r="N211" s="30"/>
      <c r="O211" s="30"/>
      <c r="P211" s="30"/>
      <c r="Q211" s="30">
        <v>0</v>
      </c>
      <c r="R211" s="85">
        <v>0</v>
      </c>
      <c r="S211" s="25"/>
      <c r="T211" s="79"/>
      <c r="U211" s="86"/>
      <c r="V211" s="5"/>
    </row>
    <row r="212" spans="1:22" ht="15.6" x14ac:dyDescent="0.3">
      <c r="A212" s="84"/>
      <c r="B212" s="76" t="s">
        <v>151</v>
      </c>
      <c r="C212" s="54"/>
      <c r="D212" s="54"/>
      <c r="E212" s="54"/>
      <c r="F212" s="25"/>
      <c r="G212" s="25"/>
      <c r="H212" s="30"/>
      <c r="I212" s="30"/>
      <c r="J212" s="30"/>
      <c r="K212" s="30"/>
      <c r="L212" s="30"/>
      <c r="M212" s="30"/>
      <c r="N212" s="30"/>
      <c r="O212" s="30"/>
      <c r="P212" s="30"/>
      <c r="Q212" s="152">
        <f>+P252</f>
        <v>164</v>
      </c>
      <c r="R212" s="85">
        <f>+R252</f>
        <v>23822</v>
      </c>
      <c r="S212" s="25"/>
      <c r="T212" s="79"/>
      <c r="U212" s="86"/>
      <c r="V212" s="5"/>
    </row>
    <row r="213" spans="1:22" ht="15.6" x14ac:dyDescent="0.3">
      <c r="A213" s="84"/>
      <c r="B213" s="76" t="s">
        <v>82</v>
      </c>
      <c r="C213" s="54"/>
      <c r="D213" s="54"/>
      <c r="E213" s="54"/>
      <c r="F213" s="25"/>
      <c r="G213" s="25"/>
      <c r="H213" s="30"/>
      <c r="I213" s="30"/>
      <c r="J213" s="30"/>
      <c r="K213" s="30"/>
      <c r="L213" s="30"/>
      <c r="M213" s="30"/>
      <c r="N213" s="30"/>
      <c r="O213" s="30"/>
      <c r="P213" s="30"/>
      <c r="Q213" s="152">
        <f>+P264</f>
        <v>0</v>
      </c>
      <c r="R213" s="85">
        <f>+R264</f>
        <v>0</v>
      </c>
      <c r="S213" s="25"/>
      <c r="T213" s="79"/>
      <c r="U213" s="86"/>
      <c r="V213" s="5"/>
    </row>
    <row r="214" spans="1:22" ht="15.6" x14ac:dyDescent="0.3">
      <c r="A214" s="84"/>
      <c r="B214" s="122" t="s">
        <v>83</v>
      </c>
      <c r="C214" s="54"/>
      <c r="D214" s="54"/>
      <c r="E214" s="54"/>
      <c r="F214" s="25"/>
      <c r="G214" s="25"/>
      <c r="H214" s="25"/>
      <c r="I214" s="25"/>
      <c r="J214" s="25"/>
      <c r="K214" s="25"/>
      <c r="L214" s="25"/>
      <c r="M214" s="25"/>
      <c r="N214" s="25"/>
      <c r="O214" s="25"/>
      <c r="P214" s="25"/>
      <c r="Q214" s="25"/>
      <c r="R214" s="85">
        <v>0</v>
      </c>
      <c r="S214" s="25"/>
      <c r="T214" s="79"/>
      <c r="U214" s="86"/>
      <c r="V214" s="5"/>
    </row>
    <row r="215" spans="1:22" ht="15.6" x14ac:dyDescent="0.3">
      <c r="A215" s="84"/>
      <c r="B215" s="122" t="s">
        <v>84</v>
      </c>
      <c r="C215" s="54"/>
      <c r="D215" s="54"/>
      <c r="E215" s="54"/>
      <c r="F215" s="25"/>
      <c r="G215" s="25"/>
      <c r="H215" s="25"/>
      <c r="I215" s="25"/>
      <c r="J215" s="25"/>
      <c r="K215" s="25"/>
      <c r="L215" s="25"/>
      <c r="M215" s="25"/>
      <c r="N215" s="25"/>
      <c r="O215" s="25"/>
      <c r="P215" s="25"/>
      <c r="Q215" s="25"/>
      <c r="R215" s="62" t="s">
        <v>113</v>
      </c>
      <c r="S215" s="25"/>
      <c r="T215" s="79"/>
      <c r="U215" s="86"/>
      <c r="V215" s="5"/>
    </row>
    <row r="216" spans="1:22" ht="15.6" x14ac:dyDescent="0.3">
      <c r="A216" s="87"/>
      <c r="B216" s="122" t="s">
        <v>85</v>
      </c>
      <c r="C216" s="76"/>
      <c r="D216" s="76"/>
      <c r="E216" s="76"/>
      <c r="F216" s="76"/>
      <c r="G216" s="25"/>
      <c r="H216" s="25"/>
      <c r="I216" s="25"/>
      <c r="J216" s="25"/>
      <c r="K216" s="25"/>
      <c r="L216" s="25"/>
      <c r="M216" s="25"/>
      <c r="N216" s="25"/>
      <c r="O216" s="25"/>
      <c r="P216" s="25"/>
      <c r="Q216" s="25"/>
      <c r="R216" s="85"/>
      <c r="S216" s="25"/>
      <c r="T216" s="79"/>
      <c r="U216" s="88"/>
      <c r="V216" s="5"/>
    </row>
    <row r="217" spans="1:22" ht="15.6" x14ac:dyDescent="0.3">
      <c r="A217" s="87"/>
      <c r="B217" s="131" t="s">
        <v>86</v>
      </c>
      <c r="C217" s="76"/>
      <c r="D217" s="76"/>
      <c r="E217" s="76"/>
      <c r="F217" s="76"/>
      <c r="G217" s="25"/>
      <c r="H217" s="25"/>
      <c r="I217" s="25"/>
      <c r="J217" s="25"/>
      <c r="K217" s="25"/>
      <c r="L217" s="25"/>
      <c r="M217" s="25"/>
      <c r="N217" s="25"/>
      <c r="O217" s="25"/>
      <c r="P217" s="25"/>
      <c r="Q217" s="30"/>
      <c r="R217" s="85">
        <f>T162</f>
        <v>520</v>
      </c>
      <c r="S217" s="25"/>
      <c r="T217" s="79"/>
      <c r="U217" s="88"/>
      <c r="V217" s="5"/>
    </row>
    <row r="218" spans="1:22" ht="15.6" x14ac:dyDescent="0.3">
      <c r="A218" s="84"/>
      <c r="B218" s="76" t="s">
        <v>87</v>
      </c>
      <c r="C218" s="54"/>
      <c r="D218" s="54"/>
      <c r="E218" s="54"/>
      <c r="F218" s="54"/>
      <c r="G218" s="25"/>
      <c r="H218" s="25"/>
      <c r="I218" s="25"/>
      <c r="J218" s="25"/>
      <c r="K218" s="25"/>
      <c r="L218" s="25"/>
      <c r="M218" s="25"/>
      <c r="N218" s="25"/>
      <c r="O218" s="25"/>
      <c r="P218" s="25"/>
      <c r="Q218" s="30"/>
      <c r="R218" s="85">
        <f>+'March 09'!R218+R217</f>
        <v>1075</v>
      </c>
      <c r="S218" s="25"/>
      <c r="T218" s="79"/>
      <c r="U218" s="88"/>
      <c r="V218" s="5"/>
    </row>
    <row r="219" spans="1:22" ht="15.6" x14ac:dyDescent="0.3">
      <c r="A219" s="87"/>
      <c r="B219" s="122" t="s">
        <v>282</v>
      </c>
      <c r="C219" s="76"/>
      <c r="D219" s="76"/>
      <c r="E219" s="76"/>
      <c r="F219" s="76"/>
      <c r="G219" s="25"/>
      <c r="H219" s="25"/>
      <c r="I219" s="25"/>
      <c r="J219" s="25"/>
      <c r="K219" s="25"/>
      <c r="L219" s="25"/>
      <c r="M219" s="25"/>
      <c r="N219" s="25"/>
      <c r="O219" s="25"/>
      <c r="P219" s="25"/>
      <c r="Q219" s="30"/>
      <c r="R219" s="85"/>
      <c r="S219" s="25"/>
      <c r="T219" s="79"/>
      <c r="U219" s="88"/>
      <c r="V219" s="5"/>
    </row>
    <row r="220" spans="1:22" ht="15.6" x14ac:dyDescent="0.3">
      <c r="A220" s="87"/>
      <c r="B220" s="76" t="s">
        <v>280</v>
      </c>
      <c r="C220" s="76"/>
      <c r="D220" s="76"/>
      <c r="E220" s="76"/>
      <c r="F220" s="76"/>
      <c r="G220" s="25"/>
      <c r="H220" s="25"/>
      <c r="I220" s="25"/>
      <c r="J220" s="25"/>
      <c r="K220" s="25"/>
      <c r="L220" s="25"/>
      <c r="M220" s="25"/>
      <c r="N220" s="25"/>
      <c r="O220" s="25"/>
      <c r="P220" s="25"/>
      <c r="Q220" s="30">
        <v>0</v>
      </c>
      <c r="R220" s="85">
        <v>0</v>
      </c>
      <c r="S220" s="25"/>
      <c r="T220" s="79"/>
      <c r="U220" s="88"/>
      <c r="V220" s="5"/>
    </row>
    <row r="221" spans="1:22" ht="15.6" x14ac:dyDescent="0.3">
      <c r="A221" s="84"/>
      <c r="B221" s="76" t="s">
        <v>89</v>
      </c>
      <c r="C221" s="89"/>
      <c r="D221" s="89"/>
      <c r="E221" s="89"/>
      <c r="F221" s="90"/>
      <c r="G221" s="25"/>
      <c r="H221" s="25"/>
      <c r="I221" s="25"/>
      <c r="J221" s="25"/>
      <c r="K221" s="25"/>
      <c r="L221" s="25"/>
      <c r="M221" s="25"/>
      <c r="N221" s="25"/>
      <c r="O221" s="25"/>
      <c r="P221" s="25"/>
      <c r="Q221" s="25"/>
      <c r="R221" s="62">
        <v>0</v>
      </c>
      <c r="S221" s="25"/>
      <c r="T221" s="79"/>
      <c r="U221" s="88"/>
      <c r="V221" s="5"/>
    </row>
    <row r="222" spans="1:22" ht="15.6" x14ac:dyDescent="0.3">
      <c r="A222" s="84"/>
      <c r="B222" s="76" t="s">
        <v>90</v>
      </c>
      <c r="C222" s="89"/>
      <c r="D222" s="89"/>
      <c r="E222" s="89"/>
      <c r="F222" s="90"/>
      <c r="G222" s="25"/>
      <c r="H222" s="25"/>
      <c r="I222" s="25"/>
      <c r="J222" s="25"/>
      <c r="K222" s="25"/>
      <c r="L222" s="25"/>
      <c r="M222" s="25"/>
      <c r="N222" s="25"/>
      <c r="O222" s="25"/>
      <c r="P222" s="25"/>
      <c r="Q222" s="25"/>
      <c r="R222" s="62">
        <v>0</v>
      </c>
      <c r="S222" s="25"/>
      <c r="T222" s="79"/>
      <c r="U222" s="88"/>
      <c r="V222" s="5"/>
    </row>
    <row r="223" spans="1:22" ht="15.6" x14ac:dyDescent="0.3">
      <c r="A223" s="84"/>
      <c r="B223" s="122" t="s">
        <v>226</v>
      </c>
      <c r="C223" s="89"/>
      <c r="D223" s="89"/>
      <c r="E223" s="89"/>
      <c r="F223" s="90"/>
      <c r="G223" s="25"/>
      <c r="H223" s="25"/>
      <c r="I223" s="25"/>
      <c r="J223" s="25"/>
      <c r="K223" s="25"/>
      <c r="L223" s="25"/>
      <c r="M223" s="25"/>
      <c r="N223" s="25"/>
      <c r="O223" s="25"/>
      <c r="P223" s="25"/>
      <c r="Q223" s="30"/>
      <c r="R223" s="91"/>
      <c r="S223" s="25"/>
      <c r="T223" s="79"/>
      <c r="U223" s="88"/>
      <c r="V223" s="5"/>
    </row>
    <row r="224" spans="1:22" ht="15.6" x14ac:dyDescent="0.3">
      <c r="A224" s="84"/>
      <c r="B224" s="76" t="s">
        <v>280</v>
      </c>
      <c r="C224" s="89"/>
      <c r="D224" s="89"/>
      <c r="E224" s="89"/>
      <c r="F224" s="90"/>
      <c r="G224" s="25"/>
      <c r="H224" s="25"/>
      <c r="I224" s="25"/>
      <c r="J224" s="25"/>
      <c r="K224" s="25"/>
      <c r="L224" s="25"/>
      <c r="M224" s="25"/>
      <c r="N224" s="25"/>
      <c r="O224" s="25"/>
      <c r="P224" s="25"/>
      <c r="Q224" s="30">
        <v>7</v>
      </c>
      <c r="R224" s="85">
        <v>1141</v>
      </c>
      <c r="S224" s="25"/>
      <c r="T224" s="79"/>
      <c r="U224" s="88"/>
      <c r="V224" s="5"/>
    </row>
    <row r="225" spans="1:23" ht="15.6" x14ac:dyDescent="0.3">
      <c r="A225" s="84"/>
      <c r="B225" s="76" t="s">
        <v>227</v>
      </c>
      <c r="C225" s="89"/>
      <c r="D225" s="89"/>
      <c r="E225" s="89"/>
      <c r="F225" s="90"/>
      <c r="G225" s="25"/>
      <c r="H225" s="25"/>
      <c r="I225" s="25"/>
      <c r="J225" s="25"/>
      <c r="K225" s="25"/>
      <c r="L225" s="25"/>
      <c r="M225" s="25"/>
      <c r="N225" s="25"/>
      <c r="O225" s="25"/>
      <c r="P225" s="25"/>
      <c r="Q225" s="30"/>
      <c r="R225" s="62">
        <v>11.46</v>
      </c>
      <c r="S225" s="25"/>
      <c r="T225" s="79"/>
      <c r="U225" s="88"/>
      <c r="V225" s="5"/>
    </row>
    <row r="226" spans="1:23" ht="15.6" x14ac:dyDescent="0.3">
      <c r="A226" s="84"/>
      <c r="B226" s="76"/>
      <c r="C226" s="89"/>
      <c r="D226" s="89"/>
      <c r="E226" s="89"/>
      <c r="F226" s="90"/>
      <c r="G226" s="25"/>
      <c r="H226" s="25"/>
      <c r="I226" s="25"/>
      <c r="J226" s="25"/>
      <c r="K226" s="25"/>
      <c r="L226" s="25"/>
      <c r="M226" s="25"/>
      <c r="N226" s="25"/>
      <c r="O226" s="25"/>
      <c r="P226" s="25"/>
      <c r="Q226" s="25"/>
      <c r="R226" s="91"/>
      <c r="S226" s="25"/>
      <c r="T226" s="79"/>
      <c r="U226" s="88"/>
      <c r="V226" s="5"/>
    </row>
    <row r="227" spans="1:23" ht="15.6" x14ac:dyDescent="0.3">
      <c r="A227" s="84"/>
      <c r="B227" s="76"/>
      <c r="C227" s="89"/>
      <c r="D227" s="89"/>
      <c r="E227" s="89"/>
      <c r="F227" s="90"/>
      <c r="G227" s="25"/>
      <c r="H227" s="25"/>
      <c r="I227" s="25"/>
      <c r="J227" s="25"/>
      <c r="K227" s="25"/>
      <c r="L227" s="25"/>
      <c r="M227" s="25"/>
      <c r="N227" s="25"/>
      <c r="O227" s="25"/>
      <c r="P227" s="25"/>
      <c r="Q227" s="25"/>
      <c r="R227" s="91"/>
      <c r="S227" s="25"/>
      <c r="T227" s="79"/>
      <c r="U227" s="88"/>
      <c r="V227" s="5"/>
    </row>
    <row r="228" spans="1:23" ht="17.399999999999999" x14ac:dyDescent="0.3">
      <c r="A228" s="84"/>
      <c r="B228" s="149" t="s">
        <v>175</v>
      </c>
      <c r="C228" s="89"/>
      <c r="D228" s="89"/>
      <c r="E228" s="89"/>
      <c r="F228" s="90"/>
      <c r="G228" s="25"/>
      <c r="H228" s="25"/>
      <c r="I228" s="25"/>
      <c r="J228" s="25"/>
      <c r="K228" s="25"/>
      <c r="L228" s="25"/>
      <c r="M228" s="25"/>
      <c r="N228" s="150" t="s">
        <v>174</v>
      </c>
      <c r="O228" s="25"/>
      <c r="P228" s="25"/>
      <c r="Q228" s="25"/>
      <c r="R228" s="91"/>
      <c r="S228" s="25"/>
      <c r="T228" s="79"/>
      <c r="U228" s="88"/>
      <c r="V228" s="5"/>
    </row>
    <row r="229" spans="1:23" ht="15.6" x14ac:dyDescent="0.3">
      <c r="A229" s="84"/>
      <c r="B229" s="76"/>
      <c r="C229" s="89"/>
      <c r="D229" s="89"/>
      <c r="E229" s="89"/>
      <c r="F229" s="90"/>
      <c r="G229" s="25"/>
      <c r="H229" s="25"/>
      <c r="I229" s="25"/>
      <c r="J229" s="25"/>
      <c r="K229" s="25"/>
      <c r="L229" s="25"/>
      <c r="M229" s="25"/>
      <c r="N229" s="25"/>
      <c r="O229" s="25"/>
      <c r="P229" s="25"/>
      <c r="Q229" s="25"/>
      <c r="R229" s="91"/>
      <c r="S229" s="25"/>
      <c r="T229" s="79"/>
      <c r="U229" s="88"/>
      <c r="V229" s="5"/>
    </row>
    <row r="230" spans="1:23" ht="15.6" x14ac:dyDescent="0.3">
      <c r="A230" s="6"/>
      <c r="B230" s="14" t="s">
        <v>169</v>
      </c>
      <c r="C230" s="81"/>
      <c r="D230" s="81"/>
      <c r="E230" s="81"/>
      <c r="F230" s="82"/>
      <c r="G230" s="81"/>
      <c r="H230" s="17"/>
      <c r="I230" s="17"/>
      <c r="J230" s="17"/>
      <c r="K230" s="17"/>
      <c r="L230" s="17"/>
      <c r="M230" s="17"/>
      <c r="N230" s="17"/>
      <c r="O230" s="17"/>
      <c r="P230" s="83" t="s">
        <v>105</v>
      </c>
      <c r="Q230" s="17" t="s">
        <v>106</v>
      </c>
      <c r="R230" s="83" t="s">
        <v>114</v>
      </c>
      <c r="S230" s="17" t="s">
        <v>106</v>
      </c>
      <c r="T230" s="8"/>
      <c r="U230" s="92"/>
      <c r="V230" s="5"/>
    </row>
    <row r="231" spans="1:23" ht="15.6" x14ac:dyDescent="0.3">
      <c r="A231" s="24"/>
      <c r="B231" s="54" t="s">
        <v>91</v>
      </c>
      <c r="C231" s="93"/>
      <c r="D231" s="93"/>
      <c r="E231" s="93"/>
      <c r="F231" s="25"/>
      <c r="G231" s="93"/>
      <c r="H231" s="93"/>
      <c r="I231" s="93"/>
      <c r="J231" s="93"/>
      <c r="K231" s="93"/>
      <c r="L231" s="93"/>
      <c r="M231" s="93"/>
      <c r="N231" s="93"/>
      <c r="O231" s="93"/>
      <c r="P231" s="54">
        <v>4364</v>
      </c>
      <c r="Q231" s="94">
        <f t="shared" ref="Q231:Q238" si="1">P231/$P$240</f>
        <v>0.98045383059986524</v>
      </c>
      <c r="R231" s="53">
        <v>577858</v>
      </c>
      <c r="S231" s="132">
        <f t="shared" ref="S231:S238" si="2">R231/$R$240</f>
        <v>0.97676816508395847</v>
      </c>
      <c r="T231" s="79"/>
      <c r="U231" s="88"/>
      <c r="V231" s="5"/>
    </row>
    <row r="232" spans="1:23" ht="15.6" x14ac:dyDescent="0.3">
      <c r="A232" s="24"/>
      <c r="B232" s="54" t="s">
        <v>92</v>
      </c>
      <c r="C232" s="93"/>
      <c r="D232" s="93"/>
      <c r="E232" s="93"/>
      <c r="F232" s="25"/>
      <c r="G232" s="94"/>
      <c r="H232" s="93"/>
      <c r="I232" s="93"/>
      <c r="J232" s="93"/>
      <c r="K232" s="93"/>
      <c r="L232" s="93"/>
      <c r="M232" s="93"/>
      <c r="N232" s="93"/>
      <c r="O232" s="93"/>
      <c r="P232" s="54">
        <v>52</v>
      </c>
      <c r="Q232" s="94">
        <f t="shared" si="1"/>
        <v>1.1682767917321949E-2</v>
      </c>
      <c r="R232" s="53">
        <v>9797</v>
      </c>
      <c r="S232" s="132">
        <f t="shared" si="2"/>
        <v>1.6560119810277857E-2</v>
      </c>
      <c r="T232" s="79"/>
      <c r="U232" s="88"/>
      <c r="V232" s="5"/>
      <c r="W232" s="109"/>
    </row>
    <row r="233" spans="1:23" ht="15.6" x14ac:dyDescent="0.3">
      <c r="A233" s="24"/>
      <c r="B233" s="54" t="s">
        <v>93</v>
      </c>
      <c r="C233" s="93"/>
      <c r="D233" s="93"/>
      <c r="E233" s="93"/>
      <c r="F233" s="25"/>
      <c r="G233" s="94"/>
      <c r="H233" s="93"/>
      <c r="I233" s="93"/>
      <c r="J233" s="93"/>
      <c r="K233" s="93"/>
      <c r="L233" s="93"/>
      <c r="M233" s="93"/>
      <c r="N233" s="93"/>
      <c r="O233" s="93"/>
      <c r="P233" s="54">
        <v>16</v>
      </c>
      <c r="Q233" s="94">
        <f t="shared" si="1"/>
        <v>3.5946978207144461E-3</v>
      </c>
      <c r="R233" s="53">
        <v>1920</v>
      </c>
      <c r="S233" s="132">
        <f t="shared" si="2"/>
        <v>3.2454251337892706E-3</v>
      </c>
      <c r="T233" s="79"/>
      <c r="U233" s="88"/>
      <c r="V233" s="5"/>
    </row>
    <row r="234" spans="1:23" ht="15.6" x14ac:dyDescent="0.3">
      <c r="A234" s="24"/>
      <c r="B234" s="54" t="s">
        <v>163</v>
      </c>
      <c r="C234" s="93"/>
      <c r="D234" s="93"/>
      <c r="E234" s="93"/>
      <c r="F234" s="25"/>
      <c r="G234" s="94"/>
      <c r="H234" s="93"/>
      <c r="I234" s="93"/>
      <c r="J234" s="93"/>
      <c r="K234" s="93"/>
      <c r="L234" s="93"/>
      <c r="M234" s="93"/>
      <c r="N234" s="93"/>
      <c r="O234" s="93"/>
      <c r="P234" s="54">
        <v>16</v>
      </c>
      <c r="Q234" s="94">
        <f t="shared" si="1"/>
        <v>3.5946978207144461E-3</v>
      </c>
      <c r="R234" s="53">
        <v>1467</v>
      </c>
      <c r="S234" s="132">
        <f t="shared" si="2"/>
        <v>2.4797076412858645E-3</v>
      </c>
      <c r="T234" s="79"/>
      <c r="U234" s="88"/>
      <c r="V234" s="5"/>
      <c r="W234" s="109"/>
    </row>
    <row r="235" spans="1:23" ht="15.6" x14ac:dyDescent="0.3">
      <c r="A235" s="24"/>
      <c r="B235" s="54" t="s">
        <v>164</v>
      </c>
      <c r="C235" s="93"/>
      <c r="D235" s="93"/>
      <c r="E235" s="93"/>
      <c r="F235" s="25"/>
      <c r="G235" s="94"/>
      <c r="H235" s="93"/>
      <c r="I235" s="93"/>
      <c r="J235" s="93"/>
      <c r="K235" s="93"/>
      <c r="L235" s="93"/>
      <c r="M235" s="93"/>
      <c r="N235" s="93"/>
      <c r="O235" s="93"/>
      <c r="P235" s="54">
        <v>1</v>
      </c>
      <c r="Q235" s="94">
        <f t="shared" si="1"/>
        <v>2.2466861379465288E-4</v>
      </c>
      <c r="R235" s="53">
        <v>161</v>
      </c>
      <c r="S235" s="132">
        <f t="shared" si="2"/>
        <v>2.7214242007295446E-4</v>
      </c>
      <c r="T235" s="79"/>
      <c r="U235" s="88"/>
      <c r="V235" s="5"/>
    </row>
    <row r="236" spans="1:23" ht="15.6" x14ac:dyDescent="0.3">
      <c r="A236" s="24"/>
      <c r="B236" s="54" t="s">
        <v>165</v>
      </c>
      <c r="C236" s="93"/>
      <c r="D236" s="93"/>
      <c r="E236" s="93"/>
      <c r="F236" s="25"/>
      <c r="G236" s="94"/>
      <c r="H236" s="93"/>
      <c r="I236" s="93"/>
      <c r="J236" s="93"/>
      <c r="K236" s="93"/>
      <c r="L236" s="93"/>
      <c r="M236" s="93"/>
      <c r="N236" s="93"/>
      <c r="O236" s="93"/>
      <c r="P236" s="54">
        <v>1</v>
      </c>
      <c r="Q236" s="94">
        <f t="shared" si="1"/>
        <v>2.2466861379465288E-4</v>
      </c>
      <c r="R236" s="53">
        <v>252</v>
      </c>
      <c r="S236" s="132">
        <f t="shared" si="2"/>
        <v>4.2596204880984175E-4</v>
      </c>
      <c r="T236" s="79"/>
      <c r="U236" s="88"/>
      <c r="V236" s="5"/>
      <c r="W236" s="109"/>
    </row>
    <row r="237" spans="1:23" ht="15.6" x14ac:dyDescent="0.3">
      <c r="A237" s="24"/>
      <c r="B237" s="54" t="s">
        <v>166</v>
      </c>
      <c r="C237" s="93"/>
      <c r="D237" s="93"/>
      <c r="E237" s="93"/>
      <c r="F237" s="25"/>
      <c r="G237" s="94"/>
      <c r="H237" s="93"/>
      <c r="I237" s="93"/>
      <c r="J237" s="93"/>
      <c r="K237" s="93"/>
      <c r="L237" s="93"/>
      <c r="M237" s="93"/>
      <c r="N237" s="93"/>
      <c r="O237" s="93"/>
      <c r="P237" s="54">
        <v>0</v>
      </c>
      <c r="Q237" s="94">
        <f t="shared" si="1"/>
        <v>0</v>
      </c>
      <c r="R237" s="53">
        <v>0</v>
      </c>
      <c r="S237" s="132">
        <f t="shared" si="2"/>
        <v>0</v>
      </c>
      <c r="T237" s="79"/>
      <c r="U237" s="88"/>
      <c r="V237" s="5"/>
    </row>
    <row r="238" spans="1:23" ht="15.6" x14ac:dyDescent="0.3">
      <c r="A238" s="24"/>
      <c r="B238" s="54" t="s">
        <v>167</v>
      </c>
      <c r="C238" s="93"/>
      <c r="D238" s="93"/>
      <c r="E238" s="93"/>
      <c r="F238" s="25"/>
      <c r="G238" s="94"/>
      <c r="H238" s="93"/>
      <c r="I238" s="93"/>
      <c r="J238" s="93"/>
      <c r="K238" s="93"/>
      <c r="L238" s="93"/>
      <c r="M238" s="93"/>
      <c r="N238" s="93"/>
      <c r="O238" s="93"/>
      <c r="P238" s="54">
        <v>1</v>
      </c>
      <c r="Q238" s="94">
        <f t="shared" si="1"/>
        <v>2.2466861379465288E-4</v>
      </c>
      <c r="R238" s="53">
        <v>147</v>
      </c>
      <c r="S238" s="132">
        <f t="shared" si="2"/>
        <v>2.4847786180574101E-4</v>
      </c>
      <c r="T238" s="79"/>
      <c r="U238" s="88"/>
      <c r="V238" s="5"/>
      <c r="W238" s="109"/>
    </row>
    <row r="239" spans="1:23" ht="15.6" x14ac:dyDescent="0.3">
      <c r="A239" s="24"/>
      <c r="B239" s="54"/>
      <c r="C239" s="93"/>
      <c r="D239" s="93"/>
      <c r="E239" s="93"/>
      <c r="F239" s="25"/>
      <c r="G239" s="94"/>
      <c r="H239" s="93"/>
      <c r="I239" s="93"/>
      <c r="J239" s="93"/>
      <c r="K239" s="93"/>
      <c r="L239" s="93"/>
      <c r="M239" s="93"/>
      <c r="N239" s="93"/>
      <c r="O239" s="93"/>
      <c r="P239" s="54"/>
      <c r="Q239" s="94"/>
      <c r="R239" s="53"/>
      <c r="S239" s="132"/>
      <c r="T239" s="79"/>
      <c r="U239" s="88"/>
      <c r="V239" s="5"/>
    </row>
    <row r="240" spans="1:23" ht="15.6" x14ac:dyDescent="0.3">
      <c r="A240" s="24"/>
      <c r="B240" s="25" t="s">
        <v>120</v>
      </c>
      <c r="C240" s="25"/>
      <c r="D240" s="25"/>
      <c r="E240" s="25"/>
      <c r="F240" s="25"/>
      <c r="G240" s="25"/>
      <c r="H240" s="95"/>
      <c r="I240" s="95"/>
      <c r="J240" s="95"/>
      <c r="K240" s="95"/>
      <c r="L240" s="95"/>
      <c r="M240" s="95"/>
      <c r="N240" s="95"/>
      <c r="O240" s="95"/>
      <c r="P240" s="34">
        <f>SUM(P231:P239)</f>
        <v>4451</v>
      </c>
      <c r="Q240" s="132">
        <f>SUM(Q231:Q239)</f>
        <v>1</v>
      </c>
      <c r="R240" s="53">
        <f>SUM(R231:R239)</f>
        <v>591602</v>
      </c>
      <c r="S240" s="132">
        <f>SUM(S231:S239)</f>
        <v>1</v>
      </c>
      <c r="T240" s="25"/>
      <c r="U240" s="25"/>
      <c r="V240" s="5"/>
    </row>
    <row r="241" spans="1:22" ht="15.6" x14ac:dyDescent="0.3">
      <c r="A241" s="24"/>
      <c r="B241" s="25"/>
      <c r="C241" s="25"/>
      <c r="D241" s="25"/>
      <c r="E241" s="25"/>
      <c r="F241" s="25"/>
      <c r="G241" s="25"/>
      <c r="H241" s="95"/>
      <c r="I241" s="95"/>
      <c r="J241" s="95"/>
      <c r="K241" s="95"/>
      <c r="L241" s="95"/>
      <c r="M241" s="95"/>
      <c r="N241" s="95"/>
      <c r="O241" s="95"/>
      <c r="P241" s="34"/>
      <c r="Q241" s="132"/>
      <c r="R241" s="53"/>
      <c r="S241" s="132"/>
      <c r="T241" s="25"/>
      <c r="U241" s="25"/>
      <c r="V241" s="5"/>
    </row>
    <row r="242" spans="1:22" ht="15.6" x14ac:dyDescent="0.3">
      <c r="A242" s="141"/>
      <c r="B242" s="14" t="s">
        <v>267</v>
      </c>
      <c r="C242" s="81"/>
      <c r="D242" s="81"/>
      <c r="E242" s="81"/>
      <c r="F242" s="82"/>
      <c r="G242" s="81"/>
      <c r="H242" s="17"/>
      <c r="I242" s="17"/>
      <c r="J242" s="17"/>
      <c r="K242" s="17"/>
      <c r="L242" s="17"/>
      <c r="M242" s="17"/>
      <c r="N242" s="17"/>
      <c r="O242" s="17"/>
      <c r="P242" s="83" t="s">
        <v>105</v>
      </c>
      <c r="Q242" s="17" t="s">
        <v>106</v>
      </c>
      <c r="R242" s="83" t="s">
        <v>114</v>
      </c>
      <c r="S242" s="17" t="s">
        <v>106</v>
      </c>
      <c r="T242" s="139"/>
      <c r="U242" s="140"/>
      <c r="V242" s="5"/>
    </row>
    <row r="243" spans="1:22" ht="15.6" x14ac:dyDescent="0.3">
      <c r="A243" s="24"/>
      <c r="B243" s="54" t="s">
        <v>91</v>
      </c>
      <c r="C243" s="93"/>
      <c r="D243" s="93"/>
      <c r="E243" s="93"/>
      <c r="F243" s="25"/>
      <c r="G243" s="93"/>
      <c r="H243" s="93"/>
      <c r="I243" s="93"/>
      <c r="J243" s="93"/>
      <c r="K243" s="93"/>
      <c r="L243" s="93"/>
      <c r="M243" s="93"/>
      <c r="N243" s="93"/>
      <c r="O243" s="93"/>
      <c r="P243" s="54">
        <v>23</v>
      </c>
      <c r="Q243" s="94">
        <f t="shared" ref="Q243:Q250" si="3">P243/$P$252</f>
        <v>0.1402439024390244</v>
      </c>
      <c r="R243" s="53">
        <v>3545</v>
      </c>
      <c r="S243" s="132">
        <f t="shared" ref="S243:S250" si="4">R243/$R$252</f>
        <v>0.14881202250020989</v>
      </c>
      <c r="T243" s="25"/>
      <c r="U243" s="25"/>
      <c r="V243" s="5"/>
    </row>
    <row r="244" spans="1:22" ht="15.6" x14ac:dyDescent="0.3">
      <c r="A244" s="24"/>
      <c r="B244" s="54" t="s">
        <v>92</v>
      </c>
      <c r="C244" s="93"/>
      <c r="D244" s="93"/>
      <c r="E244" s="93"/>
      <c r="F244" s="25"/>
      <c r="G244" s="94"/>
      <c r="H244" s="93"/>
      <c r="I244" s="93"/>
      <c r="J244" s="93"/>
      <c r="K244" s="93"/>
      <c r="L244" s="93"/>
      <c r="M244" s="93"/>
      <c r="N244" s="93"/>
      <c r="O244" s="93"/>
      <c r="P244" s="54">
        <v>53</v>
      </c>
      <c r="Q244" s="94">
        <f t="shared" si="3"/>
        <v>0.32317073170731708</v>
      </c>
      <c r="R244" s="53">
        <v>7976</v>
      </c>
      <c r="S244" s="132">
        <f t="shared" si="4"/>
        <v>0.33481655612459071</v>
      </c>
      <c r="T244" s="25"/>
      <c r="U244" s="25"/>
      <c r="V244" s="5"/>
    </row>
    <row r="245" spans="1:22" ht="15.6" x14ac:dyDescent="0.3">
      <c r="A245" s="24"/>
      <c r="B245" s="54" t="s">
        <v>93</v>
      </c>
      <c r="C245" s="93"/>
      <c r="D245" s="93"/>
      <c r="E245" s="93"/>
      <c r="F245" s="25"/>
      <c r="G245" s="94"/>
      <c r="H245" s="93"/>
      <c r="I245" s="93"/>
      <c r="J245" s="93"/>
      <c r="K245" s="93"/>
      <c r="L245" s="93"/>
      <c r="M245" s="93"/>
      <c r="N245" s="93"/>
      <c r="O245" s="93"/>
      <c r="P245" s="54">
        <v>18</v>
      </c>
      <c r="Q245" s="94">
        <f t="shared" si="3"/>
        <v>0.10975609756097561</v>
      </c>
      <c r="R245" s="53">
        <v>2379</v>
      </c>
      <c r="S245" s="132">
        <f t="shared" si="4"/>
        <v>9.9865670388716313E-2</v>
      </c>
      <c r="T245" s="25"/>
      <c r="U245" s="25"/>
      <c r="V245" s="5"/>
    </row>
    <row r="246" spans="1:22" ht="15.6" x14ac:dyDescent="0.3">
      <c r="A246" s="24"/>
      <c r="B246" s="54" t="s">
        <v>163</v>
      </c>
      <c r="C246" s="93"/>
      <c r="D246" s="93"/>
      <c r="E246" s="93"/>
      <c r="F246" s="25"/>
      <c r="G246" s="94"/>
      <c r="H246" s="93"/>
      <c r="I246" s="93"/>
      <c r="J246" s="93"/>
      <c r="K246" s="93"/>
      <c r="L246" s="93"/>
      <c r="M246" s="93"/>
      <c r="N246" s="93"/>
      <c r="O246" s="93"/>
      <c r="P246" s="54">
        <v>9</v>
      </c>
      <c r="Q246" s="94">
        <f t="shared" si="3"/>
        <v>5.4878048780487805E-2</v>
      </c>
      <c r="R246" s="53">
        <v>1299</v>
      </c>
      <c r="S246" s="132">
        <f t="shared" si="4"/>
        <v>5.4529426580471836E-2</v>
      </c>
      <c r="T246" s="25"/>
      <c r="U246" s="25"/>
      <c r="V246" s="5"/>
    </row>
    <row r="247" spans="1:22" ht="15.6" x14ac:dyDescent="0.3">
      <c r="A247" s="24"/>
      <c r="B247" s="54" t="s">
        <v>164</v>
      </c>
      <c r="C247" s="93"/>
      <c r="D247" s="93"/>
      <c r="E247" s="93"/>
      <c r="F247" s="25"/>
      <c r="G247" s="94"/>
      <c r="H247" s="93"/>
      <c r="I247" s="93"/>
      <c r="J247" s="93"/>
      <c r="K247" s="93"/>
      <c r="L247" s="93"/>
      <c r="M247" s="93"/>
      <c r="N247" s="93"/>
      <c r="O247" s="93"/>
      <c r="P247" s="54">
        <v>4</v>
      </c>
      <c r="Q247" s="94">
        <f t="shared" si="3"/>
        <v>2.4390243902439025E-2</v>
      </c>
      <c r="R247" s="53">
        <v>457</v>
      </c>
      <c r="S247" s="132">
        <f t="shared" si="4"/>
        <v>1.9183947611451601E-2</v>
      </c>
      <c r="T247" s="25"/>
      <c r="U247" s="25"/>
      <c r="V247" s="5"/>
    </row>
    <row r="248" spans="1:22" ht="15.6" x14ac:dyDescent="0.3">
      <c r="A248" s="24"/>
      <c r="B248" s="54" t="s">
        <v>165</v>
      </c>
      <c r="C248" s="93"/>
      <c r="D248" s="93"/>
      <c r="E248" s="93"/>
      <c r="F248" s="25"/>
      <c r="G248" s="94"/>
      <c r="H248" s="93"/>
      <c r="I248" s="93"/>
      <c r="J248" s="93"/>
      <c r="K248" s="93"/>
      <c r="L248" s="93"/>
      <c r="M248" s="93"/>
      <c r="N248" s="93"/>
      <c r="O248" s="93"/>
      <c r="P248" s="54">
        <v>5</v>
      </c>
      <c r="Q248" s="94">
        <f t="shared" si="3"/>
        <v>3.048780487804878E-2</v>
      </c>
      <c r="R248" s="53">
        <v>767</v>
      </c>
      <c r="S248" s="132">
        <f t="shared" si="4"/>
        <v>3.2197128704558813E-2</v>
      </c>
      <c r="T248" s="25"/>
      <c r="U248" s="25"/>
      <c r="V248" s="5"/>
    </row>
    <row r="249" spans="1:22" ht="15.6" x14ac:dyDescent="0.3">
      <c r="A249" s="24"/>
      <c r="B249" s="54" t="s">
        <v>166</v>
      </c>
      <c r="C249" s="93"/>
      <c r="D249" s="93"/>
      <c r="E249" s="93"/>
      <c r="F249" s="25"/>
      <c r="G249" s="94"/>
      <c r="H249" s="93"/>
      <c r="I249" s="93"/>
      <c r="J249" s="93"/>
      <c r="K249" s="93"/>
      <c r="L249" s="93"/>
      <c r="M249" s="93"/>
      <c r="N249" s="93"/>
      <c r="O249" s="93"/>
      <c r="P249" s="54">
        <v>25</v>
      </c>
      <c r="Q249" s="94">
        <f t="shared" si="3"/>
        <v>0.1524390243902439</v>
      </c>
      <c r="R249" s="53">
        <v>3930</v>
      </c>
      <c r="S249" s="132">
        <f t="shared" si="4"/>
        <v>0.16497355385777854</v>
      </c>
      <c r="T249" s="25"/>
      <c r="U249" s="25"/>
      <c r="V249" s="5"/>
    </row>
    <row r="250" spans="1:22" ht="15.6" x14ac:dyDescent="0.3">
      <c r="A250" s="24"/>
      <c r="B250" s="54" t="s">
        <v>167</v>
      </c>
      <c r="C250" s="93"/>
      <c r="D250" s="93"/>
      <c r="E250" s="93"/>
      <c r="F250" s="25"/>
      <c r="G250" s="94"/>
      <c r="H250" s="93"/>
      <c r="I250" s="93"/>
      <c r="J250" s="93"/>
      <c r="K250" s="93"/>
      <c r="L250" s="93"/>
      <c r="M250" s="93"/>
      <c r="N250" s="93"/>
      <c r="O250" s="93"/>
      <c r="P250" s="54">
        <v>27</v>
      </c>
      <c r="Q250" s="94">
        <f t="shared" si="3"/>
        <v>0.16463414634146342</v>
      </c>
      <c r="R250" s="53">
        <v>3469</v>
      </c>
      <c r="S250" s="132">
        <f t="shared" si="4"/>
        <v>0.14562169423222232</v>
      </c>
      <c r="T250" s="25"/>
      <c r="U250" s="25"/>
      <c r="V250" s="5"/>
    </row>
    <row r="251" spans="1:22" ht="15.6" x14ac:dyDescent="0.3">
      <c r="A251" s="24"/>
      <c r="B251" s="54"/>
      <c r="C251" s="93"/>
      <c r="D251" s="93"/>
      <c r="E251" s="93"/>
      <c r="F251" s="25"/>
      <c r="G251" s="94"/>
      <c r="H251" s="93"/>
      <c r="I251" s="93"/>
      <c r="J251" s="93"/>
      <c r="K251" s="93"/>
      <c r="L251" s="93"/>
      <c r="M251" s="93"/>
      <c r="N251" s="93"/>
      <c r="O251" s="93"/>
      <c r="P251" s="54"/>
      <c r="Q251" s="94"/>
      <c r="R251" s="53"/>
      <c r="S251" s="132"/>
      <c r="T251" s="25"/>
      <c r="U251" s="25"/>
      <c r="V251" s="5"/>
    </row>
    <row r="252" spans="1:22" ht="15.6" x14ac:dyDescent="0.3">
      <c r="A252" s="24"/>
      <c r="B252" s="25" t="s">
        <v>120</v>
      </c>
      <c r="C252" s="25"/>
      <c r="D252" s="25"/>
      <c r="E252" s="25"/>
      <c r="F252" s="25"/>
      <c r="G252" s="25"/>
      <c r="H252" s="95"/>
      <c r="I252" s="95"/>
      <c r="J252" s="95"/>
      <c r="K252" s="95"/>
      <c r="L252" s="95"/>
      <c r="M252" s="95"/>
      <c r="N252" s="95"/>
      <c r="O252" s="95"/>
      <c r="P252" s="34">
        <f>SUM(P243:P251)</f>
        <v>164</v>
      </c>
      <c r="Q252" s="132">
        <f>SUM(Q243:Q251)</f>
        <v>1.0000000000000002</v>
      </c>
      <c r="R252" s="53">
        <f>SUM(R243:R251)</f>
        <v>23822</v>
      </c>
      <c r="S252" s="132">
        <f>SUM(S243:S251)</f>
        <v>1</v>
      </c>
      <c r="T252" s="25"/>
      <c r="U252" s="25"/>
      <c r="V252" s="5"/>
    </row>
    <row r="253" spans="1:22" ht="15.6" x14ac:dyDescent="0.3">
      <c r="A253" s="24"/>
      <c r="B253" s="25"/>
      <c r="C253" s="25"/>
      <c r="D253" s="25"/>
      <c r="E253" s="25"/>
      <c r="F253" s="25"/>
      <c r="G253" s="25"/>
      <c r="H253" s="95"/>
      <c r="I253" s="95"/>
      <c r="J253" s="95"/>
      <c r="K253" s="95"/>
      <c r="L253" s="95"/>
      <c r="M253" s="95"/>
      <c r="N253" s="95"/>
      <c r="O253" s="95"/>
      <c r="P253" s="34"/>
      <c r="Q253" s="132"/>
      <c r="R253" s="53"/>
      <c r="S253" s="132"/>
      <c r="T253" s="25"/>
      <c r="U253" s="25"/>
      <c r="V253" s="5"/>
    </row>
    <row r="254" spans="1:22" ht="15.6" x14ac:dyDescent="0.3">
      <c r="A254" s="141"/>
      <c r="B254" s="14" t="s">
        <v>170</v>
      </c>
      <c r="C254" s="139"/>
      <c r="D254" s="139"/>
      <c r="E254" s="139"/>
      <c r="F254" s="139"/>
      <c r="G254" s="139"/>
      <c r="H254" s="145"/>
      <c r="I254" s="145"/>
      <c r="J254" s="145"/>
      <c r="K254" s="145"/>
      <c r="L254" s="145"/>
      <c r="M254" s="145"/>
      <c r="N254" s="145"/>
      <c r="O254" s="145"/>
      <c r="P254" s="83" t="s">
        <v>105</v>
      </c>
      <c r="Q254" s="17" t="s">
        <v>106</v>
      </c>
      <c r="R254" s="83" t="s">
        <v>114</v>
      </c>
      <c r="S254" s="17" t="s">
        <v>106</v>
      </c>
      <c r="T254" s="139"/>
      <c r="U254" s="140"/>
      <c r="V254" s="5"/>
    </row>
    <row r="255" spans="1:22" ht="15.6" x14ac:dyDescent="0.3">
      <c r="A255" s="24"/>
      <c r="B255" s="54" t="s">
        <v>91</v>
      </c>
      <c r="C255" s="25"/>
      <c r="D255" s="25"/>
      <c r="E255" s="25"/>
      <c r="F255" s="25"/>
      <c r="G255" s="25"/>
      <c r="H255" s="95"/>
      <c r="I255" s="95"/>
      <c r="J255" s="95"/>
      <c r="K255" s="95"/>
      <c r="L255" s="95"/>
      <c r="M255" s="95"/>
      <c r="N255" s="95"/>
      <c r="O255" s="95"/>
      <c r="P255" s="54">
        <v>0</v>
      </c>
      <c r="Q255" s="94">
        <v>0</v>
      </c>
      <c r="R255" s="53">
        <v>0</v>
      </c>
      <c r="S255" s="132">
        <v>0</v>
      </c>
      <c r="T255" s="25"/>
      <c r="U255" s="25"/>
      <c r="V255" s="5"/>
    </row>
    <row r="256" spans="1:22" ht="15.6" x14ac:dyDescent="0.3">
      <c r="A256" s="24"/>
      <c r="B256" s="54" t="s">
        <v>92</v>
      </c>
      <c r="C256" s="25"/>
      <c r="D256" s="25"/>
      <c r="E256" s="25"/>
      <c r="F256" s="25"/>
      <c r="G256" s="25"/>
      <c r="H256" s="95"/>
      <c r="I256" s="95"/>
      <c r="J256" s="95"/>
      <c r="K256" s="95"/>
      <c r="L256" s="95"/>
      <c r="M256" s="95"/>
      <c r="N256" s="95"/>
      <c r="O256" s="95"/>
      <c r="P256" s="54">
        <v>0</v>
      </c>
      <c r="Q256" s="94">
        <v>0</v>
      </c>
      <c r="R256" s="53">
        <v>0</v>
      </c>
      <c r="S256" s="132">
        <v>0</v>
      </c>
      <c r="T256" s="25"/>
      <c r="U256" s="25"/>
      <c r="V256" s="5"/>
    </row>
    <row r="257" spans="1:22" ht="15.6" x14ac:dyDescent="0.3">
      <c r="A257" s="24"/>
      <c r="B257" s="54" t="s">
        <v>93</v>
      </c>
      <c r="C257" s="25"/>
      <c r="D257" s="25"/>
      <c r="E257" s="25"/>
      <c r="F257" s="25"/>
      <c r="G257" s="25"/>
      <c r="H257" s="95"/>
      <c r="I257" s="95"/>
      <c r="J257" s="95"/>
      <c r="K257" s="95"/>
      <c r="L257" s="95"/>
      <c r="M257" s="95"/>
      <c r="N257" s="95"/>
      <c r="O257" s="95"/>
      <c r="P257" s="54">
        <v>0</v>
      </c>
      <c r="Q257" s="94">
        <v>0</v>
      </c>
      <c r="R257" s="53">
        <v>0</v>
      </c>
      <c r="S257" s="132">
        <v>0</v>
      </c>
      <c r="T257" s="25"/>
      <c r="U257" s="25"/>
      <c r="V257" s="5"/>
    </row>
    <row r="258" spans="1:22" ht="15.6" x14ac:dyDescent="0.3">
      <c r="A258" s="24"/>
      <c r="B258" s="54" t="s">
        <v>163</v>
      </c>
      <c r="C258" s="25"/>
      <c r="D258" s="25"/>
      <c r="E258" s="25"/>
      <c r="F258" s="25"/>
      <c r="G258" s="25"/>
      <c r="H258" s="95"/>
      <c r="I258" s="95"/>
      <c r="J258" s="95"/>
      <c r="K258" s="95"/>
      <c r="L258" s="95"/>
      <c r="M258" s="95"/>
      <c r="N258" s="95"/>
      <c r="O258" s="95"/>
      <c r="P258" s="54">
        <v>0</v>
      </c>
      <c r="Q258" s="94">
        <v>0</v>
      </c>
      <c r="R258" s="53">
        <v>0</v>
      </c>
      <c r="S258" s="132">
        <v>0</v>
      </c>
      <c r="T258" s="25"/>
      <c r="U258" s="25"/>
      <c r="V258" s="5"/>
    </row>
    <row r="259" spans="1:22" ht="15.6" x14ac:dyDescent="0.3">
      <c r="A259" s="24"/>
      <c r="B259" s="54" t="s">
        <v>164</v>
      </c>
      <c r="C259" s="25"/>
      <c r="D259" s="25"/>
      <c r="E259" s="25"/>
      <c r="F259" s="25"/>
      <c r="G259" s="25"/>
      <c r="H259" s="95"/>
      <c r="I259" s="95"/>
      <c r="J259" s="95"/>
      <c r="K259" s="95"/>
      <c r="L259" s="95"/>
      <c r="M259" s="95"/>
      <c r="N259" s="95"/>
      <c r="O259" s="95"/>
      <c r="P259" s="54">
        <v>0</v>
      </c>
      <c r="Q259" s="94">
        <v>0</v>
      </c>
      <c r="R259" s="53">
        <v>0</v>
      </c>
      <c r="S259" s="132">
        <v>0</v>
      </c>
      <c r="T259" s="25"/>
      <c r="U259" s="25"/>
      <c r="V259" s="5"/>
    </row>
    <row r="260" spans="1:22" ht="15.6" x14ac:dyDescent="0.3">
      <c r="A260" s="24"/>
      <c r="B260" s="54" t="s">
        <v>165</v>
      </c>
      <c r="C260" s="25"/>
      <c r="D260" s="25"/>
      <c r="E260" s="25"/>
      <c r="F260" s="25"/>
      <c r="G260" s="25"/>
      <c r="H260" s="95"/>
      <c r="I260" s="95"/>
      <c r="J260" s="95"/>
      <c r="K260" s="95"/>
      <c r="L260" s="95"/>
      <c r="M260" s="95"/>
      <c r="N260" s="95"/>
      <c r="O260" s="95"/>
      <c r="P260" s="54">
        <v>0</v>
      </c>
      <c r="Q260" s="94">
        <v>0</v>
      </c>
      <c r="R260" s="53">
        <v>0</v>
      </c>
      <c r="S260" s="132">
        <v>0</v>
      </c>
      <c r="T260" s="25"/>
      <c r="U260" s="25"/>
      <c r="V260" s="5"/>
    </row>
    <row r="261" spans="1:22" ht="15.6" x14ac:dyDescent="0.3">
      <c r="A261" s="24"/>
      <c r="B261" s="54" t="s">
        <v>166</v>
      </c>
      <c r="C261" s="25"/>
      <c r="D261" s="25"/>
      <c r="E261" s="25"/>
      <c r="F261" s="25"/>
      <c r="G261" s="25"/>
      <c r="H261" s="95"/>
      <c r="I261" s="95"/>
      <c r="J261" s="95"/>
      <c r="K261" s="95"/>
      <c r="L261" s="95"/>
      <c r="M261" s="95"/>
      <c r="N261" s="95"/>
      <c r="O261" s="95"/>
      <c r="P261" s="54">
        <v>0</v>
      </c>
      <c r="Q261" s="94">
        <v>0</v>
      </c>
      <c r="R261" s="53">
        <v>0</v>
      </c>
      <c r="S261" s="132">
        <v>0</v>
      </c>
      <c r="T261" s="25"/>
      <c r="U261" s="25"/>
      <c r="V261" s="5"/>
    </row>
    <row r="262" spans="1:22" ht="15.6" x14ac:dyDescent="0.3">
      <c r="A262" s="24"/>
      <c r="B262" s="54" t="s">
        <v>167</v>
      </c>
      <c r="C262" s="25"/>
      <c r="D262" s="25"/>
      <c r="E262" s="25"/>
      <c r="F262" s="25"/>
      <c r="G262" s="25"/>
      <c r="H262" s="95"/>
      <c r="I262" s="95"/>
      <c r="J262" s="95"/>
      <c r="K262" s="95"/>
      <c r="L262" s="95"/>
      <c r="M262" s="95"/>
      <c r="N262" s="95"/>
      <c r="O262" s="95"/>
      <c r="P262" s="54">
        <v>0</v>
      </c>
      <c r="Q262" s="94">
        <v>0</v>
      </c>
      <c r="R262" s="53">
        <v>0</v>
      </c>
      <c r="S262" s="132">
        <v>0</v>
      </c>
      <c r="T262" s="25"/>
      <c r="U262" s="25"/>
      <c r="V262" s="5"/>
    </row>
    <row r="263" spans="1:22" ht="15.6" x14ac:dyDescent="0.3">
      <c r="A263" s="24"/>
      <c r="B263" s="54"/>
      <c r="C263" s="25"/>
      <c r="D263" s="25"/>
      <c r="E263" s="25"/>
      <c r="F263" s="25"/>
      <c r="G263" s="25"/>
      <c r="H263" s="95"/>
      <c r="I263" s="95"/>
      <c r="J263" s="95"/>
      <c r="K263" s="95"/>
      <c r="L263" s="95"/>
      <c r="M263" s="95"/>
      <c r="N263" s="95"/>
      <c r="O263" s="95"/>
      <c r="P263" s="54"/>
      <c r="Q263" s="94"/>
      <c r="R263" s="53"/>
      <c r="S263" s="132"/>
      <c r="T263" s="25"/>
      <c r="U263" s="25"/>
      <c r="V263" s="5"/>
    </row>
    <row r="264" spans="1:22" ht="15.6" x14ac:dyDescent="0.3">
      <c r="A264" s="24"/>
      <c r="B264" s="25" t="s">
        <v>120</v>
      </c>
      <c r="C264" s="25"/>
      <c r="D264" s="25"/>
      <c r="E264" s="25"/>
      <c r="F264" s="25"/>
      <c r="G264" s="25"/>
      <c r="H264" s="95"/>
      <c r="I264" s="95"/>
      <c r="J264" s="95"/>
      <c r="K264" s="95"/>
      <c r="L264" s="95"/>
      <c r="M264" s="95"/>
      <c r="N264" s="95"/>
      <c r="O264" s="95"/>
      <c r="P264" s="34">
        <f>SUM(P255:P262)</f>
        <v>0</v>
      </c>
      <c r="Q264" s="132">
        <f>SUM(Q255:Q263)</f>
        <v>0</v>
      </c>
      <c r="R264" s="53">
        <f>SUM(R255:R262)</f>
        <v>0</v>
      </c>
      <c r="S264" s="132">
        <f>SUM(S255:S263)</f>
        <v>0</v>
      </c>
      <c r="T264" s="25"/>
      <c r="U264" s="25"/>
      <c r="V264" s="5"/>
    </row>
    <row r="265" spans="1:22" ht="15.6" x14ac:dyDescent="0.3">
      <c r="A265" s="24"/>
      <c r="B265" s="25"/>
      <c r="C265" s="25"/>
      <c r="D265" s="25"/>
      <c r="E265" s="25"/>
      <c r="F265" s="25"/>
      <c r="G265" s="25"/>
      <c r="H265" s="95"/>
      <c r="I265" s="95"/>
      <c r="J265" s="95"/>
      <c r="K265" s="95"/>
      <c r="L265" s="95"/>
      <c r="M265" s="95"/>
      <c r="N265" s="95"/>
      <c r="O265" s="95"/>
      <c r="P265" s="34"/>
      <c r="Q265" s="132"/>
      <c r="R265" s="53"/>
      <c r="S265" s="132"/>
      <c r="T265" s="25"/>
      <c r="U265" s="25"/>
      <c r="V265" s="5"/>
    </row>
    <row r="266" spans="1:22" ht="15.6" x14ac:dyDescent="0.3">
      <c r="A266" s="24"/>
      <c r="B266" s="142" t="s">
        <v>171</v>
      </c>
      <c r="C266" s="25"/>
      <c r="D266" s="25"/>
      <c r="E266" s="25"/>
      <c r="F266" s="25"/>
      <c r="G266" s="25"/>
      <c r="H266" s="95"/>
      <c r="I266" s="95"/>
      <c r="J266" s="95"/>
      <c r="K266" s="95"/>
      <c r="L266" s="95"/>
      <c r="M266" s="95"/>
      <c r="N266" s="95"/>
      <c r="O266" s="95"/>
      <c r="P266" s="161">
        <f>P264+P252+P240</f>
        <v>4615</v>
      </c>
      <c r="Q266" s="143"/>
      <c r="R266" s="144">
        <f>+R264+R252+R240</f>
        <v>615424</v>
      </c>
      <c r="S266" s="143"/>
      <c r="T266" s="25"/>
      <c r="U266" s="25"/>
      <c r="V266" s="5"/>
    </row>
    <row r="267" spans="1:22" ht="15.6" x14ac:dyDescent="0.3">
      <c r="A267" s="24"/>
      <c r="B267" s="25"/>
      <c r="C267" s="25"/>
      <c r="D267" s="25"/>
      <c r="E267" s="25"/>
      <c r="F267" s="25"/>
      <c r="G267" s="25"/>
      <c r="H267" s="95"/>
      <c r="I267" s="95"/>
      <c r="J267" s="95"/>
      <c r="K267" s="95"/>
      <c r="L267" s="95"/>
      <c r="M267" s="95"/>
      <c r="N267" s="95"/>
      <c r="O267" s="95"/>
      <c r="P267" s="95"/>
      <c r="Q267" s="95"/>
      <c r="R267" s="53"/>
      <c r="S267" s="95"/>
      <c r="T267" s="25"/>
      <c r="U267" s="25"/>
      <c r="V267" s="5"/>
    </row>
    <row r="268" spans="1:22" ht="15.6" x14ac:dyDescent="0.3">
      <c r="A268" s="6"/>
      <c r="B268" s="8"/>
      <c r="C268" s="8"/>
      <c r="D268" s="8"/>
      <c r="E268" s="8"/>
      <c r="F268" s="8"/>
      <c r="G268" s="8"/>
      <c r="H268" s="96"/>
      <c r="I268" s="96"/>
      <c r="J268" s="96"/>
      <c r="K268" s="96"/>
      <c r="L268" s="96"/>
      <c r="M268" s="96"/>
      <c r="N268" s="96"/>
      <c r="O268" s="96"/>
      <c r="P268" s="96"/>
      <c r="Q268" s="96"/>
      <c r="R268" s="97"/>
      <c r="S268" s="96"/>
      <c r="T268" s="8"/>
      <c r="U268" s="8"/>
      <c r="V268" s="5"/>
    </row>
    <row r="269" spans="1:22" ht="15.6" x14ac:dyDescent="0.3">
      <c r="A269" s="167"/>
      <c r="B269" s="14" t="s">
        <v>94</v>
      </c>
      <c r="C269" s="15"/>
      <c r="D269" s="15"/>
      <c r="E269" s="15"/>
      <c r="F269" s="17" t="s">
        <v>100</v>
      </c>
      <c r="G269" s="15"/>
      <c r="H269" s="14" t="s">
        <v>102</v>
      </c>
      <c r="I269" s="162"/>
      <c r="J269" s="162"/>
      <c r="K269" s="162"/>
      <c r="L269" s="162"/>
      <c r="M269" s="162"/>
      <c r="N269" s="162"/>
      <c r="O269" s="162"/>
      <c r="P269" s="162"/>
      <c r="Q269" s="162"/>
      <c r="R269" s="162"/>
      <c r="S269" s="162"/>
      <c r="T269" s="162"/>
      <c r="U269" s="162"/>
      <c r="V269" s="5"/>
    </row>
    <row r="270" spans="1:22" ht="15.6" x14ac:dyDescent="0.3">
      <c r="A270" s="167"/>
      <c r="B270" s="13" t="s">
        <v>95</v>
      </c>
      <c r="C270" s="13"/>
      <c r="D270" s="13"/>
      <c r="E270" s="13"/>
      <c r="F270" s="130" t="s">
        <v>154</v>
      </c>
      <c r="G270" s="13"/>
      <c r="H270" s="13" t="s">
        <v>158</v>
      </c>
      <c r="I270" s="162"/>
      <c r="J270" s="162"/>
      <c r="K270" s="162"/>
      <c r="L270" s="162"/>
      <c r="M270" s="162"/>
      <c r="N270" s="162"/>
      <c r="O270" s="162"/>
      <c r="P270" s="162"/>
      <c r="Q270" s="162"/>
      <c r="R270" s="162"/>
      <c r="S270" s="162"/>
      <c r="T270" s="162"/>
      <c r="U270" s="162"/>
      <c r="V270" s="5"/>
    </row>
    <row r="271" spans="1:22" ht="15.6" x14ac:dyDescent="0.3">
      <c r="A271" s="167"/>
      <c r="B271" s="13" t="s">
        <v>268</v>
      </c>
      <c r="C271" s="13"/>
      <c r="D271" s="13"/>
      <c r="E271" s="13"/>
      <c r="F271" s="130" t="s">
        <v>269</v>
      </c>
      <c r="G271" s="13"/>
      <c r="H271" s="13" t="s">
        <v>270</v>
      </c>
      <c r="I271" s="162"/>
      <c r="J271" s="162"/>
      <c r="K271" s="162"/>
      <c r="L271" s="162"/>
      <c r="M271" s="162"/>
      <c r="N271" s="162"/>
      <c r="O271" s="162"/>
      <c r="P271" s="162"/>
      <c r="Q271" s="162"/>
      <c r="R271" s="162"/>
      <c r="S271" s="162"/>
      <c r="T271" s="162"/>
      <c r="U271" s="162"/>
      <c r="V271" s="5"/>
    </row>
    <row r="272" spans="1:22" ht="15.6" x14ac:dyDescent="0.3">
      <c r="A272" s="167"/>
      <c r="B272" s="13" t="s">
        <v>96</v>
      </c>
      <c r="C272" s="13"/>
      <c r="D272" s="13"/>
      <c r="E272" s="13"/>
      <c r="F272" s="130" t="s">
        <v>153</v>
      </c>
      <c r="G272" s="13"/>
      <c r="H272" s="13" t="s">
        <v>159</v>
      </c>
      <c r="I272" s="162"/>
      <c r="J272" s="162"/>
      <c r="K272" s="162"/>
      <c r="L272" s="162"/>
      <c r="M272" s="162"/>
      <c r="N272" s="162"/>
      <c r="O272" s="162"/>
      <c r="P272" s="162"/>
      <c r="Q272" s="162"/>
      <c r="R272" s="162"/>
      <c r="S272" s="162"/>
      <c r="T272" s="162"/>
      <c r="U272" s="162"/>
      <c r="V272" s="5"/>
    </row>
    <row r="273" spans="1:22" ht="15.6" x14ac:dyDescent="0.3">
      <c r="A273" s="167"/>
      <c r="B273" s="13"/>
      <c r="C273" s="13"/>
      <c r="D273" s="13"/>
      <c r="E273" s="13"/>
      <c r="F273" s="13"/>
      <c r="G273" s="99"/>
      <c r="H273" s="162"/>
      <c r="I273" s="162"/>
      <c r="J273" s="162"/>
      <c r="K273" s="162"/>
      <c r="L273" s="162"/>
      <c r="M273" s="162"/>
      <c r="N273" s="162"/>
      <c r="O273" s="162"/>
      <c r="P273" s="162"/>
      <c r="Q273" s="162"/>
      <c r="R273" s="162"/>
      <c r="S273" s="162"/>
      <c r="T273" s="162"/>
      <c r="U273" s="162"/>
      <c r="V273" s="5"/>
    </row>
    <row r="274" spans="1:22" ht="15.6" x14ac:dyDescent="0.3">
      <c r="A274" s="167"/>
      <c r="B274" s="13"/>
      <c r="C274" s="13"/>
      <c r="D274" s="13"/>
      <c r="E274" s="13"/>
      <c r="F274" s="13"/>
      <c r="G274" s="99"/>
      <c r="H274" s="162"/>
      <c r="I274" s="162"/>
      <c r="J274" s="162"/>
      <c r="K274" s="162"/>
      <c r="L274" s="162"/>
      <c r="M274" s="162"/>
      <c r="N274" s="162"/>
      <c r="O274" s="162"/>
      <c r="P274" s="162"/>
      <c r="Q274" s="162"/>
      <c r="R274" s="162"/>
      <c r="S274" s="162"/>
      <c r="T274" s="162"/>
      <c r="U274" s="162"/>
      <c r="V274" s="5"/>
    </row>
    <row r="275" spans="1:22" ht="18" thickBot="1" x14ac:dyDescent="0.35">
      <c r="A275" s="167"/>
      <c r="B275" s="49" t="str">
        <f>B192</f>
        <v>PM11 INVESTOR REPORT QUARTER ENDING JUNE 2009</v>
      </c>
      <c r="C275" s="13"/>
      <c r="D275" s="13"/>
      <c r="E275" s="13"/>
      <c r="F275" s="13"/>
      <c r="G275" s="99"/>
      <c r="H275" s="162"/>
      <c r="I275" s="162"/>
      <c r="J275" s="162"/>
      <c r="K275" s="162"/>
      <c r="L275" s="162"/>
      <c r="M275" s="162"/>
      <c r="N275" s="162"/>
      <c r="O275" s="162"/>
      <c r="P275" s="162"/>
      <c r="Q275" s="162"/>
      <c r="R275" s="162"/>
      <c r="S275" s="162"/>
      <c r="T275" s="162"/>
      <c r="U275" s="162"/>
      <c r="V275" s="5"/>
    </row>
    <row r="276" spans="1:22" x14ac:dyDescent="0.25">
      <c r="A276" s="100"/>
      <c r="B276" s="100"/>
      <c r="C276" s="100"/>
      <c r="D276" s="100"/>
      <c r="E276" s="100"/>
      <c r="F276" s="100"/>
      <c r="G276" s="100"/>
      <c r="H276" s="100"/>
      <c r="I276" s="100"/>
      <c r="J276" s="100"/>
      <c r="K276" s="100"/>
      <c r="L276" s="100"/>
      <c r="M276" s="100"/>
      <c r="N276" s="100"/>
      <c r="O276" s="100"/>
      <c r="P276" s="100"/>
      <c r="Q276" s="100"/>
      <c r="R276" s="100"/>
      <c r="S276" s="100"/>
      <c r="T276" s="100"/>
      <c r="U276" s="100"/>
    </row>
  </sheetData>
  <phoneticPr fontId="0" type="noConversion"/>
  <hyperlinks>
    <hyperlink ref="N228" r:id="rId1" xr:uid="{00000000-0004-0000-0C00-000000000000}"/>
    <hyperlink ref="J9" r:id="rId2" xr:uid="{00000000-0004-0000-0C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4" max="14" man="1"/>
    <brk id="133" max="14" man="1"/>
    <brk id="192" max="14" man="1"/>
  </rowBreaks>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2D2926"/>
  </sheetPr>
  <dimension ref="A1:X276"/>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08984375" style="1" customWidth="1"/>
    <col min="10" max="10" width="17.81640625" style="1" customWidth="1"/>
    <col min="11" max="11" width="2.1796875" style="1" customWidth="1"/>
    <col min="12" max="12" width="14.81640625" style="1" customWidth="1"/>
    <col min="13" max="13" width="2.1796875" style="1" customWidth="1"/>
    <col min="14" max="14" width="15.54296875" style="1" customWidth="1"/>
    <col min="15" max="15" width="2.08984375" style="1" customWidth="1"/>
    <col min="16" max="16" width="15.54296875" style="1" customWidth="1"/>
    <col min="17" max="18" width="12.81640625" style="1" customWidth="1"/>
    <col min="19" max="19" width="7.81640625" style="1" customWidth="1"/>
    <col min="20" max="20" width="14.81640625" style="1" customWidth="1"/>
    <col min="21" max="21" width="11.81640625" style="1" customWidth="1"/>
    <col min="22" max="16384" width="9.81640625" style="1"/>
  </cols>
  <sheetData>
    <row r="1" spans="1:22" ht="20.399999999999999" x14ac:dyDescent="0.35">
      <c r="A1" s="2"/>
      <c r="B1" s="3" t="s">
        <v>228</v>
      </c>
      <c r="C1" s="4"/>
      <c r="D1" s="4"/>
      <c r="E1" s="4"/>
      <c r="F1" s="4"/>
      <c r="G1" s="4"/>
      <c r="H1" s="4"/>
      <c r="I1" s="4"/>
      <c r="J1" s="4"/>
      <c r="K1" s="4"/>
      <c r="L1" s="4"/>
      <c r="M1" s="4"/>
      <c r="N1" s="4"/>
      <c r="O1" s="4"/>
      <c r="P1" s="4"/>
      <c r="Q1" s="4"/>
      <c r="R1" s="4"/>
      <c r="S1" s="4"/>
      <c r="T1" s="4"/>
      <c r="U1" s="4"/>
      <c r="V1" s="5"/>
    </row>
    <row r="2" spans="1:22" ht="15.6" x14ac:dyDescent="0.3">
      <c r="A2" s="6"/>
      <c r="B2" s="7"/>
      <c r="C2" s="8"/>
      <c r="D2" s="8"/>
      <c r="E2" s="8"/>
      <c r="F2" s="8"/>
      <c r="G2" s="8"/>
      <c r="H2" s="8"/>
      <c r="I2" s="8"/>
      <c r="J2" s="8"/>
      <c r="K2" s="8"/>
      <c r="L2" s="8"/>
      <c r="M2" s="8"/>
      <c r="N2" s="8"/>
      <c r="O2" s="8"/>
      <c r="P2" s="8"/>
      <c r="Q2" s="8"/>
      <c r="R2" s="8"/>
      <c r="S2" s="8"/>
      <c r="T2" s="8"/>
      <c r="U2" s="8"/>
      <c r="V2" s="5"/>
    </row>
    <row r="3" spans="1:22" ht="15.6" x14ac:dyDescent="0.3">
      <c r="A3" s="9"/>
      <c r="B3" s="111" t="s">
        <v>229</v>
      </c>
      <c r="C3" s="8"/>
      <c r="D3" s="8"/>
      <c r="E3" s="8"/>
      <c r="F3" s="8"/>
      <c r="G3" s="8"/>
      <c r="H3" s="8"/>
      <c r="I3" s="8"/>
      <c r="J3" s="8"/>
      <c r="K3" s="8"/>
      <c r="L3" s="8"/>
      <c r="M3" s="8"/>
      <c r="N3" s="8"/>
      <c r="O3" s="8"/>
      <c r="P3" s="8"/>
      <c r="Q3" s="8"/>
      <c r="R3" s="8"/>
      <c r="S3" s="8"/>
      <c r="T3" s="8"/>
      <c r="U3" s="8"/>
      <c r="V3" s="5"/>
    </row>
    <row r="4" spans="1:22" ht="15.6" x14ac:dyDescent="0.3">
      <c r="A4" s="6"/>
      <c r="B4" s="7"/>
      <c r="C4" s="8"/>
      <c r="D4" s="8"/>
      <c r="E4" s="8"/>
      <c r="F4" s="8"/>
      <c r="G4" s="8"/>
      <c r="H4" s="8"/>
      <c r="I4" s="8"/>
      <c r="J4" s="8"/>
      <c r="K4" s="8"/>
      <c r="L4" s="8"/>
      <c r="M4" s="8"/>
      <c r="N4" s="8"/>
      <c r="O4" s="8"/>
      <c r="P4" s="8"/>
      <c r="Q4" s="8"/>
      <c r="R4" s="8"/>
      <c r="S4" s="8"/>
      <c r="T4" s="8"/>
      <c r="U4" s="8"/>
      <c r="V4" s="5"/>
    </row>
    <row r="5" spans="1:22" ht="15.6" x14ac:dyDescent="0.3">
      <c r="A5" s="6"/>
      <c r="B5" s="11" t="s">
        <v>143</v>
      </c>
      <c r="C5" s="8"/>
      <c r="D5" s="8"/>
      <c r="E5" s="8"/>
      <c r="F5" s="8"/>
      <c r="G5" s="8"/>
      <c r="H5" s="8"/>
      <c r="I5" s="8"/>
      <c r="J5" s="8"/>
      <c r="K5" s="8"/>
      <c r="L5" s="8"/>
      <c r="M5" s="8"/>
      <c r="N5" s="8"/>
      <c r="O5" s="8"/>
      <c r="P5" s="8"/>
      <c r="Q5" s="8"/>
      <c r="R5" s="8"/>
      <c r="S5" s="8"/>
      <c r="T5" s="8"/>
      <c r="U5" s="8"/>
      <c r="V5" s="5"/>
    </row>
    <row r="6" spans="1:22" ht="15.6" x14ac:dyDescent="0.3">
      <c r="A6" s="6"/>
      <c r="B6" s="11" t="s">
        <v>145</v>
      </c>
      <c r="C6" s="8"/>
      <c r="D6" s="8"/>
      <c r="E6" s="8"/>
      <c r="F6" s="8"/>
      <c r="G6" s="8"/>
      <c r="H6" s="8"/>
      <c r="I6" s="8"/>
      <c r="J6" s="8"/>
      <c r="K6" s="8"/>
      <c r="L6" s="8"/>
      <c r="M6" s="8"/>
      <c r="N6" s="8"/>
      <c r="O6" s="8"/>
      <c r="P6" s="8"/>
      <c r="Q6" s="8"/>
      <c r="R6" s="8"/>
      <c r="S6" s="8"/>
      <c r="T6" s="8"/>
      <c r="U6" s="8"/>
      <c r="V6" s="5"/>
    </row>
    <row r="7" spans="1:22" ht="15.6" x14ac:dyDescent="0.3">
      <c r="A7" s="6"/>
      <c r="B7" s="11" t="s">
        <v>144</v>
      </c>
      <c r="C7" s="8"/>
      <c r="D7" s="8"/>
      <c r="E7" s="8"/>
      <c r="F7" s="8"/>
      <c r="G7" s="8"/>
      <c r="H7" s="8"/>
      <c r="I7" s="8"/>
      <c r="J7" s="8"/>
      <c r="K7" s="8"/>
      <c r="L7" s="8"/>
      <c r="M7" s="8"/>
      <c r="N7" s="8"/>
      <c r="O7" s="8"/>
      <c r="P7" s="8"/>
      <c r="Q7" s="8"/>
      <c r="R7" s="8"/>
      <c r="S7" s="8"/>
      <c r="T7" s="8"/>
      <c r="U7" s="8"/>
      <c r="V7" s="5"/>
    </row>
    <row r="8" spans="1:22" ht="15.6" x14ac:dyDescent="0.3">
      <c r="A8" s="6"/>
      <c r="B8" s="11"/>
      <c r="C8" s="8"/>
      <c r="D8" s="8"/>
      <c r="E8" s="8"/>
      <c r="F8" s="8"/>
      <c r="G8" s="8"/>
      <c r="H8" s="8"/>
      <c r="I8" s="8"/>
      <c r="J8" s="8"/>
      <c r="K8" s="8"/>
      <c r="L8" s="8"/>
      <c r="M8" s="8"/>
      <c r="N8" s="8"/>
      <c r="O8" s="8"/>
      <c r="P8" s="8"/>
      <c r="Q8" s="8"/>
      <c r="R8" s="8"/>
      <c r="S8" s="8"/>
      <c r="T8" s="8"/>
      <c r="U8" s="8"/>
      <c r="V8" s="5"/>
    </row>
    <row r="9" spans="1:22" ht="17.399999999999999" x14ac:dyDescent="0.3">
      <c r="A9" s="6"/>
      <c r="B9" s="147" t="s">
        <v>173</v>
      </c>
      <c r="C9" s="8"/>
      <c r="D9" s="8"/>
      <c r="E9" s="8"/>
      <c r="F9" s="8"/>
      <c r="G9" s="8"/>
      <c r="H9" s="8"/>
      <c r="I9" s="8"/>
      <c r="J9" s="148" t="s">
        <v>174</v>
      </c>
      <c r="K9" s="8"/>
      <c r="L9" s="148"/>
      <c r="M9" s="8"/>
      <c r="N9" s="8"/>
      <c r="O9" s="8"/>
      <c r="P9" s="8"/>
      <c r="Q9" s="8"/>
      <c r="R9" s="8"/>
      <c r="S9" s="8"/>
      <c r="T9" s="8"/>
      <c r="U9" s="8"/>
      <c r="V9" s="5"/>
    </row>
    <row r="10" spans="1:22" ht="15.6" x14ac:dyDescent="0.3">
      <c r="A10" s="6"/>
      <c r="B10" s="11"/>
      <c r="C10" s="13"/>
      <c r="D10" s="13"/>
      <c r="E10" s="13"/>
      <c r="F10" s="8"/>
      <c r="G10" s="8"/>
      <c r="H10" s="8"/>
      <c r="I10" s="8"/>
      <c r="J10" s="8"/>
      <c r="K10" s="8"/>
      <c r="L10" s="8"/>
      <c r="M10" s="8"/>
      <c r="N10" s="8"/>
      <c r="O10" s="8"/>
      <c r="P10" s="8"/>
      <c r="Q10" s="8"/>
      <c r="R10" s="8"/>
      <c r="S10" s="8"/>
      <c r="T10" s="8"/>
      <c r="U10" s="8"/>
      <c r="V10" s="5"/>
    </row>
    <row r="11" spans="1:22" ht="15.6" x14ac:dyDescent="0.3">
      <c r="A11" s="6"/>
      <c r="B11" s="14" t="s">
        <v>0</v>
      </c>
      <c r="C11" s="8"/>
      <c r="D11" s="8"/>
      <c r="E11" s="8"/>
      <c r="F11" s="8"/>
      <c r="G11" s="8"/>
      <c r="H11" s="8"/>
      <c r="I11" s="8"/>
      <c r="J11" s="8"/>
      <c r="K11" s="8"/>
      <c r="L11" s="8"/>
      <c r="M11" s="8"/>
      <c r="N11" s="8"/>
      <c r="O11" s="8"/>
      <c r="P11" s="8"/>
      <c r="Q11" s="8"/>
      <c r="R11" s="8"/>
      <c r="S11" s="8"/>
      <c r="T11" s="8"/>
      <c r="U11" s="8"/>
      <c r="V11" s="5"/>
    </row>
    <row r="12" spans="1:22" ht="16.2" thickBot="1" x14ac:dyDescent="0.35">
      <c r="A12" s="6"/>
      <c r="B12" s="13"/>
      <c r="C12" s="8"/>
      <c r="D12" s="8"/>
      <c r="E12" s="8"/>
      <c r="F12" s="8"/>
      <c r="G12" s="8"/>
      <c r="H12" s="8"/>
      <c r="I12" s="8"/>
      <c r="J12" s="8"/>
      <c r="K12" s="8"/>
      <c r="L12" s="8"/>
      <c r="M12" s="8"/>
      <c r="N12" s="8"/>
      <c r="O12" s="8"/>
      <c r="P12" s="8"/>
      <c r="Q12" s="8"/>
      <c r="R12" s="8"/>
      <c r="S12" s="8"/>
      <c r="T12" s="8"/>
      <c r="U12" s="8"/>
      <c r="V12" s="5"/>
    </row>
    <row r="13" spans="1:22" ht="15.6" x14ac:dyDescent="0.3">
      <c r="A13" s="2"/>
      <c r="B13" s="4"/>
      <c r="C13" s="4"/>
      <c r="D13" s="4"/>
      <c r="E13" s="4"/>
      <c r="F13" s="4"/>
      <c r="G13" s="4"/>
      <c r="H13" s="4"/>
      <c r="I13" s="4"/>
      <c r="J13" s="4"/>
      <c r="K13" s="4"/>
      <c r="L13" s="4"/>
      <c r="M13" s="4"/>
      <c r="N13" s="4"/>
      <c r="O13" s="4"/>
      <c r="P13" s="4"/>
      <c r="Q13" s="4"/>
      <c r="R13" s="4"/>
      <c r="S13" s="4"/>
      <c r="T13" s="4"/>
      <c r="U13" s="4"/>
      <c r="V13" s="5"/>
    </row>
    <row r="14" spans="1:22" ht="15.6" x14ac:dyDescent="0.3">
      <c r="A14" s="6"/>
      <c r="B14" s="14" t="s">
        <v>1</v>
      </c>
      <c r="C14" s="15"/>
      <c r="D14" s="15"/>
      <c r="E14" s="15"/>
      <c r="F14" s="15"/>
      <c r="G14" s="15"/>
      <c r="H14" s="15"/>
      <c r="I14" s="15"/>
      <c r="J14" s="15"/>
      <c r="K14" s="15"/>
      <c r="L14" s="15"/>
      <c r="M14" s="15"/>
      <c r="N14" s="15"/>
      <c r="O14" s="15"/>
      <c r="P14" s="15"/>
      <c r="Q14" s="15"/>
      <c r="R14" s="15"/>
      <c r="S14" s="15"/>
      <c r="T14" s="16" t="s">
        <v>230</v>
      </c>
      <c r="U14" s="15"/>
      <c r="V14" s="5"/>
    </row>
    <row r="15" spans="1:22" ht="15.6" x14ac:dyDescent="0.3">
      <c r="A15" s="6"/>
      <c r="B15" s="14" t="s">
        <v>2</v>
      </c>
      <c r="C15" s="15"/>
      <c r="D15" s="15"/>
      <c r="E15" s="15"/>
      <c r="F15" s="15"/>
      <c r="G15" s="15"/>
      <c r="H15" s="18"/>
      <c r="I15" s="18"/>
      <c r="J15" s="18"/>
      <c r="K15" s="18"/>
      <c r="L15" s="18"/>
      <c r="M15" s="18"/>
      <c r="N15" s="18"/>
      <c r="O15" s="18"/>
      <c r="P15" s="18" t="s">
        <v>107</v>
      </c>
      <c r="Q15" s="137">
        <v>0.40749999999999997</v>
      </c>
      <c r="R15" s="17" t="s">
        <v>146</v>
      </c>
      <c r="S15" s="137">
        <v>0.59250000000000003</v>
      </c>
      <c r="T15" s="16"/>
      <c r="U15" s="15"/>
      <c r="V15" s="5"/>
    </row>
    <row r="16" spans="1:22" ht="15.6" x14ac:dyDescent="0.3">
      <c r="A16" s="6"/>
      <c r="B16" s="14" t="s">
        <v>3</v>
      </c>
      <c r="C16" s="15"/>
      <c r="D16" s="15"/>
      <c r="E16" s="15"/>
      <c r="F16" s="15"/>
      <c r="G16" s="15"/>
      <c r="H16" s="18"/>
      <c r="I16" s="18"/>
      <c r="J16" s="18"/>
      <c r="K16" s="18"/>
      <c r="L16" s="18"/>
      <c r="M16" s="18"/>
      <c r="N16" s="18"/>
      <c r="O16" s="18"/>
      <c r="P16" s="18" t="s">
        <v>107</v>
      </c>
      <c r="Q16" s="137">
        <v>0.44669999999999999</v>
      </c>
      <c r="R16" s="17" t="s">
        <v>146</v>
      </c>
      <c r="S16" s="137">
        <v>0.55330000000000001</v>
      </c>
      <c r="T16" s="16"/>
      <c r="U16" s="15"/>
      <c r="V16" s="5"/>
    </row>
    <row r="17" spans="1:22" ht="15.6" x14ac:dyDescent="0.3">
      <c r="A17" s="6"/>
      <c r="B17" s="14" t="s">
        <v>4</v>
      </c>
      <c r="C17" s="15"/>
      <c r="D17" s="15"/>
      <c r="E17" s="15"/>
      <c r="F17" s="15"/>
      <c r="G17" s="15"/>
      <c r="H17" s="15"/>
      <c r="I17" s="15"/>
      <c r="J17" s="15"/>
      <c r="K17" s="15"/>
      <c r="L17" s="15"/>
      <c r="M17" s="15"/>
      <c r="N17" s="15"/>
      <c r="O17" s="15"/>
      <c r="P17" s="15"/>
      <c r="Q17" s="15"/>
      <c r="R17" s="15"/>
      <c r="S17" s="15"/>
      <c r="T17" s="19">
        <v>38799</v>
      </c>
      <c r="U17" s="15"/>
      <c r="V17" s="5"/>
    </row>
    <row r="18" spans="1:22" ht="15.6" x14ac:dyDescent="0.3">
      <c r="A18" s="6"/>
      <c r="B18" s="14" t="s">
        <v>5</v>
      </c>
      <c r="C18" s="15"/>
      <c r="D18" s="15"/>
      <c r="E18" s="15"/>
      <c r="F18" s="15"/>
      <c r="G18" s="15"/>
      <c r="H18" s="15"/>
      <c r="I18" s="15"/>
      <c r="J18" s="15"/>
      <c r="K18" s="15"/>
      <c r="L18" s="15"/>
      <c r="M18" s="15"/>
      <c r="N18" s="15"/>
      <c r="O18" s="15"/>
      <c r="P18" s="15"/>
      <c r="Q18" s="15"/>
      <c r="R18" s="15"/>
      <c r="S18" s="15"/>
      <c r="T18" s="19">
        <v>40106</v>
      </c>
      <c r="U18" s="15"/>
      <c r="V18" s="5"/>
    </row>
    <row r="19" spans="1:22" ht="15.6" x14ac:dyDescent="0.3">
      <c r="A19" s="6"/>
      <c r="B19" s="8"/>
      <c r="C19" s="8"/>
      <c r="D19" s="8"/>
      <c r="E19" s="8"/>
      <c r="F19" s="8"/>
      <c r="G19" s="8"/>
      <c r="H19" s="8"/>
      <c r="I19" s="8"/>
      <c r="J19" s="8"/>
      <c r="K19" s="8"/>
      <c r="L19" s="8"/>
      <c r="M19" s="8"/>
      <c r="N19" s="8"/>
      <c r="O19" s="8"/>
      <c r="P19" s="8"/>
      <c r="Q19" s="8"/>
      <c r="R19" s="8"/>
      <c r="S19" s="8"/>
      <c r="T19" s="20"/>
      <c r="U19" s="8"/>
      <c r="V19" s="5"/>
    </row>
    <row r="20" spans="1:22" ht="15.6" x14ac:dyDescent="0.3">
      <c r="A20" s="6"/>
      <c r="B20" s="21" t="s">
        <v>6</v>
      </c>
      <c r="C20" s="8"/>
      <c r="D20" s="8"/>
      <c r="E20" s="8"/>
      <c r="F20" s="8"/>
      <c r="G20" s="8"/>
      <c r="H20" s="8"/>
      <c r="I20" s="8"/>
      <c r="J20" s="8"/>
      <c r="K20" s="8"/>
      <c r="L20" s="8"/>
      <c r="M20" s="8"/>
      <c r="N20" s="8"/>
      <c r="O20" s="8"/>
      <c r="P20" s="8"/>
      <c r="Q20" s="8"/>
      <c r="R20" s="20" t="s">
        <v>108</v>
      </c>
      <c r="S20" s="8"/>
      <c r="T20" s="162"/>
      <c r="U20" s="8"/>
      <c r="V20" s="5"/>
    </row>
    <row r="21" spans="1:22" ht="15.6" x14ac:dyDescent="0.3">
      <c r="A21" s="6"/>
      <c r="B21" s="8"/>
      <c r="C21" s="8"/>
      <c r="D21" s="8"/>
      <c r="E21" s="8"/>
      <c r="F21" s="8"/>
      <c r="G21" s="8"/>
      <c r="H21" s="8"/>
      <c r="I21" s="8"/>
      <c r="J21" s="8"/>
      <c r="K21" s="8"/>
      <c r="L21" s="8"/>
      <c r="M21" s="8"/>
      <c r="N21" s="8"/>
      <c r="O21" s="8"/>
      <c r="P21" s="8"/>
      <c r="Q21" s="8"/>
      <c r="R21" s="8"/>
      <c r="S21" s="8"/>
      <c r="T21" s="22"/>
      <c r="U21" s="8"/>
      <c r="V21" s="5"/>
    </row>
    <row r="22" spans="1:22" ht="15.6" x14ac:dyDescent="0.3">
      <c r="A22" s="6"/>
      <c r="B22" s="8"/>
      <c r="C22" s="112"/>
      <c r="D22" s="112" t="s">
        <v>184</v>
      </c>
      <c r="E22" s="112"/>
      <c r="F22" s="112" t="s">
        <v>185</v>
      </c>
      <c r="G22" s="112"/>
      <c r="H22" s="112" t="s">
        <v>186</v>
      </c>
      <c r="I22" s="112"/>
      <c r="J22" s="112" t="s">
        <v>187</v>
      </c>
      <c r="K22" s="112"/>
      <c r="L22" s="112" t="s">
        <v>188</v>
      </c>
      <c r="M22" s="112"/>
      <c r="N22" s="112" t="s">
        <v>189</v>
      </c>
      <c r="O22" s="112"/>
      <c r="P22" s="112"/>
      <c r="Q22" s="113"/>
      <c r="R22" s="23"/>
      <c r="S22" s="162"/>
      <c r="T22" s="162"/>
      <c r="U22" s="8"/>
      <c r="V22" s="5"/>
    </row>
    <row r="23" spans="1:22" ht="15.6" x14ac:dyDescent="0.3">
      <c r="A23" s="24"/>
      <c r="B23" s="25" t="s">
        <v>7</v>
      </c>
      <c r="C23" s="26"/>
      <c r="D23" s="26" t="s">
        <v>222</v>
      </c>
      <c r="E23" s="26"/>
      <c r="F23" s="26" t="s">
        <v>147</v>
      </c>
      <c r="G23" s="26"/>
      <c r="H23" s="26" t="s">
        <v>147</v>
      </c>
      <c r="I23" s="26"/>
      <c r="J23" s="26" t="s">
        <v>190</v>
      </c>
      <c r="K23" s="26"/>
      <c r="L23" s="26" t="s">
        <v>190</v>
      </c>
      <c r="M23" s="26"/>
      <c r="N23" s="26" t="s">
        <v>148</v>
      </c>
      <c r="O23" s="26"/>
      <c r="P23" s="26"/>
      <c r="Q23" s="26"/>
      <c r="R23" s="26"/>
      <c r="S23" s="163"/>
      <c r="T23" s="163"/>
      <c r="U23" s="25"/>
      <c r="V23" s="5"/>
    </row>
    <row r="24" spans="1:22" ht="15.6" x14ac:dyDescent="0.3">
      <c r="A24" s="24"/>
      <c r="B24" s="25" t="s">
        <v>8</v>
      </c>
      <c r="C24" s="26"/>
      <c r="D24" s="26" t="s">
        <v>223</v>
      </c>
      <c r="E24" s="26"/>
      <c r="F24" s="26" t="s">
        <v>149</v>
      </c>
      <c r="G24" s="26"/>
      <c r="H24" s="26" t="s">
        <v>149</v>
      </c>
      <c r="I24" s="26"/>
      <c r="J24" s="26" t="s">
        <v>172</v>
      </c>
      <c r="K24" s="26"/>
      <c r="L24" s="26" t="s">
        <v>172</v>
      </c>
      <c r="M24" s="26"/>
      <c r="N24" s="26" t="s">
        <v>150</v>
      </c>
      <c r="O24" s="26"/>
      <c r="P24" s="26"/>
      <c r="Q24" s="26"/>
      <c r="R24" s="26"/>
      <c r="S24" s="163"/>
      <c r="T24" s="163"/>
      <c r="U24" s="25"/>
      <c r="V24" s="5"/>
    </row>
    <row r="25" spans="1:22" ht="15.6" x14ac:dyDescent="0.3">
      <c r="A25" s="28"/>
      <c r="B25" s="131" t="s">
        <v>198</v>
      </c>
      <c r="C25" s="123"/>
      <c r="D25" s="26" t="s">
        <v>224</v>
      </c>
      <c r="E25" s="26"/>
      <c r="F25" s="26" t="s">
        <v>149</v>
      </c>
      <c r="G25" s="26"/>
      <c r="H25" s="26" t="s">
        <v>149</v>
      </c>
      <c r="I25" s="26"/>
      <c r="J25" s="26" t="s">
        <v>172</v>
      </c>
      <c r="K25" s="26"/>
      <c r="L25" s="26" t="s">
        <v>172</v>
      </c>
      <c r="M25" s="26"/>
      <c r="N25" s="26" t="s">
        <v>150</v>
      </c>
      <c r="O25" s="26"/>
      <c r="P25" s="26"/>
      <c r="Q25" s="123"/>
      <c r="R25" s="26"/>
      <c r="S25" s="163"/>
      <c r="T25" s="163"/>
      <c r="U25" s="25"/>
      <c r="V25" s="5"/>
    </row>
    <row r="26" spans="1:22" ht="15.6" x14ac:dyDescent="0.3">
      <c r="A26" s="28"/>
      <c r="B26" s="29" t="s">
        <v>9</v>
      </c>
      <c r="C26" s="123"/>
      <c r="D26" s="123" t="s">
        <v>222</v>
      </c>
      <c r="E26" s="123"/>
      <c r="F26" s="123" t="s">
        <v>147</v>
      </c>
      <c r="G26" s="123"/>
      <c r="H26" s="123" t="s">
        <v>147</v>
      </c>
      <c r="I26" s="123"/>
      <c r="J26" s="123" t="s">
        <v>190</v>
      </c>
      <c r="K26" s="123"/>
      <c r="L26" s="123" t="s">
        <v>190</v>
      </c>
      <c r="M26" s="123"/>
      <c r="N26" s="123" t="s">
        <v>148</v>
      </c>
      <c r="O26" s="123"/>
      <c r="P26" s="123"/>
      <c r="Q26" s="123"/>
      <c r="R26" s="26"/>
      <c r="S26" s="163"/>
      <c r="T26" s="163"/>
      <c r="U26" s="25"/>
      <c r="V26" s="5"/>
    </row>
    <row r="27" spans="1:22" ht="15.6" x14ac:dyDescent="0.3">
      <c r="A27" s="24"/>
      <c r="B27" s="29" t="s">
        <v>199</v>
      </c>
      <c r="C27" s="26"/>
      <c r="D27" s="123" t="s">
        <v>223</v>
      </c>
      <c r="E27" s="123"/>
      <c r="F27" s="123" t="s">
        <v>149</v>
      </c>
      <c r="G27" s="123"/>
      <c r="H27" s="123" t="s">
        <v>149</v>
      </c>
      <c r="I27" s="123"/>
      <c r="J27" s="123" t="s">
        <v>172</v>
      </c>
      <c r="K27" s="123"/>
      <c r="L27" s="123" t="s">
        <v>172</v>
      </c>
      <c r="M27" s="123"/>
      <c r="N27" s="123" t="s">
        <v>150</v>
      </c>
      <c r="O27" s="123"/>
      <c r="P27" s="123"/>
      <c r="Q27" s="26"/>
      <c r="R27" s="30"/>
      <c r="S27" s="163"/>
      <c r="T27" s="163"/>
      <c r="U27" s="25"/>
      <c r="V27" s="5"/>
    </row>
    <row r="28" spans="1:22" ht="15.6" x14ac:dyDescent="0.3">
      <c r="A28" s="24"/>
      <c r="B28" s="153" t="s">
        <v>200</v>
      </c>
      <c r="C28" s="26"/>
      <c r="D28" s="123" t="s">
        <v>224</v>
      </c>
      <c r="E28" s="123"/>
      <c r="F28" s="123" t="s">
        <v>149</v>
      </c>
      <c r="G28" s="123"/>
      <c r="H28" s="123" t="s">
        <v>149</v>
      </c>
      <c r="I28" s="123"/>
      <c r="J28" s="123" t="s">
        <v>172</v>
      </c>
      <c r="K28" s="123"/>
      <c r="L28" s="123" t="s">
        <v>172</v>
      </c>
      <c r="M28" s="123"/>
      <c r="N28" s="123" t="s">
        <v>150</v>
      </c>
      <c r="O28" s="123"/>
      <c r="P28" s="123"/>
      <c r="Q28" s="26"/>
      <c r="R28" s="30"/>
      <c r="S28" s="163"/>
      <c r="T28" s="163"/>
      <c r="U28" s="25"/>
      <c r="V28" s="5"/>
    </row>
    <row r="29" spans="1:22" ht="15.6" x14ac:dyDescent="0.3">
      <c r="A29" s="24"/>
      <c r="B29" s="25" t="s">
        <v>10</v>
      </c>
      <c r="C29" s="32"/>
      <c r="D29" s="26" t="s">
        <v>237</v>
      </c>
      <c r="E29" s="26"/>
      <c r="F29" s="30" t="s">
        <v>238</v>
      </c>
      <c r="G29" s="26"/>
      <c r="H29" s="26" t="s">
        <v>239</v>
      </c>
      <c r="I29" s="26"/>
      <c r="J29" s="26" t="s">
        <v>240</v>
      </c>
      <c r="K29" s="26"/>
      <c r="L29" s="26" t="s">
        <v>241</v>
      </c>
      <c r="M29" s="26"/>
      <c r="N29" s="26" t="s">
        <v>242</v>
      </c>
      <c r="O29" s="26"/>
      <c r="P29" s="26"/>
      <c r="Q29" s="31"/>
      <c r="R29" s="31"/>
      <c r="S29" s="164"/>
      <c r="T29" s="31"/>
      <c r="U29" s="34"/>
      <c r="V29" s="5"/>
    </row>
    <row r="30" spans="1:22" ht="15.6" x14ac:dyDescent="0.3">
      <c r="A30" s="24"/>
      <c r="B30" s="25" t="s">
        <v>10</v>
      </c>
      <c r="C30" s="32"/>
      <c r="D30" s="26" t="s">
        <v>236</v>
      </c>
      <c r="E30" s="26"/>
      <c r="F30" s="30" t="s">
        <v>124</v>
      </c>
      <c r="G30" s="26"/>
      <c r="H30" s="26" t="s">
        <v>124</v>
      </c>
      <c r="I30" s="26"/>
      <c r="J30" s="26" t="s">
        <v>124</v>
      </c>
      <c r="K30" s="26"/>
      <c r="L30" s="26" t="s">
        <v>124</v>
      </c>
      <c r="M30" s="26"/>
      <c r="N30" s="26" t="s">
        <v>124</v>
      </c>
      <c r="O30" s="26"/>
      <c r="P30" s="26"/>
      <c r="Q30" s="31"/>
      <c r="R30" s="31"/>
      <c r="S30" s="164"/>
      <c r="T30" s="31"/>
      <c r="U30" s="34"/>
      <c r="V30" s="5"/>
    </row>
    <row r="31" spans="1:22" ht="15.6" x14ac:dyDescent="0.3">
      <c r="A31" s="28"/>
      <c r="B31" s="25" t="s">
        <v>139</v>
      </c>
      <c r="C31" s="36"/>
      <c r="D31" s="146">
        <v>985000</v>
      </c>
      <c r="E31" s="32"/>
      <c r="F31" s="31">
        <v>149500</v>
      </c>
      <c r="G31" s="31"/>
      <c r="H31" s="124">
        <v>219700</v>
      </c>
      <c r="I31" s="31"/>
      <c r="J31" s="31">
        <v>16000</v>
      </c>
      <c r="K31" s="31"/>
      <c r="L31" s="124">
        <v>82400</v>
      </c>
      <c r="M31" s="31"/>
      <c r="N31" s="124">
        <v>87500</v>
      </c>
      <c r="O31" s="31"/>
      <c r="P31" s="124"/>
      <c r="Q31" s="35"/>
      <c r="R31" s="35"/>
      <c r="S31" s="37"/>
      <c r="T31" s="35"/>
      <c r="U31" s="34"/>
      <c r="V31" s="5"/>
    </row>
    <row r="32" spans="1:22" ht="15.6" x14ac:dyDescent="0.3">
      <c r="A32" s="24"/>
      <c r="B32" s="25" t="s">
        <v>138</v>
      </c>
      <c r="C32" s="32"/>
      <c r="D32" s="146">
        <f>D38*D31</f>
        <v>548275.23100000003</v>
      </c>
      <c r="E32" s="32"/>
      <c r="F32" s="31">
        <f>F38*F31</f>
        <v>83215.4375</v>
      </c>
      <c r="G32" s="31"/>
      <c r="H32" s="124">
        <f>H38*H31</f>
        <v>122290.51250000001</v>
      </c>
      <c r="I32" s="31"/>
      <c r="J32" s="31">
        <f>+J31</f>
        <v>16000</v>
      </c>
      <c r="K32" s="31"/>
      <c r="L32" s="124">
        <f>+L31</f>
        <v>82400</v>
      </c>
      <c r="M32" s="31"/>
      <c r="N32" s="124">
        <f>+N31</f>
        <v>87500</v>
      </c>
      <c r="O32" s="31"/>
      <c r="P32" s="124"/>
      <c r="Q32" s="31"/>
      <c r="R32" s="31"/>
      <c r="S32" s="164"/>
      <c r="T32" s="31"/>
      <c r="U32" s="34"/>
      <c r="V32" s="5"/>
    </row>
    <row r="33" spans="1:22" ht="15.6" x14ac:dyDescent="0.3">
      <c r="A33" s="24"/>
      <c r="B33" s="29" t="s">
        <v>140</v>
      </c>
      <c r="C33" s="32"/>
      <c r="D33" s="151">
        <f>D37*D31</f>
        <v>541971.82199999993</v>
      </c>
      <c r="E33" s="36"/>
      <c r="F33" s="35">
        <f>F37*F31</f>
        <v>82258.727199999994</v>
      </c>
      <c r="G33" s="35"/>
      <c r="H33" s="125">
        <f>H31*H37</f>
        <v>120884.56431999999</v>
      </c>
      <c r="I33" s="35"/>
      <c r="J33" s="35">
        <f>J31*J37</f>
        <v>16000</v>
      </c>
      <c r="K33" s="35"/>
      <c r="L33" s="125">
        <f>L31*L37</f>
        <v>82400</v>
      </c>
      <c r="M33" s="35"/>
      <c r="N33" s="125">
        <f>N31*N37</f>
        <v>87500</v>
      </c>
      <c r="O33" s="35"/>
      <c r="P33" s="125"/>
      <c r="Q33" s="31"/>
      <c r="R33" s="31"/>
      <c r="S33" s="164"/>
      <c r="T33" s="31"/>
      <c r="U33" s="34"/>
      <c r="V33" s="5"/>
    </row>
    <row r="34" spans="1:22" ht="15.6" x14ac:dyDescent="0.3">
      <c r="A34" s="28"/>
      <c r="B34" s="25" t="s">
        <v>283</v>
      </c>
      <c r="C34" s="36"/>
      <c r="D34" s="31">
        <v>567282</v>
      </c>
      <c r="E34" s="32"/>
      <c r="F34" s="31">
        <v>149500</v>
      </c>
      <c r="G34" s="31"/>
      <c r="H34" s="31">
        <v>150716</v>
      </c>
      <c r="I34" s="31"/>
      <c r="J34" s="31">
        <v>16000</v>
      </c>
      <c r="K34" s="31"/>
      <c r="L34" s="31">
        <v>56527</v>
      </c>
      <c r="M34" s="31"/>
      <c r="N34" s="31">
        <v>60025</v>
      </c>
      <c r="O34" s="31"/>
      <c r="P34" s="31"/>
      <c r="Q34" s="35"/>
      <c r="R34" s="35"/>
      <c r="S34" s="37"/>
      <c r="T34" s="154">
        <f>SUM(C34:P34)</f>
        <v>1000050</v>
      </c>
      <c r="U34" s="34"/>
      <c r="V34" s="5"/>
    </row>
    <row r="35" spans="1:22" ht="15.6" x14ac:dyDescent="0.3">
      <c r="A35" s="28"/>
      <c r="B35" s="25" t="s">
        <v>284</v>
      </c>
      <c r="C35" s="126"/>
      <c r="D35" s="31">
        <f>D38*D34</f>
        <v>315763.11633719999</v>
      </c>
      <c r="E35" s="32"/>
      <c r="F35" s="31">
        <f>F38*F34</f>
        <v>83215.4375</v>
      </c>
      <c r="G35" s="31"/>
      <c r="H35" s="31">
        <f>H38*H34</f>
        <v>83892.2935</v>
      </c>
      <c r="I35" s="31"/>
      <c r="J35" s="31">
        <f>+J34</f>
        <v>16000</v>
      </c>
      <c r="K35" s="31"/>
      <c r="L35" s="31">
        <f>+L34</f>
        <v>56527</v>
      </c>
      <c r="M35" s="31"/>
      <c r="N35" s="31">
        <f>+N34</f>
        <v>60025</v>
      </c>
      <c r="O35" s="31"/>
      <c r="P35" s="31"/>
      <c r="Q35" s="31"/>
      <c r="R35" s="31"/>
      <c r="S35" s="164"/>
      <c r="T35" s="154">
        <f>SUM(C35:P35)+1</f>
        <v>615423.84733719996</v>
      </c>
      <c r="U35" s="34"/>
      <c r="V35" s="5"/>
    </row>
    <row r="36" spans="1:22" ht="15.6" x14ac:dyDescent="0.3">
      <c r="A36" s="28"/>
      <c r="B36" s="29" t="s">
        <v>285</v>
      </c>
      <c r="C36" s="126"/>
      <c r="D36" s="35">
        <f>D37*D34</f>
        <v>312132.8519064</v>
      </c>
      <c r="E36" s="36"/>
      <c r="F36" s="35">
        <f>F37*F34</f>
        <v>82258.727199999994</v>
      </c>
      <c r="G36" s="35"/>
      <c r="H36" s="35">
        <f>H37*H34</f>
        <v>82927.801529599994</v>
      </c>
      <c r="I36" s="35"/>
      <c r="J36" s="35">
        <f>+J34</f>
        <v>16000</v>
      </c>
      <c r="K36" s="35"/>
      <c r="L36" s="35">
        <f>+L34</f>
        <v>56527</v>
      </c>
      <c r="M36" s="35"/>
      <c r="N36" s="35">
        <f>+N34</f>
        <v>60025</v>
      </c>
      <c r="O36" s="35"/>
      <c r="P36" s="35"/>
      <c r="Q36" s="128"/>
      <c r="R36" s="128"/>
      <c r="S36" s="164"/>
      <c r="T36" s="155">
        <f>SUM(C36:P36)+1</f>
        <v>609872.38063600007</v>
      </c>
      <c r="U36" s="34"/>
      <c r="V36" s="5"/>
    </row>
    <row r="37" spans="1:22" ht="15.6" x14ac:dyDescent="0.3">
      <c r="A37" s="24"/>
      <c r="B37" s="122" t="s">
        <v>136</v>
      </c>
      <c r="C37" s="25"/>
      <c r="D37" s="168">
        <v>0.55022519999999997</v>
      </c>
      <c r="E37" s="136"/>
      <c r="F37" s="168">
        <v>0.55022559999999998</v>
      </c>
      <c r="G37" s="135"/>
      <c r="H37" s="168">
        <v>0.55022559999999998</v>
      </c>
      <c r="I37" s="135"/>
      <c r="J37" s="168">
        <v>1</v>
      </c>
      <c r="K37" s="135"/>
      <c r="L37" s="168">
        <v>1</v>
      </c>
      <c r="M37" s="135"/>
      <c r="N37" s="168">
        <v>1</v>
      </c>
      <c r="O37" s="135"/>
      <c r="P37" s="135"/>
      <c r="Q37" s="30"/>
      <c r="R37" s="30"/>
      <c r="S37" s="163"/>
      <c r="T37" s="163"/>
      <c r="U37" s="25"/>
      <c r="V37" s="5"/>
    </row>
    <row r="38" spans="1:22" ht="15.6" x14ac:dyDescent="0.3">
      <c r="A38" s="24"/>
      <c r="B38" s="122" t="s">
        <v>137</v>
      </c>
      <c r="C38" s="25"/>
      <c r="D38" s="168">
        <v>0.55662460000000002</v>
      </c>
      <c r="E38" s="136"/>
      <c r="F38" s="168">
        <v>0.55662500000000004</v>
      </c>
      <c r="G38" s="135"/>
      <c r="H38" s="168">
        <v>0.55662500000000004</v>
      </c>
      <c r="I38" s="135"/>
      <c r="J38" s="135">
        <v>1</v>
      </c>
      <c r="K38" s="135"/>
      <c r="L38" s="135">
        <v>1</v>
      </c>
      <c r="M38" s="135"/>
      <c r="N38" s="135">
        <v>1</v>
      </c>
      <c r="O38" s="135"/>
      <c r="P38" s="135"/>
      <c r="Q38" s="39"/>
      <c r="R38" s="38"/>
      <c r="S38" s="163"/>
      <c r="T38" s="39"/>
      <c r="U38" s="25"/>
      <c r="V38" s="5"/>
    </row>
    <row r="39" spans="1:22" ht="15.6" x14ac:dyDescent="0.3">
      <c r="A39" s="24"/>
      <c r="B39" s="25" t="s">
        <v>11</v>
      </c>
      <c r="C39" s="25"/>
      <c r="D39" s="30" t="s">
        <v>275</v>
      </c>
      <c r="E39" s="25"/>
      <c r="F39" s="30" t="s">
        <v>231</v>
      </c>
      <c r="G39" s="30"/>
      <c r="H39" s="30" t="s">
        <v>231</v>
      </c>
      <c r="I39" s="30"/>
      <c r="J39" s="30" t="s">
        <v>232</v>
      </c>
      <c r="K39" s="30"/>
      <c r="L39" s="30" t="s">
        <v>232</v>
      </c>
      <c r="M39" s="30"/>
      <c r="N39" s="30" t="s">
        <v>233</v>
      </c>
      <c r="O39" s="30"/>
      <c r="P39" s="30"/>
      <c r="Q39" s="39"/>
      <c r="R39" s="38"/>
      <c r="S39" s="163"/>
      <c r="T39" s="163"/>
      <c r="U39" s="25"/>
      <c r="V39" s="5"/>
    </row>
    <row r="40" spans="1:22" ht="15.6" x14ac:dyDescent="0.3">
      <c r="A40" s="24"/>
      <c r="B40" s="25" t="s">
        <v>12</v>
      </c>
      <c r="C40" s="25"/>
      <c r="D40" s="38">
        <v>3.4337999999999999E-3</v>
      </c>
      <c r="E40" s="25"/>
      <c r="F40" s="38">
        <v>1.1121300000000001E-2</v>
      </c>
      <c r="G40" s="39"/>
      <c r="H40" s="38">
        <v>1.116E-2</v>
      </c>
      <c r="I40" s="39"/>
      <c r="J40" s="38">
        <v>1.23213E-2</v>
      </c>
      <c r="K40" s="39"/>
      <c r="L40" s="38">
        <v>1.2359999999999999E-2</v>
      </c>
      <c r="M40" s="39"/>
      <c r="N40" s="38">
        <v>1.4460000000000001E-2</v>
      </c>
      <c r="O40" s="39"/>
      <c r="P40" s="38"/>
      <c r="Q40" s="39"/>
      <c r="R40" s="38"/>
      <c r="S40" s="163"/>
      <c r="T40" s="30"/>
      <c r="U40" s="25"/>
      <c r="V40" s="5"/>
    </row>
    <row r="41" spans="1:22" ht="15.6" x14ac:dyDescent="0.3">
      <c r="A41" s="24"/>
      <c r="B41" s="25" t="s">
        <v>13</v>
      </c>
      <c r="C41" s="25"/>
      <c r="D41" s="38">
        <v>4.1938000000000001E-3</v>
      </c>
      <c r="E41" s="25"/>
      <c r="F41" s="38">
        <v>1.6543800000000001E-2</v>
      </c>
      <c r="G41" s="39"/>
      <c r="H41" s="38">
        <v>1.555E-2</v>
      </c>
      <c r="I41" s="39"/>
      <c r="J41" s="38">
        <v>1.7743800000000001E-2</v>
      </c>
      <c r="K41" s="39"/>
      <c r="L41" s="38">
        <v>1.6750000000000001E-2</v>
      </c>
      <c r="M41" s="39"/>
      <c r="N41" s="38">
        <v>1.8849999999999999E-2</v>
      </c>
      <c r="O41" s="39"/>
      <c r="P41" s="38"/>
      <c r="Q41" s="39"/>
      <c r="R41" s="38"/>
      <c r="S41" s="163"/>
      <c r="T41" s="39" t="s">
        <v>201</v>
      </c>
      <c r="U41" s="25"/>
      <c r="V41" s="5"/>
    </row>
    <row r="42" spans="1:22" ht="15.6" x14ac:dyDescent="0.3">
      <c r="A42" s="24"/>
      <c r="B42" s="25" t="s">
        <v>286</v>
      </c>
      <c r="C42" s="25"/>
      <c r="D42" s="30" t="s">
        <v>231</v>
      </c>
      <c r="E42" s="25"/>
      <c r="F42" s="30" t="s">
        <v>231</v>
      </c>
      <c r="G42" s="30"/>
      <c r="H42" s="30" t="s">
        <v>243</v>
      </c>
      <c r="I42" s="30"/>
      <c r="J42" s="30" t="s">
        <v>232</v>
      </c>
      <c r="K42" s="30"/>
      <c r="L42" s="30" t="s">
        <v>244</v>
      </c>
      <c r="M42" s="30"/>
      <c r="N42" s="30" t="s">
        <v>246</v>
      </c>
      <c r="O42" s="30"/>
      <c r="P42" s="30"/>
      <c r="Q42" s="39"/>
      <c r="R42" s="38"/>
      <c r="S42" s="163"/>
      <c r="T42" s="163"/>
      <c r="U42" s="25"/>
      <c r="V42" s="5"/>
    </row>
    <row r="43" spans="1:22" ht="15.6" x14ac:dyDescent="0.3">
      <c r="A43" s="24"/>
      <c r="B43" s="25" t="s">
        <v>287</v>
      </c>
      <c r="C43" s="110"/>
      <c r="D43" s="38">
        <v>1.1157500000000001E-2</v>
      </c>
      <c r="E43" s="38"/>
      <c r="F43" s="38">
        <f>+F40</f>
        <v>1.1121300000000001E-2</v>
      </c>
      <c r="G43" s="38"/>
      <c r="H43" s="38">
        <v>1.11193E-2</v>
      </c>
      <c r="I43" s="38"/>
      <c r="J43" s="38">
        <f>+J40</f>
        <v>1.23213E-2</v>
      </c>
      <c r="K43" s="38"/>
      <c r="L43" s="38">
        <v>1.2474300000000001E-2</v>
      </c>
      <c r="M43" s="38"/>
      <c r="N43" s="38">
        <v>1.4826300000000001E-2</v>
      </c>
      <c r="O43" s="39"/>
      <c r="P43" s="38"/>
      <c r="Q43" s="30"/>
      <c r="R43" s="30"/>
      <c r="S43" s="163"/>
      <c r="T43" s="39">
        <f>SUMPRODUCT(D43:N43,D35:N35)/T35</f>
        <v>1.165641961934742E-2</v>
      </c>
      <c r="U43" s="25"/>
      <c r="V43" s="5"/>
    </row>
    <row r="44" spans="1:22" ht="15.6" x14ac:dyDescent="0.3">
      <c r="A44" s="24"/>
      <c r="B44" s="25" t="s">
        <v>288</v>
      </c>
      <c r="C44" s="110"/>
      <c r="D44" s="38">
        <v>1.6580000000000001E-2</v>
      </c>
      <c r="E44" s="38"/>
      <c r="F44" s="38">
        <f>+F41</f>
        <v>1.6543800000000001E-2</v>
      </c>
      <c r="G44" s="38"/>
      <c r="H44" s="38">
        <v>1.6541799999999999E-2</v>
      </c>
      <c r="I44" s="38"/>
      <c r="J44" s="38">
        <f>+J41</f>
        <v>1.7743800000000001E-2</v>
      </c>
      <c r="K44" s="38"/>
      <c r="L44" s="38">
        <v>1.7896800000000001E-2</v>
      </c>
      <c r="M44" s="38"/>
      <c r="N44" s="38">
        <v>2.0248800000000001E-2</v>
      </c>
      <c r="O44" s="39"/>
      <c r="P44" s="38"/>
      <c r="Q44" s="30"/>
      <c r="R44" s="30"/>
      <c r="S44" s="163"/>
      <c r="T44" s="163"/>
      <c r="U44" s="25"/>
      <c r="V44" s="5"/>
    </row>
    <row r="45" spans="1:22" ht="15.6" x14ac:dyDescent="0.3">
      <c r="A45" s="24"/>
      <c r="B45" s="25" t="s">
        <v>14</v>
      </c>
      <c r="C45" s="25"/>
      <c r="D45" s="110">
        <v>40283</v>
      </c>
      <c r="E45" s="110"/>
      <c r="F45" s="110">
        <v>40283</v>
      </c>
      <c r="G45" s="110"/>
      <c r="H45" s="110">
        <v>40283</v>
      </c>
      <c r="I45" s="110"/>
      <c r="J45" s="110">
        <v>40283</v>
      </c>
      <c r="K45" s="110"/>
      <c r="L45" s="110">
        <v>40283</v>
      </c>
      <c r="M45" s="110"/>
      <c r="N45" s="110">
        <v>40283</v>
      </c>
      <c r="O45" s="110"/>
      <c r="P45" s="110"/>
      <c r="Q45" s="30"/>
      <c r="R45" s="30"/>
      <c r="S45" s="163"/>
      <c r="T45" s="163"/>
      <c r="U45" s="25"/>
      <c r="V45" s="5"/>
    </row>
    <row r="46" spans="1:22" ht="15.6" x14ac:dyDescent="0.3">
      <c r="A46" s="24"/>
      <c r="B46" s="25" t="s">
        <v>15</v>
      </c>
      <c r="C46" s="25"/>
      <c r="D46" s="110">
        <v>40648</v>
      </c>
      <c r="E46" s="110"/>
      <c r="F46" s="110">
        <v>40648</v>
      </c>
      <c r="G46" s="110"/>
      <c r="H46" s="110">
        <v>40648</v>
      </c>
      <c r="I46" s="30"/>
      <c r="J46" s="110">
        <v>40648</v>
      </c>
      <c r="K46" s="30"/>
      <c r="L46" s="110">
        <v>40648</v>
      </c>
      <c r="M46" s="30"/>
      <c r="N46" s="110">
        <v>40648</v>
      </c>
      <c r="O46" s="30"/>
      <c r="P46" s="110"/>
      <c r="Q46" s="30"/>
      <c r="R46" s="30"/>
      <c r="S46" s="163"/>
      <c r="T46" s="163"/>
      <c r="U46" s="25"/>
      <c r="V46" s="5"/>
    </row>
    <row r="47" spans="1:22" ht="15.6" x14ac:dyDescent="0.3">
      <c r="A47" s="24"/>
      <c r="B47" s="25" t="s">
        <v>125</v>
      </c>
      <c r="C47" s="25"/>
      <c r="D47" s="160" t="s">
        <v>124</v>
      </c>
      <c r="E47" s="25"/>
      <c r="F47" s="30" t="s">
        <v>232</v>
      </c>
      <c r="G47" s="30"/>
      <c r="H47" s="30" t="s">
        <v>232</v>
      </c>
      <c r="I47" s="30"/>
      <c r="J47" s="30" t="s">
        <v>234</v>
      </c>
      <c r="K47" s="30"/>
      <c r="L47" s="30" t="s">
        <v>234</v>
      </c>
      <c r="M47" s="30"/>
      <c r="N47" s="30" t="s">
        <v>235</v>
      </c>
      <c r="O47" s="30"/>
      <c r="P47" s="30"/>
      <c r="Q47" s="40"/>
      <c r="R47" s="40"/>
      <c r="S47" s="40"/>
      <c r="T47" s="40"/>
      <c r="U47" s="25"/>
      <c r="V47" s="5"/>
    </row>
    <row r="48" spans="1:22" ht="15.6" x14ac:dyDescent="0.3">
      <c r="A48" s="24"/>
      <c r="B48" s="25" t="s">
        <v>289</v>
      </c>
      <c r="C48" s="25"/>
      <c r="D48" s="30" t="s">
        <v>208</v>
      </c>
      <c r="E48" s="25"/>
      <c r="F48" s="30" t="s">
        <v>232</v>
      </c>
      <c r="G48" s="30"/>
      <c r="H48" s="30" t="s">
        <v>232</v>
      </c>
      <c r="I48" s="30"/>
      <c r="J48" s="30" t="s">
        <v>234</v>
      </c>
      <c r="K48" s="30"/>
      <c r="L48" s="30" t="s">
        <v>245</v>
      </c>
      <c r="M48" s="30"/>
      <c r="N48" s="30" t="s">
        <v>247</v>
      </c>
      <c r="O48" s="30"/>
      <c r="P48" s="30"/>
      <c r="Q48" s="25"/>
      <c r="R48" s="25"/>
      <c r="S48" s="25"/>
      <c r="T48" s="39"/>
      <c r="U48" s="25"/>
      <c r="V48" s="5"/>
    </row>
    <row r="49" spans="1:23" ht="15.6" x14ac:dyDescent="0.3">
      <c r="A49" s="24"/>
      <c r="B49" s="25"/>
      <c r="C49" s="25"/>
      <c r="D49" s="30"/>
      <c r="E49" s="25"/>
      <c r="F49" s="30"/>
      <c r="G49" s="30"/>
      <c r="H49" s="30"/>
      <c r="I49" s="30"/>
      <c r="J49" s="30"/>
      <c r="K49" s="30"/>
      <c r="L49" s="30"/>
      <c r="M49" s="30"/>
      <c r="N49" s="30"/>
      <c r="O49" s="30"/>
      <c r="P49" s="30"/>
      <c r="Q49" s="25"/>
      <c r="R49" s="25"/>
      <c r="S49" s="25"/>
      <c r="T49" s="39" t="s">
        <v>201</v>
      </c>
      <c r="U49" s="25"/>
      <c r="V49" s="5"/>
    </row>
    <row r="50" spans="1:23" ht="15.6" x14ac:dyDescent="0.3">
      <c r="A50" s="24"/>
      <c r="B50" s="25" t="s">
        <v>176</v>
      </c>
      <c r="C50" s="25"/>
      <c r="D50" s="30"/>
      <c r="E50" s="25"/>
      <c r="F50" s="30"/>
      <c r="G50" s="30"/>
      <c r="H50" s="30"/>
      <c r="I50" s="30"/>
      <c r="J50" s="30"/>
      <c r="K50" s="30"/>
      <c r="L50" s="30"/>
      <c r="M50" s="30"/>
      <c r="N50" s="30"/>
      <c r="O50" s="30"/>
      <c r="P50" s="30"/>
      <c r="Q50" s="25"/>
      <c r="R50" s="25"/>
      <c r="S50" s="25"/>
      <c r="T50" s="39">
        <f>SUM(J34:P34)/SUM(D34:H34)</f>
        <v>0.15279804679664968</v>
      </c>
      <c r="U50" s="25"/>
      <c r="V50" s="5"/>
    </row>
    <row r="51" spans="1:23" ht="15.6" x14ac:dyDescent="0.3">
      <c r="A51" s="24"/>
      <c r="B51" s="25" t="s">
        <v>177</v>
      </c>
      <c r="C51" s="25"/>
      <c r="D51" s="25"/>
      <c r="E51" s="25"/>
      <c r="F51" s="41"/>
      <c r="G51" s="25"/>
      <c r="H51" s="25"/>
      <c r="I51" s="25"/>
      <c r="J51" s="25"/>
      <c r="K51" s="25"/>
      <c r="L51" s="25"/>
      <c r="M51" s="25"/>
      <c r="N51" s="25"/>
      <c r="O51" s="25"/>
      <c r="P51" s="25"/>
      <c r="Q51" s="25"/>
      <c r="R51" s="25"/>
      <c r="S51" s="25"/>
      <c r="T51" s="39">
        <f>SUM(J36:P36)/SUM(D36:H36)</f>
        <v>0.27770085476810569</v>
      </c>
      <c r="U51" s="25"/>
      <c r="V51" s="5"/>
    </row>
    <row r="52" spans="1:23" ht="15.6" x14ac:dyDescent="0.3">
      <c r="A52" s="24"/>
      <c r="B52" s="25" t="s">
        <v>178</v>
      </c>
      <c r="C52" s="25"/>
      <c r="D52" s="25"/>
      <c r="E52" s="25"/>
      <c r="F52" s="25"/>
      <c r="G52" s="25"/>
      <c r="H52" s="25"/>
      <c r="I52" s="25"/>
      <c r="J52" s="25"/>
      <c r="K52" s="25"/>
      <c r="L52" s="25"/>
      <c r="M52" s="25"/>
      <c r="N52" s="25"/>
      <c r="O52" s="25"/>
      <c r="P52" s="25"/>
      <c r="Q52" s="25"/>
      <c r="R52" s="30" t="s">
        <v>109</v>
      </c>
      <c r="S52" s="30" t="s">
        <v>115</v>
      </c>
      <c r="T52" s="31">
        <f>+T34/2-SUM(J34:P34)</f>
        <v>367473</v>
      </c>
      <c r="U52" s="25"/>
      <c r="V52" s="5"/>
    </row>
    <row r="53" spans="1:23" ht="15.6" x14ac:dyDescent="0.3">
      <c r="A53" s="24"/>
      <c r="B53" s="25"/>
      <c r="C53" s="25"/>
      <c r="D53" s="25"/>
      <c r="E53" s="25"/>
      <c r="F53" s="25"/>
      <c r="G53" s="25"/>
      <c r="H53" s="25"/>
      <c r="I53" s="25"/>
      <c r="J53" s="25"/>
      <c r="K53" s="25"/>
      <c r="L53" s="25"/>
      <c r="M53" s="25"/>
      <c r="N53" s="25"/>
      <c r="O53" s="25"/>
      <c r="P53" s="25"/>
      <c r="Q53" s="25"/>
      <c r="R53" s="25"/>
      <c r="S53" s="25"/>
      <c r="T53" s="42"/>
      <c r="U53" s="25"/>
      <c r="V53" s="5"/>
    </row>
    <row r="54" spans="1:23" ht="15.6" x14ac:dyDescent="0.3">
      <c r="A54" s="24"/>
      <c r="B54" s="25" t="s">
        <v>211</v>
      </c>
      <c r="C54" s="25"/>
      <c r="D54" s="25"/>
      <c r="E54" s="25"/>
      <c r="F54" s="25"/>
      <c r="G54" s="25"/>
      <c r="H54" s="25"/>
      <c r="I54" s="25"/>
      <c r="J54" s="25"/>
      <c r="K54" s="25"/>
      <c r="L54" s="25"/>
      <c r="M54" s="25"/>
      <c r="N54" s="25"/>
      <c r="O54" s="25"/>
      <c r="P54" s="25"/>
      <c r="Q54" s="25"/>
      <c r="R54" s="25"/>
      <c r="S54" s="25"/>
      <c r="T54" s="156" t="s">
        <v>212</v>
      </c>
      <c r="U54" s="25"/>
      <c r="V54" s="5"/>
    </row>
    <row r="55" spans="1:23" ht="15.6" x14ac:dyDescent="0.3">
      <c r="A55" s="24"/>
      <c r="B55" s="25" t="s">
        <v>253</v>
      </c>
      <c r="C55" s="25"/>
      <c r="D55" s="25"/>
      <c r="E55" s="25"/>
      <c r="F55" s="25"/>
      <c r="G55" s="25"/>
      <c r="H55" s="25"/>
      <c r="I55" s="25"/>
      <c r="J55" s="25"/>
      <c r="K55" s="25"/>
      <c r="L55" s="25"/>
      <c r="M55" s="25"/>
      <c r="N55" s="25"/>
      <c r="O55" s="25"/>
      <c r="P55" s="25"/>
      <c r="Q55" s="25"/>
      <c r="R55" s="30"/>
      <c r="S55" s="30"/>
      <c r="T55" s="157" t="s">
        <v>117</v>
      </c>
      <c r="U55" s="25"/>
      <c r="V55" s="5"/>
    </row>
    <row r="56" spans="1:23" ht="15.6" x14ac:dyDescent="0.3">
      <c r="A56" s="24"/>
      <c r="B56" s="29" t="s">
        <v>210</v>
      </c>
      <c r="C56" s="29"/>
      <c r="D56" s="29"/>
      <c r="E56" s="29"/>
      <c r="F56" s="29"/>
      <c r="G56" s="29"/>
      <c r="H56" s="29"/>
      <c r="I56" s="29"/>
      <c r="J56" s="29"/>
      <c r="K56" s="29"/>
      <c r="L56" s="29"/>
      <c r="M56" s="29"/>
      <c r="N56" s="29"/>
      <c r="O56" s="29"/>
      <c r="P56" s="29"/>
      <c r="Q56" s="29"/>
      <c r="R56" s="43"/>
      <c r="S56" s="43"/>
      <c r="T56" s="44">
        <v>40101</v>
      </c>
      <c r="U56" s="25"/>
      <c r="V56" s="5"/>
    </row>
    <row r="57" spans="1:23" ht="15.6" x14ac:dyDescent="0.3">
      <c r="A57" s="24"/>
      <c r="B57" s="25" t="s">
        <v>127</v>
      </c>
      <c r="C57" s="25"/>
      <c r="D57" s="25"/>
      <c r="E57" s="25"/>
      <c r="F57" s="25"/>
      <c r="G57" s="25"/>
      <c r="H57" s="58"/>
      <c r="I57" s="58"/>
      <c r="J57" s="58"/>
      <c r="K57" s="58"/>
      <c r="L57" s="58"/>
      <c r="M57" s="58"/>
      <c r="N57" s="58"/>
      <c r="O57" s="58"/>
      <c r="P57" s="25">
        <f>+T57-R57+1</f>
        <v>91</v>
      </c>
      <c r="Q57" s="58"/>
      <c r="R57" s="45">
        <v>39918</v>
      </c>
      <c r="S57" s="46"/>
      <c r="T57" s="45">
        <v>40008</v>
      </c>
      <c r="U57" s="25"/>
      <c r="V57" s="5"/>
    </row>
    <row r="58" spans="1:23" ht="15.6" x14ac:dyDescent="0.3">
      <c r="A58" s="24"/>
      <c r="B58" s="25" t="s">
        <v>128</v>
      </c>
      <c r="C58" s="25"/>
      <c r="D58" s="25"/>
      <c r="E58" s="25"/>
      <c r="F58" s="25"/>
      <c r="G58" s="25"/>
      <c r="H58" s="25"/>
      <c r="I58" s="25"/>
      <c r="J58" s="25"/>
      <c r="K58" s="25"/>
      <c r="L58" s="25"/>
      <c r="M58" s="25"/>
      <c r="N58" s="25"/>
      <c r="O58" s="25"/>
      <c r="P58" s="25">
        <f>+T58-R58+1</f>
        <v>92</v>
      </c>
      <c r="Q58" s="25"/>
      <c r="R58" s="45">
        <v>40009</v>
      </c>
      <c r="S58" s="46"/>
      <c r="T58" s="45">
        <v>40100</v>
      </c>
      <c r="U58" s="25"/>
      <c r="V58" s="5"/>
    </row>
    <row r="59" spans="1:23" ht="15.6" x14ac:dyDescent="0.3">
      <c r="A59" s="24"/>
      <c r="B59" s="25" t="s">
        <v>209</v>
      </c>
      <c r="C59" s="25"/>
      <c r="D59" s="25"/>
      <c r="E59" s="25"/>
      <c r="F59" s="25"/>
      <c r="G59" s="25"/>
      <c r="H59" s="25"/>
      <c r="I59" s="25"/>
      <c r="J59" s="25"/>
      <c r="K59" s="25"/>
      <c r="L59" s="25"/>
      <c r="M59" s="25"/>
      <c r="N59" s="25"/>
      <c r="O59" s="25"/>
      <c r="P59" s="25"/>
      <c r="Q59" s="25"/>
      <c r="R59" s="45"/>
      <c r="S59" s="46"/>
      <c r="T59" s="45" t="s">
        <v>126</v>
      </c>
      <c r="U59" s="25"/>
      <c r="V59" s="5"/>
    </row>
    <row r="60" spans="1:23" ht="15.6" x14ac:dyDescent="0.3">
      <c r="A60" s="24"/>
      <c r="B60" s="25" t="s">
        <v>249</v>
      </c>
      <c r="C60" s="25"/>
      <c r="D60" s="25"/>
      <c r="E60" s="25"/>
      <c r="F60" s="25"/>
      <c r="G60" s="25"/>
      <c r="H60" s="25"/>
      <c r="I60" s="25"/>
      <c r="J60" s="25"/>
      <c r="K60" s="25"/>
      <c r="L60" s="25"/>
      <c r="M60" s="25"/>
      <c r="N60" s="25"/>
      <c r="O60" s="25"/>
      <c r="P60" s="25"/>
      <c r="Q60" s="25"/>
      <c r="R60" s="45"/>
      <c r="S60" s="46"/>
      <c r="T60" s="45" t="s">
        <v>160</v>
      </c>
      <c r="U60" s="25"/>
      <c r="V60" s="5"/>
      <c r="W60" s="134"/>
    </row>
    <row r="61" spans="1:23" ht="15.6" x14ac:dyDescent="0.3">
      <c r="A61" s="24"/>
      <c r="B61" s="25" t="s">
        <v>16</v>
      </c>
      <c r="C61" s="25"/>
      <c r="D61" s="25"/>
      <c r="E61" s="25"/>
      <c r="F61" s="25"/>
      <c r="G61" s="25"/>
      <c r="H61" s="25"/>
      <c r="I61" s="25"/>
      <c r="J61" s="25"/>
      <c r="K61" s="25"/>
      <c r="L61" s="25"/>
      <c r="M61" s="25"/>
      <c r="N61" s="25"/>
      <c r="O61" s="25"/>
      <c r="P61" s="25"/>
      <c r="Q61" s="25"/>
      <c r="R61" s="45"/>
      <c r="S61" s="46"/>
      <c r="T61" s="45">
        <v>40087</v>
      </c>
      <c r="U61" s="25"/>
      <c r="V61" s="5"/>
    </row>
    <row r="62" spans="1:23" ht="15.6" x14ac:dyDescent="0.3">
      <c r="A62" s="24"/>
      <c r="B62" s="25"/>
      <c r="C62" s="25"/>
      <c r="D62" s="25"/>
      <c r="E62" s="25"/>
      <c r="F62" s="25"/>
      <c r="G62" s="25"/>
      <c r="H62" s="25"/>
      <c r="I62" s="25"/>
      <c r="J62" s="25"/>
      <c r="K62" s="25"/>
      <c r="L62" s="25"/>
      <c r="M62" s="25"/>
      <c r="N62" s="25"/>
      <c r="O62" s="25"/>
      <c r="P62" s="25"/>
      <c r="Q62" s="25"/>
      <c r="R62" s="45"/>
      <c r="S62" s="46"/>
      <c r="T62" s="45"/>
      <c r="U62" s="25"/>
      <c r="V62" s="5"/>
    </row>
    <row r="63" spans="1:23" ht="15.6" x14ac:dyDescent="0.3">
      <c r="A63" s="6"/>
      <c r="B63" s="8"/>
      <c r="C63" s="8"/>
      <c r="D63" s="8"/>
      <c r="E63" s="8"/>
      <c r="F63" s="8"/>
      <c r="G63" s="8"/>
      <c r="H63" s="8"/>
      <c r="I63" s="8"/>
      <c r="J63" s="8"/>
      <c r="K63" s="8"/>
      <c r="L63" s="8"/>
      <c r="M63" s="8"/>
      <c r="N63" s="8"/>
      <c r="O63" s="8"/>
      <c r="P63" s="8"/>
      <c r="Q63" s="8"/>
      <c r="R63" s="47"/>
      <c r="S63" s="48"/>
      <c r="T63" s="47"/>
      <c r="U63" s="8"/>
      <c r="V63" s="5"/>
    </row>
    <row r="64" spans="1:23" ht="18" thickBot="1" x14ac:dyDescent="0.35">
      <c r="A64" s="101"/>
      <c r="B64" s="102" t="s">
        <v>290</v>
      </c>
      <c r="C64" s="103"/>
      <c r="D64" s="103"/>
      <c r="E64" s="103"/>
      <c r="F64" s="103"/>
      <c r="G64" s="103"/>
      <c r="H64" s="103"/>
      <c r="I64" s="103"/>
      <c r="J64" s="103"/>
      <c r="K64" s="103"/>
      <c r="L64" s="103"/>
      <c r="M64" s="103"/>
      <c r="N64" s="103"/>
      <c r="O64" s="103"/>
      <c r="P64" s="103"/>
      <c r="Q64" s="103"/>
      <c r="R64" s="103"/>
      <c r="S64" s="103"/>
      <c r="T64" s="104"/>
      <c r="U64" s="105"/>
      <c r="V64" s="5"/>
    </row>
    <row r="65" spans="1:22" ht="15.6" x14ac:dyDescent="0.3">
      <c r="A65" s="2"/>
      <c r="B65" s="4"/>
      <c r="C65" s="4"/>
      <c r="D65" s="4"/>
      <c r="E65" s="4"/>
      <c r="F65" s="4"/>
      <c r="G65" s="4"/>
      <c r="H65" s="4"/>
      <c r="I65" s="4"/>
      <c r="J65" s="4"/>
      <c r="K65" s="4"/>
      <c r="L65" s="4"/>
      <c r="M65" s="4"/>
      <c r="N65" s="4"/>
      <c r="O65" s="4"/>
      <c r="P65" s="4"/>
      <c r="Q65" s="4"/>
      <c r="R65" s="4"/>
      <c r="S65" s="4"/>
      <c r="T65" s="50"/>
      <c r="U65" s="4"/>
      <c r="V65" s="5"/>
    </row>
    <row r="66" spans="1:22" ht="15.6" x14ac:dyDescent="0.3">
      <c r="A66" s="6"/>
      <c r="B66" s="51" t="s">
        <v>17</v>
      </c>
      <c r="C66" s="8"/>
      <c r="D66" s="8"/>
      <c r="E66" s="8"/>
      <c r="F66" s="8"/>
      <c r="G66" s="8"/>
      <c r="H66" s="8"/>
      <c r="I66" s="8"/>
      <c r="J66" s="8"/>
      <c r="K66" s="8"/>
      <c r="L66" s="8"/>
      <c r="M66" s="8"/>
      <c r="N66" s="8"/>
      <c r="O66" s="8"/>
      <c r="P66" s="8"/>
      <c r="Q66" s="8"/>
      <c r="R66" s="8"/>
      <c r="S66" s="8"/>
      <c r="T66" s="52"/>
      <c r="U66" s="8"/>
      <c r="V66" s="5"/>
    </row>
    <row r="67" spans="1:22" ht="15.6" x14ac:dyDescent="0.3">
      <c r="A67" s="6"/>
      <c r="B67" s="13"/>
      <c r="C67" s="8"/>
      <c r="D67" s="8"/>
      <c r="E67" s="8"/>
      <c r="F67" s="8"/>
      <c r="G67" s="8"/>
      <c r="H67" s="8"/>
      <c r="I67" s="8"/>
      <c r="J67" s="8"/>
      <c r="K67" s="8"/>
      <c r="L67" s="8"/>
      <c r="M67" s="8"/>
      <c r="N67" s="8"/>
      <c r="O67" s="8"/>
      <c r="P67" s="8"/>
      <c r="Q67" s="8"/>
      <c r="R67" s="8"/>
      <c r="S67" s="8"/>
      <c r="T67" s="52"/>
      <c r="U67" s="8"/>
      <c r="V67" s="5"/>
    </row>
    <row r="68" spans="1:22" ht="46.8" x14ac:dyDescent="0.3">
      <c r="A68" s="6"/>
      <c r="B68" s="114" t="s">
        <v>18</v>
      </c>
      <c r="C68" s="115"/>
      <c r="D68" s="115"/>
      <c r="E68" s="115"/>
      <c r="F68" s="115"/>
      <c r="G68" s="115"/>
      <c r="H68" s="115"/>
      <c r="I68" s="115"/>
      <c r="J68" s="115" t="s">
        <v>97</v>
      </c>
      <c r="K68" s="115"/>
      <c r="L68" s="115" t="s">
        <v>99</v>
      </c>
      <c r="M68" s="115"/>
      <c r="N68" s="115" t="s">
        <v>101</v>
      </c>
      <c r="O68" s="115"/>
      <c r="P68" s="115" t="s">
        <v>103</v>
      </c>
      <c r="Q68" s="115"/>
      <c r="R68" s="115" t="s">
        <v>110</v>
      </c>
      <c r="S68" s="115"/>
      <c r="T68" s="116" t="s">
        <v>118</v>
      </c>
      <c r="U68" s="117"/>
      <c r="V68" s="5"/>
    </row>
    <row r="69" spans="1:22" ht="15.6" x14ac:dyDescent="0.3">
      <c r="A69" s="24"/>
      <c r="B69" s="25" t="s">
        <v>19</v>
      </c>
      <c r="C69" s="34"/>
      <c r="D69" s="34"/>
      <c r="E69" s="34"/>
      <c r="F69" s="34"/>
      <c r="G69" s="34"/>
      <c r="H69" s="34"/>
      <c r="I69" s="34"/>
      <c r="J69" s="34">
        <v>1000039</v>
      </c>
      <c r="K69" s="34"/>
      <c r="L69" s="53">
        <v>615424</v>
      </c>
      <c r="M69" s="34"/>
      <c r="N69" s="34">
        <f>5552+592+171</f>
        <v>6315</v>
      </c>
      <c r="O69" s="34"/>
      <c r="P69" s="34">
        <f>592+171</f>
        <v>763</v>
      </c>
      <c r="Q69" s="34"/>
      <c r="R69" s="34">
        <v>0</v>
      </c>
      <c r="S69" s="34"/>
      <c r="T69" s="53">
        <f>+L69-N69+P69-R69</f>
        <v>609872</v>
      </c>
      <c r="U69" s="25"/>
      <c r="V69" s="5"/>
    </row>
    <row r="70" spans="1:22" ht="15.6" x14ac:dyDescent="0.3">
      <c r="A70" s="24"/>
      <c r="B70" s="25" t="s">
        <v>20</v>
      </c>
      <c r="C70" s="34"/>
      <c r="D70" s="34"/>
      <c r="E70" s="34"/>
      <c r="F70" s="34"/>
      <c r="G70" s="34"/>
      <c r="H70" s="34"/>
      <c r="I70" s="34"/>
      <c r="J70" s="34">
        <v>10</v>
      </c>
      <c r="K70" s="34"/>
      <c r="L70" s="53">
        <v>0</v>
      </c>
      <c r="M70" s="34"/>
      <c r="N70" s="34">
        <v>0</v>
      </c>
      <c r="O70" s="34"/>
      <c r="P70" s="34">
        <v>0</v>
      </c>
      <c r="Q70" s="34"/>
      <c r="R70" s="34">
        <v>0</v>
      </c>
      <c r="S70" s="34"/>
      <c r="T70" s="53">
        <v>0</v>
      </c>
      <c r="U70" s="25"/>
      <c r="V70" s="5"/>
    </row>
    <row r="71" spans="1:22" ht="15.6" x14ac:dyDescent="0.3">
      <c r="A71" s="24"/>
      <c r="B71" s="25"/>
      <c r="C71" s="34"/>
      <c r="D71" s="34"/>
      <c r="E71" s="34"/>
      <c r="F71" s="34"/>
      <c r="G71" s="34"/>
      <c r="H71" s="34"/>
      <c r="I71" s="34"/>
      <c r="J71" s="34"/>
      <c r="K71" s="34"/>
      <c r="L71" s="53"/>
      <c r="M71" s="34"/>
      <c r="N71" s="34"/>
      <c r="O71" s="34"/>
      <c r="P71" s="34"/>
      <c r="Q71" s="34"/>
      <c r="R71" s="34"/>
      <c r="S71" s="34"/>
      <c r="T71" s="53"/>
      <c r="U71" s="25"/>
      <c r="V71" s="5"/>
    </row>
    <row r="72" spans="1:22" ht="15.6" x14ac:dyDescent="0.3">
      <c r="A72" s="24"/>
      <c r="B72" s="25" t="s">
        <v>21</v>
      </c>
      <c r="C72" s="34"/>
      <c r="D72" s="34"/>
      <c r="E72" s="34"/>
      <c r="F72" s="34"/>
      <c r="G72" s="34"/>
      <c r="H72" s="34"/>
      <c r="I72" s="34"/>
      <c r="J72" s="34">
        <f>SUM(J69:J71)</f>
        <v>1000049</v>
      </c>
      <c r="K72" s="34"/>
      <c r="L72" s="54">
        <f>L69+L70</f>
        <v>615424</v>
      </c>
      <c r="M72" s="34"/>
      <c r="N72" s="34">
        <f>SUM(N69:N71)</f>
        <v>6315</v>
      </c>
      <c r="O72" s="34"/>
      <c r="P72" s="34">
        <f>SUM(P69:P71)</f>
        <v>763</v>
      </c>
      <c r="Q72" s="34"/>
      <c r="R72" s="34">
        <f>SUM(R69:R71)</f>
        <v>0</v>
      </c>
      <c r="S72" s="34"/>
      <c r="T72" s="54">
        <f>SUM(T69:T71)</f>
        <v>609872</v>
      </c>
      <c r="U72" s="25"/>
      <c r="V72" s="5"/>
    </row>
    <row r="73" spans="1:22" ht="15.6" x14ac:dyDescent="0.3">
      <c r="A73" s="24"/>
      <c r="B73" s="25"/>
      <c r="C73" s="34"/>
      <c r="D73" s="34"/>
      <c r="E73" s="34"/>
      <c r="F73" s="34"/>
      <c r="G73" s="34"/>
      <c r="H73" s="34"/>
      <c r="I73" s="34"/>
      <c r="J73" s="34"/>
      <c r="K73" s="34"/>
      <c r="L73" s="34"/>
      <c r="M73" s="34"/>
      <c r="N73" s="34"/>
      <c r="O73" s="34"/>
      <c r="P73" s="34"/>
      <c r="Q73" s="34"/>
      <c r="R73" s="34"/>
      <c r="S73" s="34"/>
      <c r="T73" s="54"/>
      <c r="U73" s="25"/>
      <c r="V73" s="5"/>
    </row>
    <row r="74" spans="1:22" ht="15.6" x14ac:dyDescent="0.3">
      <c r="A74" s="6"/>
      <c r="B74" s="111" t="s">
        <v>22</v>
      </c>
      <c r="C74" s="55"/>
      <c r="D74" s="55"/>
      <c r="E74" s="55"/>
      <c r="F74" s="55"/>
      <c r="G74" s="55"/>
      <c r="H74" s="55"/>
      <c r="I74" s="55"/>
      <c r="J74" s="55"/>
      <c r="K74" s="55"/>
      <c r="L74" s="55"/>
      <c r="M74" s="55"/>
      <c r="N74" s="55"/>
      <c r="O74" s="55"/>
      <c r="P74" s="55"/>
      <c r="Q74" s="55"/>
      <c r="R74" s="55"/>
      <c r="S74" s="55"/>
      <c r="T74" s="56"/>
      <c r="U74" s="8"/>
      <c r="V74" s="5"/>
    </row>
    <row r="75" spans="1:22" ht="15.6" x14ac:dyDescent="0.3">
      <c r="A75" s="6"/>
      <c r="B75" s="8"/>
      <c r="C75" s="55"/>
      <c r="D75" s="55"/>
      <c r="E75" s="55"/>
      <c r="F75" s="55"/>
      <c r="G75" s="55"/>
      <c r="H75" s="55"/>
      <c r="I75" s="55"/>
      <c r="J75" s="55"/>
      <c r="K75" s="55"/>
      <c r="L75" s="55"/>
      <c r="M75" s="55"/>
      <c r="N75" s="55"/>
      <c r="O75" s="55"/>
      <c r="P75" s="55"/>
      <c r="Q75" s="55"/>
      <c r="R75" s="55"/>
      <c r="S75" s="55"/>
      <c r="T75" s="56"/>
      <c r="U75" s="8"/>
      <c r="V75" s="5"/>
    </row>
    <row r="76" spans="1:22" ht="15.6" x14ac:dyDescent="0.3">
      <c r="A76" s="24"/>
      <c r="B76" s="25" t="s">
        <v>19</v>
      </c>
      <c r="C76" s="34"/>
      <c r="D76" s="34"/>
      <c r="E76" s="34"/>
      <c r="F76" s="34"/>
      <c r="G76" s="34"/>
      <c r="H76" s="34"/>
      <c r="I76" s="34"/>
      <c r="J76" s="34"/>
      <c r="K76" s="34"/>
      <c r="L76" s="34"/>
      <c r="M76" s="34"/>
      <c r="N76" s="34"/>
      <c r="O76" s="34"/>
      <c r="P76" s="34"/>
      <c r="Q76" s="34"/>
      <c r="R76" s="34"/>
      <c r="S76" s="34"/>
      <c r="T76" s="54"/>
      <c r="U76" s="25"/>
      <c r="V76" s="5"/>
    </row>
    <row r="77" spans="1:22" ht="15.6" x14ac:dyDescent="0.3">
      <c r="A77" s="24"/>
      <c r="B77" s="25" t="s">
        <v>20</v>
      </c>
      <c r="C77" s="34"/>
      <c r="D77" s="34"/>
      <c r="E77" s="34"/>
      <c r="F77" s="34"/>
      <c r="G77" s="34"/>
      <c r="H77" s="34"/>
      <c r="I77" s="34"/>
      <c r="J77" s="34"/>
      <c r="K77" s="34"/>
      <c r="L77" s="34"/>
      <c r="M77" s="34"/>
      <c r="N77" s="34"/>
      <c r="O77" s="34"/>
      <c r="P77" s="34"/>
      <c r="Q77" s="34"/>
      <c r="R77" s="34"/>
      <c r="S77" s="34"/>
      <c r="T77" s="54"/>
      <c r="U77" s="25"/>
      <c r="V77" s="5"/>
    </row>
    <row r="78" spans="1:22" ht="15.6" x14ac:dyDescent="0.3">
      <c r="A78" s="24"/>
      <c r="B78" s="25"/>
      <c r="C78" s="34"/>
      <c r="D78" s="34"/>
      <c r="E78" s="34"/>
      <c r="F78" s="34"/>
      <c r="G78" s="34"/>
      <c r="H78" s="34"/>
      <c r="I78" s="34"/>
      <c r="J78" s="34"/>
      <c r="K78" s="34"/>
      <c r="L78" s="34"/>
      <c r="M78" s="34"/>
      <c r="N78" s="34"/>
      <c r="O78" s="34"/>
      <c r="P78" s="34"/>
      <c r="Q78" s="34"/>
      <c r="R78" s="34"/>
      <c r="S78" s="34"/>
      <c r="T78" s="54"/>
      <c r="U78" s="25"/>
      <c r="V78" s="5"/>
    </row>
    <row r="79" spans="1:22" ht="15.6" x14ac:dyDescent="0.3">
      <c r="A79" s="24"/>
      <c r="B79" s="25" t="s">
        <v>21</v>
      </c>
      <c r="C79" s="34"/>
      <c r="D79" s="34"/>
      <c r="E79" s="34"/>
      <c r="F79" s="34"/>
      <c r="G79" s="34"/>
      <c r="H79" s="34"/>
      <c r="I79" s="34"/>
      <c r="J79" s="34"/>
      <c r="K79" s="34"/>
      <c r="L79" s="34"/>
      <c r="M79" s="34"/>
      <c r="N79" s="34"/>
      <c r="O79" s="34"/>
      <c r="P79" s="34"/>
      <c r="Q79" s="34"/>
      <c r="R79" s="34"/>
      <c r="S79" s="34"/>
      <c r="T79" s="34"/>
      <c r="U79" s="25"/>
      <c r="V79" s="5"/>
    </row>
    <row r="80" spans="1:22" ht="15.6" x14ac:dyDescent="0.3">
      <c r="A80" s="24"/>
      <c r="B80" s="25"/>
      <c r="C80" s="34"/>
      <c r="D80" s="34"/>
      <c r="E80" s="34"/>
      <c r="F80" s="34"/>
      <c r="G80" s="34"/>
      <c r="H80" s="34"/>
      <c r="I80" s="34"/>
      <c r="J80" s="34"/>
      <c r="K80" s="34"/>
      <c r="L80" s="34"/>
      <c r="M80" s="34"/>
      <c r="N80" s="34"/>
      <c r="O80" s="34"/>
      <c r="P80" s="34"/>
      <c r="Q80" s="34"/>
      <c r="R80" s="34"/>
      <c r="S80" s="34"/>
      <c r="T80" s="34"/>
      <c r="U80" s="25"/>
      <c r="V80" s="5"/>
    </row>
    <row r="81" spans="1:22" ht="15.6" x14ac:dyDescent="0.3">
      <c r="A81" s="24"/>
      <c r="B81" s="25" t="s">
        <v>23</v>
      </c>
      <c r="C81" s="34"/>
      <c r="D81" s="34"/>
      <c r="E81" s="34"/>
      <c r="F81" s="34"/>
      <c r="G81" s="34"/>
      <c r="H81" s="34"/>
      <c r="I81" s="34"/>
      <c r="J81" s="34">
        <v>0</v>
      </c>
      <c r="K81" s="34"/>
      <c r="L81" s="34">
        <v>0</v>
      </c>
      <c r="M81" s="34"/>
      <c r="N81" s="34"/>
      <c r="O81" s="34"/>
      <c r="P81" s="34"/>
      <c r="Q81" s="34"/>
      <c r="R81" s="34"/>
      <c r="S81" s="34"/>
      <c r="T81" s="53">
        <v>0</v>
      </c>
      <c r="U81" s="25"/>
      <c r="V81" s="5"/>
    </row>
    <row r="82" spans="1:22" ht="15.6" x14ac:dyDescent="0.3">
      <c r="A82" s="24"/>
      <c r="B82" s="25" t="s">
        <v>123</v>
      </c>
      <c r="C82" s="34"/>
      <c r="D82" s="34"/>
      <c r="E82" s="34"/>
      <c r="F82" s="34"/>
      <c r="G82" s="34"/>
      <c r="H82" s="34"/>
      <c r="I82" s="34"/>
      <c r="J82" s="34">
        <v>0</v>
      </c>
      <c r="K82" s="34"/>
      <c r="L82" s="34">
        <v>0</v>
      </c>
      <c r="M82" s="34"/>
      <c r="N82" s="34"/>
      <c r="O82" s="34"/>
      <c r="P82" s="34"/>
      <c r="Q82" s="34"/>
      <c r="R82" s="34"/>
      <c r="S82" s="34"/>
      <c r="T82" s="54">
        <f>SUM(J82:P82)</f>
        <v>0</v>
      </c>
      <c r="U82" s="25"/>
      <c r="V82" s="5"/>
    </row>
    <row r="83" spans="1:22" ht="15.6" x14ac:dyDescent="0.3">
      <c r="A83" s="24"/>
      <c r="B83" s="25" t="s">
        <v>152</v>
      </c>
      <c r="C83" s="34"/>
      <c r="D83" s="34"/>
      <c r="E83" s="34"/>
      <c r="F83" s="34"/>
      <c r="G83" s="34"/>
      <c r="H83" s="34"/>
      <c r="I83" s="34"/>
      <c r="J83" s="34">
        <v>1</v>
      </c>
      <c r="K83" s="34"/>
      <c r="L83" s="34">
        <v>0</v>
      </c>
      <c r="M83" s="34"/>
      <c r="N83" s="34">
        <v>0</v>
      </c>
      <c r="O83" s="34"/>
      <c r="P83" s="34"/>
      <c r="Q83" s="34"/>
      <c r="R83" s="34"/>
      <c r="S83" s="34"/>
      <c r="T83" s="54">
        <f>+L83+N83</f>
        <v>0</v>
      </c>
      <c r="U83" s="25"/>
      <c r="V83" s="5"/>
    </row>
    <row r="84" spans="1:22" ht="15.6" x14ac:dyDescent="0.3">
      <c r="A84" s="24"/>
      <c r="B84" s="25" t="s">
        <v>25</v>
      </c>
      <c r="C84" s="34"/>
      <c r="D84" s="34"/>
      <c r="E84" s="34"/>
      <c r="F84" s="34"/>
      <c r="G84" s="34"/>
      <c r="H84" s="34"/>
      <c r="I84" s="34"/>
      <c r="J84" s="34">
        <v>0</v>
      </c>
      <c r="K84" s="34"/>
      <c r="L84" s="34">
        <v>0</v>
      </c>
      <c r="M84" s="34"/>
      <c r="N84" s="34"/>
      <c r="O84" s="34"/>
      <c r="P84" s="34"/>
      <c r="Q84" s="34"/>
      <c r="R84" s="34"/>
      <c r="S84" s="34"/>
      <c r="T84" s="54">
        <v>0</v>
      </c>
      <c r="U84" s="25"/>
      <c r="V84" s="5"/>
    </row>
    <row r="85" spans="1:22" ht="15.6" x14ac:dyDescent="0.3">
      <c r="A85" s="24"/>
      <c r="B85" s="25" t="s">
        <v>26</v>
      </c>
      <c r="C85" s="34"/>
      <c r="D85" s="34"/>
      <c r="E85" s="34"/>
      <c r="F85" s="54"/>
      <c r="G85" s="34"/>
      <c r="H85" s="54"/>
      <c r="I85" s="54"/>
      <c r="J85" s="54">
        <f>SUM(J72:J84)</f>
        <v>1000050</v>
      </c>
      <c r="K85" s="34"/>
      <c r="L85" s="54">
        <f>SUM(L72:L84)</f>
        <v>615424</v>
      </c>
      <c r="M85" s="34"/>
      <c r="N85" s="34"/>
      <c r="O85" s="34"/>
      <c r="P85" s="34"/>
      <c r="Q85" s="34"/>
      <c r="R85" s="54"/>
      <c r="S85" s="34"/>
      <c r="T85" s="54">
        <f>SUM(T72:T84)</f>
        <v>609872</v>
      </c>
      <c r="U85" s="25"/>
      <c r="V85" s="5"/>
    </row>
    <row r="86" spans="1:22" ht="15.6" x14ac:dyDescent="0.3">
      <c r="A86" s="24"/>
      <c r="B86" s="25"/>
      <c r="C86" s="34"/>
      <c r="D86" s="34"/>
      <c r="E86" s="34"/>
      <c r="F86" s="34"/>
      <c r="G86" s="34"/>
      <c r="H86" s="34"/>
      <c r="I86" s="34"/>
      <c r="J86" s="34"/>
      <c r="K86" s="34"/>
      <c r="L86" s="34"/>
      <c r="M86" s="34"/>
      <c r="N86" s="34"/>
      <c r="O86" s="34"/>
      <c r="P86" s="34"/>
      <c r="Q86" s="34"/>
      <c r="R86" s="34"/>
      <c r="S86" s="34"/>
      <c r="T86" s="54"/>
      <c r="U86" s="25"/>
      <c r="V86" s="5"/>
    </row>
    <row r="87" spans="1:22" ht="15.6" x14ac:dyDescent="0.3">
      <c r="A87" s="6"/>
      <c r="B87" s="8"/>
      <c r="C87" s="8"/>
      <c r="D87" s="8"/>
      <c r="E87" s="8"/>
      <c r="F87" s="8"/>
      <c r="G87" s="8"/>
      <c r="H87" s="8"/>
      <c r="I87" s="8"/>
      <c r="J87" s="8"/>
      <c r="K87" s="8"/>
      <c r="L87" s="8"/>
      <c r="M87" s="8"/>
      <c r="N87" s="8"/>
      <c r="O87" s="8"/>
      <c r="P87" s="8"/>
      <c r="Q87" s="8"/>
      <c r="R87" s="8"/>
      <c r="S87" s="8"/>
      <c r="T87" s="8"/>
      <c r="U87" s="8"/>
      <c r="V87" s="5"/>
    </row>
    <row r="88" spans="1:22" ht="15.6" x14ac:dyDescent="0.3">
      <c r="A88" s="6"/>
      <c r="B88" s="51" t="s">
        <v>27</v>
      </c>
      <c r="C88" s="14"/>
      <c r="D88" s="14"/>
      <c r="E88" s="14"/>
      <c r="F88" s="14"/>
      <c r="G88" s="14"/>
      <c r="H88" s="17"/>
      <c r="I88" s="17"/>
      <c r="J88" s="159" t="s">
        <v>98</v>
      </c>
      <c r="K88" s="17"/>
      <c r="L88" s="158">
        <f>+R193</f>
        <v>40086</v>
      </c>
      <c r="M88" s="17"/>
      <c r="N88" s="17"/>
      <c r="O88" s="17"/>
      <c r="P88" s="17"/>
      <c r="Q88" s="17"/>
      <c r="R88" s="17" t="s">
        <v>111</v>
      </c>
      <c r="S88" s="17"/>
      <c r="T88" s="17" t="s">
        <v>119</v>
      </c>
      <c r="U88" s="8"/>
      <c r="V88" s="5"/>
    </row>
    <row r="89" spans="1:22" ht="15.6" x14ac:dyDescent="0.3">
      <c r="A89" s="24"/>
      <c r="B89" s="25" t="s">
        <v>28</v>
      </c>
      <c r="C89" s="25"/>
      <c r="D89" s="25"/>
      <c r="E89" s="25"/>
      <c r="F89" s="25"/>
      <c r="G89" s="25"/>
      <c r="H89" s="25"/>
      <c r="I89" s="25"/>
      <c r="J89" s="25"/>
      <c r="K89" s="25"/>
      <c r="L89" s="25"/>
      <c r="M89" s="25"/>
      <c r="N89" s="25"/>
      <c r="O89" s="25"/>
      <c r="P89" s="25"/>
      <c r="Q89" s="25"/>
      <c r="R89" s="34">
        <v>0</v>
      </c>
      <c r="S89" s="25"/>
      <c r="T89" s="53">
        <v>0</v>
      </c>
      <c r="U89" s="25"/>
      <c r="V89" s="5"/>
    </row>
    <row r="90" spans="1:22" ht="15.6" x14ac:dyDescent="0.3">
      <c r="A90" s="24"/>
      <c r="B90" s="25" t="s">
        <v>29</v>
      </c>
      <c r="C90" s="25"/>
      <c r="D90" s="25"/>
      <c r="E90" s="25"/>
      <c r="F90" s="25"/>
      <c r="G90" s="25"/>
      <c r="H90" s="40"/>
      <c r="I90" s="57"/>
      <c r="J90" s="40"/>
      <c r="K90" s="25"/>
      <c r="L90" s="127"/>
      <c r="M90" s="25"/>
      <c r="N90" s="25"/>
      <c r="O90" s="25"/>
      <c r="P90" s="25"/>
      <c r="Q90" s="25"/>
      <c r="R90" s="34">
        <f>6315-312</f>
        <v>6003</v>
      </c>
      <c r="S90" s="25"/>
      <c r="T90" s="53"/>
      <c r="U90" s="25"/>
      <c r="V90" s="5"/>
    </row>
    <row r="91" spans="1:22" ht="15.6" x14ac:dyDescent="0.3">
      <c r="A91" s="24"/>
      <c r="B91" s="25" t="s">
        <v>225</v>
      </c>
      <c r="C91" s="25"/>
      <c r="D91" s="25"/>
      <c r="E91" s="25"/>
      <c r="F91" s="25"/>
      <c r="G91" s="25"/>
      <c r="H91" s="40"/>
      <c r="I91" s="57"/>
      <c r="J91" s="40"/>
      <c r="K91" s="25"/>
      <c r="L91" s="127"/>
      <c r="M91" s="25"/>
      <c r="N91" s="25"/>
      <c r="O91" s="25"/>
      <c r="P91" s="25"/>
      <c r="Q91" s="25"/>
      <c r="R91" s="34"/>
      <c r="S91" s="25"/>
      <c r="T91" s="53">
        <f>2914+3070-307-194+24+2</f>
        <v>5509</v>
      </c>
      <c r="U91" s="25"/>
      <c r="V91" s="5"/>
    </row>
    <row r="92" spans="1:22" ht="15.6" x14ac:dyDescent="0.3">
      <c r="A92" s="24"/>
      <c r="B92" s="25" t="s">
        <v>220</v>
      </c>
      <c r="C92" s="25"/>
      <c r="D92" s="25"/>
      <c r="E92" s="25"/>
      <c r="F92" s="25"/>
      <c r="G92" s="25"/>
      <c r="H92" s="40"/>
      <c r="I92" s="57"/>
      <c r="J92" s="40"/>
      <c r="K92" s="25"/>
      <c r="L92" s="127"/>
      <c r="M92" s="25"/>
      <c r="N92" s="25"/>
      <c r="O92" s="25"/>
      <c r="P92" s="25"/>
      <c r="Q92" s="25"/>
      <c r="R92" s="34"/>
      <c r="S92" s="25"/>
      <c r="T92" s="53">
        <f>49+104</f>
        <v>153</v>
      </c>
      <c r="U92" s="25"/>
      <c r="V92" s="5"/>
    </row>
    <row r="93" spans="1:22" ht="15.6" x14ac:dyDescent="0.3">
      <c r="A93" s="24"/>
      <c r="B93" s="25" t="s">
        <v>221</v>
      </c>
      <c r="C93" s="25"/>
      <c r="D93" s="25"/>
      <c r="E93" s="25"/>
      <c r="F93" s="25"/>
      <c r="G93" s="25"/>
      <c r="H93" s="40"/>
      <c r="I93" s="57"/>
      <c r="J93" s="40"/>
      <c r="K93" s="25"/>
      <c r="L93" s="127"/>
      <c r="M93" s="25"/>
      <c r="N93" s="25"/>
      <c r="O93" s="25"/>
      <c r="P93" s="25"/>
      <c r="Q93" s="25"/>
      <c r="R93" s="34"/>
      <c r="S93" s="25"/>
      <c r="T93" s="53">
        <v>73</v>
      </c>
      <c r="U93" s="25"/>
      <c r="V93" s="5"/>
    </row>
    <row r="94" spans="1:22" ht="15.6" x14ac:dyDescent="0.3">
      <c r="A94" s="24"/>
      <c r="B94" s="25" t="s">
        <v>261</v>
      </c>
      <c r="C94" s="25"/>
      <c r="D94" s="25"/>
      <c r="E94" s="25"/>
      <c r="F94" s="25"/>
      <c r="G94" s="25"/>
      <c r="H94" s="40"/>
      <c r="I94" s="57"/>
      <c r="J94" s="40"/>
      <c r="K94" s="25"/>
      <c r="L94" s="127"/>
      <c r="M94" s="25"/>
      <c r="N94" s="25"/>
      <c r="O94" s="25"/>
      <c r="P94" s="25"/>
      <c r="Q94" s="25"/>
      <c r="R94" s="34"/>
      <c r="S94" s="25"/>
      <c r="T94" s="53">
        <v>0</v>
      </c>
      <c r="U94" s="25"/>
      <c r="V94" s="5"/>
    </row>
    <row r="95" spans="1:22" ht="15.6" x14ac:dyDescent="0.3">
      <c r="A95" s="24"/>
      <c r="B95" s="25" t="s">
        <v>141</v>
      </c>
      <c r="C95" s="25"/>
      <c r="D95" s="25"/>
      <c r="E95" s="25"/>
      <c r="F95" s="25"/>
      <c r="G95" s="25"/>
      <c r="H95" s="25"/>
      <c r="I95" s="25"/>
      <c r="J95" s="25"/>
      <c r="K95" s="25"/>
      <c r="L95" s="25"/>
      <c r="M95" s="25"/>
      <c r="N95" s="25"/>
      <c r="O95" s="25"/>
      <c r="P95" s="25"/>
      <c r="Q95" s="25"/>
      <c r="R95" s="34"/>
      <c r="S95" s="25"/>
      <c r="T95" s="53">
        <v>0</v>
      </c>
      <c r="U95" s="25"/>
      <c r="V95" s="5"/>
    </row>
    <row r="96" spans="1:22" ht="15.6" x14ac:dyDescent="0.3">
      <c r="A96" s="24"/>
      <c r="B96" s="25" t="s">
        <v>250</v>
      </c>
      <c r="C96" s="25"/>
      <c r="D96" s="25"/>
      <c r="E96" s="25"/>
      <c r="F96" s="25"/>
      <c r="G96" s="25"/>
      <c r="H96" s="25"/>
      <c r="I96" s="25"/>
      <c r="J96" s="25"/>
      <c r="K96" s="25"/>
      <c r="L96" s="25"/>
      <c r="M96" s="25"/>
      <c r="N96" s="25"/>
      <c r="O96" s="25"/>
      <c r="P96" s="25"/>
      <c r="Q96" s="25"/>
      <c r="R96" s="34"/>
      <c r="S96" s="25"/>
      <c r="T96" s="53">
        <v>0</v>
      </c>
      <c r="U96" s="25"/>
      <c r="V96" s="5"/>
    </row>
    <row r="97" spans="1:24" ht="15.6" x14ac:dyDescent="0.3">
      <c r="A97" s="24"/>
      <c r="B97" s="25" t="s">
        <v>30</v>
      </c>
      <c r="C97" s="25"/>
      <c r="D97" s="25"/>
      <c r="E97" s="25"/>
      <c r="F97" s="25"/>
      <c r="G97" s="25"/>
      <c r="H97" s="25"/>
      <c r="I97" s="25"/>
      <c r="J97" s="25"/>
      <c r="K97" s="25"/>
      <c r="L97" s="25"/>
      <c r="M97" s="25"/>
      <c r="N97" s="25"/>
      <c r="O97" s="25"/>
      <c r="P97" s="25"/>
      <c r="Q97" s="25"/>
      <c r="R97" s="34">
        <f>SUM(R89:R96)</f>
        <v>6003</v>
      </c>
      <c r="S97" s="25"/>
      <c r="T97" s="54">
        <f>SUM(T89:T96)</f>
        <v>5735</v>
      </c>
      <c r="U97" s="25"/>
      <c r="V97" s="5"/>
    </row>
    <row r="98" spans="1:24" ht="15.6" x14ac:dyDescent="0.3">
      <c r="A98" s="24"/>
      <c r="B98" s="25" t="s">
        <v>168</v>
      </c>
      <c r="C98" s="25"/>
      <c r="D98" s="25"/>
      <c r="E98" s="25"/>
      <c r="F98" s="25"/>
      <c r="G98" s="25"/>
      <c r="H98" s="25"/>
      <c r="I98" s="25"/>
      <c r="J98" s="25"/>
      <c r="K98" s="25"/>
      <c r="L98" s="25"/>
      <c r="M98" s="25"/>
      <c r="N98" s="25"/>
      <c r="O98" s="25"/>
      <c r="P98" s="25"/>
      <c r="Q98" s="25"/>
      <c r="R98" s="34">
        <v>-18</v>
      </c>
      <c r="S98" s="25"/>
      <c r="T98" s="54">
        <f>-R98</f>
        <v>18</v>
      </c>
      <c r="U98" s="25"/>
      <c r="V98" s="5"/>
    </row>
    <row r="99" spans="1:24" ht="15.6" x14ac:dyDescent="0.3">
      <c r="A99" s="24"/>
      <c r="B99" s="25" t="s">
        <v>31</v>
      </c>
      <c r="C99" s="25"/>
      <c r="D99" s="25"/>
      <c r="E99" s="25"/>
      <c r="F99" s="25"/>
      <c r="G99" s="25"/>
      <c r="H99" s="25"/>
      <c r="I99" s="25"/>
      <c r="J99" s="25"/>
      <c r="K99" s="25"/>
      <c r="L99" s="25"/>
      <c r="M99" s="25"/>
      <c r="N99" s="25"/>
      <c r="O99" s="25"/>
      <c r="P99" s="25"/>
      <c r="Q99" s="25"/>
      <c r="R99" s="34">
        <f>-T99</f>
        <v>0</v>
      </c>
      <c r="S99" s="25"/>
      <c r="T99" s="53">
        <v>0</v>
      </c>
      <c r="U99" s="25"/>
      <c r="V99" s="5"/>
    </row>
    <row r="100" spans="1:24" ht="15.6" x14ac:dyDescent="0.3">
      <c r="A100" s="24"/>
      <c r="B100" s="25" t="s">
        <v>273</v>
      </c>
      <c r="C100" s="25"/>
      <c r="D100" s="25"/>
      <c r="E100" s="25"/>
      <c r="F100" s="25"/>
      <c r="G100" s="25"/>
      <c r="H100" s="25"/>
      <c r="I100" s="25"/>
      <c r="J100" s="25"/>
      <c r="K100" s="25"/>
      <c r="L100" s="25"/>
      <c r="M100" s="25"/>
      <c r="N100" s="25"/>
      <c r="O100" s="25"/>
      <c r="P100" s="25"/>
      <c r="Q100" s="25"/>
      <c r="R100" s="34"/>
      <c r="S100" s="25"/>
      <c r="T100" s="53">
        <v>-29</v>
      </c>
      <c r="U100" s="25"/>
      <c r="V100" s="5"/>
    </row>
    <row r="101" spans="1:24" ht="15.6" x14ac:dyDescent="0.3">
      <c r="A101" s="24"/>
      <c r="B101" s="25" t="s">
        <v>32</v>
      </c>
      <c r="C101" s="25"/>
      <c r="D101" s="25"/>
      <c r="E101" s="25"/>
      <c r="F101" s="25"/>
      <c r="G101" s="25"/>
      <c r="H101" s="25"/>
      <c r="I101" s="25"/>
      <c r="J101" s="25"/>
      <c r="K101" s="25"/>
      <c r="L101" s="25"/>
      <c r="M101" s="25"/>
      <c r="N101" s="25"/>
      <c r="O101" s="25"/>
      <c r="P101" s="25"/>
      <c r="Q101" s="25"/>
      <c r="R101" s="34">
        <f>R97+R99+R98</f>
        <v>5985</v>
      </c>
      <c r="S101" s="25"/>
      <c r="T101" s="54">
        <f>T97+T99+T98+T100</f>
        <v>5724</v>
      </c>
      <c r="U101" s="25"/>
      <c r="V101" s="5"/>
    </row>
    <row r="102" spans="1:24" ht="15.6" x14ac:dyDescent="0.3">
      <c r="A102" s="24"/>
      <c r="B102" s="118" t="s">
        <v>33</v>
      </c>
      <c r="C102" s="25"/>
      <c r="D102" s="25"/>
      <c r="E102" s="25"/>
      <c r="F102" s="25"/>
      <c r="G102" s="25"/>
      <c r="H102" s="25"/>
      <c r="I102" s="25"/>
      <c r="J102" s="25"/>
      <c r="K102" s="25"/>
      <c r="L102" s="25"/>
      <c r="M102" s="25"/>
      <c r="N102" s="25"/>
      <c r="O102" s="25"/>
      <c r="P102" s="25"/>
      <c r="Q102" s="25"/>
      <c r="R102" s="34"/>
      <c r="S102" s="25"/>
      <c r="T102" s="53"/>
      <c r="U102" s="25"/>
      <c r="V102" s="5"/>
    </row>
    <row r="103" spans="1:24" ht="15.6" x14ac:dyDescent="0.3">
      <c r="A103" s="24">
        <v>1</v>
      </c>
      <c r="B103" s="25" t="s">
        <v>34</v>
      </c>
      <c r="C103" s="25"/>
      <c r="D103" s="25"/>
      <c r="E103" s="25"/>
      <c r="F103" s="25"/>
      <c r="G103" s="25"/>
      <c r="H103" s="25"/>
      <c r="I103" s="25"/>
      <c r="J103" s="25"/>
      <c r="K103" s="25"/>
      <c r="L103" s="25"/>
      <c r="M103" s="25"/>
      <c r="N103" s="25"/>
      <c r="O103" s="25"/>
      <c r="P103" s="25"/>
      <c r="Q103" s="25"/>
      <c r="R103" s="25"/>
      <c r="S103" s="25"/>
      <c r="T103" s="53">
        <v>0</v>
      </c>
      <c r="U103" s="25"/>
      <c r="V103" s="5"/>
    </row>
    <row r="104" spans="1:24" ht="15.6" x14ac:dyDescent="0.3">
      <c r="A104" s="24">
        <f>+A103+1</f>
        <v>2</v>
      </c>
      <c r="B104" s="25" t="s">
        <v>255</v>
      </c>
      <c r="C104" s="25"/>
      <c r="D104" s="25"/>
      <c r="E104" s="25"/>
      <c r="F104" s="25"/>
      <c r="G104" s="25"/>
      <c r="H104" s="25"/>
      <c r="I104" s="25"/>
      <c r="J104" s="25"/>
      <c r="K104" s="25"/>
      <c r="L104" s="25"/>
      <c r="M104" s="25"/>
      <c r="N104" s="25"/>
      <c r="O104" s="25"/>
      <c r="P104" s="25"/>
      <c r="Q104" s="25"/>
      <c r="R104" s="25"/>
      <c r="S104" s="25"/>
      <c r="T104" s="53">
        <v>-2</v>
      </c>
      <c r="U104" s="25"/>
      <c r="V104" s="5"/>
    </row>
    <row r="105" spans="1:24" ht="15.6" x14ac:dyDescent="0.3">
      <c r="A105" s="24">
        <f>+A104+1</f>
        <v>3</v>
      </c>
      <c r="B105" s="25" t="s">
        <v>213</v>
      </c>
      <c r="C105" s="25"/>
      <c r="D105" s="25"/>
      <c r="E105" s="25"/>
      <c r="F105" s="25"/>
      <c r="G105" s="25"/>
      <c r="H105" s="25"/>
      <c r="I105" s="25"/>
      <c r="J105" s="25"/>
      <c r="K105" s="25"/>
      <c r="L105" s="25"/>
      <c r="M105" s="25"/>
      <c r="N105" s="25"/>
      <c r="O105" s="25"/>
      <c r="P105" s="25"/>
      <c r="Q105" s="25"/>
      <c r="R105" s="25"/>
      <c r="S105" s="25"/>
      <c r="T105" s="53">
        <f>-234-187-7</f>
        <v>-428</v>
      </c>
      <c r="U105" s="25"/>
      <c r="V105" s="5"/>
    </row>
    <row r="106" spans="1:24" ht="15.6" x14ac:dyDescent="0.3">
      <c r="A106" s="24" t="s">
        <v>133</v>
      </c>
      <c r="B106" s="25" t="s">
        <v>122</v>
      </c>
      <c r="C106" s="25"/>
      <c r="D106" s="25"/>
      <c r="E106" s="25"/>
      <c r="F106" s="25"/>
      <c r="G106" s="25"/>
      <c r="H106" s="25"/>
      <c r="I106" s="25"/>
      <c r="J106" s="25"/>
      <c r="K106" s="25"/>
      <c r="L106" s="25"/>
      <c r="M106" s="25"/>
      <c r="N106" s="25"/>
      <c r="O106" s="25"/>
      <c r="P106" s="25"/>
      <c r="Q106" s="25"/>
      <c r="R106" s="25"/>
      <c r="S106" s="25"/>
      <c r="T106" s="53">
        <v>-1749</v>
      </c>
      <c r="U106" s="25"/>
      <c r="V106" s="5"/>
    </row>
    <row r="107" spans="1:24" ht="15.6" x14ac:dyDescent="0.3">
      <c r="A107" s="24" t="s">
        <v>134</v>
      </c>
      <c r="B107" s="25" t="s">
        <v>194</v>
      </c>
      <c r="C107" s="25"/>
      <c r="D107" s="25"/>
      <c r="E107" s="25"/>
      <c r="F107" s="25"/>
      <c r="G107" s="25"/>
      <c r="H107" s="25"/>
      <c r="I107" s="25"/>
      <c r="J107" s="25"/>
      <c r="K107" s="25"/>
      <c r="L107" s="25"/>
      <c r="M107" s="25"/>
      <c r="N107" s="25"/>
      <c r="O107" s="25"/>
      <c r="P107" s="25"/>
      <c r="Q107" s="25"/>
      <c r="R107" s="25"/>
      <c r="S107" s="25"/>
      <c r="T107" s="53">
        <f>-1356+233</f>
        <v>-1123</v>
      </c>
      <c r="U107" s="25"/>
      <c r="V107" s="5"/>
      <c r="W107" s="109"/>
    </row>
    <row r="108" spans="1:24" ht="15.6" x14ac:dyDescent="0.3">
      <c r="A108" s="24" t="s">
        <v>156</v>
      </c>
      <c r="B108" s="25" t="s">
        <v>191</v>
      </c>
      <c r="C108" s="25"/>
      <c r="D108" s="25"/>
      <c r="E108" s="25"/>
      <c r="F108" s="25"/>
      <c r="G108" s="25"/>
      <c r="H108" s="25"/>
      <c r="I108" s="25"/>
      <c r="J108" s="25"/>
      <c r="K108" s="25"/>
      <c r="L108" s="25"/>
      <c r="M108" s="25"/>
      <c r="N108" s="25"/>
      <c r="O108" s="25"/>
      <c r="P108" s="25"/>
      <c r="Q108" s="25"/>
      <c r="R108" s="25"/>
      <c r="S108" s="25"/>
      <c r="T108" s="53">
        <v>-233</v>
      </c>
      <c r="U108" s="25"/>
      <c r="V108" s="5"/>
      <c r="W108" s="109"/>
    </row>
    <row r="109" spans="1:24" ht="15.6" x14ac:dyDescent="0.3">
      <c r="A109" s="24" t="s">
        <v>214</v>
      </c>
      <c r="B109" s="25" t="s">
        <v>192</v>
      </c>
      <c r="C109" s="25"/>
      <c r="D109" s="25"/>
      <c r="E109" s="25"/>
      <c r="F109" s="25"/>
      <c r="G109" s="25"/>
      <c r="H109" s="25"/>
      <c r="I109" s="25"/>
      <c r="J109" s="25"/>
      <c r="K109" s="25"/>
      <c r="L109" s="25"/>
      <c r="M109" s="25"/>
      <c r="N109" s="25"/>
      <c r="O109" s="25"/>
      <c r="P109" s="25"/>
      <c r="Q109" s="25"/>
      <c r="R109" s="25"/>
      <c r="S109" s="25"/>
      <c r="T109" s="53">
        <v>-177</v>
      </c>
      <c r="U109" s="25"/>
      <c r="V109" s="5"/>
      <c r="W109" s="109"/>
      <c r="X109" s="109"/>
    </row>
    <row r="110" spans="1:24" ht="15.6" x14ac:dyDescent="0.3">
      <c r="A110" s="24" t="s">
        <v>215</v>
      </c>
      <c r="B110" s="25" t="s">
        <v>193</v>
      </c>
      <c r="C110" s="25"/>
      <c r="D110" s="25"/>
      <c r="E110" s="25"/>
      <c r="F110" s="25"/>
      <c r="G110" s="25"/>
      <c r="H110" s="25"/>
      <c r="I110" s="25"/>
      <c r="J110" s="25"/>
      <c r="K110" s="25"/>
      <c r="L110" s="25"/>
      <c r="M110" s="25"/>
      <c r="N110" s="25"/>
      <c r="O110" s="25"/>
      <c r="P110" s="25"/>
      <c r="Q110" s="25"/>
      <c r="R110" s="25"/>
      <c r="S110" s="25"/>
      <c r="T110" s="53">
        <v>-50</v>
      </c>
      <c r="U110" s="25"/>
      <c r="V110" s="169"/>
      <c r="W110" s="109"/>
    </row>
    <row r="111" spans="1:24" ht="15.6" x14ac:dyDescent="0.3">
      <c r="A111" s="24" t="s">
        <v>216</v>
      </c>
      <c r="B111" s="25" t="s">
        <v>204</v>
      </c>
      <c r="C111" s="25"/>
      <c r="D111" s="25"/>
      <c r="E111" s="25"/>
      <c r="F111" s="25"/>
      <c r="G111" s="25"/>
      <c r="H111" s="25"/>
      <c r="I111" s="25"/>
      <c r="J111" s="25"/>
      <c r="K111" s="25"/>
      <c r="L111" s="25"/>
      <c r="M111" s="25"/>
      <c r="N111" s="25"/>
      <c r="O111" s="25"/>
      <c r="P111" s="25"/>
      <c r="Q111" s="25"/>
      <c r="R111" s="25"/>
      <c r="S111" s="25"/>
      <c r="T111" s="53">
        <v>-224</v>
      </c>
      <c r="U111" s="25"/>
      <c r="V111" s="5"/>
      <c r="W111" s="109"/>
    </row>
    <row r="112" spans="1:24" ht="15.6" x14ac:dyDescent="0.3">
      <c r="A112" s="24">
        <v>7</v>
      </c>
      <c r="B112" s="25" t="s">
        <v>35</v>
      </c>
      <c r="C112" s="25"/>
      <c r="D112" s="25"/>
      <c r="E112" s="25"/>
      <c r="F112" s="25"/>
      <c r="G112" s="25"/>
      <c r="H112" s="25"/>
      <c r="I112" s="25"/>
      <c r="J112" s="25"/>
      <c r="K112" s="25"/>
      <c r="L112" s="25"/>
      <c r="M112" s="25"/>
      <c r="N112" s="25"/>
      <c r="O112" s="25"/>
      <c r="P112" s="25"/>
      <c r="Q112" s="25"/>
      <c r="R112" s="25"/>
      <c r="S112" s="25"/>
      <c r="T112" s="53">
        <v>-10</v>
      </c>
      <c r="U112" s="25"/>
      <c r="V112" s="5"/>
    </row>
    <row r="113" spans="1:22" ht="15.6" x14ac:dyDescent="0.3">
      <c r="A113" s="24">
        <f t="shared" ref="A113:A118" si="0">+A112+1</f>
        <v>8</v>
      </c>
      <c r="B113" s="25" t="s">
        <v>46</v>
      </c>
      <c r="C113" s="25"/>
      <c r="D113" s="25"/>
      <c r="E113" s="25"/>
      <c r="F113" s="25"/>
      <c r="G113" s="25"/>
      <c r="H113" s="25"/>
      <c r="I113" s="25"/>
      <c r="J113" s="25"/>
      <c r="K113" s="25"/>
      <c r="L113" s="25"/>
      <c r="M113" s="25"/>
      <c r="N113" s="25"/>
      <c r="O113" s="25"/>
      <c r="P113" s="25"/>
      <c r="Q113" s="25"/>
      <c r="R113" s="34">
        <f>-T113</f>
        <v>312</v>
      </c>
      <c r="S113" s="25"/>
      <c r="T113" s="53">
        <v>-312</v>
      </c>
      <c r="U113" s="25"/>
      <c r="V113" s="5"/>
    </row>
    <row r="114" spans="1:22" ht="15.6" x14ac:dyDescent="0.3">
      <c r="A114" s="24">
        <f t="shared" si="0"/>
        <v>9</v>
      </c>
      <c r="B114" s="25" t="s">
        <v>131</v>
      </c>
      <c r="C114" s="25"/>
      <c r="D114" s="25"/>
      <c r="E114" s="25"/>
      <c r="F114" s="25"/>
      <c r="G114" s="25"/>
      <c r="H114" s="25"/>
      <c r="I114" s="25"/>
      <c r="J114" s="25"/>
      <c r="K114" s="25"/>
      <c r="L114" s="25"/>
      <c r="M114" s="25"/>
      <c r="N114" s="25"/>
      <c r="O114" s="25"/>
      <c r="P114" s="25"/>
      <c r="Q114" s="25"/>
      <c r="R114" s="25"/>
      <c r="S114" s="25"/>
      <c r="T114" s="53">
        <v>0</v>
      </c>
      <c r="U114" s="25"/>
      <c r="V114" s="5"/>
    </row>
    <row r="115" spans="1:22" ht="15.6" x14ac:dyDescent="0.3">
      <c r="A115" s="24">
        <f t="shared" si="0"/>
        <v>10</v>
      </c>
      <c r="B115" s="25" t="s">
        <v>36</v>
      </c>
      <c r="C115" s="25"/>
      <c r="D115" s="25"/>
      <c r="E115" s="25"/>
      <c r="F115" s="25"/>
      <c r="G115" s="25"/>
      <c r="H115" s="25"/>
      <c r="I115" s="25"/>
      <c r="J115" s="25"/>
      <c r="K115" s="25"/>
      <c r="L115" s="25"/>
      <c r="M115" s="25"/>
      <c r="N115" s="25"/>
      <c r="O115" s="25"/>
      <c r="P115" s="25"/>
      <c r="Q115" s="25"/>
      <c r="R115" s="25"/>
      <c r="S115" s="25"/>
      <c r="T115" s="53">
        <v>0</v>
      </c>
      <c r="U115" s="25"/>
      <c r="V115" s="5"/>
    </row>
    <row r="116" spans="1:22" ht="15.6" x14ac:dyDescent="0.3">
      <c r="A116" s="24">
        <f t="shared" si="0"/>
        <v>11</v>
      </c>
      <c r="B116" s="25" t="s">
        <v>37</v>
      </c>
      <c r="C116" s="25"/>
      <c r="D116" s="25"/>
      <c r="E116" s="25"/>
      <c r="F116" s="25"/>
      <c r="G116" s="25"/>
      <c r="H116" s="25"/>
      <c r="I116" s="25"/>
      <c r="J116" s="25"/>
      <c r="K116" s="25"/>
      <c r="L116" s="25"/>
      <c r="M116" s="25"/>
      <c r="N116" s="25"/>
      <c r="O116" s="25"/>
      <c r="P116" s="25"/>
      <c r="Q116" s="25"/>
      <c r="R116" s="25"/>
      <c r="S116" s="25"/>
      <c r="T116" s="53">
        <v>0</v>
      </c>
      <c r="U116" s="25"/>
      <c r="V116" s="5"/>
    </row>
    <row r="117" spans="1:22" ht="15.6" x14ac:dyDescent="0.3">
      <c r="A117" s="24">
        <f t="shared" si="0"/>
        <v>12</v>
      </c>
      <c r="B117" s="25" t="s">
        <v>155</v>
      </c>
      <c r="C117" s="25"/>
      <c r="D117" s="25"/>
      <c r="E117" s="25"/>
      <c r="F117" s="25"/>
      <c r="G117" s="25"/>
      <c r="H117" s="25"/>
      <c r="I117" s="25"/>
      <c r="J117" s="25"/>
      <c r="K117" s="25"/>
      <c r="L117" s="25"/>
      <c r="M117" s="25"/>
      <c r="N117" s="25"/>
      <c r="O117" s="25"/>
      <c r="P117" s="25"/>
      <c r="Q117" s="25"/>
      <c r="R117" s="25"/>
      <c r="S117" s="25"/>
      <c r="T117" s="53">
        <v>-234</v>
      </c>
      <c r="U117" s="25"/>
      <c r="V117" s="5"/>
    </row>
    <row r="118" spans="1:22" ht="15.6" x14ac:dyDescent="0.3">
      <c r="A118" s="24">
        <f t="shared" si="0"/>
        <v>13</v>
      </c>
      <c r="B118" s="25" t="s">
        <v>132</v>
      </c>
      <c r="C118" s="25"/>
      <c r="D118" s="25"/>
      <c r="E118" s="25"/>
      <c r="F118" s="25"/>
      <c r="G118" s="25"/>
      <c r="H118" s="25"/>
      <c r="I118" s="25"/>
      <c r="J118" s="25"/>
      <c r="K118" s="25"/>
      <c r="L118" s="25"/>
      <c r="M118" s="25"/>
      <c r="N118" s="25"/>
      <c r="O118" s="25"/>
      <c r="P118" s="25"/>
      <c r="Q118" s="25"/>
      <c r="R118" s="25"/>
      <c r="S118" s="25"/>
      <c r="T118" s="53">
        <f>-T101-SUM(T103:T117)</f>
        <v>-1182</v>
      </c>
      <c r="U118" s="25"/>
      <c r="V118" s="5"/>
    </row>
    <row r="119" spans="1:22" ht="15.6" x14ac:dyDescent="0.3">
      <c r="A119" s="24"/>
      <c r="B119" s="118" t="s">
        <v>38</v>
      </c>
      <c r="C119" s="25"/>
      <c r="D119" s="25"/>
      <c r="E119" s="25"/>
      <c r="F119" s="25"/>
      <c r="G119" s="25"/>
      <c r="H119" s="25"/>
      <c r="I119" s="25"/>
      <c r="J119" s="25"/>
      <c r="K119" s="25"/>
      <c r="L119" s="25"/>
      <c r="M119" s="25"/>
      <c r="N119" s="25"/>
      <c r="O119" s="25"/>
      <c r="P119" s="25"/>
      <c r="Q119" s="25"/>
      <c r="R119" s="25"/>
      <c r="S119" s="25"/>
      <c r="T119" s="59"/>
      <c r="U119" s="25"/>
      <c r="V119" s="5"/>
    </row>
    <row r="120" spans="1:22" ht="15.6" x14ac:dyDescent="0.3">
      <c r="A120" s="24"/>
      <c r="B120" s="25" t="s">
        <v>180</v>
      </c>
      <c r="C120" s="25"/>
      <c r="D120" s="25"/>
      <c r="E120" s="25"/>
      <c r="F120" s="25"/>
      <c r="G120" s="25"/>
      <c r="H120" s="25"/>
      <c r="I120" s="25"/>
      <c r="J120" s="25"/>
      <c r="K120" s="25"/>
      <c r="L120" s="25"/>
      <c r="M120" s="25"/>
      <c r="N120" s="25"/>
      <c r="O120" s="25"/>
      <c r="P120" s="25"/>
      <c r="Q120" s="25"/>
      <c r="R120" s="34">
        <f>-R177</f>
        <v>0</v>
      </c>
      <c r="S120" s="34"/>
      <c r="T120" s="53"/>
      <c r="U120" s="25"/>
      <c r="V120" s="5"/>
    </row>
    <row r="121" spans="1:22" ht="15.6" x14ac:dyDescent="0.3">
      <c r="A121" s="24"/>
      <c r="B121" s="25" t="s">
        <v>181</v>
      </c>
      <c r="C121" s="25"/>
      <c r="D121" s="25"/>
      <c r="E121" s="25"/>
      <c r="F121" s="25"/>
      <c r="G121" s="25"/>
      <c r="H121" s="25"/>
      <c r="I121" s="25"/>
      <c r="J121" s="25"/>
      <c r="K121" s="25"/>
      <c r="L121" s="25"/>
      <c r="M121" s="25"/>
      <c r="N121" s="25"/>
      <c r="O121" s="25"/>
      <c r="P121" s="25"/>
      <c r="Q121" s="25"/>
      <c r="R121" s="34">
        <v>-78</v>
      </c>
      <c r="S121" s="34"/>
      <c r="T121" s="53"/>
      <c r="U121" s="25"/>
      <c r="V121" s="5"/>
    </row>
    <row r="122" spans="1:22" ht="15.6" x14ac:dyDescent="0.3">
      <c r="A122" s="24"/>
      <c r="B122" s="25" t="s">
        <v>39</v>
      </c>
      <c r="C122" s="25"/>
      <c r="D122" s="25"/>
      <c r="E122" s="25"/>
      <c r="F122" s="25"/>
      <c r="G122" s="25"/>
      <c r="H122" s="25"/>
      <c r="I122" s="25"/>
      <c r="J122" s="25"/>
      <c r="K122" s="25"/>
      <c r="L122" s="25"/>
      <c r="M122" s="25"/>
      <c r="N122" s="25"/>
      <c r="O122" s="25"/>
      <c r="P122" s="25"/>
      <c r="Q122" s="25"/>
      <c r="R122" s="34">
        <f>-Q177</f>
        <v>-667</v>
      </c>
      <c r="S122" s="34"/>
      <c r="T122" s="53"/>
      <c r="U122" s="25"/>
      <c r="V122" s="5"/>
    </row>
    <row r="123" spans="1:22" ht="15.6" x14ac:dyDescent="0.3">
      <c r="A123" s="24"/>
      <c r="B123" s="25" t="s">
        <v>205</v>
      </c>
      <c r="C123" s="25"/>
      <c r="D123" s="25"/>
      <c r="E123" s="25"/>
      <c r="F123" s="25"/>
      <c r="G123" s="25"/>
      <c r="H123" s="25"/>
      <c r="I123" s="25"/>
      <c r="J123" s="25"/>
      <c r="K123" s="25"/>
      <c r="L123" s="25"/>
      <c r="M123" s="25"/>
      <c r="N123" s="25"/>
      <c r="O123" s="25"/>
      <c r="P123" s="25"/>
      <c r="Q123" s="25"/>
      <c r="R123" s="34">
        <v>-3630</v>
      </c>
      <c r="S123" s="34"/>
      <c r="T123" s="53"/>
      <c r="U123" s="25"/>
      <c r="V123" s="5"/>
    </row>
    <row r="124" spans="1:22" ht="15.6" x14ac:dyDescent="0.3">
      <c r="A124" s="24"/>
      <c r="B124" s="25" t="s">
        <v>203</v>
      </c>
      <c r="C124" s="25"/>
      <c r="D124" s="25"/>
      <c r="E124" s="25"/>
      <c r="F124" s="25"/>
      <c r="G124" s="25"/>
      <c r="H124" s="25"/>
      <c r="I124" s="25"/>
      <c r="J124" s="25"/>
      <c r="K124" s="25"/>
      <c r="L124" s="25"/>
      <c r="M124" s="25"/>
      <c r="N124" s="25"/>
      <c r="O124" s="25"/>
      <c r="P124" s="25"/>
      <c r="Q124" s="25"/>
      <c r="R124" s="34">
        <v>-957</v>
      </c>
      <c r="S124" s="34"/>
      <c r="T124" s="53"/>
      <c r="U124" s="25"/>
      <c r="V124" s="5"/>
    </row>
    <row r="125" spans="1:22" ht="15.6" x14ac:dyDescent="0.3">
      <c r="A125" s="24"/>
      <c r="B125" s="25" t="s">
        <v>202</v>
      </c>
      <c r="C125" s="25"/>
      <c r="D125" s="25"/>
      <c r="E125" s="25"/>
      <c r="F125" s="25"/>
      <c r="G125" s="25"/>
      <c r="H125" s="25"/>
      <c r="I125" s="25"/>
      <c r="J125" s="25"/>
      <c r="K125" s="25"/>
      <c r="L125" s="25"/>
      <c r="M125" s="25"/>
      <c r="N125" s="25"/>
      <c r="O125" s="25"/>
      <c r="P125" s="25"/>
      <c r="Q125" s="25"/>
      <c r="R125" s="34">
        <v>-965</v>
      </c>
      <c r="S125" s="34"/>
      <c r="T125" s="53"/>
      <c r="U125" s="25"/>
      <c r="V125" s="5"/>
    </row>
    <row r="126" spans="1:22" ht="15.6" x14ac:dyDescent="0.3">
      <c r="A126" s="24"/>
      <c r="B126" s="25" t="s">
        <v>197</v>
      </c>
      <c r="C126" s="25"/>
      <c r="D126" s="25"/>
      <c r="E126" s="25"/>
      <c r="F126" s="25"/>
      <c r="G126" s="25"/>
      <c r="H126" s="25"/>
      <c r="I126" s="25"/>
      <c r="J126" s="25"/>
      <c r="K126" s="25"/>
      <c r="L126" s="25"/>
      <c r="M126" s="25"/>
      <c r="N126" s="25"/>
      <c r="O126" s="25"/>
      <c r="P126" s="25"/>
      <c r="Q126" s="25"/>
      <c r="R126" s="34">
        <v>0</v>
      </c>
      <c r="S126" s="34"/>
      <c r="T126" s="53"/>
      <c r="U126" s="25"/>
      <c r="V126" s="5"/>
    </row>
    <row r="127" spans="1:22" ht="15.6" x14ac:dyDescent="0.3">
      <c r="A127" s="24"/>
      <c r="B127" s="25" t="s">
        <v>196</v>
      </c>
      <c r="C127" s="25"/>
      <c r="D127" s="25"/>
      <c r="E127" s="25"/>
      <c r="F127" s="25"/>
      <c r="G127" s="25"/>
      <c r="H127" s="25"/>
      <c r="I127" s="25"/>
      <c r="J127" s="25"/>
      <c r="K127" s="25"/>
      <c r="L127" s="25"/>
      <c r="M127" s="25"/>
      <c r="N127" s="25"/>
      <c r="O127" s="25"/>
      <c r="P127" s="25"/>
      <c r="Q127" s="25"/>
      <c r="R127" s="34">
        <v>0</v>
      </c>
      <c r="S127" s="34"/>
      <c r="T127" s="53"/>
      <c r="U127" s="25"/>
      <c r="V127" s="5"/>
    </row>
    <row r="128" spans="1:22" ht="15.6" x14ac:dyDescent="0.3">
      <c r="A128" s="24"/>
      <c r="B128" s="25" t="s">
        <v>195</v>
      </c>
      <c r="C128" s="25"/>
      <c r="D128" s="25"/>
      <c r="E128" s="25"/>
      <c r="F128" s="25"/>
      <c r="G128" s="25"/>
      <c r="H128" s="25"/>
      <c r="I128" s="25"/>
      <c r="J128" s="25"/>
      <c r="K128" s="25"/>
      <c r="L128" s="25"/>
      <c r="M128" s="25"/>
      <c r="N128" s="25"/>
      <c r="O128" s="25"/>
      <c r="P128" s="25"/>
      <c r="Q128" s="25"/>
      <c r="R128" s="34">
        <v>0</v>
      </c>
      <c r="S128" s="34"/>
      <c r="T128" s="53"/>
      <c r="U128" s="25"/>
      <c r="V128" s="5"/>
    </row>
    <row r="129" spans="1:22" ht="15.6" x14ac:dyDescent="0.3">
      <c r="A129" s="24"/>
      <c r="B129" s="25" t="s">
        <v>40</v>
      </c>
      <c r="C129" s="25"/>
      <c r="D129" s="25"/>
      <c r="E129" s="25"/>
      <c r="F129" s="25"/>
      <c r="G129" s="25"/>
      <c r="H129" s="25"/>
      <c r="I129" s="25"/>
      <c r="J129" s="25"/>
      <c r="K129" s="25"/>
      <c r="L129" s="25"/>
      <c r="M129" s="25"/>
      <c r="N129" s="25"/>
      <c r="O129" s="25"/>
      <c r="P129" s="25"/>
      <c r="Q129" s="25"/>
      <c r="R129" s="34">
        <f>SUM(R120:R128)</f>
        <v>-6297</v>
      </c>
      <c r="S129" s="34"/>
      <c r="T129" s="34">
        <f>SUM(T102:T127)</f>
        <v>-5724</v>
      </c>
      <c r="U129" s="25"/>
      <c r="V129" s="5"/>
    </row>
    <row r="130" spans="1:22" ht="15.6" x14ac:dyDescent="0.3">
      <c r="A130" s="24"/>
      <c r="B130" s="25" t="s">
        <v>41</v>
      </c>
      <c r="C130" s="25"/>
      <c r="D130" s="25"/>
      <c r="E130" s="25"/>
      <c r="F130" s="25"/>
      <c r="G130" s="25"/>
      <c r="H130" s="25"/>
      <c r="I130" s="25"/>
      <c r="J130" s="25"/>
      <c r="K130" s="25"/>
      <c r="L130" s="25"/>
      <c r="M130" s="25"/>
      <c r="N130" s="25"/>
      <c r="O130" s="25"/>
      <c r="P130" s="25"/>
      <c r="Q130" s="25"/>
      <c r="R130" s="34">
        <f>R101+R129+R113</f>
        <v>0</v>
      </c>
      <c r="S130" s="34"/>
      <c r="T130" s="34">
        <f>T101+T129</f>
        <v>0</v>
      </c>
      <c r="U130" s="25"/>
      <c r="V130" s="5"/>
    </row>
    <row r="131" spans="1:22" ht="15.6" x14ac:dyDescent="0.3">
      <c r="A131" s="24"/>
      <c r="B131" s="25"/>
      <c r="C131" s="25"/>
      <c r="D131" s="25"/>
      <c r="E131" s="25"/>
      <c r="F131" s="25"/>
      <c r="G131" s="25"/>
      <c r="H131" s="25"/>
      <c r="I131" s="25"/>
      <c r="J131" s="25"/>
      <c r="K131" s="25"/>
      <c r="L131" s="25"/>
      <c r="M131" s="25"/>
      <c r="N131" s="25"/>
      <c r="O131" s="25"/>
      <c r="P131" s="25"/>
      <c r="Q131" s="25"/>
      <c r="R131" s="34"/>
      <c r="S131" s="34"/>
      <c r="T131" s="34"/>
      <c r="U131" s="25"/>
      <c r="V131" s="5"/>
    </row>
    <row r="132" spans="1:22" ht="15.6" x14ac:dyDescent="0.3">
      <c r="A132" s="6"/>
      <c r="B132" s="8"/>
      <c r="C132" s="8"/>
      <c r="D132" s="8"/>
      <c r="E132" s="8"/>
      <c r="F132" s="8"/>
      <c r="G132" s="8"/>
      <c r="H132" s="8"/>
      <c r="I132" s="8"/>
      <c r="J132" s="8"/>
      <c r="K132" s="8"/>
      <c r="L132" s="8"/>
      <c r="M132" s="8"/>
      <c r="N132" s="8"/>
      <c r="O132" s="8"/>
      <c r="P132" s="8"/>
      <c r="Q132" s="8"/>
      <c r="R132" s="8"/>
      <c r="S132" s="8"/>
      <c r="T132" s="52"/>
      <c r="U132" s="8"/>
      <c r="V132" s="5"/>
    </row>
    <row r="133" spans="1:22" ht="18" thickBot="1" x14ac:dyDescent="0.35">
      <c r="A133" s="101"/>
      <c r="B133" s="102" t="str">
        <f>B64</f>
        <v>PM11 INVESTOR REPORT QUARTER ENDING SEPTEMBER 2009</v>
      </c>
      <c r="C133" s="103"/>
      <c r="D133" s="103"/>
      <c r="E133" s="103"/>
      <c r="F133" s="103"/>
      <c r="G133" s="103"/>
      <c r="H133" s="103"/>
      <c r="I133" s="103"/>
      <c r="J133" s="103"/>
      <c r="K133" s="103"/>
      <c r="L133" s="103"/>
      <c r="M133" s="103"/>
      <c r="N133" s="103"/>
      <c r="O133" s="103"/>
      <c r="P133" s="103"/>
      <c r="Q133" s="103"/>
      <c r="R133" s="103"/>
      <c r="S133" s="103"/>
      <c r="T133" s="106"/>
      <c r="U133" s="105"/>
      <c r="V133" s="5"/>
    </row>
    <row r="134" spans="1:22" ht="15.6" x14ac:dyDescent="0.3">
      <c r="A134" s="2"/>
      <c r="B134" s="60" t="s">
        <v>42</v>
      </c>
      <c r="C134" s="4"/>
      <c r="D134" s="4"/>
      <c r="E134" s="4"/>
      <c r="F134" s="4"/>
      <c r="G134" s="4"/>
      <c r="H134" s="4"/>
      <c r="I134" s="4"/>
      <c r="J134" s="4"/>
      <c r="K134" s="4"/>
      <c r="L134" s="4"/>
      <c r="M134" s="4"/>
      <c r="N134" s="4"/>
      <c r="O134" s="4"/>
      <c r="P134" s="4"/>
      <c r="Q134" s="4"/>
      <c r="R134" s="4"/>
      <c r="S134" s="4"/>
      <c r="T134" s="50"/>
      <c r="U134" s="4"/>
      <c r="V134" s="5"/>
    </row>
    <row r="135" spans="1:22" ht="15.6" x14ac:dyDescent="0.3">
      <c r="A135" s="6"/>
      <c r="B135" s="21"/>
      <c r="C135" s="8"/>
      <c r="D135" s="8"/>
      <c r="E135" s="8"/>
      <c r="F135" s="8"/>
      <c r="G135" s="8"/>
      <c r="H135" s="8"/>
      <c r="I135" s="8"/>
      <c r="J135" s="8"/>
      <c r="K135" s="8"/>
      <c r="L135" s="8"/>
      <c r="M135" s="8"/>
      <c r="N135" s="8"/>
      <c r="O135" s="8"/>
      <c r="P135" s="8"/>
      <c r="Q135" s="8"/>
      <c r="R135" s="8"/>
      <c r="S135" s="8"/>
      <c r="T135" s="52"/>
      <c r="U135" s="8"/>
      <c r="V135" s="5"/>
    </row>
    <row r="136" spans="1:22" ht="15.6" x14ac:dyDescent="0.3">
      <c r="A136" s="6"/>
      <c r="B136" s="119" t="s">
        <v>43</v>
      </c>
      <c r="C136" s="8"/>
      <c r="D136" s="8"/>
      <c r="E136" s="8"/>
      <c r="F136" s="8"/>
      <c r="G136" s="8"/>
      <c r="H136" s="8"/>
      <c r="I136" s="8"/>
      <c r="J136" s="8"/>
      <c r="K136" s="8"/>
      <c r="L136" s="8"/>
      <c r="M136" s="8"/>
      <c r="N136" s="8"/>
      <c r="O136" s="8"/>
      <c r="P136" s="8"/>
      <c r="Q136" s="8"/>
      <c r="R136" s="8"/>
      <c r="S136" s="8"/>
      <c r="T136" s="52"/>
      <c r="U136" s="8"/>
      <c r="V136" s="5"/>
    </row>
    <row r="137" spans="1:22" ht="15.6" x14ac:dyDescent="0.3">
      <c r="A137" s="24"/>
      <c r="B137" s="25" t="s">
        <v>44</v>
      </c>
      <c r="C137" s="25"/>
      <c r="D137" s="25"/>
      <c r="E137" s="25"/>
      <c r="F137" s="25"/>
      <c r="G137" s="25"/>
      <c r="H137" s="25"/>
      <c r="I137" s="25"/>
      <c r="J137" s="25"/>
      <c r="K137" s="25"/>
      <c r="L137" s="25"/>
      <c r="M137" s="25"/>
      <c r="N137" s="25"/>
      <c r="O137" s="25"/>
      <c r="P137" s="25"/>
      <c r="Q137" s="25"/>
      <c r="R137" s="25"/>
      <c r="S137" s="25"/>
      <c r="T137" s="53">
        <f>+T34*0.019</f>
        <v>19000.95</v>
      </c>
      <c r="U137" s="25"/>
      <c r="V137" s="5"/>
    </row>
    <row r="138" spans="1:22" ht="15.6" x14ac:dyDescent="0.3">
      <c r="A138" s="24"/>
      <c r="B138" s="25" t="s">
        <v>45</v>
      </c>
      <c r="C138" s="25"/>
      <c r="D138" s="25"/>
      <c r="E138" s="25"/>
      <c r="F138" s="25"/>
      <c r="G138" s="25"/>
      <c r="H138" s="25"/>
      <c r="I138" s="25"/>
      <c r="J138" s="25"/>
      <c r="K138" s="25"/>
      <c r="L138" s="25"/>
      <c r="M138" s="25"/>
      <c r="N138" s="25"/>
      <c r="O138" s="25"/>
      <c r="P138" s="25"/>
      <c r="Q138" s="25"/>
      <c r="R138" s="25"/>
      <c r="S138" s="25"/>
      <c r="T138" s="53">
        <v>19001</v>
      </c>
      <c r="U138" s="25"/>
      <c r="V138" s="5"/>
    </row>
    <row r="139" spans="1:22" ht="15.6" x14ac:dyDescent="0.3">
      <c r="A139" s="24"/>
      <c r="B139" s="25" t="s">
        <v>142</v>
      </c>
      <c r="C139" s="25"/>
      <c r="D139" s="25"/>
      <c r="E139" s="25"/>
      <c r="F139" s="25"/>
      <c r="G139" s="25"/>
      <c r="H139" s="25"/>
      <c r="I139" s="25"/>
      <c r="J139" s="25"/>
      <c r="K139" s="25"/>
      <c r="L139" s="25"/>
      <c r="M139" s="25"/>
      <c r="N139" s="25"/>
      <c r="O139" s="25"/>
      <c r="P139" s="25"/>
      <c r="Q139" s="25"/>
      <c r="R139" s="25"/>
      <c r="S139" s="25"/>
      <c r="T139" s="53">
        <v>0</v>
      </c>
      <c r="U139" s="25"/>
      <c r="V139" s="5"/>
    </row>
    <row r="140" spans="1:22" ht="15.6" x14ac:dyDescent="0.3">
      <c r="A140" s="24"/>
      <c r="B140" s="25" t="s">
        <v>129</v>
      </c>
      <c r="C140" s="25"/>
      <c r="D140" s="25"/>
      <c r="E140" s="25"/>
      <c r="F140" s="25"/>
      <c r="G140" s="25"/>
      <c r="H140" s="25"/>
      <c r="I140" s="25"/>
      <c r="J140" s="25"/>
      <c r="K140" s="25"/>
      <c r="L140" s="25"/>
      <c r="M140" s="25"/>
      <c r="N140" s="25"/>
      <c r="O140" s="25"/>
      <c r="P140" s="25"/>
      <c r="Q140" s="25"/>
      <c r="R140" s="25"/>
      <c r="S140" s="25"/>
      <c r="T140" s="53">
        <v>0</v>
      </c>
      <c r="U140" s="25"/>
      <c r="V140" s="5"/>
    </row>
    <row r="141" spans="1:22" ht="15.6" x14ac:dyDescent="0.3">
      <c r="A141" s="24"/>
      <c r="B141" s="25" t="s">
        <v>130</v>
      </c>
      <c r="C141" s="25"/>
      <c r="D141" s="25"/>
      <c r="E141" s="25"/>
      <c r="F141" s="25"/>
      <c r="G141" s="25"/>
      <c r="H141" s="25"/>
      <c r="I141" s="25"/>
      <c r="J141" s="25"/>
      <c r="K141" s="25"/>
      <c r="L141" s="25"/>
      <c r="M141" s="25"/>
      <c r="N141" s="25"/>
      <c r="O141" s="25"/>
      <c r="P141" s="25"/>
      <c r="Q141" s="25"/>
      <c r="R141" s="25"/>
      <c r="S141" s="25"/>
      <c r="T141" s="53">
        <v>0</v>
      </c>
      <c r="U141" s="25"/>
      <c r="V141" s="5"/>
    </row>
    <row r="142" spans="1:22" ht="15.6" x14ac:dyDescent="0.3">
      <c r="A142" s="24"/>
      <c r="B142" s="25" t="s">
        <v>182</v>
      </c>
      <c r="C142" s="25"/>
      <c r="D142" s="25"/>
      <c r="E142" s="25"/>
      <c r="F142" s="25"/>
      <c r="G142" s="25"/>
      <c r="H142" s="25"/>
      <c r="I142" s="25"/>
      <c r="J142" s="25"/>
      <c r="K142" s="25"/>
      <c r="L142" s="25"/>
      <c r="M142" s="25"/>
      <c r="N142" s="25"/>
      <c r="O142" s="25"/>
      <c r="P142" s="25"/>
      <c r="Q142" s="25"/>
      <c r="R142" s="25"/>
      <c r="S142" s="25"/>
      <c r="T142" s="53">
        <v>0</v>
      </c>
      <c r="U142" s="25"/>
      <c r="V142" s="5"/>
    </row>
    <row r="143" spans="1:22" ht="15.6" x14ac:dyDescent="0.3">
      <c r="A143" s="24"/>
      <c r="B143" s="25" t="s">
        <v>46</v>
      </c>
      <c r="C143" s="25"/>
      <c r="D143" s="25"/>
      <c r="E143" s="25"/>
      <c r="F143" s="25"/>
      <c r="G143" s="25"/>
      <c r="H143" s="25"/>
      <c r="I143" s="25"/>
      <c r="J143" s="25"/>
      <c r="K143" s="25"/>
      <c r="L143" s="25"/>
      <c r="M143" s="25"/>
      <c r="N143" s="25"/>
      <c r="O143" s="25"/>
      <c r="P143" s="25"/>
      <c r="Q143" s="25"/>
      <c r="R143" s="25"/>
      <c r="S143" s="25"/>
      <c r="T143" s="53">
        <v>0</v>
      </c>
      <c r="U143" s="25"/>
      <c r="V143" s="5"/>
    </row>
    <row r="144" spans="1:22" ht="15.6" x14ac:dyDescent="0.3">
      <c r="A144" s="24"/>
      <c r="B144" s="25" t="s">
        <v>135</v>
      </c>
      <c r="C144" s="25"/>
      <c r="D144" s="25"/>
      <c r="E144" s="25"/>
      <c r="F144" s="25"/>
      <c r="G144" s="25"/>
      <c r="H144" s="25"/>
      <c r="I144" s="25"/>
      <c r="J144" s="25"/>
      <c r="K144" s="25"/>
      <c r="L144" s="25"/>
      <c r="M144" s="25"/>
      <c r="N144" s="25"/>
      <c r="O144" s="25"/>
      <c r="P144" s="25"/>
      <c r="Q144" s="25"/>
      <c r="R144" s="25"/>
      <c r="S144" s="25"/>
      <c r="T144" s="53">
        <v>0</v>
      </c>
      <c r="U144" s="25"/>
      <c r="V144" s="5"/>
    </row>
    <row r="145" spans="1:23" ht="15.6" x14ac:dyDescent="0.3">
      <c r="A145" s="24"/>
      <c r="B145" s="25" t="s">
        <v>251</v>
      </c>
      <c r="C145" s="25"/>
      <c r="D145" s="25"/>
      <c r="E145" s="25"/>
      <c r="F145" s="25"/>
      <c r="G145" s="25"/>
      <c r="H145" s="25"/>
      <c r="I145" s="25"/>
      <c r="J145" s="25"/>
      <c r="K145" s="25"/>
      <c r="L145" s="25"/>
      <c r="M145" s="25"/>
      <c r="N145" s="25"/>
      <c r="O145" s="25"/>
      <c r="P145" s="25"/>
      <c r="Q145" s="25"/>
      <c r="R145" s="25"/>
      <c r="S145" s="25"/>
      <c r="T145" s="53">
        <v>0</v>
      </c>
      <c r="U145" s="25"/>
      <c r="V145" s="5"/>
      <c r="W145" s="109"/>
    </row>
    <row r="146" spans="1:23" ht="15.6" x14ac:dyDescent="0.3">
      <c r="A146" s="24"/>
      <c r="B146" s="25" t="s">
        <v>47</v>
      </c>
      <c r="C146" s="25"/>
      <c r="D146" s="25"/>
      <c r="E146" s="25"/>
      <c r="F146" s="25"/>
      <c r="G146" s="25"/>
      <c r="H146" s="25"/>
      <c r="I146" s="25"/>
      <c r="J146" s="25"/>
      <c r="K146" s="25"/>
      <c r="L146" s="25"/>
      <c r="M146" s="25"/>
      <c r="N146" s="25"/>
      <c r="O146" s="25"/>
      <c r="P146" s="25"/>
      <c r="Q146" s="25"/>
      <c r="R146" s="25"/>
      <c r="S146" s="25"/>
      <c r="T146" s="53">
        <f>SUM(T138:T145)</f>
        <v>19001</v>
      </c>
      <c r="U146" s="25"/>
      <c r="V146" s="5"/>
    </row>
    <row r="147" spans="1:23" ht="15.6" x14ac:dyDescent="0.3">
      <c r="A147" s="24"/>
      <c r="B147" s="25"/>
      <c r="C147" s="25"/>
      <c r="D147" s="25"/>
      <c r="E147" s="25"/>
      <c r="F147" s="25"/>
      <c r="G147" s="25"/>
      <c r="H147" s="25"/>
      <c r="I147" s="25"/>
      <c r="J147" s="25"/>
      <c r="K147" s="25"/>
      <c r="L147" s="25"/>
      <c r="M147" s="25"/>
      <c r="N147" s="25"/>
      <c r="O147" s="25"/>
      <c r="P147" s="25"/>
      <c r="Q147" s="25"/>
      <c r="R147" s="25"/>
      <c r="S147" s="25"/>
      <c r="T147" s="53"/>
      <c r="U147" s="25"/>
      <c r="V147" s="5"/>
    </row>
    <row r="148" spans="1:23" ht="15.6" x14ac:dyDescent="0.3">
      <c r="A148" s="24"/>
      <c r="B148" s="138" t="s">
        <v>262</v>
      </c>
      <c r="C148" s="25"/>
      <c r="D148" s="25"/>
      <c r="E148" s="25"/>
      <c r="F148" s="25"/>
      <c r="G148" s="25"/>
      <c r="H148" s="25"/>
      <c r="I148" s="25"/>
      <c r="J148" s="25"/>
      <c r="K148" s="25"/>
      <c r="L148" s="25"/>
      <c r="M148" s="25"/>
      <c r="N148" s="25"/>
      <c r="O148" s="25"/>
      <c r="P148" s="25"/>
      <c r="Q148" s="25"/>
      <c r="R148" s="25"/>
      <c r="S148" s="25"/>
      <c r="T148" s="53"/>
      <c r="U148" s="25"/>
      <c r="V148" s="5"/>
    </row>
    <row r="149" spans="1:23" ht="15.6" x14ac:dyDescent="0.3">
      <c r="A149" s="24"/>
      <c r="B149" s="25" t="s">
        <v>263</v>
      </c>
      <c r="C149" s="25"/>
      <c r="D149" s="25"/>
      <c r="E149" s="25"/>
      <c r="F149" s="25"/>
      <c r="G149" s="25"/>
      <c r="H149" s="25"/>
      <c r="I149" s="25"/>
      <c r="J149" s="25"/>
      <c r="K149" s="25"/>
      <c r="L149" s="25"/>
      <c r="M149" s="25"/>
      <c r="N149" s="25"/>
      <c r="O149" s="25"/>
      <c r="P149" s="25"/>
      <c r="Q149" s="25"/>
      <c r="R149" s="25"/>
      <c r="S149" s="25"/>
      <c r="T149" s="53">
        <v>0</v>
      </c>
      <c r="U149" s="25"/>
      <c r="V149" s="5"/>
    </row>
    <row r="150" spans="1:23" ht="15.6" x14ac:dyDescent="0.3">
      <c r="A150" s="24"/>
      <c r="B150" s="25" t="s">
        <v>179</v>
      </c>
      <c r="C150" s="25"/>
      <c r="D150" s="25"/>
      <c r="E150" s="25"/>
      <c r="F150" s="25"/>
      <c r="G150" s="25"/>
      <c r="H150" s="25"/>
      <c r="I150" s="25"/>
      <c r="J150" s="25"/>
      <c r="K150" s="25"/>
      <c r="L150" s="25"/>
      <c r="M150" s="25"/>
      <c r="N150" s="25"/>
      <c r="O150" s="25"/>
      <c r="P150" s="25"/>
      <c r="Q150" s="25"/>
      <c r="R150" s="25"/>
      <c r="S150" s="25"/>
      <c r="T150" s="53">
        <v>0</v>
      </c>
      <c r="U150" s="25"/>
      <c r="V150" s="5"/>
    </row>
    <row r="151" spans="1:23" ht="15.6" x14ac:dyDescent="0.3">
      <c r="A151" s="24"/>
      <c r="B151" s="25" t="s">
        <v>264</v>
      </c>
      <c r="C151" s="25"/>
      <c r="D151" s="25"/>
      <c r="E151" s="25"/>
      <c r="F151" s="25"/>
      <c r="G151" s="25"/>
      <c r="H151" s="25"/>
      <c r="I151" s="25"/>
      <c r="J151" s="25"/>
      <c r="K151" s="25"/>
      <c r="L151" s="25"/>
      <c r="M151" s="25"/>
      <c r="N151" s="25"/>
      <c r="O151" s="25"/>
      <c r="P151" s="25"/>
      <c r="Q151" s="25"/>
      <c r="R151" s="25"/>
      <c r="S151" s="25"/>
      <c r="T151" s="53">
        <v>0</v>
      </c>
      <c r="U151" s="25"/>
      <c r="V151" s="5"/>
    </row>
    <row r="152" spans="1:23" ht="15.6" x14ac:dyDescent="0.3">
      <c r="A152" s="24"/>
      <c r="B152" s="25"/>
      <c r="C152" s="25"/>
      <c r="D152" s="25"/>
      <c r="E152" s="25"/>
      <c r="F152" s="25"/>
      <c r="G152" s="25"/>
      <c r="H152" s="25"/>
      <c r="I152" s="25"/>
      <c r="J152" s="25"/>
      <c r="K152" s="25"/>
      <c r="L152" s="25"/>
      <c r="M152" s="25"/>
      <c r="N152" s="25"/>
      <c r="O152" s="25"/>
      <c r="P152" s="25"/>
      <c r="Q152" s="25"/>
      <c r="R152" s="25"/>
      <c r="S152" s="25"/>
      <c r="T152" s="53"/>
      <c r="U152" s="25"/>
      <c r="V152" s="5"/>
    </row>
    <row r="153" spans="1:23" ht="15.6" x14ac:dyDescent="0.3">
      <c r="A153" s="24"/>
      <c r="B153" s="25"/>
      <c r="C153" s="25"/>
      <c r="D153" s="25"/>
      <c r="E153" s="25"/>
      <c r="F153" s="25"/>
      <c r="G153" s="25"/>
      <c r="H153" s="25"/>
      <c r="I153" s="25"/>
      <c r="J153" s="25"/>
      <c r="K153" s="25"/>
      <c r="L153" s="25"/>
      <c r="M153" s="25"/>
      <c r="N153" s="25"/>
      <c r="O153" s="25"/>
      <c r="P153" s="25"/>
      <c r="Q153" s="25"/>
      <c r="R153" s="25"/>
      <c r="S153" s="25"/>
      <c r="T153" s="61"/>
      <c r="U153" s="25"/>
      <c r="V153" s="5"/>
    </row>
    <row r="154" spans="1:23" ht="15.6" x14ac:dyDescent="0.3">
      <c r="A154" s="6"/>
      <c r="B154" s="119" t="s">
        <v>24</v>
      </c>
      <c r="C154" s="8"/>
      <c r="D154" s="8"/>
      <c r="E154" s="8"/>
      <c r="F154" s="8"/>
      <c r="G154" s="8"/>
      <c r="H154" s="8"/>
      <c r="I154" s="8"/>
      <c r="J154" s="8"/>
      <c r="K154" s="8"/>
      <c r="L154" s="8"/>
      <c r="M154" s="8"/>
      <c r="N154" s="8"/>
      <c r="O154" s="8"/>
      <c r="P154" s="8"/>
      <c r="Q154" s="8"/>
      <c r="R154" s="8"/>
      <c r="S154" s="8"/>
      <c r="T154" s="52"/>
      <c r="U154" s="8"/>
      <c r="V154" s="5"/>
    </row>
    <row r="155" spans="1:23" ht="15.6" x14ac:dyDescent="0.3">
      <c r="A155" s="24"/>
      <c r="B155" s="25" t="s">
        <v>48</v>
      </c>
      <c r="C155" s="25"/>
      <c r="D155" s="25"/>
      <c r="E155" s="25"/>
      <c r="F155" s="25"/>
      <c r="G155" s="25"/>
      <c r="H155" s="25"/>
      <c r="I155" s="25"/>
      <c r="J155" s="25"/>
      <c r="K155" s="25"/>
      <c r="L155" s="25"/>
      <c r="M155" s="25"/>
      <c r="N155" s="25"/>
      <c r="O155" s="25"/>
      <c r="P155" s="25"/>
      <c r="Q155" s="25"/>
      <c r="R155" s="25"/>
      <c r="S155" s="25"/>
      <c r="T155" s="59" t="s">
        <v>124</v>
      </c>
      <c r="U155" s="25"/>
      <c r="V155" s="5"/>
    </row>
    <row r="156" spans="1:23" ht="15.6" x14ac:dyDescent="0.3">
      <c r="A156" s="24"/>
      <c r="B156" s="25" t="s">
        <v>49</v>
      </c>
      <c r="C156" s="163"/>
      <c r="D156" s="163"/>
      <c r="E156" s="163"/>
      <c r="F156" s="163"/>
      <c r="G156" s="163"/>
      <c r="H156" s="163"/>
      <c r="I156" s="163"/>
      <c r="J156" s="163"/>
      <c r="K156" s="163"/>
      <c r="L156" s="163"/>
      <c r="M156" s="163"/>
      <c r="N156" s="163"/>
      <c r="O156" s="163"/>
      <c r="P156" s="163"/>
      <c r="Q156" s="163"/>
      <c r="R156" s="163"/>
      <c r="S156" s="163"/>
      <c r="T156" s="59" t="s">
        <v>124</v>
      </c>
      <c r="U156" s="25"/>
      <c r="V156" s="5"/>
    </row>
    <row r="157" spans="1:23" ht="15.6" x14ac:dyDescent="0.3">
      <c r="A157" s="24"/>
      <c r="B157" s="25" t="s">
        <v>50</v>
      </c>
      <c r="C157" s="25"/>
      <c r="D157" s="25"/>
      <c r="E157" s="25"/>
      <c r="F157" s="25"/>
      <c r="G157" s="25"/>
      <c r="H157" s="25"/>
      <c r="I157" s="25"/>
      <c r="J157" s="25"/>
      <c r="K157" s="25"/>
      <c r="L157" s="25"/>
      <c r="M157" s="25"/>
      <c r="N157" s="25"/>
      <c r="O157" s="25"/>
      <c r="P157" s="25"/>
      <c r="Q157" s="25"/>
      <c r="R157" s="25"/>
      <c r="S157" s="25"/>
      <c r="T157" s="59" t="s">
        <v>124</v>
      </c>
      <c r="U157" s="25"/>
      <c r="V157" s="5"/>
    </row>
    <row r="158" spans="1:23" ht="15.6" x14ac:dyDescent="0.3">
      <c r="A158" s="24"/>
      <c r="B158" s="25" t="s">
        <v>51</v>
      </c>
      <c r="C158" s="25"/>
      <c r="D158" s="25"/>
      <c r="E158" s="25"/>
      <c r="F158" s="25"/>
      <c r="G158" s="25"/>
      <c r="H158" s="25"/>
      <c r="I158" s="25"/>
      <c r="J158" s="25"/>
      <c r="K158" s="25"/>
      <c r="L158" s="25"/>
      <c r="M158" s="25"/>
      <c r="N158" s="25"/>
      <c r="O158" s="25"/>
      <c r="P158" s="25"/>
      <c r="Q158" s="25"/>
      <c r="R158" s="25"/>
      <c r="S158" s="25"/>
      <c r="T158" s="59" t="s">
        <v>124</v>
      </c>
      <c r="U158" s="25"/>
      <c r="V158" s="5"/>
    </row>
    <row r="159" spans="1:23" ht="15.6" x14ac:dyDescent="0.3">
      <c r="A159" s="24"/>
      <c r="B159" s="25"/>
      <c r="C159" s="25"/>
      <c r="D159" s="25"/>
      <c r="E159" s="25"/>
      <c r="F159" s="25"/>
      <c r="G159" s="25"/>
      <c r="H159" s="25"/>
      <c r="I159" s="25"/>
      <c r="J159" s="25"/>
      <c r="K159" s="25"/>
      <c r="L159" s="25"/>
      <c r="M159" s="25"/>
      <c r="N159" s="25"/>
      <c r="O159" s="25"/>
      <c r="P159" s="25"/>
      <c r="Q159" s="25"/>
      <c r="R159" s="25"/>
      <c r="S159" s="25"/>
      <c r="T159" s="61"/>
      <c r="U159" s="25"/>
      <c r="V159" s="5"/>
    </row>
    <row r="160" spans="1:23" ht="15.6" x14ac:dyDescent="0.3">
      <c r="A160" s="6"/>
      <c r="B160" s="119" t="s">
        <v>52</v>
      </c>
      <c r="C160" s="8"/>
      <c r="D160" s="8"/>
      <c r="E160" s="8"/>
      <c r="F160" s="8"/>
      <c r="G160" s="8"/>
      <c r="H160" s="8"/>
      <c r="I160" s="8"/>
      <c r="J160" s="8"/>
      <c r="K160" s="8"/>
      <c r="L160" s="8"/>
      <c r="M160" s="8"/>
      <c r="N160" s="8"/>
      <c r="O160" s="8"/>
      <c r="P160" s="8"/>
      <c r="Q160" s="8"/>
      <c r="R160" s="8"/>
      <c r="S160" s="8"/>
      <c r="T160" s="63"/>
      <c r="U160" s="8"/>
      <c r="V160" s="5"/>
    </row>
    <row r="161" spans="1:22" ht="15.6" x14ac:dyDescent="0.3">
      <c r="A161" s="24"/>
      <c r="B161" s="25" t="s">
        <v>53</v>
      </c>
      <c r="C161" s="25"/>
      <c r="D161" s="25"/>
      <c r="E161" s="25"/>
      <c r="F161" s="25"/>
      <c r="G161" s="25"/>
      <c r="H161" s="25"/>
      <c r="I161" s="25"/>
      <c r="J161" s="25"/>
      <c r="K161" s="25"/>
      <c r="L161" s="25"/>
      <c r="M161" s="25"/>
      <c r="N161" s="25"/>
      <c r="O161" s="25"/>
      <c r="P161" s="25"/>
      <c r="Q161" s="25"/>
      <c r="R161" s="25"/>
      <c r="S161" s="25"/>
      <c r="T161" s="53">
        <v>0</v>
      </c>
      <c r="U161" s="25"/>
      <c r="V161" s="5"/>
    </row>
    <row r="162" spans="1:22" ht="15.6" x14ac:dyDescent="0.3">
      <c r="A162" s="24"/>
      <c r="B162" s="25" t="s">
        <v>54</v>
      </c>
      <c r="C162" s="25"/>
      <c r="D162" s="25"/>
      <c r="E162" s="25"/>
      <c r="F162" s="25"/>
      <c r="G162" s="25"/>
      <c r="H162" s="25"/>
      <c r="I162" s="25"/>
      <c r="J162" s="25"/>
      <c r="K162" s="25"/>
      <c r="L162" s="25"/>
      <c r="M162" s="25"/>
      <c r="N162" s="25"/>
      <c r="O162" s="25"/>
      <c r="P162" s="25"/>
      <c r="Q162" s="25"/>
      <c r="R162" s="25"/>
      <c r="S162" s="25"/>
      <c r="T162" s="53">
        <f>R113</f>
        <v>312</v>
      </c>
      <c r="U162" s="25"/>
      <c r="V162" s="5"/>
    </row>
    <row r="163" spans="1:22" ht="15.6" x14ac:dyDescent="0.3">
      <c r="A163" s="24"/>
      <c r="B163" s="25" t="s">
        <v>55</v>
      </c>
      <c r="C163" s="25"/>
      <c r="D163" s="25"/>
      <c r="E163" s="25"/>
      <c r="F163" s="25"/>
      <c r="G163" s="25"/>
      <c r="H163" s="25"/>
      <c r="I163" s="25"/>
      <c r="J163" s="25"/>
      <c r="K163" s="25"/>
      <c r="L163" s="25"/>
      <c r="M163" s="25"/>
      <c r="N163" s="25"/>
      <c r="O163" s="25"/>
      <c r="P163" s="25"/>
      <c r="Q163" s="25"/>
      <c r="R163" s="25"/>
      <c r="S163" s="25"/>
      <c r="T163" s="53">
        <f>T162+T161</f>
        <v>312</v>
      </c>
      <c r="U163" s="25"/>
      <c r="V163" s="5"/>
    </row>
    <row r="164" spans="1:22" ht="15.6" x14ac:dyDescent="0.3">
      <c r="A164" s="24"/>
      <c r="B164" s="405" t="s">
        <v>301</v>
      </c>
      <c r="C164" s="25"/>
      <c r="D164" s="25"/>
      <c r="E164" s="25"/>
      <c r="F164" s="25"/>
      <c r="G164" s="25"/>
      <c r="H164" s="25"/>
      <c r="I164" s="25"/>
      <c r="J164" s="25"/>
      <c r="K164" s="25"/>
      <c r="L164" s="25"/>
      <c r="M164" s="25"/>
      <c r="N164" s="25"/>
      <c r="O164" s="25"/>
      <c r="P164" s="25"/>
      <c r="Q164" s="25"/>
      <c r="R164" s="25"/>
      <c r="S164" s="25"/>
      <c r="T164" s="53">
        <f>T113</f>
        <v>-312</v>
      </c>
      <c r="U164" s="25"/>
      <c r="V164" s="5"/>
    </row>
    <row r="165" spans="1:22" ht="15.6" x14ac:dyDescent="0.3">
      <c r="A165" s="24"/>
      <c r="B165" s="25" t="s">
        <v>56</v>
      </c>
      <c r="C165" s="25"/>
      <c r="D165" s="25"/>
      <c r="E165" s="25"/>
      <c r="F165" s="25"/>
      <c r="G165" s="25"/>
      <c r="H165" s="25"/>
      <c r="I165" s="25"/>
      <c r="J165" s="25"/>
      <c r="K165" s="25"/>
      <c r="L165" s="25"/>
      <c r="M165" s="25"/>
      <c r="N165" s="25"/>
      <c r="O165" s="25"/>
      <c r="P165" s="25"/>
      <c r="Q165" s="25"/>
      <c r="R165" s="25"/>
      <c r="S165" s="25"/>
      <c r="T165" s="53">
        <f>T163+T164</f>
        <v>0</v>
      </c>
      <c r="U165" s="25"/>
      <c r="V165" s="5"/>
    </row>
    <row r="166" spans="1:22" ht="16.2" thickBot="1" x14ac:dyDescent="0.35">
      <c r="A166" s="24"/>
      <c r="B166" s="25"/>
      <c r="C166" s="25"/>
      <c r="D166" s="25"/>
      <c r="E166" s="25"/>
      <c r="F166" s="25"/>
      <c r="G166" s="25"/>
      <c r="H166" s="25"/>
      <c r="I166" s="25"/>
      <c r="J166" s="25"/>
      <c r="K166" s="25"/>
      <c r="L166" s="25"/>
      <c r="M166" s="25"/>
      <c r="N166" s="25"/>
      <c r="O166" s="25"/>
      <c r="P166" s="25"/>
      <c r="Q166" s="25"/>
      <c r="R166" s="25"/>
      <c r="S166" s="25"/>
      <c r="T166" s="61"/>
      <c r="U166" s="25"/>
      <c r="V166" s="5"/>
    </row>
    <row r="167" spans="1:22" ht="15.6" x14ac:dyDescent="0.3">
      <c r="A167" s="2"/>
      <c r="B167" s="4"/>
      <c r="C167" s="4"/>
      <c r="D167" s="4"/>
      <c r="E167" s="4"/>
      <c r="F167" s="4"/>
      <c r="G167" s="4"/>
      <c r="H167" s="4"/>
      <c r="I167" s="4"/>
      <c r="J167" s="4"/>
      <c r="K167" s="4"/>
      <c r="L167" s="4"/>
      <c r="M167" s="4"/>
      <c r="N167" s="4"/>
      <c r="O167" s="4"/>
      <c r="P167" s="4"/>
      <c r="Q167" s="4"/>
      <c r="R167" s="4"/>
      <c r="S167" s="4"/>
      <c r="T167" s="50"/>
      <c r="U167" s="4"/>
      <c r="V167" s="5"/>
    </row>
    <row r="168" spans="1:22" ht="15.6" x14ac:dyDescent="0.3">
      <c r="A168" s="6"/>
      <c r="B168" s="119" t="s">
        <v>57</v>
      </c>
      <c r="C168" s="8"/>
      <c r="D168" s="8"/>
      <c r="E168" s="8"/>
      <c r="F168" s="8"/>
      <c r="G168" s="8"/>
      <c r="H168" s="8"/>
      <c r="I168" s="8"/>
      <c r="J168" s="8"/>
      <c r="K168" s="8"/>
      <c r="L168" s="8"/>
      <c r="M168" s="8"/>
      <c r="N168" s="8"/>
      <c r="O168" s="8"/>
      <c r="P168" s="8"/>
      <c r="Q168" s="8"/>
      <c r="R168" s="8"/>
      <c r="S168" s="8"/>
      <c r="T168" s="52"/>
      <c r="U168" s="8"/>
      <c r="V168" s="5"/>
    </row>
    <row r="169" spans="1:22" ht="15.6" x14ac:dyDescent="0.3">
      <c r="A169" s="6"/>
      <c r="B169" s="21"/>
      <c r="C169" s="8"/>
      <c r="D169" s="8"/>
      <c r="E169" s="8"/>
      <c r="F169" s="8"/>
      <c r="G169" s="8"/>
      <c r="H169" s="8"/>
      <c r="I169" s="8"/>
      <c r="J169" s="8"/>
      <c r="K169" s="8"/>
      <c r="L169" s="8"/>
      <c r="M169" s="8"/>
      <c r="N169" s="8"/>
      <c r="O169" s="8"/>
      <c r="P169" s="8"/>
      <c r="Q169" s="8"/>
      <c r="R169" s="8"/>
      <c r="S169" s="8"/>
      <c r="T169" s="52"/>
      <c r="U169" s="8"/>
      <c r="V169" s="5"/>
    </row>
    <row r="170" spans="1:22" ht="15.6" x14ac:dyDescent="0.3">
      <c r="A170" s="24"/>
      <c r="B170" s="25" t="s">
        <v>58</v>
      </c>
      <c r="C170" s="25"/>
      <c r="D170" s="25"/>
      <c r="E170" s="25"/>
      <c r="F170" s="25"/>
      <c r="G170" s="25"/>
      <c r="H170" s="25"/>
      <c r="I170" s="25"/>
      <c r="J170" s="25"/>
      <c r="K170" s="25"/>
      <c r="L170" s="25"/>
      <c r="M170" s="25"/>
      <c r="N170" s="25"/>
      <c r="O170" s="25"/>
      <c r="P170" s="25"/>
      <c r="Q170" s="25"/>
      <c r="R170" s="25"/>
      <c r="S170" s="25"/>
      <c r="T170" s="53">
        <f>T72</f>
        <v>609872</v>
      </c>
      <c r="U170" s="25"/>
      <c r="V170" s="5"/>
    </row>
    <row r="171" spans="1:22" ht="15.6" x14ac:dyDescent="0.3">
      <c r="A171" s="24"/>
      <c r="B171" s="25" t="s">
        <v>59</v>
      </c>
      <c r="C171" s="25"/>
      <c r="D171" s="25"/>
      <c r="E171" s="25"/>
      <c r="F171" s="25"/>
      <c r="G171" s="25"/>
      <c r="H171" s="25"/>
      <c r="I171" s="25"/>
      <c r="J171" s="25"/>
      <c r="K171" s="25"/>
      <c r="L171" s="25"/>
      <c r="M171" s="25"/>
      <c r="N171" s="25"/>
      <c r="O171" s="25"/>
      <c r="P171" s="25"/>
      <c r="Q171" s="25"/>
      <c r="R171" s="25"/>
      <c r="S171" s="25"/>
      <c r="T171" s="53">
        <f>T85</f>
        <v>609872</v>
      </c>
      <c r="U171" s="25"/>
      <c r="V171" s="5"/>
    </row>
    <row r="172" spans="1:22" ht="16.2" thickBot="1" x14ac:dyDescent="0.35">
      <c r="A172" s="24"/>
      <c r="B172" s="25"/>
      <c r="C172" s="25"/>
      <c r="D172" s="25"/>
      <c r="E172" s="25"/>
      <c r="F172" s="25"/>
      <c r="G172" s="25"/>
      <c r="H172" s="25"/>
      <c r="I172" s="25"/>
      <c r="J172" s="25"/>
      <c r="K172" s="25"/>
      <c r="L172" s="25"/>
      <c r="M172" s="25"/>
      <c r="N172" s="25"/>
      <c r="O172" s="25"/>
      <c r="P172" s="25"/>
      <c r="Q172" s="25"/>
      <c r="R172" s="25"/>
      <c r="S172" s="25"/>
      <c r="T172" s="61"/>
      <c r="U172" s="25"/>
      <c r="V172" s="5"/>
    </row>
    <row r="173" spans="1:22" ht="15.6" x14ac:dyDescent="0.3">
      <c r="A173" s="2"/>
      <c r="B173" s="4"/>
      <c r="C173" s="4"/>
      <c r="D173" s="4"/>
      <c r="E173" s="4"/>
      <c r="F173" s="4"/>
      <c r="G173" s="4"/>
      <c r="H173" s="4"/>
      <c r="I173" s="4"/>
      <c r="J173" s="4"/>
      <c r="K173" s="4"/>
      <c r="L173" s="4"/>
      <c r="M173" s="4"/>
      <c r="N173" s="4"/>
      <c r="O173" s="4"/>
      <c r="P173" s="4"/>
      <c r="Q173" s="4"/>
      <c r="R173" s="4"/>
      <c r="S173" s="4"/>
      <c r="T173" s="50"/>
      <c r="U173" s="4"/>
      <c r="V173" s="5"/>
    </row>
    <row r="174" spans="1:22" ht="15.6" x14ac:dyDescent="0.3">
      <c r="A174" s="6"/>
      <c r="B174" s="119" t="s">
        <v>60</v>
      </c>
      <c r="C174" s="117"/>
      <c r="D174" s="117"/>
      <c r="E174" s="117"/>
      <c r="F174" s="117"/>
      <c r="G174" s="117"/>
      <c r="H174" s="120"/>
      <c r="I174" s="120"/>
      <c r="J174" s="120"/>
      <c r="K174" s="120"/>
      <c r="L174" s="120"/>
      <c r="M174" s="120"/>
      <c r="N174" s="120"/>
      <c r="O174" s="120"/>
      <c r="P174" s="120"/>
      <c r="Q174" s="120" t="s">
        <v>104</v>
      </c>
      <c r="R174" s="120" t="s">
        <v>183</v>
      </c>
      <c r="S174" s="111"/>
      <c r="T174" s="121" t="s">
        <v>120</v>
      </c>
      <c r="U174" s="10"/>
      <c r="V174" s="5"/>
    </row>
    <row r="175" spans="1:22" ht="15.6" x14ac:dyDescent="0.3">
      <c r="A175" s="24"/>
      <c r="B175" s="25" t="s">
        <v>61</v>
      </c>
      <c r="C175" s="25"/>
      <c r="D175" s="25"/>
      <c r="E175" s="25"/>
      <c r="F175" s="25"/>
      <c r="G175" s="25"/>
      <c r="H175" s="25"/>
      <c r="I175" s="25"/>
      <c r="J175" s="25"/>
      <c r="K175" s="25"/>
      <c r="L175" s="25"/>
      <c r="M175" s="25"/>
      <c r="N175" s="25"/>
      <c r="O175" s="25"/>
      <c r="P175" s="25"/>
      <c r="Q175" s="53">
        <v>160008</v>
      </c>
      <c r="R175" s="40"/>
      <c r="S175" s="25"/>
      <c r="T175" s="53"/>
      <c r="U175" s="25"/>
      <c r="V175" s="5"/>
    </row>
    <row r="176" spans="1:22" ht="15.6" x14ac:dyDescent="0.3">
      <c r="A176" s="24"/>
      <c r="B176" s="25" t="s">
        <v>62</v>
      </c>
      <c r="C176" s="25"/>
      <c r="D176" s="25"/>
      <c r="E176" s="25"/>
      <c r="F176" s="25"/>
      <c r="G176" s="25"/>
      <c r="H176" s="25"/>
      <c r="I176" s="25"/>
      <c r="J176" s="25"/>
      <c r="K176" s="25"/>
      <c r="L176" s="25"/>
      <c r="M176" s="25"/>
      <c r="N176" s="25"/>
      <c r="O176" s="25"/>
      <c r="P176" s="25"/>
      <c r="Q176" s="53">
        <f>+'June 09'!Q178</f>
        <v>33950</v>
      </c>
      <c r="R176" s="53">
        <f>+'June 09'!R178</f>
        <v>3413</v>
      </c>
      <c r="S176" s="25"/>
      <c r="T176" s="53">
        <f>Q176+R176</f>
        <v>37363</v>
      </c>
      <c r="U176" s="25"/>
      <c r="V176" s="5"/>
    </row>
    <row r="177" spans="1:22" ht="15.6" x14ac:dyDescent="0.3">
      <c r="A177" s="24"/>
      <c r="B177" s="25" t="s">
        <v>63</v>
      </c>
      <c r="C177" s="25"/>
      <c r="D177" s="25"/>
      <c r="E177" s="25"/>
      <c r="F177" s="25"/>
      <c r="G177" s="25"/>
      <c r="H177" s="25"/>
      <c r="I177" s="25"/>
      <c r="J177" s="25"/>
      <c r="K177" s="25"/>
      <c r="L177" s="25"/>
      <c r="M177" s="25"/>
      <c r="N177" s="25"/>
      <c r="O177" s="25"/>
      <c r="P177" s="25"/>
      <c r="Q177" s="34">
        <f>593+74</f>
        <v>667</v>
      </c>
      <c r="R177" s="34">
        <v>0</v>
      </c>
      <c r="S177" s="25"/>
      <c r="T177" s="53">
        <f>Q177+R177</f>
        <v>667</v>
      </c>
      <c r="U177" s="25"/>
      <c r="V177" s="5"/>
    </row>
    <row r="178" spans="1:22" ht="15.6" x14ac:dyDescent="0.3">
      <c r="A178" s="24"/>
      <c r="B178" s="25" t="s">
        <v>64</v>
      </c>
      <c r="C178" s="25"/>
      <c r="D178" s="25"/>
      <c r="E178" s="25"/>
      <c r="F178" s="25"/>
      <c r="G178" s="25"/>
      <c r="H178" s="25"/>
      <c r="I178" s="25"/>
      <c r="J178" s="25"/>
      <c r="K178" s="25"/>
      <c r="L178" s="25"/>
      <c r="M178" s="25"/>
      <c r="N178" s="25"/>
      <c r="O178" s="25"/>
      <c r="P178" s="25"/>
      <c r="Q178" s="53">
        <f>Q176+Q177</f>
        <v>34617</v>
      </c>
      <c r="R178" s="53">
        <f>R177+R176</f>
        <v>3413</v>
      </c>
      <c r="S178" s="25"/>
      <c r="T178" s="53">
        <f>Q178+R178</f>
        <v>38030</v>
      </c>
      <c r="U178" s="25"/>
      <c r="V178" s="5"/>
    </row>
    <row r="179" spans="1:22" ht="15.6" x14ac:dyDescent="0.3">
      <c r="A179" s="24"/>
      <c r="B179" s="25" t="s">
        <v>65</v>
      </c>
      <c r="C179" s="25"/>
      <c r="D179" s="25"/>
      <c r="E179" s="25"/>
      <c r="F179" s="25"/>
      <c r="G179" s="25"/>
      <c r="H179" s="25"/>
      <c r="I179" s="25"/>
      <c r="J179" s="25"/>
      <c r="K179" s="25"/>
      <c r="L179" s="25"/>
      <c r="M179" s="25"/>
      <c r="N179" s="25"/>
      <c r="O179" s="25"/>
      <c r="P179" s="25"/>
      <c r="Q179" s="53">
        <f>Q175-Q178-R178</f>
        <v>121978</v>
      </c>
      <c r="R179" s="40"/>
      <c r="S179" s="25"/>
      <c r="T179" s="53"/>
      <c r="U179" s="25"/>
      <c r="V179" s="5"/>
    </row>
    <row r="180" spans="1:22" ht="16.2" thickBot="1" x14ac:dyDescent="0.35">
      <c r="A180" s="24"/>
      <c r="B180" s="25"/>
      <c r="C180" s="25"/>
      <c r="D180" s="25"/>
      <c r="E180" s="25"/>
      <c r="F180" s="25"/>
      <c r="G180" s="25"/>
      <c r="H180" s="25"/>
      <c r="I180" s="25"/>
      <c r="J180" s="25"/>
      <c r="K180" s="25"/>
      <c r="L180" s="25"/>
      <c r="M180" s="25"/>
      <c r="N180" s="25"/>
      <c r="O180" s="25"/>
      <c r="P180" s="25"/>
      <c r="Q180" s="25"/>
      <c r="R180" s="25"/>
      <c r="S180" s="25"/>
      <c r="T180" s="61"/>
      <c r="U180" s="25"/>
      <c r="V180" s="5"/>
    </row>
    <row r="181" spans="1:22" ht="15.6" x14ac:dyDescent="0.3">
      <c r="A181" s="2"/>
      <c r="B181" s="4"/>
      <c r="C181" s="4"/>
      <c r="D181" s="4"/>
      <c r="E181" s="4"/>
      <c r="F181" s="4"/>
      <c r="G181" s="4"/>
      <c r="H181" s="4"/>
      <c r="I181" s="4"/>
      <c r="J181" s="4"/>
      <c r="K181" s="4"/>
      <c r="L181" s="4"/>
      <c r="M181" s="4"/>
      <c r="N181" s="4"/>
      <c r="O181" s="4"/>
      <c r="P181" s="4"/>
      <c r="Q181" s="4"/>
      <c r="R181" s="4"/>
      <c r="S181" s="4"/>
      <c r="T181" s="50"/>
      <c r="U181" s="4"/>
      <c r="V181" s="5"/>
    </row>
    <row r="182" spans="1:22" ht="15.6" x14ac:dyDescent="0.3">
      <c r="A182" s="6"/>
      <c r="B182" s="119" t="s">
        <v>66</v>
      </c>
      <c r="C182" s="8"/>
      <c r="D182" s="8"/>
      <c r="E182" s="8"/>
      <c r="F182" s="8"/>
      <c r="G182" s="8"/>
      <c r="H182" s="8"/>
      <c r="I182" s="8"/>
      <c r="J182" s="8"/>
      <c r="K182" s="8"/>
      <c r="L182" s="8"/>
      <c r="M182" s="8"/>
      <c r="N182" s="8"/>
      <c r="O182" s="8"/>
      <c r="P182" s="8"/>
      <c r="Q182" s="8"/>
      <c r="R182" s="8"/>
      <c r="S182" s="8"/>
      <c r="T182" s="65"/>
      <c r="U182" s="8"/>
      <c r="V182" s="5"/>
    </row>
    <row r="183" spans="1:22" ht="15.6" x14ac:dyDescent="0.3">
      <c r="A183" s="24"/>
      <c r="B183" s="25" t="s">
        <v>67</v>
      </c>
      <c r="C183" s="25"/>
      <c r="D183" s="25"/>
      <c r="E183" s="25"/>
      <c r="F183" s="25"/>
      <c r="G183" s="25"/>
      <c r="H183" s="25"/>
      <c r="I183" s="25"/>
      <c r="J183" s="25"/>
      <c r="K183" s="25"/>
      <c r="L183" s="25"/>
      <c r="M183" s="25"/>
      <c r="N183" s="25"/>
      <c r="O183" s="25"/>
      <c r="P183" s="25"/>
      <c r="Q183" s="25"/>
      <c r="R183" s="25"/>
      <c r="S183" s="25"/>
      <c r="T183" s="59">
        <f>(T101+T103+T104+T105+T106)/-(T107+T108)</f>
        <v>2.614306784660767</v>
      </c>
      <c r="U183" s="25" t="s">
        <v>121</v>
      </c>
      <c r="V183" s="5"/>
    </row>
    <row r="184" spans="1:22" ht="15.6" x14ac:dyDescent="0.3">
      <c r="A184" s="24"/>
      <c r="B184" s="25" t="s">
        <v>68</v>
      </c>
      <c r="C184" s="25"/>
      <c r="D184" s="25"/>
      <c r="E184" s="25"/>
      <c r="F184" s="25"/>
      <c r="G184" s="25"/>
      <c r="H184" s="25"/>
      <c r="I184" s="25"/>
      <c r="J184" s="25"/>
      <c r="K184" s="25"/>
      <c r="L184" s="25"/>
      <c r="M184" s="25"/>
      <c r="N184" s="25"/>
      <c r="O184" s="25"/>
      <c r="P184" s="25"/>
      <c r="Q184" s="25"/>
      <c r="R184" s="25"/>
      <c r="S184" s="25"/>
      <c r="T184" s="66">
        <v>1.48</v>
      </c>
      <c r="U184" s="25" t="s">
        <v>121</v>
      </c>
      <c r="V184" s="5"/>
    </row>
    <row r="185" spans="1:22" ht="15.6" x14ac:dyDescent="0.3">
      <c r="A185" s="24"/>
      <c r="B185" s="25" t="s">
        <v>69</v>
      </c>
      <c r="C185" s="25"/>
      <c r="D185" s="25"/>
      <c r="E185" s="25"/>
      <c r="F185" s="25"/>
      <c r="G185" s="25"/>
      <c r="H185" s="25"/>
      <c r="I185" s="25"/>
      <c r="J185" s="25"/>
      <c r="K185" s="25"/>
      <c r="L185" s="25"/>
      <c r="M185" s="25"/>
      <c r="N185" s="25"/>
      <c r="O185" s="25"/>
      <c r="P185" s="25"/>
      <c r="Q185" s="25"/>
      <c r="R185" s="25"/>
      <c r="S185" s="25"/>
      <c r="T185" s="59">
        <f>(T101+T103+T104+T105+T106+T107+T108)/-(T109+T110)</f>
        <v>9.6431718061674001</v>
      </c>
      <c r="U185" s="25" t="s">
        <v>121</v>
      </c>
      <c r="V185" s="5"/>
    </row>
    <row r="186" spans="1:22" ht="15.6" x14ac:dyDescent="0.3">
      <c r="A186" s="24"/>
      <c r="B186" s="25" t="s">
        <v>70</v>
      </c>
      <c r="C186" s="25"/>
      <c r="D186" s="25"/>
      <c r="E186" s="25"/>
      <c r="F186" s="25"/>
      <c r="G186" s="25"/>
      <c r="H186" s="25"/>
      <c r="I186" s="25"/>
      <c r="J186" s="25"/>
      <c r="K186" s="25"/>
      <c r="L186" s="25"/>
      <c r="M186" s="25"/>
      <c r="N186" s="25"/>
      <c r="O186" s="25"/>
      <c r="P186" s="25"/>
      <c r="Q186" s="25"/>
      <c r="R186" s="25"/>
      <c r="S186" s="25"/>
      <c r="T186" s="66">
        <v>4.54</v>
      </c>
      <c r="U186" s="25" t="s">
        <v>121</v>
      </c>
      <c r="V186" s="5"/>
    </row>
    <row r="187" spans="1:22" ht="15.6" x14ac:dyDescent="0.3">
      <c r="A187" s="24"/>
      <c r="B187" s="25" t="s">
        <v>206</v>
      </c>
      <c r="C187" s="25"/>
      <c r="D187" s="25"/>
      <c r="E187" s="25"/>
      <c r="F187" s="25"/>
      <c r="G187" s="25"/>
      <c r="H187" s="25"/>
      <c r="I187" s="25"/>
      <c r="J187" s="25"/>
      <c r="K187" s="25"/>
      <c r="L187" s="25"/>
      <c r="M187" s="25"/>
      <c r="N187" s="25"/>
      <c r="O187" s="25"/>
      <c r="P187" s="25"/>
      <c r="Q187" s="25"/>
      <c r="R187" s="25"/>
      <c r="S187" s="25"/>
      <c r="T187" s="59">
        <f>(T101+T103+T104+T105+T106+T107+T108+T109+T110)/-(T111)</f>
        <v>8.7589285714285712</v>
      </c>
      <c r="U187" s="25" t="s">
        <v>121</v>
      </c>
      <c r="V187" s="5"/>
    </row>
    <row r="188" spans="1:22" ht="15.6" x14ac:dyDescent="0.3">
      <c r="A188" s="24"/>
      <c r="B188" s="25" t="s">
        <v>207</v>
      </c>
      <c r="C188" s="25"/>
      <c r="D188" s="25"/>
      <c r="E188" s="25"/>
      <c r="F188" s="25"/>
      <c r="G188" s="25"/>
      <c r="H188" s="25"/>
      <c r="I188" s="25"/>
      <c r="J188" s="25"/>
      <c r="K188" s="25"/>
      <c r="L188" s="25"/>
      <c r="M188" s="25"/>
      <c r="N188" s="25"/>
      <c r="O188" s="25"/>
      <c r="P188" s="25"/>
      <c r="Q188" s="25"/>
      <c r="R188" s="25"/>
      <c r="S188" s="25"/>
      <c r="T188" s="66">
        <v>4.08</v>
      </c>
      <c r="U188" s="25" t="s">
        <v>121</v>
      </c>
      <c r="V188" s="5"/>
    </row>
    <row r="189" spans="1:22" ht="15.6" x14ac:dyDescent="0.3">
      <c r="A189" s="24"/>
      <c r="B189" s="25"/>
      <c r="C189" s="25"/>
      <c r="D189" s="25"/>
      <c r="E189" s="25"/>
      <c r="F189" s="25"/>
      <c r="G189" s="25"/>
      <c r="H189" s="25"/>
      <c r="I189" s="25"/>
      <c r="J189" s="25"/>
      <c r="K189" s="25"/>
      <c r="L189" s="25"/>
      <c r="M189" s="25"/>
      <c r="N189" s="25"/>
      <c r="O189" s="25"/>
      <c r="P189" s="25"/>
      <c r="Q189" s="25"/>
      <c r="R189" s="25"/>
      <c r="S189" s="25"/>
      <c r="T189" s="25"/>
      <c r="U189" s="25"/>
      <c r="V189" s="5"/>
    </row>
    <row r="190" spans="1:22" ht="15.6" x14ac:dyDescent="0.3">
      <c r="A190" s="24"/>
      <c r="B190" s="25"/>
      <c r="C190" s="25"/>
      <c r="D190" s="25"/>
      <c r="E190" s="25"/>
      <c r="F190" s="25"/>
      <c r="G190" s="25"/>
      <c r="H190" s="25"/>
      <c r="I190" s="25"/>
      <c r="J190" s="25"/>
      <c r="K190" s="25"/>
      <c r="L190" s="25"/>
      <c r="M190" s="25"/>
      <c r="N190" s="25"/>
      <c r="O190" s="25"/>
      <c r="P190" s="25"/>
      <c r="Q190" s="25"/>
      <c r="R190" s="25"/>
      <c r="S190" s="25"/>
      <c r="T190" s="25"/>
      <c r="U190" s="25"/>
      <c r="V190" s="5"/>
    </row>
    <row r="191" spans="1:22" ht="15.6" x14ac:dyDescent="0.3">
      <c r="A191" s="6"/>
      <c r="B191" s="8"/>
      <c r="C191" s="8"/>
      <c r="D191" s="8"/>
      <c r="E191" s="8"/>
      <c r="F191" s="8"/>
      <c r="G191" s="8"/>
      <c r="H191" s="8"/>
      <c r="I191" s="8"/>
      <c r="J191" s="8"/>
      <c r="K191" s="8"/>
      <c r="L191" s="8"/>
      <c r="M191" s="8"/>
      <c r="N191" s="8"/>
      <c r="O191" s="8"/>
      <c r="P191" s="8"/>
      <c r="Q191" s="8"/>
      <c r="R191" s="8"/>
      <c r="S191" s="8"/>
      <c r="T191" s="8"/>
      <c r="U191" s="8"/>
      <c r="V191" s="5"/>
    </row>
    <row r="192" spans="1:22" ht="18" thickBot="1" x14ac:dyDescent="0.35">
      <c r="A192" s="101"/>
      <c r="B192" s="102" t="str">
        <f>B133</f>
        <v>PM11 INVESTOR REPORT QUARTER ENDING SEPTEMBER 2009</v>
      </c>
      <c r="C192" s="165"/>
      <c r="D192" s="165"/>
      <c r="E192" s="165"/>
      <c r="F192" s="165"/>
      <c r="G192" s="165"/>
      <c r="H192" s="165"/>
      <c r="I192" s="165"/>
      <c r="J192" s="165"/>
      <c r="K192" s="165"/>
      <c r="L192" s="165"/>
      <c r="M192" s="165"/>
      <c r="N192" s="165"/>
      <c r="O192" s="165"/>
      <c r="P192" s="165"/>
      <c r="Q192" s="165"/>
      <c r="R192" s="165"/>
      <c r="S192" s="165"/>
      <c r="T192" s="165"/>
      <c r="U192" s="166"/>
      <c r="V192" s="5"/>
    </row>
    <row r="193" spans="1:22" ht="15.6" x14ac:dyDescent="0.3">
      <c r="A193" s="67"/>
      <c r="B193" s="60" t="s">
        <v>71</v>
      </c>
      <c r="C193" s="68"/>
      <c r="D193" s="68"/>
      <c r="E193" s="68"/>
      <c r="F193" s="68"/>
      <c r="G193" s="69"/>
      <c r="H193" s="69"/>
      <c r="I193" s="69"/>
      <c r="J193" s="69"/>
      <c r="K193" s="69"/>
      <c r="L193" s="69"/>
      <c r="M193" s="69"/>
      <c r="N193" s="69"/>
      <c r="O193" s="69"/>
      <c r="P193" s="69"/>
      <c r="Q193" s="69"/>
      <c r="R193" s="70">
        <v>40086</v>
      </c>
      <c r="S193" s="4"/>
      <c r="T193" s="4"/>
      <c r="U193" s="4"/>
      <c r="V193" s="5"/>
    </row>
    <row r="194" spans="1:22" ht="15.6" x14ac:dyDescent="0.3">
      <c r="A194" s="71"/>
      <c r="B194" s="72"/>
      <c r="C194" s="73"/>
      <c r="D194" s="73"/>
      <c r="E194" s="73"/>
      <c r="F194" s="73"/>
      <c r="G194" s="74"/>
      <c r="H194" s="74"/>
      <c r="I194" s="74"/>
      <c r="J194" s="74"/>
      <c r="K194" s="74"/>
      <c r="L194" s="74"/>
      <c r="M194" s="74"/>
      <c r="N194" s="74"/>
      <c r="O194" s="74"/>
      <c r="P194" s="74"/>
      <c r="Q194" s="74"/>
      <c r="R194" s="74"/>
      <c r="S194" s="8"/>
      <c r="T194" s="8"/>
      <c r="U194" s="8"/>
      <c r="V194" s="5"/>
    </row>
    <row r="195" spans="1:22" ht="15.6" x14ac:dyDescent="0.3">
      <c r="A195" s="75"/>
      <c r="B195" s="76" t="s">
        <v>72</v>
      </c>
      <c r="C195" s="77"/>
      <c r="D195" s="77"/>
      <c r="E195" s="77"/>
      <c r="F195" s="77"/>
      <c r="G195" s="64"/>
      <c r="H195" s="64"/>
      <c r="I195" s="64"/>
      <c r="J195" s="64"/>
      <c r="K195" s="64"/>
      <c r="L195" s="64"/>
      <c r="M195" s="64"/>
      <c r="N195" s="64"/>
      <c r="O195" s="64"/>
      <c r="P195" s="64"/>
      <c r="Q195" s="64"/>
      <c r="R195" s="78">
        <v>5.1569999999999998E-2</v>
      </c>
      <c r="S195" s="25"/>
      <c r="T195" s="25"/>
      <c r="U195" s="25"/>
      <c r="V195" s="5"/>
    </row>
    <row r="196" spans="1:22" ht="15.6" x14ac:dyDescent="0.3">
      <c r="A196" s="75"/>
      <c r="B196" s="76" t="s">
        <v>157</v>
      </c>
      <c r="C196" s="77"/>
      <c r="D196" s="77"/>
      <c r="E196" s="77"/>
      <c r="F196" s="77"/>
      <c r="G196" s="64"/>
      <c r="H196" s="64"/>
      <c r="I196" s="64"/>
      <c r="J196" s="64"/>
      <c r="K196" s="64"/>
      <c r="L196" s="64"/>
      <c r="M196" s="64"/>
      <c r="N196" s="64"/>
      <c r="O196" s="64"/>
      <c r="P196" s="64"/>
      <c r="Q196" s="64"/>
      <c r="R196" s="39">
        <v>4.6899999999999997E-2</v>
      </c>
      <c r="S196" s="25"/>
      <c r="T196" s="25"/>
      <c r="U196" s="25"/>
      <c r="V196" s="5"/>
    </row>
    <row r="197" spans="1:22" ht="15.6" x14ac:dyDescent="0.3">
      <c r="A197" s="75"/>
      <c r="B197" s="76" t="s">
        <v>73</v>
      </c>
      <c r="C197" s="77"/>
      <c r="D197" s="77"/>
      <c r="E197" s="77"/>
      <c r="F197" s="77"/>
      <c r="G197" s="64"/>
      <c r="H197" s="64"/>
      <c r="I197" s="64"/>
      <c r="J197" s="64"/>
      <c r="K197" s="64"/>
      <c r="L197" s="64"/>
      <c r="M197" s="64"/>
      <c r="N197" s="64"/>
      <c r="O197" s="64"/>
      <c r="P197" s="64"/>
      <c r="Q197" s="64"/>
      <c r="R197" s="78">
        <f>R195-R196</f>
        <v>4.6700000000000005E-3</v>
      </c>
      <c r="S197" s="25"/>
      <c r="T197" s="25"/>
      <c r="U197" s="25"/>
      <c r="V197" s="5"/>
    </row>
    <row r="198" spans="1:22" ht="15.6" x14ac:dyDescent="0.3">
      <c r="A198" s="75"/>
      <c r="B198" s="76" t="s">
        <v>74</v>
      </c>
      <c r="C198" s="77"/>
      <c r="D198" s="77"/>
      <c r="E198" s="77"/>
      <c r="F198" s="77"/>
      <c r="G198" s="64"/>
      <c r="H198" s="64"/>
      <c r="I198" s="64"/>
      <c r="J198" s="64"/>
      <c r="K198" s="64"/>
      <c r="L198" s="64"/>
      <c r="M198" s="64"/>
      <c r="N198" s="64"/>
      <c r="O198" s="64"/>
      <c r="P198" s="64"/>
      <c r="Q198" s="64"/>
      <c r="R198" s="78">
        <v>3.44E-2</v>
      </c>
      <c r="S198" s="25"/>
      <c r="T198" s="25"/>
      <c r="U198" s="25"/>
      <c r="V198" s="5"/>
    </row>
    <row r="199" spans="1:22" ht="15.6" x14ac:dyDescent="0.3">
      <c r="A199" s="75"/>
      <c r="B199" s="76" t="s">
        <v>257</v>
      </c>
      <c r="C199" s="77"/>
      <c r="D199" s="77"/>
      <c r="E199" s="77"/>
      <c r="F199" s="77"/>
      <c r="G199" s="64"/>
      <c r="H199" s="64"/>
      <c r="I199" s="64"/>
      <c r="J199" s="64"/>
      <c r="K199" s="64"/>
      <c r="L199" s="64"/>
      <c r="M199" s="64"/>
      <c r="N199" s="64"/>
      <c r="O199" s="64"/>
      <c r="P199" s="64"/>
      <c r="Q199" s="64"/>
      <c r="R199" s="78">
        <f>T43</f>
        <v>1.165641961934742E-2</v>
      </c>
      <c r="S199" s="25"/>
      <c r="T199" s="25"/>
      <c r="U199" s="25"/>
      <c r="V199" s="5"/>
    </row>
    <row r="200" spans="1:22" ht="15.6" x14ac:dyDescent="0.3">
      <c r="A200" s="75"/>
      <c r="B200" s="76" t="s">
        <v>75</v>
      </c>
      <c r="C200" s="77"/>
      <c r="D200" s="77"/>
      <c r="E200" s="77"/>
      <c r="F200" s="77"/>
      <c r="G200" s="64"/>
      <c r="H200" s="64"/>
      <c r="I200" s="64"/>
      <c r="J200" s="64"/>
      <c r="K200" s="64"/>
      <c r="L200" s="64"/>
      <c r="M200" s="64"/>
      <c r="N200" s="64"/>
      <c r="O200" s="64"/>
      <c r="P200" s="64"/>
      <c r="Q200" s="64"/>
      <c r="R200" s="78">
        <f>R198-R199</f>
        <v>2.2743580380652578E-2</v>
      </c>
      <c r="S200" s="25"/>
      <c r="T200" s="25"/>
      <c r="U200" s="25"/>
      <c r="V200" s="5"/>
    </row>
    <row r="201" spans="1:22" ht="15.6" x14ac:dyDescent="0.3">
      <c r="A201" s="75"/>
      <c r="B201" s="76" t="s">
        <v>260</v>
      </c>
      <c r="C201" s="77"/>
      <c r="D201" s="77"/>
      <c r="E201" s="77"/>
      <c r="F201" s="77"/>
      <c r="G201" s="64"/>
      <c r="H201" s="64"/>
      <c r="I201" s="64"/>
      <c r="J201" s="64"/>
      <c r="K201" s="64"/>
      <c r="L201" s="64"/>
      <c r="M201" s="64"/>
      <c r="N201" s="64"/>
      <c r="O201" s="64"/>
      <c r="P201" s="64"/>
      <c r="Q201" s="64"/>
      <c r="R201" s="78">
        <f>+T101/L72</f>
        <v>9.3009047420965062E-3</v>
      </c>
      <c r="S201" s="25"/>
      <c r="T201" s="25"/>
      <c r="U201" s="25"/>
      <c r="V201" s="5"/>
    </row>
    <row r="202" spans="1:22" ht="15.6" x14ac:dyDescent="0.3">
      <c r="A202" s="75"/>
      <c r="B202" s="76" t="s">
        <v>217</v>
      </c>
      <c r="C202" s="77"/>
      <c r="D202" s="77"/>
      <c r="E202" s="77"/>
      <c r="F202" s="77"/>
      <c r="G202" s="64"/>
      <c r="H202" s="64"/>
      <c r="I202" s="64"/>
      <c r="J202" s="64"/>
      <c r="K202" s="64"/>
      <c r="L202" s="64"/>
      <c r="M202" s="64"/>
      <c r="N202" s="64"/>
      <c r="O202" s="64"/>
      <c r="P202" s="64"/>
      <c r="Q202" s="64"/>
      <c r="R202" s="129">
        <v>15250</v>
      </c>
      <c r="S202" s="25"/>
      <c r="T202" s="25"/>
      <c r="U202" s="25"/>
      <c r="V202" s="5"/>
    </row>
    <row r="203" spans="1:22" ht="15.6" x14ac:dyDescent="0.3">
      <c r="A203" s="75"/>
      <c r="B203" s="76" t="s">
        <v>218</v>
      </c>
      <c r="C203" s="77"/>
      <c r="D203" s="77"/>
      <c r="E203" s="77"/>
      <c r="F203" s="77"/>
      <c r="G203" s="64"/>
      <c r="H203" s="64"/>
      <c r="I203" s="64"/>
      <c r="J203" s="64"/>
      <c r="K203" s="64"/>
      <c r="L203" s="64"/>
      <c r="M203" s="64"/>
      <c r="N203" s="64"/>
      <c r="O203" s="64"/>
      <c r="P203" s="64"/>
      <c r="Q203" s="64"/>
      <c r="R203" s="129">
        <v>15250</v>
      </c>
      <c r="S203" s="25"/>
      <c r="T203" s="25"/>
      <c r="U203" s="25"/>
      <c r="V203" s="5"/>
    </row>
    <row r="204" spans="1:22" ht="15.6" x14ac:dyDescent="0.3">
      <c r="A204" s="75"/>
      <c r="B204" s="76" t="s">
        <v>219</v>
      </c>
      <c r="C204" s="77"/>
      <c r="D204" s="77"/>
      <c r="E204" s="77"/>
      <c r="F204" s="77"/>
      <c r="G204" s="64"/>
      <c r="H204" s="64"/>
      <c r="I204" s="64"/>
      <c r="J204" s="64"/>
      <c r="K204" s="64"/>
      <c r="L204" s="64"/>
      <c r="M204" s="64"/>
      <c r="N204" s="64"/>
      <c r="O204" s="64"/>
      <c r="P204" s="64"/>
      <c r="Q204" s="64"/>
      <c r="R204" s="129">
        <v>15250</v>
      </c>
      <c r="S204" s="25"/>
      <c r="T204" s="25"/>
      <c r="U204" s="25"/>
      <c r="V204" s="5"/>
    </row>
    <row r="205" spans="1:22" ht="15.6" x14ac:dyDescent="0.3">
      <c r="A205" s="75"/>
      <c r="B205" s="76" t="s">
        <v>76</v>
      </c>
      <c r="C205" s="77"/>
      <c r="D205" s="77"/>
      <c r="E205" s="77"/>
      <c r="F205" s="77"/>
      <c r="G205" s="64"/>
      <c r="H205" s="64"/>
      <c r="I205" s="64"/>
      <c r="J205" s="64"/>
      <c r="K205" s="64"/>
      <c r="L205" s="64"/>
      <c r="M205" s="64"/>
      <c r="N205" s="64"/>
      <c r="O205" s="64"/>
      <c r="P205" s="64"/>
      <c r="Q205" s="64"/>
      <c r="R205" s="133">
        <v>21.18</v>
      </c>
      <c r="S205" s="25" t="s">
        <v>116</v>
      </c>
      <c r="T205" s="25"/>
      <c r="U205" s="25"/>
      <c r="V205" s="5"/>
    </row>
    <row r="206" spans="1:22" ht="15.6" x14ac:dyDescent="0.3">
      <c r="A206" s="75"/>
      <c r="B206" s="76" t="s">
        <v>77</v>
      </c>
      <c r="C206" s="77"/>
      <c r="D206" s="77"/>
      <c r="E206" s="77"/>
      <c r="F206" s="77"/>
      <c r="G206" s="64"/>
      <c r="H206" s="64"/>
      <c r="I206" s="64"/>
      <c r="J206" s="64"/>
      <c r="K206" s="64"/>
      <c r="L206" s="64"/>
      <c r="M206" s="64"/>
      <c r="N206" s="64"/>
      <c r="O206" s="64"/>
      <c r="P206" s="64"/>
      <c r="Q206" s="64"/>
      <c r="R206" s="133">
        <v>17.739999999999998</v>
      </c>
      <c r="S206" s="25" t="s">
        <v>116</v>
      </c>
      <c r="T206" s="25"/>
      <c r="U206" s="25"/>
      <c r="V206" s="5"/>
    </row>
    <row r="207" spans="1:22" ht="15.6" x14ac:dyDescent="0.3">
      <c r="A207" s="75"/>
      <c r="B207" s="76" t="s">
        <v>78</v>
      </c>
      <c r="C207" s="77"/>
      <c r="D207" s="77"/>
      <c r="E207" s="77"/>
      <c r="F207" s="77"/>
      <c r="G207" s="64"/>
      <c r="H207" s="64"/>
      <c r="I207" s="64"/>
      <c r="J207" s="64"/>
      <c r="K207" s="64"/>
      <c r="L207" s="64"/>
      <c r="M207" s="64"/>
      <c r="N207" s="64"/>
      <c r="O207" s="64"/>
      <c r="P207" s="64"/>
      <c r="Q207" s="64"/>
      <c r="R207" s="78">
        <f>N69/L69</f>
        <v>1.0261218282029951E-2</v>
      </c>
      <c r="S207" s="25"/>
      <c r="T207" s="25"/>
      <c r="U207" s="25"/>
      <c r="V207" s="5"/>
    </row>
    <row r="208" spans="1:22" ht="15.6" x14ac:dyDescent="0.3">
      <c r="A208" s="75"/>
      <c r="B208" s="76" t="s">
        <v>79</v>
      </c>
      <c r="C208" s="77"/>
      <c r="D208" s="77"/>
      <c r="E208" s="77"/>
      <c r="F208" s="77"/>
      <c r="G208" s="64"/>
      <c r="H208" s="64"/>
      <c r="I208" s="64"/>
      <c r="J208" s="64"/>
      <c r="K208" s="64"/>
      <c r="L208" s="64"/>
      <c r="M208" s="64"/>
      <c r="N208" s="64"/>
      <c r="O208" s="64"/>
      <c r="P208" s="64"/>
      <c r="Q208" s="64"/>
      <c r="R208" s="78">
        <v>0.1419</v>
      </c>
      <c r="S208" s="25"/>
      <c r="T208" s="25"/>
      <c r="U208" s="25"/>
      <c r="V208" s="5"/>
    </row>
    <row r="209" spans="1:22" ht="15.6" x14ac:dyDescent="0.3">
      <c r="A209" s="75"/>
      <c r="B209" s="76"/>
      <c r="C209" s="76"/>
      <c r="D209" s="76"/>
      <c r="E209" s="76"/>
      <c r="F209" s="76"/>
      <c r="G209" s="25"/>
      <c r="H209" s="25"/>
      <c r="I209" s="25"/>
      <c r="J209" s="25"/>
      <c r="K209" s="25"/>
      <c r="L209" s="25"/>
      <c r="M209" s="25"/>
      <c r="N209" s="25"/>
      <c r="O209" s="25"/>
      <c r="P209" s="25"/>
      <c r="Q209" s="25"/>
      <c r="R209" s="61"/>
      <c r="S209" s="25"/>
      <c r="T209" s="79"/>
      <c r="U209" s="25"/>
      <c r="V209" s="5"/>
    </row>
    <row r="210" spans="1:22" ht="15.6" x14ac:dyDescent="0.3">
      <c r="A210" s="80"/>
      <c r="B210" s="14" t="s">
        <v>80</v>
      </c>
      <c r="C210" s="81"/>
      <c r="D210" s="81"/>
      <c r="E210" s="81"/>
      <c r="F210" s="82"/>
      <c r="G210" s="81"/>
      <c r="H210" s="17"/>
      <c r="I210" s="17"/>
      <c r="J210" s="17"/>
      <c r="K210" s="17"/>
      <c r="L210" s="17"/>
      <c r="M210" s="17"/>
      <c r="N210" s="17"/>
      <c r="O210" s="17"/>
      <c r="P210" s="17"/>
      <c r="Q210" s="17" t="s">
        <v>105</v>
      </c>
      <c r="R210" s="83" t="s">
        <v>112</v>
      </c>
      <c r="S210" s="8"/>
      <c r="T210" s="8"/>
      <c r="U210" s="8"/>
      <c r="V210" s="5"/>
    </row>
    <row r="211" spans="1:22" ht="15.6" x14ac:dyDescent="0.3">
      <c r="A211" s="84"/>
      <c r="B211" s="76" t="s">
        <v>81</v>
      </c>
      <c r="C211" s="54"/>
      <c r="D211" s="54"/>
      <c r="E211" s="54"/>
      <c r="F211" s="25"/>
      <c r="G211" s="25"/>
      <c r="H211" s="30"/>
      <c r="I211" s="30"/>
      <c r="J211" s="30"/>
      <c r="K211" s="30"/>
      <c r="L211" s="30"/>
      <c r="M211" s="30"/>
      <c r="N211" s="30"/>
      <c r="O211" s="30"/>
      <c r="P211" s="30"/>
      <c r="Q211" s="30">
        <v>1</v>
      </c>
      <c r="R211" s="85">
        <v>141</v>
      </c>
      <c r="S211" s="25"/>
      <c r="T211" s="79"/>
      <c r="U211" s="86"/>
      <c r="V211" s="5"/>
    </row>
    <row r="212" spans="1:22" ht="15.6" x14ac:dyDescent="0.3">
      <c r="A212" s="84"/>
      <c r="B212" s="76" t="s">
        <v>151</v>
      </c>
      <c r="C212" s="54"/>
      <c r="D212" s="54"/>
      <c r="E212" s="54"/>
      <c r="F212" s="25"/>
      <c r="G212" s="25"/>
      <c r="H212" s="30"/>
      <c r="I212" s="30"/>
      <c r="J212" s="30"/>
      <c r="K212" s="30"/>
      <c r="L212" s="30"/>
      <c r="M212" s="30"/>
      <c r="N212" s="30"/>
      <c r="O212" s="30"/>
      <c r="P212" s="30"/>
      <c r="Q212" s="152">
        <f>+P252</f>
        <v>178</v>
      </c>
      <c r="R212" s="85">
        <f>+R252</f>
        <v>24811</v>
      </c>
      <c r="S212" s="25"/>
      <c r="T212" s="79"/>
      <c r="U212" s="86"/>
      <c r="V212" s="5"/>
    </row>
    <row r="213" spans="1:22" ht="15.6" x14ac:dyDescent="0.3">
      <c r="A213" s="84"/>
      <c r="B213" s="76" t="s">
        <v>82</v>
      </c>
      <c r="C213" s="54"/>
      <c r="D213" s="54"/>
      <c r="E213" s="54"/>
      <c r="F213" s="25"/>
      <c r="G213" s="25"/>
      <c r="H213" s="30"/>
      <c r="I213" s="30"/>
      <c r="J213" s="30"/>
      <c r="K213" s="30"/>
      <c r="L213" s="30"/>
      <c r="M213" s="30"/>
      <c r="N213" s="30"/>
      <c r="O213" s="30"/>
      <c r="P213" s="30"/>
      <c r="Q213" s="152">
        <f>+P264</f>
        <v>0</v>
      </c>
      <c r="R213" s="85">
        <f>+R264</f>
        <v>0</v>
      </c>
      <c r="S213" s="25"/>
      <c r="T213" s="79"/>
      <c r="U213" s="86"/>
      <c r="V213" s="5"/>
    </row>
    <row r="214" spans="1:22" ht="15.6" x14ac:dyDescent="0.3">
      <c r="A214" s="84"/>
      <c r="B214" s="122" t="s">
        <v>83</v>
      </c>
      <c r="C214" s="54"/>
      <c r="D214" s="54"/>
      <c r="E214" s="54"/>
      <c r="F214" s="25"/>
      <c r="G214" s="25"/>
      <c r="H214" s="25"/>
      <c r="I214" s="25"/>
      <c r="J214" s="25"/>
      <c r="K214" s="25"/>
      <c r="L214" s="25"/>
      <c r="M214" s="25"/>
      <c r="N214" s="25"/>
      <c r="O214" s="25"/>
      <c r="P214" s="25"/>
      <c r="Q214" s="25"/>
      <c r="R214" s="85">
        <v>0</v>
      </c>
      <c r="S214" s="25"/>
      <c r="T214" s="79"/>
      <c r="U214" s="86"/>
      <c r="V214" s="5"/>
    </row>
    <row r="215" spans="1:22" ht="15.6" x14ac:dyDescent="0.3">
      <c r="A215" s="84"/>
      <c r="B215" s="122" t="s">
        <v>84</v>
      </c>
      <c r="C215" s="54"/>
      <c r="D215" s="54"/>
      <c r="E215" s="54"/>
      <c r="F215" s="25"/>
      <c r="G215" s="25"/>
      <c r="H215" s="25"/>
      <c r="I215" s="25"/>
      <c r="J215" s="25"/>
      <c r="K215" s="25"/>
      <c r="L215" s="25"/>
      <c r="M215" s="25"/>
      <c r="N215" s="25"/>
      <c r="O215" s="25"/>
      <c r="P215" s="25"/>
      <c r="Q215" s="25"/>
      <c r="R215" s="62" t="s">
        <v>113</v>
      </c>
      <c r="S215" s="25"/>
      <c r="T215" s="79"/>
      <c r="U215" s="86"/>
      <c r="V215" s="5"/>
    </row>
    <row r="216" spans="1:22" ht="15.6" x14ac:dyDescent="0.3">
      <c r="A216" s="87"/>
      <c r="B216" s="122" t="s">
        <v>85</v>
      </c>
      <c r="C216" s="76"/>
      <c r="D216" s="76"/>
      <c r="E216" s="76"/>
      <c r="F216" s="76"/>
      <c r="G216" s="25"/>
      <c r="H216" s="25"/>
      <c r="I216" s="25"/>
      <c r="J216" s="25"/>
      <c r="K216" s="25"/>
      <c r="L216" s="25"/>
      <c r="M216" s="25"/>
      <c r="N216" s="25"/>
      <c r="O216" s="25"/>
      <c r="P216" s="25"/>
      <c r="Q216" s="25"/>
      <c r="R216" s="85"/>
      <c r="S216" s="25"/>
      <c r="T216" s="79"/>
      <c r="U216" s="88"/>
      <c r="V216" s="5"/>
    </row>
    <row r="217" spans="1:22" ht="15.6" x14ac:dyDescent="0.3">
      <c r="A217" s="87"/>
      <c r="B217" s="131" t="s">
        <v>86</v>
      </c>
      <c r="C217" s="76"/>
      <c r="D217" s="76"/>
      <c r="E217" s="76"/>
      <c r="F217" s="76"/>
      <c r="G217" s="25"/>
      <c r="H217" s="25"/>
      <c r="I217" s="25"/>
      <c r="J217" s="25"/>
      <c r="K217" s="25"/>
      <c r="L217" s="25"/>
      <c r="M217" s="25"/>
      <c r="N217" s="25"/>
      <c r="O217" s="25"/>
      <c r="P217" s="25"/>
      <c r="Q217" s="30"/>
      <c r="R217" s="85">
        <f>T162</f>
        <v>312</v>
      </c>
      <c r="S217" s="25"/>
      <c r="T217" s="79"/>
      <c r="U217" s="88"/>
      <c r="V217" s="5"/>
    </row>
    <row r="218" spans="1:22" ht="15.6" x14ac:dyDescent="0.3">
      <c r="A218" s="84"/>
      <c r="B218" s="76" t="s">
        <v>87</v>
      </c>
      <c r="C218" s="54"/>
      <c r="D218" s="54"/>
      <c r="E218" s="54"/>
      <c r="F218" s="54"/>
      <c r="G218" s="25"/>
      <c r="H218" s="25"/>
      <c r="I218" s="25"/>
      <c r="J218" s="25"/>
      <c r="K218" s="25"/>
      <c r="L218" s="25"/>
      <c r="M218" s="25"/>
      <c r="N218" s="25"/>
      <c r="O218" s="25"/>
      <c r="P218" s="25"/>
      <c r="Q218" s="30"/>
      <c r="R218" s="85">
        <f>+'June 09'!R218+R217</f>
        <v>1387</v>
      </c>
      <c r="S218" s="25"/>
      <c r="T218" s="79"/>
      <c r="U218" s="88"/>
      <c r="V218" s="5"/>
    </row>
    <row r="219" spans="1:22" ht="15.6" x14ac:dyDescent="0.3">
      <c r="A219" s="87"/>
      <c r="B219" s="122" t="s">
        <v>282</v>
      </c>
      <c r="C219" s="76"/>
      <c r="D219" s="76"/>
      <c r="E219" s="76"/>
      <c r="F219" s="76"/>
      <c r="G219" s="25"/>
      <c r="H219" s="25"/>
      <c r="I219" s="25"/>
      <c r="J219" s="25"/>
      <c r="K219" s="25"/>
      <c r="L219" s="25"/>
      <c r="M219" s="25"/>
      <c r="N219" s="25"/>
      <c r="O219" s="25"/>
      <c r="P219" s="25"/>
      <c r="Q219" s="30"/>
      <c r="R219" s="85"/>
      <c r="S219" s="25"/>
      <c r="T219" s="79"/>
      <c r="U219" s="88"/>
      <c r="V219" s="5"/>
    </row>
    <row r="220" spans="1:22" ht="15.6" x14ac:dyDescent="0.3">
      <c r="A220" s="87"/>
      <c r="B220" s="76" t="s">
        <v>280</v>
      </c>
      <c r="C220" s="76"/>
      <c r="D220" s="76"/>
      <c r="E220" s="76"/>
      <c r="F220" s="76"/>
      <c r="G220" s="25"/>
      <c r="H220" s="25"/>
      <c r="I220" s="25"/>
      <c r="J220" s="25"/>
      <c r="K220" s="25"/>
      <c r="L220" s="25"/>
      <c r="M220" s="25"/>
      <c r="N220" s="25"/>
      <c r="O220" s="25"/>
      <c r="P220" s="25"/>
      <c r="Q220" s="30">
        <v>0</v>
      </c>
      <c r="R220" s="85">
        <v>0</v>
      </c>
      <c r="S220" s="25"/>
      <c r="T220" s="79"/>
      <c r="U220" s="88"/>
      <c r="V220" s="5"/>
    </row>
    <row r="221" spans="1:22" ht="15.6" x14ac:dyDescent="0.3">
      <c r="A221" s="84"/>
      <c r="B221" s="76" t="s">
        <v>89</v>
      </c>
      <c r="C221" s="89"/>
      <c r="D221" s="89"/>
      <c r="E221" s="89"/>
      <c r="F221" s="90"/>
      <c r="G221" s="25"/>
      <c r="H221" s="25"/>
      <c r="I221" s="25"/>
      <c r="J221" s="25"/>
      <c r="K221" s="25"/>
      <c r="L221" s="25"/>
      <c r="M221" s="25"/>
      <c r="N221" s="25"/>
      <c r="O221" s="25"/>
      <c r="P221" s="25"/>
      <c r="Q221" s="25"/>
      <c r="R221" s="62">
        <v>0</v>
      </c>
      <c r="S221" s="25"/>
      <c r="T221" s="79"/>
      <c r="U221" s="88"/>
      <c r="V221" s="5"/>
    </row>
    <row r="222" spans="1:22" ht="15.6" x14ac:dyDescent="0.3">
      <c r="A222" s="84"/>
      <c r="B222" s="76" t="s">
        <v>90</v>
      </c>
      <c r="C222" s="89"/>
      <c r="D222" s="89"/>
      <c r="E222" s="89"/>
      <c r="F222" s="90"/>
      <c r="G222" s="25"/>
      <c r="H222" s="25"/>
      <c r="I222" s="25"/>
      <c r="J222" s="25"/>
      <c r="K222" s="25"/>
      <c r="L222" s="25"/>
      <c r="M222" s="25"/>
      <c r="N222" s="25"/>
      <c r="O222" s="25"/>
      <c r="P222" s="25"/>
      <c r="Q222" s="25"/>
      <c r="R222" s="62">
        <v>0</v>
      </c>
      <c r="S222" s="25"/>
      <c r="T222" s="79"/>
      <c r="U222" s="88"/>
      <c r="V222" s="5"/>
    </row>
    <row r="223" spans="1:22" ht="15.6" x14ac:dyDescent="0.3">
      <c r="A223" s="84"/>
      <c r="B223" s="122" t="s">
        <v>226</v>
      </c>
      <c r="C223" s="89"/>
      <c r="D223" s="89"/>
      <c r="E223" s="89"/>
      <c r="F223" s="90"/>
      <c r="G223" s="25"/>
      <c r="H223" s="25"/>
      <c r="I223" s="25"/>
      <c r="J223" s="25"/>
      <c r="K223" s="25"/>
      <c r="L223" s="25"/>
      <c r="M223" s="25"/>
      <c r="N223" s="25"/>
      <c r="O223" s="25"/>
      <c r="P223" s="25"/>
      <c r="Q223" s="30"/>
      <c r="R223" s="91"/>
      <c r="S223" s="25"/>
      <c r="T223" s="79"/>
      <c r="U223" s="88"/>
      <c r="V223" s="5"/>
    </row>
    <row r="224" spans="1:22" ht="15.6" x14ac:dyDescent="0.3">
      <c r="A224" s="84"/>
      <c r="B224" s="76" t="s">
        <v>280</v>
      </c>
      <c r="C224" s="89"/>
      <c r="D224" s="89"/>
      <c r="E224" s="89"/>
      <c r="F224" s="90"/>
      <c r="G224" s="25"/>
      <c r="H224" s="25"/>
      <c r="I224" s="25"/>
      <c r="J224" s="25"/>
      <c r="K224" s="25"/>
      <c r="L224" s="25"/>
      <c r="M224" s="25"/>
      <c r="N224" s="25"/>
      <c r="O224" s="25"/>
      <c r="P224" s="25"/>
      <c r="Q224" s="30">
        <v>10</v>
      </c>
      <c r="R224" s="85">
        <v>1755</v>
      </c>
      <c r="S224" s="25"/>
      <c r="T224" s="79"/>
      <c r="U224" s="88"/>
      <c r="V224" s="5"/>
    </row>
    <row r="225" spans="1:23" ht="15.6" x14ac:dyDescent="0.3">
      <c r="A225" s="84"/>
      <c r="B225" s="76" t="s">
        <v>227</v>
      </c>
      <c r="C225" s="89"/>
      <c r="D225" s="89"/>
      <c r="E225" s="89"/>
      <c r="F225" s="90"/>
      <c r="G225" s="25"/>
      <c r="H225" s="25"/>
      <c r="I225" s="25"/>
      <c r="J225" s="25"/>
      <c r="K225" s="25"/>
      <c r="L225" s="25"/>
      <c r="M225" s="25"/>
      <c r="N225" s="25"/>
      <c r="O225" s="25"/>
      <c r="P225" s="25"/>
      <c r="Q225" s="30"/>
      <c r="R225" s="62">
        <v>11.09</v>
      </c>
      <c r="S225" s="25"/>
      <c r="T225" s="79"/>
      <c r="U225" s="88"/>
      <c r="V225" s="5"/>
    </row>
    <row r="226" spans="1:23" ht="15.6" x14ac:dyDescent="0.3">
      <c r="A226" s="84"/>
      <c r="B226" s="76"/>
      <c r="C226" s="89"/>
      <c r="D226" s="89"/>
      <c r="E226" s="89"/>
      <c r="F226" s="90"/>
      <c r="G226" s="25"/>
      <c r="H226" s="25"/>
      <c r="I226" s="25"/>
      <c r="J226" s="25"/>
      <c r="K226" s="25"/>
      <c r="L226" s="25"/>
      <c r="M226" s="25"/>
      <c r="N226" s="25"/>
      <c r="O226" s="25"/>
      <c r="P226" s="25"/>
      <c r="Q226" s="25"/>
      <c r="R226" s="91"/>
      <c r="S226" s="25"/>
      <c r="T226" s="79"/>
      <c r="U226" s="88"/>
      <c r="V226" s="5"/>
    </row>
    <row r="227" spans="1:23" ht="15.6" x14ac:dyDescent="0.3">
      <c r="A227" s="84"/>
      <c r="B227" s="76"/>
      <c r="C227" s="89"/>
      <c r="D227" s="89"/>
      <c r="E227" s="89"/>
      <c r="F227" s="90"/>
      <c r="G227" s="25"/>
      <c r="H227" s="25"/>
      <c r="I227" s="25"/>
      <c r="J227" s="25"/>
      <c r="K227" s="25"/>
      <c r="L227" s="25"/>
      <c r="M227" s="25"/>
      <c r="N227" s="25"/>
      <c r="O227" s="25"/>
      <c r="P227" s="25"/>
      <c r="Q227" s="25"/>
      <c r="R227" s="91"/>
      <c r="S227" s="25"/>
      <c r="T227" s="79"/>
      <c r="U227" s="88"/>
      <c r="V227" s="5"/>
    </row>
    <row r="228" spans="1:23" ht="17.399999999999999" x14ac:dyDescent="0.3">
      <c r="A228" s="84"/>
      <c r="B228" s="149" t="s">
        <v>175</v>
      </c>
      <c r="C228" s="89"/>
      <c r="D228" s="89"/>
      <c r="E228" s="89"/>
      <c r="F228" s="90"/>
      <c r="G228" s="25"/>
      <c r="H228" s="25"/>
      <c r="I228" s="25"/>
      <c r="J228" s="25"/>
      <c r="K228" s="25"/>
      <c r="L228" s="25"/>
      <c r="M228" s="25"/>
      <c r="N228" s="150" t="s">
        <v>174</v>
      </c>
      <c r="O228" s="25"/>
      <c r="P228" s="25"/>
      <c r="Q228" s="25"/>
      <c r="R228" s="91"/>
      <c r="S228" s="25"/>
      <c r="T228" s="79"/>
      <c r="U228" s="88"/>
      <c r="V228" s="5"/>
    </row>
    <row r="229" spans="1:23" ht="15.6" x14ac:dyDescent="0.3">
      <c r="A229" s="84"/>
      <c r="B229" s="76"/>
      <c r="C229" s="89"/>
      <c r="D229" s="89"/>
      <c r="E229" s="89"/>
      <c r="F229" s="90"/>
      <c r="G229" s="25"/>
      <c r="H229" s="25"/>
      <c r="I229" s="25"/>
      <c r="J229" s="25"/>
      <c r="K229" s="25"/>
      <c r="L229" s="25"/>
      <c r="M229" s="25"/>
      <c r="N229" s="25"/>
      <c r="O229" s="25"/>
      <c r="P229" s="25"/>
      <c r="Q229" s="25"/>
      <c r="R229" s="91"/>
      <c r="S229" s="25"/>
      <c r="T229" s="79"/>
      <c r="U229" s="88"/>
      <c r="V229" s="5"/>
    </row>
    <row r="230" spans="1:23" ht="15.6" x14ac:dyDescent="0.3">
      <c r="A230" s="6"/>
      <c r="B230" s="14" t="s">
        <v>169</v>
      </c>
      <c r="C230" s="81"/>
      <c r="D230" s="81"/>
      <c r="E230" s="81"/>
      <c r="F230" s="82"/>
      <c r="G230" s="81"/>
      <c r="H230" s="17"/>
      <c r="I230" s="17"/>
      <c r="J230" s="17"/>
      <c r="K230" s="17"/>
      <c r="L230" s="17"/>
      <c r="M230" s="17"/>
      <c r="N230" s="17"/>
      <c r="O230" s="17"/>
      <c r="P230" s="83" t="s">
        <v>105</v>
      </c>
      <c r="Q230" s="17" t="s">
        <v>106</v>
      </c>
      <c r="R230" s="83" t="s">
        <v>114</v>
      </c>
      <c r="S230" s="17" t="s">
        <v>106</v>
      </c>
      <c r="T230" s="8"/>
      <c r="U230" s="92"/>
      <c r="V230" s="5"/>
    </row>
    <row r="231" spans="1:23" ht="15.6" x14ac:dyDescent="0.3">
      <c r="A231" s="24"/>
      <c r="B231" s="54" t="s">
        <v>91</v>
      </c>
      <c r="C231" s="93"/>
      <c r="D231" s="93"/>
      <c r="E231" s="93"/>
      <c r="F231" s="25"/>
      <c r="G231" s="93"/>
      <c r="H231" s="93"/>
      <c r="I231" s="93"/>
      <c r="J231" s="93"/>
      <c r="K231" s="93"/>
      <c r="L231" s="93"/>
      <c r="M231" s="93"/>
      <c r="N231" s="93"/>
      <c r="O231" s="93"/>
      <c r="P231" s="54">
        <v>4295</v>
      </c>
      <c r="Q231" s="94">
        <f t="shared" ref="Q231:Q238" si="1">P231/$P$240</f>
        <v>0.97858282068808389</v>
      </c>
      <c r="R231" s="53">
        <v>570690</v>
      </c>
      <c r="S231" s="132">
        <f t="shared" ref="S231:S238" si="2">R231/$R$240</f>
        <v>0.97543674933041169</v>
      </c>
      <c r="T231" s="79"/>
      <c r="U231" s="88"/>
      <c r="V231" s="5"/>
    </row>
    <row r="232" spans="1:23" ht="15.6" x14ac:dyDescent="0.3">
      <c r="A232" s="24"/>
      <c r="B232" s="54" t="s">
        <v>92</v>
      </c>
      <c r="C232" s="93"/>
      <c r="D232" s="93"/>
      <c r="E232" s="93"/>
      <c r="F232" s="25"/>
      <c r="G232" s="94"/>
      <c r="H232" s="93"/>
      <c r="I232" s="93"/>
      <c r="J232" s="93"/>
      <c r="K232" s="93"/>
      <c r="L232" s="93"/>
      <c r="M232" s="93"/>
      <c r="N232" s="93"/>
      <c r="O232" s="93"/>
      <c r="P232" s="54">
        <v>71</v>
      </c>
      <c r="Q232" s="94">
        <f t="shared" si="1"/>
        <v>1.6176805650489862E-2</v>
      </c>
      <c r="R232" s="53">
        <v>11324</v>
      </c>
      <c r="S232" s="132">
        <f t="shared" si="2"/>
        <v>1.9355246717863608E-2</v>
      </c>
      <c r="T232" s="79"/>
      <c r="U232" s="88"/>
      <c r="V232" s="5"/>
      <c r="W232" s="109"/>
    </row>
    <row r="233" spans="1:23" ht="15.6" x14ac:dyDescent="0.3">
      <c r="A233" s="24"/>
      <c r="B233" s="54" t="s">
        <v>93</v>
      </c>
      <c r="C233" s="93"/>
      <c r="D233" s="93"/>
      <c r="E233" s="93"/>
      <c r="F233" s="25"/>
      <c r="G233" s="94"/>
      <c r="H233" s="93"/>
      <c r="I233" s="93"/>
      <c r="J233" s="93"/>
      <c r="K233" s="93"/>
      <c r="L233" s="93"/>
      <c r="M233" s="93"/>
      <c r="N233" s="93"/>
      <c r="O233" s="93"/>
      <c r="P233" s="54">
        <v>13</v>
      </c>
      <c r="Q233" s="94">
        <f t="shared" si="1"/>
        <v>2.9619503303713831E-3</v>
      </c>
      <c r="R233" s="53">
        <v>1531</v>
      </c>
      <c r="S233" s="132">
        <f t="shared" si="2"/>
        <v>2.6168211519824428E-3</v>
      </c>
      <c r="T233" s="79"/>
      <c r="U233" s="88"/>
      <c r="V233" s="5"/>
    </row>
    <row r="234" spans="1:23" ht="15.6" x14ac:dyDescent="0.3">
      <c r="A234" s="24"/>
      <c r="B234" s="54" t="s">
        <v>163</v>
      </c>
      <c r="C234" s="93"/>
      <c r="D234" s="93"/>
      <c r="E234" s="93"/>
      <c r="F234" s="25"/>
      <c r="G234" s="94"/>
      <c r="H234" s="93"/>
      <c r="I234" s="93"/>
      <c r="J234" s="93"/>
      <c r="K234" s="93"/>
      <c r="L234" s="93"/>
      <c r="M234" s="93"/>
      <c r="N234" s="93"/>
      <c r="O234" s="93"/>
      <c r="P234" s="54">
        <v>4</v>
      </c>
      <c r="Q234" s="94">
        <f t="shared" si="1"/>
        <v>9.1136933242196396E-4</v>
      </c>
      <c r="R234" s="53">
        <v>698</v>
      </c>
      <c r="S234" s="132">
        <f t="shared" si="2"/>
        <v>1.1930379909103495E-3</v>
      </c>
      <c r="T234" s="79"/>
      <c r="U234" s="88"/>
      <c r="V234" s="5"/>
      <c r="W234" s="109"/>
    </row>
    <row r="235" spans="1:23" ht="15.6" x14ac:dyDescent="0.3">
      <c r="A235" s="24"/>
      <c r="B235" s="54" t="s">
        <v>164</v>
      </c>
      <c r="C235" s="93"/>
      <c r="D235" s="93"/>
      <c r="E235" s="93"/>
      <c r="F235" s="25"/>
      <c r="G235" s="94"/>
      <c r="H235" s="93"/>
      <c r="I235" s="93"/>
      <c r="J235" s="93"/>
      <c r="K235" s="93"/>
      <c r="L235" s="93"/>
      <c r="M235" s="93"/>
      <c r="N235" s="93"/>
      <c r="O235" s="93"/>
      <c r="P235" s="54">
        <v>1</v>
      </c>
      <c r="Q235" s="94">
        <f t="shared" si="1"/>
        <v>2.2784233310549099E-4</v>
      </c>
      <c r="R235" s="53">
        <v>68</v>
      </c>
      <c r="S235" s="132">
        <f t="shared" si="2"/>
        <v>1.162271968222117E-4</v>
      </c>
      <c r="T235" s="79"/>
      <c r="U235" s="88"/>
      <c r="V235" s="5"/>
    </row>
    <row r="236" spans="1:23" ht="15.6" x14ac:dyDescent="0.3">
      <c r="A236" s="24"/>
      <c r="B236" s="54" t="s">
        <v>165</v>
      </c>
      <c r="C236" s="93"/>
      <c r="D236" s="93"/>
      <c r="E236" s="93"/>
      <c r="F236" s="25"/>
      <c r="G236" s="94"/>
      <c r="H236" s="93"/>
      <c r="I236" s="93"/>
      <c r="J236" s="93"/>
      <c r="K236" s="93"/>
      <c r="L236" s="93"/>
      <c r="M236" s="93"/>
      <c r="N236" s="93"/>
      <c r="O236" s="93"/>
      <c r="P236" s="54">
        <v>1</v>
      </c>
      <c r="Q236" s="94">
        <f t="shared" si="1"/>
        <v>2.2784233310549099E-4</v>
      </c>
      <c r="R236" s="53">
        <v>134</v>
      </c>
      <c r="S236" s="132">
        <f t="shared" si="2"/>
        <v>2.2903594667906423E-4</v>
      </c>
      <c r="T236" s="79"/>
      <c r="U236" s="88"/>
      <c r="V236" s="5"/>
      <c r="W236" s="109"/>
    </row>
    <row r="237" spans="1:23" ht="15.6" x14ac:dyDescent="0.3">
      <c r="A237" s="24"/>
      <c r="B237" s="54" t="s">
        <v>166</v>
      </c>
      <c r="C237" s="93"/>
      <c r="D237" s="93"/>
      <c r="E237" s="93"/>
      <c r="F237" s="25"/>
      <c r="G237" s="94"/>
      <c r="H237" s="93"/>
      <c r="I237" s="93"/>
      <c r="J237" s="93"/>
      <c r="K237" s="93"/>
      <c r="L237" s="93"/>
      <c r="M237" s="93"/>
      <c r="N237" s="93"/>
      <c r="O237" s="93"/>
      <c r="P237" s="54">
        <v>2</v>
      </c>
      <c r="Q237" s="94">
        <f t="shared" si="1"/>
        <v>4.5568466621098198E-4</v>
      </c>
      <c r="R237" s="53">
        <v>393</v>
      </c>
      <c r="S237" s="132">
        <f t="shared" si="2"/>
        <v>6.7172482869307646E-4</v>
      </c>
      <c r="T237" s="79"/>
      <c r="U237" s="88"/>
      <c r="V237" s="5"/>
    </row>
    <row r="238" spans="1:23" ht="15.6" x14ac:dyDescent="0.3">
      <c r="A238" s="24"/>
      <c r="B238" s="54" t="s">
        <v>167</v>
      </c>
      <c r="C238" s="93"/>
      <c r="D238" s="93"/>
      <c r="E238" s="93"/>
      <c r="F238" s="25"/>
      <c r="G238" s="94"/>
      <c r="H238" s="93"/>
      <c r="I238" s="93"/>
      <c r="J238" s="93"/>
      <c r="K238" s="93"/>
      <c r="L238" s="93"/>
      <c r="M238" s="93"/>
      <c r="N238" s="93"/>
      <c r="O238" s="93"/>
      <c r="P238" s="54">
        <v>2</v>
      </c>
      <c r="Q238" s="94">
        <f t="shared" si="1"/>
        <v>4.5568466621098198E-4</v>
      </c>
      <c r="R238" s="53">
        <v>223</v>
      </c>
      <c r="S238" s="132">
        <f t="shared" si="2"/>
        <v>3.8115683663754717E-4</v>
      </c>
      <c r="T238" s="79"/>
      <c r="U238" s="88"/>
      <c r="V238" s="5"/>
      <c r="W238" s="109"/>
    </row>
    <row r="239" spans="1:23" ht="15.6" x14ac:dyDescent="0.3">
      <c r="A239" s="24"/>
      <c r="B239" s="54"/>
      <c r="C239" s="93"/>
      <c r="D239" s="93"/>
      <c r="E239" s="93"/>
      <c r="F239" s="25"/>
      <c r="G239" s="94"/>
      <c r="H239" s="93"/>
      <c r="I239" s="93"/>
      <c r="J239" s="93"/>
      <c r="K239" s="93"/>
      <c r="L239" s="93"/>
      <c r="M239" s="93"/>
      <c r="N239" s="93"/>
      <c r="O239" s="93"/>
      <c r="P239" s="54"/>
      <c r="Q239" s="94"/>
      <c r="R239" s="53"/>
      <c r="S239" s="132"/>
      <c r="T239" s="79"/>
      <c r="U239" s="88"/>
      <c r="V239" s="5"/>
    </row>
    <row r="240" spans="1:23" ht="15.6" x14ac:dyDescent="0.3">
      <c r="A240" s="24"/>
      <c r="B240" s="25" t="s">
        <v>120</v>
      </c>
      <c r="C240" s="25"/>
      <c r="D240" s="25"/>
      <c r="E240" s="25"/>
      <c r="F240" s="25"/>
      <c r="G240" s="25"/>
      <c r="H240" s="95"/>
      <c r="I240" s="95"/>
      <c r="J240" s="95"/>
      <c r="K240" s="95"/>
      <c r="L240" s="95"/>
      <c r="M240" s="95"/>
      <c r="N240" s="95"/>
      <c r="O240" s="95"/>
      <c r="P240" s="34">
        <f>SUM(P231:P239)</f>
        <v>4389</v>
      </c>
      <c r="Q240" s="132">
        <f>SUM(Q231:Q239)</f>
        <v>0.99999999999999989</v>
      </c>
      <c r="R240" s="53">
        <f>SUM(R231:R239)</f>
        <v>585061</v>
      </c>
      <c r="S240" s="132">
        <f>SUM(S231:S239)</f>
        <v>1</v>
      </c>
      <c r="T240" s="25"/>
      <c r="U240" s="25"/>
      <c r="V240" s="5"/>
    </row>
    <row r="241" spans="1:22" ht="15.6" x14ac:dyDescent="0.3">
      <c r="A241" s="24"/>
      <c r="B241" s="25"/>
      <c r="C241" s="25"/>
      <c r="D241" s="25"/>
      <c r="E241" s="25"/>
      <c r="F241" s="25"/>
      <c r="G241" s="25"/>
      <c r="H241" s="95"/>
      <c r="I241" s="95"/>
      <c r="J241" s="95"/>
      <c r="K241" s="95"/>
      <c r="L241" s="95"/>
      <c r="M241" s="95"/>
      <c r="N241" s="95"/>
      <c r="O241" s="95"/>
      <c r="P241" s="34"/>
      <c r="Q241" s="132"/>
      <c r="R241" s="53"/>
      <c r="S241" s="132"/>
      <c r="T241" s="25"/>
      <c r="U241" s="25"/>
      <c r="V241" s="5"/>
    </row>
    <row r="242" spans="1:22" ht="15.6" x14ac:dyDescent="0.3">
      <c r="A242" s="141"/>
      <c r="B242" s="14" t="s">
        <v>267</v>
      </c>
      <c r="C242" s="81"/>
      <c r="D242" s="81"/>
      <c r="E242" s="81"/>
      <c r="F242" s="82"/>
      <c r="G242" s="81"/>
      <c r="H242" s="17"/>
      <c r="I242" s="17"/>
      <c r="J242" s="17"/>
      <c r="K242" s="17"/>
      <c r="L242" s="17"/>
      <c r="M242" s="17"/>
      <c r="N242" s="17"/>
      <c r="O242" s="17"/>
      <c r="P242" s="83" t="s">
        <v>105</v>
      </c>
      <c r="Q242" s="17" t="s">
        <v>106</v>
      </c>
      <c r="R242" s="83" t="s">
        <v>114</v>
      </c>
      <c r="S242" s="17" t="s">
        <v>106</v>
      </c>
      <c r="T242" s="139"/>
      <c r="U242" s="140"/>
      <c r="V242" s="5"/>
    </row>
    <row r="243" spans="1:22" ht="15.6" x14ac:dyDescent="0.3">
      <c r="A243" s="24"/>
      <c r="B243" s="54" t="s">
        <v>91</v>
      </c>
      <c r="C243" s="93"/>
      <c r="D243" s="93"/>
      <c r="E243" s="93"/>
      <c r="F243" s="25"/>
      <c r="G243" s="93"/>
      <c r="H243" s="93"/>
      <c r="I243" s="93"/>
      <c r="J243" s="93"/>
      <c r="K243" s="93"/>
      <c r="L243" s="93"/>
      <c r="M243" s="93"/>
      <c r="N243" s="93"/>
      <c r="O243" s="93"/>
      <c r="P243" s="54">
        <v>36</v>
      </c>
      <c r="Q243" s="94">
        <f t="shared" ref="Q243:Q250" si="3">P243/$P$252</f>
        <v>0.20224719101123595</v>
      </c>
      <c r="R243" s="53">
        <v>4532</v>
      </c>
      <c r="S243" s="132">
        <f t="shared" ref="S243:S250" si="4">R243/$R$252</f>
        <v>0.18266091652895894</v>
      </c>
      <c r="T243" s="25"/>
      <c r="U243" s="25"/>
      <c r="V243" s="5"/>
    </row>
    <row r="244" spans="1:22" ht="15.6" x14ac:dyDescent="0.3">
      <c r="A244" s="24"/>
      <c r="B244" s="54" t="s">
        <v>92</v>
      </c>
      <c r="C244" s="93"/>
      <c r="D244" s="93"/>
      <c r="E244" s="93"/>
      <c r="F244" s="25"/>
      <c r="G244" s="94"/>
      <c r="H244" s="93"/>
      <c r="I244" s="93"/>
      <c r="J244" s="93"/>
      <c r="K244" s="93"/>
      <c r="L244" s="93"/>
      <c r="M244" s="93"/>
      <c r="N244" s="93"/>
      <c r="O244" s="93"/>
      <c r="P244" s="54">
        <v>60</v>
      </c>
      <c r="Q244" s="94">
        <f t="shared" si="3"/>
        <v>0.33707865168539325</v>
      </c>
      <c r="R244" s="53">
        <v>8708</v>
      </c>
      <c r="S244" s="132">
        <f t="shared" si="4"/>
        <v>0.35097335859094758</v>
      </c>
      <c r="T244" s="25"/>
      <c r="U244" s="25"/>
      <c r="V244" s="5"/>
    </row>
    <row r="245" spans="1:22" ht="15.6" x14ac:dyDescent="0.3">
      <c r="A245" s="24"/>
      <c r="B245" s="54" t="s">
        <v>93</v>
      </c>
      <c r="C245" s="93"/>
      <c r="D245" s="93"/>
      <c r="E245" s="93"/>
      <c r="F245" s="25"/>
      <c r="G245" s="94"/>
      <c r="H245" s="93"/>
      <c r="I245" s="93"/>
      <c r="J245" s="93"/>
      <c r="K245" s="93"/>
      <c r="L245" s="93"/>
      <c r="M245" s="93"/>
      <c r="N245" s="93"/>
      <c r="O245" s="93"/>
      <c r="P245" s="54">
        <v>22</v>
      </c>
      <c r="Q245" s="94">
        <f t="shared" si="3"/>
        <v>0.12359550561797752</v>
      </c>
      <c r="R245" s="53">
        <v>2967</v>
      </c>
      <c r="S245" s="132">
        <f t="shared" si="4"/>
        <v>0.1195840554592721</v>
      </c>
      <c r="T245" s="25"/>
      <c r="U245" s="25"/>
      <c r="V245" s="5"/>
    </row>
    <row r="246" spans="1:22" ht="15.6" x14ac:dyDescent="0.3">
      <c r="A246" s="24"/>
      <c r="B246" s="54" t="s">
        <v>163</v>
      </c>
      <c r="C246" s="93"/>
      <c r="D246" s="93"/>
      <c r="E246" s="93"/>
      <c r="F246" s="25"/>
      <c r="G246" s="94"/>
      <c r="H246" s="93"/>
      <c r="I246" s="93"/>
      <c r="J246" s="93"/>
      <c r="K246" s="93"/>
      <c r="L246" s="93"/>
      <c r="M246" s="93"/>
      <c r="N246" s="93"/>
      <c r="O246" s="93"/>
      <c r="P246" s="54">
        <v>3</v>
      </c>
      <c r="Q246" s="94">
        <f t="shared" si="3"/>
        <v>1.6853932584269662E-2</v>
      </c>
      <c r="R246" s="53">
        <v>436</v>
      </c>
      <c r="S246" s="132">
        <f t="shared" si="4"/>
        <v>1.7572850751682721E-2</v>
      </c>
      <c r="T246" s="25"/>
      <c r="U246" s="25"/>
      <c r="V246" s="5"/>
    </row>
    <row r="247" spans="1:22" ht="15.6" x14ac:dyDescent="0.3">
      <c r="A247" s="24"/>
      <c r="B247" s="54" t="s">
        <v>164</v>
      </c>
      <c r="C247" s="93"/>
      <c r="D247" s="93"/>
      <c r="E247" s="93"/>
      <c r="F247" s="25"/>
      <c r="G247" s="94"/>
      <c r="H247" s="93"/>
      <c r="I247" s="93"/>
      <c r="J247" s="93"/>
      <c r="K247" s="93"/>
      <c r="L247" s="93"/>
      <c r="M247" s="93"/>
      <c r="N247" s="93"/>
      <c r="O247" s="93"/>
      <c r="P247" s="54">
        <v>4</v>
      </c>
      <c r="Q247" s="94">
        <f t="shared" si="3"/>
        <v>2.247191011235955E-2</v>
      </c>
      <c r="R247" s="53">
        <v>554</v>
      </c>
      <c r="S247" s="132">
        <f t="shared" si="4"/>
        <v>2.2328805771633549E-2</v>
      </c>
      <c r="T247" s="25"/>
      <c r="U247" s="25"/>
      <c r="V247" s="5"/>
    </row>
    <row r="248" spans="1:22" ht="15.6" x14ac:dyDescent="0.3">
      <c r="A248" s="24"/>
      <c r="B248" s="54" t="s">
        <v>165</v>
      </c>
      <c r="C248" s="93"/>
      <c r="D248" s="93"/>
      <c r="E248" s="93"/>
      <c r="F248" s="25"/>
      <c r="G248" s="94"/>
      <c r="H248" s="93"/>
      <c r="I248" s="93"/>
      <c r="J248" s="93"/>
      <c r="K248" s="93"/>
      <c r="L248" s="93"/>
      <c r="M248" s="93"/>
      <c r="N248" s="93"/>
      <c r="O248" s="93"/>
      <c r="P248" s="54">
        <v>4</v>
      </c>
      <c r="Q248" s="94">
        <f t="shared" si="3"/>
        <v>2.247191011235955E-2</v>
      </c>
      <c r="R248" s="53">
        <v>1520</v>
      </c>
      <c r="S248" s="132">
        <f t="shared" si="4"/>
        <v>6.1263149409536095E-2</v>
      </c>
      <c r="T248" s="25"/>
      <c r="U248" s="25"/>
      <c r="V248" s="5"/>
    </row>
    <row r="249" spans="1:22" ht="15.6" x14ac:dyDescent="0.3">
      <c r="A249" s="24"/>
      <c r="B249" s="54" t="s">
        <v>166</v>
      </c>
      <c r="C249" s="93"/>
      <c r="D249" s="93"/>
      <c r="E249" s="93"/>
      <c r="F249" s="25"/>
      <c r="G249" s="94"/>
      <c r="H249" s="93"/>
      <c r="I249" s="93"/>
      <c r="J249" s="93"/>
      <c r="K249" s="93"/>
      <c r="L249" s="93"/>
      <c r="M249" s="93"/>
      <c r="N249" s="93"/>
      <c r="O249" s="93"/>
      <c r="P249" s="54">
        <v>17</v>
      </c>
      <c r="Q249" s="94">
        <f t="shared" si="3"/>
        <v>9.5505617977528087E-2</v>
      </c>
      <c r="R249" s="53">
        <v>2298</v>
      </c>
      <c r="S249" s="132">
        <f t="shared" si="4"/>
        <v>9.2620208778364438E-2</v>
      </c>
      <c r="T249" s="25"/>
      <c r="U249" s="25"/>
      <c r="V249" s="5"/>
    </row>
    <row r="250" spans="1:22" ht="15.6" x14ac:dyDescent="0.3">
      <c r="A250" s="24"/>
      <c r="B250" s="54" t="s">
        <v>167</v>
      </c>
      <c r="C250" s="93"/>
      <c r="D250" s="93"/>
      <c r="E250" s="93"/>
      <c r="F250" s="25"/>
      <c r="G250" s="94"/>
      <c r="H250" s="93"/>
      <c r="I250" s="93"/>
      <c r="J250" s="93"/>
      <c r="K250" s="93"/>
      <c r="L250" s="93"/>
      <c r="M250" s="93"/>
      <c r="N250" s="93"/>
      <c r="O250" s="93"/>
      <c r="P250" s="54">
        <v>32</v>
      </c>
      <c r="Q250" s="94">
        <f t="shared" si="3"/>
        <v>0.1797752808988764</v>
      </c>
      <c r="R250" s="53">
        <v>3796</v>
      </c>
      <c r="S250" s="132">
        <f t="shared" si="4"/>
        <v>0.15299665470960461</v>
      </c>
      <c r="T250" s="25"/>
      <c r="U250" s="25"/>
      <c r="V250" s="5"/>
    </row>
    <row r="251" spans="1:22" ht="15.6" x14ac:dyDescent="0.3">
      <c r="A251" s="24"/>
      <c r="B251" s="54"/>
      <c r="C251" s="93"/>
      <c r="D251" s="93"/>
      <c r="E251" s="93"/>
      <c r="F251" s="25"/>
      <c r="G251" s="94"/>
      <c r="H251" s="93"/>
      <c r="I251" s="93"/>
      <c r="J251" s="93"/>
      <c r="K251" s="93"/>
      <c r="L251" s="93"/>
      <c r="M251" s="93"/>
      <c r="N251" s="93"/>
      <c r="O251" s="93"/>
      <c r="P251" s="54"/>
      <c r="Q251" s="94"/>
      <c r="R251" s="53"/>
      <c r="S251" s="132"/>
      <c r="T251" s="25"/>
      <c r="U251" s="25"/>
      <c r="V251" s="5"/>
    </row>
    <row r="252" spans="1:22" ht="15.6" x14ac:dyDescent="0.3">
      <c r="A252" s="24"/>
      <c r="B252" s="25" t="s">
        <v>120</v>
      </c>
      <c r="C252" s="25"/>
      <c r="D252" s="25"/>
      <c r="E252" s="25"/>
      <c r="F252" s="25"/>
      <c r="G252" s="25"/>
      <c r="H252" s="95"/>
      <c r="I252" s="95"/>
      <c r="J252" s="95"/>
      <c r="K252" s="95"/>
      <c r="L252" s="95"/>
      <c r="M252" s="95"/>
      <c r="N252" s="95"/>
      <c r="O252" s="95"/>
      <c r="P252" s="34">
        <f>SUM(P243:P251)</f>
        <v>178</v>
      </c>
      <c r="Q252" s="132">
        <f>SUM(Q243:Q251)</f>
        <v>1</v>
      </c>
      <c r="R252" s="53">
        <f>SUM(R243:R251)</f>
        <v>24811</v>
      </c>
      <c r="S252" s="132">
        <f>SUM(S243:S251)</f>
        <v>1</v>
      </c>
      <c r="T252" s="25"/>
      <c r="U252" s="25"/>
      <c r="V252" s="5"/>
    </row>
    <row r="253" spans="1:22" ht="15.6" x14ac:dyDescent="0.3">
      <c r="A253" s="24"/>
      <c r="B253" s="25"/>
      <c r="C253" s="25"/>
      <c r="D253" s="25"/>
      <c r="E253" s="25"/>
      <c r="F253" s="25"/>
      <c r="G253" s="25"/>
      <c r="H253" s="95"/>
      <c r="I253" s="95"/>
      <c r="J253" s="95"/>
      <c r="K253" s="95"/>
      <c r="L253" s="95"/>
      <c r="M253" s="95"/>
      <c r="N253" s="95"/>
      <c r="O253" s="95"/>
      <c r="P253" s="34"/>
      <c r="Q253" s="132"/>
      <c r="R253" s="53"/>
      <c r="S253" s="132"/>
      <c r="T253" s="25"/>
      <c r="U253" s="25"/>
      <c r="V253" s="5"/>
    </row>
    <row r="254" spans="1:22" ht="15.6" x14ac:dyDescent="0.3">
      <c r="A254" s="141"/>
      <c r="B254" s="14" t="s">
        <v>170</v>
      </c>
      <c r="C254" s="139"/>
      <c r="D254" s="139"/>
      <c r="E254" s="139"/>
      <c r="F254" s="139"/>
      <c r="G254" s="139"/>
      <c r="H254" s="145"/>
      <c r="I254" s="145"/>
      <c r="J254" s="145"/>
      <c r="K254" s="145"/>
      <c r="L254" s="145"/>
      <c r="M254" s="145"/>
      <c r="N254" s="145"/>
      <c r="O254" s="145"/>
      <c r="P254" s="83" t="s">
        <v>105</v>
      </c>
      <c r="Q254" s="17" t="s">
        <v>106</v>
      </c>
      <c r="R254" s="83" t="s">
        <v>114</v>
      </c>
      <c r="S254" s="17" t="s">
        <v>106</v>
      </c>
      <c r="T254" s="139"/>
      <c r="U254" s="140"/>
      <c r="V254" s="5"/>
    </row>
    <row r="255" spans="1:22" ht="15.6" x14ac:dyDescent="0.3">
      <c r="A255" s="24"/>
      <c r="B255" s="54" t="s">
        <v>91</v>
      </c>
      <c r="C255" s="25"/>
      <c r="D255" s="25"/>
      <c r="E255" s="25"/>
      <c r="F255" s="25"/>
      <c r="G255" s="25"/>
      <c r="H255" s="95"/>
      <c r="I255" s="95"/>
      <c r="J255" s="95"/>
      <c r="K255" s="95"/>
      <c r="L255" s="95"/>
      <c r="M255" s="95"/>
      <c r="N255" s="95"/>
      <c r="O255" s="95"/>
      <c r="P255" s="54">
        <v>0</v>
      </c>
      <c r="Q255" s="94">
        <v>0</v>
      </c>
      <c r="R255" s="53">
        <v>0</v>
      </c>
      <c r="S255" s="132">
        <v>0</v>
      </c>
      <c r="T255" s="25"/>
      <c r="U255" s="25"/>
      <c r="V255" s="5"/>
    </row>
    <row r="256" spans="1:22" ht="15.6" x14ac:dyDescent="0.3">
      <c r="A256" s="24"/>
      <c r="B256" s="54" t="s">
        <v>92</v>
      </c>
      <c r="C256" s="25"/>
      <c r="D256" s="25"/>
      <c r="E256" s="25"/>
      <c r="F256" s="25"/>
      <c r="G256" s="25"/>
      <c r="H256" s="95"/>
      <c r="I256" s="95"/>
      <c r="J256" s="95"/>
      <c r="K256" s="95"/>
      <c r="L256" s="95"/>
      <c r="M256" s="95"/>
      <c r="N256" s="95"/>
      <c r="O256" s="95"/>
      <c r="P256" s="54">
        <v>0</v>
      </c>
      <c r="Q256" s="94">
        <v>0</v>
      </c>
      <c r="R256" s="53">
        <v>0</v>
      </c>
      <c r="S256" s="132">
        <v>0</v>
      </c>
      <c r="T256" s="25"/>
      <c r="U256" s="25"/>
      <c r="V256" s="5"/>
    </row>
    <row r="257" spans="1:22" ht="15.6" x14ac:dyDescent="0.3">
      <c r="A257" s="24"/>
      <c r="B257" s="54" t="s">
        <v>93</v>
      </c>
      <c r="C257" s="25"/>
      <c r="D257" s="25"/>
      <c r="E257" s="25"/>
      <c r="F257" s="25"/>
      <c r="G257" s="25"/>
      <c r="H257" s="95"/>
      <c r="I257" s="95"/>
      <c r="J257" s="95"/>
      <c r="K257" s="95"/>
      <c r="L257" s="95"/>
      <c r="M257" s="95"/>
      <c r="N257" s="95"/>
      <c r="O257" s="95"/>
      <c r="P257" s="54">
        <v>0</v>
      </c>
      <c r="Q257" s="94">
        <v>0</v>
      </c>
      <c r="R257" s="53">
        <v>0</v>
      </c>
      <c r="S257" s="132">
        <v>0</v>
      </c>
      <c r="T257" s="25"/>
      <c r="U257" s="25"/>
      <c r="V257" s="5"/>
    </row>
    <row r="258" spans="1:22" ht="15.6" x14ac:dyDescent="0.3">
      <c r="A258" s="24"/>
      <c r="B258" s="54" t="s">
        <v>163</v>
      </c>
      <c r="C258" s="25"/>
      <c r="D258" s="25"/>
      <c r="E258" s="25"/>
      <c r="F258" s="25"/>
      <c r="G258" s="25"/>
      <c r="H258" s="95"/>
      <c r="I258" s="95"/>
      <c r="J258" s="95"/>
      <c r="K258" s="95"/>
      <c r="L258" s="95"/>
      <c r="M258" s="95"/>
      <c r="N258" s="95"/>
      <c r="O258" s="95"/>
      <c r="P258" s="54">
        <v>0</v>
      </c>
      <c r="Q258" s="94">
        <v>0</v>
      </c>
      <c r="R258" s="53">
        <v>0</v>
      </c>
      <c r="S258" s="132">
        <v>0</v>
      </c>
      <c r="T258" s="25"/>
      <c r="U258" s="25"/>
      <c r="V258" s="5"/>
    </row>
    <row r="259" spans="1:22" ht="15.6" x14ac:dyDescent="0.3">
      <c r="A259" s="24"/>
      <c r="B259" s="54" t="s">
        <v>164</v>
      </c>
      <c r="C259" s="25"/>
      <c r="D259" s="25"/>
      <c r="E259" s="25"/>
      <c r="F259" s="25"/>
      <c r="G259" s="25"/>
      <c r="H259" s="95"/>
      <c r="I259" s="95"/>
      <c r="J259" s="95"/>
      <c r="K259" s="95"/>
      <c r="L259" s="95"/>
      <c r="M259" s="95"/>
      <c r="N259" s="95"/>
      <c r="O259" s="95"/>
      <c r="P259" s="54">
        <v>0</v>
      </c>
      <c r="Q259" s="94">
        <v>0</v>
      </c>
      <c r="R259" s="53">
        <v>0</v>
      </c>
      <c r="S259" s="132">
        <v>0</v>
      </c>
      <c r="T259" s="25"/>
      <c r="U259" s="25"/>
      <c r="V259" s="5"/>
    </row>
    <row r="260" spans="1:22" ht="15.6" x14ac:dyDescent="0.3">
      <c r="A260" s="24"/>
      <c r="B260" s="54" t="s">
        <v>165</v>
      </c>
      <c r="C260" s="25"/>
      <c r="D260" s="25"/>
      <c r="E260" s="25"/>
      <c r="F260" s="25"/>
      <c r="G260" s="25"/>
      <c r="H260" s="95"/>
      <c r="I260" s="95"/>
      <c r="J260" s="95"/>
      <c r="K260" s="95"/>
      <c r="L260" s="95"/>
      <c r="M260" s="95"/>
      <c r="N260" s="95"/>
      <c r="O260" s="95"/>
      <c r="P260" s="54">
        <v>0</v>
      </c>
      <c r="Q260" s="94">
        <v>0</v>
      </c>
      <c r="R260" s="53">
        <v>0</v>
      </c>
      <c r="S260" s="132">
        <v>0</v>
      </c>
      <c r="T260" s="25"/>
      <c r="U260" s="25"/>
      <c r="V260" s="5"/>
    </row>
    <row r="261" spans="1:22" ht="15.6" x14ac:dyDescent="0.3">
      <c r="A261" s="24"/>
      <c r="B261" s="54" t="s">
        <v>166</v>
      </c>
      <c r="C261" s="25"/>
      <c r="D261" s="25"/>
      <c r="E261" s="25"/>
      <c r="F261" s="25"/>
      <c r="G261" s="25"/>
      <c r="H261" s="95"/>
      <c r="I261" s="95"/>
      <c r="J261" s="95"/>
      <c r="K261" s="95"/>
      <c r="L261" s="95"/>
      <c r="M261" s="95"/>
      <c r="N261" s="95"/>
      <c r="O261" s="95"/>
      <c r="P261" s="54">
        <v>0</v>
      </c>
      <c r="Q261" s="94">
        <v>0</v>
      </c>
      <c r="R261" s="53">
        <v>0</v>
      </c>
      <c r="S261" s="132">
        <v>0</v>
      </c>
      <c r="T261" s="25"/>
      <c r="U261" s="25"/>
      <c r="V261" s="5"/>
    </row>
    <row r="262" spans="1:22" ht="15.6" x14ac:dyDescent="0.3">
      <c r="A262" s="24"/>
      <c r="B262" s="54" t="s">
        <v>167</v>
      </c>
      <c r="C262" s="25"/>
      <c r="D262" s="25"/>
      <c r="E262" s="25"/>
      <c r="F262" s="25"/>
      <c r="G262" s="25"/>
      <c r="H262" s="95"/>
      <c r="I262" s="95"/>
      <c r="J262" s="95"/>
      <c r="K262" s="95"/>
      <c r="L262" s="95"/>
      <c r="M262" s="95"/>
      <c r="N262" s="95"/>
      <c r="O262" s="95"/>
      <c r="P262" s="54">
        <v>0</v>
      </c>
      <c r="Q262" s="94">
        <v>0</v>
      </c>
      <c r="R262" s="53">
        <v>0</v>
      </c>
      <c r="S262" s="132">
        <v>0</v>
      </c>
      <c r="T262" s="25"/>
      <c r="U262" s="25"/>
      <c r="V262" s="5"/>
    </row>
    <row r="263" spans="1:22" ht="15.6" x14ac:dyDescent="0.3">
      <c r="A263" s="24"/>
      <c r="B263" s="54"/>
      <c r="C263" s="25"/>
      <c r="D263" s="25"/>
      <c r="E263" s="25"/>
      <c r="F263" s="25"/>
      <c r="G263" s="25"/>
      <c r="H263" s="95"/>
      <c r="I263" s="95"/>
      <c r="J263" s="95"/>
      <c r="K263" s="95"/>
      <c r="L263" s="95"/>
      <c r="M263" s="95"/>
      <c r="N263" s="95"/>
      <c r="O263" s="95"/>
      <c r="P263" s="54"/>
      <c r="Q263" s="94"/>
      <c r="R263" s="53"/>
      <c r="S263" s="132"/>
      <c r="T263" s="25"/>
      <c r="U263" s="25"/>
      <c r="V263" s="5"/>
    </row>
    <row r="264" spans="1:22" ht="15.6" x14ac:dyDescent="0.3">
      <c r="A264" s="24"/>
      <c r="B264" s="25" t="s">
        <v>120</v>
      </c>
      <c r="C264" s="25"/>
      <c r="D264" s="25"/>
      <c r="E264" s="25"/>
      <c r="F264" s="25"/>
      <c r="G264" s="25"/>
      <c r="H264" s="95"/>
      <c r="I264" s="95"/>
      <c r="J264" s="95"/>
      <c r="K264" s="95"/>
      <c r="L264" s="95"/>
      <c r="M264" s="95"/>
      <c r="N264" s="95"/>
      <c r="O264" s="95"/>
      <c r="P264" s="34">
        <f>SUM(P255:P262)</f>
        <v>0</v>
      </c>
      <c r="Q264" s="132">
        <f>SUM(Q255:Q263)</f>
        <v>0</v>
      </c>
      <c r="R264" s="53">
        <f>SUM(R255:R262)</f>
        <v>0</v>
      </c>
      <c r="S264" s="132">
        <f>SUM(S255:S263)</f>
        <v>0</v>
      </c>
      <c r="T264" s="25"/>
      <c r="U264" s="25"/>
      <c r="V264" s="5"/>
    </row>
    <row r="265" spans="1:22" ht="15.6" x14ac:dyDescent="0.3">
      <c r="A265" s="24"/>
      <c r="B265" s="25"/>
      <c r="C265" s="25"/>
      <c r="D265" s="25"/>
      <c r="E265" s="25"/>
      <c r="F265" s="25"/>
      <c r="G265" s="25"/>
      <c r="H265" s="95"/>
      <c r="I265" s="95"/>
      <c r="J265" s="95"/>
      <c r="K265" s="95"/>
      <c r="L265" s="95"/>
      <c r="M265" s="95"/>
      <c r="N265" s="95"/>
      <c r="O265" s="95"/>
      <c r="P265" s="34"/>
      <c r="Q265" s="132"/>
      <c r="R265" s="53"/>
      <c r="S265" s="132"/>
      <c r="T265" s="25"/>
      <c r="U265" s="25"/>
      <c r="V265" s="5"/>
    </row>
    <row r="266" spans="1:22" ht="15.6" x14ac:dyDescent="0.3">
      <c r="A266" s="24"/>
      <c r="B266" s="142" t="s">
        <v>171</v>
      </c>
      <c r="C266" s="25"/>
      <c r="D266" s="25"/>
      <c r="E266" s="25"/>
      <c r="F266" s="25"/>
      <c r="G266" s="25"/>
      <c r="H266" s="95"/>
      <c r="I266" s="95"/>
      <c r="J266" s="95"/>
      <c r="K266" s="95"/>
      <c r="L266" s="95"/>
      <c r="M266" s="95"/>
      <c r="N266" s="95"/>
      <c r="O266" s="95"/>
      <c r="P266" s="161">
        <f>P264+P252+P240</f>
        <v>4567</v>
      </c>
      <c r="Q266" s="143"/>
      <c r="R266" s="144">
        <f>+R264+R252+R240</f>
        <v>609872</v>
      </c>
      <c r="S266" s="143"/>
      <c r="T266" s="25"/>
      <c r="U266" s="25"/>
      <c r="V266" s="5"/>
    </row>
    <row r="267" spans="1:22" ht="15.6" x14ac:dyDescent="0.3">
      <c r="A267" s="24"/>
      <c r="B267" s="25"/>
      <c r="C267" s="25"/>
      <c r="D267" s="25"/>
      <c r="E267" s="25"/>
      <c r="F267" s="25"/>
      <c r="G267" s="25"/>
      <c r="H267" s="95"/>
      <c r="I267" s="95"/>
      <c r="J267" s="95"/>
      <c r="K267" s="95"/>
      <c r="L267" s="95"/>
      <c r="M267" s="95"/>
      <c r="N267" s="95"/>
      <c r="O267" s="95"/>
      <c r="P267" s="95"/>
      <c r="Q267" s="95"/>
      <c r="R267" s="53"/>
      <c r="S267" s="95"/>
      <c r="T267" s="25"/>
      <c r="U267" s="25"/>
      <c r="V267" s="5"/>
    </row>
    <row r="268" spans="1:22" ht="15.6" x14ac:dyDescent="0.3">
      <c r="A268" s="6"/>
      <c r="B268" s="8"/>
      <c r="C268" s="8"/>
      <c r="D268" s="8"/>
      <c r="E268" s="8"/>
      <c r="F268" s="8"/>
      <c r="G268" s="8"/>
      <c r="H268" s="96"/>
      <c r="I268" s="96"/>
      <c r="J268" s="96"/>
      <c r="K268" s="96"/>
      <c r="L268" s="96"/>
      <c r="M268" s="96"/>
      <c r="N268" s="96"/>
      <c r="O268" s="96"/>
      <c r="P268" s="96"/>
      <c r="Q268" s="96"/>
      <c r="R268" s="97"/>
      <c r="S268" s="96"/>
      <c r="T268" s="8"/>
      <c r="U268" s="8"/>
      <c r="V268" s="5"/>
    </row>
    <row r="269" spans="1:22" ht="15.6" x14ac:dyDescent="0.3">
      <c r="A269" s="167"/>
      <c r="B269" s="14" t="s">
        <v>94</v>
      </c>
      <c r="C269" s="15"/>
      <c r="D269" s="15"/>
      <c r="E269" s="15"/>
      <c r="F269" s="17" t="s">
        <v>100</v>
      </c>
      <c r="G269" s="15"/>
      <c r="H269" s="14" t="s">
        <v>102</v>
      </c>
      <c r="I269" s="162"/>
      <c r="J269" s="162"/>
      <c r="K269" s="162"/>
      <c r="L269" s="162"/>
      <c r="M269" s="162"/>
      <c r="N269" s="162"/>
      <c r="O269" s="162"/>
      <c r="P269" s="162"/>
      <c r="Q269" s="162"/>
      <c r="R269" s="162"/>
      <c r="S269" s="162"/>
      <c r="T269" s="162"/>
      <c r="U269" s="162"/>
      <c r="V269" s="5"/>
    </row>
    <row r="270" spans="1:22" ht="15.6" x14ac:dyDescent="0.3">
      <c r="A270" s="167"/>
      <c r="B270" s="13" t="s">
        <v>95</v>
      </c>
      <c r="C270" s="13"/>
      <c r="D270" s="13"/>
      <c r="E270" s="13"/>
      <c r="F270" s="130" t="s">
        <v>154</v>
      </c>
      <c r="G270" s="13"/>
      <c r="H270" s="13" t="s">
        <v>158</v>
      </c>
      <c r="I270" s="162"/>
      <c r="J270" s="162"/>
      <c r="K270" s="162"/>
      <c r="L270" s="162"/>
      <c r="M270" s="162"/>
      <c r="N270" s="162"/>
      <c r="O270" s="162"/>
      <c r="P270" s="162"/>
      <c r="Q270" s="162"/>
      <c r="R270" s="162"/>
      <c r="S270" s="162"/>
      <c r="T270" s="162"/>
      <c r="U270" s="162"/>
      <c r="V270" s="5"/>
    </row>
    <row r="271" spans="1:22" ht="15.6" x14ac:dyDescent="0.3">
      <c r="A271" s="167"/>
      <c r="B271" s="13" t="s">
        <v>268</v>
      </c>
      <c r="C271" s="13"/>
      <c r="D271" s="13"/>
      <c r="E271" s="13"/>
      <c r="F271" s="130" t="s">
        <v>269</v>
      </c>
      <c r="G271" s="13"/>
      <c r="H271" s="13" t="s">
        <v>270</v>
      </c>
      <c r="I271" s="162"/>
      <c r="J271" s="162"/>
      <c r="K271" s="162"/>
      <c r="L271" s="162"/>
      <c r="M271" s="162"/>
      <c r="N271" s="162"/>
      <c r="O271" s="162"/>
      <c r="P271" s="162"/>
      <c r="Q271" s="162"/>
      <c r="R271" s="162"/>
      <c r="S271" s="162"/>
      <c r="T271" s="162"/>
      <c r="U271" s="162"/>
      <c r="V271" s="5"/>
    </row>
    <row r="272" spans="1:22" ht="15.6" x14ac:dyDescent="0.3">
      <c r="A272" s="167"/>
      <c r="B272" s="13" t="s">
        <v>96</v>
      </c>
      <c r="C272" s="13"/>
      <c r="D272" s="13"/>
      <c r="E272" s="13"/>
      <c r="F272" s="130" t="s">
        <v>153</v>
      </c>
      <c r="G272" s="13"/>
      <c r="H272" s="13" t="s">
        <v>159</v>
      </c>
      <c r="I272" s="162"/>
      <c r="J272" s="162"/>
      <c r="K272" s="162"/>
      <c r="L272" s="162"/>
      <c r="M272" s="162"/>
      <c r="N272" s="162"/>
      <c r="O272" s="162"/>
      <c r="P272" s="162"/>
      <c r="Q272" s="162"/>
      <c r="R272" s="162"/>
      <c r="S272" s="162"/>
      <c r="T272" s="162"/>
      <c r="U272" s="162"/>
      <c r="V272" s="5"/>
    </row>
    <row r="273" spans="1:22" ht="15.6" x14ac:dyDescent="0.3">
      <c r="A273" s="167"/>
      <c r="B273" s="13"/>
      <c r="C273" s="13"/>
      <c r="D273" s="13"/>
      <c r="E273" s="13"/>
      <c r="F273" s="13"/>
      <c r="G273" s="99"/>
      <c r="H273" s="162"/>
      <c r="I273" s="162"/>
      <c r="J273" s="162"/>
      <c r="K273" s="162"/>
      <c r="L273" s="162"/>
      <c r="M273" s="162"/>
      <c r="N273" s="162"/>
      <c r="O273" s="162"/>
      <c r="P273" s="162"/>
      <c r="Q273" s="162"/>
      <c r="R273" s="162"/>
      <c r="S273" s="162"/>
      <c r="T273" s="162"/>
      <c r="U273" s="162"/>
      <c r="V273" s="5"/>
    </row>
    <row r="274" spans="1:22" ht="15.6" x14ac:dyDescent="0.3">
      <c r="A274" s="167"/>
      <c r="B274" s="13"/>
      <c r="C274" s="13"/>
      <c r="D274" s="13"/>
      <c r="E274" s="13"/>
      <c r="F274" s="13"/>
      <c r="G274" s="99"/>
      <c r="H274" s="162"/>
      <c r="I274" s="162"/>
      <c r="J274" s="162"/>
      <c r="K274" s="162"/>
      <c r="L274" s="162"/>
      <c r="M274" s="162"/>
      <c r="N274" s="162"/>
      <c r="O274" s="162"/>
      <c r="P274" s="162"/>
      <c r="Q274" s="162"/>
      <c r="R274" s="162"/>
      <c r="S274" s="162"/>
      <c r="T274" s="162"/>
      <c r="U274" s="162"/>
      <c r="V274" s="5"/>
    </row>
    <row r="275" spans="1:22" ht="18" thickBot="1" x14ac:dyDescent="0.35">
      <c r="A275" s="167"/>
      <c r="B275" s="49" t="str">
        <f>B192</f>
        <v>PM11 INVESTOR REPORT QUARTER ENDING SEPTEMBER 2009</v>
      </c>
      <c r="C275" s="13"/>
      <c r="D275" s="13"/>
      <c r="E275" s="13"/>
      <c r="F275" s="13"/>
      <c r="G275" s="99"/>
      <c r="H275" s="162"/>
      <c r="I275" s="162"/>
      <c r="J275" s="162"/>
      <c r="K275" s="162"/>
      <c r="L275" s="162"/>
      <c r="M275" s="162"/>
      <c r="N275" s="162"/>
      <c r="O275" s="162"/>
      <c r="P275" s="162"/>
      <c r="Q275" s="162"/>
      <c r="R275" s="162"/>
      <c r="S275" s="162"/>
      <c r="T275" s="162"/>
      <c r="U275" s="162"/>
      <c r="V275" s="5"/>
    </row>
    <row r="276" spans="1:22" x14ac:dyDescent="0.25">
      <c r="A276" s="100"/>
      <c r="B276" s="100"/>
      <c r="C276" s="100"/>
      <c r="D276" s="100"/>
      <c r="E276" s="100"/>
      <c r="F276" s="100"/>
      <c r="G276" s="100"/>
      <c r="H276" s="100"/>
      <c r="I276" s="100"/>
      <c r="J276" s="100"/>
      <c r="K276" s="100"/>
      <c r="L276" s="100"/>
      <c r="M276" s="100"/>
      <c r="N276" s="100"/>
      <c r="O276" s="100"/>
      <c r="P276" s="100"/>
      <c r="Q276" s="100"/>
      <c r="R276" s="100"/>
      <c r="S276" s="100"/>
      <c r="T276" s="100"/>
      <c r="U276" s="100"/>
    </row>
  </sheetData>
  <phoneticPr fontId="0" type="noConversion"/>
  <hyperlinks>
    <hyperlink ref="N228" r:id="rId1" xr:uid="{00000000-0004-0000-0D00-000000000000}"/>
    <hyperlink ref="J9" r:id="rId2" xr:uid="{00000000-0004-0000-0D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4" max="14" man="1"/>
    <brk id="133" max="14" man="1"/>
    <brk id="192" max="14" man="1"/>
  </rowBreaks>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89CB31"/>
  </sheetPr>
  <dimension ref="A1:X277"/>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08984375" style="1" customWidth="1"/>
    <col min="10" max="10" width="17.81640625" style="1" customWidth="1"/>
    <col min="11" max="11" width="2.1796875" style="1" customWidth="1"/>
    <col min="12" max="12" width="14.81640625" style="1" customWidth="1"/>
    <col min="13" max="13" width="2.1796875" style="1" customWidth="1"/>
    <col min="14" max="14" width="15.54296875" style="1" customWidth="1"/>
    <col min="15" max="15" width="2.08984375" style="1" customWidth="1"/>
    <col min="16" max="16" width="15.54296875" style="1" customWidth="1"/>
    <col min="17" max="18" width="12.81640625" style="1" customWidth="1"/>
    <col min="19" max="19" width="7.81640625" style="1" customWidth="1"/>
    <col min="20" max="20" width="14.81640625" style="1" customWidth="1"/>
    <col min="21" max="21" width="11.81640625" style="1" customWidth="1"/>
    <col min="22" max="16384" width="9.81640625" style="1"/>
  </cols>
  <sheetData>
    <row r="1" spans="1:22" ht="20.399999999999999" x14ac:dyDescent="0.35">
      <c r="A1" s="2"/>
      <c r="B1" s="3" t="s">
        <v>228</v>
      </c>
      <c r="C1" s="4"/>
      <c r="D1" s="4"/>
      <c r="E1" s="4"/>
      <c r="F1" s="4"/>
      <c r="G1" s="4"/>
      <c r="H1" s="4"/>
      <c r="I1" s="4"/>
      <c r="J1" s="4"/>
      <c r="K1" s="4"/>
      <c r="L1" s="4"/>
      <c r="M1" s="4"/>
      <c r="N1" s="4"/>
      <c r="O1" s="4"/>
      <c r="P1" s="4"/>
      <c r="Q1" s="4"/>
      <c r="R1" s="4"/>
      <c r="S1" s="4"/>
      <c r="T1" s="4"/>
      <c r="U1" s="4"/>
      <c r="V1" s="5"/>
    </row>
    <row r="2" spans="1:22" ht="15.6" x14ac:dyDescent="0.3">
      <c r="A2" s="6"/>
      <c r="B2" s="7"/>
      <c r="C2" s="8"/>
      <c r="D2" s="8"/>
      <c r="E2" s="8"/>
      <c r="F2" s="8"/>
      <c r="G2" s="8"/>
      <c r="H2" s="8"/>
      <c r="I2" s="8"/>
      <c r="J2" s="8"/>
      <c r="K2" s="8"/>
      <c r="L2" s="8"/>
      <c r="M2" s="8"/>
      <c r="N2" s="8"/>
      <c r="O2" s="8"/>
      <c r="P2" s="8"/>
      <c r="Q2" s="8"/>
      <c r="R2" s="8"/>
      <c r="S2" s="8"/>
      <c r="T2" s="8"/>
      <c r="U2" s="8"/>
      <c r="V2" s="5"/>
    </row>
    <row r="3" spans="1:22" ht="15.6" x14ac:dyDescent="0.3">
      <c r="A3" s="9"/>
      <c r="B3" s="111" t="s">
        <v>229</v>
      </c>
      <c r="C3" s="8"/>
      <c r="D3" s="8"/>
      <c r="E3" s="8"/>
      <c r="F3" s="8"/>
      <c r="G3" s="8"/>
      <c r="H3" s="8"/>
      <c r="I3" s="8"/>
      <c r="J3" s="8"/>
      <c r="K3" s="8"/>
      <c r="L3" s="8"/>
      <c r="M3" s="8"/>
      <c r="N3" s="8"/>
      <c r="O3" s="8"/>
      <c r="P3" s="8"/>
      <c r="Q3" s="8"/>
      <c r="R3" s="8"/>
      <c r="S3" s="8"/>
      <c r="T3" s="8"/>
      <c r="U3" s="8"/>
      <c r="V3" s="5"/>
    </row>
    <row r="4" spans="1:22" ht="15.6" x14ac:dyDescent="0.3">
      <c r="A4" s="6"/>
      <c r="B4" s="7"/>
      <c r="C4" s="8"/>
      <c r="D4" s="8"/>
      <c r="E4" s="8"/>
      <c r="F4" s="8"/>
      <c r="G4" s="8"/>
      <c r="H4" s="8"/>
      <c r="I4" s="8"/>
      <c r="J4" s="8"/>
      <c r="K4" s="8"/>
      <c r="L4" s="8"/>
      <c r="M4" s="8"/>
      <c r="N4" s="8"/>
      <c r="O4" s="8"/>
      <c r="P4" s="8"/>
      <c r="Q4" s="8"/>
      <c r="R4" s="8"/>
      <c r="S4" s="8"/>
      <c r="T4" s="8"/>
      <c r="U4" s="8"/>
      <c r="V4" s="5"/>
    </row>
    <row r="5" spans="1:22" ht="15.6" x14ac:dyDescent="0.3">
      <c r="A5" s="6"/>
      <c r="B5" s="11" t="s">
        <v>143</v>
      </c>
      <c r="C5" s="8"/>
      <c r="D5" s="8"/>
      <c r="E5" s="8"/>
      <c r="F5" s="8"/>
      <c r="G5" s="8"/>
      <c r="H5" s="8"/>
      <c r="I5" s="8"/>
      <c r="J5" s="8"/>
      <c r="K5" s="8"/>
      <c r="L5" s="8"/>
      <c r="M5" s="8"/>
      <c r="N5" s="8"/>
      <c r="O5" s="8"/>
      <c r="P5" s="8"/>
      <c r="Q5" s="8"/>
      <c r="R5" s="8"/>
      <c r="S5" s="8"/>
      <c r="T5" s="8"/>
      <c r="U5" s="8"/>
      <c r="V5" s="5"/>
    </row>
    <row r="6" spans="1:22" ht="15.6" x14ac:dyDescent="0.3">
      <c r="A6" s="6"/>
      <c r="B6" s="11" t="s">
        <v>145</v>
      </c>
      <c r="C6" s="8"/>
      <c r="D6" s="8"/>
      <c r="E6" s="8"/>
      <c r="F6" s="8"/>
      <c r="G6" s="8"/>
      <c r="H6" s="8"/>
      <c r="I6" s="8"/>
      <c r="J6" s="8"/>
      <c r="K6" s="8"/>
      <c r="L6" s="8"/>
      <c r="M6" s="8"/>
      <c r="N6" s="8"/>
      <c r="O6" s="8"/>
      <c r="P6" s="8"/>
      <c r="Q6" s="8"/>
      <c r="R6" s="8"/>
      <c r="S6" s="8"/>
      <c r="T6" s="8"/>
      <c r="U6" s="8"/>
      <c r="V6" s="5"/>
    </row>
    <row r="7" spans="1:22" ht="15.6" x14ac:dyDescent="0.3">
      <c r="A7" s="6"/>
      <c r="B7" s="11" t="s">
        <v>144</v>
      </c>
      <c r="C7" s="8"/>
      <c r="D7" s="8"/>
      <c r="E7" s="8"/>
      <c r="F7" s="8"/>
      <c r="G7" s="8"/>
      <c r="H7" s="8"/>
      <c r="I7" s="8"/>
      <c r="J7" s="8"/>
      <c r="K7" s="8"/>
      <c r="L7" s="8"/>
      <c r="M7" s="8"/>
      <c r="N7" s="8"/>
      <c r="O7" s="8"/>
      <c r="P7" s="8"/>
      <c r="Q7" s="8"/>
      <c r="R7" s="8"/>
      <c r="S7" s="8"/>
      <c r="T7" s="8"/>
      <c r="U7" s="8"/>
      <c r="V7" s="5"/>
    </row>
    <row r="8" spans="1:22" ht="15.6" x14ac:dyDescent="0.3">
      <c r="A8" s="6"/>
      <c r="B8" s="11"/>
      <c r="C8" s="8"/>
      <c r="D8" s="8"/>
      <c r="E8" s="8"/>
      <c r="F8" s="8"/>
      <c r="G8" s="8"/>
      <c r="H8" s="8"/>
      <c r="I8" s="8"/>
      <c r="J8" s="8"/>
      <c r="K8" s="8"/>
      <c r="L8" s="8"/>
      <c r="M8" s="8"/>
      <c r="N8" s="8"/>
      <c r="O8" s="8"/>
      <c r="P8" s="8"/>
      <c r="Q8" s="8"/>
      <c r="R8" s="8"/>
      <c r="S8" s="8"/>
      <c r="T8" s="8"/>
      <c r="U8" s="8"/>
      <c r="V8" s="5"/>
    </row>
    <row r="9" spans="1:22" ht="17.399999999999999" x14ac:dyDescent="0.3">
      <c r="A9" s="6"/>
      <c r="B9" s="147" t="s">
        <v>173</v>
      </c>
      <c r="C9" s="8"/>
      <c r="D9" s="8"/>
      <c r="E9" s="8"/>
      <c r="F9" s="8"/>
      <c r="G9" s="8"/>
      <c r="H9" s="8"/>
      <c r="I9" s="8"/>
      <c r="J9" s="148" t="s">
        <v>174</v>
      </c>
      <c r="K9" s="8"/>
      <c r="L9" s="148"/>
      <c r="M9" s="8"/>
      <c r="N9" s="8"/>
      <c r="O9" s="8"/>
      <c r="P9" s="8"/>
      <c r="Q9" s="8"/>
      <c r="R9" s="8"/>
      <c r="S9" s="8"/>
      <c r="T9" s="8"/>
      <c r="U9" s="8"/>
      <c r="V9" s="5"/>
    </row>
    <row r="10" spans="1:22" ht="15.6" x14ac:dyDescent="0.3">
      <c r="A10" s="6"/>
      <c r="B10" s="11"/>
      <c r="C10" s="13"/>
      <c r="D10" s="13"/>
      <c r="E10" s="13"/>
      <c r="F10" s="8"/>
      <c r="G10" s="8"/>
      <c r="H10" s="8"/>
      <c r="I10" s="8"/>
      <c r="J10" s="8"/>
      <c r="K10" s="8"/>
      <c r="L10" s="8"/>
      <c r="M10" s="8"/>
      <c r="N10" s="8"/>
      <c r="O10" s="8"/>
      <c r="P10" s="8"/>
      <c r="Q10" s="8"/>
      <c r="R10" s="8"/>
      <c r="S10" s="8"/>
      <c r="T10" s="8"/>
      <c r="U10" s="8"/>
      <c r="V10" s="5"/>
    </row>
    <row r="11" spans="1:22" ht="15.6" x14ac:dyDescent="0.3">
      <c r="A11" s="6"/>
      <c r="B11" s="14" t="s">
        <v>0</v>
      </c>
      <c r="C11" s="8"/>
      <c r="D11" s="8"/>
      <c r="E11" s="8"/>
      <c r="F11" s="8"/>
      <c r="G11" s="8"/>
      <c r="H11" s="8"/>
      <c r="I11" s="8"/>
      <c r="J11" s="8"/>
      <c r="K11" s="8"/>
      <c r="L11" s="8"/>
      <c r="M11" s="8"/>
      <c r="N11" s="8"/>
      <c r="O11" s="8"/>
      <c r="P11" s="8"/>
      <c r="Q11" s="8"/>
      <c r="R11" s="8"/>
      <c r="S11" s="8"/>
      <c r="T11" s="8"/>
      <c r="U11" s="8"/>
      <c r="V11" s="5"/>
    </row>
    <row r="12" spans="1:22" ht="16.2" thickBot="1" x14ac:dyDescent="0.35">
      <c r="A12" s="6"/>
      <c r="B12" s="13"/>
      <c r="C12" s="8"/>
      <c r="D12" s="8"/>
      <c r="E12" s="8"/>
      <c r="F12" s="8"/>
      <c r="G12" s="8"/>
      <c r="H12" s="8"/>
      <c r="I12" s="8"/>
      <c r="J12" s="8"/>
      <c r="K12" s="8"/>
      <c r="L12" s="8"/>
      <c r="M12" s="8"/>
      <c r="N12" s="8"/>
      <c r="O12" s="8"/>
      <c r="P12" s="8"/>
      <c r="Q12" s="8"/>
      <c r="R12" s="8"/>
      <c r="S12" s="8"/>
      <c r="T12" s="8"/>
      <c r="U12" s="8"/>
      <c r="V12" s="5"/>
    </row>
    <row r="13" spans="1:22" ht="15.6" x14ac:dyDescent="0.3">
      <c r="A13" s="2"/>
      <c r="B13" s="4"/>
      <c r="C13" s="4"/>
      <c r="D13" s="4"/>
      <c r="E13" s="4"/>
      <c r="F13" s="4"/>
      <c r="G13" s="4"/>
      <c r="H13" s="4"/>
      <c r="I13" s="4"/>
      <c r="J13" s="4"/>
      <c r="K13" s="4"/>
      <c r="L13" s="4"/>
      <c r="M13" s="4"/>
      <c r="N13" s="4"/>
      <c r="O13" s="4"/>
      <c r="P13" s="4"/>
      <c r="Q13" s="4"/>
      <c r="R13" s="4"/>
      <c r="S13" s="4"/>
      <c r="T13" s="4"/>
      <c r="U13" s="4"/>
      <c r="V13" s="5"/>
    </row>
    <row r="14" spans="1:22" ht="15.6" x14ac:dyDescent="0.3">
      <c r="A14" s="6"/>
      <c r="B14" s="14" t="s">
        <v>1</v>
      </c>
      <c r="C14" s="15"/>
      <c r="D14" s="15"/>
      <c r="E14" s="15"/>
      <c r="F14" s="15"/>
      <c r="G14" s="15"/>
      <c r="H14" s="15"/>
      <c r="I14" s="15"/>
      <c r="J14" s="15"/>
      <c r="K14" s="15"/>
      <c r="L14" s="15"/>
      <c r="M14" s="15"/>
      <c r="N14" s="15"/>
      <c r="O14" s="15"/>
      <c r="P14" s="15"/>
      <c r="Q14" s="15"/>
      <c r="R14" s="15"/>
      <c r="S14" s="15"/>
      <c r="T14" s="16" t="s">
        <v>230</v>
      </c>
      <c r="U14" s="15"/>
      <c r="V14" s="5"/>
    </row>
    <row r="15" spans="1:22" ht="15.6" x14ac:dyDescent="0.3">
      <c r="A15" s="6"/>
      <c r="B15" s="14" t="s">
        <v>2</v>
      </c>
      <c r="C15" s="15"/>
      <c r="D15" s="15"/>
      <c r="E15" s="15"/>
      <c r="F15" s="15"/>
      <c r="G15" s="15"/>
      <c r="H15" s="18"/>
      <c r="I15" s="18"/>
      <c r="J15" s="18"/>
      <c r="K15" s="18"/>
      <c r="L15" s="18"/>
      <c r="M15" s="18"/>
      <c r="N15" s="18"/>
      <c r="O15" s="18"/>
      <c r="P15" s="18" t="s">
        <v>107</v>
      </c>
      <c r="Q15" s="137">
        <v>0.40749999999999997</v>
      </c>
      <c r="R15" s="17" t="s">
        <v>146</v>
      </c>
      <c r="S15" s="137">
        <v>0.59250000000000003</v>
      </c>
      <c r="T15" s="16"/>
      <c r="U15" s="15"/>
      <c r="V15" s="5"/>
    </row>
    <row r="16" spans="1:22" ht="15.6" x14ac:dyDescent="0.3">
      <c r="A16" s="6"/>
      <c r="B16" s="14" t="s">
        <v>3</v>
      </c>
      <c r="C16" s="15"/>
      <c r="D16" s="15"/>
      <c r="E16" s="15"/>
      <c r="F16" s="15"/>
      <c r="G16" s="15"/>
      <c r="H16" s="18"/>
      <c r="I16" s="18"/>
      <c r="J16" s="18"/>
      <c r="K16" s="18"/>
      <c r="L16" s="18"/>
      <c r="M16" s="18"/>
      <c r="N16" s="18"/>
      <c r="O16" s="18"/>
      <c r="P16" s="18" t="s">
        <v>107</v>
      </c>
      <c r="Q16" s="137">
        <v>0.44819999999999999</v>
      </c>
      <c r="R16" s="17" t="s">
        <v>146</v>
      </c>
      <c r="S16" s="137">
        <v>0.55179999999999996</v>
      </c>
      <c r="T16" s="16"/>
      <c r="U16" s="15"/>
      <c r="V16" s="5"/>
    </row>
    <row r="17" spans="1:22" ht="15.6" x14ac:dyDescent="0.3">
      <c r="A17" s="6"/>
      <c r="B17" s="14" t="s">
        <v>4</v>
      </c>
      <c r="C17" s="15"/>
      <c r="D17" s="15"/>
      <c r="E17" s="15"/>
      <c r="F17" s="15"/>
      <c r="G17" s="15"/>
      <c r="H17" s="15"/>
      <c r="I17" s="15"/>
      <c r="J17" s="15"/>
      <c r="K17" s="15"/>
      <c r="L17" s="15"/>
      <c r="M17" s="15"/>
      <c r="N17" s="15"/>
      <c r="O17" s="15"/>
      <c r="P17" s="15"/>
      <c r="Q17" s="15"/>
      <c r="R17" s="15"/>
      <c r="S17" s="15"/>
      <c r="T17" s="19">
        <v>38799</v>
      </c>
      <c r="U17" s="15"/>
      <c r="V17" s="5"/>
    </row>
    <row r="18" spans="1:22" ht="15.6" x14ac:dyDescent="0.3">
      <c r="A18" s="6"/>
      <c r="B18" s="14" t="s">
        <v>5</v>
      </c>
      <c r="C18" s="15"/>
      <c r="D18" s="15"/>
      <c r="E18" s="15"/>
      <c r="F18" s="15"/>
      <c r="G18" s="15"/>
      <c r="H18" s="15"/>
      <c r="I18" s="15"/>
      <c r="J18" s="15"/>
      <c r="K18" s="15"/>
      <c r="L18" s="15"/>
      <c r="M18" s="15"/>
      <c r="N18" s="15"/>
      <c r="O18" s="15"/>
      <c r="P18" s="15"/>
      <c r="Q18" s="15"/>
      <c r="R18" s="15"/>
      <c r="S18" s="15"/>
      <c r="T18" s="19">
        <v>40200</v>
      </c>
      <c r="U18" s="15"/>
      <c r="V18" s="5"/>
    </row>
    <row r="19" spans="1:22" ht="15.6" x14ac:dyDescent="0.3">
      <c r="A19" s="6"/>
      <c r="B19" s="8"/>
      <c r="C19" s="8"/>
      <c r="D19" s="8"/>
      <c r="E19" s="8"/>
      <c r="F19" s="8"/>
      <c r="G19" s="8"/>
      <c r="H19" s="8"/>
      <c r="I19" s="8"/>
      <c r="J19" s="8"/>
      <c r="K19" s="8"/>
      <c r="L19" s="8"/>
      <c r="M19" s="8"/>
      <c r="N19" s="8"/>
      <c r="O19" s="8"/>
      <c r="P19" s="8"/>
      <c r="Q19" s="8"/>
      <c r="R19" s="8"/>
      <c r="S19" s="8"/>
      <c r="T19" s="20"/>
      <c r="U19" s="8"/>
      <c r="V19" s="5"/>
    </row>
    <row r="20" spans="1:22" ht="15.6" x14ac:dyDescent="0.3">
      <c r="A20" s="6"/>
      <c r="B20" s="21" t="s">
        <v>6</v>
      </c>
      <c r="C20" s="8"/>
      <c r="D20" s="8"/>
      <c r="E20" s="8"/>
      <c r="F20" s="8"/>
      <c r="G20" s="8"/>
      <c r="H20" s="8"/>
      <c r="I20" s="8"/>
      <c r="J20" s="8"/>
      <c r="K20" s="8"/>
      <c r="L20" s="8"/>
      <c r="M20" s="8"/>
      <c r="N20" s="8"/>
      <c r="O20" s="8"/>
      <c r="P20" s="8"/>
      <c r="Q20" s="8"/>
      <c r="R20" s="20" t="s">
        <v>108</v>
      </c>
      <c r="S20" s="8"/>
      <c r="T20" s="162"/>
      <c r="U20" s="8"/>
      <c r="V20" s="5"/>
    </row>
    <row r="21" spans="1:22" ht="15.6" x14ac:dyDescent="0.3">
      <c r="A21" s="6"/>
      <c r="B21" s="8"/>
      <c r="C21" s="8"/>
      <c r="D21" s="8"/>
      <c r="E21" s="8"/>
      <c r="F21" s="8"/>
      <c r="G21" s="8"/>
      <c r="H21" s="8"/>
      <c r="I21" s="8"/>
      <c r="J21" s="8"/>
      <c r="K21" s="8"/>
      <c r="L21" s="8"/>
      <c r="M21" s="8"/>
      <c r="N21" s="8"/>
      <c r="O21" s="8"/>
      <c r="P21" s="8"/>
      <c r="Q21" s="8"/>
      <c r="R21" s="8"/>
      <c r="S21" s="8"/>
      <c r="T21" s="22"/>
      <c r="U21" s="8"/>
      <c r="V21" s="5"/>
    </row>
    <row r="22" spans="1:22" ht="15.6" x14ac:dyDescent="0.3">
      <c r="A22" s="6"/>
      <c r="B22" s="8"/>
      <c r="C22" s="112"/>
      <c r="D22" s="112" t="s">
        <v>184</v>
      </c>
      <c r="E22" s="112"/>
      <c r="F22" s="112" t="s">
        <v>185</v>
      </c>
      <c r="G22" s="112"/>
      <c r="H22" s="112" t="s">
        <v>186</v>
      </c>
      <c r="I22" s="112"/>
      <c r="J22" s="112" t="s">
        <v>187</v>
      </c>
      <c r="K22" s="112"/>
      <c r="L22" s="112" t="s">
        <v>188</v>
      </c>
      <c r="M22" s="112"/>
      <c r="N22" s="112" t="s">
        <v>189</v>
      </c>
      <c r="O22" s="112"/>
      <c r="P22" s="112"/>
      <c r="Q22" s="113"/>
      <c r="R22" s="23"/>
      <c r="S22" s="162"/>
      <c r="T22" s="162"/>
      <c r="U22" s="8"/>
      <c r="V22" s="5"/>
    </row>
    <row r="23" spans="1:22" ht="15.6" x14ac:dyDescent="0.3">
      <c r="A23" s="24"/>
      <c r="B23" s="25" t="s">
        <v>7</v>
      </c>
      <c r="C23" s="26"/>
      <c r="D23" s="26" t="s">
        <v>222</v>
      </c>
      <c r="E23" s="26"/>
      <c r="F23" s="26" t="s">
        <v>147</v>
      </c>
      <c r="G23" s="26"/>
      <c r="H23" s="26" t="s">
        <v>147</v>
      </c>
      <c r="I23" s="26"/>
      <c r="J23" s="26" t="s">
        <v>190</v>
      </c>
      <c r="K23" s="26"/>
      <c r="L23" s="26" t="s">
        <v>190</v>
      </c>
      <c r="M23" s="26"/>
      <c r="N23" s="26" t="s">
        <v>148</v>
      </c>
      <c r="O23" s="26"/>
      <c r="P23" s="26"/>
      <c r="Q23" s="26"/>
      <c r="R23" s="26"/>
      <c r="S23" s="163"/>
      <c r="T23" s="163"/>
      <c r="U23" s="25"/>
      <c r="V23" s="5"/>
    </row>
    <row r="24" spans="1:22" ht="15.6" x14ac:dyDescent="0.3">
      <c r="A24" s="24"/>
      <c r="B24" s="25" t="s">
        <v>8</v>
      </c>
      <c r="C24" s="26"/>
      <c r="D24" s="26" t="s">
        <v>223</v>
      </c>
      <c r="E24" s="26"/>
      <c r="F24" s="26" t="s">
        <v>149</v>
      </c>
      <c r="G24" s="26"/>
      <c r="H24" s="26" t="s">
        <v>149</v>
      </c>
      <c r="I24" s="26"/>
      <c r="J24" s="26" t="s">
        <v>172</v>
      </c>
      <c r="K24" s="26"/>
      <c r="L24" s="26" t="s">
        <v>172</v>
      </c>
      <c r="M24" s="26"/>
      <c r="N24" s="26" t="s">
        <v>150</v>
      </c>
      <c r="O24" s="26"/>
      <c r="P24" s="26"/>
      <c r="Q24" s="26"/>
      <c r="R24" s="26"/>
      <c r="S24" s="163"/>
      <c r="T24" s="163"/>
      <c r="U24" s="25"/>
      <c r="V24" s="5"/>
    </row>
    <row r="25" spans="1:22" ht="15.6" x14ac:dyDescent="0.3">
      <c r="A25" s="28"/>
      <c r="B25" s="131" t="s">
        <v>198</v>
      </c>
      <c r="C25" s="123"/>
      <c r="D25" s="26" t="s">
        <v>224</v>
      </c>
      <c r="E25" s="26"/>
      <c r="F25" s="26" t="s">
        <v>149</v>
      </c>
      <c r="G25" s="26"/>
      <c r="H25" s="26" t="s">
        <v>149</v>
      </c>
      <c r="I25" s="26"/>
      <c r="J25" s="26" t="s">
        <v>172</v>
      </c>
      <c r="K25" s="26"/>
      <c r="L25" s="26" t="s">
        <v>172</v>
      </c>
      <c r="M25" s="26"/>
      <c r="N25" s="26" t="s">
        <v>150</v>
      </c>
      <c r="O25" s="26"/>
      <c r="P25" s="26"/>
      <c r="Q25" s="123"/>
      <c r="R25" s="26"/>
      <c r="S25" s="163"/>
      <c r="T25" s="163"/>
      <c r="U25" s="25"/>
      <c r="V25" s="5"/>
    </row>
    <row r="26" spans="1:22" ht="15.6" x14ac:dyDescent="0.3">
      <c r="A26" s="28"/>
      <c r="B26" s="29" t="s">
        <v>9</v>
      </c>
      <c r="C26" s="123"/>
      <c r="D26" s="123" t="s">
        <v>222</v>
      </c>
      <c r="E26" s="123"/>
      <c r="F26" s="123" t="s">
        <v>147</v>
      </c>
      <c r="G26" s="123"/>
      <c r="H26" s="123" t="s">
        <v>147</v>
      </c>
      <c r="I26" s="123"/>
      <c r="J26" s="123" t="s">
        <v>190</v>
      </c>
      <c r="K26" s="123"/>
      <c r="L26" s="123" t="s">
        <v>190</v>
      </c>
      <c r="M26" s="123"/>
      <c r="N26" s="123" t="s">
        <v>148</v>
      </c>
      <c r="O26" s="123"/>
      <c r="P26" s="123"/>
      <c r="Q26" s="123"/>
      <c r="R26" s="26"/>
      <c r="S26" s="163"/>
      <c r="T26" s="163"/>
      <c r="U26" s="25"/>
      <c r="V26" s="5"/>
    </row>
    <row r="27" spans="1:22" ht="15.6" x14ac:dyDescent="0.3">
      <c r="A27" s="24"/>
      <c r="B27" s="29" t="s">
        <v>199</v>
      </c>
      <c r="C27" s="26"/>
      <c r="D27" s="123" t="s">
        <v>223</v>
      </c>
      <c r="E27" s="123"/>
      <c r="F27" s="123" t="s">
        <v>149</v>
      </c>
      <c r="G27" s="123"/>
      <c r="H27" s="123" t="s">
        <v>149</v>
      </c>
      <c r="I27" s="123"/>
      <c r="J27" s="123" t="s">
        <v>172</v>
      </c>
      <c r="K27" s="123"/>
      <c r="L27" s="123" t="s">
        <v>172</v>
      </c>
      <c r="M27" s="123"/>
      <c r="N27" s="123" t="s">
        <v>150</v>
      </c>
      <c r="O27" s="123"/>
      <c r="P27" s="123"/>
      <c r="Q27" s="26"/>
      <c r="R27" s="30"/>
      <c r="S27" s="163"/>
      <c r="T27" s="163"/>
      <c r="U27" s="25"/>
      <c r="V27" s="5"/>
    </row>
    <row r="28" spans="1:22" ht="15.6" x14ac:dyDescent="0.3">
      <c r="A28" s="24"/>
      <c r="B28" s="153" t="s">
        <v>200</v>
      </c>
      <c r="C28" s="26"/>
      <c r="D28" s="123" t="s">
        <v>224</v>
      </c>
      <c r="E28" s="123"/>
      <c r="F28" s="123" t="s">
        <v>149</v>
      </c>
      <c r="G28" s="123"/>
      <c r="H28" s="123" t="s">
        <v>149</v>
      </c>
      <c r="I28" s="123"/>
      <c r="J28" s="123" t="s">
        <v>172</v>
      </c>
      <c r="K28" s="123"/>
      <c r="L28" s="123" t="s">
        <v>172</v>
      </c>
      <c r="M28" s="123"/>
      <c r="N28" s="123" t="s">
        <v>150</v>
      </c>
      <c r="O28" s="123"/>
      <c r="P28" s="123"/>
      <c r="Q28" s="26"/>
      <c r="R28" s="30"/>
      <c r="S28" s="163"/>
      <c r="T28" s="163"/>
      <c r="U28" s="25"/>
      <c r="V28" s="5"/>
    </row>
    <row r="29" spans="1:22" ht="15.6" x14ac:dyDescent="0.3">
      <c r="A29" s="24"/>
      <c r="B29" s="25" t="s">
        <v>10</v>
      </c>
      <c r="C29" s="32"/>
      <c r="D29" s="26" t="s">
        <v>237</v>
      </c>
      <c r="E29" s="26"/>
      <c r="F29" s="30" t="s">
        <v>238</v>
      </c>
      <c r="G29" s="26"/>
      <c r="H29" s="26" t="s">
        <v>239</v>
      </c>
      <c r="I29" s="26"/>
      <c r="J29" s="26" t="s">
        <v>240</v>
      </c>
      <c r="K29" s="26"/>
      <c r="L29" s="26" t="s">
        <v>241</v>
      </c>
      <c r="M29" s="26"/>
      <c r="N29" s="26" t="s">
        <v>242</v>
      </c>
      <c r="O29" s="26"/>
      <c r="P29" s="26"/>
      <c r="Q29" s="31"/>
      <c r="R29" s="31"/>
      <c r="S29" s="164"/>
      <c r="T29" s="31"/>
      <c r="U29" s="34"/>
      <c r="V29" s="5"/>
    </row>
    <row r="30" spans="1:22" ht="15.6" x14ac:dyDescent="0.3">
      <c r="A30" s="24"/>
      <c r="B30" s="25" t="s">
        <v>10</v>
      </c>
      <c r="C30" s="32"/>
      <c r="D30" s="26" t="s">
        <v>236</v>
      </c>
      <c r="E30" s="26"/>
      <c r="F30" s="30" t="s">
        <v>124</v>
      </c>
      <c r="G30" s="26"/>
      <c r="H30" s="26" t="s">
        <v>124</v>
      </c>
      <c r="I30" s="26"/>
      <c r="J30" s="26" t="s">
        <v>124</v>
      </c>
      <c r="K30" s="26"/>
      <c r="L30" s="26" t="s">
        <v>124</v>
      </c>
      <c r="M30" s="26"/>
      <c r="N30" s="26" t="s">
        <v>124</v>
      </c>
      <c r="O30" s="26"/>
      <c r="P30" s="26"/>
      <c r="Q30" s="31"/>
      <c r="R30" s="31"/>
      <c r="S30" s="164"/>
      <c r="T30" s="31"/>
      <c r="U30" s="34"/>
      <c r="V30" s="5"/>
    </row>
    <row r="31" spans="1:22" ht="15.6" x14ac:dyDescent="0.3">
      <c r="A31" s="28"/>
      <c r="B31" s="25" t="s">
        <v>139</v>
      </c>
      <c r="C31" s="36"/>
      <c r="D31" s="146">
        <v>985000</v>
      </c>
      <c r="E31" s="32"/>
      <c r="F31" s="31">
        <v>149500</v>
      </c>
      <c r="G31" s="31"/>
      <c r="H31" s="124">
        <v>219700</v>
      </c>
      <c r="I31" s="31"/>
      <c r="J31" s="31">
        <v>16000</v>
      </c>
      <c r="K31" s="31"/>
      <c r="L31" s="124">
        <v>82400</v>
      </c>
      <c r="M31" s="31"/>
      <c r="N31" s="124">
        <v>87500</v>
      </c>
      <c r="O31" s="31"/>
      <c r="P31" s="124"/>
      <c r="Q31" s="35"/>
      <c r="R31" s="35"/>
      <c r="S31" s="37"/>
      <c r="T31" s="35"/>
      <c r="U31" s="34"/>
      <c r="V31" s="5"/>
    </row>
    <row r="32" spans="1:22" ht="15.6" x14ac:dyDescent="0.3">
      <c r="A32" s="24"/>
      <c r="B32" s="25" t="s">
        <v>138</v>
      </c>
      <c r="C32" s="32"/>
      <c r="D32" s="146">
        <f>D38*D31</f>
        <v>541971.82199999993</v>
      </c>
      <c r="E32" s="32"/>
      <c r="F32" s="31">
        <f>F38*F31</f>
        <v>82258.727199999994</v>
      </c>
      <c r="G32" s="31"/>
      <c r="H32" s="124">
        <f>H38*H31</f>
        <v>120884.56431999999</v>
      </c>
      <c r="I32" s="31"/>
      <c r="J32" s="31">
        <f>+J31</f>
        <v>16000</v>
      </c>
      <c r="K32" s="31"/>
      <c r="L32" s="124">
        <f>+L31</f>
        <v>82400</v>
      </c>
      <c r="M32" s="31"/>
      <c r="N32" s="124">
        <f>+N31</f>
        <v>87500</v>
      </c>
      <c r="O32" s="31"/>
      <c r="P32" s="124"/>
      <c r="Q32" s="31"/>
      <c r="R32" s="31"/>
      <c r="S32" s="164"/>
      <c r="T32" s="31"/>
      <c r="U32" s="34"/>
      <c r="V32" s="5"/>
    </row>
    <row r="33" spans="1:22" ht="15.6" x14ac:dyDescent="0.3">
      <c r="A33" s="24"/>
      <c r="B33" s="29" t="s">
        <v>140</v>
      </c>
      <c r="C33" s="32"/>
      <c r="D33" s="151">
        <f>D37*D31</f>
        <v>536600.02600000007</v>
      </c>
      <c r="E33" s="36"/>
      <c r="F33" s="35">
        <f>F37*F31</f>
        <v>81443.414000000004</v>
      </c>
      <c r="G33" s="35"/>
      <c r="H33" s="125">
        <f>H31*H37</f>
        <v>119686.4084</v>
      </c>
      <c r="I33" s="35"/>
      <c r="J33" s="35">
        <f>J31*J37</f>
        <v>16000</v>
      </c>
      <c r="K33" s="35"/>
      <c r="L33" s="125">
        <f>L31*L37</f>
        <v>82400</v>
      </c>
      <c r="M33" s="35"/>
      <c r="N33" s="125">
        <f>N31*N37</f>
        <v>87500</v>
      </c>
      <c r="O33" s="35"/>
      <c r="P33" s="125"/>
      <c r="Q33" s="31"/>
      <c r="R33" s="31"/>
      <c r="S33" s="164"/>
      <c r="T33" s="31"/>
      <c r="U33" s="34"/>
      <c r="V33" s="5"/>
    </row>
    <row r="34" spans="1:22" ht="15.6" x14ac:dyDescent="0.3">
      <c r="A34" s="28"/>
      <c r="B34" s="25" t="s">
        <v>283</v>
      </c>
      <c r="C34" s="36"/>
      <c r="D34" s="31">
        <v>567282</v>
      </c>
      <c r="E34" s="32"/>
      <c r="F34" s="31">
        <v>149500</v>
      </c>
      <c r="G34" s="31"/>
      <c r="H34" s="31">
        <v>150716</v>
      </c>
      <c r="I34" s="31"/>
      <c r="J34" s="31">
        <v>16000</v>
      </c>
      <c r="K34" s="31"/>
      <c r="L34" s="31">
        <v>56527</v>
      </c>
      <c r="M34" s="31"/>
      <c r="N34" s="31">
        <v>60025</v>
      </c>
      <c r="O34" s="31"/>
      <c r="P34" s="31"/>
      <c r="Q34" s="35"/>
      <c r="R34" s="35"/>
      <c r="S34" s="37"/>
      <c r="T34" s="154">
        <f>SUM(C34:P34)</f>
        <v>1000050</v>
      </c>
      <c r="U34" s="34"/>
      <c r="V34" s="5"/>
    </row>
    <row r="35" spans="1:22" ht="15.6" x14ac:dyDescent="0.3">
      <c r="A35" s="28"/>
      <c r="B35" s="25" t="s">
        <v>284</v>
      </c>
      <c r="C35" s="126"/>
      <c r="D35" s="31">
        <f>D38*D34</f>
        <v>312132.8519064</v>
      </c>
      <c r="E35" s="32"/>
      <c r="F35" s="31">
        <f>F38*F34</f>
        <v>82258.727199999994</v>
      </c>
      <c r="G35" s="31"/>
      <c r="H35" s="31">
        <f>H38*H34</f>
        <v>82927.801529599994</v>
      </c>
      <c r="I35" s="31"/>
      <c r="J35" s="31">
        <f>+J34</f>
        <v>16000</v>
      </c>
      <c r="K35" s="31"/>
      <c r="L35" s="31">
        <f>+L34</f>
        <v>56527</v>
      </c>
      <c r="M35" s="31"/>
      <c r="N35" s="31">
        <f>+N34</f>
        <v>60025</v>
      </c>
      <c r="O35" s="31"/>
      <c r="P35" s="31"/>
      <c r="Q35" s="31"/>
      <c r="R35" s="31"/>
      <c r="S35" s="164"/>
      <c r="T35" s="154">
        <f>SUM(C35:P35)+1</f>
        <v>609872.38063600007</v>
      </c>
      <c r="U35" s="34"/>
      <c r="V35" s="5"/>
    </row>
    <row r="36" spans="1:22" ht="15.6" x14ac:dyDescent="0.3">
      <c r="A36" s="28"/>
      <c r="B36" s="29" t="s">
        <v>285</v>
      </c>
      <c r="C36" s="126"/>
      <c r="D36" s="35">
        <f>D37*D34</f>
        <v>309039.1227912</v>
      </c>
      <c r="E36" s="36"/>
      <c r="F36" s="35">
        <f>F37*F34</f>
        <v>81443.414000000004</v>
      </c>
      <c r="G36" s="35"/>
      <c r="H36" s="35">
        <f>H37*H34</f>
        <v>82105.856752000007</v>
      </c>
      <c r="I36" s="35"/>
      <c r="J36" s="35">
        <f>+J34</f>
        <v>16000</v>
      </c>
      <c r="K36" s="35"/>
      <c r="L36" s="35">
        <f>+L34</f>
        <v>56527</v>
      </c>
      <c r="M36" s="35"/>
      <c r="N36" s="35">
        <f>+N34</f>
        <v>60025</v>
      </c>
      <c r="O36" s="35"/>
      <c r="P36" s="35"/>
      <c r="Q36" s="128"/>
      <c r="R36" s="128"/>
      <c r="S36" s="164"/>
      <c r="T36" s="155">
        <f>SUM(C36:P36)+1</f>
        <v>605141.39354319999</v>
      </c>
      <c r="U36" s="34"/>
      <c r="V36" s="5"/>
    </row>
    <row r="37" spans="1:22" ht="15.6" x14ac:dyDescent="0.3">
      <c r="A37" s="24"/>
      <c r="B37" s="122" t="s">
        <v>136</v>
      </c>
      <c r="C37" s="25"/>
      <c r="D37" s="168">
        <v>0.54477160000000002</v>
      </c>
      <c r="E37" s="136"/>
      <c r="F37" s="168">
        <v>0.54477200000000003</v>
      </c>
      <c r="G37" s="135"/>
      <c r="H37" s="168">
        <v>0.54477200000000003</v>
      </c>
      <c r="I37" s="135"/>
      <c r="J37" s="168">
        <v>1</v>
      </c>
      <c r="K37" s="135"/>
      <c r="L37" s="168">
        <v>1</v>
      </c>
      <c r="M37" s="135"/>
      <c r="N37" s="168">
        <v>1</v>
      </c>
      <c r="O37" s="135"/>
      <c r="P37" s="135"/>
      <c r="Q37" s="30"/>
      <c r="R37" s="30"/>
      <c r="S37" s="163"/>
      <c r="T37" s="163"/>
      <c r="U37" s="25"/>
      <c r="V37" s="5"/>
    </row>
    <row r="38" spans="1:22" ht="15.6" x14ac:dyDescent="0.3">
      <c r="A38" s="24"/>
      <c r="B38" s="122" t="s">
        <v>137</v>
      </c>
      <c r="C38" s="25"/>
      <c r="D38" s="168">
        <v>0.55022519999999997</v>
      </c>
      <c r="E38" s="136"/>
      <c r="F38" s="168">
        <v>0.55022559999999998</v>
      </c>
      <c r="G38" s="135"/>
      <c r="H38" s="168">
        <v>0.55022559999999998</v>
      </c>
      <c r="I38" s="135"/>
      <c r="J38" s="135">
        <v>1</v>
      </c>
      <c r="K38" s="135"/>
      <c r="L38" s="135">
        <v>1</v>
      </c>
      <c r="M38" s="135"/>
      <c r="N38" s="135">
        <v>1</v>
      </c>
      <c r="O38" s="135"/>
      <c r="P38" s="135"/>
      <c r="Q38" s="39"/>
      <c r="R38" s="38"/>
      <c r="S38" s="163"/>
      <c r="T38" s="39"/>
      <c r="U38" s="25"/>
      <c r="V38" s="5"/>
    </row>
    <row r="39" spans="1:22" ht="15.6" x14ac:dyDescent="0.3">
      <c r="A39" s="24"/>
      <c r="B39" s="25" t="s">
        <v>11</v>
      </c>
      <c r="C39" s="25"/>
      <c r="D39" s="30" t="s">
        <v>275</v>
      </c>
      <c r="E39" s="25"/>
      <c r="F39" s="30" t="s">
        <v>231</v>
      </c>
      <c r="G39" s="30"/>
      <c r="H39" s="30" t="s">
        <v>231</v>
      </c>
      <c r="I39" s="30"/>
      <c r="J39" s="30" t="s">
        <v>232</v>
      </c>
      <c r="K39" s="30"/>
      <c r="L39" s="30" t="s">
        <v>232</v>
      </c>
      <c r="M39" s="30"/>
      <c r="N39" s="30" t="s">
        <v>233</v>
      </c>
      <c r="O39" s="30"/>
      <c r="P39" s="30"/>
      <c r="Q39" s="39"/>
      <c r="R39" s="38"/>
      <c r="S39" s="163"/>
      <c r="T39" s="163"/>
      <c r="U39" s="25"/>
      <c r="V39" s="5"/>
    </row>
    <row r="40" spans="1:22" ht="15.6" x14ac:dyDescent="0.3">
      <c r="A40" s="24"/>
      <c r="B40" s="25" t="s">
        <v>12</v>
      </c>
      <c r="C40" s="25"/>
      <c r="D40" s="38">
        <v>3.3313000000000001E-3</v>
      </c>
      <c r="E40" s="25"/>
      <c r="F40" s="38">
        <v>6.8812999999999999E-3</v>
      </c>
      <c r="G40" s="39"/>
      <c r="H40" s="38">
        <v>8.6199999999999992E-3</v>
      </c>
      <c r="I40" s="39"/>
      <c r="J40" s="38">
        <v>8.0812999999999996E-3</v>
      </c>
      <c r="K40" s="39"/>
      <c r="L40" s="38">
        <v>9.8200000000000006E-3</v>
      </c>
      <c r="M40" s="39"/>
      <c r="N40" s="38">
        <v>1.192E-2</v>
      </c>
      <c r="O40" s="39"/>
      <c r="P40" s="38"/>
      <c r="Q40" s="39"/>
      <c r="R40" s="38"/>
      <c r="S40" s="163"/>
      <c r="T40" s="30"/>
      <c r="U40" s="25"/>
      <c r="V40" s="5"/>
    </row>
    <row r="41" spans="1:22" ht="15.6" x14ac:dyDescent="0.3">
      <c r="A41" s="24"/>
      <c r="B41" s="25" t="s">
        <v>13</v>
      </c>
      <c r="C41" s="25"/>
      <c r="D41" s="38">
        <v>3.4337999999999999E-3</v>
      </c>
      <c r="E41" s="25"/>
      <c r="F41" s="38">
        <v>1.1121300000000001E-2</v>
      </c>
      <c r="G41" s="39"/>
      <c r="H41" s="38">
        <v>1.116E-2</v>
      </c>
      <c r="I41" s="39"/>
      <c r="J41" s="38">
        <v>1.23213E-2</v>
      </c>
      <c r="K41" s="39"/>
      <c r="L41" s="38">
        <v>1.2359999999999999E-2</v>
      </c>
      <c r="M41" s="39"/>
      <c r="N41" s="38">
        <v>1.4460000000000001E-2</v>
      </c>
      <c r="O41" s="39"/>
      <c r="P41" s="38"/>
      <c r="Q41" s="39"/>
      <c r="R41" s="38"/>
      <c r="S41" s="163"/>
      <c r="T41" s="39" t="s">
        <v>201</v>
      </c>
      <c r="U41" s="25"/>
      <c r="V41" s="5"/>
    </row>
    <row r="42" spans="1:22" ht="15.6" x14ac:dyDescent="0.3">
      <c r="A42" s="24"/>
      <c r="B42" s="25" t="s">
        <v>286</v>
      </c>
      <c r="C42" s="25"/>
      <c r="D42" s="30" t="s">
        <v>231</v>
      </c>
      <c r="E42" s="25"/>
      <c r="F42" s="30" t="s">
        <v>231</v>
      </c>
      <c r="G42" s="30"/>
      <c r="H42" s="30" t="s">
        <v>243</v>
      </c>
      <c r="I42" s="30"/>
      <c r="J42" s="30" t="s">
        <v>232</v>
      </c>
      <c r="K42" s="30"/>
      <c r="L42" s="30" t="s">
        <v>244</v>
      </c>
      <c r="M42" s="30"/>
      <c r="N42" s="30" t="s">
        <v>246</v>
      </c>
      <c r="O42" s="30"/>
      <c r="P42" s="30"/>
      <c r="Q42" s="39"/>
      <c r="R42" s="38"/>
      <c r="S42" s="163"/>
      <c r="T42" s="163"/>
      <c r="U42" s="25"/>
      <c r="V42" s="5"/>
    </row>
    <row r="43" spans="1:22" ht="15.6" x14ac:dyDescent="0.3">
      <c r="A43" s="24"/>
      <c r="B43" s="25" t="s">
        <v>287</v>
      </c>
      <c r="C43" s="110"/>
      <c r="D43" s="38">
        <v>6.9175E-3</v>
      </c>
      <c r="E43" s="38"/>
      <c r="F43" s="38">
        <f>+F40</f>
        <v>6.8812999999999999E-3</v>
      </c>
      <c r="G43" s="38"/>
      <c r="H43" s="38">
        <v>6.8792999999999997E-3</v>
      </c>
      <c r="I43" s="38"/>
      <c r="J43" s="38">
        <f>+J40</f>
        <v>8.0812999999999996E-3</v>
      </c>
      <c r="K43" s="38"/>
      <c r="L43" s="38">
        <v>8.2343E-3</v>
      </c>
      <c r="M43" s="38"/>
      <c r="N43" s="38">
        <v>1.05863E-2</v>
      </c>
      <c r="O43" s="39"/>
      <c r="P43" s="38"/>
      <c r="Q43" s="30"/>
      <c r="R43" s="30"/>
      <c r="S43" s="163"/>
      <c r="T43" s="39">
        <f>SUMPRODUCT(D43:N43,D35:N35)/T35</f>
        <v>7.4210852711294253E-3</v>
      </c>
      <c r="U43" s="25"/>
      <c r="V43" s="5"/>
    </row>
    <row r="44" spans="1:22" ht="15.6" x14ac:dyDescent="0.3">
      <c r="A44" s="24"/>
      <c r="B44" s="25" t="s">
        <v>288</v>
      </c>
      <c r="C44" s="110"/>
      <c r="D44" s="38">
        <v>1.1157500000000001E-2</v>
      </c>
      <c r="E44" s="38"/>
      <c r="F44" s="38">
        <f>+F41</f>
        <v>1.1121300000000001E-2</v>
      </c>
      <c r="G44" s="38"/>
      <c r="H44" s="38">
        <v>1.11193E-2</v>
      </c>
      <c r="I44" s="38"/>
      <c r="J44" s="38">
        <f>+J41</f>
        <v>1.23213E-2</v>
      </c>
      <c r="K44" s="38"/>
      <c r="L44" s="38">
        <v>1.2474300000000001E-2</v>
      </c>
      <c r="M44" s="38"/>
      <c r="N44" s="38">
        <v>1.4826300000000001E-2</v>
      </c>
      <c r="O44" s="39"/>
      <c r="P44" s="38"/>
      <c r="Q44" s="30"/>
      <c r="R44" s="30"/>
      <c r="S44" s="163"/>
      <c r="T44" s="163"/>
      <c r="U44" s="25"/>
      <c r="V44" s="5"/>
    </row>
    <row r="45" spans="1:22" ht="15.6" x14ac:dyDescent="0.3">
      <c r="A45" s="24"/>
      <c r="B45" s="25" t="s">
        <v>14</v>
      </c>
      <c r="C45" s="25"/>
      <c r="D45" s="110">
        <v>40283</v>
      </c>
      <c r="E45" s="110"/>
      <c r="F45" s="110">
        <v>40283</v>
      </c>
      <c r="G45" s="110"/>
      <c r="H45" s="110">
        <v>40283</v>
      </c>
      <c r="I45" s="110"/>
      <c r="J45" s="110">
        <v>40283</v>
      </c>
      <c r="K45" s="110"/>
      <c r="L45" s="110">
        <v>40283</v>
      </c>
      <c r="M45" s="110"/>
      <c r="N45" s="110">
        <v>40283</v>
      </c>
      <c r="O45" s="110"/>
      <c r="P45" s="110"/>
      <c r="Q45" s="30"/>
      <c r="R45" s="30"/>
      <c r="S45" s="163"/>
      <c r="T45" s="163"/>
      <c r="U45" s="25"/>
      <c r="V45" s="5"/>
    </row>
    <row r="46" spans="1:22" ht="15.6" x14ac:dyDescent="0.3">
      <c r="A46" s="24"/>
      <c r="B46" s="25" t="s">
        <v>15</v>
      </c>
      <c r="C46" s="25"/>
      <c r="D46" s="110">
        <v>40648</v>
      </c>
      <c r="E46" s="110"/>
      <c r="F46" s="110">
        <v>40648</v>
      </c>
      <c r="G46" s="110"/>
      <c r="H46" s="110">
        <v>40648</v>
      </c>
      <c r="I46" s="30"/>
      <c r="J46" s="110">
        <v>40648</v>
      </c>
      <c r="K46" s="30"/>
      <c r="L46" s="110">
        <v>40648</v>
      </c>
      <c r="M46" s="30"/>
      <c r="N46" s="110">
        <v>40648</v>
      </c>
      <c r="O46" s="30"/>
      <c r="P46" s="110"/>
      <c r="Q46" s="30"/>
      <c r="R46" s="30"/>
      <c r="S46" s="163"/>
      <c r="T46" s="163"/>
      <c r="U46" s="25"/>
      <c r="V46" s="5"/>
    </row>
    <row r="47" spans="1:22" ht="15.6" x14ac:dyDescent="0.3">
      <c r="A47" s="24"/>
      <c r="B47" s="25" t="s">
        <v>125</v>
      </c>
      <c r="C47" s="25"/>
      <c r="D47" s="160" t="s">
        <v>124</v>
      </c>
      <c r="E47" s="25"/>
      <c r="F47" s="30" t="s">
        <v>232</v>
      </c>
      <c r="G47" s="30"/>
      <c r="H47" s="30" t="s">
        <v>232</v>
      </c>
      <c r="I47" s="30"/>
      <c r="J47" s="30" t="s">
        <v>234</v>
      </c>
      <c r="K47" s="30"/>
      <c r="L47" s="30" t="s">
        <v>234</v>
      </c>
      <c r="M47" s="30"/>
      <c r="N47" s="30" t="s">
        <v>235</v>
      </c>
      <c r="O47" s="30"/>
      <c r="P47" s="30"/>
      <c r="Q47" s="40"/>
      <c r="R47" s="40"/>
      <c r="S47" s="40"/>
      <c r="T47" s="40"/>
      <c r="U47" s="25"/>
      <c r="V47" s="5"/>
    </row>
    <row r="48" spans="1:22" ht="15.6" x14ac:dyDescent="0.3">
      <c r="A48" s="24"/>
      <c r="B48" s="25" t="s">
        <v>289</v>
      </c>
      <c r="C48" s="25"/>
      <c r="D48" s="30" t="s">
        <v>208</v>
      </c>
      <c r="E48" s="25"/>
      <c r="F48" s="30" t="s">
        <v>232</v>
      </c>
      <c r="G48" s="30"/>
      <c r="H48" s="30" t="s">
        <v>232</v>
      </c>
      <c r="I48" s="30"/>
      <c r="J48" s="30" t="s">
        <v>234</v>
      </c>
      <c r="K48" s="30"/>
      <c r="L48" s="30" t="s">
        <v>245</v>
      </c>
      <c r="M48" s="30"/>
      <c r="N48" s="30" t="s">
        <v>247</v>
      </c>
      <c r="O48" s="30"/>
      <c r="P48" s="30"/>
      <c r="Q48" s="25"/>
      <c r="R48" s="25"/>
      <c r="S48" s="25"/>
      <c r="T48" s="39"/>
      <c r="U48" s="25"/>
      <c r="V48" s="5"/>
    </row>
    <row r="49" spans="1:23" ht="15.6" x14ac:dyDescent="0.3">
      <c r="A49" s="24"/>
      <c r="B49" s="25"/>
      <c r="C49" s="25"/>
      <c r="D49" s="30"/>
      <c r="E49" s="25"/>
      <c r="F49" s="30"/>
      <c r="G49" s="30"/>
      <c r="H49" s="30"/>
      <c r="I49" s="30"/>
      <c r="J49" s="30"/>
      <c r="K49" s="30"/>
      <c r="L49" s="30"/>
      <c r="M49" s="30"/>
      <c r="N49" s="30"/>
      <c r="O49" s="30"/>
      <c r="P49" s="30"/>
      <c r="Q49" s="25"/>
      <c r="R49" s="25"/>
      <c r="S49" s="25"/>
      <c r="T49" s="39" t="s">
        <v>201</v>
      </c>
      <c r="U49" s="25"/>
      <c r="V49" s="5"/>
    </row>
    <row r="50" spans="1:23" ht="15.6" x14ac:dyDescent="0.3">
      <c r="A50" s="24"/>
      <c r="B50" s="25" t="s">
        <v>176</v>
      </c>
      <c r="C50" s="25"/>
      <c r="D50" s="30"/>
      <c r="E50" s="25"/>
      <c r="F50" s="30"/>
      <c r="G50" s="30"/>
      <c r="H50" s="30"/>
      <c r="I50" s="30"/>
      <c r="J50" s="30"/>
      <c r="K50" s="30"/>
      <c r="L50" s="30"/>
      <c r="M50" s="30"/>
      <c r="N50" s="30"/>
      <c r="O50" s="30"/>
      <c r="P50" s="30"/>
      <c r="Q50" s="25"/>
      <c r="R50" s="25"/>
      <c r="S50" s="25"/>
      <c r="T50" s="39">
        <f>SUM(J34:P34)/SUM(D34:H34)</f>
        <v>0.15279804679664968</v>
      </c>
      <c r="U50" s="25"/>
      <c r="V50" s="5"/>
    </row>
    <row r="51" spans="1:23" ht="15.6" x14ac:dyDescent="0.3">
      <c r="A51" s="24"/>
      <c r="B51" s="25" t="s">
        <v>177</v>
      </c>
      <c r="C51" s="25"/>
      <c r="D51" s="25"/>
      <c r="E51" s="25"/>
      <c r="F51" s="41"/>
      <c r="G51" s="25"/>
      <c r="H51" s="25"/>
      <c r="I51" s="25"/>
      <c r="J51" s="25"/>
      <c r="K51" s="25"/>
      <c r="L51" s="25"/>
      <c r="M51" s="25"/>
      <c r="N51" s="25"/>
      <c r="O51" s="25"/>
      <c r="P51" s="25"/>
      <c r="Q51" s="25"/>
      <c r="R51" s="25"/>
      <c r="S51" s="25"/>
      <c r="T51" s="39">
        <f>SUM(J36:P36)/SUM(D36:H36)</f>
        <v>0.28048086201652184</v>
      </c>
      <c r="U51" s="25"/>
      <c r="V51" s="5"/>
    </row>
    <row r="52" spans="1:23" ht="15.6" x14ac:dyDescent="0.3">
      <c r="A52" s="24"/>
      <c r="B52" s="25" t="s">
        <v>178</v>
      </c>
      <c r="C52" s="25"/>
      <c r="D52" s="25"/>
      <c r="E52" s="25"/>
      <c r="F52" s="25"/>
      <c r="G52" s="25"/>
      <c r="H52" s="25"/>
      <c r="I52" s="25"/>
      <c r="J52" s="25"/>
      <c r="K52" s="25"/>
      <c r="L52" s="25"/>
      <c r="M52" s="25"/>
      <c r="N52" s="25"/>
      <c r="O52" s="25"/>
      <c r="P52" s="25"/>
      <c r="Q52" s="25"/>
      <c r="R52" s="30" t="s">
        <v>109</v>
      </c>
      <c r="S52" s="30" t="s">
        <v>115</v>
      </c>
      <c r="T52" s="31">
        <f>+T34/2-SUM(J34:P34)</f>
        <v>367473</v>
      </c>
      <c r="U52" s="25"/>
      <c r="V52" s="5"/>
    </row>
    <row r="53" spans="1:23" ht="15.6" x14ac:dyDescent="0.3">
      <c r="A53" s="24"/>
      <c r="B53" s="25"/>
      <c r="C53" s="25"/>
      <c r="D53" s="25"/>
      <c r="E53" s="25"/>
      <c r="F53" s="25"/>
      <c r="G53" s="25"/>
      <c r="H53" s="25"/>
      <c r="I53" s="25"/>
      <c r="J53" s="25"/>
      <c r="K53" s="25"/>
      <c r="L53" s="25"/>
      <c r="M53" s="25"/>
      <c r="N53" s="25"/>
      <c r="O53" s="25"/>
      <c r="P53" s="25"/>
      <c r="Q53" s="25"/>
      <c r="R53" s="25"/>
      <c r="S53" s="25"/>
      <c r="T53" s="42"/>
      <c r="U53" s="25"/>
      <c r="V53" s="5"/>
    </row>
    <row r="54" spans="1:23" ht="15.6" x14ac:dyDescent="0.3">
      <c r="A54" s="24"/>
      <c r="B54" s="25" t="s">
        <v>211</v>
      </c>
      <c r="C54" s="25"/>
      <c r="D54" s="25"/>
      <c r="E54" s="25"/>
      <c r="F54" s="25"/>
      <c r="G54" s="25"/>
      <c r="H54" s="25"/>
      <c r="I54" s="25"/>
      <c r="J54" s="25"/>
      <c r="K54" s="25"/>
      <c r="L54" s="25"/>
      <c r="M54" s="25"/>
      <c r="N54" s="25"/>
      <c r="O54" s="25"/>
      <c r="P54" s="25"/>
      <c r="Q54" s="25"/>
      <c r="R54" s="25"/>
      <c r="S54" s="25"/>
      <c r="T54" s="156" t="s">
        <v>212</v>
      </c>
      <c r="U54" s="25"/>
      <c r="V54" s="5"/>
    </row>
    <row r="55" spans="1:23" ht="15.6" x14ac:dyDescent="0.3">
      <c r="A55" s="24"/>
      <c r="B55" s="25" t="s">
        <v>253</v>
      </c>
      <c r="C55" s="25"/>
      <c r="D55" s="25"/>
      <c r="E55" s="25"/>
      <c r="F55" s="25"/>
      <c r="G55" s="25"/>
      <c r="H55" s="25"/>
      <c r="I55" s="25"/>
      <c r="J55" s="25"/>
      <c r="K55" s="25"/>
      <c r="L55" s="25"/>
      <c r="M55" s="25"/>
      <c r="N55" s="25"/>
      <c r="O55" s="25"/>
      <c r="P55" s="25"/>
      <c r="Q55" s="25"/>
      <c r="R55" s="30"/>
      <c r="S55" s="30"/>
      <c r="T55" s="157" t="s">
        <v>117</v>
      </c>
      <c r="U55" s="25"/>
      <c r="V55" s="5"/>
    </row>
    <row r="56" spans="1:23" ht="15.6" x14ac:dyDescent="0.3">
      <c r="A56" s="24"/>
      <c r="B56" s="29" t="s">
        <v>210</v>
      </c>
      <c r="C56" s="29"/>
      <c r="D56" s="29"/>
      <c r="E56" s="29"/>
      <c r="F56" s="29"/>
      <c r="G56" s="29"/>
      <c r="H56" s="29"/>
      <c r="I56" s="29"/>
      <c r="J56" s="29"/>
      <c r="K56" s="29"/>
      <c r="L56" s="29"/>
      <c r="M56" s="29"/>
      <c r="N56" s="29"/>
      <c r="O56" s="29"/>
      <c r="P56" s="29"/>
      <c r="Q56" s="29"/>
      <c r="R56" s="43"/>
      <c r="S56" s="43"/>
      <c r="T56" s="44">
        <v>40193</v>
      </c>
      <c r="U56" s="25"/>
      <c r="V56" s="5"/>
    </row>
    <row r="57" spans="1:23" ht="15.6" x14ac:dyDescent="0.3">
      <c r="A57" s="24"/>
      <c r="B57" s="25" t="s">
        <v>127</v>
      </c>
      <c r="C57" s="25"/>
      <c r="D57" s="25"/>
      <c r="E57" s="25"/>
      <c r="F57" s="25"/>
      <c r="G57" s="25"/>
      <c r="H57" s="58"/>
      <c r="I57" s="58"/>
      <c r="J57" s="58"/>
      <c r="K57" s="58"/>
      <c r="L57" s="58"/>
      <c r="M57" s="58"/>
      <c r="N57" s="58"/>
      <c r="O57" s="58"/>
      <c r="P57" s="25">
        <f>+T57-R57+1</f>
        <v>92</v>
      </c>
      <c r="Q57" s="58"/>
      <c r="R57" s="45">
        <v>40009</v>
      </c>
      <c r="S57" s="46"/>
      <c r="T57" s="45">
        <v>40100</v>
      </c>
      <c r="U57" s="25"/>
      <c r="V57" s="5"/>
    </row>
    <row r="58" spans="1:23" ht="15.6" x14ac:dyDescent="0.3">
      <c r="A58" s="24"/>
      <c r="B58" s="25" t="s">
        <v>128</v>
      </c>
      <c r="C58" s="25"/>
      <c r="D58" s="25"/>
      <c r="E58" s="25"/>
      <c r="F58" s="25"/>
      <c r="G58" s="25"/>
      <c r="H58" s="25"/>
      <c r="I58" s="25"/>
      <c r="J58" s="25"/>
      <c r="K58" s="25"/>
      <c r="L58" s="25"/>
      <c r="M58" s="25"/>
      <c r="N58" s="25"/>
      <c r="O58" s="25"/>
      <c r="P58" s="25">
        <f>+T58-R58+1</f>
        <v>92</v>
      </c>
      <c r="Q58" s="25"/>
      <c r="R58" s="45">
        <v>40101</v>
      </c>
      <c r="S58" s="46"/>
      <c r="T58" s="45">
        <v>40192</v>
      </c>
      <c r="U58" s="25"/>
      <c r="V58" s="5"/>
    </row>
    <row r="59" spans="1:23" ht="15.6" x14ac:dyDescent="0.3">
      <c r="A59" s="24"/>
      <c r="B59" s="25" t="s">
        <v>209</v>
      </c>
      <c r="C59" s="25"/>
      <c r="D59" s="25"/>
      <c r="E59" s="25"/>
      <c r="F59" s="25"/>
      <c r="G59" s="25"/>
      <c r="H59" s="25"/>
      <c r="I59" s="25"/>
      <c r="J59" s="25"/>
      <c r="K59" s="25"/>
      <c r="L59" s="25"/>
      <c r="M59" s="25"/>
      <c r="N59" s="25"/>
      <c r="O59" s="25"/>
      <c r="P59" s="25"/>
      <c r="Q59" s="25"/>
      <c r="R59" s="45"/>
      <c r="S59" s="46"/>
      <c r="T59" s="45" t="s">
        <v>126</v>
      </c>
      <c r="U59" s="25"/>
      <c r="V59" s="5"/>
    </row>
    <row r="60" spans="1:23" ht="15.6" x14ac:dyDescent="0.3">
      <c r="A60" s="24"/>
      <c r="B60" s="25" t="s">
        <v>249</v>
      </c>
      <c r="C60" s="25"/>
      <c r="D60" s="25"/>
      <c r="E60" s="25"/>
      <c r="F60" s="25"/>
      <c r="G60" s="25"/>
      <c r="H60" s="25"/>
      <c r="I60" s="25"/>
      <c r="J60" s="25"/>
      <c r="K60" s="25"/>
      <c r="L60" s="25"/>
      <c r="M60" s="25"/>
      <c r="N60" s="25"/>
      <c r="O60" s="25"/>
      <c r="P60" s="25"/>
      <c r="Q60" s="25"/>
      <c r="R60" s="45"/>
      <c r="S60" s="46"/>
      <c r="T60" s="45" t="s">
        <v>160</v>
      </c>
      <c r="U60" s="25"/>
      <c r="V60" s="5"/>
      <c r="W60" s="134"/>
    </row>
    <row r="61" spans="1:23" ht="15.6" x14ac:dyDescent="0.3">
      <c r="A61" s="24"/>
      <c r="B61" s="25" t="s">
        <v>16</v>
      </c>
      <c r="C61" s="25"/>
      <c r="D61" s="25"/>
      <c r="E61" s="25"/>
      <c r="F61" s="25"/>
      <c r="G61" s="25"/>
      <c r="H61" s="25"/>
      <c r="I61" s="25"/>
      <c r="J61" s="25"/>
      <c r="K61" s="25"/>
      <c r="L61" s="25"/>
      <c r="M61" s="25"/>
      <c r="N61" s="25"/>
      <c r="O61" s="25"/>
      <c r="P61" s="25"/>
      <c r="Q61" s="25"/>
      <c r="R61" s="45"/>
      <c r="S61" s="46"/>
      <c r="T61" s="45">
        <v>40182</v>
      </c>
      <c r="U61" s="25"/>
      <c r="V61" s="5"/>
    </row>
    <row r="62" spans="1:23" ht="15.6" x14ac:dyDescent="0.3">
      <c r="A62" s="24"/>
      <c r="B62" s="25"/>
      <c r="C62" s="25"/>
      <c r="D62" s="25"/>
      <c r="E62" s="25"/>
      <c r="F62" s="25"/>
      <c r="G62" s="25"/>
      <c r="H62" s="25"/>
      <c r="I62" s="25"/>
      <c r="J62" s="25"/>
      <c r="K62" s="25"/>
      <c r="L62" s="25"/>
      <c r="M62" s="25"/>
      <c r="N62" s="25"/>
      <c r="O62" s="25"/>
      <c r="P62" s="25"/>
      <c r="Q62" s="25"/>
      <c r="R62" s="45"/>
      <c r="S62" s="46"/>
      <c r="T62" s="45"/>
      <c r="U62" s="25"/>
      <c r="V62" s="5"/>
    </row>
    <row r="63" spans="1:23" ht="15.6" x14ac:dyDescent="0.3">
      <c r="A63" s="6"/>
      <c r="B63" s="8"/>
      <c r="C63" s="8"/>
      <c r="D63" s="8"/>
      <c r="E63" s="8"/>
      <c r="F63" s="8"/>
      <c r="G63" s="8"/>
      <c r="H63" s="8"/>
      <c r="I63" s="8"/>
      <c r="J63" s="8"/>
      <c r="K63" s="8"/>
      <c r="L63" s="8"/>
      <c r="M63" s="8"/>
      <c r="N63" s="8"/>
      <c r="O63" s="8"/>
      <c r="P63" s="8"/>
      <c r="Q63" s="8"/>
      <c r="R63" s="47"/>
      <c r="S63" s="48"/>
      <c r="T63" s="47"/>
      <c r="U63" s="8"/>
      <c r="V63" s="5"/>
    </row>
    <row r="64" spans="1:23" ht="18" thickBot="1" x14ac:dyDescent="0.35">
      <c r="A64" s="101"/>
      <c r="B64" s="102" t="s">
        <v>291</v>
      </c>
      <c r="C64" s="103"/>
      <c r="D64" s="103"/>
      <c r="E64" s="103"/>
      <c r="F64" s="103"/>
      <c r="G64" s="103"/>
      <c r="H64" s="103"/>
      <c r="I64" s="103"/>
      <c r="J64" s="103"/>
      <c r="K64" s="103"/>
      <c r="L64" s="103"/>
      <c r="M64" s="103"/>
      <c r="N64" s="103"/>
      <c r="O64" s="103"/>
      <c r="P64" s="103"/>
      <c r="Q64" s="103"/>
      <c r="R64" s="103"/>
      <c r="S64" s="103"/>
      <c r="T64" s="104"/>
      <c r="U64" s="105"/>
      <c r="V64" s="5"/>
    </row>
    <row r="65" spans="1:22" ht="15.6" x14ac:dyDescent="0.3">
      <c r="A65" s="2"/>
      <c r="B65" s="4"/>
      <c r="C65" s="4"/>
      <c r="D65" s="4"/>
      <c r="E65" s="4"/>
      <c r="F65" s="4"/>
      <c r="G65" s="4"/>
      <c r="H65" s="4"/>
      <c r="I65" s="4"/>
      <c r="J65" s="4"/>
      <c r="K65" s="4"/>
      <c r="L65" s="4"/>
      <c r="M65" s="4"/>
      <c r="N65" s="4"/>
      <c r="O65" s="4"/>
      <c r="P65" s="4"/>
      <c r="Q65" s="4"/>
      <c r="R65" s="4"/>
      <c r="S65" s="4"/>
      <c r="T65" s="50"/>
      <c r="U65" s="4"/>
      <c r="V65" s="5"/>
    </row>
    <row r="66" spans="1:22" ht="15.6" x14ac:dyDescent="0.3">
      <c r="A66" s="6"/>
      <c r="B66" s="51" t="s">
        <v>17</v>
      </c>
      <c r="C66" s="8"/>
      <c r="D66" s="8"/>
      <c r="E66" s="8"/>
      <c r="F66" s="8"/>
      <c r="G66" s="8"/>
      <c r="H66" s="8"/>
      <c r="I66" s="8"/>
      <c r="J66" s="8"/>
      <c r="K66" s="8"/>
      <c r="L66" s="8"/>
      <c r="M66" s="8"/>
      <c r="N66" s="8"/>
      <c r="O66" s="8"/>
      <c r="P66" s="8"/>
      <c r="Q66" s="8"/>
      <c r="R66" s="8"/>
      <c r="S66" s="8"/>
      <c r="T66" s="52"/>
      <c r="U66" s="8"/>
      <c r="V66" s="5"/>
    </row>
    <row r="67" spans="1:22" ht="15.6" x14ac:dyDescent="0.3">
      <c r="A67" s="6"/>
      <c r="B67" s="13"/>
      <c r="C67" s="8"/>
      <c r="D67" s="8"/>
      <c r="E67" s="8"/>
      <c r="F67" s="8"/>
      <c r="G67" s="8"/>
      <c r="H67" s="8"/>
      <c r="I67" s="8"/>
      <c r="J67" s="8"/>
      <c r="K67" s="8"/>
      <c r="L67" s="8"/>
      <c r="M67" s="8"/>
      <c r="N67" s="8"/>
      <c r="O67" s="8"/>
      <c r="P67" s="8"/>
      <c r="Q67" s="8"/>
      <c r="R67" s="8"/>
      <c r="S67" s="8"/>
      <c r="T67" s="52"/>
      <c r="U67" s="8"/>
      <c r="V67" s="5"/>
    </row>
    <row r="68" spans="1:22" ht="46.8" x14ac:dyDescent="0.3">
      <c r="A68" s="6"/>
      <c r="B68" s="114" t="s">
        <v>18</v>
      </c>
      <c r="C68" s="115"/>
      <c r="D68" s="115"/>
      <c r="E68" s="115"/>
      <c r="F68" s="115"/>
      <c r="G68" s="115"/>
      <c r="H68" s="115"/>
      <c r="I68" s="115"/>
      <c r="J68" s="115" t="s">
        <v>97</v>
      </c>
      <c r="K68" s="115"/>
      <c r="L68" s="115" t="s">
        <v>99</v>
      </c>
      <c r="M68" s="115"/>
      <c r="N68" s="115" t="s">
        <v>101</v>
      </c>
      <c r="O68" s="115"/>
      <c r="P68" s="115" t="s">
        <v>103</v>
      </c>
      <c r="Q68" s="115"/>
      <c r="R68" s="115" t="s">
        <v>110</v>
      </c>
      <c r="S68" s="115"/>
      <c r="T68" s="116" t="s">
        <v>118</v>
      </c>
      <c r="U68" s="117"/>
      <c r="V68" s="5"/>
    </row>
    <row r="69" spans="1:22" ht="15.6" x14ac:dyDescent="0.3">
      <c r="A69" s="24"/>
      <c r="B69" s="25" t="s">
        <v>19</v>
      </c>
      <c r="C69" s="34"/>
      <c r="D69" s="34"/>
      <c r="E69" s="34"/>
      <c r="F69" s="34"/>
      <c r="G69" s="34"/>
      <c r="H69" s="34"/>
      <c r="I69" s="34"/>
      <c r="J69" s="34">
        <v>1000039</v>
      </c>
      <c r="K69" s="34"/>
      <c r="L69" s="53">
        <v>609872</v>
      </c>
      <c r="M69" s="34"/>
      <c r="N69" s="34">
        <f>4731+664+206</f>
        <v>5601</v>
      </c>
      <c r="O69" s="34"/>
      <c r="P69" s="34">
        <f>664+206</f>
        <v>870</v>
      </c>
      <c r="Q69" s="34"/>
      <c r="R69" s="34">
        <v>0</v>
      </c>
      <c r="S69" s="34"/>
      <c r="T69" s="53">
        <f>+L69-N69+P69-R69</f>
        <v>605141</v>
      </c>
      <c r="U69" s="25"/>
      <c r="V69" s="5"/>
    </row>
    <row r="70" spans="1:22" ht="15.6" x14ac:dyDescent="0.3">
      <c r="A70" s="24"/>
      <c r="B70" s="25" t="s">
        <v>20</v>
      </c>
      <c r="C70" s="34"/>
      <c r="D70" s="34"/>
      <c r="E70" s="34"/>
      <c r="F70" s="34"/>
      <c r="G70" s="34"/>
      <c r="H70" s="34"/>
      <c r="I70" s="34"/>
      <c r="J70" s="34">
        <v>10</v>
      </c>
      <c r="K70" s="34"/>
      <c r="L70" s="53">
        <v>0</v>
      </c>
      <c r="M70" s="34"/>
      <c r="N70" s="34">
        <v>0</v>
      </c>
      <c r="O70" s="34"/>
      <c r="P70" s="34">
        <v>0</v>
      </c>
      <c r="Q70" s="34"/>
      <c r="R70" s="34">
        <v>0</v>
      </c>
      <c r="S70" s="34"/>
      <c r="T70" s="53">
        <v>0</v>
      </c>
      <c r="U70" s="25"/>
      <c r="V70" s="5"/>
    </row>
    <row r="71" spans="1:22" ht="15.6" x14ac:dyDescent="0.3">
      <c r="A71" s="24"/>
      <c r="B71" s="25"/>
      <c r="C71" s="34"/>
      <c r="D71" s="34"/>
      <c r="E71" s="34"/>
      <c r="F71" s="34"/>
      <c r="G71" s="34"/>
      <c r="H71" s="34"/>
      <c r="I71" s="34"/>
      <c r="J71" s="34"/>
      <c r="K71" s="34"/>
      <c r="L71" s="53"/>
      <c r="M71" s="34"/>
      <c r="N71" s="34"/>
      <c r="O71" s="34"/>
      <c r="P71" s="34"/>
      <c r="Q71" s="34"/>
      <c r="R71" s="34"/>
      <c r="S71" s="34"/>
      <c r="T71" s="53"/>
      <c r="U71" s="25"/>
      <c r="V71" s="5"/>
    </row>
    <row r="72" spans="1:22" ht="15.6" x14ac:dyDescent="0.3">
      <c r="A72" s="24"/>
      <c r="B72" s="25" t="s">
        <v>21</v>
      </c>
      <c r="C72" s="34"/>
      <c r="D72" s="34"/>
      <c r="E72" s="34"/>
      <c r="F72" s="34"/>
      <c r="G72" s="34"/>
      <c r="H72" s="34"/>
      <c r="I72" s="34"/>
      <c r="J72" s="34">
        <f>SUM(J69:J71)</f>
        <v>1000049</v>
      </c>
      <c r="K72" s="34"/>
      <c r="L72" s="54">
        <f>L69+L70</f>
        <v>609872</v>
      </c>
      <c r="M72" s="34"/>
      <c r="N72" s="34">
        <f>SUM(N69:N71)</f>
        <v>5601</v>
      </c>
      <c r="O72" s="34"/>
      <c r="P72" s="34">
        <f>SUM(P69:P71)</f>
        <v>870</v>
      </c>
      <c r="Q72" s="34"/>
      <c r="R72" s="34">
        <f>SUM(R69:R71)</f>
        <v>0</v>
      </c>
      <c r="S72" s="34"/>
      <c r="T72" s="54">
        <f>SUM(T69:T71)</f>
        <v>605141</v>
      </c>
      <c r="U72" s="25"/>
      <c r="V72" s="5"/>
    </row>
    <row r="73" spans="1:22" ht="15.6" x14ac:dyDescent="0.3">
      <c r="A73" s="24"/>
      <c r="B73" s="25"/>
      <c r="C73" s="34"/>
      <c r="D73" s="34"/>
      <c r="E73" s="34"/>
      <c r="F73" s="34"/>
      <c r="G73" s="34"/>
      <c r="H73" s="34"/>
      <c r="I73" s="34"/>
      <c r="J73" s="34"/>
      <c r="K73" s="34"/>
      <c r="L73" s="34"/>
      <c r="M73" s="34"/>
      <c r="N73" s="34"/>
      <c r="O73" s="34"/>
      <c r="P73" s="34"/>
      <c r="Q73" s="34"/>
      <c r="R73" s="34"/>
      <c r="S73" s="34"/>
      <c r="T73" s="54"/>
      <c r="U73" s="25"/>
      <c r="V73" s="5"/>
    </row>
    <row r="74" spans="1:22" ht="15.6" x14ac:dyDescent="0.3">
      <c r="A74" s="6"/>
      <c r="B74" s="111" t="s">
        <v>22</v>
      </c>
      <c r="C74" s="55"/>
      <c r="D74" s="55"/>
      <c r="E74" s="55"/>
      <c r="F74" s="55"/>
      <c r="G74" s="55"/>
      <c r="H74" s="55"/>
      <c r="I74" s="55"/>
      <c r="J74" s="55"/>
      <c r="K74" s="55"/>
      <c r="L74" s="55"/>
      <c r="M74" s="55"/>
      <c r="N74" s="55"/>
      <c r="O74" s="55"/>
      <c r="P74" s="55"/>
      <c r="Q74" s="55"/>
      <c r="R74" s="55"/>
      <c r="S74" s="55"/>
      <c r="T74" s="56"/>
      <c r="U74" s="8"/>
      <c r="V74" s="5"/>
    </row>
    <row r="75" spans="1:22" ht="15.6" x14ac:dyDescent="0.3">
      <c r="A75" s="6"/>
      <c r="B75" s="8"/>
      <c r="C75" s="55"/>
      <c r="D75" s="55"/>
      <c r="E75" s="55"/>
      <c r="F75" s="55"/>
      <c r="G75" s="55"/>
      <c r="H75" s="55"/>
      <c r="I75" s="55"/>
      <c r="J75" s="55"/>
      <c r="K75" s="55"/>
      <c r="L75" s="55"/>
      <c r="M75" s="55"/>
      <c r="N75" s="55"/>
      <c r="O75" s="55"/>
      <c r="P75" s="55"/>
      <c r="Q75" s="55"/>
      <c r="R75" s="55"/>
      <c r="S75" s="55"/>
      <c r="T75" s="56"/>
      <c r="U75" s="8"/>
      <c r="V75" s="5"/>
    </row>
    <row r="76" spans="1:22" ht="15.6" x14ac:dyDescent="0.3">
      <c r="A76" s="24"/>
      <c r="B76" s="25" t="s">
        <v>19</v>
      </c>
      <c r="C76" s="34"/>
      <c r="D76" s="34"/>
      <c r="E76" s="34"/>
      <c r="F76" s="34"/>
      <c r="G76" s="34"/>
      <c r="H76" s="34"/>
      <c r="I76" s="34"/>
      <c r="J76" s="34"/>
      <c r="K76" s="34"/>
      <c r="L76" s="34"/>
      <c r="M76" s="34"/>
      <c r="N76" s="34"/>
      <c r="O76" s="34"/>
      <c r="P76" s="34"/>
      <c r="Q76" s="34"/>
      <c r="R76" s="34"/>
      <c r="S76" s="34"/>
      <c r="T76" s="54"/>
      <c r="U76" s="25"/>
      <c r="V76" s="5"/>
    </row>
    <row r="77" spans="1:22" ht="15.6" x14ac:dyDescent="0.3">
      <c r="A77" s="24"/>
      <c r="B77" s="25" t="s">
        <v>20</v>
      </c>
      <c r="C77" s="34"/>
      <c r="D77" s="34"/>
      <c r="E77" s="34"/>
      <c r="F77" s="34"/>
      <c r="G77" s="34"/>
      <c r="H77" s="34"/>
      <c r="I77" s="34"/>
      <c r="J77" s="34"/>
      <c r="K77" s="34"/>
      <c r="L77" s="34"/>
      <c r="M77" s="34"/>
      <c r="N77" s="34"/>
      <c r="O77" s="34"/>
      <c r="P77" s="34"/>
      <c r="Q77" s="34"/>
      <c r="R77" s="34"/>
      <c r="S77" s="34"/>
      <c r="T77" s="54"/>
      <c r="U77" s="25"/>
      <c r="V77" s="5"/>
    </row>
    <row r="78" spans="1:22" ht="15.6" x14ac:dyDescent="0.3">
      <c r="A78" s="24"/>
      <c r="B78" s="25"/>
      <c r="C78" s="34"/>
      <c r="D78" s="34"/>
      <c r="E78" s="34"/>
      <c r="F78" s="34"/>
      <c r="G78" s="34"/>
      <c r="H78" s="34"/>
      <c r="I78" s="34"/>
      <c r="J78" s="34"/>
      <c r="K78" s="34"/>
      <c r="L78" s="34"/>
      <c r="M78" s="34"/>
      <c r="N78" s="34"/>
      <c r="O78" s="34"/>
      <c r="P78" s="34"/>
      <c r="Q78" s="34"/>
      <c r="R78" s="34"/>
      <c r="S78" s="34"/>
      <c r="T78" s="54"/>
      <c r="U78" s="25"/>
      <c r="V78" s="5"/>
    </row>
    <row r="79" spans="1:22" ht="15.6" x14ac:dyDescent="0.3">
      <c r="A79" s="24"/>
      <c r="B79" s="25" t="s">
        <v>21</v>
      </c>
      <c r="C79" s="34"/>
      <c r="D79" s="34"/>
      <c r="E79" s="34"/>
      <c r="F79" s="34"/>
      <c r="G79" s="34"/>
      <c r="H79" s="34"/>
      <c r="I79" s="34"/>
      <c r="J79" s="34"/>
      <c r="K79" s="34"/>
      <c r="L79" s="34"/>
      <c r="M79" s="34"/>
      <c r="N79" s="34"/>
      <c r="O79" s="34"/>
      <c r="P79" s="34"/>
      <c r="Q79" s="34"/>
      <c r="R79" s="34"/>
      <c r="S79" s="34"/>
      <c r="T79" s="34"/>
      <c r="U79" s="25"/>
      <c r="V79" s="5"/>
    </row>
    <row r="80" spans="1:22" ht="15.6" x14ac:dyDescent="0.3">
      <c r="A80" s="24"/>
      <c r="B80" s="25"/>
      <c r="C80" s="34"/>
      <c r="D80" s="34"/>
      <c r="E80" s="34"/>
      <c r="F80" s="34"/>
      <c r="G80" s="34"/>
      <c r="H80" s="34"/>
      <c r="I80" s="34"/>
      <c r="J80" s="34"/>
      <c r="K80" s="34"/>
      <c r="L80" s="34"/>
      <c r="M80" s="34"/>
      <c r="N80" s="34"/>
      <c r="O80" s="34"/>
      <c r="P80" s="34"/>
      <c r="Q80" s="34"/>
      <c r="R80" s="34"/>
      <c r="S80" s="34"/>
      <c r="T80" s="34"/>
      <c r="U80" s="25"/>
      <c r="V80" s="5"/>
    </row>
    <row r="81" spans="1:22" ht="15.6" x14ac:dyDescent="0.3">
      <c r="A81" s="24"/>
      <c r="B81" s="25" t="s">
        <v>23</v>
      </c>
      <c r="C81" s="34"/>
      <c r="D81" s="34"/>
      <c r="E81" s="34"/>
      <c r="F81" s="34"/>
      <c r="G81" s="34"/>
      <c r="H81" s="34"/>
      <c r="I81" s="34"/>
      <c r="J81" s="34">
        <v>0</v>
      </c>
      <c r="K81" s="34"/>
      <c r="L81" s="34">
        <v>0</v>
      </c>
      <c r="M81" s="34"/>
      <c r="N81" s="34"/>
      <c r="O81" s="34"/>
      <c r="P81" s="34"/>
      <c r="Q81" s="34"/>
      <c r="R81" s="34"/>
      <c r="S81" s="34"/>
      <c r="T81" s="53">
        <v>0</v>
      </c>
      <c r="U81" s="25"/>
      <c r="V81" s="5"/>
    </row>
    <row r="82" spans="1:22" ht="15.6" x14ac:dyDescent="0.3">
      <c r="A82" s="24"/>
      <c r="B82" s="25" t="s">
        <v>123</v>
      </c>
      <c r="C82" s="34"/>
      <c r="D82" s="34"/>
      <c r="E82" s="34"/>
      <c r="F82" s="34"/>
      <c r="G82" s="34"/>
      <c r="H82" s="34"/>
      <c r="I82" s="34"/>
      <c r="J82" s="34">
        <v>0</v>
      </c>
      <c r="K82" s="34"/>
      <c r="L82" s="34">
        <v>0</v>
      </c>
      <c r="M82" s="34"/>
      <c r="N82" s="34"/>
      <c r="O82" s="34"/>
      <c r="P82" s="34"/>
      <c r="Q82" s="34"/>
      <c r="R82" s="34"/>
      <c r="S82" s="34"/>
      <c r="T82" s="54">
        <f>SUM(J82:P82)</f>
        <v>0</v>
      </c>
      <c r="U82" s="25"/>
      <c r="V82" s="5"/>
    </row>
    <row r="83" spans="1:22" ht="15.6" x14ac:dyDescent="0.3">
      <c r="A83" s="24"/>
      <c r="B83" s="25" t="s">
        <v>152</v>
      </c>
      <c r="C83" s="34"/>
      <c r="D83" s="34"/>
      <c r="E83" s="34"/>
      <c r="F83" s="34"/>
      <c r="G83" s="34"/>
      <c r="H83" s="34"/>
      <c r="I83" s="34"/>
      <c r="J83" s="34">
        <v>1</v>
      </c>
      <c r="K83" s="34"/>
      <c r="L83" s="34">
        <v>0</v>
      </c>
      <c r="M83" s="34"/>
      <c r="N83" s="34">
        <v>0</v>
      </c>
      <c r="O83" s="34"/>
      <c r="P83" s="34"/>
      <c r="Q83" s="34"/>
      <c r="R83" s="34"/>
      <c r="S83" s="34"/>
      <c r="T83" s="54">
        <f>+L83+N83</f>
        <v>0</v>
      </c>
      <c r="U83" s="25"/>
      <c r="V83" s="5"/>
    </row>
    <row r="84" spans="1:22" ht="15.6" x14ac:dyDescent="0.3">
      <c r="A84" s="24"/>
      <c r="B84" s="25" t="s">
        <v>25</v>
      </c>
      <c r="C84" s="34"/>
      <c r="D84" s="34"/>
      <c r="E84" s="34"/>
      <c r="F84" s="34"/>
      <c r="G84" s="34"/>
      <c r="H84" s="34"/>
      <c r="I84" s="34"/>
      <c r="J84" s="34">
        <v>0</v>
      </c>
      <c r="K84" s="34"/>
      <c r="L84" s="34">
        <v>0</v>
      </c>
      <c r="M84" s="34"/>
      <c r="N84" s="34"/>
      <c r="O84" s="34"/>
      <c r="P84" s="34"/>
      <c r="Q84" s="34"/>
      <c r="R84" s="34"/>
      <c r="S84" s="34"/>
      <c r="T84" s="54">
        <v>0</v>
      </c>
      <c r="U84" s="25"/>
      <c r="V84" s="5"/>
    </row>
    <row r="85" spans="1:22" ht="15.6" x14ac:dyDescent="0.3">
      <c r="A85" s="24"/>
      <c r="B85" s="25" t="s">
        <v>26</v>
      </c>
      <c r="C85" s="34"/>
      <c r="D85" s="34"/>
      <c r="E85" s="34"/>
      <c r="F85" s="54"/>
      <c r="G85" s="34"/>
      <c r="H85" s="54"/>
      <c r="I85" s="54"/>
      <c r="J85" s="54">
        <f>SUM(J72:J84)</f>
        <v>1000050</v>
      </c>
      <c r="K85" s="34"/>
      <c r="L85" s="54">
        <f>SUM(L72:L84)</f>
        <v>609872</v>
      </c>
      <c r="M85" s="34"/>
      <c r="N85" s="34"/>
      <c r="O85" s="34"/>
      <c r="P85" s="34"/>
      <c r="Q85" s="34"/>
      <c r="R85" s="54"/>
      <c r="S85" s="34"/>
      <c r="T85" s="54">
        <f>SUM(T72:T84)</f>
        <v>605141</v>
      </c>
      <c r="U85" s="25"/>
      <c r="V85" s="5"/>
    </row>
    <row r="86" spans="1:22" ht="15.6" x14ac:dyDescent="0.3">
      <c r="A86" s="24"/>
      <c r="B86" s="25"/>
      <c r="C86" s="34"/>
      <c r="D86" s="34"/>
      <c r="E86" s="34"/>
      <c r="F86" s="34"/>
      <c r="G86" s="34"/>
      <c r="H86" s="34"/>
      <c r="I86" s="34"/>
      <c r="J86" s="34"/>
      <c r="K86" s="34"/>
      <c r="L86" s="34"/>
      <c r="M86" s="34"/>
      <c r="N86" s="34"/>
      <c r="O86" s="34"/>
      <c r="P86" s="34"/>
      <c r="Q86" s="34"/>
      <c r="R86" s="34"/>
      <c r="S86" s="34"/>
      <c r="T86" s="54"/>
      <c r="U86" s="25"/>
      <c r="V86" s="5"/>
    </row>
    <row r="87" spans="1:22" ht="15.6" x14ac:dyDescent="0.3">
      <c r="A87" s="6"/>
      <c r="B87" s="8"/>
      <c r="C87" s="8"/>
      <c r="D87" s="8"/>
      <c r="E87" s="8"/>
      <c r="F87" s="8"/>
      <c r="G87" s="8"/>
      <c r="H87" s="8"/>
      <c r="I87" s="8"/>
      <c r="J87" s="8"/>
      <c r="K87" s="8"/>
      <c r="L87" s="8"/>
      <c r="M87" s="8"/>
      <c r="N87" s="8"/>
      <c r="O87" s="8"/>
      <c r="P87" s="8"/>
      <c r="Q87" s="8"/>
      <c r="R87" s="8"/>
      <c r="S87" s="8"/>
      <c r="T87" s="8"/>
      <c r="U87" s="8"/>
      <c r="V87" s="5"/>
    </row>
    <row r="88" spans="1:22" ht="15.6" x14ac:dyDescent="0.3">
      <c r="A88" s="6"/>
      <c r="B88" s="51" t="s">
        <v>27</v>
      </c>
      <c r="C88" s="14"/>
      <c r="D88" s="14"/>
      <c r="E88" s="14"/>
      <c r="F88" s="14"/>
      <c r="G88" s="14"/>
      <c r="H88" s="17"/>
      <c r="I88" s="17"/>
      <c r="J88" s="159" t="s">
        <v>98</v>
      </c>
      <c r="K88" s="17"/>
      <c r="L88" s="158">
        <f>+R194</f>
        <v>40178</v>
      </c>
      <c r="M88" s="17"/>
      <c r="N88" s="17"/>
      <c r="O88" s="17"/>
      <c r="P88" s="17"/>
      <c r="Q88" s="17"/>
      <c r="R88" s="17" t="s">
        <v>111</v>
      </c>
      <c r="S88" s="17"/>
      <c r="T88" s="17" t="s">
        <v>119</v>
      </c>
      <c r="U88" s="8"/>
      <c r="V88" s="5"/>
    </row>
    <row r="89" spans="1:22" ht="15.6" x14ac:dyDescent="0.3">
      <c r="A89" s="24"/>
      <c r="B89" s="25" t="s">
        <v>28</v>
      </c>
      <c r="C89" s="25"/>
      <c r="D89" s="25"/>
      <c r="E89" s="25"/>
      <c r="F89" s="25"/>
      <c r="G89" s="25"/>
      <c r="H89" s="25"/>
      <c r="I89" s="25"/>
      <c r="J89" s="25"/>
      <c r="K89" s="25"/>
      <c r="L89" s="25"/>
      <c r="M89" s="25"/>
      <c r="N89" s="25"/>
      <c r="O89" s="25"/>
      <c r="P89" s="25"/>
      <c r="Q89" s="25"/>
      <c r="R89" s="34">
        <v>0</v>
      </c>
      <c r="S89" s="25"/>
      <c r="T89" s="53">
        <v>0</v>
      </c>
      <c r="U89" s="25"/>
      <c r="V89" s="5"/>
    </row>
    <row r="90" spans="1:22" ht="15.6" x14ac:dyDescent="0.3">
      <c r="A90" s="24"/>
      <c r="B90" s="25" t="s">
        <v>29</v>
      </c>
      <c r="C90" s="25"/>
      <c r="D90" s="25"/>
      <c r="E90" s="25"/>
      <c r="F90" s="25"/>
      <c r="G90" s="25"/>
      <c r="H90" s="40"/>
      <c r="I90" s="57"/>
      <c r="J90" s="40"/>
      <c r="K90" s="25"/>
      <c r="L90" s="127"/>
      <c r="M90" s="25"/>
      <c r="N90" s="25"/>
      <c r="O90" s="25"/>
      <c r="P90" s="25"/>
      <c r="Q90" s="25"/>
      <c r="R90" s="34">
        <f>5601-461</f>
        <v>5140</v>
      </c>
      <c r="S90" s="25"/>
      <c r="T90" s="53"/>
      <c r="U90" s="25"/>
      <c r="V90" s="5"/>
    </row>
    <row r="91" spans="1:22" ht="15.6" x14ac:dyDescent="0.3">
      <c r="A91" s="24"/>
      <c r="B91" s="25" t="s">
        <v>225</v>
      </c>
      <c r="C91" s="25"/>
      <c r="D91" s="25"/>
      <c r="E91" s="25"/>
      <c r="F91" s="25"/>
      <c r="G91" s="25"/>
      <c r="H91" s="40"/>
      <c r="I91" s="57"/>
      <c r="J91" s="40"/>
      <c r="K91" s="25"/>
      <c r="L91" s="127"/>
      <c r="M91" s="25"/>
      <c r="N91" s="25"/>
      <c r="O91" s="25"/>
      <c r="P91" s="25"/>
      <c r="Q91" s="25"/>
      <c r="R91" s="34"/>
      <c r="S91" s="25"/>
      <c r="T91" s="53">
        <f>2632+3043-289-412+7+4</f>
        <v>4985</v>
      </c>
      <c r="U91" s="25"/>
      <c r="V91" s="5"/>
    </row>
    <row r="92" spans="1:22" ht="15.6" x14ac:dyDescent="0.3">
      <c r="A92" s="24"/>
      <c r="B92" s="25" t="s">
        <v>220</v>
      </c>
      <c r="C92" s="25"/>
      <c r="D92" s="25"/>
      <c r="E92" s="25"/>
      <c r="F92" s="25"/>
      <c r="G92" s="25"/>
      <c r="H92" s="40"/>
      <c r="I92" s="57"/>
      <c r="J92" s="40"/>
      <c r="K92" s="25"/>
      <c r="L92" s="127"/>
      <c r="M92" s="25"/>
      <c r="N92" s="25"/>
      <c r="O92" s="25"/>
      <c r="P92" s="25"/>
      <c r="Q92" s="25"/>
      <c r="R92" s="34"/>
      <c r="S92" s="25"/>
      <c r="T92" s="53">
        <f>51+126</f>
        <v>177</v>
      </c>
      <c r="U92" s="25"/>
      <c r="V92" s="5"/>
    </row>
    <row r="93" spans="1:22" ht="15.6" x14ac:dyDescent="0.3">
      <c r="A93" s="24"/>
      <c r="B93" s="25" t="s">
        <v>221</v>
      </c>
      <c r="C93" s="25"/>
      <c r="D93" s="25"/>
      <c r="E93" s="25"/>
      <c r="F93" s="25"/>
      <c r="G93" s="25"/>
      <c r="H93" s="40"/>
      <c r="I93" s="57"/>
      <c r="J93" s="40"/>
      <c r="K93" s="25"/>
      <c r="L93" s="127"/>
      <c r="M93" s="25"/>
      <c r="N93" s="25"/>
      <c r="O93" s="25"/>
      <c r="P93" s="25"/>
      <c r="Q93" s="25"/>
      <c r="R93" s="34"/>
      <c r="S93" s="25"/>
      <c r="T93" s="53">
        <v>49</v>
      </c>
      <c r="U93" s="25"/>
      <c r="V93" s="5"/>
    </row>
    <row r="94" spans="1:22" ht="15.6" x14ac:dyDescent="0.3">
      <c r="A94" s="24"/>
      <c r="B94" s="25" t="s">
        <v>261</v>
      </c>
      <c r="C94" s="25"/>
      <c r="D94" s="25"/>
      <c r="E94" s="25"/>
      <c r="F94" s="25"/>
      <c r="G94" s="25"/>
      <c r="H94" s="40"/>
      <c r="I94" s="57"/>
      <c r="J94" s="40"/>
      <c r="K94" s="25"/>
      <c r="L94" s="127"/>
      <c r="M94" s="25"/>
      <c r="N94" s="25"/>
      <c r="O94" s="25"/>
      <c r="P94" s="25"/>
      <c r="Q94" s="25"/>
      <c r="R94" s="34"/>
      <c r="S94" s="25"/>
      <c r="T94" s="53">
        <v>0</v>
      </c>
      <c r="U94" s="25"/>
      <c r="V94" s="5"/>
    </row>
    <row r="95" spans="1:22" ht="15.6" x14ac:dyDescent="0.3">
      <c r="A95" s="24"/>
      <c r="B95" s="25" t="s">
        <v>141</v>
      </c>
      <c r="C95" s="25"/>
      <c r="D95" s="25"/>
      <c r="E95" s="25"/>
      <c r="F95" s="25"/>
      <c r="G95" s="25"/>
      <c r="H95" s="25"/>
      <c r="I95" s="25"/>
      <c r="J95" s="25"/>
      <c r="K95" s="25"/>
      <c r="L95" s="25"/>
      <c r="M95" s="25"/>
      <c r="N95" s="25"/>
      <c r="O95" s="25"/>
      <c r="P95" s="25"/>
      <c r="Q95" s="25"/>
      <c r="R95" s="34"/>
      <c r="S95" s="25"/>
      <c r="T95" s="53">
        <v>0</v>
      </c>
      <c r="U95" s="25"/>
      <c r="V95" s="5"/>
    </row>
    <row r="96" spans="1:22" ht="15.6" x14ac:dyDescent="0.3">
      <c r="A96" s="24"/>
      <c r="B96" s="25" t="s">
        <v>250</v>
      </c>
      <c r="C96" s="25"/>
      <c r="D96" s="25"/>
      <c r="E96" s="25"/>
      <c r="F96" s="25"/>
      <c r="G96" s="25"/>
      <c r="H96" s="25"/>
      <c r="I96" s="25"/>
      <c r="J96" s="25"/>
      <c r="K96" s="25"/>
      <c r="L96" s="25"/>
      <c r="M96" s="25"/>
      <c r="N96" s="25"/>
      <c r="O96" s="25"/>
      <c r="P96" s="25"/>
      <c r="Q96" s="25"/>
      <c r="R96" s="34"/>
      <c r="S96" s="25"/>
      <c r="T96" s="53">
        <v>0</v>
      </c>
      <c r="U96" s="25"/>
      <c r="V96" s="5"/>
    </row>
    <row r="97" spans="1:24" ht="15.6" x14ac:dyDescent="0.3">
      <c r="A97" s="24"/>
      <c r="B97" s="25" t="s">
        <v>30</v>
      </c>
      <c r="C97" s="25"/>
      <c r="D97" s="25"/>
      <c r="E97" s="25"/>
      <c r="F97" s="25"/>
      <c r="G97" s="25"/>
      <c r="H97" s="25"/>
      <c r="I97" s="25"/>
      <c r="J97" s="25"/>
      <c r="K97" s="25"/>
      <c r="L97" s="25"/>
      <c r="M97" s="25"/>
      <c r="N97" s="25"/>
      <c r="O97" s="25"/>
      <c r="P97" s="25"/>
      <c r="Q97" s="25"/>
      <c r="R97" s="34">
        <f>SUM(R89:R96)</f>
        <v>5140</v>
      </c>
      <c r="S97" s="25"/>
      <c r="T97" s="54">
        <f>SUM(T89:T96)</f>
        <v>5211</v>
      </c>
      <c r="U97" s="25"/>
      <c r="V97" s="5"/>
    </row>
    <row r="98" spans="1:24" ht="15.6" x14ac:dyDescent="0.3">
      <c r="A98" s="24"/>
      <c r="B98" s="25" t="s">
        <v>168</v>
      </c>
      <c r="C98" s="25"/>
      <c r="D98" s="25"/>
      <c r="E98" s="25"/>
      <c r="F98" s="25"/>
      <c r="G98" s="25"/>
      <c r="H98" s="25"/>
      <c r="I98" s="25"/>
      <c r="J98" s="25"/>
      <c r="K98" s="25"/>
      <c r="L98" s="25"/>
      <c r="M98" s="25"/>
      <c r="N98" s="25"/>
      <c r="O98" s="25"/>
      <c r="P98" s="25"/>
      <c r="Q98" s="25"/>
      <c r="R98" s="34">
        <v>-17</v>
      </c>
      <c r="S98" s="25"/>
      <c r="T98" s="54">
        <f>-R98</f>
        <v>17</v>
      </c>
      <c r="U98" s="25"/>
      <c r="V98" s="5"/>
    </row>
    <row r="99" spans="1:24" ht="15.6" x14ac:dyDescent="0.3">
      <c r="A99" s="24"/>
      <c r="B99" s="25" t="s">
        <v>31</v>
      </c>
      <c r="C99" s="25"/>
      <c r="D99" s="25"/>
      <c r="E99" s="25"/>
      <c r="F99" s="25"/>
      <c r="G99" s="25"/>
      <c r="H99" s="25"/>
      <c r="I99" s="25"/>
      <c r="J99" s="25"/>
      <c r="K99" s="25"/>
      <c r="L99" s="25"/>
      <c r="M99" s="25"/>
      <c r="N99" s="25"/>
      <c r="O99" s="25"/>
      <c r="P99" s="25"/>
      <c r="Q99" s="25"/>
      <c r="R99" s="34">
        <f>-T99</f>
        <v>0</v>
      </c>
      <c r="S99" s="25"/>
      <c r="T99" s="53">
        <v>0</v>
      </c>
      <c r="U99" s="25"/>
      <c r="V99" s="5"/>
    </row>
    <row r="100" spans="1:24" ht="15.6" x14ac:dyDescent="0.3">
      <c r="A100" s="24"/>
      <c r="B100" s="25" t="s">
        <v>273</v>
      </c>
      <c r="C100" s="25"/>
      <c r="D100" s="25"/>
      <c r="E100" s="25"/>
      <c r="F100" s="25"/>
      <c r="G100" s="25"/>
      <c r="H100" s="25"/>
      <c r="I100" s="25"/>
      <c r="J100" s="25"/>
      <c r="K100" s="25"/>
      <c r="L100" s="25"/>
      <c r="M100" s="25"/>
      <c r="N100" s="25"/>
      <c r="O100" s="25"/>
      <c r="P100" s="25"/>
      <c r="Q100" s="25"/>
      <c r="R100" s="34"/>
      <c r="S100" s="25"/>
      <c r="T100" s="53">
        <v>-207</v>
      </c>
      <c r="U100" s="25"/>
      <c r="V100" s="5"/>
    </row>
    <row r="101" spans="1:24" ht="15.6" x14ac:dyDescent="0.3">
      <c r="A101" s="24"/>
      <c r="B101" s="25" t="s">
        <v>32</v>
      </c>
      <c r="C101" s="25"/>
      <c r="D101" s="25"/>
      <c r="E101" s="25"/>
      <c r="F101" s="25"/>
      <c r="G101" s="25"/>
      <c r="H101" s="25"/>
      <c r="I101" s="25"/>
      <c r="J101" s="25"/>
      <c r="K101" s="25"/>
      <c r="L101" s="25"/>
      <c r="M101" s="25"/>
      <c r="N101" s="25"/>
      <c r="O101" s="25"/>
      <c r="P101" s="25"/>
      <c r="Q101" s="25"/>
      <c r="R101" s="34">
        <f>R97+R99+R98</f>
        <v>5123</v>
      </c>
      <c r="S101" s="25"/>
      <c r="T101" s="54">
        <f>T97+T99+T98+T100</f>
        <v>5021</v>
      </c>
      <c r="U101" s="25"/>
      <c r="V101" s="5"/>
    </row>
    <row r="102" spans="1:24" ht="15.6" x14ac:dyDescent="0.3">
      <c r="A102" s="24"/>
      <c r="B102" s="118" t="s">
        <v>33</v>
      </c>
      <c r="C102" s="25"/>
      <c r="D102" s="25"/>
      <c r="E102" s="25"/>
      <c r="F102" s="25"/>
      <c r="G102" s="25"/>
      <c r="H102" s="25"/>
      <c r="I102" s="25"/>
      <c r="J102" s="25"/>
      <c r="K102" s="25"/>
      <c r="L102" s="25"/>
      <c r="M102" s="25"/>
      <c r="N102" s="25"/>
      <c r="O102" s="25"/>
      <c r="P102" s="25"/>
      <c r="Q102" s="25"/>
      <c r="R102" s="34"/>
      <c r="S102" s="25"/>
      <c r="T102" s="53"/>
      <c r="U102" s="25"/>
      <c r="V102" s="5"/>
    </row>
    <row r="103" spans="1:24" ht="15.6" x14ac:dyDescent="0.3">
      <c r="A103" s="24">
        <v>1</v>
      </c>
      <c r="B103" s="25" t="s">
        <v>34</v>
      </c>
      <c r="C103" s="25"/>
      <c r="D103" s="25"/>
      <c r="E103" s="25"/>
      <c r="F103" s="25"/>
      <c r="G103" s="25"/>
      <c r="H103" s="25"/>
      <c r="I103" s="25"/>
      <c r="J103" s="25"/>
      <c r="K103" s="25"/>
      <c r="L103" s="25"/>
      <c r="M103" s="25"/>
      <c r="N103" s="25"/>
      <c r="O103" s="25"/>
      <c r="P103" s="25"/>
      <c r="Q103" s="25"/>
      <c r="R103" s="25"/>
      <c r="S103" s="25"/>
      <c r="T103" s="53">
        <v>0</v>
      </c>
      <c r="U103" s="25"/>
      <c r="V103" s="5"/>
    </row>
    <row r="104" spans="1:24" ht="15.6" x14ac:dyDescent="0.3">
      <c r="A104" s="24">
        <f>+A103+1</f>
        <v>2</v>
      </c>
      <c r="B104" s="25" t="s">
        <v>255</v>
      </c>
      <c r="C104" s="25"/>
      <c r="D104" s="25"/>
      <c r="E104" s="25"/>
      <c r="F104" s="25"/>
      <c r="G104" s="25"/>
      <c r="H104" s="25"/>
      <c r="I104" s="25"/>
      <c r="J104" s="25"/>
      <c r="K104" s="25"/>
      <c r="L104" s="25"/>
      <c r="M104" s="25"/>
      <c r="N104" s="25"/>
      <c r="O104" s="25"/>
      <c r="P104" s="25"/>
      <c r="Q104" s="25"/>
      <c r="R104" s="25"/>
      <c r="S104" s="25"/>
      <c r="T104" s="53">
        <v>-2</v>
      </c>
      <c r="U104" s="25"/>
      <c r="V104" s="5"/>
    </row>
    <row r="105" spans="1:24" ht="15.6" x14ac:dyDescent="0.3">
      <c r="A105" s="24">
        <f>+A104+1</f>
        <v>3</v>
      </c>
      <c r="B105" s="25" t="s">
        <v>213</v>
      </c>
      <c r="C105" s="25"/>
      <c r="D105" s="25"/>
      <c r="E105" s="25"/>
      <c r="F105" s="25"/>
      <c r="G105" s="25"/>
      <c r="H105" s="25"/>
      <c r="I105" s="25"/>
      <c r="J105" s="25"/>
      <c r="K105" s="25"/>
      <c r="L105" s="25"/>
      <c r="M105" s="25"/>
      <c r="N105" s="25"/>
      <c r="O105" s="25"/>
      <c r="P105" s="25"/>
      <c r="Q105" s="25"/>
      <c r="R105" s="25"/>
      <c r="S105" s="25"/>
      <c r="T105" s="53">
        <f>-232-170-7</f>
        <v>-409</v>
      </c>
      <c r="U105" s="25"/>
      <c r="V105" s="5"/>
    </row>
    <row r="106" spans="1:24" ht="15.6" x14ac:dyDescent="0.3">
      <c r="A106" s="24" t="s">
        <v>133</v>
      </c>
      <c r="B106" s="25" t="s">
        <v>122</v>
      </c>
      <c r="C106" s="25"/>
      <c r="D106" s="25"/>
      <c r="E106" s="25"/>
      <c r="F106" s="25"/>
      <c r="G106" s="25"/>
      <c r="H106" s="25"/>
      <c r="I106" s="25"/>
      <c r="J106" s="25"/>
      <c r="K106" s="25"/>
      <c r="L106" s="25"/>
      <c r="M106" s="25"/>
      <c r="N106" s="25"/>
      <c r="O106" s="25"/>
      <c r="P106" s="25"/>
      <c r="Q106" s="25"/>
      <c r="R106" s="25"/>
      <c r="S106" s="25"/>
      <c r="T106" s="53">
        <v>-1867</v>
      </c>
      <c r="U106" s="25"/>
      <c r="V106" s="5"/>
    </row>
    <row r="107" spans="1:24" ht="15.6" x14ac:dyDescent="0.3">
      <c r="A107" s="24" t="s">
        <v>134</v>
      </c>
      <c r="B107" s="25" t="s">
        <v>194</v>
      </c>
      <c r="C107" s="25"/>
      <c r="D107" s="25"/>
      <c r="E107" s="25"/>
      <c r="F107" s="25"/>
      <c r="G107" s="25"/>
      <c r="H107" s="25"/>
      <c r="I107" s="25"/>
      <c r="J107" s="25"/>
      <c r="K107" s="25"/>
      <c r="L107" s="25"/>
      <c r="M107" s="25"/>
      <c r="N107" s="25"/>
      <c r="O107" s="25"/>
      <c r="P107" s="25"/>
      <c r="Q107" s="25"/>
      <c r="R107" s="25"/>
      <c r="S107" s="25"/>
      <c r="T107" s="53">
        <f>-831+143</f>
        <v>-688</v>
      </c>
      <c r="U107" s="25"/>
      <c r="V107" s="5"/>
      <c r="W107" s="109"/>
    </row>
    <row r="108" spans="1:24" ht="15.6" x14ac:dyDescent="0.3">
      <c r="A108" s="24" t="s">
        <v>156</v>
      </c>
      <c r="B108" s="25" t="s">
        <v>191</v>
      </c>
      <c r="C108" s="25"/>
      <c r="D108" s="25"/>
      <c r="E108" s="25"/>
      <c r="F108" s="25"/>
      <c r="G108" s="25"/>
      <c r="H108" s="25"/>
      <c r="I108" s="25"/>
      <c r="J108" s="25"/>
      <c r="K108" s="25"/>
      <c r="L108" s="25"/>
      <c r="M108" s="25"/>
      <c r="N108" s="25"/>
      <c r="O108" s="25"/>
      <c r="P108" s="25"/>
      <c r="Q108" s="25"/>
      <c r="R108" s="25"/>
      <c r="S108" s="25"/>
      <c r="T108" s="53">
        <v>-143</v>
      </c>
      <c r="U108" s="25"/>
      <c r="V108" s="5"/>
      <c r="W108" s="109"/>
    </row>
    <row r="109" spans="1:24" ht="15.6" x14ac:dyDescent="0.3">
      <c r="A109" s="24" t="s">
        <v>214</v>
      </c>
      <c r="B109" s="25" t="s">
        <v>192</v>
      </c>
      <c r="C109" s="25"/>
      <c r="D109" s="25"/>
      <c r="E109" s="25"/>
      <c r="F109" s="25"/>
      <c r="G109" s="25"/>
      <c r="H109" s="25"/>
      <c r="I109" s="25"/>
      <c r="J109" s="25"/>
      <c r="K109" s="25"/>
      <c r="L109" s="25"/>
      <c r="M109" s="25"/>
      <c r="N109" s="25"/>
      <c r="O109" s="25"/>
      <c r="P109" s="25"/>
      <c r="Q109" s="25"/>
      <c r="R109" s="25"/>
      <c r="S109" s="25"/>
      <c r="T109" s="53">
        <v>-117</v>
      </c>
      <c r="U109" s="25"/>
      <c r="V109" s="5"/>
      <c r="W109" s="109"/>
      <c r="X109" s="109"/>
    </row>
    <row r="110" spans="1:24" ht="15.6" x14ac:dyDescent="0.3">
      <c r="A110" s="24" t="s">
        <v>215</v>
      </c>
      <c r="B110" s="25" t="s">
        <v>193</v>
      </c>
      <c r="C110" s="25"/>
      <c r="D110" s="25"/>
      <c r="E110" s="25"/>
      <c r="F110" s="25"/>
      <c r="G110" s="25"/>
      <c r="H110" s="25"/>
      <c r="I110" s="25"/>
      <c r="J110" s="25"/>
      <c r="K110" s="25"/>
      <c r="L110" s="25"/>
      <c r="M110" s="25"/>
      <c r="N110" s="25"/>
      <c r="O110" s="25"/>
      <c r="P110" s="25"/>
      <c r="Q110" s="25"/>
      <c r="R110" s="25"/>
      <c r="S110" s="25"/>
      <c r="T110" s="53">
        <v>-33</v>
      </c>
      <c r="U110" s="25"/>
      <c r="V110" s="169"/>
      <c r="W110" s="109"/>
    </row>
    <row r="111" spans="1:24" ht="15.6" x14ac:dyDescent="0.3">
      <c r="A111" s="24" t="s">
        <v>216</v>
      </c>
      <c r="B111" s="25" t="s">
        <v>204</v>
      </c>
      <c r="C111" s="25"/>
      <c r="D111" s="25"/>
      <c r="E111" s="25"/>
      <c r="F111" s="25"/>
      <c r="G111" s="25"/>
      <c r="H111" s="25"/>
      <c r="I111" s="25"/>
      <c r="J111" s="25"/>
      <c r="K111" s="25"/>
      <c r="L111" s="25"/>
      <c r="M111" s="25"/>
      <c r="N111" s="25"/>
      <c r="O111" s="25"/>
      <c r="P111" s="25"/>
      <c r="Q111" s="25"/>
      <c r="R111" s="25"/>
      <c r="S111" s="25"/>
      <c r="T111" s="53">
        <v>-160</v>
      </c>
      <c r="U111" s="25"/>
      <c r="V111" s="5"/>
      <c r="W111" s="109"/>
    </row>
    <row r="112" spans="1:24" ht="15.6" x14ac:dyDescent="0.3">
      <c r="A112" s="24">
        <v>7</v>
      </c>
      <c r="B112" s="25" t="s">
        <v>35</v>
      </c>
      <c r="C112" s="25"/>
      <c r="D112" s="25"/>
      <c r="E112" s="25"/>
      <c r="F112" s="25"/>
      <c r="G112" s="25"/>
      <c r="H112" s="25"/>
      <c r="I112" s="25"/>
      <c r="J112" s="25"/>
      <c r="K112" s="25"/>
      <c r="L112" s="25"/>
      <c r="M112" s="25"/>
      <c r="N112" s="25"/>
      <c r="O112" s="25"/>
      <c r="P112" s="25"/>
      <c r="Q112" s="25"/>
      <c r="R112" s="25"/>
      <c r="S112" s="25"/>
      <c r="T112" s="53">
        <v>-10</v>
      </c>
      <c r="U112" s="25"/>
      <c r="V112" s="5"/>
    </row>
    <row r="113" spans="1:22" ht="15.6" x14ac:dyDescent="0.3">
      <c r="A113" s="24">
        <f t="shared" ref="A113:A118" si="0">+A112+1</f>
        <v>8</v>
      </c>
      <c r="B113" s="25" t="s">
        <v>46</v>
      </c>
      <c r="C113" s="25"/>
      <c r="D113" s="25"/>
      <c r="E113" s="25"/>
      <c r="F113" s="25"/>
      <c r="G113" s="25"/>
      <c r="H113" s="25"/>
      <c r="I113" s="25"/>
      <c r="J113" s="25"/>
      <c r="K113" s="25"/>
      <c r="L113" s="25"/>
      <c r="M113" s="25"/>
      <c r="N113" s="25"/>
      <c r="O113" s="25"/>
      <c r="P113" s="25"/>
      <c r="Q113" s="25"/>
      <c r="R113" s="34">
        <f>-T113</f>
        <v>461</v>
      </c>
      <c r="S113" s="25"/>
      <c r="T113" s="53">
        <v>-461</v>
      </c>
      <c r="U113" s="25"/>
      <c r="V113" s="5"/>
    </row>
    <row r="114" spans="1:22" ht="15.6" x14ac:dyDescent="0.3">
      <c r="A114" s="24">
        <f t="shared" si="0"/>
        <v>9</v>
      </c>
      <c r="B114" s="25" t="s">
        <v>131</v>
      </c>
      <c r="C114" s="25"/>
      <c r="D114" s="25"/>
      <c r="E114" s="25"/>
      <c r="F114" s="25"/>
      <c r="G114" s="25"/>
      <c r="H114" s="25"/>
      <c r="I114" s="25"/>
      <c r="J114" s="25"/>
      <c r="K114" s="25"/>
      <c r="L114" s="25"/>
      <c r="M114" s="25"/>
      <c r="N114" s="25"/>
      <c r="O114" s="25"/>
      <c r="P114" s="25"/>
      <c r="Q114" s="25"/>
      <c r="R114" s="25"/>
      <c r="S114" s="25"/>
      <c r="T114" s="53">
        <v>0</v>
      </c>
      <c r="U114" s="25"/>
      <c r="V114" s="5"/>
    </row>
    <row r="115" spans="1:22" ht="15.6" x14ac:dyDescent="0.3">
      <c r="A115" s="24">
        <f t="shared" si="0"/>
        <v>10</v>
      </c>
      <c r="B115" s="25" t="s">
        <v>36</v>
      </c>
      <c r="C115" s="25"/>
      <c r="D115" s="25"/>
      <c r="E115" s="25"/>
      <c r="F115" s="25"/>
      <c r="G115" s="25"/>
      <c r="H115" s="25"/>
      <c r="I115" s="25"/>
      <c r="J115" s="25"/>
      <c r="K115" s="25"/>
      <c r="L115" s="25"/>
      <c r="M115" s="25"/>
      <c r="N115" s="25"/>
      <c r="O115" s="25"/>
      <c r="P115" s="25"/>
      <c r="Q115" s="25"/>
      <c r="R115" s="25"/>
      <c r="S115" s="25"/>
      <c r="T115" s="53">
        <v>0</v>
      </c>
      <c r="U115" s="25"/>
      <c r="V115" s="5"/>
    </row>
    <row r="116" spans="1:22" ht="15.6" x14ac:dyDescent="0.3">
      <c r="A116" s="24">
        <f t="shared" si="0"/>
        <v>11</v>
      </c>
      <c r="B116" s="25" t="s">
        <v>37</v>
      </c>
      <c r="C116" s="25"/>
      <c r="D116" s="25"/>
      <c r="E116" s="25"/>
      <c r="F116" s="25"/>
      <c r="G116" s="25"/>
      <c r="H116" s="25"/>
      <c r="I116" s="25"/>
      <c r="J116" s="25"/>
      <c r="K116" s="25"/>
      <c r="L116" s="25"/>
      <c r="M116" s="25"/>
      <c r="N116" s="25"/>
      <c r="O116" s="25"/>
      <c r="P116" s="25"/>
      <c r="Q116" s="25"/>
      <c r="R116" s="25"/>
      <c r="S116" s="25"/>
      <c r="T116" s="53">
        <v>0</v>
      </c>
      <c r="U116" s="25"/>
      <c r="V116" s="5"/>
    </row>
    <row r="117" spans="1:22" ht="15.6" x14ac:dyDescent="0.3">
      <c r="A117" s="24">
        <f t="shared" si="0"/>
        <v>12</v>
      </c>
      <c r="B117" s="25" t="s">
        <v>155</v>
      </c>
      <c r="C117" s="25"/>
      <c r="D117" s="25"/>
      <c r="E117" s="25"/>
      <c r="F117" s="25"/>
      <c r="G117" s="25"/>
      <c r="H117" s="25"/>
      <c r="I117" s="25"/>
      <c r="J117" s="25"/>
      <c r="K117" s="25"/>
      <c r="L117" s="25"/>
      <c r="M117" s="25"/>
      <c r="N117" s="25"/>
      <c r="O117" s="25"/>
      <c r="P117" s="25"/>
      <c r="Q117" s="25"/>
      <c r="R117" s="25"/>
      <c r="S117" s="25"/>
      <c r="T117" s="53">
        <v>-232</v>
      </c>
      <c r="U117" s="25"/>
      <c r="V117" s="5"/>
    </row>
    <row r="118" spans="1:22" ht="15.6" x14ac:dyDescent="0.3">
      <c r="A118" s="24">
        <f t="shared" si="0"/>
        <v>13</v>
      </c>
      <c r="B118" s="25" t="s">
        <v>132</v>
      </c>
      <c r="C118" s="25"/>
      <c r="D118" s="25"/>
      <c r="E118" s="25"/>
      <c r="F118" s="25"/>
      <c r="G118" s="25"/>
      <c r="H118" s="25"/>
      <c r="I118" s="25"/>
      <c r="J118" s="25"/>
      <c r="K118" s="25"/>
      <c r="L118" s="25"/>
      <c r="M118" s="25"/>
      <c r="N118" s="25"/>
      <c r="O118" s="25"/>
      <c r="P118" s="25"/>
      <c r="Q118" s="25"/>
      <c r="R118" s="25"/>
      <c r="S118" s="25"/>
      <c r="T118" s="53">
        <f>-T101-SUM(T103:T117)</f>
        <v>-899</v>
      </c>
      <c r="U118" s="25"/>
      <c r="V118" s="5"/>
    </row>
    <row r="119" spans="1:22" ht="15.6" x14ac:dyDescent="0.3">
      <c r="A119" s="24"/>
      <c r="B119" s="118" t="s">
        <v>38</v>
      </c>
      <c r="C119" s="25"/>
      <c r="D119" s="25"/>
      <c r="E119" s="25"/>
      <c r="F119" s="25"/>
      <c r="G119" s="25"/>
      <c r="H119" s="25"/>
      <c r="I119" s="25"/>
      <c r="J119" s="25"/>
      <c r="K119" s="25"/>
      <c r="L119" s="25"/>
      <c r="M119" s="25"/>
      <c r="N119" s="25"/>
      <c r="O119" s="25"/>
      <c r="P119" s="25"/>
      <c r="Q119" s="25"/>
      <c r="R119" s="25"/>
      <c r="S119" s="25"/>
      <c r="T119" s="59"/>
      <c r="U119" s="25"/>
      <c r="V119" s="5"/>
    </row>
    <row r="120" spans="1:22" ht="15.6" x14ac:dyDescent="0.3">
      <c r="A120" s="24"/>
      <c r="B120" s="25" t="s">
        <v>180</v>
      </c>
      <c r="C120" s="25"/>
      <c r="D120" s="25"/>
      <c r="E120" s="25"/>
      <c r="F120" s="25"/>
      <c r="G120" s="25"/>
      <c r="H120" s="25"/>
      <c r="I120" s="25"/>
      <c r="J120" s="25"/>
      <c r="K120" s="25"/>
      <c r="L120" s="25"/>
      <c r="M120" s="25"/>
      <c r="N120" s="25"/>
      <c r="O120" s="25"/>
      <c r="P120" s="25"/>
      <c r="Q120" s="25"/>
      <c r="R120" s="34">
        <f>-R178</f>
        <v>0</v>
      </c>
      <c r="S120" s="34"/>
      <c r="T120" s="53"/>
      <c r="U120" s="25"/>
      <c r="V120" s="5"/>
    </row>
    <row r="121" spans="1:22" ht="15.6" x14ac:dyDescent="0.3">
      <c r="A121" s="24"/>
      <c r="B121" s="25" t="s">
        <v>181</v>
      </c>
      <c r="C121" s="25"/>
      <c r="D121" s="25"/>
      <c r="E121" s="25"/>
      <c r="F121" s="25"/>
      <c r="G121" s="25"/>
      <c r="H121" s="25"/>
      <c r="I121" s="25"/>
      <c r="J121" s="25"/>
      <c r="K121" s="25"/>
      <c r="L121" s="25"/>
      <c r="M121" s="25"/>
      <c r="N121" s="25"/>
      <c r="O121" s="25"/>
      <c r="P121" s="25"/>
      <c r="Q121" s="25"/>
      <c r="R121" s="34">
        <v>-72</v>
      </c>
      <c r="S121" s="34"/>
      <c r="T121" s="53"/>
      <c r="U121" s="25"/>
      <c r="V121" s="5"/>
    </row>
    <row r="122" spans="1:22" ht="15.6" x14ac:dyDescent="0.3">
      <c r="A122" s="24"/>
      <c r="B122" s="25" t="s">
        <v>39</v>
      </c>
      <c r="C122" s="25"/>
      <c r="D122" s="25"/>
      <c r="E122" s="25"/>
      <c r="F122" s="25"/>
      <c r="G122" s="25"/>
      <c r="H122" s="25"/>
      <c r="I122" s="25"/>
      <c r="J122" s="25"/>
      <c r="K122" s="25"/>
      <c r="L122" s="25"/>
      <c r="M122" s="25"/>
      <c r="N122" s="25"/>
      <c r="O122" s="25"/>
      <c r="P122" s="25"/>
      <c r="Q122" s="25"/>
      <c r="R122" s="34">
        <f>-Q178</f>
        <v>-781</v>
      </c>
      <c r="S122" s="34"/>
      <c r="T122" s="53"/>
      <c r="U122" s="25"/>
      <c r="V122" s="5"/>
    </row>
    <row r="123" spans="1:22" ht="15.6" x14ac:dyDescent="0.3">
      <c r="A123" s="24"/>
      <c r="B123" s="25" t="s">
        <v>205</v>
      </c>
      <c r="C123" s="25"/>
      <c r="D123" s="25"/>
      <c r="E123" s="25"/>
      <c r="F123" s="25"/>
      <c r="G123" s="25"/>
      <c r="H123" s="25"/>
      <c r="I123" s="25"/>
      <c r="J123" s="25"/>
      <c r="K123" s="25"/>
      <c r="L123" s="25"/>
      <c r="M123" s="25"/>
      <c r="N123" s="25"/>
      <c r="O123" s="25"/>
      <c r="P123" s="25"/>
      <c r="Q123" s="25"/>
      <c r="R123" s="34">
        <v>-3094</v>
      </c>
      <c r="S123" s="34"/>
      <c r="T123" s="53"/>
      <c r="U123" s="25"/>
      <c r="V123" s="5"/>
    </row>
    <row r="124" spans="1:22" ht="15.6" x14ac:dyDescent="0.3">
      <c r="A124" s="24"/>
      <c r="B124" s="25" t="s">
        <v>203</v>
      </c>
      <c r="C124" s="25"/>
      <c r="D124" s="25"/>
      <c r="E124" s="25"/>
      <c r="F124" s="25"/>
      <c r="G124" s="25"/>
      <c r="H124" s="25"/>
      <c r="I124" s="25"/>
      <c r="J124" s="25"/>
      <c r="K124" s="25"/>
      <c r="L124" s="25"/>
      <c r="M124" s="25"/>
      <c r="N124" s="25"/>
      <c r="O124" s="25"/>
      <c r="P124" s="25"/>
      <c r="Q124" s="25"/>
      <c r="R124" s="34">
        <v>-815</v>
      </c>
      <c r="S124" s="34"/>
      <c r="T124" s="53"/>
      <c r="U124" s="25"/>
      <c r="V124" s="5"/>
    </row>
    <row r="125" spans="1:22" ht="15.6" x14ac:dyDescent="0.3">
      <c r="A125" s="24"/>
      <c r="B125" s="25" t="s">
        <v>202</v>
      </c>
      <c r="C125" s="25"/>
      <c r="D125" s="25"/>
      <c r="E125" s="25"/>
      <c r="F125" s="25"/>
      <c r="G125" s="25"/>
      <c r="H125" s="25"/>
      <c r="I125" s="25"/>
      <c r="J125" s="25"/>
      <c r="K125" s="25"/>
      <c r="L125" s="25"/>
      <c r="M125" s="25"/>
      <c r="N125" s="25"/>
      <c r="O125" s="25"/>
      <c r="P125" s="25"/>
      <c r="Q125" s="25"/>
      <c r="R125" s="34">
        <v>-822</v>
      </c>
      <c r="S125" s="34"/>
      <c r="T125" s="53"/>
      <c r="U125" s="25"/>
      <c r="V125" s="5"/>
    </row>
    <row r="126" spans="1:22" ht="15.6" x14ac:dyDescent="0.3">
      <c r="A126" s="24"/>
      <c r="B126" s="25" t="s">
        <v>197</v>
      </c>
      <c r="C126" s="25"/>
      <c r="D126" s="25"/>
      <c r="E126" s="25"/>
      <c r="F126" s="25"/>
      <c r="G126" s="25"/>
      <c r="H126" s="25"/>
      <c r="I126" s="25"/>
      <c r="J126" s="25"/>
      <c r="K126" s="25"/>
      <c r="L126" s="25"/>
      <c r="M126" s="25"/>
      <c r="N126" s="25"/>
      <c r="O126" s="25"/>
      <c r="P126" s="25"/>
      <c r="Q126" s="25"/>
      <c r="R126" s="34">
        <v>0</v>
      </c>
      <c r="S126" s="34"/>
      <c r="T126" s="53"/>
      <c r="U126" s="25"/>
      <c r="V126" s="5"/>
    </row>
    <row r="127" spans="1:22" ht="15.6" x14ac:dyDescent="0.3">
      <c r="A127" s="24"/>
      <c r="B127" s="25" t="s">
        <v>196</v>
      </c>
      <c r="C127" s="25"/>
      <c r="D127" s="25"/>
      <c r="E127" s="25"/>
      <c r="F127" s="25"/>
      <c r="G127" s="25"/>
      <c r="H127" s="25"/>
      <c r="I127" s="25"/>
      <c r="J127" s="25"/>
      <c r="K127" s="25"/>
      <c r="L127" s="25"/>
      <c r="M127" s="25"/>
      <c r="N127" s="25"/>
      <c r="O127" s="25"/>
      <c r="P127" s="25"/>
      <c r="Q127" s="25"/>
      <c r="R127" s="34">
        <v>0</v>
      </c>
      <c r="S127" s="34"/>
      <c r="T127" s="53"/>
      <c r="U127" s="25"/>
      <c r="V127" s="5"/>
    </row>
    <row r="128" spans="1:22" ht="15.6" x14ac:dyDescent="0.3">
      <c r="A128" s="24"/>
      <c r="B128" s="25" t="s">
        <v>195</v>
      </c>
      <c r="C128" s="25"/>
      <c r="D128" s="25"/>
      <c r="E128" s="25"/>
      <c r="F128" s="25"/>
      <c r="G128" s="25"/>
      <c r="H128" s="25"/>
      <c r="I128" s="25"/>
      <c r="J128" s="25"/>
      <c r="K128" s="25"/>
      <c r="L128" s="25"/>
      <c r="M128" s="25"/>
      <c r="N128" s="25"/>
      <c r="O128" s="25"/>
      <c r="P128" s="25"/>
      <c r="Q128" s="25"/>
      <c r="R128" s="34">
        <v>0</v>
      </c>
      <c r="S128" s="34"/>
      <c r="T128" s="53"/>
      <c r="U128" s="25"/>
      <c r="V128" s="5"/>
    </row>
    <row r="129" spans="1:22" ht="15.6" x14ac:dyDescent="0.3">
      <c r="A129" s="24"/>
      <c r="B129" s="25" t="s">
        <v>40</v>
      </c>
      <c r="C129" s="25"/>
      <c r="D129" s="25"/>
      <c r="E129" s="25"/>
      <c r="F129" s="25"/>
      <c r="G129" s="25"/>
      <c r="H129" s="25"/>
      <c r="I129" s="25"/>
      <c r="J129" s="25"/>
      <c r="K129" s="25"/>
      <c r="L129" s="25"/>
      <c r="M129" s="25"/>
      <c r="N129" s="25"/>
      <c r="O129" s="25"/>
      <c r="P129" s="25"/>
      <c r="Q129" s="25"/>
      <c r="R129" s="34">
        <f>SUM(R120:R128)</f>
        <v>-5584</v>
      </c>
      <c r="S129" s="34"/>
      <c r="T129" s="34">
        <f>SUM(T102:T127)</f>
        <v>-5021</v>
      </c>
      <c r="U129" s="25"/>
      <c r="V129" s="5"/>
    </row>
    <row r="130" spans="1:22" ht="15.6" x14ac:dyDescent="0.3">
      <c r="A130" s="24"/>
      <c r="B130" s="25" t="s">
        <v>41</v>
      </c>
      <c r="C130" s="25"/>
      <c r="D130" s="25"/>
      <c r="E130" s="25"/>
      <c r="F130" s="25"/>
      <c r="G130" s="25"/>
      <c r="H130" s="25"/>
      <c r="I130" s="25"/>
      <c r="J130" s="25"/>
      <c r="K130" s="25"/>
      <c r="L130" s="25"/>
      <c r="M130" s="25"/>
      <c r="N130" s="25"/>
      <c r="O130" s="25"/>
      <c r="P130" s="25"/>
      <c r="Q130" s="25"/>
      <c r="R130" s="34">
        <f>R101+R129+R113</f>
        <v>0</v>
      </c>
      <c r="S130" s="34"/>
      <c r="T130" s="34">
        <f>T101+T129</f>
        <v>0</v>
      </c>
      <c r="U130" s="25"/>
      <c r="V130" s="5"/>
    </row>
    <row r="131" spans="1:22" ht="15.6" x14ac:dyDescent="0.3">
      <c r="A131" s="24"/>
      <c r="B131" s="25"/>
      <c r="C131" s="25"/>
      <c r="D131" s="25"/>
      <c r="E131" s="25"/>
      <c r="F131" s="25"/>
      <c r="G131" s="25"/>
      <c r="H131" s="25"/>
      <c r="I131" s="25"/>
      <c r="J131" s="25"/>
      <c r="K131" s="25"/>
      <c r="L131" s="25"/>
      <c r="M131" s="25"/>
      <c r="N131" s="25"/>
      <c r="O131" s="25"/>
      <c r="P131" s="25"/>
      <c r="Q131" s="25"/>
      <c r="R131" s="34"/>
      <c r="S131" s="34"/>
      <c r="T131" s="34"/>
      <c r="U131" s="25"/>
      <c r="V131" s="5"/>
    </row>
    <row r="132" spans="1:22" ht="15.6" x14ac:dyDescent="0.3">
      <c r="A132" s="6"/>
      <c r="B132" s="8"/>
      <c r="C132" s="8"/>
      <c r="D132" s="8"/>
      <c r="E132" s="8"/>
      <c r="F132" s="8"/>
      <c r="G132" s="8"/>
      <c r="H132" s="8"/>
      <c r="I132" s="8"/>
      <c r="J132" s="8"/>
      <c r="K132" s="8"/>
      <c r="L132" s="8"/>
      <c r="M132" s="8"/>
      <c r="N132" s="8"/>
      <c r="O132" s="8"/>
      <c r="P132" s="8"/>
      <c r="Q132" s="8"/>
      <c r="R132" s="8"/>
      <c r="S132" s="8"/>
      <c r="T132" s="52"/>
      <c r="U132" s="8"/>
      <c r="V132" s="5"/>
    </row>
    <row r="133" spans="1:22" ht="18" thickBot="1" x14ac:dyDescent="0.35">
      <c r="A133" s="101"/>
      <c r="B133" s="102" t="str">
        <f>B64</f>
        <v>PM11 INVESTOR REPORT QUARTER ENDING DECEMBER 2009</v>
      </c>
      <c r="C133" s="103"/>
      <c r="D133" s="103"/>
      <c r="E133" s="103"/>
      <c r="F133" s="103"/>
      <c r="G133" s="103"/>
      <c r="H133" s="103"/>
      <c r="I133" s="103"/>
      <c r="J133" s="103"/>
      <c r="K133" s="103"/>
      <c r="L133" s="103"/>
      <c r="M133" s="103"/>
      <c r="N133" s="103"/>
      <c r="O133" s="103"/>
      <c r="P133" s="103"/>
      <c r="Q133" s="103"/>
      <c r="R133" s="103"/>
      <c r="S133" s="103"/>
      <c r="T133" s="106"/>
      <c r="U133" s="105"/>
      <c r="V133" s="5"/>
    </row>
    <row r="134" spans="1:22" ht="15.6" x14ac:dyDescent="0.3">
      <c r="A134" s="2"/>
      <c r="B134" s="60" t="s">
        <v>42</v>
      </c>
      <c r="C134" s="4"/>
      <c r="D134" s="4"/>
      <c r="E134" s="4"/>
      <c r="F134" s="4"/>
      <c r="G134" s="4"/>
      <c r="H134" s="4"/>
      <c r="I134" s="4"/>
      <c r="J134" s="4"/>
      <c r="K134" s="4"/>
      <c r="L134" s="4"/>
      <c r="M134" s="4"/>
      <c r="N134" s="4"/>
      <c r="O134" s="4"/>
      <c r="P134" s="4"/>
      <c r="Q134" s="4"/>
      <c r="R134" s="4"/>
      <c r="S134" s="4"/>
      <c r="T134" s="50"/>
      <c r="U134" s="4"/>
      <c r="V134" s="5"/>
    </row>
    <row r="135" spans="1:22" ht="15.6" x14ac:dyDescent="0.3">
      <c r="A135" s="6"/>
      <c r="B135" s="21"/>
      <c r="C135" s="8"/>
      <c r="D135" s="8"/>
      <c r="E135" s="8"/>
      <c r="F135" s="8"/>
      <c r="G135" s="8"/>
      <c r="H135" s="8"/>
      <c r="I135" s="8"/>
      <c r="J135" s="8"/>
      <c r="K135" s="8"/>
      <c r="L135" s="8"/>
      <c r="M135" s="8"/>
      <c r="N135" s="8"/>
      <c r="O135" s="8"/>
      <c r="P135" s="8"/>
      <c r="Q135" s="8"/>
      <c r="R135" s="8"/>
      <c r="S135" s="8"/>
      <c r="T135" s="52"/>
      <c r="U135" s="8"/>
      <c r="V135" s="5"/>
    </row>
    <row r="136" spans="1:22" ht="15.6" x14ac:dyDescent="0.3">
      <c r="A136" s="6"/>
      <c r="B136" s="119" t="s">
        <v>43</v>
      </c>
      <c r="C136" s="8"/>
      <c r="D136" s="8"/>
      <c r="E136" s="8"/>
      <c r="F136" s="8"/>
      <c r="G136" s="8"/>
      <c r="H136" s="8"/>
      <c r="I136" s="8"/>
      <c r="J136" s="8"/>
      <c r="K136" s="8"/>
      <c r="L136" s="8"/>
      <c r="M136" s="8"/>
      <c r="N136" s="8"/>
      <c r="O136" s="8"/>
      <c r="P136" s="8"/>
      <c r="Q136" s="8"/>
      <c r="R136" s="8"/>
      <c r="S136" s="8"/>
      <c r="T136" s="52"/>
      <c r="U136" s="8"/>
      <c r="V136" s="5"/>
    </row>
    <row r="137" spans="1:22" ht="15.6" x14ac:dyDescent="0.3">
      <c r="A137" s="24"/>
      <c r="B137" s="25" t="s">
        <v>44</v>
      </c>
      <c r="C137" s="25"/>
      <c r="D137" s="25"/>
      <c r="E137" s="25"/>
      <c r="F137" s="25"/>
      <c r="G137" s="25"/>
      <c r="H137" s="25"/>
      <c r="I137" s="25"/>
      <c r="J137" s="25"/>
      <c r="K137" s="25"/>
      <c r="L137" s="25"/>
      <c r="M137" s="25"/>
      <c r="N137" s="25"/>
      <c r="O137" s="25"/>
      <c r="P137" s="25"/>
      <c r="Q137" s="25"/>
      <c r="R137" s="25"/>
      <c r="S137" s="25"/>
      <c r="T137" s="53">
        <f>+T34*0.019</f>
        <v>19000.95</v>
      </c>
      <c r="U137" s="25"/>
      <c r="V137" s="5"/>
    </row>
    <row r="138" spans="1:22" ht="15.6" x14ac:dyDescent="0.3">
      <c r="A138" s="24"/>
      <c r="B138" s="25" t="s">
        <v>45</v>
      </c>
      <c r="C138" s="25"/>
      <c r="D138" s="25"/>
      <c r="E138" s="25"/>
      <c r="F138" s="25"/>
      <c r="G138" s="25"/>
      <c r="H138" s="25"/>
      <c r="I138" s="25"/>
      <c r="J138" s="25"/>
      <c r="K138" s="25"/>
      <c r="L138" s="25"/>
      <c r="M138" s="25"/>
      <c r="N138" s="25"/>
      <c r="O138" s="25"/>
      <c r="P138" s="25"/>
      <c r="Q138" s="25"/>
      <c r="R138" s="25"/>
      <c r="S138" s="25"/>
      <c r="T138" s="53">
        <v>19001</v>
      </c>
      <c r="U138" s="25"/>
      <c r="V138" s="5"/>
    </row>
    <row r="139" spans="1:22" ht="15.6" x14ac:dyDescent="0.3">
      <c r="A139" s="24"/>
      <c r="B139" s="25" t="s">
        <v>142</v>
      </c>
      <c r="C139" s="25"/>
      <c r="D139" s="25"/>
      <c r="E139" s="25"/>
      <c r="F139" s="25"/>
      <c r="G139" s="25"/>
      <c r="H139" s="25"/>
      <c r="I139" s="25"/>
      <c r="J139" s="25"/>
      <c r="K139" s="25"/>
      <c r="L139" s="25"/>
      <c r="M139" s="25"/>
      <c r="N139" s="25"/>
      <c r="O139" s="25"/>
      <c r="P139" s="25"/>
      <c r="Q139" s="25"/>
      <c r="R139" s="25"/>
      <c r="S139" s="25"/>
      <c r="T139" s="53">
        <v>0</v>
      </c>
      <c r="U139" s="25"/>
      <c r="V139" s="5"/>
    </row>
    <row r="140" spans="1:22" ht="15.6" x14ac:dyDescent="0.3">
      <c r="A140" s="24"/>
      <c r="B140" s="25" t="s">
        <v>129</v>
      </c>
      <c r="C140" s="25"/>
      <c r="D140" s="25"/>
      <c r="E140" s="25"/>
      <c r="F140" s="25"/>
      <c r="G140" s="25"/>
      <c r="H140" s="25"/>
      <c r="I140" s="25"/>
      <c r="J140" s="25"/>
      <c r="K140" s="25"/>
      <c r="L140" s="25"/>
      <c r="M140" s="25"/>
      <c r="N140" s="25"/>
      <c r="O140" s="25"/>
      <c r="P140" s="25"/>
      <c r="Q140" s="25"/>
      <c r="R140" s="25"/>
      <c r="S140" s="25"/>
      <c r="T140" s="53">
        <v>0</v>
      </c>
      <c r="U140" s="25"/>
      <c r="V140" s="5"/>
    </row>
    <row r="141" spans="1:22" ht="15.6" x14ac:dyDescent="0.3">
      <c r="A141" s="24"/>
      <c r="B141" s="25" t="s">
        <v>130</v>
      </c>
      <c r="C141" s="25"/>
      <c r="D141" s="25"/>
      <c r="E141" s="25"/>
      <c r="F141" s="25"/>
      <c r="G141" s="25"/>
      <c r="H141" s="25"/>
      <c r="I141" s="25"/>
      <c r="J141" s="25"/>
      <c r="K141" s="25"/>
      <c r="L141" s="25"/>
      <c r="M141" s="25"/>
      <c r="N141" s="25"/>
      <c r="O141" s="25"/>
      <c r="P141" s="25"/>
      <c r="Q141" s="25"/>
      <c r="R141" s="25"/>
      <c r="S141" s="25"/>
      <c r="T141" s="53">
        <v>0</v>
      </c>
      <c r="U141" s="25"/>
      <c r="V141" s="5"/>
    </row>
    <row r="142" spans="1:22" ht="15.6" x14ac:dyDescent="0.3">
      <c r="A142" s="24"/>
      <c r="B142" s="25" t="s">
        <v>182</v>
      </c>
      <c r="C142" s="25"/>
      <c r="D142" s="25"/>
      <c r="E142" s="25"/>
      <c r="F142" s="25"/>
      <c r="G142" s="25"/>
      <c r="H142" s="25"/>
      <c r="I142" s="25"/>
      <c r="J142" s="25"/>
      <c r="K142" s="25"/>
      <c r="L142" s="25"/>
      <c r="M142" s="25"/>
      <c r="N142" s="25"/>
      <c r="O142" s="25"/>
      <c r="P142" s="25"/>
      <c r="Q142" s="25"/>
      <c r="R142" s="25"/>
      <c r="S142" s="25"/>
      <c r="T142" s="53">
        <v>0</v>
      </c>
      <c r="U142" s="25"/>
      <c r="V142" s="5"/>
    </row>
    <row r="143" spans="1:22" ht="15.6" x14ac:dyDescent="0.3">
      <c r="A143" s="24"/>
      <c r="B143" s="25" t="s">
        <v>46</v>
      </c>
      <c r="C143" s="25"/>
      <c r="D143" s="25"/>
      <c r="E143" s="25"/>
      <c r="F143" s="25"/>
      <c r="G143" s="25"/>
      <c r="H143" s="25"/>
      <c r="I143" s="25"/>
      <c r="J143" s="25"/>
      <c r="K143" s="25"/>
      <c r="L143" s="25"/>
      <c r="M143" s="25"/>
      <c r="N143" s="25"/>
      <c r="O143" s="25"/>
      <c r="P143" s="25"/>
      <c r="Q143" s="25"/>
      <c r="R143" s="25"/>
      <c r="S143" s="25"/>
      <c r="T143" s="53">
        <v>0</v>
      </c>
      <c r="U143" s="25"/>
      <c r="V143" s="5"/>
    </row>
    <row r="144" spans="1:22" ht="15.6" x14ac:dyDescent="0.3">
      <c r="A144" s="24"/>
      <c r="B144" s="25" t="s">
        <v>135</v>
      </c>
      <c r="C144" s="25"/>
      <c r="D144" s="25"/>
      <c r="E144" s="25"/>
      <c r="F144" s="25"/>
      <c r="G144" s="25"/>
      <c r="H144" s="25"/>
      <c r="I144" s="25"/>
      <c r="J144" s="25"/>
      <c r="K144" s="25"/>
      <c r="L144" s="25"/>
      <c r="M144" s="25"/>
      <c r="N144" s="25"/>
      <c r="O144" s="25"/>
      <c r="P144" s="25"/>
      <c r="Q144" s="25"/>
      <c r="R144" s="25"/>
      <c r="S144" s="25"/>
      <c r="T144" s="53">
        <v>0</v>
      </c>
      <c r="U144" s="25"/>
      <c r="V144" s="5"/>
    </row>
    <row r="145" spans="1:23" ht="15.6" x14ac:dyDescent="0.3">
      <c r="A145" s="24"/>
      <c r="B145" s="25" t="s">
        <v>251</v>
      </c>
      <c r="C145" s="25"/>
      <c r="D145" s="25"/>
      <c r="E145" s="25"/>
      <c r="F145" s="25"/>
      <c r="G145" s="25"/>
      <c r="H145" s="25"/>
      <c r="I145" s="25"/>
      <c r="J145" s="25"/>
      <c r="K145" s="25"/>
      <c r="L145" s="25"/>
      <c r="M145" s="25"/>
      <c r="N145" s="25"/>
      <c r="O145" s="25"/>
      <c r="P145" s="25"/>
      <c r="Q145" s="25"/>
      <c r="R145" s="25"/>
      <c r="S145" s="25"/>
      <c r="T145" s="53">
        <v>0</v>
      </c>
      <c r="U145" s="25"/>
      <c r="V145" s="5"/>
      <c r="W145" s="109"/>
    </row>
    <row r="146" spans="1:23" ht="15.6" x14ac:dyDescent="0.3">
      <c r="A146" s="24"/>
      <c r="B146" s="25" t="s">
        <v>47</v>
      </c>
      <c r="C146" s="25"/>
      <c r="D146" s="25"/>
      <c r="E146" s="25"/>
      <c r="F146" s="25"/>
      <c r="G146" s="25"/>
      <c r="H146" s="25"/>
      <c r="I146" s="25"/>
      <c r="J146" s="25"/>
      <c r="K146" s="25"/>
      <c r="L146" s="25"/>
      <c r="M146" s="25"/>
      <c r="N146" s="25"/>
      <c r="O146" s="25"/>
      <c r="P146" s="25"/>
      <c r="Q146" s="25"/>
      <c r="R146" s="25"/>
      <c r="S146" s="25"/>
      <c r="T146" s="53">
        <f>SUM(T138:T145)</f>
        <v>19001</v>
      </c>
      <c r="U146" s="25"/>
      <c r="V146" s="5"/>
    </row>
    <row r="147" spans="1:23" ht="15.6" x14ac:dyDescent="0.3">
      <c r="A147" s="24"/>
      <c r="B147" s="25"/>
      <c r="C147" s="25"/>
      <c r="D147" s="25"/>
      <c r="E147" s="25"/>
      <c r="F147" s="25"/>
      <c r="G147" s="25"/>
      <c r="H147" s="25"/>
      <c r="I147" s="25"/>
      <c r="J147" s="25"/>
      <c r="K147" s="25"/>
      <c r="L147" s="25"/>
      <c r="M147" s="25"/>
      <c r="N147" s="25"/>
      <c r="O147" s="25"/>
      <c r="P147" s="25"/>
      <c r="Q147" s="25"/>
      <c r="R147" s="25"/>
      <c r="S147" s="25"/>
      <c r="T147" s="53"/>
      <c r="U147" s="25"/>
      <c r="V147" s="5"/>
    </row>
    <row r="148" spans="1:23" ht="15.6" x14ac:dyDescent="0.3">
      <c r="A148" s="24"/>
      <c r="B148" s="138" t="s">
        <v>262</v>
      </c>
      <c r="C148" s="25"/>
      <c r="D148" s="25"/>
      <c r="E148" s="25"/>
      <c r="F148" s="25"/>
      <c r="G148" s="25"/>
      <c r="H148" s="25"/>
      <c r="I148" s="25"/>
      <c r="J148" s="25"/>
      <c r="K148" s="25"/>
      <c r="L148" s="25"/>
      <c r="M148" s="25"/>
      <c r="N148" s="25"/>
      <c r="O148" s="25"/>
      <c r="P148" s="25"/>
      <c r="Q148" s="25"/>
      <c r="R148" s="25"/>
      <c r="S148" s="25"/>
      <c r="T148" s="53"/>
      <c r="U148" s="25"/>
      <c r="V148" s="5"/>
    </row>
    <row r="149" spans="1:23" ht="15.6" x14ac:dyDescent="0.3">
      <c r="A149" s="24"/>
      <c r="B149" s="25" t="s">
        <v>263</v>
      </c>
      <c r="C149" s="25"/>
      <c r="D149" s="25"/>
      <c r="E149" s="25"/>
      <c r="F149" s="25"/>
      <c r="G149" s="25"/>
      <c r="H149" s="25"/>
      <c r="I149" s="25"/>
      <c r="J149" s="25"/>
      <c r="K149" s="25"/>
      <c r="L149" s="25"/>
      <c r="M149" s="25"/>
      <c r="N149" s="25"/>
      <c r="O149" s="25"/>
      <c r="P149" s="25"/>
      <c r="Q149" s="25"/>
      <c r="R149" s="25"/>
      <c r="S149" s="25"/>
      <c r="T149" s="53">
        <v>0</v>
      </c>
      <c r="U149" s="25"/>
      <c r="V149" s="5"/>
    </row>
    <row r="150" spans="1:23" ht="15.6" x14ac:dyDescent="0.3">
      <c r="A150" s="24"/>
      <c r="B150" s="25" t="s">
        <v>179</v>
      </c>
      <c r="C150" s="25"/>
      <c r="D150" s="25"/>
      <c r="E150" s="25"/>
      <c r="F150" s="25"/>
      <c r="G150" s="25"/>
      <c r="H150" s="25"/>
      <c r="I150" s="25"/>
      <c r="J150" s="25"/>
      <c r="K150" s="25"/>
      <c r="L150" s="25"/>
      <c r="M150" s="25"/>
      <c r="N150" s="25"/>
      <c r="O150" s="25"/>
      <c r="P150" s="25"/>
      <c r="Q150" s="25"/>
      <c r="R150" s="25"/>
      <c r="S150" s="25"/>
      <c r="T150" s="53">
        <v>0</v>
      </c>
      <c r="U150" s="25"/>
      <c r="V150" s="5"/>
    </row>
    <row r="151" spans="1:23" ht="15.6" x14ac:dyDescent="0.3">
      <c r="A151" s="24"/>
      <c r="B151" s="25" t="s">
        <v>264</v>
      </c>
      <c r="C151" s="25"/>
      <c r="D151" s="25"/>
      <c r="E151" s="25"/>
      <c r="F151" s="25"/>
      <c r="G151" s="25"/>
      <c r="H151" s="25"/>
      <c r="I151" s="25"/>
      <c r="J151" s="25"/>
      <c r="K151" s="25"/>
      <c r="L151" s="25"/>
      <c r="M151" s="25"/>
      <c r="N151" s="25"/>
      <c r="O151" s="25"/>
      <c r="P151" s="25"/>
      <c r="Q151" s="25"/>
      <c r="R151" s="25"/>
      <c r="S151" s="25"/>
      <c r="T151" s="53">
        <v>0</v>
      </c>
      <c r="U151" s="25"/>
      <c r="V151" s="5"/>
    </row>
    <row r="152" spans="1:23" ht="15.6" x14ac:dyDescent="0.3">
      <c r="A152" s="24"/>
      <c r="B152" s="25"/>
      <c r="C152" s="25"/>
      <c r="D152" s="25"/>
      <c r="E152" s="25"/>
      <c r="F152" s="25"/>
      <c r="G152" s="25"/>
      <c r="H152" s="25"/>
      <c r="I152" s="25"/>
      <c r="J152" s="25"/>
      <c r="K152" s="25"/>
      <c r="L152" s="25"/>
      <c r="M152" s="25"/>
      <c r="N152" s="25"/>
      <c r="O152" s="25"/>
      <c r="P152" s="25"/>
      <c r="Q152" s="25"/>
      <c r="R152" s="25"/>
      <c r="S152" s="25"/>
      <c r="T152" s="53"/>
      <c r="U152" s="25"/>
      <c r="V152" s="5"/>
    </row>
    <row r="153" spans="1:23" ht="15.6" x14ac:dyDescent="0.3">
      <c r="A153" s="24"/>
      <c r="B153" s="25"/>
      <c r="C153" s="25"/>
      <c r="D153" s="25"/>
      <c r="E153" s="25"/>
      <c r="F153" s="25"/>
      <c r="G153" s="25"/>
      <c r="H153" s="25"/>
      <c r="I153" s="25"/>
      <c r="J153" s="25"/>
      <c r="K153" s="25"/>
      <c r="L153" s="25"/>
      <c r="M153" s="25"/>
      <c r="N153" s="25"/>
      <c r="O153" s="25"/>
      <c r="P153" s="25"/>
      <c r="Q153" s="25"/>
      <c r="R153" s="25"/>
      <c r="S153" s="25"/>
      <c r="T153" s="61"/>
      <c r="U153" s="25"/>
      <c r="V153" s="5"/>
    </row>
    <row r="154" spans="1:23" ht="15.6" x14ac:dyDescent="0.3">
      <c r="A154" s="6"/>
      <c r="B154" s="119" t="s">
        <v>24</v>
      </c>
      <c r="C154" s="8"/>
      <c r="D154" s="8"/>
      <c r="E154" s="8"/>
      <c r="F154" s="8"/>
      <c r="G154" s="8"/>
      <c r="H154" s="8"/>
      <c r="I154" s="8"/>
      <c r="J154" s="8"/>
      <c r="K154" s="8"/>
      <c r="L154" s="8"/>
      <c r="M154" s="8"/>
      <c r="N154" s="8"/>
      <c r="O154" s="8"/>
      <c r="P154" s="8"/>
      <c r="Q154" s="8"/>
      <c r="R154" s="8"/>
      <c r="S154" s="8"/>
      <c r="T154" s="52"/>
      <c r="U154" s="8"/>
      <c r="V154" s="5"/>
    </row>
    <row r="155" spans="1:23" ht="15.6" x14ac:dyDescent="0.3">
      <c r="A155" s="24"/>
      <c r="B155" s="25" t="s">
        <v>48</v>
      </c>
      <c r="C155" s="25"/>
      <c r="D155" s="25"/>
      <c r="E155" s="25"/>
      <c r="F155" s="25"/>
      <c r="G155" s="25"/>
      <c r="H155" s="25"/>
      <c r="I155" s="25"/>
      <c r="J155" s="25"/>
      <c r="K155" s="25"/>
      <c r="L155" s="25"/>
      <c r="M155" s="25"/>
      <c r="N155" s="25"/>
      <c r="O155" s="25"/>
      <c r="P155" s="25"/>
      <c r="Q155" s="25"/>
      <c r="R155" s="25"/>
      <c r="S155" s="25"/>
      <c r="T155" s="59" t="s">
        <v>124</v>
      </c>
      <c r="U155" s="25"/>
      <c r="V155" s="5"/>
    </row>
    <row r="156" spans="1:23" ht="15.6" x14ac:dyDescent="0.3">
      <c r="A156" s="24"/>
      <c r="B156" s="25" t="s">
        <v>49</v>
      </c>
      <c r="C156" s="163"/>
      <c r="D156" s="163"/>
      <c r="E156" s="163"/>
      <c r="F156" s="163"/>
      <c r="G156" s="163"/>
      <c r="H156" s="163"/>
      <c r="I156" s="163"/>
      <c r="J156" s="163"/>
      <c r="K156" s="163"/>
      <c r="L156" s="163"/>
      <c r="M156" s="163"/>
      <c r="N156" s="163"/>
      <c r="O156" s="163"/>
      <c r="P156" s="163"/>
      <c r="Q156" s="163"/>
      <c r="R156" s="163"/>
      <c r="S156" s="163"/>
      <c r="T156" s="59" t="s">
        <v>124</v>
      </c>
      <c r="U156" s="25"/>
      <c r="V156" s="5"/>
    </row>
    <row r="157" spans="1:23" ht="15.6" x14ac:dyDescent="0.3">
      <c r="A157" s="24"/>
      <c r="B157" s="25" t="s">
        <v>50</v>
      </c>
      <c r="C157" s="25"/>
      <c r="D157" s="25"/>
      <c r="E157" s="25"/>
      <c r="F157" s="25"/>
      <c r="G157" s="25"/>
      <c r="H157" s="25"/>
      <c r="I157" s="25"/>
      <c r="J157" s="25"/>
      <c r="K157" s="25"/>
      <c r="L157" s="25"/>
      <c r="M157" s="25"/>
      <c r="N157" s="25"/>
      <c r="O157" s="25"/>
      <c r="P157" s="25"/>
      <c r="Q157" s="25"/>
      <c r="R157" s="25"/>
      <c r="S157" s="25"/>
      <c r="T157" s="59" t="s">
        <v>124</v>
      </c>
      <c r="U157" s="25"/>
      <c r="V157" s="5"/>
    </row>
    <row r="158" spans="1:23" ht="15.6" x14ac:dyDescent="0.3">
      <c r="A158" s="24"/>
      <c r="B158" s="25" t="s">
        <v>51</v>
      </c>
      <c r="C158" s="25"/>
      <c r="D158" s="25"/>
      <c r="E158" s="25"/>
      <c r="F158" s="25"/>
      <c r="G158" s="25"/>
      <c r="H158" s="25"/>
      <c r="I158" s="25"/>
      <c r="J158" s="25"/>
      <c r="K158" s="25"/>
      <c r="L158" s="25"/>
      <c r="M158" s="25"/>
      <c r="N158" s="25"/>
      <c r="O158" s="25"/>
      <c r="P158" s="25"/>
      <c r="Q158" s="25"/>
      <c r="R158" s="25"/>
      <c r="S158" s="25"/>
      <c r="T158" s="59" t="s">
        <v>124</v>
      </c>
      <c r="U158" s="25"/>
      <c r="V158" s="5"/>
    </row>
    <row r="159" spans="1:23" ht="15.6" x14ac:dyDescent="0.3">
      <c r="A159" s="24"/>
      <c r="B159" s="25"/>
      <c r="C159" s="25"/>
      <c r="D159" s="25"/>
      <c r="E159" s="25"/>
      <c r="F159" s="25"/>
      <c r="G159" s="25"/>
      <c r="H159" s="25"/>
      <c r="I159" s="25"/>
      <c r="J159" s="25"/>
      <c r="K159" s="25"/>
      <c r="L159" s="25"/>
      <c r="M159" s="25"/>
      <c r="N159" s="25"/>
      <c r="O159" s="25"/>
      <c r="P159" s="25"/>
      <c r="Q159" s="25"/>
      <c r="R159" s="25"/>
      <c r="S159" s="25"/>
      <c r="T159" s="61"/>
      <c r="U159" s="25"/>
      <c r="V159" s="5"/>
    </row>
    <row r="160" spans="1:23" ht="15.6" x14ac:dyDescent="0.3">
      <c r="A160" s="6"/>
      <c r="B160" s="119" t="s">
        <v>52</v>
      </c>
      <c r="C160" s="8"/>
      <c r="D160" s="8"/>
      <c r="E160" s="8"/>
      <c r="F160" s="8"/>
      <c r="G160" s="8"/>
      <c r="H160" s="8"/>
      <c r="I160" s="8"/>
      <c r="J160" s="8"/>
      <c r="K160" s="8"/>
      <c r="L160" s="8"/>
      <c r="M160" s="8"/>
      <c r="N160" s="8"/>
      <c r="O160" s="8"/>
      <c r="P160" s="8"/>
      <c r="Q160" s="8"/>
      <c r="R160" s="8"/>
      <c r="S160" s="8"/>
      <c r="T160" s="63"/>
      <c r="U160" s="8"/>
      <c r="V160" s="5"/>
    </row>
    <row r="161" spans="1:22" ht="15.6" x14ac:dyDescent="0.3">
      <c r="A161" s="24"/>
      <c r="B161" s="25" t="s">
        <v>53</v>
      </c>
      <c r="C161" s="25"/>
      <c r="D161" s="25"/>
      <c r="E161" s="25"/>
      <c r="F161" s="25"/>
      <c r="G161" s="25"/>
      <c r="H161" s="25"/>
      <c r="I161" s="25"/>
      <c r="J161" s="25"/>
      <c r="K161" s="25"/>
      <c r="L161" s="25"/>
      <c r="M161" s="25"/>
      <c r="N161" s="25"/>
      <c r="O161" s="25"/>
      <c r="P161" s="25"/>
      <c r="Q161" s="25"/>
      <c r="R161" s="25"/>
      <c r="S161" s="25"/>
      <c r="T161" s="53">
        <v>0</v>
      </c>
      <c r="U161" s="25"/>
      <c r="V161" s="5"/>
    </row>
    <row r="162" spans="1:22" ht="15.6" x14ac:dyDescent="0.3">
      <c r="A162" s="24"/>
      <c r="B162" s="25" t="s">
        <v>54</v>
      </c>
      <c r="C162" s="25"/>
      <c r="D162" s="25"/>
      <c r="E162" s="25"/>
      <c r="F162" s="25"/>
      <c r="G162" s="25"/>
      <c r="H162" s="25"/>
      <c r="I162" s="25"/>
      <c r="J162" s="25"/>
      <c r="K162" s="25"/>
      <c r="L162" s="25"/>
      <c r="M162" s="25"/>
      <c r="N162" s="25"/>
      <c r="O162" s="25"/>
      <c r="P162" s="25"/>
      <c r="Q162" s="25"/>
      <c r="R162" s="25"/>
      <c r="S162" s="25"/>
      <c r="T162" s="53">
        <f>R113</f>
        <v>461</v>
      </c>
      <c r="U162" s="25"/>
      <c r="V162" s="5"/>
    </row>
    <row r="163" spans="1:22" ht="15.6" x14ac:dyDescent="0.3">
      <c r="A163" s="24"/>
      <c r="B163" s="25" t="s">
        <v>55</v>
      </c>
      <c r="C163" s="25"/>
      <c r="D163" s="25"/>
      <c r="E163" s="25"/>
      <c r="F163" s="25"/>
      <c r="G163" s="25"/>
      <c r="H163" s="25"/>
      <c r="I163" s="25"/>
      <c r="J163" s="25"/>
      <c r="K163" s="25"/>
      <c r="L163" s="25"/>
      <c r="M163" s="25"/>
      <c r="N163" s="25"/>
      <c r="O163" s="25"/>
      <c r="P163" s="25"/>
      <c r="Q163" s="25"/>
      <c r="R163" s="25"/>
      <c r="S163" s="25"/>
      <c r="T163" s="53">
        <f>T162+T161</f>
        <v>461</v>
      </c>
      <c r="U163" s="25"/>
      <c r="V163" s="5"/>
    </row>
    <row r="164" spans="1:22" ht="15.6" x14ac:dyDescent="0.3">
      <c r="A164" s="24"/>
      <c r="B164" s="405" t="s">
        <v>301</v>
      </c>
      <c r="C164" s="25"/>
      <c r="D164" s="25"/>
      <c r="E164" s="25"/>
      <c r="F164" s="25"/>
      <c r="G164" s="25"/>
      <c r="H164" s="25"/>
      <c r="I164" s="25"/>
      <c r="J164" s="25"/>
      <c r="K164" s="25"/>
      <c r="L164" s="25"/>
      <c r="M164" s="25"/>
      <c r="N164" s="25"/>
      <c r="O164" s="25"/>
      <c r="P164" s="25"/>
      <c r="Q164" s="25"/>
      <c r="R164" s="25"/>
      <c r="S164" s="25"/>
      <c r="T164" s="53">
        <f>T113</f>
        <v>-461</v>
      </c>
      <c r="U164" s="25"/>
      <c r="V164" s="5"/>
    </row>
    <row r="165" spans="1:22" ht="15.6" x14ac:dyDescent="0.3">
      <c r="A165" s="24"/>
      <c r="B165" s="25" t="s">
        <v>56</v>
      </c>
      <c r="C165" s="25"/>
      <c r="D165" s="25"/>
      <c r="E165" s="25"/>
      <c r="F165" s="25"/>
      <c r="G165" s="25"/>
      <c r="H165" s="25"/>
      <c r="I165" s="25"/>
      <c r="J165" s="25"/>
      <c r="K165" s="25"/>
      <c r="L165" s="25"/>
      <c r="M165" s="25"/>
      <c r="N165" s="25"/>
      <c r="O165" s="25"/>
      <c r="P165" s="25"/>
      <c r="Q165" s="25"/>
      <c r="R165" s="25"/>
      <c r="S165" s="25"/>
      <c r="T165" s="53">
        <f>T163+T164</f>
        <v>0</v>
      </c>
      <c r="U165" s="25"/>
      <c r="V165" s="5"/>
    </row>
    <row r="166" spans="1:22" ht="15.6" x14ac:dyDescent="0.3">
      <c r="A166" s="24"/>
      <c r="B166" s="25" t="s">
        <v>273</v>
      </c>
      <c r="C166" s="25"/>
      <c r="D166" s="25"/>
      <c r="E166" s="25"/>
      <c r="F166" s="25"/>
      <c r="G166" s="25"/>
      <c r="H166" s="25"/>
      <c r="I166" s="25"/>
      <c r="J166" s="25"/>
      <c r="K166" s="25"/>
      <c r="L166" s="25"/>
      <c r="M166" s="25"/>
      <c r="N166" s="25"/>
      <c r="O166" s="25"/>
      <c r="P166" s="25"/>
      <c r="Q166" s="25"/>
      <c r="R166" s="25"/>
      <c r="S166" s="25"/>
      <c r="T166" s="53">
        <f>-T100</f>
        <v>207</v>
      </c>
      <c r="U166" s="25"/>
      <c r="V166" s="5"/>
    </row>
    <row r="167" spans="1:22" ht="16.2" thickBot="1" x14ac:dyDescent="0.35">
      <c r="A167" s="24"/>
      <c r="B167" s="25"/>
      <c r="C167" s="25"/>
      <c r="D167" s="25"/>
      <c r="E167" s="25"/>
      <c r="F167" s="25"/>
      <c r="G167" s="25"/>
      <c r="H167" s="25"/>
      <c r="I167" s="25"/>
      <c r="J167" s="25"/>
      <c r="K167" s="25"/>
      <c r="L167" s="25"/>
      <c r="M167" s="25"/>
      <c r="N167" s="25"/>
      <c r="O167" s="25"/>
      <c r="P167" s="25"/>
      <c r="Q167" s="25"/>
      <c r="R167" s="25"/>
      <c r="S167" s="25"/>
      <c r="T167" s="61"/>
      <c r="U167" s="25"/>
      <c r="V167" s="5"/>
    </row>
    <row r="168" spans="1:22" ht="15.6" x14ac:dyDescent="0.3">
      <c r="A168" s="2"/>
      <c r="B168" s="4"/>
      <c r="C168" s="4"/>
      <c r="D168" s="4"/>
      <c r="E168" s="4"/>
      <c r="F168" s="4"/>
      <c r="G168" s="4"/>
      <c r="H168" s="4"/>
      <c r="I168" s="4"/>
      <c r="J168" s="4"/>
      <c r="K168" s="4"/>
      <c r="L168" s="4"/>
      <c r="M168" s="4"/>
      <c r="N168" s="4"/>
      <c r="O168" s="4"/>
      <c r="P168" s="4"/>
      <c r="Q168" s="4"/>
      <c r="R168" s="4"/>
      <c r="S168" s="4"/>
      <c r="T168" s="50"/>
      <c r="U168" s="4"/>
      <c r="V168" s="5"/>
    </row>
    <row r="169" spans="1:22" ht="15.6" x14ac:dyDescent="0.3">
      <c r="A169" s="6"/>
      <c r="B169" s="119" t="s">
        <v>57</v>
      </c>
      <c r="C169" s="8"/>
      <c r="D169" s="8"/>
      <c r="E169" s="8"/>
      <c r="F169" s="8"/>
      <c r="G169" s="8"/>
      <c r="H169" s="8"/>
      <c r="I169" s="8"/>
      <c r="J169" s="8"/>
      <c r="K169" s="8"/>
      <c r="L169" s="8"/>
      <c r="M169" s="8"/>
      <c r="N169" s="8"/>
      <c r="O169" s="8"/>
      <c r="P169" s="8"/>
      <c r="Q169" s="8"/>
      <c r="R169" s="8"/>
      <c r="S169" s="8"/>
      <c r="T169" s="52"/>
      <c r="U169" s="8"/>
      <c r="V169" s="5"/>
    </row>
    <row r="170" spans="1:22" ht="15.6" x14ac:dyDescent="0.3">
      <c r="A170" s="6"/>
      <c r="B170" s="21"/>
      <c r="C170" s="8"/>
      <c r="D170" s="8"/>
      <c r="E170" s="8"/>
      <c r="F170" s="8"/>
      <c r="G170" s="8"/>
      <c r="H170" s="8"/>
      <c r="I170" s="8"/>
      <c r="J170" s="8"/>
      <c r="K170" s="8"/>
      <c r="L170" s="8"/>
      <c r="M170" s="8"/>
      <c r="N170" s="8"/>
      <c r="O170" s="8"/>
      <c r="P170" s="8"/>
      <c r="Q170" s="8"/>
      <c r="R170" s="8"/>
      <c r="S170" s="8"/>
      <c r="T170" s="52"/>
      <c r="U170" s="8"/>
      <c r="V170" s="5"/>
    </row>
    <row r="171" spans="1:22" ht="15.6" x14ac:dyDescent="0.3">
      <c r="A171" s="24"/>
      <c r="B171" s="25" t="s">
        <v>58</v>
      </c>
      <c r="C171" s="25"/>
      <c r="D171" s="25"/>
      <c r="E171" s="25"/>
      <c r="F171" s="25"/>
      <c r="G171" s="25"/>
      <c r="H171" s="25"/>
      <c r="I171" s="25"/>
      <c r="J171" s="25"/>
      <c r="K171" s="25"/>
      <c r="L171" s="25"/>
      <c r="M171" s="25"/>
      <c r="N171" s="25"/>
      <c r="O171" s="25"/>
      <c r="P171" s="25"/>
      <c r="Q171" s="25"/>
      <c r="R171" s="25"/>
      <c r="S171" s="25"/>
      <c r="T171" s="53">
        <f>T72</f>
        <v>605141</v>
      </c>
      <c r="U171" s="25"/>
      <c r="V171" s="5"/>
    </row>
    <row r="172" spans="1:22" ht="15.6" x14ac:dyDescent="0.3">
      <c r="A172" s="24"/>
      <c r="B172" s="25" t="s">
        <v>59</v>
      </c>
      <c r="C172" s="25"/>
      <c r="D172" s="25"/>
      <c r="E172" s="25"/>
      <c r="F172" s="25"/>
      <c r="G172" s="25"/>
      <c r="H172" s="25"/>
      <c r="I172" s="25"/>
      <c r="J172" s="25"/>
      <c r="K172" s="25"/>
      <c r="L172" s="25"/>
      <c r="M172" s="25"/>
      <c r="N172" s="25"/>
      <c r="O172" s="25"/>
      <c r="P172" s="25"/>
      <c r="Q172" s="25"/>
      <c r="R172" s="25"/>
      <c r="S172" s="25"/>
      <c r="T172" s="53">
        <f>T85</f>
        <v>605141</v>
      </c>
      <c r="U172" s="25"/>
      <c r="V172" s="5"/>
    </row>
    <row r="173" spans="1:22" ht="16.2" thickBot="1" x14ac:dyDescent="0.35">
      <c r="A173" s="24"/>
      <c r="B173" s="25"/>
      <c r="C173" s="25"/>
      <c r="D173" s="25"/>
      <c r="E173" s="25"/>
      <c r="F173" s="25"/>
      <c r="G173" s="25"/>
      <c r="H173" s="25"/>
      <c r="I173" s="25"/>
      <c r="J173" s="25"/>
      <c r="K173" s="25"/>
      <c r="L173" s="25"/>
      <c r="M173" s="25"/>
      <c r="N173" s="25"/>
      <c r="O173" s="25"/>
      <c r="P173" s="25"/>
      <c r="Q173" s="25"/>
      <c r="R173" s="25"/>
      <c r="S173" s="25"/>
      <c r="T173" s="61"/>
      <c r="U173" s="25"/>
      <c r="V173" s="5"/>
    </row>
    <row r="174" spans="1:22" ht="15.6" x14ac:dyDescent="0.3">
      <c r="A174" s="2"/>
      <c r="B174" s="4"/>
      <c r="C174" s="4"/>
      <c r="D174" s="4"/>
      <c r="E174" s="4"/>
      <c r="F174" s="4"/>
      <c r="G174" s="4"/>
      <c r="H174" s="4"/>
      <c r="I174" s="4"/>
      <c r="J174" s="4"/>
      <c r="K174" s="4"/>
      <c r="L174" s="4"/>
      <c r="M174" s="4"/>
      <c r="N174" s="4"/>
      <c r="O174" s="4"/>
      <c r="P174" s="4"/>
      <c r="Q174" s="4"/>
      <c r="R174" s="4"/>
      <c r="S174" s="4"/>
      <c r="T174" s="50"/>
      <c r="U174" s="4"/>
      <c r="V174" s="5"/>
    </row>
    <row r="175" spans="1:22" ht="15.6" x14ac:dyDescent="0.3">
      <c r="A175" s="6"/>
      <c r="B175" s="119" t="s">
        <v>60</v>
      </c>
      <c r="C175" s="117"/>
      <c r="D175" s="117"/>
      <c r="E175" s="117"/>
      <c r="F175" s="117"/>
      <c r="G175" s="117"/>
      <c r="H175" s="120"/>
      <c r="I175" s="120"/>
      <c r="J175" s="120"/>
      <c r="K175" s="120"/>
      <c r="L175" s="120"/>
      <c r="M175" s="120"/>
      <c r="N175" s="120"/>
      <c r="O175" s="120"/>
      <c r="P175" s="120"/>
      <c r="Q175" s="120" t="s">
        <v>104</v>
      </c>
      <c r="R175" s="120" t="s">
        <v>183</v>
      </c>
      <c r="S175" s="111"/>
      <c r="T175" s="121" t="s">
        <v>120</v>
      </c>
      <c r="U175" s="10"/>
      <c r="V175" s="5"/>
    </row>
    <row r="176" spans="1:22" ht="15.6" x14ac:dyDescent="0.3">
      <c r="A176" s="24"/>
      <c r="B176" s="25" t="s">
        <v>61</v>
      </c>
      <c r="C176" s="25"/>
      <c r="D176" s="25"/>
      <c r="E176" s="25"/>
      <c r="F176" s="25"/>
      <c r="G176" s="25"/>
      <c r="H176" s="25"/>
      <c r="I176" s="25"/>
      <c r="J176" s="25"/>
      <c r="K176" s="25"/>
      <c r="L176" s="25"/>
      <c r="M176" s="25"/>
      <c r="N176" s="25"/>
      <c r="O176" s="25"/>
      <c r="P176" s="25"/>
      <c r="Q176" s="53">
        <v>160008</v>
      </c>
      <c r="R176" s="40"/>
      <c r="S176" s="25"/>
      <c r="T176" s="53"/>
      <c r="U176" s="25"/>
      <c r="V176" s="5"/>
    </row>
    <row r="177" spans="1:22" ht="15.6" x14ac:dyDescent="0.3">
      <c r="A177" s="24"/>
      <c r="B177" s="25" t="s">
        <v>62</v>
      </c>
      <c r="C177" s="25"/>
      <c r="D177" s="25"/>
      <c r="E177" s="25"/>
      <c r="F177" s="25"/>
      <c r="G177" s="25"/>
      <c r="H177" s="25"/>
      <c r="I177" s="25"/>
      <c r="J177" s="25"/>
      <c r="K177" s="25"/>
      <c r="L177" s="25"/>
      <c r="M177" s="25"/>
      <c r="N177" s="25"/>
      <c r="O177" s="25"/>
      <c r="P177" s="25"/>
      <c r="Q177" s="53">
        <f>+'September 09'!Q178</f>
        <v>34617</v>
      </c>
      <c r="R177" s="53">
        <f>+'September 09'!R178</f>
        <v>3413</v>
      </c>
      <c r="S177" s="25"/>
      <c r="T177" s="53">
        <f>Q177+R177</f>
        <v>38030</v>
      </c>
      <c r="U177" s="25"/>
      <c r="V177" s="5"/>
    </row>
    <row r="178" spans="1:22" ht="15.6" x14ac:dyDescent="0.3">
      <c r="A178" s="24"/>
      <c r="B178" s="25" t="s">
        <v>63</v>
      </c>
      <c r="C178" s="25"/>
      <c r="D178" s="25"/>
      <c r="E178" s="25"/>
      <c r="F178" s="25"/>
      <c r="G178" s="25"/>
      <c r="H178" s="25"/>
      <c r="I178" s="25"/>
      <c r="J178" s="25"/>
      <c r="K178" s="25"/>
      <c r="L178" s="25"/>
      <c r="M178" s="25"/>
      <c r="N178" s="25"/>
      <c r="O178" s="25"/>
      <c r="P178" s="25"/>
      <c r="Q178" s="34">
        <f>664+117</f>
        <v>781</v>
      </c>
      <c r="R178" s="34">
        <v>0</v>
      </c>
      <c r="S178" s="25"/>
      <c r="T178" s="53">
        <f>Q178+R178</f>
        <v>781</v>
      </c>
      <c r="U178" s="25"/>
      <c r="V178" s="5"/>
    </row>
    <row r="179" spans="1:22" ht="15.6" x14ac:dyDescent="0.3">
      <c r="A179" s="24"/>
      <c r="B179" s="25" t="s">
        <v>64</v>
      </c>
      <c r="C179" s="25"/>
      <c r="D179" s="25"/>
      <c r="E179" s="25"/>
      <c r="F179" s="25"/>
      <c r="G179" s="25"/>
      <c r="H179" s="25"/>
      <c r="I179" s="25"/>
      <c r="J179" s="25"/>
      <c r="K179" s="25"/>
      <c r="L179" s="25"/>
      <c r="M179" s="25"/>
      <c r="N179" s="25"/>
      <c r="O179" s="25"/>
      <c r="P179" s="25"/>
      <c r="Q179" s="53">
        <f>Q177+Q178</f>
        <v>35398</v>
      </c>
      <c r="R179" s="53">
        <f>R178+R177</f>
        <v>3413</v>
      </c>
      <c r="S179" s="25"/>
      <c r="T179" s="53">
        <f>Q179+R179</f>
        <v>38811</v>
      </c>
      <c r="U179" s="25"/>
      <c r="V179" s="5"/>
    </row>
    <row r="180" spans="1:22" ht="15.6" x14ac:dyDescent="0.3">
      <c r="A180" s="24"/>
      <c r="B180" s="25" t="s">
        <v>65</v>
      </c>
      <c r="C180" s="25"/>
      <c r="D180" s="25"/>
      <c r="E180" s="25"/>
      <c r="F180" s="25"/>
      <c r="G180" s="25"/>
      <c r="H180" s="25"/>
      <c r="I180" s="25"/>
      <c r="J180" s="25"/>
      <c r="K180" s="25"/>
      <c r="L180" s="25"/>
      <c r="M180" s="25"/>
      <c r="N180" s="25"/>
      <c r="O180" s="25"/>
      <c r="P180" s="25"/>
      <c r="Q180" s="53">
        <f>Q176-Q179-R179</f>
        <v>121197</v>
      </c>
      <c r="R180" s="40"/>
      <c r="S180" s="25"/>
      <c r="T180" s="53"/>
      <c r="U180" s="25"/>
      <c r="V180" s="5"/>
    </row>
    <row r="181" spans="1:22" ht="16.2" thickBot="1" x14ac:dyDescent="0.35">
      <c r="A181" s="24"/>
      <c r="B181" s="25"/>
      <c r="C181" s="25"/>
      <c r="D181" s="25"/>
      <c r="E181" s="25"/>
      <c r="F181" s="25"/>
      <c r="G181" s="25"/>
      <c r="H181" s="25"/>
      <c r="I181" s="25"/>
      <c r="J181" s="25"/>
      <c r="K181" s="25"/>
      <c r="L181" s="25"/>
      <c r="M181" s="25"/>
      <c r="N181" s="25"/>
      <c r="O181" s="25"/>
      <c r="P181" s="25"/>
      <c r="Q181" s="25"/>
      <c r="R181" s="25"/>
      <c r="S181" s="25"/>
      <c r="T181" s="61"/>
      <c r="U181" s="25"/>
      <c r="V181" s="5"/>
    </row>
    <row r="182" spans="1:22" ht="15.6" x14ac:dyDescent="0.3">
      <c r="A182" s="2"/>
      <c r="B182" s="4"/>
      <c r="C182" s="4"/>
      <c r="D182" s="4"/>
      <c r="E182" s="4"/>
      <c r="F182" s="4"/>
      <c r="G182" s="4"/>
      <c r="H182" s="4"/>
      <c r="I182" s="4"/>
      <c r="J182" s="4"/>
      <c r="K182" s="4"/>
      <c r="L182" s="4"/>
      <c r="M182" s="4"/>
      <c r="N182" s="4"/>
      <c r="O182" s="4"/>
      <c r="P182" s="4"/>
      <c r="Q182" s="4"/>
      <c r="R182" s="4"/>
      <c r="S182" s="4"/>
      <c r="T182" s="50"/>
      <c r="U182" s="4"/>
      <c r="V182" s="5"/>
    </row>
    <row r="183" spans="1:22" ht="15.6" x14ac:dyDescent="0.3">
      <c r="A183" s="6"/>
      <c r="B183" s="119" t="s">
        <v>66</v>
      </c>
      <c r="C183" s="8"/>
      <c r="D183" s="8"/>
      <c r="E183" s="8"/>
      <c r="F183" s="8"/>
      <c r="G183" s="8"/>
      <c r="H183" s="8"/>
      <c r="I183" s="8"/>
      <c r="J183" s="8"/>
      <c r="K183" s="8"/>
      <c r="L183" s="8"/>
      <c r="M183" s="8"/>
      <c r="N183" s="8"/>
      <c r="O183" s="8"/>
      <c r="P183" s="8"/>
      <c r="Q183" s="8"/>
      <c r="R183" s="8"/>
      <c r="S183" s="8"/>
      <c r="T183" s="65"/>
      <c r="U183" s="8"/>
      <c r="V183" s="5"/>
    </row>
    <row r="184" spans="1:22" ht="15.6" x14ac:dyDescent="0.3">
      <c r="A184" s="24"/>
      <c r="B184" s="25" t="s">
        <v>67</v>
      </c>
      <c r="C184" s="25"/>
      <c r="D184" s="25"/>
      <c r="E184" s="25"/>
      <c r="F184" s="25"/>
      <c r="G184" s="25"/>
      <c r="H184" s="25"/>
      <c r="I184" s="25"/>
      <c r="J184" s="25"/>
      <c r="K184" s="25"/>
      <c r="L184" s="25"/>
      <c r="M184" s="25"/>
      <c r="N184" s="25"/>
      <c r="O184" s="25"/>
      <c r="P184" s="25"/>
      <c r="Q184" s="25"/>
      <c r="R184" s="25"/>
      <c r="S184" s="25"/>
      <c r="T184" s="59">
        <f>(T101+T103+T104+T105+T106)/-(T107+T108)</f>
        <v>3.3008423586040916</v>
      </c>
      <c r="U184" s="25" t="s">
        <v>121</v>
      </c>
      <c r="V184" s="5"/>
    </row>
    <row r="185" spans="1:22" ht="15.6" x14ac:dyDescent="0.3">
      <c r="A185" s="24"/>
      <c r="B185" s="25" t="s">
        <v>68</v>
      </c>
      <c r="C185" s="25"/>
      <c r="D185" s="25"/>
      <c r="E185" s="25"/>
      <c r="F185" s="25"/>
      <c r="G185" s="25"/>
      <c r="H185" s="25"/>
      <c r="I185" s="25"/>
      <c r="J185" s="25"/>
      <c r="K185" s="25"/>
      <c r="L185" s="25"/>
      <c r="M185" s="25"/>
      <c r="N185" s="25"/>
      <c r="O185" s="25"/>
      <c r="P185" s="25"/>
      <c r="Q185" s="25"/>
      <c r="R185" s="25"/>
      <c r="S185" s="25"/>
      <c r="T185" s="66">
        <v>1.49</v>
      </c>
      <c r="U185" s="25" t="s">
        <v>121</v>
      </c>
      <c r="V185" s="5"/>
    </row>
    <row r="186" spans="1:22" ht="15.6" x14ac:dyDescent="0.3">
      <c r="A186" s="24"/>
      <c r="B186" s="25" t="s">
        <v>69</v>
      </c>
      <c r="C186" s="25"/>
      <c r="D186" s="25"/>
      <c r="E186" s="25"/>
      <c r="F186" s="25"/>
      <c r="G186" s="25"/>
      <c r="H186" s="25"/>
      <c r="I186" s="25"/>
      <c r="J186" s="25"/>
      <c r="K186" s="25"/>
      <c r="L186" s="25"/>
      <c r="M186" s="25"/>
      <c r="N186" s="25"/>
      <c r="O186" s="25"/>
      <c r="P186" s="25"/>
      <c r="Q186" s="25"/>
      <c r="R186" s="25"/>
      <c r="S186" s="25"/>
      <c r="T186" s="59">
        <f>(T101+T103+T104+T105+T106+T107+T108)/-(T109+T110)</f>
        <v>12.746666666666666</v>
      </c>
      <c r="U186" s="25" t="s">
        <v>121</v>
      </c>
      <c r="V186" s="5"/>
    </row>
    <row r="187" spans="1:22" ht="15.6" x14ac:dyDescent="0.3">
      <c r="A187" s="24"/>
      <c r="B187" s="25" t="s">
        <v>70</v>
      </c>
      <c r="C187" s="25"/>
      <c r="D187" s="25"/>
      <c r="E187" s="25"/>
      <c r="F187" s="25"/>
      <c r="G187" s="25"/>
      <c r="H187" s="25"/>
      <c r="I187" s="25"/>
      <c r="J187" s="25"/>
      <c r="K187" s="25"/>
      <c r="L187" s="25"/>
      <c r="M187" s="25"/>
      <c r="N187" s="25"/>
      <c r="O187" s="25"/>
      <c r="P187" s="25"/>
      <c r="Q187" s="25"/>
      <c r="R187" s="25"/>
      <c r="S187" s="25"/>
      <c r="T187" s="66">
        <v>4.63</v>
      </c>
      <c r="U187" s="25" t="s">
        <v>121</v>
      </c>
      <c r="V187" s="5"/>
    </row>
    <row r="188" spans="1:22" ht="15.6" x14ac:dyDescent="0.3">
      <c r="A188" s="24"/>
      <c r="B188" s="25" t="s">
        <v>206</v>
      </c>
      <c r="C188" s="25"/>
      <c r="D188" s="25"/>
      <c r="E188" s="25"/>
      <c r="F188" s="25"/>
      <c r="G188" s="25"/>
      <c r="H188" s="25"/>
      <c r="I188" s="25"/>
      <c r="J188" s="25"/>
      <c r="K188" s="25"/>
      <c r="L188" s="25"/>
      <c r="M188" s="25"/>
      <c r="N188" s="25"/>
      <c r="O188" s="25"/>
      <c r="P188" s="25"/>
      <c r="Q188" s="25"/>
      <c r="R188" s="25"/>
      <c r="S188" s="25"/>
      <c r="T188" s="59">
        <f>(T101+T103+T104+T105+T106+T107+T108+T109+T110)/-(T111)</f>
        <v>11.012499999999999</v>
      </c>
      <c r="U188" s="25" t="s">
        <v>121</v>
      </c>
      <c r="V188" s="5"/>
    </row>
    <row r="189" spans="1:22" ht="15.6" x14ac:dyDescent="0.3">
      <c r="A189" s="24"/>
      <c r="B189" s="25" t="s">
        <v>207</v>
      </c>
      <c r="C189" s="25"/>
      <c r="D189" s="25"/>
      <c r="E189" s="25"/>
      <c r="F189" s="25"/>
      <c r="G189" s="25"/>
      <c r="H189" s="25"/>
      <c r="I189" s="25"/>
      <c r="J189" s="25"/>
      <c r="K189" s="25"/>
      <c r="L189" s="25"/>
      <c r="M189" s="25"/>
      <c r="N189" s="25"/>
      <c r="O189" s="25"/>
      <c r="P189" s="25"/>
      <c r="Q189" s="25"/>
      <c r="R189" s="25"/>
      <c r="S189" s="25"/>
      <c r="T189" s="66">
        <v>4.18</v>
      </c>
      <c r="U189" s="25" t="s">
        <v>121</v>
      </c>
      <c r="V189" s="5"/>
    </row>
    <row r="190" spans="1:22" ht="15.6" x14ac:dyDescent="0.3">
      <c r="A190" s="24"/>
      <c r="B190" s="25"/>
      <c r="C190" s="25"/>
      <c r="D190" s="25"/>
      <c r="E190" s="25"/>
      <c r="F190" s="25"/>
      <c r="G190" s="25"/>
      <c r="H190" s="25"/>
      <c r="I190" s="25"/>
      <c r="J190" s="25"/>
      <c r="K190" s="25"/>
      <c r="L190" s="25"/>
      <c r="M190" s="25"/>
      <c r="N190" s="25"/>
      <c r="O190" s="25"/>
      <c r="P190" s="25"/>
      <c r="Q190" s="25"/>
      <c r="R190" s="25"/>
      <c r="S190" s="25"/>
      <c r="T190" s="25"/>
      <c r="U190" s="25"/>
      <c r="V190" s="5"/>
    </row>
    <row r="191" spans="1:22" ht="15.6" x14ac:dyDescent="0.3">
      <c r="A191" s="24"/>
      <c r="B191" s="25"/>
      <c r="C191" s="25"/>
      <c r="D191" s="25"/>
      <c r="E191" s="25"/>
      <c r="F191" s="25"/>
      <c r="G191" s="25"/>
      <c r="H191" s="25"/>
      <c r="I191" s="25"/>
      <c r="J191" s="25"/>
      <c r="K191" s="25"/>
      <c r="L191" s="25"/>
      <c r="M191" s="25"/>
      <c r="N191" s="25"/>
      <c r="O191" s="25"/>
      <c r="P191" s="25"/>
      <c r="Q191" s="25"/>
      <c r="R191" s="25"/>
      <c r="S191" s="25"/>
      <c r="T191" s="25"/>
      <c r="U191" s="25"/>
      <c r="V191" s="5"/>
    </row>
    <row r="192" spans="1:22" ht="15.6" x14ac:dyDescent="0.3">
      <c r="A192" s="6"/>
      <c r="B192" s="8"/>
      <c r="C192" s="8"/>
      <c r="D192" s="8"/>
      <c r="E192" s="8"/>
      <c r="F192" s="8"/>
      <c r="G192" s="8"/>
      <c r="H192" s="8"/>
      <c r="I192" s="8"/>
      <c r="J192" s="8"/>
      <c r="K192" s="8"/>
      <c r="L192" s="8"/>
      <c r="M192" s="8"/>
      <c r="N192" s="8"/>
      <c r="O192" s="8"/>
      <c r="P192" s="8"/>
      <c r="Q192" s="8"/>
      <c r="R192" s="8"/>
      <c r="S192" s="8"/>
      <c r="T192" s="8"/>
      <c r="U192" s="8"/>
      <c r="V192" s="5"/>
    </row>
    <row r="193" spans="1:22" ht="18" thickBot="1" x14ac:dyDescent="0.35">
      <c r="A193" s="101"/>
      <c r="B193" s="102" t="str">
        <f>B133</f>
        <v>PM11 INVESTOR REPORT QUARTER ENDING DECEMBER 2009</v>
      </c>
      <c r="C193" s="165"/>
      <c r="D193" s="165"/>
      <c r="E193" s="165"/>
      <c r="F193" s="165"/>
      <c r="G193" s="165"/>
      <c r="H193" s="165"/>
      <c r="I193" s="165"/>
      <c r="J193" s="165"/>
      <c r="K193" s="165"/>
      <c r="L193" s="165"/>
      <c r="M193" s="165"/>
      <c r="N193" s="165"/>
      <c r="O193" s="165"/>
      <c r="P193" s="165"/>
      <c r="Q193" s="165"/>
      <c r="R193" s="165"/>
      <c r="S193" s="165"/>
      <c r="T193" s="165"/>
      <c r="U193" s="166"/>
      <c r="V193" s="5"/>
    </row>
    <row r="194" spans="1:22" ht="15.6" x14ac:dyDescent="0.3">
      <c r="A194" s="67"/>
      <c r="B194" s="60" t="s">
        <v>71</v>
      </c>
      <c r="C194" s="68"/>
      <c r="D194" s="68"/>
      <c r="E194" s="68"/>
      <c r="F194" s="68"/>
      <c r="G194" s="69"/>
      <c r="H194" s="69"/>
      <c r="I194" s="69"/>
      <c r="J194" s="69"/>
      <c r="K194" s="69"/>
      <c r="L194" s="69"/>
      <c r="M194" s="69"/>
      <c r="N194" s="69"/>
      <c r="O194" s="69"/>
      <c r="P194" s="69"/>
      <c r="Q194" s="69"/>
      <c r="R194" s="70">
        <v>40178</v>
      </c>
      <c r="S194" s="4"/>
      <c r="T194" s="4"/>
      <c r="U194" s="4"/>
      <c r="V194" s="5"/>
    </row>
    <row r="195" spans="1:22" ht="15.6" x14ac:dyDescent="0.3">
      <c r="A195" s="71"/>
      <c r="B195" s="72"/>
      <c r="C195" s="73"/>
      <c r="D195" s="73"/>
      <c r="E195" s="73"/>
      <c r="F195" s="73"/>
      <c r="G195" s="74"/>
      <c r="H195" s="74"/>
      <c r="I195" s="74"/>
      <c r="J195" s="74"/>
      <c r="K195" s="74"/>
      <c r="L195" s="74"/>
      <c r="M195" s="74"/>
      <c r="N195" s="74"/>
      <c r="O195" s="74"/>
      <c r="P195" s="74"/>
      <c r="Q195" s="74"/>
      <c r="R195" s="74"/>
      <c r="S195" s="8"/>
      <c r="T195" s="8"/>
      <c r="U195" s="8"/>
      <c r="V195" s="5"/>
    </row>
    <row r="196" spans="1:22" ht="15.6" x14ac:dyDescent="0.3">
      <c r="A196" s="75"/>
      <c r="B196" s="76" t="s">
        <v>72</v>
      </c>
      <c r="C196" s="77"/>
      <c r="D196" s="77"/>
      <c r="E196" s="77"/>
      <c r="F196" s="77"/>
      <c r="G196" s="64"/>
      <c r="H196" s="64"/>
      <c r="I196" s="64"/>
      <c r="J196" s="64"/>
      <c r="K196" s="64"/>
      <c r="L196" s="64"/>
      <c r="M196" s="64"/>
      <c r="N196" s="64"/>
      <c r="O196" s="64"/>
      <c r="P196" s="64"/>
      <c r="Q196" s="64"/>
      <c r="R196" s="78">
        <v>5.1569999999999998E-2</v>
      </c>
      <c r="S196" s="25"/>
      <c r="T196" s="25"/>
      <c r="U196" s="25"/>
      <c r="V196" s="5"/>
    </row>
    <row r="197" spans="1:22" ht="15.6" x14ac:dyDescent="0.3">
      <c r="A197" s="75"/>
      <c r="B197" s="76" t="s">
        <v>157</v>
      </c>
      <c r="C197" s="77"/>
      <c r="D197" s="77"/>
      <c r="E197" s="77"/>
      <c r="F197" s="77"/>
      <c r="G197" s="64"/>
      <c r="H197" s="64"/>
      <c r="I197" s="64"/>
      <c r="J197" s="64"/>
      <c r="K197" s="64"/>
      <c r="L197" s="64"/>
      <c r="M197" s="64"/>
      <c r="N197" s="64"/>
      <c r="O197" s="64"/>
      <c r="P197" s="64"/>
      <c r="Q197" s="64"/>
      <c r="R197" s="39">
        <v>4.6899999999999997E-2</v>
      </c>
      <c r="S197" s="25"/>
      <c r="T197" s="25"/>
      <c r="U197" s="25"/>
      <c r="V197" s="5"/>
    </row>
    <row r="198" spans="1:22" ht="15.6" x14ac:dyDescent="0.3">
      <c r="A198" s="75"/>
      <c r="B198" s="76" t="s">
        <v>73</v>
      </c>
      <c r="C198" s="77"/>
      <c r="D198" s="77"/>
      <c r="E198" s="77"/>
      <c r="F198" s="77"/>
      <c r="G198" s="64"/>
      <c r="H198" s="64"/>
      <c r="I198" s="64"/>
      <c r="J198" s="64"/>
      <c r="K198" s="64"/>
      <c r="L198" s="64"/>
      <c r="M198" s="64"/>
      <c r="N198" s="64"/>
      <c r="O198" s="64"/>
      <c r="P198" s="64"/>
      <c r="Q198" s="64"/>
      <c r="R198" s="78">
        <f>R196-R197</f>
        <v>4.6700000000000005E-3</v>
      </c>
      <c r="S198" s="25"/>
      <c r="T198" s="25"/>
      <c r="U198" s="25"/>
      <c r="V198" s="5"/>
    </row>
    <row r="199" spans="1:22" ht="15.6" x14ac:dyDescent="0.3">
      <c r="A199" s="75"/>
      <c r="B199" s="76" t="s">
        <v>74</v>
      </c>
      <c r="C199" s="77"/>
      <c r="D199" s="77"/>
      <c r="E199" s="77"/>
      <c r="F199" s="77"/>
      <c r="G199" s="64"/>
      <c r="H199" s="64"/>
      <c r="I199" s="64"/>
      <c r="J199" s="64"/>
      <c r="K199" s="64"/>
      <c r="L199" s="64"/>
      <c r="M199" s="64"/>
      <c r="N199" s="64"/>
      <c r="O199" s="64"/>
      <c r="P199" s="64"/>
      <c r="Q199" s="64"/>
      <c r="R199" s="78">
        <v>3.2480000000000002E-2</v>
      </c>
      <c r="S199" s="25"/>
      <c r="T199" s="25"/>
      <c r="U199" s="25"/>
      <c r="V199" s="5"/>
    </row>
    <row r="200" spans="1:22" ht="15.6" x14ac:dyDescent="0.3">
      <c r="A200" s="75"/>
      <c r="B200" s="76" t="s">
        <v>257</v>
      </c>
      <c r="C200" s="77"/>
      <c r="D200" s="77"/>
      <c r="E200" s="77"/>
      <c r="F200" s="77"/>
      <c r="G200" s="64"/>
      <c r="H200" s="64"/>
      <c r="I200" s="64"/>
      <c r="J200" s="64"/>
      <c r="K200" s="64"/>
      <c r="L200" s="64"/>
      <c r="M200" s="64"/>
      <c r="N200" s="64"/>
      <c r="O200" s="64"/>
      <c r="P200" s="64"/>
      <c r="Q200" s="64"/>
      <c r="R200" s="78">
        <f>T43</f>
        <v>7.4210852711294253E-3</v>
      </c>
      <c r="S200" s="25"/>
      <c r="T200" s="25"/>
      <c r="U200" s="25"/>
      <c r="V200" s="5"/>
    </row>
    <row r="201" spans="1:22" ht="15.6" x14ac:dyDescent="0.3">
      <c r="A201" s="75"/>
      <c r="B201" s="76" t="s">
        <v>75</v>
      </c>
      <c r="C201" s="77"/>
      <c r="D201" s="77"/>
      <c r="E201" s="77"/>
      <c r="F201" s="77"/>
      <c r="G201" s="64"/>
      <c r="H201" s="64"/>
      <c r="I201" s="64"/>
      <c r="J201" s="64"/>
      <c r="K201" s="64"/>
      <c r="L201" s="64"/>
      <c r="M201" s="64"/>
      <c r="N201" s="64"/>
      <c r="O201" s="64"/>
      <c r="P201" s="64"/>
      <c r="Q201" s="64"/>
      <c r="R201" s="78">
        <f>R199-R200</f>
        <v>2.5058914728870577E-2</v>
      </c>
      <c r="S201" s="25"/>
      <c r="T201" s="25"/>
      <c r="U201" s="25"/>
      <c r="V201" s="5"/>
    </row>
    <row r="202" spans="1:22" ht="15.6" x14ac:dyDescent="0.3">
      <c r="A202" s="75"/>
      <c r="B202" s="76" t="s">
        <v>260</v>
      </c>
      <c r="C202" s="77"/>
      <c r="D202" s="77"/>
      <c r="E202" s="77"/>
      <c r="F202" s="77"/>
      <c r="G202" s="64"/>
      <c r="H202" s="64"/>
      <c r="I202" s="64"/>
      <c r="J202" s="64"/>
      <c r="K202" s="64"/>
      <c r="L202" s="64"/>
      <c r="M202" s="64"/>
      <c r="N202" s="64"/>
      <c r="O202" s="64"/>
      <c r="P202" s="64"/>
      <c r="Q202" s="64"/>
      <c r="R202" s="78">
        <f>+T101/L72</f>
        <v>8.2328750951019235E-3</v>
      </c>
      <c r="S202" s="25"/>
      <c r="T202" s="25"/>
      <c r="U202" s="25"/>
      <c r="V202" s="5"/>
    </row>
    <row r="203" spans="1:22" ht="15.6" x14ac:dyDescent="0.3">
      <c r="A203" s="75"/>
      <c r="B203" s="76" t="s">
        <v>217</v>
      </c>
      <c r="C203" s="77"/>
      <c r="D203" s="77"/>
      <c r="E203" s="77"/>
      <c r="F203" s="77"/>
      <c r="G203" s="64"/>
      <c r="H203" s="64"/>
      <c r="I203" s="64"/>
      <c r="J203" s="64"/>
      <c r="K203" s="64"/>
      <c r="L203" s="64"/>
      <c r="M203" s="64"/>
      <c r="N203" s="64"/>
      <c r="O203" s="64"/>
      <c r="P203" s="64"/>
      <c r="Q203" s="64"/>
      <c r="R203" s="129">
        <v>15250</v>
      </c>
      <c r="S203" s="25"/>
      <c r="T203" s="25"/>
      <c r="U203" s="25"/>
      <c r="V203" s="5"/>
    </row>
    <row r="204" spans="1:22" ht="15.6" x14ac:dyDescent="0.3">
      <c r="A204" s="75"/>
      <c r="B204" s="76" t="s">
        <v>218</v>
      </c>
      <c r="C204" s="77"/>
      <c r="D204" s="77"/>
      <c r="E204" s="77"/>
      <c r="F204" s="77"/>
      <c r="G204" s="64"/>
      <c r="H204" s="64"/>
      <c r="I204" s="64"/>
      <c r="J204" s="64"/>
      <c r="K204" s="64"/>
      <c r="L204" s="64"/>
      <c r="M204" s="64"/>
      <c r="N204" s="64"/>
      <c r="O204" s="64"/>
      <c r="P204" s="64"/>
      <c r="Q204" s="64"/>
      <c r="R204" s="129">
        <v>15250</v>
      </c>
      <c r="S204" s="25"/>
      <c r="T204" s="25"/>
      <c r="U204" s="25"/>
      <c r="V204" s="5"/>
    </row>
    <row r="205" spans="1:22" ht="15.6" x14ac:dyDescent="0.3">
      <c r="A205" s="75"/>
      <c r="B205" s="76" t="s">
        <v>219</v>
      </c>
      <c r="C205" s="77"/>
      <c r="D205" s="77"/>
      <c r="E205" s="77"/>
      <c r="F205" s="77"/>
      <c r="G205" s="64"/>
      <c r="H205" s="64"/>
      <c r="I205" s="64"/>
      <c r="J205" s="64"/>
      <c r="K205" s="64"/>
      <c r="L205" s="64"/>
      <c r="M205" s="64"/>
      <c r="N205" s="64"/>
      <c r="O205" s="64"/>
      <c r="P205" s="64"/>
      <c r="Q205" s="64"/>
      <c r="R205" s="129">
        <v>15250</v>
      </c>
      <c r="S205" s="25"/>
      <c r="T205" s="25"/>
      <c r="U205" s="25"/>
      <c r="V205" s="5"/>
    </row>
    <row r="206" spans="1:22" ht="15.6" x14ac:dyDescent="0.3">
      <c r="A206" s="75"/>
      <c r="B206" s="76" t="s">
        <v>76</v>
      </c>
      <c r="C206" s="77"/>
      <c r="D206" s="77"/>
      <c r="E206" s="77"/>
      <c r="F206" s="77"/>
      <c r="G206" s="64"/>
      <c r="H206" s="64"/>
      <c r="I206" s="64"/>
      <c r="J206" s="64"/>
      <c r="K206" s="64"/>
      <c r="L206" s="64"/>
      <c r="M206" s="64"/>
      <c r="N206" s="64"/>
      <c r="O206" s="64"/>
      <c r="P206" s="64"/>
      <c r="Q206" s="64"/>
      <c r="R206" s="133">
        <v>21.18</v>
      </c>
      <c r="S206" s="25" t="s">
        <v>116</v>
      </c>
      <c r="T206" s="25"/>
      <c r="U206" s="25"/>
      <c r="V206" s="5"/>
    </row>
    <row r="207" spans="1:22" ht="15.6" x14ac:dyDescent="0.3">
      <c r="A207" s="75"/>
      <c r="B207" s="76" t="s">
        <v>77</v>
      </c>
      <c r="C207" s="77"/>
      <c r="D207" s="77"/>
      <c r="E207" s="77"/>
      <c r="F207" s="77"/>
      <c r="G207" s="64"/>
      <c r="H207" s="64"/>
      <c r="I207" s="64"/>
      <c r="J207" s="64"/>
      <c r="K207" s="64"/>
      <c r="L207" s="64"/>
      <c r="M207" s="64"/>
      <c r="N207" s="64"/>
      <c r="O207" s="64"/>
      <c r="P207" s="64"/>
      <c r="Q207" s="64"/>
      <c r="R207" s="133">
        <v>17.5</v>
      </c>
      <c r="S207" s="25" t="s">
        <v>116</v>
      </c>
      <c r="T207" s="25"/>
      <c r="U207" s="25"/>
      <c r="V207" s="5"/>
    </row>
    <row r="208" spans="1:22" ht="15.6" x14ac:dyDescent="0.3">
      <c r="A208" s="75"/>
      <c r="B208" s="76" t="s">
        <v>78</v>
      </c>
      <c r="C208" s="77"/>
      <c r="D208" s="77"/>
      <c r="E208" s="77"/>
      <c r="F208" s="77"/>
      <c r="G208" s="64"/>
      <c r="H208" s="64"/>
      <c r="I208" s="64"/>
      <c r="J208" s="64"/>
      <c r="K208" s="64"/>
      <c r="L208" s="64"/>
      <c r="M208" s="64"/>
      <c r="N208" s="64"/>
      <c r="O208" s="64"/>
      <c r="P208" s="64"/>
      <c r="Q208" s="64"/>
      <c r="R208" s="78">
        <f>N69/L69</f>
        <v>9.1838943253666344E-3</v>
      </c>
      <c r="S208" s="25"/>
      <c r="T208" s="25"/>
      <c r="U208" s="25"/>
      <c r="V208" s="5"/>
    </row>
    <row r="209" spans="1:22" ht="15.6" x14ac:dyDescent="0.3">
      <c r="A209" s="75"/>
      <c r="B209" s="76" t="s">
        <v>79</v>
      </c>
      <c r="C209" s="77"/>
      <c r="D209" s="77"/>
      <c r="E209" s="77"/>
      <c r="F209" s="77"/>
      <c r="G209" s="64"/>
      <c r="H209" s="64"/>
      <c r="I209" s="64"/>
      <c r="J209" s="64"/>
      <c r="K209" s="64"/>
      <c r="L209" s="64"/>
      <c r="M209" s="64"/>
      <c r="N209" s="64"/>
      <c r="O209" s="64"/>
      <c r="P209" s="64"/>
      <c r="Q209" s="64"/>
      <c r="R209" s="78">
        <v>0.1351</v>
      </c>
      <c r="S209" s="25"/>
      <c r="T209" s="25"/>
      <c r="U209" s="25"/>
      <c r="V209" s="5"/>
    </row>
    <row r="210" spans="1:22" ht="15.6" x14ac:dyDescent="0.3">
      <c r="A210" s="75"/>
      <c r="B210" s="76"/>
      <c r="C210" s="76"/>
      <c r="D210" s="76"/>
      <c r="E210" s="76"/>
      <c r="F210" s="76"/>
      <c r="G210" s="25"/>
      <c r="H210" s="25"/>
      <c r="I210" s="25"/>
      <c r="J210" s="25"/>
      <c r="K210" s="25"/>
      <c r="L210" s="25"/>
      <c r="M210" s="25"/>
      <c r="N210" s="25"/>
      <c r="O210" s="25"/>
      <c r="P210" s="25"/>
      <c r="Q210" s="25"/>
      <c r="R210" s="61"/>
      <c r="S210" s="25"/>
      <c r="T210" s="79"/>
      <c r="U210" s="25"/>
      <c r="V210" s="5"/>
    </row>
    <row r="211" spans="1:22" ht="15.6" x14ac:dyDescent="0.3">
      <c r="A211" s="80"/>
      <c r="B211" s="14" t="s">
        <v>80</v>
      </c>
      <c r="C211" s="81"/>
      <c r="D211" s="81"/>
      <c r="E211" s="81"/>
      <c r="F211" s="82"/>
      <c r="G211" s="81"/>
      <c r="H211" s="17"/>
      <c r="I211" s="17"/>
      <c r="J211" s="17"/>
      <c r="K211" s="17"/>
      <c r="L211" s="17"/>
      <c r="M211" s="17"/>
      <c r="N211" s="17"/>
      <c r="O211" s="17"/>
      <c r="P211" s="17"/>
      <c r="Q211" s="17" t="s">
        <v>105</v>
      </c>
      <c r="R211" s="83" t="s">
        <v>112</v>
      </c>
      <c r="S211" s="8"/>
      <c r="T211" s="8"/>
      <c r="U211" s="8"/>
      <c r="V211" s="5"/>
    </row>
    <row r="212" spans="1:22" ht="15.6" x14ac:dyDescent="0.3">
      <c r="A212" s="84"/>
      <c r="B212" s="76" t="s">
        <v>81</v>
      </c>
      <c r="C212" s="54"/>
      <c r="D212" s="54"/>
      <c r="E212" s="54"/>
      <c r="F212" s="25"/>
      <c r="G212" s="25"/>
      <c r="H212" s="30"/>
      <c r="I212" s="30"/>
      <c r="J212" s="30"/>
      <c r="K212" s="30"/>
      <c r="L212" s="30"/>
      <c r="M212" s="30"/>
      <c r="N212" s="30"/>
      <c r="O212" s="30"/>
      <c r="P212" s="30"/>
      <c r="Q212" s="30">
        <v>3</v>
      </c>
      <c r="R212" s="85">
        <v>503</v>
      </c>
      <c r="S212" s="25"/>
      <c r="T212" s="79"/>
      <c r="U212" s="86"/>
      <c r="V212" s="5"/>
    </row>
    <row r="213" spans="1:22" ht="15.6" x14ac:dyDescent="0.3">
      <c r="A213" s="84"/>
      <c r="B213" s="76" t="s">
        <v>151</v>
      </c>
      <c r="C213" s="54"/>
      <c r="D213" s="54"/>
      <c r="E213" s="54"/>
      <c r="F213" s="25"/>
      <c r="G213" s="25"/>
      <c r="H213" s="30"/>
      <c r="I213" s="30"/>
      <c r="J213" s="30"/>
      <c r="K213" s="30"/>
      <c r="L213" s="30"/>
      <c r="M213" s="30"/>
      <c r="N213" s="30"/>
      <c r="O213" s="30"/>
      <c r="P213" s="30"/>
      <c r="Q213" s="152">
        <f>+P253</f>
        <v>183</v>
      </c>
      <c r="R213" s="85">
        <f>+R253</f>
        <v>24787</v>
      </c>
      <c r="S213" s="25"/>
      <c r="T213" s="79"/>
      <c r="U213" s="86"/>
      <c r="V213" s="5"/>
    </row>
    <row r="214" spans="1:22" ht="15.6" x14ac:dyDescent="0.3">
      <c r="A214" s="84"/>
      <c r="B214" s="76" t="s">
        <v>82</v>
      </c>
      <c r="C214" s="54"/>
      <c r="D214" s="54"/>
      <c r="E214" s="54"/>
      <c r="F214" s="25"/>
      <c r="G214" s="25"/>
      <c r="H214" s="30"/>
      <c r="I214" s="30"/>
      <c r="J214" s="30"/>
      <c r="K214" s="30"/>
      <c r="L214" s="30"/>
      <c r="M214" s="30"/>
      <c r="N214" s="30"/>
      <c r="O214" s="30"/>
      <c r="P214" s="30"/>
      <c r="Q214" s="152">
        <f>+P265</f>
        <v>0</v>
      </c>
      <c r="R214" s="85">
        <f>+R265</f>
        <v>0</v>
      </c>
      <c r="S214" s="25"/>
      <c r="T214" s="79"/>
      <c r="U214" s="86"/>
      <c r="V214" s="5"/>
    </row>
    <row r="215" spans="1:22" ht="15.6" x14ac:dyDescent="0.3">
      <c r="A215" s="84"/>
      <c r="B215" s="122" t="s">
        <v>83</v>
      </c>
      <c r="C215" s="54"/>
      <c r="D215" s="54"/>
      <c r="E215" s="54"/>
      <c r="F215" s="25"/>
      <c r="G215" s="25"/>
      <c r="H215" s="25"/>
      <c r="I215" s="25"/>
      <c r="J215" s="25"/>
      <c r="K215" s="25"/>
      <c r="L215" s="25"/>
      <c r="M215" s="25"/>
      <c r="N215" s="25"/>
      <c r="O215" s="25"/>
      <c r="P215" s="25"/>
      <c r="Q215" s="25"/>
      <c r="R215" s="85">
        <v>0</v>
      </c>
      <c r="S215" s="25"/>
      <c r="T215" s="79"/>
      <c r="U215" s="86"/>
      <c r="V215" s="5"/>
    </row>
    <row r="216" spans="1:22" ht="15.6" x14ac:dyDescent="0.3">
      <c r="A216" s="84"/>
      <c r="B216" s="122" t="s">
        <v>84</v>
      </c>
      <c r="C216" s="54"/>
      <c r="D216" s="54"/>
      <c r="E216" s="54"/>
      <c r="F216" s="25"/>
      <c r="G216" s="25"/>
      <c r="H216" s="25"/>
      <c r="I216" s="25"/>
      <c r="J216" s="25"/>
      <c r="K216" s="25"/>
      <c r="L216" s="25"/>
      <c r="M216" s="25"/>
      <c r="N216" s="25"/>
      <c r="O216" s="25"/>
      <c r="P216" s="25"/>
      <c r="Q216" s="25"/>
      <c r="R216" s="62" t="s">
        <v>113</v>
      </c>
      <c r="S216" s="25"/>
      <c r="T216" s="79"/>
      <c r="U216" s="86"/>
      <c r="V216" s="5"/>
    </row>
    <row r="217" spans="1:22" ht="15.6" x14ac:dyDescent="0.3">
      <c r="A217" s="87"/>
      <c r="B217" s="122" t="s">
        <v>85</v>
      </c>
      <c r="C217" s="76"/>
      <c r="D217" s="76"/>
      <c r="E217" s="76"/>
      <c r="F217" s="76"/>
      <c r="G217" s="25"/>
      <c r="H217" s="25"/>
      <c r="I217" s="25"/>
      <c r="J217" s="25"/>
      <c r="K217" s="25"/>
      <c r="L217" s="25"/>
      <c r="M217" s="25"/>
      <c r="N217" s="25"/>
      <c r="O217" s="25"/>
      <c r="P217" s="25"/>
      <c r="Q217" s="25"/>
      <c r="R217" s="85"/>
      <c r="S217" s="25"/>
      <c r="T217" s="79"/>
      <c r="U217" s="88"/>
      <c r="V217" s="5"/>
    </row>
    <row r="218" spans="1:22" ht="15.6" x14ac:dyDescent="0.3">
      <c r="A218" s="87"/>
      <c r="B218" s="131" t="s">
        <v>86</v>
      </c>
      <c r="C218" s="76"/>
      <c r="D218" s="76"/>
      <c r="E218" s="76"/>
      <c r="F218" s="76"/>
      <c r="G218" s="25"/>
      <c r="H218" s="25"/>
      <c r="I218" s="25"/>
      <c r="J218" s="25"/>
      <c r="K218" s="25"/>
      <c r="L218" s="25"/>
      <c r="M218" s="25"/>
      <c r="N218" s="25"/>
      <c r="O218" s="25"/>
      <c r="P218" s="25"/>
      <c r="Q218" s="30"/>
      <c r="R218" s="85">
        <f>T162</f>
        <v>461</v>
      </c>
      <c r="S218" s="25"/>
      <c r="T218" s="79"/>
      <c r="U218" s="88"/>
      <c r="V218" s="5"/>
    </row>
    <row r="219" spans="1:22" ht="15.6" x14ac:dyDescent="0.3">
      <c r="A219" s="84"/>
      <c r="B219" s="76" t="s">
        <v>87</v>
      </c>
      <c r="C219" s="54"/>
      <c r="D219" s="54"/>
      <c r="E219" s="54"/>
      <c r="F219" s="54"/>
      <c r="G219" s="25"/>
      <c r="H219" s="25"/>
      <c r="I219" s="25"/>
      <c r="J219" s="25"/>
      <c r="K219" s="25"/>
      <c r="L219" s="25"/>
      <c r="M219" s="25"/>
      <c r="N219" s="25"/>
      <c r="O219" s="25"/>
      <c r="P219" s="25"/>
      <c r="Q219" s="30"/>
      <c r="R219" s="85">
        <f>+'September 09'!R218+R218</f>
        <v>1848</v>
      </c>
      <c r="S219" s="25"/>
      <c r="T219" s="79"/>
      <c r="U219" s="88"/>
      <c r="V219" s="5"/>
    </row>
    <row r="220" spans="1:22" ht="15.6" x14ac:dyDescent="0.3">
      <c r="A220" s="87"/>
      <c r="B220" s="122" t="s">
        <v>282</v>
      </c>
      <c r="C220" s="76"/>
      <c r="D220" s="76"/>
      <c r="E220" s="76"/>
      <c r="F220" s="76"/>
      <c r="G220" s="25"/>
      <c r="H220" s="25"/>
      <c r="I220" s="25"/>
      <c r="J220" s="25"/>
      <c r="K220" s="25"/>
      <c r="L220" s="25"/>
      <c r="M220" s="25"/>
      <c r="N220" s="25"/>
      <c r="O220" s="25"/>
      <c r="P220" s="25"/>
      <c r="Q220" s="30"/>
      <c r="R220" s="85"/>
      <c r="S220" s="25"/>
      <c r="T220" s="79"/>
      <c r="U220" s="88"/>
      <c r="V220" s="5"/>
    </row>
    <row r="221" spans="1:22" ht="15.6" x14ac:dyDescent="0.3">
      <c r="A221" s="87"/>
      <c r="B221" s="76" t="s">
        <v>280</v>
      </c>
      <c r="C221" s="76"/>
      <c r="D221" s="76"/>
      <c r="E221" s="76"/>
      <c r="F221" s="76"/>
      <c r="G221" s="25"/>
      <c r="H221" s="25"/>
      <c r="I221" s="25"/>
      <c r="J221" s="25"/>
      <c r="K221" s="25"/>
      <c r="L221" s="25"/>
      <c r="M221" s="25"/>
      <c r="N221" s="25"/>
      <c r="O221" s="25"/>
      <c r="P221" s="25"/>
      <c r="Q221" s="30">
        <v>0</v>
      </c>
      <c r="R221" s="170">
        <v>0</v>
      </c>
      <c r="S221" s="25"/>
      <c r="T221" s="79"/>
      <c r="U221" s="88"/>
      <c r="V221" s="5"/>
    </row>
    <row r="222" spans="1:22" ht="15.6" x14ac:dyDescent="0.3">
      <c r="A222" s="84"/>
      <c r="B222" s="76" t="s">
        <v>89</v>
      </c>
      <c r="C222" s="89"/>
      <c r="D222" s="89"/>
      <c r="E222" s="89"/>
      <c r="F222" s="90"/>
      <c r="G222" s="25"/>
      <c r="H222" s="25"/>
      <c r="I222" s="25"/>
      <c r="J222" s="25"/>
      <c r="K222" s="25"/>
      <c r="L222" s="25"/>
      <c r="M222" s="25"/>
      <c r="N222" s="25"/>
      <c r="O222" s="25"/>
      <c r="P222" s="25"/>
      <c r="Q222" s="25"/>
      <c r="R222" s="171">
        <v>0</v>
      </c>
      <c r="S222" s="25"/>
      <c r="T222" s="79"/>
      <c r="U222" s="88"/>
      <c r="V222" s="5"/>
    </row>
    <row r="223" spans="1:22" ht="15.6" x14ac:dyDescent="0.3">
      <c r="A223" s="84"/>
      <c r="B223" s="76" t="s">
        <v>90</v>
      </c>
      <c r="C223" s="89"/>
      <c r="D223" s="89"/>
      <c r="E223" s="89"/>
      <c r="F223" s="90"/>
      <c r="G223" s="25"/>
      <c r="H223" s="25"/>
      <c r="I223" s="25"/>
      <c r="J223" s="25"/>
      <c r="K223" s="25"/>
      <c r="L223" s="25"/>
      <c r="M223" s="25"/>
      <c r="N223" s="25"/>
      <c r="O223" s="25"/>
      <c r="P223" s="25"/>
      <c r="Q223" s="25"/>
      <c r="R223" s="171">
        <v>0</v>
      </c>
      <c r="S223" s="25"/>
      <c r="T223" s="79"/>
      <c r="U223" s="88"/>
      <c r="V223" s="5"/>
    </row>
    <row r="224" spans="1:22" ht="15.6" x14ac:dyDescent="0.3">
      <c r="A224" s="84"/>
      <c r="B224" s="122" t="s">
        <v>226</v>
      </c>
      <c r="C224" s="89"/>
      <c r="D224" s="89"/>
      <c r="E224" s="89"/>
      <c r="F224" s="90"/>
      <c r="G224" s="25"/>
      <c r="H224" s="25"/>
      <c r="I224" s="25"/>
      <c r="J224" s="25"/>
      <c r="K224" s="25"/>
      <c r="L224" s="25"/>
      <c r="M224" s="25"/>
      <c r="N224" s="25"/>
      <c r="O224" s="25"/>
      <c r="P224" s="25"/>
      <c r="Q224" s="30"/>
      <c r="R224" s="172"/>
      <c r="S224" s="25"/>
      <c r="T224" s="79"/>
      <c r="U224" s="88"/>
      <c r="V224" s="5"/>
    </row>
    <row r="225" spans="1:23" ht="15.6" x14ac:dyDescent="0.3">
      <c r="A225" s="84"/>
      <c r="B225" s="76" t="s">
        <v>280</v>
      </c>
      <c r="C225" s="89"/>
      <c r="D225" s="89"/>
      <c r="E225" s="89"/>
      <c r="F225" s="90"/>
      <c r="G225" s="25"/>
      <c r="H225" s="25"/>
      <c r="I225" s="25"/>
      <c r="J225" s="25"/>
      <c r="K225" s="25"/>
      <c r="L225" s="25"/>
      <c r="M225" s="25"/>
      <c r="N225" s="25"/>
      <c r="O225" s="25"/>
      <c r="P225" s="25"/>
      <c r="Q225" s="30">
        <v>10</v>
      </c>
      <c r="R225" s="170">
        <v>1369</v>
      </c>
      <c r="S225" s="25"/>
      <c r="T225" s="79"/>
      <c r="U225" s="88"/>
      <c r="V225" s="5"/>
    </row>
    <row r="226" spans="1:23" ht="15.6" x14ac:dyDescent="0.3">
      <c r="A226" s="84"/>
      <c r="B226" s="76" t="s">
        <v>227</v>
      </c>
      <c r="C226" s="89"/>
      <c r="D226" s="89"/>
      <c r="E226" s="89"/>
      <c r="F226" s="90"/>
      <c r="G226" s="25"/>
      <c r="H226" s="25"/>
      <c r="I226" s="25"/>
      <c r="J226" s="25"/>
      <c r="K226" s="25"/>
      <c r="L226" s="25"/>
      <c r="M226" s="25"/>
      <c r="N226" s="25"/>
      <c r="O226" s="25"/>
      <c r="P226" s="25"/>
      <c r="Q226" s="30"/>
      <c r="R226" s="171">
        <v>10.92</v>
      </c>
      <c r="S226" s="25"/>
      <c r="T226" s="79"/>
      <c r="U226" s="88"/>
      <c r="V226" s="5"/>
    </row>
    <row r="227" spans="1:23" ht="15.6" x14ac:dyDescent="0.3">
      <c r="A227" s="84"/>
      <c r="B227" s="76"/>
      <c r="C227" s="89"/>
      <c r="D227" s="89"/>
      <c r="E227" s="89"/>
      <c r="F227" s="90"/>
      <c r="G227" s="25"/>
      <c r="H227" s="25"/>
      <c r="I227" s="25"/>
      <c r="J227" s="25"/>
      <c r="K227" s="25"/>
      <c r="L227" s="25"/>
      <c r="M227" s="25"/>
      <c r="N227" s="25"/>
      <c r="O227" s="25"/>
      <c r="P227" s="25"/>
      <c r="Q227" s="25"/>
      <c r="R227" s="91"/>
      <c r="S227" s="25"/>
      <c r="T227" s="79"/>
      <c r="U227" s="88"/>
      <c r="V227" s="5"/>
    </row>
    <row r="228" spans="1:23" ht="15.6" x14ac:dyDescent="0.3">
      <c r="A228" s="84"/>
      <c r="B228" s="76"/>
      <c r="C228" s="89"/>
      <c r="D228" s="89"/>
      <c r="E228" s="89"/>
      <c r="F228" s="90"/>
      <c r="G228" s="25"/>
      <c r="H228" s="25"/>
      <c r="I228" s="25"/>
      <c r="J228" s="25"/>
      <c r="K228" s="25"/>
      <c r="L228" s="25"/>
      <c r="M228" s="25"/>
      <c r="N228" s="25"/>
      <c r="O228" s="25"/>
      <c r="P228" s="25"/>
      <c r="Q228" s="25"/>
      <c r="R228" s="91"/>
      <c r="S228" s="25"/>
      <c r="T228" s="79"/>
      <c r="U228" s="88"/>
      <c r="V228" s="5"/>
    </row>
    <row r="229" spans="1:23" ht="17.399999999999999" x14ac:dyDescent="0.3">
      <c r="A229" s="84"/>
      <c r="B229" s="149" t="s">
        <v>175</v>
      </c>
      <c r="C229" s="89"/>
      <c r="D229" s="89"/>
      <c r="E229" s="89"/>
      <c r="F229" s="90"/>
      <c r="G229" s="25"/>
      <c r="H229" s="25"/>
      <c r="I229" s="25"/>
      <c r="J229" s="25"/>
      <c r="K229" s="25"/>
      <c r="L229" s="25"/>
      <c r="M229" s="25"/>
      <c r="N229" s="150" t="s">
        <v>174</v>
      </c>
      <c r="O229" s="25"/>
      <c r="P229" s="25"/>
      <c r="Q229" s="25"/>
      <c r="R229" s="91"/>
      <c r="S229" s="25"/>
      <c r="T229" s="79"/>
      <c r="U229" s="88"/>
      <c r="V229" s="5"/>
    </row>
    <row r="230" spans="1:23" ht="15.6" x14ac:dyDescent="0.3">
      <c r="A230" s="84"/>
      <c r="B230" s="76"/>
      <c r="C230" s="89"/>
      <c r="D230" s="89"/>
      <c r="E230" s="89"/>
      <c r="F230" s="90"/>
      <c r="G230" s="25"/>
      <c r="H230" s="25"/>
      <c r="I230" s="25"/>
      <c r="J230" s="25"/>
      <c r="K230" s="25"/>
      <c r="L230" s="25"/>
      <c r="M230" s="25"/>
      <c r="N230" s="25"/>
      <c r="O230" s="25"/>
      <c r="P230" s="25"/>
      <c r="Q230" s="25"/>
      <c r="R230" s="91"/>
      <c r="S230" s="25"/>
      <c r="T230" s="79"/>
      <c r="U230" s="88"/>
      <c r="V230" s="5"/>
    </row>
    <row r="231" spans="1:23" ht="15.6" x14ac:dyDescent="0.3">
      <c r="A231" s="6"/>
      <c r="B231" s="14" t="s">
        <v>169</v>
      </c>
      <c r="C231" s="81"/>
      <c r="D231" s="81"/>
      <c r="E231" s="81"/>
      <c r="F231" s="82"/>
      <c r="G231" s="81"/>
      <c r="H231" s="17"/>
      <c r="I231" s="17"/>
      <c r="J231" s="17"/>
      <c r="K231" s="17"/>
      <c r="L231" s="17"/>
      <c r="M231" s="17"/>
      <c r="N231" s="17"/>
      <c r="O231" s="17"/>
      <c r="P231" s="83" t="s">
        <v>105</v>
      </c>
      <c r="Q231" s="17" t="s">
        <v>106</v>
      </c>
      <c r="R231" s="83" t="s">
        <v>114</v>
      </c>
      <c r="S231" s="17" t="s">
        <v>106</v>
      </c>
      <c r="T231" s="8"/>
      <c r="U231" s="92"/>
      <c r="V231" s="5"/>
    </row>
    <row r="232" spans="1:23" ht="15.6" x14ac:dyDescent="0.3">
      <c r="A232" s="24"/>
      <c r="B232" s="54" t="s">
        <v>91</v>
      </c>
      <c r="C232" s="93"/>
      <c r="D232" s="93"/>
      <c r="E232" s="93"/>
      <c r="F232" s="25"/>
      <c r="G232" s="93"/>
      <c r="H232" s="93"/>
      <c r="I232" s="93"/>
      <c r="J232" s="93"/>
      <c r="K232" s="93"/>
      <c r="L232" s="93"/>
      <c r="M232" s="93"/>
      <c r="N232" s="93"/>
      <c r="O232" s="93"/>
      <c r="P232" s="54">
        <v>4275</v>
      </c>
      <c r="Q232" s="94">
        <f t="shared" ref="Q232:Q239" si="1">P232/$P$241</f>
        <v>0.98253275109170302</v>
      </c>
      <c r="R232" s="53">
        <v>568924</v>
      </c>
      <c r="S232" s="132">
        <f t="shared" ref="S232:S239" si="2">R232/$R$241</f>
        <v>0.98030512411390291</v>
      </c>
      <c r="T232" s="79"/>
      <c r="U232" s="88"/>
      <c r="V232" s="5"/>
    </row>
    <row r="233" spans="1:23" ht="15.6" x14ac:dyDescent="0.3">
      <c r="A233" s="24"/>
      <c r="B233" s="54" t="s">
        <v>92</v>
      </c>
      <c r="C233" s="93"/>
      <c r="D233" s="93"/>
      <c r="E233" s="93"/>
      <c r="F233" s="25"/>
      <c r="G233" s="94"/>
      <c r="H233" s="93"/>
      <c r="I233" s="93"/>
      <c r="J233" s="93"/>
      <c r="K233" s="93"/>
      <c r="L233" s="93"/>
      <c r="M233" s="93"/>
      <c r="N233" s="93"/>
      <c r="O233" s="93"/>
      <c r="P233" s="54">
        <v>62</v>
      </c>
      <c r="Q233" s="94">
        <f t="shared" si="1"/>
        <v>1.4249597793610664E-2</v>
      </c>
      <c r="R233" s="53">
        <v>9041</v>
      </c>
      <c r="S233" s="132">
        <f t="shared" si="2"/>
        <v>1.5578422824689759E-2</v>
      </c>
      <c r="T233" s="79"/>
      <c r="U233" s="88"/>
      <c r="V233" s="5"/>
      <c r="W233" s="109"/>
    </row>
    <row r="234" spans="1:23" ht="15.6" x14ac:dyDescent="0.3">
      <c r="A234" s="24"/>
      <c r="B234" s="54" t="s">
        <v>93</v>
      </c>
      <c r="C234" s="93"/>
      <c r="D234" s="93"/>
      <c r="E234" s="93"/>
      <c r="F234" s="25"/>
      <c r="G234" s="94"/>
      <c r="H234" s="93"/>
      <c r="I234" s="93"/>
      <c r="J234" s="93"/>
      <c r="K234" s="93"/>
      <c r="L234" s="93"/>
      <c r="M234" s="93"/>
      <c r="N234" s="93"/>
      <c r="O234" s="93"/>
      <c r="P234" s="54">
        <v>8</v>
      </c>
      <c r="Q234" s="94">
        <f t="shared" si="1"/>
        <v>1.8386577798207308E-3</v>
      </c>
      <c r="R234" s="53">
        <v>1619</v>
      </c>
      <c r="S234" s="132">
        <f t="shared" si="2"/>
        <v>2.7896766456335272E-3</v>
      </c>
      <c r="T234" s="79"/>
      <c r="U234" s="88"/>
      <c r="V234" s="5"/>
    </row>
    <row r="235" spans="1:23" ht="15.6" x14ac:dyDescent="0.3">
      <c r="A235" s="24"/>
      <c r="B235" s="54" t="s">
        <v>163</v>
      </c>
      <c r="C235" s="93"/>
      <c r="D235" s="93"/>
      <c r="E235" s="93"/>
      <c r="F235" s="25"/>
      <c r="G235" s="94"/>
      <c r="H235" s="93"/>
      <c r="I235" s="93"/>
      <c r="J235" s="93"/>
      <c r="K235" s="93"/>
      <c r="L235" s="93"/>
      <c r="M235" s="93"/>
      <c r="N235" s="93"/>
      <c r="O235" s="93"/>
      <c r="P235" s="54">
        <v>5</v>
      </c>
      <c r="Q235" s="94">
        <f t="shared" si="1"/>
        <v>1.1491611123879567E-3</v>
      </c>
      <c r="R235" s="53">
        <v>624</v>
      </c>
      <c r="S235" s="132">
        <f t="shared" si="2"/>
        <v>1.0752058226530703E-3</v>
      </c>
      <c r="T235" s="79"/>
      <c r="U235" s="88"/>
      <c r="V235" s="5"/>
      <c r="W235" s="109"/>
    </row>
    <row r="236" spans="1:23" ht="15.6" x14ac:dyDescent="0.3">
      <c r="A236" s="24"/>
      <c r="B236" s="54" t="s">
        <v>164</v>
      </c>
      <c r="C236" s="93"/>
      <c r="D236" s="93"/>
      <c r="E236" s="93"/>
      <c r="F236" s="25"/>
      <c r="G236" s="94"/>
      <c r="H236" s="93"/>
      <c r="I236" s="93"/>
      <c r="J236" s="93"/>
      <c r="K236" s="93"/>
      <c r="L236" s="93"/>
      <c r="M236" s="93"/>
      <c r="N236" s="93"/>
      <c r="O236" s="93"/>
      <c r="P236" s="54">
        <v>0</v>
      </c>
      <c r="Q236" s="94">
        <f t="shared" si="1"/>
        <v>0</v>
      </c>
      <c r="R236" s="53">
        <v>0</v>
      </c>
      <c r="S236" s="132">
        <f t="shared" si="2"/>
        <v>0</v>
      </c>
      <c r="T236" s="79"/>
      <c r="U236" s="88"/>
      <c r="V236" s="5"/>
    </row>
    <row r="237" spans="1:23" ht="15.6" x14ac:dyDescent="0.3">
      <c r="A237" s="24"/>
      <c r="B237" s="54" t="s">
        <v>165</v>
      </c>
      <c r="C237" s="93"/>
      <c r="D237" s="93"/>
      <c r="E237" s="93"/>
      <c r="F237" s="25"/>
      <c r="G237" s="94"/>
      <c r="H237" s="93"/>
      <c r="I237" s="93"/>
      <c r="J237" s="93"/>
      <c r="K237" s="93"/>
      <c r="L237" s="93"/>
      <c r="M237" s="93"/>
      <c r="N237" s="93"/>
      <c r="O237" s="93"/>
      <c r="P237" s="54">
        <v>0</v>
      </c>
      <c r="Q237" s="94">
        <f t="shared" si="1"/>
        <v>0</v>
      </c>
      <c r="R237" s="53">
        <v>0</v>
      </c>
      <c r="S237" s="132">
        <f t="shared" si="2"/>
        <v>0</v>
      </c>
      <c r="T237" s="79"/>
      <c r="U237" s="88"/>
      <c r="V237" s="5"/>
      <c r="W237" s="109"/>
    </row>
    <row r="238" spans="1:23" ht="15.6" x14ac:dyDescent="0.3">
      <c r="A238" s="24"/>
      <c r="B238" s="54" t="s">
        <v>166</v>
      </c>
      <c r="C238" s="93"/>
      <c r="D238" s="93"/>
      <c r="E238" s="93"/>
      <c r="F238" s="25"/>
      <c r="G238" s="94"/>
      <c r="H238" s="93"/>
      <c r="I238" s="93"/>
      <c r="J238" s="93"/>
      <c r="K238" s="93"/>
      <c r="L238" s="93"/>
      <c r="M238" s="93"/>
      <c r="N238" s="93"/>
      <c r="O238" s="93"/>
      <c r="P238" s="54">
        <v>1</v>
      </c>
      <c r="Q238" s="94">
        <f t="shared" si="1"/>
        <v>2.2983222247759135E-4</v>
      </c>
      <c r="R238" s="53">
        <v>146</v>
      </c>
      <c r="S238" s="132">
        <f t="shared" si="2"/>
        <v>2.5157059312075044E-4</v>
      </c>
      <c r="T238" s="79"/>
      <c r="U238" s="88"/>
      <c r="V238" s="5"/>
    </row>
    <row r="239" spans="1:23" ht="15.6" x14ac:dyDescent="0.3">
      <c r="A239" s="24"/>
      <c r="B239" s="54" t="s">
        <v>167</v>
      </c>
      <c r="C239" s="93"/>
      <c r="D239" s="93"/>
      <c r="E239" s="93"/>
      <c r="F239" s="25"/>
      <c r="G239" s="94"/>
      <c r="H239" s="93"/>
      <c r="I239" s="93"/>
      <c r="J239" s="93"/>
      <c r="K239" s="93"/>
      <c r="L239" s="93"/>
      <c r="M239" s="93"/>
      <c r="N239" s="93"/>
      <c r="O239" s="93"/>
      <c r="P239" s="54">
        <v>0</v>
      </c>
      <c r="Q239" s="94">
        <f t="shared" si="1"/>
        <v>0</v>
      </c>
      <c r="R239" s="53">
        <v>0</v>
      </c>
      <c r="S239" s="132">
        <f t="shared" si="2"/>
        <v>0</v>
      </c>
      <c r="T239" s="79"/>
      <c r="U239" s="88"/>
      <c r="V239" s="5"/>
      <c r="W239" s="109"/>
    </row>
    <row r="240" spans="1:23" ht="15.6" x14ac:dyDescent="0.3">
      <c r="A240" s="24"/>
      <c r="B240" s="54"/>
      <c r="C240" s="93"/>
      <c r="D240" s="93"/>
      <c r="E240" s="93"/>
      <c r="F240" s="25"/>
      <c r="G240" s="94"/>
      <c r="H240" s="93"/>
      <c r="I240" s="93"/>
      <c r="J240" s="93"/>
      <c r="K240" s="93"/>
      <c r="L240" s="93"/>
      <c r="M240" s="93"/>
      <c r="N240" s="93"/>
      <c r="O240" s="93"/>
      <c r="P240" s="54"/>
      <c r="Q240" s="94"/>
      <c r="R240" s="53"/>
      <c r="S240" s="132"/>
      <c r="T240" s="79"/>
      <c r="U240" s="88"/>
      <c r="V240" s="5"/>
    </row>
    <row r="241" spans="1:22" ht="15.6" x14ac:dyDescent="0.3">
      <c r="A241" s="24"/>
      <c r="B241" s="25" t="s">
        <v>120</v>
      </c>
      <c r="C241" s="25"/>
      <c r="D241" s="25"/>
      <c r="E241" s="25"/>
      <c r="F241" s="25"/>
      <c r="G241" s="25"/>
      <c r="H241" s="95"/>
      <c r="I241" s="95"/>
      <c r="J241" s="95"/>
      <c r="K241" s="95"/>
      <c r="L241" s="95"/>
      <c r="M241" s="95"/>
      <c r="N241" s="95"/>
      <c r="O241" s="95"/>
      <c r="P241" s="34">
        <f>SUM(P232:P240)</f>
        <v>4351</v>
      </c>
      <c r="Q241" s="132">
        <f>SUM(Q232:Q240)</f>
        <v>1</v>
      </c>
      <c r="R241" s="53">
        <f>SUM(R232:R240)</f>
        <v>580354</v>
      </c>
      <c r="S241" s="132">
        <f>SUM(S232:S240)</f>
        <v>1</v>
      </c>
      <c r="T241" s="25"/>
      <c r="U241" s="25"/>
      <c r="V241" s="5"/>
    </row>
    <row r="242" spans="1:22" ht="15.6" x14ac:dyDescent="0.3">
      <c r="A242" s="24"/>
      <c r="B242" s="25"/>
      <c r="C242" s="25"/>
      <c r="D242" s="25"/>
      <c r="E242" s="25"/>
      <c r="F242" s="25"/>
      <c r="G242" s="25"/>
      <c r="H242" s="95"/>
      <c r="I242" s="95"/>
      <c r="J242" s="95"/>
      <c r="K242" s="95"/>
      <c r="L242" s="95"/>
      <c r="M242" s="95"/>
      <c r="N242" s="95"/>
      <c r="O242" s="95"/>
      <c r="P242" s="34"/>
      <c r="Q242" s="132"/>
      <c r="R242" s="53"/>
      <c r="S242" s="132"/>
      <c r="T242" s="25"/>
      <c r="U242" s="25"/>
      <c r="V242" s="5"/>
    </row>
    <row r="243" spans="1:22" ht="15.6" x14ac:dyDescent="0.3">
      <c r="A243" s="141"/>
      <c r="B243" s="14" t="s">
        <v>267</v>
      </c>
      <c r="C243" s="81"/>
      <c r="D243" s="81"/>
      <c r="E243" s="81"/>
      <c r="F243" s="82"/>
      <c r="G243" s="81"/>
      <c r="H243" s="17"/>
      <c r="I243" s="17"/>
      <c r="J243" s="17"/>
      <c r="K243" s="17"/>
      <c r="L243" s="17"/>
      <c r="M243" s="17"/>
      <c r="N243" s="17"/>
      <c r="O243" s="17"/>
      <c r="P243" s="83" t="s">
        <v>105</v>
      </c>
      <c r="Q243" s="17" t="s">
        <v>106</v>
      </c>
      <c r="R243" s="83" t="s">
        <v>114</v>
      </c>
      <c r="S243" s="17" t="s">
        <v>106</v>
      </c>
      <c r="T243" s="139"/>
      <c r="U243" s="140"/>
      <c r="V243" s="5"/>
    </row>
    <row r="244" spans="1:22" ht="15.6" x14ac:dyDescent="0.3">
      <c r="A244" s="24"/>
      <c r="B244" s="54" t="s">
        <v>91</v>
      </c>
      <c r="C244" s="93"/>
      <c r="D244" s="93"/>
      <c r="E244" s="93"/>
      <c r="F244" s="25"/>
      <c r="G244" s="93"/>
      <c r="H244" s="93"/>
      <c r="I244" s="93"/>
      <c r="J244" s="93"/>
      <c r="K244" s="93"/>
      <c r="L244" s="93"/>
      <c r="M244" s="93"/>
      <c r="N244" s="93"/>
      <c r="O244" s="93"/>
      <c r="P244" s="54">
        <v>79</v>
      </c>
      <c r="Q244" s="94">
        <f t="shared" ref="Q244:Q251" si="3">P244/$P$253</f>
        <v>0.43169398907103823</v>
      </c>
      <c r="R244" s="53">
        <v>12427</v>
      </c>
      <c r="S244" s="132">
        <f t="shared" ref="S244:S251" si="4">R244/$R$253</f>
        <v>0.50135151490700769</v>
      </c>
      <c r="T244" s="25"/>
      <c r="U244" s="25"/>
      <c r="V244" s="5"/>
    </row>
    <row r="245" spans="1:22" ht="15.6" x14ac:dyDescent="0.3">
      <c r="A245" s="24"/>
      <c r="B245" s="54" t="s">
        <v>92</v>
      </c>
      <c r="C245" s="93"/>
      <c r="D245" s="93"/>
      <c r="E245" s="93"/>
      <c r="F245" s="25"/>
      <c r="G245" s="94"/>
      <c r="H245" s="93"/>
      <c r="I245" s="93"/>
      <c r="J245" s="93"/>
      <c r="K245" s="93"/>
      <c r="L245" s="93"/>
      <c r="M245" s="93"/>
      <c r="N245" s="93"/>
      <c r="O245" s="93"/>
      <c r="P245" s="54">
        <v>28</v>
      </c>
      <c r="Q245" s="94">
        <f t="shared" si="3"/>
        <v>0.15300546448087432</v>
      </c>
      <c r="R245" s="53">
        <v>3357</v>
      </c>
      <c r="S245" s="132">
        <f t="shared" si="4"/>
        <v>0.13543389680074233</v>
      </c>
      <c r="T245" s="25"/>
      <c r="U245" s="25"/>
      <c r="V245" s="5"/>
    </row>
    <row r="246" spans="1:22" ht="15.6" x14ac:dyDescent="0.3">
      <c r="A246" s="24"/>
      <c r="B246" s="54" t="s">
        <v>93</v>
      </c>
      <c r="C246" s="93"/>
      <c r="D246" s="93"/>
      <c r="E246" s="93"/>
      <c r="F246" s="25"/>
      <c r="G246" s="94"/>
      <c r="H246" s="93"/>
      <c r="I246" s="93"/>
      <c r="J246" s="93"/>
      <c r="K246" s="93"/>
      <c r="L246" s="93"/>
      <c r="M246" s="93"/>
      <c r="N246" s="93"/>
      <c r="O246" s="93"/>
      <c r="P246" s="54">
        <v>7</v>
      </c>
      <c r="Q246" s="94">
        <f t="shared" si="3"/>
        <v>3.825136612021858E-2</v>
      </c>
      <c r="R246" s="53">
        <v>1110</v>
      </c>
      <c r="S246" s="132">
        <f t="shared" si="4"/>
        <v>4.4781538709807563E-2</v>
      </c>
      <c r="T246" s="25"/>
      <c r="U246" s="25"/>
      <c r="V246" s="5"/>
    </row>
    <row r="247" spans="1:22" ht="15.6" x14ac:dyDescent="0.3">
      <c r="A247" s="24"/>
      <c r="B247" s="54" t="s">
        <v>163</v>
      </c>
      <c r="C247" s="93"/>
      <c r="D247" s="93"/>
      <c r="E247" s="93"/>
      <c r="F247" s="25"/>
      <c r="G247" s="94"/>
      <c r="H247" s="93"/>
      <c r="I247" s="93"/>
      <c r="J247" s="93"/>
      <c r="K247" s="93"/>
      <c r="L247" s="93"/>
      <c r="M247" s="93"/>
      <c r="N247" s="93"/>
      <c r="O247" s="93"/>
      <c r="P247" s="54">
        <v>13</v>
      </c>
      <c r="Q247" s="94">
        <f t="shared" si="3"/>
        <v>7.1038251366120214E-2</v>
      </c>
      <c r="R247" s="53">
        <v>855</v>
      </c>
      <c r="S247" s="132">
        <f t="shared" si="4"/>
        <v>3.4493887925122042E-2</v>
      </c>
      <c r="T247" s="25"/>
      <c r="U247" s="25"/>
      <c r="V247" s="5"/>
    </row>
    <row r="248" spans="1:22" ht="15.6" x14ac:dyDescent="0.3">
      <c r="A248" s="24"/>
      <c r="B248" s="54" t="s">
        <v>164</v>
      </c>
      <c r="C248" s="93"/>
      <c r="D248" s="93"/>
      <c r="E248" s="93"/>
      <c r="F248" s="25"/>
      <c r="G248" s="94"/>
      <c r="H248" s="93"/>
      <c r="I248" s="93"/>
      <c r="J248" s="93"/>
      <c r="K248" s="93"/>
      <c r="L248" s="93"/>
      <c r="M248" s="93"/>
      <c r="N248" s="93"/>
      <c r="O248" s="93"/>
      <c r="P248" s="54">
        <v>4</v>
      </c>
      <c r="Q248" s="94">
        <f t="shared" si="3"/>
        <v>2.185792349726776E-2</v>
      </c>
      <c r="R248" s="53">
        <v>487</v>
      </c>
      <c r="S248" s="132">
        <f t="shared" si="4"/>
        <v>1.9647395812320976E-2</v>
      </c>
      <c r="T248" s="25"/>
      <c r="U248" s="25"/>
      <c r="V248" s="5"/>
    </row>
    <row r="249" spans="1:22" ht="15.6" x14ac:dyDescent="0.3">
      <c r="A249" s="24"/>
      <c r="B249" s="54" t="s">
        <v>165</v>
      </c>
      <c r="C249" s="93"/>
      <c r="D249" s="93"/>
      <c r="E249" s="93"/>
      <c r="F249" s="25"/>
      <c r="G249" s="94"/>
      <c r="H249" s="93"/>
      <c r="I249" s="93"/>
      <c r="J249" s="93"/>
      <c r="K249" s="93"/>
      <c r="L249" s="93"/>
      <c r="M249" s="93"/>
      <c r="N249" s="93"/>
      <c r="O249" s="93"/>
      <c r="P249" s="54">
        <v>10</v>
      </c>
      <c r="Q249" s="94">
        <f t="shared" si="3"/>
        <v>5.4644808743169397E-2</v>
      </c>
      <c r="R249" s="53">
        <v>1447</v>
      </c>
      <c r="S249" s="132">
        <f t="shared" si="4"/>
        <v>5.8377375237019406E-2</v>
      </c>
      <c r="T249" s="25"/>
      <c r="U249" s="25"/>
      <c r="V249" s="5"/>
    </row>
    <row r="250" spans="1:22" ht="15.6" x14ac:dyDescent="0.3">
      <c r="A250" s="24"/>
      <c r="B250" s="54" t="s">
        <v>166</v>
      </c>
      <c r="C250" s="93"/>
      <c r="D250" s="93"/>
      <c r="E250" s="93"/>
      <c r="F250" s="25"/>
      <c r="G250" s="94"/>
      <c r="H250" s="93"/>
      <c r="I250" s="93"/>
      <c r="J250" s="93"/>
      <c r="K250" s="93"/>
      <c r="L250" s="93"/>
      <c r="M250" s="93"/>
      <c r="N250" s="93"/>
      <c r="O250" s="93"/>
      <c r="P250" s="54">
        <v>14</v>
      </c>
      <c r="Q250" s="94">
        <f t="shared" si="3"/>
        <v>7.650273224043716E-2</v>
      </c>
      <c r="R250" s="53">
        <v>1787</v>
      </c>
      <c r="S250" s="132">
        <f t="shared" si="4"/>
        <v>7.2094242949933426E-2</v>
      </c>
      <c r="T250" s="25"/>
      <c r="U250" s="25"/>
      <c r="V250" s="5"/>
    </row>
    <row r="251" spans="1:22" ht="15.6" x14ac:dyDescent="0.3">
      <c r="A251" s="24"/>
      <c r="B251" s="54" t="s">
        <v>167</v>
      </c>
      <c r="C251" s="93"/>
      <c r="D251" s="93"/>
      <c r="E251" s="93"/>
      <c r="F251" s="25"/>
      <c r="G251" s="94"/>
      <c r="H251" s="93"/>
      <c r="I251" s="93"/>
      <c r="J251" s="93"/>
      <c r="K251" s="93"/>
      <c r="L251" s="93"/>
      <c r="M251" s="93"/>
      <c r="N251" s="93"/>
      <c r="O251" s="93"/>
      <c r="P251" s="54">
        <v>28</v>
      </c>
      <c r="Q251" s="94">
        <f t="shared" si="3"/>
        <v>0.15300546448087432</v>
      </c>
      <c r="R251" s="53">
        <v>3317</v>
      </c>
      <c r="S251" s="132">
        <f t="shared" si="4"/>
        <v>0.13382014765804656</v>
      </c>
      <c r="T251" s="25"/>
      <c r="U251" s="25"/>
      <c r="V251" s="5"/>
    </row>
    <row r="252" spans="1:22" ht="15.6" x14ac:dyDescent="0.3">
      <c r="A252" s="24"/>
      <c r="B252" s="54"/>
      <c r="C252" s="93"/>
      <c r="D252" s="93"/>
      <c r="E252" s="93"/>
      <c r="F252" s="25"/>
      <c r="G252" s="94"/>
      <c r="H252" s="93"/>
      <c r="I252" s="93"/>
      <c r="J252" s="93"/>
      <c r="K252" s="93"/>
      <c r="L252" s="93"/>
      <c r="M252" s="93"/>
      <c r="N252" s="93"/>
      <c r="O252" s="93"/>
      <c r="P252" s="54"/>
      <c r="Q252" s="94"/>
      <c r="R252" s="53"/>
      <c r="S252" s="132"/>
      <c r="T252" s="25"/>
      <c r="U252" s="25"/>
      <c r="V252" s="5"/>
    </row>
    <row r="253" spans="1:22" ht="15.6" x14ac:dyDescent="0.3">
      <c r="A253" s="24"/>
      <c r="B253" s="25" t="s">
        <v>120</v>
      </c>
      <c r="C253" s="25"/>
      <c r="D253" s="25"/>
      <c r="E253" s="25"/>
      <c r="F253" s="25"/>
      <c r="G253" s="25"/>
      <c r="H253" s="95"/>
      <c r="I253" s="95"/>
      <c r="J253" s="95"/>
      <c r="K253" s="95"/>
      <c r="L253" s="95"/>
      <c r="M253" s="95"/>
      <c r="N253" s="95"/>
      <c r="O253" s="95"/>
      <c r="P253" s="34">
        <f>SUM(P244:P252)</f>
        <v>183</v>
      </c>
      <c r="Q253" s="132">
        <f>SUM(Q244:Q252)</f>
        <v>1</v>
      </c>
      <c r="R253" s="53">
        <f>SUM(R244:R252)</f>
        <v>24787</v>
      </c>
      <c r="S253" s="132">
        <f>SUM(S244:S252)</f>
        <v>1</v>
      </c>
      <c r="T253" s="25"/>
      <c r="U253" s="25"/>
      <c r="V253" s="5"/>
    </row>
    <row r="254" spans="1:22" ht="15.6" x14ac:dyDescent="0.3">
      <c r="A254" s="24"/>
      <c r="B254" s="25"/>
      <c r="C254" s="25"/>
      <c r="D254" s="25"/>
      <c r="E254" s="25"/>
      <c r="F254" s="25"/>
      <c r="G254" s="25"/>
      <c r="H254" s="95"/>
      <c r="I254" s="95"/>
      <c r="J254" s="95"/>
      <c r="K254" s="95"/>
      <c r="L254" s="95"/>
      <c r="M254" s="95"/>
      <c r="N254" s="95"/>
      <c r="O254" s="95"/>
      <c r="P254" s="34"/>
      <c r="Q254" s="132"/>
      <c r="R254" s="53"/>
      <c r="S254" s="132"/>
      <c r="T254" s="25"/>
      <c r="U254" s="25"/>
      <c r="V254" s="5"/>
    </row>
    <row r="255" spans="1:22" ht="15.6" x14ac:dyDescent="0.3">
      <c r="A255" s="141"/>
      <c r="B255" s="14" t="s">
        <v>170</v>
      </c>
      <c r="C255" s="139"/>
      <c r="D255" s="139"/>
      <c r="E255" s="139"/>
      <c r="F255" s="139"/>
      <c r="G255" s="139"/>
      <c r="H255" s="145"/>
      <c r="I255" s="145"/>
      <c r="J255" s="145"/>
      <c r="K255" s="145"/>
      <c r="L255" s="145"/>
      <c r="M255" s="145"/>
      <c r="N255" s="145"/>
      <c r="O255" s="145"/>
      <c r="P255" s="83" t="s">
        <v>105</v>
      </c>
      <c r="Q255" s="17" t="s">
        <v>106</v>
      </c>
      <c r="R255" s="83" t="s">
        <v>114</v>
      </c>
      <c r="S255" s="17" t="s">
        <v>106</v>
      </c>
      <c r="T255" s="139"/>
      <c r="U255" s="140"/>
      <c r="V255" s="5"/>
    </row>
    <row r="256" spans="1:22" ht="15.6" x14ac:dyDescent="0.3">
      <c r="A256" s="24"/>
      <c r="B256" s="54" t="s">
        <v>91</v>
      </c>
      <c r="C256" s="25"/>
      <c r="D256" s="25"/>
      <c r="E256" s="25"/>
      <c r="F256" s="25"/>
      <c r="G256" s="25"/>
      <c r="H256" s="95"/>
      <c r="I256" s="95"/>
      <c r="J256" s="95"/>
      <c r="K256" s="95"/>
      <c r="L256" s="95"/>
      <c r="M256" s="95"/>
      <c r="N256" s="95"/>
      <c r="O256" s="95"/>
      <c r="P256" s="54">
        <v>0</v>
      </c>
      <c r="Q256" s="94">
        <v>0</v>
      </c>
      <c r="R256" s="53">
        <v>0</v>
      </c>
      <c r="S256" s="132">
        <v>0</v>
      </c>
      <c r="T256" s="25"/>
      <c r="U256" s="25"/>
      <c r="V256" s="5"/>
    </row>
    <row r="257" spans="1:22" ht="15.6" x14ac:dyDescent="0.3">
      <c r="A257" s="24"/>
      <c r="B257" s="54" t="s">
        <v>92</v>
      </c>
      <c r="C257" s="25"/>
      <c r="D257" s="25"/>
      <c r="E257" s="25"/>
      <c r="F257" s="25"/>
      <c r="G257" s="25"/>
      <c r="H257" s="95"/>
      <c r="I257" s="95"/>
      <c r="J257" s="95"/>
      <c r="K257" s="95"/>
      <c r="L257" s="95"/>
      <c r="M257" s="95"/>
      <c r="N257" s="95"/>
      <c r="O257" s="95"/>
      <c r="P257" s="54">
        <v>0</v>
      </c>
      <c r="Q257" s="94">
        <v>0</v>
      </c>
      <c r="R257" s="53">
        <v>0</v>
      </c>
      <c r="S257" s="132">
        <v>0</v>
      </c>
      <c r="T257" s="25"/>
      <c r="U257" s="25"/>
      <c r="V257" s="5"/>
    </row>
    <row r="258" spans="1:22" ht="15.6" x14ac:dyDescent="0.3">
      <c r="A258" s="24"/>
      <c r="B258" s="54" t="s">
        <v>93</v>
      </c>
      <c r="C258" s="25"/>
      <c r="D258" s="25"/>
      <c r="E258" s="25"/>
      <c r="F258" s="25"/>
      <c r="G258" s="25"/>
      <c r="H258" s="95"/>
      <c r="I258" s="95"/>
      <c r="J258" s="95"/>
      <c r="K258" s="95"/>
      <c r="L258" s="95"/>
      <c r="M258" s="95"/>
      <c r="N258" s="95"/>
      <c r="O258" s="95"/>
      <c r="P258" s="54">
        <v>0</v>
      </c>
      <c r="Q258" s="94">
        <v>0</v>
      </c>
      <c r="R258" s="53">
        <v>0</v>
      </c>
      <c r="S258" s="132">
        <v>0</v>
      </c>
      <c r="T258" s="25"/>
      <c r="U258" s="25"/>
      <c r="V258" s="5"/>
    </row>
    <row r="259" spans="1:22" ht="15.6" x14ac:dyDescent="0.3">
      <c r="A259" s="24"/>
      <c r="B259" s="54" t="s">
        <v>163</v>
      </c>
      <c r="C259" s="25"/>
      <c r="D259" s="25"/>
      <c r="E259" s="25"/>
      <c r="F259" s="25"/>
      <c r="G259" s="25"/>
      <c r="H259" s="95"/>
      <c r="I259" s="95"/>
      <c r="J259" s="95"/>
      <c r="K259" s="95"/>
      <c r="L259" s="95"/>
      <c r="M259" s="95"/>
      <c r="N259" s="95"/>
      <c r="O259" s="95"/>
      <c r="P259" s="54">
        <v>0</v>
      </c>
      <c r="Q259" s="94">
        <v>0</v>
      </c>
      <c r="R259" s="53">
        <v>0</v>
      </c>
      <c r="S259" s="132">
        <v>0</v>
      </c>
      <c r="T259" s="25"/>
      <c r="U259" s="25"/>
      <c r="V259" s="5"/>
    </row>
    <row r="260" spans="1:22" ht="15.6" x14ac:dyDescent="0.3">
      <c r="A260" s="24"/>
      <c r="B260" s="54" t="s">
        <v>164</v>
      </c>
      <c r="C260" s="25"/>
      <c r="D260" s="25"/>
      <c r="E260" s="25"/>
      <c r="F260" s="25"/>
      <c r="G260" s="25"/>
      <c r="H260" s="95"/>
      <c r="I260" s="95"/>
      <c r="J260" s="95"/>
      <c r="K260" s="95"/>
      <c r="L260" s="95"/>
      <c r="M260" s="95"/>
      <c r="N260" s="95"/>
      <c r="O260" s="95"/>
      <c r="P260" s="54">
        <v>0</v>
      </c>
      <c r="Q260" s="94">
        <v>0</v>
      </c>
      <c r="R260" s="53">
        <v>0</v>
      </c>
      <c r="S260" s="132">
        <v>0</v>
      </c>
      <c r="T260" s="25"/>
      <c r="U260" s="25"/>
      <c r="V260" s="5"/>
    </row>
    <row r="261" spans="1:22" ht="15.6" x14ac:dyDescent="0.3">
      <c r="A261" s="24"/>
      <c r="B261" s="54" t="s">
        <v>165</v>
      </c>
      <c r="C261" s="25"/>
      <c r="D261" s="25"/>
      <c r="E261" s="25"/>
      <c r="F261" s="25"/>
      <c r="G261" s="25"/>
      <c r="H261" s="95"/>
      <c r="I261" s="95"/>
      <c r="J261" s="95"/>
      <c r="K261" s="95"/>
      <c r="L261" s="95"/>
      <c r="M261" s="95"/>
      <c r="N261" s="95"/>
      <c r="O261" s="95"/>
      <c r="P261" s="54">
        <v>0</v>
      </c>
      <c r="Q261" s="94">
        <v>0</v>
      </c>
      <c r="R261" s="53">
        <v>0</v>
      </c>
      <c r="S261" s="132">
        <v>0</v>
      </c>
      <c r="T261" s="25"/>
      <c r="U261" s="25"/>
      <c r="V261" s="5"/>
    </row>
    <row r="262" spans="1:22" ht="15.6" x14ac:dyDescent="0.3">
      <c r="A262" s="24"/>
      <c r="B262" s="54" t="s">
        <v>166</v>
      </c>
      <c r="C262" s="25"/>
      <c r="D262" s="25"/>
      <c r="E262" s="25"/>
      <c r="F262" s="25"/>
      <c r="G262" s="25"/>
      <c r="H262" s="95"/>
      <c r="I262" s="95"/>
      <c r="J262" s="95"/>
      <c r="K262" s="95"/>
      <c r="L262" s="95"/>
      <c r="M262" s="95"/>
      <c r="N262" s="95"/>
      <c r="O262" s="95"/>
      <c r="P262" s="54">
        <v>0</v>
      </c>
      <c r="Q262" s="94">
        <v>0</v>
      </c>
      <c r="R262" s="53">
        <v>0</v>
      </c>
      <c r="S262" s="132">
        <v>0</v>
      </c>
      <c r="T262" s="25"/>
      <c r="U262" s="25"/>
      <c r="V262" s="5"/>
    </row>
    <row r="263" spans="1:22" ht="15.6" x14ac:dyDescent="0.3">
      <c r="A263" s="24"/>
      <c r="B263" s="54" t="s">
        <v>167</v>
      </c>
      <c r="C263" s="25"/>
      <c r="D263" s="25"/>
      <c r="E263" s="25"/>
      <c r="F263" s="25"/>
      <c r="G263" s="25"/>
      <c r="H263" s="95"/>
      <c r="I263" s="95"/>
      <c r="J263" s="95"/>
      <c r="K263" s="95"/>
      <c r="L263" s="95"/>
      <c r="M263" s="95"/>
      <c r="N263" s="95"/>
      <c r="O263" s="95"/>
      <c r="P263" s="54">
        <v>0</v>
      </c>
      <c r="Q263" s="94">
        <v>0</v>
      </c>
      <c r="R263" s="53">
        <v>0</v>
      </c>
      <c r="S263" s="132">
        <v>0</v>
      </c>
      <c r="T263" s="25"/>
      <c r="U263" s="25"/>
      <c r="V263" s="5"/>
    </row>
    <row r="264" spans="1:22" ht="15.6" x14ac:dyDescent="0.3">
      <c r="A264" s="24"/>
      <c r="B264" s="54"/>
      <c r="C264" s="25"/>
      <c r="D264" s="25"/>
      <c r="E264" s="25"/>
      <c r="F264" s="25"/>
      <c r="G264" s="25"/>
      <c r="H264" s="95"/>
      <c r="I264" s="95"/>
      <c r="J264" s="95"/>
      <c r="K264" s="95"/>
      <c r="L264" s="95"/>
      <c r="M264" s="95"/>
      <c r="N264" s="95"/>
      <c r="O264" s="95"/>
      <c r="P264" s="54"/>
      <c r="Q264" s="94"/>
      <c r="R264" s="53"/>
      <c r="S264" s="132"/>
      <c r="T264" s="25"/>
      <c r="U264" s="25"/>
      <c r="V264" s="5"/>
    </row>
    <row r="265" spans="1:22" ht="15.6" x14ac:dyDescent="0.3">
      <c r="A265" s="24"/>
      <c r="B265" s="25" t="s">
        <v>120</v>
      </c>
      <c r="C265" s="25"/>
      <c r="D265" s="25"/>
      <c r="E265" s="25"/>
      <c r="F265" s="25"/>
      <c r="G265" s="25"/>
      <c r="H265" s="95"/>
      <c r="I265" s="95"/>
      <c r="J265" s="95"/>
      <c r="K265" s="95"/>
      <c r="L265" s="95"/>
      <c r="M265" s="95"/>
      <c r="N265" s="95"/>
      <c r="O265" s="95"/>
      <c r="P265" s="34">
        <f>SUM(P256:P263)</f>
        <v>0</v>
      </c>
      <c r="Q265" s="132">
        <f>SUM(Q256:Q264)</f>
        <v>0</v>
      </c>
      <c r="R265" s="53">
        <f>SUM(R256:R263)</f>
        <v>0</v>
      </c>
      <c r="S265" s="132">
        <f>SUM(S256:S264)</f>
        <v>0</v>
      </c>
      <c r="T265" s="25"/>
      <c r="U265" s="25"/>
      <c r="V265" s="5"/>
    </row>
    <row r="266" spans="1:22" ht="15.6" x14ac:dyDescent="0.3">
      <c r="A266" s="24"/>
      <c r="B266" s="25"/>
      <c r="C266" s="25"/>
      <c r="D266" s="25"/>
      <c r="E266" s="25"/>
      <c r="F266" s="25"/>
      <c r="G266" s="25"/>
      <c r="H266" s="95"/>
      <c r="I266" s="95"/>
      <c r="J266" s="95"/>
      <c r="K266" s="95"/>
      <c r="L266" s="95"/>
      <c r="M266" s="95"/>
      <c r="N266" s="95"/>
      <c r="O266" s="95"/>
      <c r="P266" s="34"/>
      <c r="Q266" s="132"/>
      <c r="R266" s="53"/>
      <c r="S266" s="132"/>
      <c r="T266" s="25"/>
      <c r="U266" s="25"/>
      <c r="V266" s="5"/>
    </row>
    <row r="267" spans="1:22" ht="15.6" x14ac:dyDescent="0.3">
      <c r="A267" s="24"/>
      <c r="B267" s="142" t="s">
        <v>171</v>
      </c>
      <c r="C267" s="25"/>
      <c r="D267" s="25"/>
      <c r="E267" s="25"/>
      <c r="F267" s="25"/>
      <c r="G267" s="25"/>
      <c r="H267" s="95"/>
      <c r="I267" s="95"/>
      <c r="J267" s="95"/>
      <c r="K267" s="95"/>
      <c r="L267" s="95"/>
      <c r="M267" s="95"/>
      <c r="N267" s="95"/>
      <c r="O267" s="95"/>
      <c r="P267" s="161">
        <f>P265+P253+P241</f>
        <v>4534</v>
      </c>
      <c r="Q267" s="143"/>
      <c r="R267" s="144">
        <f>+R265+R253+R241</f>
        <v>605141</v>
      </c>
      <c r="S267" s="143"/>
      <c r="T267" s="25"/>
      <c r="U267" s="25"/>
      <c r="V267" s="5"/>
    </row>
    <row r="268" spans="1:22" ht="15.6" x14ac:dyDescent="0.3">
      <c r="A268" s="24"/>
      <c r="B268" s="25"/>
      <c r="C268" s="25"/>
      <c r="D268" s="25"/>
      <c r="E268" s="25"/>
      <c r="F268" s="25"/>
      <c r="G268" s="25"/>
      <c r="H268" s="95"/>
      <c r="I268" s="95"/>
      <c r="J268" s="95"/>
      <c r="K268" s="95"/>
      <c r="L268" s="95"/>
      <c r="M268" s="95"/>
      <c r="N268" s="95"/>
      <c r="O268" s="95"/>
      <c r="P268" s="95"/>
      <c r="Q268" s="95"/>
      <c r="R268" s="53"/>
      <c r="S268" s="95"/>
      <c r="T268" s="25"/>
      <c r="U268" s="25"/>
      <c r="V268" s="5"/>
    </row>
    <row r="269" spans="1:22" ht="15.6" x14ac:dyDescent="0.3">
      <c r="A269" s="6"/>
      <c r="B269" s="8"/>
      <c r="C269" s="8"/>
      <c r="D269" s="8"/>
      <c r="E269" s="8"/>
      <c r="F269" s="8"/>
      <c r="G269" s="8"/>
      <c r="H269" s="96"/>
      <c r="I269" s="96"/>
      <c r="J269" s="96"/>
      <c r="K269" s="96"/>
      <c r="L269" s="96"/>
      <c r="M269" s="96"/>
      <c r="N269" s="96"/>
      <c r="O269" s="96"/>
      <c r="P269" s="96"/>
      <c r="Q269" s="96"/>
      <c r="R269" s="97"/>
      <c r="S269" s="96"/>
      <c r="T269" s="8"/>
      <c r="U269" s="8"/>
      <c r="V269" s="5"/>
    </row>
    <row r="270" spans="1:22" ht="15.6" x14ac:dyDescent="0.3">
      <c r="A270" s="167"/>
      <c r="B270" s="14" t="s">
        <v>94</v>
      </c>
      <c r="C270" s="15"/>
      <c r="D270" s="15"/>
      <c r="E270" s="15"/>
      <c r="F270" s="17" t="s">
        <v>100</v>
      </c>
      <c r="G270" s="15"/>
      <c r="H270" s="14" t="s">
        <v>102</v>
      </c>
      <c r="I270" s="162"/>
      <c r="J270" s="162"/>
      <c r="K270" s="162"/>
      <c r="L270" s="162"/>
      <c r="M270" s="162"/>
      <c r="N270" s="162"/>
      <c r="O270" s="162"/>
      <c r="P270" s="162"/>
      <c r="Q270" s="162"/>
      <c r="R270" s="162"/>
      <c r="S270" s="162"/>
      <c r="T270" s="162"/>
      <c r="U270" s="162"/>
      <c r="V270" s="5"/>
    </row>
    <row r="271" spans="1:22" ht="15.6" x14ac:dyDescent="0.3">
      <c r="A271" s="167"/>
      <c r="B271" s="13" t="s">
        <v>95</v>
      </c>
      <c r="C271" s="13"/>
      <c r="D271" s="13"/>
      <c r="E271" s="13"/>
      <c r="F271" s="130" t="s">
        <v>154</v>
      </c>
      <c r="G271" s="13"/>
      <c r="H271" s="13" t="s">
        <v>158</v>
      </c>
      <c r="I271" s="162"/>
      <c r="J271" s="162"/>
      <c r="K271" s="162"/>
      <c r="L271" s="162"/>
      <c r="M271" s="162"/>
      <c r="N271" s="162"/>
      <c r="O271" s="162"/>
      <c r="P271" s="162"/>
      <c r="Q271" s="162"/>
      <c r="R271" s="162"/>
      <c r="S271" s="162"/>
      <c r="T271" s="162"/>
      <c r="U271" s="162"/>
      <c r="V271" s="5"/>
    </row>
    <row r="272" spans="1:22" ht="15.6" x14ac:dyDescent="0.3">
      <c r="A272" s="167"/>
      <c r="B272" s="13" t="s">
        <v>268</v>
      </c>
      <c r="C272" s="13"/>
      <c r="D272" s="13"/>
      <c r="E272" s="13"/>
      <c r="F272" s="130" t="s">
        <v>269</v>
      </c>
      <c r="G272" s="13"/>
      <c r="H272" s="13" t="s">
        <v>270</v>
      </c>
      <c r="I272" s="162"/>
      <c r="J272" s="162"/>
      <c r="K272" s="162"/>
      <c r="L272" s="162"/>
      <c r="M272" s="162"/>
      <c r="N272" s="162"/>
      <c r="O272" s="162"/>
      <c r="P272" s="162"/>
      <c r="Q272" s="162"/>
      <c r="R272" s="162"/>
      <c r="S272" s="162"/>
      <c r="T272" s="162"/>
      <c r="U272" s="162"/>
      <c r="V272" s="5"/>
    </row>
    <row r="273" spans="1:22" ht="15.6" x14ac:dyDescent="0.3">
      <c r="A273" s="167"/>
      <c r="B273" s="13" t="s">
        <v>96</v>
      </c>
      <c r="C273" s="13"/>
      <c r="D273" s="13"/>
      <c r="E273" s="13"/>
      <c r="F273" s="130" t="s">
        <v>153</v>
      </c>
      <c r="G273" s="13"/>
      <c r="H273" s="13" t="s">
        <v>159</v>
      </c>
      <c r="I273" s="162"/>
      <c r="J273" s="162"/>
      <c r="K273" s="162"/>
      <c r="L273" s="162"/>
      <c r="M273" s="162"/>
      <c r="N273" s="162"/>
      <c r="O273" s="162"/>
      <c r="P273" s="162"/>
      <c r="Q273" s="162"/>
      <c r="R273" s="162"/>
      <c r="S273" s="162"/>
      <c r="T273" s="162"/>
      <c r="U273" s="162"/>
      <c r="V273" s="5"/>
    </row>
    <row r="274" spans="1:22" ht="15.6" x14ac:dyDescent="0.3">
      <c r="A274" s="167"/>
      <c r="B274" s="13"/>
      <c r="C274" s="13"/>
      <c r="D274" s="13"/>
      <c r="E274" s="13"/>
      <c r="F274" s="13"/>
      <c r="G274" s="99"/>
      <c r="H274" s="162"/>
      <c r="I274" s="162"/>
      <c r="J274" s="162"/>
      <c r="K274" s="162"/>
      <c r="L274" s="162"/>
      <c r="M274" s="162"/>
      <c r="N274" s="162"/>
      <c r="O274" s="162"/>
      <c r="P274" s="162"/>
      <c r="Q274" s="162"/>
      <c r="R274" s="162"/>
      <c r="S274" s="162"/>
      <c r="T274" s="162"/>
      <c r="U274" s="162"/>
      <c r="V274" s="5"/>
    </row>
    <row r="275" spans="1:22" ht="15.6" x14ac:dyDescent="0.3">
      <c r="A275" s="167"/>
      <c r="B275" s="13"/>
      <c r="C275" s="13"/>
      <c r="D275" s="13"/>
      <c r="E275" s="13"/>
      <c r="F275" s="13"/>
      <c r="G275" s="99"/>
      <c r="H275" s="162"/>
      <c r="I275" s="162"/>
      <c r="J275" s="162"/>
      <c r="K275" s="162"/>
      <c r="L275" s="162"/>
      <c r="M275" s="162"/>
      <c r="N275" s="162"/>
      <c r="O275" s="162"/>
      <c r="P275" s="162"/>
      <c r="Q275" s="162"/>
      <c r="R275" s="162"/>
      <c r="S275" s="162"/>
      <c r="T275" s="162"/>
      <c r="U275" s="162"/>
      <c r="V275" s="5"/>
    </row>
    <row r="276" spans="1:22" ht="18" thickBot="1" x14ac:dyDescent="0.35">
      <c r="A276" s="167"/>
      <c r="B276" s="49" t="str">
        <f>B193</f>
        <v>PM11 INVESTOR REPORT QUARTER ENDING DECEMBER 2009</v>
      </c>
      <c r="C276" s="13"/>
      <c r="D276" s="13"/>
      <c r="E276" s="13"/>
      <c r="F276" s="13"/>
      <c r="G276" s="99"/>
      <c r="H276" s="162"/>
      <c r="I276" s="162"/>
      <c r="J276" s="162"/>
      <c r="K276" s="162"/>
      <c r="L276" s="162"/>
      <c r="M276" s="162"/>
      <c r="N276" s="162"/>
      <c r="O276" s="162"/>
      <c r="P276" s="162"/>
      <c r="Q276" s="162"/>
      <c r="R276" s="162"/>
      <c r="S276" s="162"/>
      <c r="T276" s="162"/>
      <c r="U276" s="162"/>
      <c r="V276" s="5"/>
    </row>
    <row r="277" spans="1:22" x14ac:dyDescent="0.25">
      <c r="A277" s="100"/>
      <c r="B277" s="100"/>
      <c r="C277" s="100"/>
      <c r="D277" s="100"/>
      <c r="E277" s="100"/>
      <c r="F277" s="100"/>
      <c r="G277" s="100"/>
      <c r="H277" s="100"/>
      <c r="I277" s="100"/>
      <c r="J277" s="100"/>
      <c r="K277" s="100"/>
      <c r="L277" s="100"/>
      <c r="M277" s="100"/>
      <c r="N277" s="100"/>
      <c r="O277" s="100"/>
      <c r="P277" s="100"/>
      <c r="Q277" s="100"/>
      <c r="R277" s="100"/>
      <c r="S277" s="100"/>
      <c r="T277" s="100"/>
      <c r="U277" s="100"/>
    </row>
  </sheetData>
  <phoneticPr fontId="0" type="noConversion"/>
  <hyperlinks>
    <hyperlink ref="N229" r:id="rId1" xr:uid="{00000000-0004-0000-0E00-000000000000}"/>
    <hyperlink ref="J9" r:id="rId2" xr:uid="{00000000-0004-0000-0E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4" max="14" man="1"/>
    <brk id="133" max="14" man="1"/>
    <brk id="193" max="14" man="1"/>
  </rowBreaks>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2D2926"/>
  </sheetPr>
  <dimension ref="A1:X277"/>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08984375" style="1" customWidth="1"/>
    <col min="10" max="10" width="17.81640625" style="1" customWidth="1"/>
    <col min="11" max="11" width="2.1796875" style="1" customWidth="1"/>
    <col min="12" max="12" width="14.81640625" style="1" customWidth="1"/>
    <col min="13" max="13" width="2.1796875" style="1" customWidth="1"/>
    <col min="14" max="14" width="15.54296875" style="1" customWidth="1"/>
    <col min="15" max="15" width="2.08984375" style="1" customWidth="1"/>
    <col min="16" max="16" width="15.54296875" style="1" customWidth="1"/>
    <col min="17" max="18" width="12.81640625" style="1" customWidth="1"/>
    <col min="19" max="19" width="7.81640625" style="1" customWidth="1"/>
    <col min="20" max="20" width="14.81640625" style="1" customWidth="1"/>
    <col min="21" max="21" width="11.81640625" style="1" customWidth="1"/>
    <col min="22" max="16384" width="9.81640625" style="1"/>
  </cols>
  <sheetData>
    <row r="1" spans="1:22" ht="20.399999999999999" x14ac:dyDescent="0.35">
      <c r="A1" s="2"/>
      <c r="B1" s="3" t="s">
        <v>228</v>
      </c>
      <c r="C1" s="4"/>
      <c r="D1" s="4"/>
      <c r="E1" s="4"/>
      <c r="F1" s="4"/>
      <c r="G1" s="4"/>
      <c r="H1" s="4"/>
      <c r="I1" s="4"/>
      <c r="J1" s="4"/>
      <c r="K1" s="4"/>
      <c r="L1" s="4"/>
      <c r="M1" s="4"/>
      <c r="N1" s="4"/>
      <c r="O1" s="4"/>
      <c r="P1" s="4"/>
      <c r="Q1" s="4"/>
      <c r="R1" s="4"/>
      <c r="S1" s="4"/>
      <c r="T1" s="4"/>
      <c r="U1" s="4"/>
      <c r="V1" s="5"/>
    </row>
    <row r="2" spans="1:22" ht="15.6" x14ac:dyDescent="0.3">
      <c r="A2" s="6"/>
      <c r="B2" s="7"/>
      <c r="C2" s="8"/>
      <c r="D2" s="8"/>
      <c r="E2" s="8"/>
      <c r="F2" s="8"/>
      <c r="G2" s="8"/>
      <c r="H2" s="8"/>
      <c r="I2" s="8"/>
      <c r="J2" s="8"/>
      <c r="K2" s="8"/>
      <c r="L2" s="8"/>
      <c r="M2" s="8"/>
      <c r="N2" s="8"/>
      <c r="O2" s="8"/>
      <c r="P2" s="8"/>
      <c r="Q2" s="8"/>
      <c r="R2" s="8"/>
      <c r="S2" s="8"/>
      <c r="T2" s="8"/>
      <c r="U2" s="8"/>
      <c r="V2" s="5"/>
    </row>
    <row r="3" spans="1:22" ht="15.6" x14ac:dyDescent="0.3">
      <c r="A3" s="9"/>
      <c r="B3" s="111" t="s">
        <v>229</v>
      </c>
      <c r="C3" s="8"/>
      <c r="D3" s="8"/>
      <c r="E3" s="8"/>
      <c r="F3" s="8"/>
      <c r="G3" s="8"/>
      <c r="H3" s="8"/>
      <c r="I3" s="8"/>
      <c r="J3" s="8"/>
      <c r="K3" s="8"/>
      <c r="L3" s="8"/>
      <c r="M3" s="8"/>
      <c r="N3" s="8"/>
      <c r="O3" s="8"/>
      <c r="P3" s="8"/>
      <c r="Q3" s="8"/>
      <c r="R3" s="8"/>
      <c r="S3" s="8"/>
      <c r="T3" s="8"/>
      <c r="U3" s="8"/>
      <c r="V3" s="5"/>
    </row>
    <row r="4" spans="1:22" ht="15.6" x14ac:dyDescent="0.3">
      <c r="A4" s="6"/>
      <c r="B4" s="7"/>
      <c r="C4" s="8"/>
      <c r="D4" s="8"/>
      <c r="E4" s="8"/>
      <c r="F4" s="8"/>
      <c r="G4" s="8"/>
      <c r="H4" s="8"/>
      <c r="I4" s="8"/>
      <c r="J4" s="8"/>
      <c r="K4" s="8"/>
      <c r="L4" s="8"/>
      <c r="M4" s="8"/>
      <c r="N4" s="8"/>
      <c r="O4" s="8"/>
      <c r="P4" s="8"/>
      <c r="Q4" s="8"/>
      <c r="R4" s="8"/>
      <c r="S4" s="8"/>
      <c r="T4" s="8"/>
      <c r="U4" s="8"/>
      <c r="V4" s="5"/>
    </row>
    <row r="5" spans="1:22" ht="15.6" x14ac:dyDescent="0.3">
      <c r="A5" s="6"/>
      <c r="B5" s="11" t="s">
        <v>143</v>
      </c>
      <c r="C5" s="8"/>
      <c r="D5" s="8"/>
      <c r="E5" s="8"/>
      <c r="F5" s="8"/>
      <c r="G5" s="8"/>
      <c r="H5" s="8"/>
      <c r="I5" s="8"/>
      <c r="J5" s="8"/>
      <c r="K5" s="8"/>
      <c r="L5" s="8"/>
      <c r="M5" s="8"/>
      <c r="N5" s="8"/>
      <c r="O5" s="8"/>
      <c r="P5" s="8"/>
      <c r="Q5" s="8"/>
      <c r="R5" s="8"/>
      <c r="S5" s="8"/>
      <c r="T5" s="8"/>
      <c r="U5" s="8"/>
      <c r="V5" s="5"/>
    </row>
    <row r="6" spans="1:22" ht="15.6" x14ac:dyDescent="0.3">
      <c r="A6" s="6"/>
      <c r="B6" s="11" t="s">
        <v>145</v>
      </c>
      <c r="C6" s="8"/>
      <c r="D6" s="8"/>
      <c r="E6" s="8"/>
      <c r="F6" s="8"/>
      <c r="G6" s="8"/>
      <c r="H6" s="8"/>
      <c r="I6" s="8"/>
      <c r="J6" s="8"/>
      <c r="K6" s="8"/>
      <c r="L6" s="8"/>
      <c r="M6" s="8"/>
      <c r="N6" s="8"/>
      <c r="O6" s="8"/>
      <c r="P6" s="8"/>
      <c r="Q6" s="8"/>
      <c r="R6" s="8"/>
      <c r="S6" s="8"/>
      <c r="T6" s="8"/>
      <c r="U6" s="8"/>
      <c r="V6" s="5"/>
    </row>
    <row r="7" spans="1:22" ht="15.6" x14ac:dyDescent="0.3">
      <c r="A7" s="6"/>
      <c r="B7" s="11" t="s">
        <v>144</v>
      </c>
      <c r="C7" s="8"/>
      <c r="D7" s="8"/>
      <c r="E7" s="8"/>
      <c r="F7" s="8"/>
      <c r="G7" s="8"/>
      <c r="H7" s="8"/>
      <c r="I7" s="8"/>
      <c r="J7" s="8"/>
      <c r="K7" s="8"/>
      <c r="L7" s="8"/>
      <c r="M7" s="8"/>
      <c r="N7" s="8"/>
      <c r="O7" s="8"/>
      <c r="P7" s="8"/>
      <c r="Q7" s="8"/>
      <c r="R7" s="8"/>
      <c r="S7" s="8"/>
      <c r="T7" s="8"/>
      <c r="U7" s="8"/>
      <c r="V7" s="5"/>
    </row>
    <row r="8" spans="1:22" ht="15.6" x14ac:dyDescent="0.3">
      <c r="A8" s="6"/>
      <c r="B8" s="11"/>
      <c r="C8" s="8"/>
      <c r="D8" s="8"/>
      <c r="E8" s="8"/>
      <c r="F8" s="8"/>
      <c r="G8" s="8"/>
      <c r="H8" s="8"/>
      <c r="I8" s="8"/>
      <c r="J8" s="8"/>
      <c r="K8" s="8"/>
      <c r="L8" s="8"/>
      <c r="M8" s="8"/>
      <c r="N8" s="8"/>
      <c r="O8" s="8"/>
      <c r="P8" s="8"/>
      <c r="Q8" s="8"/>
      <c r="R8" s="8"/>
      <c r="S8" s="8"/>
      <c r="T8" s="8"/>
      <c r="U8" s="8"/>
      <c r="V8" s="5"/>
    </row>
    <row r="9" spans="1:22" ht="17.399999999999999" x14ac:dyDescent="0.3">
      <c r="A9" s="6"/>
      <c r="B9" s="147" t="s">
        <v>173</v>
      </c>
      <c r="C9" s="8"/>
      <c r="D9" s="8"/>
      <c r="E9" s="8"/>
      <c r="F9" s="8"/>
      <c r="G9" s="8"/>
      <c r="H9" s="8"/>
      <c r="I9" s="8"/>
      <c r="J9" s="148" t="s">
        <v>174</v>
      </c>
      <c r="K9" s="8"/>
      <c r="L9" s="148"/>
      <c r="M9" s="8"/>
      <c r="N9" s="8"/>
      <c r="O9" s="8"/>
      <c r="P9" s="8"/>
      <c r="Q9" s="8"/>
      <c r="R9" s="8"/>
      <c r="S9" s="8"/>
      <c r="T9" s="8"/>
      <c r="U9" s="8"/>
      <c r="V9" s="5"/>
    </row>
    <row r="10" spans="1:22" ht="15.6" x14ac:dyDescent="0.3">
      <c r="A10" s="6"/>
      <c r="B10" s="11"/>
      <c r="C10" s="13"/>
      <c r="D10" s="13"/>
      <c r="E10" s="13"/>
      <c r="F10" s="8"/>
      <c r="G10" s="8"/>
      <c r="H10" s="8"/>
      <c r="I10" s="8"/>
      <c r="J10" s="8"/>
      <c r="K10" s="8"/>
      <c r="L10" s="8"/>
      <c r="M10" s="8"/>
      <c r="N10" s="8"/>
      <c r="O10" s="8"/>
      <c r="P10" s="8"/>
      <c r="Q10" s="8"/>
      <c r="R10" s="8"/>
      <c r="S10" s="8"/>
      <c r="T10" s="8"/>
      <c r="U10" s="8"/>
      <c r="V10" s="5"/>
    </row>
    <row r="11" spans="1:22" ht="15.6" x14ac:dyDescent="0.3">
      <c r="A11" s="6"/>
      <c r="B11" s="14" t="s">
        <v>0</v>
      </c>
      <c r="C11" s="8"/>
      <c r="D11" s="8"/>
      <c r="E11" s="8"/>
      <c r="F11" s="8"/>
      <c r="G11" s="8"/>
      <c r="H11" s="8"/>
      <c r="I11" s="8"/>
      <c r="J11" s="8"/>
      <c r="K11" s="8"/>
      <c r="L11" s="8"/>
      <c r="M11" s="8"/>
      <c r="N11" s="8"/>
      <c r="O11" s="8"/>
      <c r="P11" s="8"/>
      <c r="Q11" s="8"/>
      <c r="R11" s="8"/>
      <c r="S11" s="8"/>
      <c r="T11" s="8"/>
      <c r="U11" s="8"/>
      <c r="V11" s="5"/>
    </row>
    <row r="12" spans="1:22" ht="16.2" thickBot="1" x14ac:dyDescent="0.35">
      <c r="A12" s="6"/>
      <c r="B12" s="13"/>
      <c r="C12" s="8"/>
      <c r="D12" s="8"/>
      <c r="E12" s="8"/>
      <c r="F12" s="8"/>
      <c r="G12" s="8"/>
      <c r="H12" s="8"/>
      <c r="I12" s="8"/>
      <c r="J12" s="8"/>
      <c r="K12" s="8"/>
      <c r="L12" s="8"/>
      <c r="M12" s="8"/>
      <c r="N12" s="8"/>
      <c r="O12" s="8"/>
      <c r="P12" s="8"/>
      <c r="Q12" s="8"/>
      <c r="R12" s="8"/>
      <c r="S12" s="8"/>
      <c r="T12" s="8"/>
      <c r="U12" s="8"/>
      <c r="V12" s="5"/>
    </row>
    <row r="13" spans="1:22" ht="15.6" x14ac:dyDescent="0.3">
      <c r="A13" s="2"/>
      <c r="B13" s="4"/>
      <c r="C13" s="4"/>
      <c r="D13" s="4"/>
      <c r="E13" s="4"/>
      <c r="F13" s="4"/>
      <c r="G13" s="4"/>
      <c r="H13" s="4"/>
      <c r="I13" s="4"/>
      <c r="J13" s="4"/>
      <c r="K13" s="4"/>
      <c r="L13" s="4"/>
      <c r="M13" s="4"/>
      <c r="N13" s="4"/>
      <c r="O13" s="4"/>
      <c r="P13" s="4"/>
      <c r="Q13" s="4"/>
      <c r="R13" s="4"/>
      <c r="S13" s="4"/>
      <c r="T13" s="4"/>
      <c r="U13" s="4"/>
      <c r="V13" s="5"/>
    </row>
    <row r="14" spans="1:22" ht="15.6" x14ac:dyDescent="0.3">
      <c r="A14" s="6"/>
      <c r="B14" s="14" t="s">
        <v>1</v>
      </c>
      <c r="C14" s="15"/>
      <c r="D14" s="15"/>
      <c r="E14" s="15"/>
      <c r="F14" s="15"/>
      <c r="G14" s="15"/>
      <c r="H14" s="15"/>
      <c r="I14" s="15"/>
      <c r="J14" s="15"/>
      <c r="K14" s="15"/>
      <c r="L14" s="15"/>
      <c r="M14" s="15"/>
      <c r="N14" s="15"/>
      <c r="O14" s="15"/>
      <c r="P14" s="15"/>
      <c r="Q14" s="15"/>
      <c r="R14" s="15"/>
      <c r="S14" s="15"/>
      <c r="T14" s="16" t="s">
        <v>230</v>
      </c>
      <c r="U14" s="15"/>
      <c r="V14" s="5"/>
    </row>
    <row r="15" spans="1:22" ht="15.6" x14ac:dyDescent="0.3">
      <c r="A15" s="6"/>
      <c r="B15" s="14" t="s">
        <v>2</v>
      </c>
      <c r="C15" s="15"/>
      <c r="D15" s="15"/>
      <c r="E15" s="15"/>
      <c r="F15" s="15"/>
      <c r="G15" s="15"/>
      <c r="H15" s="18"/>
      <c r="I15" s="18"/>
      <c r="J15" s="18"/>
      <c r="K15" s="18"/>
      <c r="L15" s="18"/>
      <c r="M15" s="18"/>
      <c r="N15" s="18"/>
      <c r="O15" s="18"/>
      <c r="P15" s="18" t="s">
        <v>107</v>
      </c>
      <c r="Q15" s="137">
        <v>0.40749999999999997</v>
      </c>
      <c r="R15" s="17" t="s">
        <v>146</v>
      </c>
      <c r="S15" s="137">
        <v>0.59250000000000003</v>
      </c>
      <c r="T15" s="16"/>
      <c r="U15" s="15"/>
      <c r="V15" s="5"/>
    </row>
    <row r="16" spans="1:22" ht="15.6" x14ac:dyDescent="0.3">
      <c r="A16" s="6"/>
      <c r="B16" s="14" t="s">
        <v>3</v>
      </c>
      <c r="C16" s="15"/>
      <c r="D16" s="15"/>
      <c r="E16" s="15"/>
      <c r="F16" s="15"/>
      <c r="G16" s="15"/>
      <c r="H16" s="18"/>
      <c r="I16" s="18"/>
      <c r="J16" s="18"/>
      <c r="K16" s="18"/>
      <c r="L16" s="18"/>
      <c r="M16" s="18"/>
      <c r="N16" s="18"/>
      <c r="O16" s="18"/>
      <c r="P16" s="18" t="s">
        <v>107</v>
      </c>
      <c r="Q16" s="137">
        <v>0.4491</v>
      </c>
      <c r="R16" s="17" t="s">
        <v>146</v>
      </c>
      <c r="S16" s="137">
        <v>0.55089999999999995</v>
      </c>
      <c r="T16" s="16"/>
      <c r="U16" s="15"/>
      <c r="V16" s="5"/>
    </row>
    <row r="17" spans="1:22" ht="15.6" x14ac:dyDescent="0.3">
      <c r="A17" s="6"/>
      <c r="B17" s="14" t="s">
        <v>4</v>
      </c>
      <c r="C17" s="15"/>
      <c r="D17" s="15"/>
      <c r="E17" s="15"/>
      <c r="F17" s="15"/>
      <c r="G17" s="15"/>
      <c r="H17" s="15"/>
      <c r="I17" s="15"/>
      <c r="J17" s="15"/>
      <c r="K17" s="15"/>
      <c r="L17" s="15"/>
      <c r="M17" s="15"/>
      <c r="N17" s="15"/>
      <c r="O17" s="15"/>
      <c r="P17" s="15"/>
      <c r="Q17" s="15"/>
      <c r="R17" s="15"/>
      <c r="S17" s="15"/>
      <c r="T17" s="19">
        <v>38799</v>
      </c>
      <c r="U17" s="15"/>
      <c r="V17" s="5"/>
    </row>
    <row r="18" spans="1:22" ht="15.6" x14ac:dyDescent="0.3">
      <c r="A18" s="6"/>
      <c r="B18" s="14" t="s">
        <v>5</v>
      </c>
      <c r="C18" s="15"/>
      <c r="D18" s="15"/>
      <c r="E18" s="15"/>
      <c r="F18" s="15"/>
      <c r="G18" s="15"/>
      <c r="H18" s="15"/>
      <c r="I18" s="15"/>
      <c r="J18" s="15"/>
      <c r="K18" s="15"/>
      <c r="L18" s="15"/>
      <c r="M18" s="15"/>
      <c r="N18" s="15"/>
      <c r="O18" s="15"/>
      <c r="P18" s="15"/>
      <c r="Q18" s="15"/>
      <c r="R18" s="15"/>
      <c r="S18" s="15"/>
      <c r="T18" s="19">
        <v>40289</v>
      </c>
      <c r="U18" s="15"/>
      <c r="V18" s="5"/>
    </row>
    <row r="19" spans="1:22" ht="15.6" x14ac:dyDescent="0.3">
      <c r="A19" s="6"/>
      <c r="B19" s="8"/>
      <c r="C19" s="8"/>
      <c r="D19" s="8"/>
      <c r="E19" s="8"/>
      <c r="F19" s="8"/>
      <c r="G19" s="8"/>
      <c r="H19" s="8"/>
      <c r="I19" s="8"/>
      <c r="J19" s="8"/>
      <c r="K19" s="8"/>
      <c r="L19" s="8"/>
      <c r="M19" s="8"/>
      <c r="N19" s="8"/>
      <c r="O19" s="8"/>
      <c r="P19" s="8"/>
      <c r="Q19" s="8"/>
      <c r="R19" s="8"/>
      <c r="S19" s="8"/>
      <c r="T19" s="20"/>
      <c r="U19" s="8"/>
      <c r="V19" s="5"/>
    </row>
    <row r="20" spans="1:22" ht="15.6" x14ac:dyDescent="0.3">
      <c r="A20" s="6"/>
      <c r="B20" s="21" t="s">
        <v>6</v>
      </c>
      <c r="C20" s="8"/>
      <c r="D20" s="8"/>
      <c r="E20" s="8"/>
      <c r="F20" s="8"/>
      <c r="G20" s="8"/>
      <c r="H20" s="8"/>
      <c r="I20" s="8"/>
      <c r="J20" s="8"/>
      <c r="K20" s="8"/>
      <c r="L20" s="8"/>
      <c r="M20" s="8"/>
      <c r="N20" s="8"/>
      <c r="O20" s="8"/>
      <c r="P20" s="8"/>
      <c r="Q20" s="8"/>
      <c r="R20" s="20" t="s">
        <v>108</v>
      </c>
      <c r="S20" s="8"/>
      <c r="T20" s="162"/>
      <c r="U20" s="8"/>
      <c r="V20" s="5"/>
    </row>
    <row r="21" spans="1:22" ht="15.6" x14ac:dyDescent="0.3">
      <c r="A21" s="6"/>
      <c r="B21" s="8"/>
      <c r="C21" s="8"/>
      <c r="D21" s="8"/>
      <c r="E21" s="8"/>
      <c r="F21" s="8"/>
      <c r="G21" s="8"/>
      <c r="H21" s="8"/>
      <c r="I21" s="8"/>
      <c r="J21" s="8"/>
      <c r="K21" s="8"/>
      <c r="L21" s="8"/>
      <c r="M21" s="8"/>
      <c r="N21" s="8"/>
      <c r="O21" s="8"/>
      <c r="P21" s="8"/>
      <c r="Q21" s="8"/>
      <c r="R21" s="8"/>
      <c r="S21" s="8"/>
      <c r="T21" s="22"/>
      <c r="U21" s="8"/>
      <c r="V21" s="5"/>
    </row>
    <row r="22" spans="1:22" ht="15.6" x14ac:dyDescent="0.3">
      <c r="A22" s="6"/>
      <c r="B22" s="8"/>
      <c r="C22" s="112"/>
      <c r="D22" s="112" t="s">
        <v>184</v>
      </c>
      <c r="E22" s="112"/>
      <c r="F22" s="112" t="s">
        <v>185</v>
      </c>
      <c r="G22" s="112"/>
      <c r="H22" s="112" t="s">
        <v>186</v>
      </c>
      <c r="I22" s="112"/>
      <c r="J22" s="112" t="s">
        <v>187</v>
      </c>
      <c r="K22" s="112"/>
      <c r="L22" s="112" t="s">
        <v>188</v>
      </c>
      <c r="M22" s="112"/>
      <c r="N22" s="112" t="s">
        <v>189</v>
      </c>
      <c r="O22" s="112"/>
      <c r="P22" s="112"/>
      <c r="Q22" s="113"/>
      <c r="R22" s="23"/>
      <c r="S22" s="162"/>
      <c r="T22" s="162"/>
      <c r="U22" s="8"/>
      <c r="V22" s="5"/>
    </row>
    <row r="23" spans="1:22" ht="15.6" x14ac:dyDescent="0.3">
      <c r="A23" s="24"/>
      <c r="B23" s="25" t="s">
        <v>7</v>
      </c>
      <c r="C23" s="26"/>
      <c r="D23" s="26" t="s">
        <v>222</v>
      </c>
      <c r="E23" s="26"/>
      <c r="F23" s="26" t="s">
        <v>147</v>
      </c>
      <c r="G23" s="26"/>
      <c r="H23" s="26" t="s">
        <v>147</v>
      </c>
      <c r="I23" s="26"/>
      <c r="J23" s="26" t="s">
        <v>190</v>
      </c>
      <c r="K23" s="26"/>
      <c r="L23" s="26" t="s">
        <v>190</v>
      </c>
      <c r="M23" s="26"/>
      <c r="N23" s="26" t="s">
        <v>148</v>
      </c>
      <c r="O23" s="26"/>
      <c r="P23" s="26"/>
      <c r="Q23" s="26"/>
      <c r="R23" s="26"/>
      <c r="S23" s="163"/>
      <c r="T23" s="163"/>
      <c r="U23" s="25"/>
      <c r="V23" s="5"/>
    </row>
    <row r="24" spans="1:22" ht="15.6" x14ac:dyDescent="0.3">
      <c r="A24" s="24"/>
      <c r="B24" s="25" t="s">
        <v>8</v>
      </c>
      <c r="C24" s="26"/>
      <c r="D24" s="26" t="s">
        <v>223</v>
      </c>
      <c r="E24" s="26"/>
      <c r="F24" s="26" t="s">
        <v>149</v>
      </c>
      <c r="G24" s="26"/>
      <c r="H24" s="26" t="s">
        <v>149</v>
      </c>
      <c r="I24" s="26"/>
      <c r="J24" s="26" t="s">
        <v>172</v>
      </c>
      <c r="K24" s="26"/>
      <c r="L24" s="26" t="s">
        <v>172</v>
      </c>
      <c r="M24" s="26"/>
      <c r="N24" s="26" t="s">
        <v>150</v>
      </c>
      <c r="O24" s="26"/>
      <c r="P24" s="26"/>
      <c r="Q24" s="26"/>
      <c r="R24" s="26"/>
      <c r="S24" s="163"/>
      <c r="T24" s="163"/>
      <c r="U24" s="25"/>
      <c r="V24" s="5"/>
    </row>
    <row r="25" spans="1:22" ht="15.6" x14ac:dyDescent="0.3">
      <c r="A25" s="28"/>
      <c r="B25" s="131" t="s">
        <v>198</v>
      </c>
      <c r="C25" s="123"/>
      <c r="D25" s="26" t="s">
        <v>224</v>
      </c>
      <c r="E25" s="26"/>
      <c r="F25" s="26" t="s">
        <v>149</v>
      </c>
      <c r="G25" s="26"/>
      <c r="H25" s="26" t="s">
        <v>149</v>
      </c>
      <c r="I25" s="26"/>
      <c r="J25" s="26" t="s">
        <v>172</v>
      </c>
      <c r="K25" s="26"/>
      <c r="L25" s="26" t="s">
        <v>172</v>
      </c>
      <c r="M25" s="26"/>
      <c r="N25" s="26" t="s">
        <v>150</v>
      </c>
      <c r="O25" s="26"/>
      <c r="P25" s="26"/>
      <c r="Q25" s="123"/>
      <c r="R25" s="26"/>
      <c r="S25" s="163"/>
      <c r="T25" s="163"/>
      <c r="U25" s="25"/>
      <c r="V25" s="5"/>
    </row>
    <row r="26" spans="1:22" ht="15.6" x14ac:dyDescent="0.3">
      <c r="A26" s="28"/>
      <c r="B26" s="29" t="s">
        <v>9</v>
      </c>
      <c r="C26" s="123"/>
      <c r="D26" s="123" t="s">
        <v>222</v>
      </c>
      <c r="E26" s="123"/>
      <c r="F26" s="123" t="s">
        <v>147</v>
      </c>
      <c r="G26" s="123"/>
      <c r="H26" s="123" t="s">
        <v>147</v>
      </c>
      <c r="I26" s="123"/>
      <c r="J26" s="123" t="s">
        <v>190</v>
      </c>
      <c r="K26" s="123"/>
      <c r="L26" s="123" t="s">
        <v>190</v>
      </c>
      <c r="M26" s="123"/>
      <c r="N26" s="123" t="s">
        <v>148</v>
      </c>
      <c r="O26" s="123"/>
      <c r="P26" s="123"/>
      <c r="Q26" s="123"/>
      <c r="R26" s="26"/>
      <c r="S26" s="163"/>
      <c r="T26" s="163"/>
      <c r="U26" s="25"/>
      <c r="V26" s="5"/>
    </row>
    <row r="27" spans="1:22" ht="15.6" x14ac:dyDescent="0.3">
      <c r="A27" s="24"/>
      <c r="B27" s="29" t="s">
        <v>199</v>
      </c>
      <c r="C27" s="26"/>
      <c r="D27" s="123" t="s">
        <v>223</v>
      </c>
      <c r="E27" s="123"/>
      <c r="F27" s="123" t="s">
        <v>149</v>
      </c>
      <c r="G27" s="123"/>
      <c r="H27" s="123" t="s">
        <v>149</v>
      </c>
      <c r="I27" s="123"/>
      <c r="J27" s="123" t="s">
        <v>172</v>
      </c>
      <c r="K27" s="123"/>
      <c r="L27" s="123" t="s">
        <v>172</v>
      </c>
      <c r="M27" s="123"/>
      <c r="N27" s="123" t="s">
        <v>150</v>
      </c>
      <c r="O27" s="123"/>
      <c r="P27" s="123"/>
      <c r="Q27" s="26"/>
      <c r="R27" s="30"/>
      <c r="S27" s="163"/>
      <c r="T27" s="163"/>
      <c r="U27" s="25"/>
      <c r="V27" s="5"/>
    </row>
    <row r="28" spans="1:22" ht="15.6" x14ac:dyDescent="0.3">
      <c r="A28" s="24"/>
      <c r="B28" s="153" t="s">
        <v>200</v>
      </c>
      <c r="C28" s="26"/>
      <c r="D28" s="123" t="s">
        <v>224</v>
      </c>
      <c r="E28" s="123"/>
      <c r="F28" s="123" t="s">
        <v>149</v>
      </c>
      <c r="G28" s="123"/>
      <c r="H28" s="123" t="s">
        <v>149</v>
      </c>
      <c r="I28" s="123"/>
      <c r="J28" s="123" t="s">
        <v>172</v>
      </c>
      <c r="K28" s="123"/>
      <c r="L28" s="123" t="s">
        <v>172</v>
      </c>
      <c r="M28" s="123"/>
      <c r="N28" s="123" t="s">
        <v>150</v>
      </c>
      <c r="O28" s="123"/>
      <c r="P28" s="123"/>
      <c r="Q28" s="26"/>
      <c r="R28" s="30"/>
      <c r="S28" s="163"/>
      <c r="T28" s="163"/>
      <c r="U28" s="25"/>
      <c r="V28" s="5"/>
    </row>
    <row r="29" spans="1:22" ht="15.6" x14ac:dyDescent="0.3">
      <c r="A29" s="24"/>
      <c r="B29" s="25" t="s">
        <v>10</v>
      </c>
      <c r="C29" s="32"/>
      <c r="D29" s="26" t="s">
        <v>237</v>
      </c>
      <c r="E29" s="26"/>
      <c r="F29" s="30" t="s">
        <v>238</v>
      </c>
      <c r="G29" s="26"/>
      <c r="H29" s="26" t="s">
        <v>239</v>
      </c>
      <c r="I29" s="26"/>
      <c r="J29" s="26" t="s">
        <v>240</v>
      </c>
      <c r="K29" s="26"/>
      <c r="L29" s="26" t="s">
        <v>241</v>
      </c>
      <c r="M29" s="26"/>
      <c r="N29" s="26" t="s">
        <v>242</v>
      </c>
      <c r="O29" s="26"/>
      <c r="P29" s="26"/>
      <c r="Q29" s="31"/>
      <c r="R29" s="31"/>
      <c r="S29" s="164"/>
      <c r="T29" s="31"/>
      <c r="U29" s="34"/>
      <c r="V29" s="5"/>
    </row>
    <row r="30" spans="1:22" ht="15.6" x14ac:dyDescent="0.3">
      <c r="A30" s="24"/>
      <c r="B30" s="25" t="s">
        <v>10</v>
      </c>
      <c r="C30" s="32"/>
      <c r="D30" s="26" t="s">
        <v>236</v>
      </c>
      <c r="E30" s="26"/>
      <c r="F30" s="30" t="s">
        <v>124</v>
      </c>
      <c r="G30" s="26"/>
      <c r="H30" s="26" t="s">
        <v>124</v>
      </c>
      <c r="I30" s="26"/>
      <c r="J30" s="26" t="s">
        <v>124</v>
      </c>
      <c r="K30" s="26"/>
      <c r="L30" s="26" t="s">
        <v>124</v>
      </c>
      <c r="M30" s="26"/>
      <c r="N30" s="26" t="s">
        <v>124</v>
      </c>
      <c r="O30" s="26"/>
      <c r="P30" s="26"/>
      <c r="Q30" s="31"/>
      <c r="R30" s="31"/>
      <c r="S30" s="164"/>
      <c r="T30" s="31"/>
      <c r="U30" s="34"/>
      <c r="V30" s="5"/>
    </row>
    <row r="31" spans="1:22" ht="15.6" x14ac:dyDescent="0.3">
      <c r="A31" s="28"/>
      <c r="B31" s="25" t="s">
        <v>139</v>
      </c>
      <c r="C31" s="36"/>
      <c r="D31" s="146">
        <v>985000</v>
      </c>
      <c r="E31" s="32"/>
      <c r="F31" s="31">
        <v>149500</v>
      </c>
      <c r="G31" s="31"/>
      <c r="H31" s="124">
        <v>219700</v>
      </c>
      <c r="I31" s="31"/>
      <c r="J31" s="31">
        <v>16000</v>
      </c>
      <c r="K31" s="31"/>
      <c r="L31" s="124">
        <v>82400</v>
      </c>
      <c r="M31" s="31"/>
      <c r="N31" s="124">
        <v>87500</v>
      </c>
      <c r="O31" s="31"/>
      <c r="P31" s="124"/>
      <c r="Q31" s="35"/>
      <c r="R31" s="35"/>
      <c r="S31" s="37"/>
      <c r="T31" s="35"/>
      <c r="U31" s="34"/>
      <c r="V31" s="5"/>
    </row>
    <row r="32" spans="1:22" ht="15.6" x14ac:dyDescent="0.3">
      <c r="A32" s="24"/>
      <c r="B32" s="25" t="s">
        <v>138</v>
      </c>
      <c r="C32" s="32"/>
      <c r="D32" s="146">
        <f>D38*D31</f>
        <v>536600.02600000007</v>
      </c>
      <c r="E32" s="32"/>
      <c r="F32" s="31">
        <f>F38*F31</f>
        <v>81443.414000000004</v>
      </c>
      <c r="G32" s="31"/>
      <c r="H32" s="124">
        <f>H38*H31</f>
        <v>119686.4084</v>
      </c>
      <c r="I32" s="31"/>
      <c r="J32" s="31">
        <f>+J31</f>
        <v>16000</v>
      </c>
      <c r="K32" s="31"/>
      <c r="L32" s="124">
        <f>+L31</f>
        <v>82400</v>
      </c>
      <c r="M32" s="31"/>
      <c r="N32" s="124">
        <f>+N31</f>
        <v>87500</v>
      </c>
      <c r="O32" s="31"/>
      <c r="P32" s="124"/>
      <c r="Q32" s="31"/>
      <c r="R32" s="31"/>
      <c r="S32" s="164"/>
      <c r="T32" s="31"/>
      <c r="U32" s="34"/>
      <c r="V32" s="5"/>
    </row>
    <row r="33" spans="1:22" ht="15.6" x14ac:dyDescent="0.3">
      <c r="A33" s="24"/>
      <c r="B33" s="29" t="s">
        <v>140</v>
      </c>
      <c r="C33" s="32"/>
      <c r="D33" s="151">
        <f>D37*D31</f>
        <v>532354.9715000001</v>
      </c>
      <c r="E33" s="36"/>
      <c r="F33" s="35">
        <f>F37*F31</f>
        <v>80799.128800000006</v>
      </c>
      <c r="G33" s="35"/>
      <c r="H33" s="125">
        <f>H31*H37</f>
        <v>118739.58928</v>
      </c>
      <c r="I33" s="35"/>
      <c r="J33" s="35">
        <f>J31*J37</f>
        <v>16000</v>
      </c>
      <c r="K33" s="35"/>
      <c r="L33" s="125">
        <f>L31*L37</f>
        <v>82400</v>
      </c>
      <c r="M33" s="35"/>
      <c r="N33" s="125">
        <f>N31*N37</f>
        <v>87500</v>
      </c>
      <c r="O33" s="35"/>
      <c r="P33" s="125"/>
      <c r="Q33" s="31"/>
      <c r="R33" s="31"/>
      <c r="S33" s="164"/>
      <c r="T33" s="31"/>
      <c r="U33" s="34"/>
      <c r="V33" s="5"/>
    </row>
    <row r="34" spans="1:22" ht="15.6" x14ac:dyDescent="0.3">
      <c r="A34" s="28"/>
      <c r="B34" s="25" t="s">
        <v>283</v>
      </c>
      <c r="C34" s="36"/>
      <c r="D34" s="31">
        <v>567282</v>
      </c>
      <c r="E34" s="32"/>
      <c r="F34" s="31">
        <v>149500</v>
      </c>
      <c r="G34" s="31"/>
      <c r="H34" s="31">
        <v>150716</v>
      </c>
      <c r="I34" s="31"/>
      <c r="J34" s="31">
        <v>16000</v>
      </c>
      <c r="K34" s="31"/>
      <c r="L34" s="31">
        <v>56527</v>
      </c>
      <c r="M34" s="31"/>
      <c r="N34" s="31">
        <v>60025</v>
      </c>
      <c r="O34" s="31"/>
      <c r="P34" s="31"/>
      <c r="Q34" s="35"/>
      <c r="R34" s="35"/>
      <c r="S34" s="37"/>
      <c r="T34" s="154">
        <f>SUM(C34:P34)</f>
        <v>1000050</v>
      </c>
      <c r="U34" s="34"/>
      <c r="V34" s="5"/>
    </row>
    <row r="35" spans="1:22" ht="15.6" x14ac:dyDescent="0.3">
      <c r="A35" s="28"/>
      <c r="B35" s="25" t="s">
        <v>284</v>
      </c>
      <c r="C35" s="126"/>
      <c r="D35" s="31">
        <f>D38*D34</f>
        <v>309039.1227912</v>
      </c>
      <c r="E35" s="32"/>
      <c r="F35" s="31">
        <f>F38*F34</f>
        <v>81443.414000000004</v>
      </c>
      <c r="G35" s="31"/>
      <c r="H35" s="31">
        <f>H38*H34</f>
        <v>82105.856752000007</v>
      </c>
      <c r="I35" s="31"/>
      <c r="J35" s="31">
        <f>+J34</f>
        <v>16000</v>
      </c>
      <c r="K35" s="31"/>
      <c r="L35" s="31">
        <f>+L34</f>
        <v>56527</v>
      </c>
      <c r="M35" s="31"/>
      <c r="N35" s="31">
        <f>+N34</f>
        <v>60025</v>
      </c>
      <c r="O35" s="31"/>
      <c r="P35" s="31"/>
      <c r="Q35" s="31"/>
      <c r="R35" s="31"/>
      <c r="S35" s="164"/>
      <c r="T35" s="154">
        <f>SUM(C35:P35)+1</f>
        <v>605141.39354319999</v>
      </c>
      <c r="U35" s="34"/>
      <c r="V35" s="5"/>
    </row>
    <row r="36" spans="1:22" ht="15.6" x14ac:dyDescent="0.3">
      <c r="A36" s="28"/>
      <c r="B36" s="29" t="s">
        <v>285</v>
      </c>
      <c r="C36" s="126"/>
      <c r="D36" s="35">
        <f>D37*D34</f>
        <v>306594.30755580001</v>
      </c>
      <c r="E36" s="36"/>
      <c r="F36" s="35">
        <f>F37*F34</f>
        <v>80799.128800000006</v>
      </c>
      <c r="G36" s="35"/>
      <c r="H36" s="35">
        <f>H37*H34</f>
        <v>81456.331078400006</v>
      </c>
      <c r="I36" s="35"/>
      <c r="J36" s="35">
        <f>+J34</f>
        <v>16000</v>
      </c>
      <c r="K36" s="35"/>
      <c r="L36" s="35">
        <f>+L34</f>
        <v>56527</v>
      </c>
      <c r="M36" s="35"/>
      <c r="N36" s="35">
        <f>+N34</f>
        <v>60025</v>
      </c>
      <c r="O36" s="35"/>
      <c r="P36" s="35"/>
      <c r="Q36" s="128"/>
      <c r="R36" s="128"/>
      <c r="S36" s="164"/>
      <c r="T36" s="155">
        <f>SUM(C36:P36)+1</f>
        <v>601402.76743420004</v>
      </c>
      <c r="U36" s="34"/>
      <c r="V36" s="5"/>
    </row>
    <row r="37" spans="1:22" ht="15.6" x14ac:dyDescent="0.3">
      <c r="A37" s="24"/>
      <c r="B37" s="122" t="s">
        <v>136</v>
      </c>
      <c r="C37" s="25"/>
      <c r="D37" s="168">
        <v>0.54046190000000005</v>
      </c>
      <c r="E37" s="136"/>
      <c r="F37" s="168">
        <v>0.54046240000000001</v>
      </c>
      <c r="G37" s="135"/>
      <c r="H37" s="168">
        <v>0.54046240000000001</v>
      </c>
      <c r="I37" s="135"/>
      <c r="J37" s="168">
        <v>1</v>
      </c>
      <c r="K37" s="135"/>
      <c r="L37" s="168">
        <v>1</v>
      </c>
      <c r="M37" s="135"/>
      <c r="N37" s="168">
        <v>1</v>
      </c>
      <c r="O37" s="135"/>
      <c r="P37" s="135"/>
      <c r="Q37" s="30"/>
      <c r="R37" s="30"/>
      <c r="S37" s="163"/>
      <c r="T37" s="163"/>
      <c r="U37" s="25"/>
      <c r="V37" s="5"/>
    </row>
    <row r="38" spans="1:22" ht="15.6" x14ac:dyDescent="0.3">
      <c r="A38" s="24"/>
      <c r="B38" s="122" t="s">
        <v>137</v>
      </c>
      <c r="C38" s="25"/>
      <c r="D38" s="168">
        <v>0.54477160000000002</v>
      </c>
      <c r="E38" s="136"/>
      <c r="F38" s="168">
        <v>0.54477200000000003</v>
      </c>
      <c r="G38" s="135"/>
      <c r="H38" s="168">
        <v>0.54477200000000003</v>
      </c>
      <c r="I38" s="135"/>
      <c r="J38" s="168">
        <v>1</v>
      </c>
      <c r="K38" s="168"/>
      <c r="L38" s="168">
        <v>1</v>
      </c>
      <c r="M38" s="168"/>
      <c r="N38" s="168">
        <v>1</v>
      </c>
      <c r="O38" s="135"/>
      <c r="P38" s="135"/>
      <c r="Q38" s="39"/>
      <c r="R38" s="38"/>
      <c r="S38" s="163"/>
      <c r="T38" s="39"/>
      <c r="U38" s="25"/>
      <c r="V38" s="5"/>
    </row>
    <row r="39" spans="1:22" ht="15.6" x14ac:dyDescent="0.3">
      <c r="A39" s="24"/>
      <c r="B39" s="25" t="s">
        <v>11</v>
      </c>
      <c r="C39" s="25"/>
      <c r="D39" s="30" t="s">
        <v>275</v>
      </c>
      <c r="E39" s="25"/>
      <c r="F39" s="30" t="s">
        <v>231</v>
      </c>
      <c r="G39" s="30"/>
      <c r="H39" s="30" t="s">
        <v>231</v>
      </c>
      <c r="I39" s="30"/>
      <c r="J39" s="30" t="s">
        <v>232</v>
      </c>
      <c r="K39" s="30"/>
      <c r="L39" s="30" t="s">
        <v>232</v>
      </c>
      <c r="M39" s="30"/>
      <c r="N39" s="30" t="s">
        <v>233</v>
      </c>
      <c r="O39" s="30"/>
      <c r="P39" s="30"/>
      <c r="Q39" s="39"/>
      <c r="R39" s="38"/>
      <c r="S39" s="163"/>
      <c r="T39" s="163"/>
      <c r="U39" s="25"/>
      <c r="V39" s="5"/>
    </row>
    <row r="40" spans="1:22" ht="15.6" x14ac:dyDescent="0.3">
      <c r="A40" s="24"/>
      <c r="B40" s="25" t="s">
        <v>12</v>
      </c>
      <c r="C40" s="25"/>
      <c r="D40" s="38">
        <v>3.3E-3</v>
      </c>
      <c r="E40" s="25"/>
      <c r="F40" s="38">
        <v>7.3000000000000001E-3</v>
      </c>
      <c r="G40" s="39"/>
      <c r="H40" s="38">
        <v>8.0400000000000003E-3</v>
      </c>
      <c r="I40" s="39"/>
      <c r="J40" s="38">
        <v>8.5000000000000006E-3</v>
      </c>
      <c r="K40" s="39"/>
      <c r="L40" s="38">
        <v>9.2399999999999999E-3</v>
      </c>
      <c r="M40" s="39"/>
      <c r="N40" s="38">
        <v>1.1339999999999999E-2</v>
      </c>
      <c r="O40" s="39"/>
      <c r="P40" s="38"/>
      <c r="Q40" s="39"/>
      <c r="R40" s="38"/>
      <c r="S40" s="163"/>
      <c r="T40" s="30"/>
      <c r="U40" s="25"/>
      <c r="V40" s="5"/>
    </row>
    <row r="41" spans="1:22" ht="15.6" x14ac:dyDescent="0.3">
      <c r="A41" s="24"/>
      <c r="B41" s="25" t="s">
        <v>13</v>
      </c>
      <c r="C41" s="25"/>
      <c r="D41" s="38">
        <v>3.3313000000000001E-3</v>
      </c>
      <c r="E41" s="25"/>
      <c r="F41" s="38">
        <v>6.8812999999999999E-3</v>
      </c>
      <c r="G41" s="39"/>
      <c r="H41" s="38">
        <v>8.6199999999999992E-3</v>
      </c>
      <c r="I41" s="39"/>
      <c r="J41" s="38">
        <v>8.0812999999999996E-3</v>
      </c>
      <c r="K41" s="39"/>
      <c r="L41" s="38">
        <v>9.8200000000000006E-3</v>
      </c>
      <c r="M41" s="39"/>
      <c r="N41" s="38">
        <v>1.192E-2</v>
      </c>
      <c r="O41" s="39"/>
      <c r="P41" s="38"/>
      <c r="Q41" s="39"/>
      <c r="R41" s="38"/>
      <c r="S41" s="163"/>
      <c r="T41" s="39" t="s">
        <v>201</v>
      </c>
      <c r="U41" s="25"/>
      <c r="V41" s="5"/>
    </row>
    <row r="42" spans="1:22" ht="15.6" x14ac:dyDescent="0.3">
      <c r="A42" s="24"/>
      <c r="B42" s="25" t="s">
        <v>286</v>
      </c>
      <c r="C42" s="25"/>
      <c r="D42" s="30" t="s">
        <v>231</v>
      </c>
      <c r="E42" s="25"/>
      <c r="F42" s="30" t="s">
        <v>231</v>
      </c>
      <c r="G42" s="30"/>
      <c r="H42" s="30" t="s">
        <v>243</v>
      </c>
      <c r="I42" s="30"/>
      <c r="J42" s="30" t="s">
        <v>232</v>
      </c>
      <c r="K42" s="30"/>
      <c r="L42" s="30" t="s">
        <v>244</v>
      </c>
      <c r="M42" s="30"/>
      <c r="N42" s="30" t="s">
        <v>246</v>
      </c>
      <c r="O42" s="30"/>
      <c r="P42" s="30"/>
      <c r="Q42" s="39"/>
      <c r="R42" s="38"/>
      <c r="S42" s="163"/>
      <c r="T42" s="163"/>
      <c r="U42" s="25"/>
      <c r="V42" s="5"/>
    </row>
    <row r="43" spans="1:22" ht="15.6" x14ac:dyDescent="0.3">
      <c r="A43" s="24"/>
      <c r="B43" s="25" t="s">
        <v>287</v>
      </c>
      <c r="C43" s="110"/>
      <c r="D43" s="38">
        <v>7.3362000000000002E-3</v>
      </c>
      <c r="E43" s="38"/>
      <c r="F43" s="38">
        <f>+F40</f>
        <v>7.3000000000000001E-3</v>
      </c>
      <c r="G43" s="38"/>
      <c r="H43" s="38">
        <v>7.2979999999999998E-3</v>
      </c>
      <c r="I43" s="38"/>
      <c r="J43" s="38">
        <f>+J40</f>
        <v>8.5000000000000006E-3</v>
      </c>
      <c r="K43" s="38"/>
      <c r="L43" s="38">
        <v>8.6529999999999992E-3</v>
      </c>
      <c r="M43" s="38"/>
      <c r="N43" s="38">
        <v>1.1004999999999999E-2</v>
      </c>
      <c r="O43" s="39"/>
      <c r="P43" s="38"/>
      <c r="Q43" s="30"/>
      <c r="R43" s="30"/>
      <c r="S43" s="163"/>
      <c r="T43" s="39">
        <f>SUMPRODUCT(D43:N43,D35:N35)/T35</f>
        <v>7.8438222604549773E-3</v>
      </c>
      <c r="U43" s="25"/>
      <c r="V43" s="5"/>
    </row>
    <row r="44" spans="1:22" ht="15.6" x14ac:dyDescent="0.3">
      <c r="A44" s="24"/>
      <c r="B44" s="25" t="s">
        <v>288</v>
      </c>
      <c r="C44" s="110"/>
      <c r="D44" s="38">
        <v>6.9175E-3</v>
      </c>
      <c r="E44" s="38"/>
      <c r="F44" s="38">
        <f>+F41</f>
        <v>6.8812999999999999E-3</v>
      </c>
      <c r="G44" s="38"/>
      <c r="H44" s="38">
        <v>6.8792999999999997E-3</v>
      </c>
      <c r="I44" s="38"/>
      <c r="J44" s="38">
        <f>+J41</f>
        <v>8.0812999999999996E-3</v>
      </c>
      <c r="K44" s="38"/>
      <c r="L44" s="38">
        <v>8.2343E-3</v>
      </c>
      <c r="M44" s="38"/>
      <c r="N44" s="38">
        <v>1.05863E-2</v>
      </c>
      <c r="O44" s="39"/>
      <c r="P44" s="38"/>
      <c r="Q44" s="30"/>
      <c r="R44" s="30"/>
      <c r="S44" s="163"/>
      <c r="T44" s="163"/>
      <c r="U44" s="25"/>
      <c r="V44" s="5"/>
    </row>
    <row r="45" spans="1:22" ht="15.6" x14ac:dyDescent="0.3">
      <c r="A45" s="24"/>
      <c r="B45" s="25" t="s">
        <v>14</v>
      </c>
      <c r="C45" s="25"/>
      <c r="D45" s="110">
        <v>40283</v>
      </c>
      <c r="E45" s="110"/>
      <c r="F45" s="110">
        <v>40283</v>
      </c>
      <c r="G45" s="110"/>
      <c r="H45" s="110">
        <v>40283</v>
      </c>
      <c r="I45" s="110"/>
      <c r="J45" s="110">
        <v>40283</v>
      </c>
      <c r="K45" s="110"/>
      <c r="L45" s="110">
        <v>40283</v>
      </c>
      <c r="M45" s="110"/>
      <c r="N45" s="110">
        <v>40283</v>
      </c>
      <c r="O45" s="110"/>
      <c r="P45" s="110"/>
      <c r="Q45" s="30"/>
      <c r="R45" s="30"/>
      <c r="S45" s="163"/>
      <c r="T45" s="163"/>
      <c r="U45" s="25"/>
      <c r="V45" s="5"/>
    </row>
    <row r="46" spans="1:22" ht="15.6" x14ac:dyDescent="0.3">
      <c r="A46" s="24"/>
      <c r="B46" s="25" t="s">
        <v>15</v>
      </c>
      <c r="C46" s="25"/>
      <c r="D46" s="110">
        <v>40648</v>
      </c>
      <c r="E46" s="110"/>
      <c r="F46" s="110">
        <v>40648</v>
      </c>
      <c r="G46" s="110"/>
      <c r="H46" s="110">
        <v>40648</v>
      </c>
      <c r="I46" s="30"/>
      <c r="J46" s="110">
        <v>40648</v>
      </c>
      <c r="K46" s="30"/>
      <c r="L46" s="110">
        <v>40648</v>
      </c>
      <c r="M46" s="30"/>
      <c r="N46" s="110">
        <v>40648</v>
      </c>
      <c r="O46" s="30"/>
      <c r="P46" s="110"/>
      <c r="Q46" s="30"/>
      <c r="R46" s="30"/>
      <c r="S46" s="163"/>
      <c r="T46" s="163"/>
      <c r="U46" s="25"/>
      <c r="V46" s="5"/>
    </row>
    <row r="47" spans="1:22" ht="15.6" x14ac:dyDescent="0.3">
      <c r="A47" s="24"/>
      <c r="B47" s="25" t="s">
        <v>125</v>
      </c>
      <c r="C47" s="25"/>
      <c r="D47" s="160" t="s">
        <v>124</v>
      </c>
      <c r="E47" s="25"/>
      <c r="F47" s="30" t="s">
        <v>232</v>
      </c>
      <c r="G47" s="30"/>
      <c r="H47" s="30" t="s">
        <v>232</v>
      </c>
      <c r="I47" s="30"/>
      <c r="J47" s="30" t="s">
        <v>234</v>
      </c>
      <c r="K47" s="30"/>
      <c r="L47" s="30" t="s">
        <v>234</v>
      </c>
      <c r="M47" s="30"/>
      <c r="N47" s="30" t="s">
        <v>235</v>
      </c>
      <c r="O47" s="30"/>
      <c r="P47" s="30"/>
      <c r="Q47" s="40"/>
      <c r="R47" s="40"/>
      <c r="S47" s="40"/>
      <c r="T47" s="40"/>
      <c r="U47" s="25"/>
      <c r="V47" s="5"/>
    </row>
    <row r="48" spans="1:22" ht="15.6" x14ac:dyDescent="0.3">
      <c r="A48" s="24"/>
      <c r="B48" s="25" t="s">
        <v>289</v>
      </c>
      <c r="C48" s="25"/>
      <c r="D48" s="30" t="s">
        <v>208</v>
      </c>
      <c r="E48" s="25"/>
      <c r="F48" s="30" t="s">
        <v>232</v>
      </c>
      <c r="G48" s="30"/>
      <c r="H48" s="30" t="s">
        <v>232</v>
      </c>
      <c r="I48" s="30"/>
      <c r="J48" s="30" t="s">
        <v>234</v>
      </c>
      <c r="K48" s="30"/>
      <c r="L48" s="30" t="s">
        <v>245</v>
      </c>
      <c r="M48" s="30"/>
      <c r="N48" s="30" t="s">
        <v>247</v>
      </c>
      <c r="O48" s="30"/>
      <c r="P48" s="30"/>
      <c r="Q48" s="25"/>
      <c r="R48" s="25"/>
      <c r="S48" s="25"/>
      <c r="T48" s="39"/>
      <c r="U48" s="25"/>
      <c r="V48" s="5"/>
    </row>
    <row r="49" spans="1:23" ht="15.6" x14ac:dyDescent="0.3">
      <c r="A49" s="24"/>
      <c r="B49" s="25"/>
      <c r="C49" s="25"/>
      <c r="D49" s="30"/>
      <c r="E49" s="25"/>
      <c r="F49" s="30"/>
      <c r="G49" s="30"/>
      <c r="H49" s="30"/>
      <c r="I49" s="30"/>
      <c r="J49" s="30"/>
      <c r="K49" s="30"/>
      <c r="L49" s="30"/>
      <c r="M49" s="30"/>
      <c r="N49" s="30"/>
      <c r="O49" s="30"/>
      <c r="P49" s="30"/>
      <c r="Q49" s="25"/>
      <c r="R49" s="25"/>
      <c r="S49" s="25"/>
      <c r="T49" s="39" t="s">
        <v>201</v>
      </c>
      <c r="U49" s="25"/>
      <c r="V49" s="5"/>
    </row>
    <row r="50" spans="1:23" ht="15.6" x14ac:dyDescent="0.3">
      <c r="A50" s="24"/>
      <c r="B50" s="25" t="s">
        <v>176</v>
      </c>
      <c r="C50" s="25"/>
      <c r="D50" s="30"/>
      <c r="E50" s="25"/>
      <c r="F50" s="30"/>
      <c r="G50" s="30"/>
      <c r="H50" s="30"/>
      <c r="I50" s="30"/>
      <c r="J50" s="30"/>
      <c r="K50" s="30"/>
      <c r="L50" s="30"/>
      <c r="M50" s="30"/>
      <c r="N50" s="30"/>
      <c r="O50" s="30"/>
      <c r="P50" s="30"/>
      <c r="Q50" s="25"/>
      <c r="R50" s="25"/>
      <c r="S50" s="25"/>
      <c r="T50" s="39">
        <f>SUM(J34:P34)/SUM(D34:H34)</f>
        <v>0.15279804679664968</v>
      </c>
      <c r="U50" s="25"/>
      <c r="V50" s="5"/>
    </row>
    <row r="51" spans="1:23" ht="15.6" x14ac:dyDescent="0.3">
      <c r="A51" s="24"/>
      <c r="B51" s="25" t="s">
        <v>177</v>
      </c>
      <c r="C51" s="25"/>
      <c r="D51" s="25"/>
      <c r="E51" s="25"/>
      <c r="F51" s="41"/>
      <c r="G51" s="25"/>
      <c r="H51" s="25"/>
      <c r="I51" s="25"/>
      <c r="J51" s="25"/>
      <c r="K51" s="25"/>
      <c r="L51" s="25"/>
      <c r="M51" s="25"/>
      <c r="N51" s="25"/>
      <c r="O51" s="25"/>
      <c r="P51" s="25"/>
      <c r="Q51" s="25"/>
      <c r="R51" s="25"/>
      <c r="S51" s="25"/>
      <c r="T51" s="39">
        <f>SUM(J36:P36)/SUM(D36:H36)</f>
        <v>0.28271742721639037</v>
      </c>
      <c r="U51" s="25"/>
      <c r="V51" s="5"/>
    </row>
    <row r="52" spans="1:23" ht="15.6" x14ac:dyDescent="0.3">
      <c r="A52" s="24"/>
      <c r="B52" s="25" t="s">
        <v>178</v>
      </c>
      <c r="C52" s="25"/>
      <c r="D52" s="25"/>
      <c r="E52" s="25"/>
      <c r="F52" s="25"/>
      <c r="G52" s="25"/>
      <c r="H52" s="25"/>
      <c r="I52" s="25"/>
      <c r="J52" s="25"/>
      <c r="K52" s="25"/>
      <c r="L52" s="25"/>
      <c r="M52" s="25"/>
      <c r="N52" s="25"/>
      <c r="O52" s="25"/>
      <c r="P52" s="25"/>
      <c r="Q52" s="25"/>
      <c r="R52" s="30" t="s">
        <v>109</v>
      </c>
      <c r="S52" s="30" t="s">
        <v>115</v>
      </c>
      <c r="T52" s="31">
        <f>+T34/2-SUM(J34:P34)</f>
        <v>367473</v>
      </c>
      <c r="U52" s="25"/>
      <c r="V52" s="5"/>
    </row>
    <row r="53" spans="1:23" ht="15.6" x14ac:dyDescent="0.3">
      <c r="A53" s="24"/>
      <c r="B53" s="25"/>
      <c r="C53" s="25"/>
      <c r="D53" s="25"/>
      <c r="E53" s="25"/>
      <c r="F53" s="25"/>
      <c r="G53" s="25"/>
      <c r="H53" s="25"/>
      <c r="I53" s="25"/>
      <c r="J53" s="25"/>
      <c r="K53" s="25"/>
      <c r="L53" s="25"/>
      <c r="M53" s="25"/>
      <c r="N53" s="25"/>
      <c r="O53" s="25"/>
      <c r="P53" s="25"/>
      <c r="Q53" s="25"/>
      <c r="R53" s="25"/>
      <c r="S53" s="25"/>
      <c r="T53" s="42"/>
      <c r="U53" s="25"/>
      <c r="V53" s="5"/>
    </row>
    <row r="54" spans="1:23" ht="15.6" x14ac:dyDescent="0.3">
      <c r="A54" s="24"/>
      <c r="B54" s="25" t="s">
        <v>211</v>
      </c>
      <c r="C54" s="25"/>
      <c r="D54" s="25"/>
      <c r="E54" s="25"/>
      <c r="F54" s="25"/>
      <c r="G54" s="25"/>
      <c r="H54" s="25"/>
      <c r="I54" s="25"/>
      <c r="J54" s="25"/>
      <c r="K54" s="25"/>
      <c r="L54" s="25"/>
      <c r="M54" s="25"/>
      <c r="N54" s="25"/>
      <c r="O54" s="25"/>
      <c r="P54" s="25"/>
      <c r="Q54" s="25"/>
      <c r="R54" s="25"/>
      <c r="S54" s="25"/>
      <c r="T54" s="156" t="s">
        <v>212</v>
      </c>
      <c r="U54" s="25"/>
      <c r="V54" s="5"/>
    </row>
    <row r="55" spans="1:23" ht="15.6" x14ac:dyDescent="0.3">
      <c r="A55" s="24"/>
      <c r="B55" s="25" t="s">
        <v>253</v>
      </c>
      <c r="C55" s="25"/>
      <c r="D55" s="25"/>
      <c r="E55" s="25"/>
      <c r="F55" s="25"/>
      <c r="G55" s="25"/>
      <c r="H55" s="25"/>
      <c r="I55" s="25"/>
      <c r="J55" s="25"/>
      <c r="K55" s="25"/>
      <c r="L55" s="25"/>
      <c r="M55" s="25"/>
      <c r="N55" s="25"/>
      <c r="O55" s="25"/>
      <c r="P55" s="25"/>
      <c r="Q55" s="25"/>
      <c r="R55" s="30"/>
      <c r="S55" s="30"/>
      <c r="T55" s="157" t="s">
        <v>117</v>
      </c>
      <c r="U55" s="25"/>
      <c r="V55" s="5"/>
    </row>
    <row r="56" spans="1:23" ht="15.6" x14ac:dyDescent="0.3">
      <c r="A56" s="24"/>
      <c r="B56" s="29" t="s">
        <v>210</v>
      </c>
      <c r="C56" s="29"/>
      <c r="D56" s="29"/>
      <c r="E56" s="29"/>
      <c r="F56" s="29"/>
      <c r="G56" s="29"/>
      <c r="H56" s="29"/>
      <c r="I56" s="29"/>
      <c r="J56" s="29"/>
      <c r="K56" s="29"/>
      <c r="L56" s="29"/>
      <c r="M56" s="29"/>
      <c r="N56" s="29"/>
      <c r="O56" s="29"/>
      <c r="P56" s="29"/>
      <c r="Q56" s="29"/>
      <c r="R56" s="43"/>
      <c r="S56" s="43"/>
      <c r="T56" s="44">
        <v>40283</v>
      </c>
      <c r="U56" s="25"/>
      <c r="V56" s="5"/>
    </row>
    <row r="57" spans="1:23" ht="15.6" x14ac:dyDescent="0.3">
      <c r="A57" s="24"/>
      <c r="B57" s="25" t="s">
        <v>127</v>
      </c>
      <c r="C57" s="25"/>
      <c r="D57" s="25"/>
      <c r="E57" s="25"/>
      <c r="F57" s="25"/>
      <c r="G57" s="25"/>
      <c r="H57" s="58"/>
      <c r="I57" s="58"/>
      <c r="J57" s="58"/>
      <c r="K57" s="58"/>
      <c r="L57" s="58"/>
      <c r="M57" s="58"/>
      <c r="N57" s="58"/>
      <c r="O57" s="58"/>
      <c r="P57" s="25">
        <f>+T57-R57+1</f>
        <v>92</v>
      </c>
      <c r="Q57" s="58"/>
      <c r="R57" s="45">
        <v>40101</v>
      </c>
      <c r="S57" s="46"/>
      <c r="T57" s="45">
        <v>40192</v>
      </c>
      <c r="U57" s="25"/>
      <c r="V57" s="5"/>
    </row>
    <row r="58" spans="1:23" ht="15.6" x14ac:dyDescent="0.3">
      <c r="A58" s="24"/>
      <c r="B58" s="25" t="s">
        <v>128</v>
      </c>
      <c r="C58" s="25"/>
      <c r="D58" s="25"/>
      <c r="E58" s="25"/>
      <c r="F58" s="25"/>
      <c r="G58" s="25"/>
      <c r="H58" s="25"/>
      <c r="I58" s="25"/>
      <c r="J58" s="25"/>
      <c r="K58" s="25"/>
      <c r="L58" s="25"/>
      <c r="M58" s="25"/>
      <c r="N58" s="25"/>
      <c r="O58" s="25"/>
      <c r="P58" s="25">
        <f>+T58-R58+1</f>
        <v>90</v>
      </c>
      <c r="Q58" s="25"/>
      <c r="R58" s="45">
        <v>40193</v>
      </c>
      <c r="S58" s="46"/>
      <c r="T58" s="45">
        <v>40282</v>
      </c>
      <c r="U58" s="25"/>
      <c r="V58" s="5"/>
    </row>
    <row r="59" spans="1:23" ht="15.6" x14ac:dyDescent="0.3">
      <c r="A59" s="24"/>
      <c r="B59" s="25" t="s">
        <v>209</v>
      </c>
      <c r="C59" s="25"/>
      <c r="D59" s="25"/>
      <c r="E59" s="25"/>
      <c r="F59" s="25"/>
      <c r="G59" s="25"/>
      <c r="H59" s="25"/>
      <c r="I59" s="25"/>
      <c r="J59" s="25"/>
      <c r="K59" s="25"/>
      <c r="L59" s="25"/>
      <c r="M59" s="25"/>
      <c r="N59" s="25"/>
      <c r="O59" s="25"/>
      <c r="P59" s="25"/>
      <c r="Q59" s="25"/>
      <c r="R59" s="45"/>
      <c r="S59" s="46"/>
      <c r="T59" s="45" t="s">
        <v>126</v>
      </c>
      <c r="U59" s="25"/>
      <c r="V59" s="5"/>
    </row>
    <row r="60" spans="1:23" ht="15.6" x14ac:dyDescent="0.3">
      <c r="A60" s="24"/>
      <c r="B60" s="25" t="s">
        <v>249</v>
      </c>
      <c r="C60" s="25"/>
      <c r="D60" s="25"/>
      <c r="E60" s="25"/>
      <c r="F60" s="25"/>
      <c r="G60" s="25"/>
      <c r="H60" s="25"/>
      <c r="I60" s="25"/>
      <c r="J60" s="25"/>
      <c r="K60" s="25"/>
      <c r="L60" s="25"/>
      <c r="M60" s="25"/>
      <c r="N60" s="25"/>
      <c r="O60" s="25"/>
      <c r="P60" s="25"/>
      <c r="Q60" s="25"/>
      <c r="R60" s="45"/>
      <c r="S60" s="46"/>
      <c r="T60" s="45" t="s">
        <v>160</v>
      </c>
      <c r="U60" s="25"/>
      <c r="V60" s="5"/>
      <c r="W60" s="134"/>
    </row>
    <row r="61" spans="1:23" ht="15.6" x14ac:dyDescent="0.3">
      <c r="A61" s="24"/>
      <c r="B61" s="25" t="s">
        <v>16</v>
      </c>
      <c r="C61" s="25"/>
      <c r="D61" s="25"/>
      <c r="E61" s="25"/>
      <c r="F61" s="25"/>
      <c r="G61" s="25"/>
      <c r="H61" s="25"/>
      <c r="I61" s="25"/>
      <c r="J61" s="25"/>
      <c r="K61" s="25"/>
      <c r="L61" s="25"/>
      <c r="M61" s="25"/>
      <c r="N61" s="25"/>
      <c r="O61" s="25"/>
      <c r="P61" s="25"/>
      <c r="Q61" s="25"/>
      <c r="R61" s="45"/>
      <c r="S61" s="46"/>
      <c r="T61" s="45">
        <v>40269</v>
      </c>
      <c r="U61" s="25"/>
      <c r="V61" s="5"/>
    </row>
    <row r="62" spans="1:23" ht="15.6" x14ac:dyDescent="0.3">
      <c r="A62" s="24"/>
      <c r="B62" s="25"/>
      <c r="C62" s="25"/>
      <c r="D62" s="25"/>
      <c r="E62" s="25"/>
      <c r="F62" s="25"/>
      <c r="G62" s="25"/>
      <c r="H62" s="25"/>
      <c r="I62" s="25"/>
      <c r="J62" s="25"/>
      <c r="K62" s="25"/>
      <c r="L62" s="25"/>
      <c r="M62" s="25"/>
      <c r="N62" s="25"/>
      <c r="O62" s="25"/>
      <c r="P62" s="25"/>
      <c r="Q62" s="25"/>
      <c r="R62" s="45"/>
      <c r="S62" s="46"/>
      <c r="T62" s="45"/>
      <c r="U62" s="25"/>
      <c r="V62" s="5"/>
    </row>
    <row r="63" spans="1:23" ht="15.6" x14ac:dyDescent="0.3">
      <c r="A63" s="6"/>
      <c r="B63" s="8"/>
      <c r="C63" s="8"/>
      <c r="D63" s="8"/>
      <c r="E63" s="8"/>
      <c r="F63" s="8"/>
      <c r="G63" s="8"/>
      <c r="H63" s="8"/>
      <c r="I63" s="8"/>
      <c r="J63" s="8"/>
      <c r="K63" s="8"/>
      <c r="L63" s="8"/>
      <c r="M63" s="8"/>
      <c r="N63" s="8"/>
      <c r="O63" s="8"/>
      <c r="P63" s="8"/>
      <c r="Q63" s="8"/>
      <c r="R63" s="47"/>
      <c r="S63" s="48"/>
      <c r="T63" s="47"/>
      <c r="U63" s="8"/>
      <c r="V63" s="5"/>
    </row>
    <row r="64" spans="1:23" ht="18" thickBot="1" x14ac:dyDescent="0.35">
      <c r="A64" s="101"/>
      <c r="B64" s="102" t="s">
        <v>292</v>
      </c>
      <c r="C64" s="103"/>
      <c r="D64" s="103"/>
      <c r="E64" s="103"/>
      <c r="F64" s="103"/>
      <c r="G64" s="103"/>
      <c r="H64" s="103"/>
      <c r="I64" s="103"/>
      <c r="J64" s="103"/>
      <c r="K64" s="103"/>
      <c r="L64" s="103"/>
      <c r="M64" s="103"/>
      <c r="N64" s="103"/>
      <c r="O64" s="103"/>
      <c r="P64" s="103"/>
      <c r="Q64" s="103"/>
      <c r="R64" s="103"/>
      <c r="S64" s="103"/>
      <c r="T64" s="104"/>
      <c r="U64" s="105"/>
      <c r="V64" s="5"/>
    </row>
    <row r="65" spans="1:22" ht="15.6" x14ac:dyDescent="0.3">
      <c r="A65" s="2"/>
      <c r="B65" s="4"/>
      <c r="C65" s="4"/>
      <c r="D65" s="4"/>
      <c r="E65" s="4"/>
      <c r="F65" s="4"/>
      <c r="G65" s="4"/>
      <c r="H65" s="4"/>
      <c r="I65" s="4"/>
      <c r="J65" s="4"/>
      <c r="K65" s="4"/>
      <c r="L65" s="4"/>
      <c r="M65" s="4"/>
      <c r="N65" s="4"/>
      <c r="O65" s="4"/>
      <c r="P65" s="4"/>
      <c r="Q65" s="4"/>
      <c r="R65" s="4"/>
      <c r="S65" s="4"/>
      <c r="T65" s="50"/>
      <c r="U65" s="4"/>
      <c r="V65" s="5"/>
    </row>
    <row r="66" spans="1:22" ht="15.6" x14ac:dyDescent="0.3">
      <c r="A66" s="6"/>
      <c r="B66" s="51" t="s">
        <v>17</v>
      </c>
      <c r="C66" s="8"/>
      <c r="D66" s="8"/>
      <c r="E66" s="8"/>
      <c r="F66" s="8"/>
      <c r="G66" s="8"/>
      <c r="H66" s="8"/>
      <c r="I66" s="8"/>
      <c r="J66" s="8"/>
      <c r="K66" s="8"/>
      <c r="L66" s="8"/>
      <c r="M66" s="8"/>
      <c r="N66" s="8"/>
      <c r="O66" s="8"/>
      <c r="P66" s="8"/>
      <c r="Q66" s="8"/>
      <c r="R66" s="8"/>
      <c r="S66" s="8"/>
      <c r="T66" s="52"/>
      <c r="U66" s="8"/>
      <c r="V66" s="5"/>
    </row>
    <row r="67" spans="1:22" ht="15.6" x14ac:dyDescent="0.3">
      <c r="A67" s="6"/>
      <c r="B67" s="13"/>
      <c r="C67" s="8"/>
      <c r="D67" s="8"/>
      <c r="E67" s="8"/>
      <c r="F67" s="8"/>
      <c r="G67" s="8"/>
      <c r="H67" s="8"/>
      <c r="I67" s="8"/>
      <c r="J67" s="8"/>
      <c r="K67" s="8"/>
      <c r="L67" s="8"/>
      <c r="M67" s="8"/>
      <c r="N67" s="8"/>
      <c r="O67" s="8"/>
      <c r="P67" s="8"/>
      <c r="Q67" s="8"/>
      <c r="R67" s="8"/>
      <c r="S67" s="8"/>
      <c r="T67" s="52"/>
      <c r="U67" s="8"/>
      <c r="V67" s="5"/>
    </row>
    <row r="68" spans="1:22" ht="46.8" x14ac:dyDescent="0.3">
      <c r="A68" s="6"/>
      <c r="B68" s="114" t="s">
        <v>18</v>
      </c>
      <c r="C68" s="115"/>
      <c r="D68" s="115"/>
      <c r="E68" s="115"/>
      <c r="F68" s="115"/>
      <c r="G68" s="115"/>
      <c r="H68" s="115"/>
      <c r="I68" s="115"/>
      <c r="J68" s="115" t="s">
        <v>97</v>
      </c>
      <c r="K68" s="115"/>
      <c r="L68" s="115" t="s">
        <v>99</v>
      </c>
      <c r="M68" s="115"/>
      <c r="N68" s="115" t="s">
        <v>101</v>
      </c>
      <c r="O68" s="115"/>
      <c r="P68" s="115" t="s">
        <v>103</v>
      </c>
      <c r="Q68" s="115"/>
      <c r="R68" s="115" t="s">
        <v>110</v>
      </c>
      <c r="S68" s="115"/>
      <c r="T68" s="116" t="s">
        <v>118</v>
      </c>
      <c r="U68" s="117"/>
      <c r="V68" s="5"/>
    </row>
    <row r="69" spans="1:22" ht="15.6" x14ac:dyDescent="0.3">
      <c r="A69" s="24"/>
      <c r="B69" s="25" t="s">
        <v>19</v>
      </c>
      <c r="C69" s="34"/>
      <c r="D69" s="34"/>
      <c r="E69" s="34"/>
      <c r="F69" s="34"/>
      <c r="G69" s="34"/>
      <c r="H69" s="34"/>
      <c r="I69" s="34"/>
      <c r="J69" s="34">
        <v>1000039</v>
      </c>
      <c r="K69" s="34"/>
      <c r="L69" s="53">
        <v>605141</v>
      </c>
      <c r="M69" s="34"/>
      <c r="N69" s="34">
        <f>3739+134+39-1</f>
        <v>3911</v>
      </c>
      <c r="O69" s="34"/>
      <c r="P69" s="34">
        <f>134+39</f>
        <v>173</v>
      </c>
      <c r="Q69" s="34"/>
      <c r="R69" s="34">
        <v>0</v>
      </c>
      <c r="S69" s="34"/>
      <c r="T69" s="53">
        <f>+L69-N69+P69-R69</f>
        <v>601403</v>
      </c>
      <c r="U69" s="25"/>
      <c r="V69" s="5"/>
    </row>
    <row r="70" spans="1:22" ht="15.6" x14ac:dyDescent="0.3">
      <c r="A70" s="24"/>
      <c r="B70" s="25" t="s">
        <v>20</v>
      </c>
      <c r="C70" s="34"/>
      <c r="D70" s="34"/>
      <c r="E70" s="34"/>
      <c r="F70" s="34"/>
      <c r="G70" s="34"/>
      <c r="H70" s="34"/>
      <c r="I70" s="34"/>
      <c r="J70" s="34">
        <v>10</v>
      </c>
      <c r="K70" s="34"/>
      <c r="L70" s="53">
        <v>0</v>
      </c>
      <c r="M70" s="34"/>
      <c r="N70" s="34">
        <v>0</v>
      </c>
      <c r="O70" s="34"/>
      <c r="P70" s="34">
        <v>0</v>
      </c>
      <c r="Q70" s="34"/>
      <c r="R70" s="34">
        <v>0</v>
      </c>
      <c r="S70" s="34"/>
      <c r="T70" s="53">
        <v>0</v>
      </c>
      <c r="U70" s="25"/>
      <c r="V70" s="5"/>
    </row>
    <row r="71" spans="1:22" ht="15.6" x14ac:dyDescent="0.3">
      <c r="A71" s="24"/>
      <c r="B71" s="25"/>
      <c r="C71" s="34"/>
      <c r="D71" s="34"/>
      <c r="E71" s="34"/>
      <c r="F71" s="34"/>
      <c r="G71" s="34"/>
      <c r="H71" s="34"/>
      <c r="I71" s="34"/>
      <c r="J71" s="34"/>
      <c r="K71" s="34"/>
      <c r="L71" s="53"/>
      <c r="M71" s="34"/>
      <c r="N71" s="34"/>
      <c r="O71" s="34"/>
      <c r="P71" s="34"/>
      <c r="Q71" s="34"/>
      <c r="R71" s="34"/>
      <c r="S71" s="34"/>
      <c r="T71" s="53"/>
      <c r="U71" s="25"/>
      <c r="V71" s="5"/>
    </row>
    <row r="72" spans="1:22" ht="15.6" x14ac:dyDescent="0.3">
      <c r="A72" s="24"/>
      <c r="B72" s="25" t="s">
        <v>21</v>
      </c>
      <c r="C72" s="34"/>
      <c r="D72" s="34"/>
      <c r="E72" s="34"/>
      <c r="F72" s="34"/>
      <c r="G72" s="34"/>
      <c r="H72" s="34"/>
      <c r="I72" s="34"/>
      <c r="J72" s="34">
        <f>SUM(J69:J71)</f>
        <v>1000049</v>
      </c>
      <c r="K72" s="34"/>
      <c r="L72" s="54">
        <f>L69+L70</f>
        <v>605141</v>
      </c>
      <c r="M72" s="34"/>
      <c r="N72" s="34">
        <f>SUM(N69:N71)</f>
        <v>3911</v>
      </c>
      <c r="O72" s="34"/>
      <c r="P72" s="34">
        <f>SUM(P69:P71)</f>
        <v>173</v>
      </c>
      <c r="Q72" s="34"/>
      <c r="R72" s="34">
        <f>SUM(R69:R71)</f>
        <v>0</v>
      </c>
      <c r="S72" s="34"/>
      <c r="T72" s="54">
        <f>SUM(T69:T71)</f>
        <v>601403</v>
      </c>
      <c r="U72" s="25"/>
      <c r="V72" s="5"/>
    </row>
    <row r="73" spans="1:22" ht="15.6" x14ac:dyDescent="0.3">
      <c r="A73" s="24"/>
      <c r="B73" s="25"/>
      <c r="C73" s="34"/>
      <c r="D73" s="34"/>
      <c r="E73" s="34"/>
      <c r="F73" s="34"/>
      <c r="G73" s="34"/>
      <c r="H73" s="34"/>
      <c r="I73" s="34"/>
      <c r="J73" s="34"/>
      <c r="K73" s="34"/>
      <c r="L73" s="34"/>
      <c r="M73" s="34"/>
      <c r="N73" s="34"/>
      <c r="O73" s="34"/>
      <c r="P73" s="34"/>
      <c r="Q73" s="34"/>
      <c r="R73" s="34"/>
      <c r="S73" s="34"/>
      <c r="T73" s="54"/>
      <c r="U73" s="25"/>
      <c r="V73" s="5"/>
    </row>
    <row r="74" spans="1:22" ht="15.6" x14ac:dyDescent="0.3">
      <c r="A74" s="6"/>
      <c r="B74" s="111" t="s">
        <v>22</v>
      </c>
      <c r="C74" s="55"/>
      <c r="D74" s="55"/>
      <c r="E74" s="55"/>
      <c r="F74" s="55"/>
      <c r="G74" s="55"/>
      <c r="H74" s="55"/>
      <c r="I74" s="55"/>
      <c r="J74" s="55"/>
      <c r="K74" s="55"/>
      <c r="L74" s="55"/>
      <c r="M74" s="55"/>
      <c r="N74" s="55"/>
      <c r="O74" s="55"/>
      <c r="P74" s="55"/>
      <c r="Q74" s="55"/>
      <c r="R74" s="55"/>
      <c r="S74" s="55"/>
      <c r="T74" s="56"/>
      <c r="U74" s="8"/>
      <c r="V74" s="5"/>
    </row>
    <row r="75" spans="1:22" ht="15.6" x14ac:dyDescent="0.3">
      <c r="A75" s="6"/>
      <c r="B75" s="8"/>
      <c r="C75" s="55"/>
      <c r="D75" s="55"/>
      <c r="E75" s="55"/>
      <c r="F75" s="55"/>
      <c r="G75" s="55"/>
      <c r="H75" s="55"/>
      <c r="I75" s="55"/>
      <c r="J75" s="55"/>
      <c r="K75" s="55"/>
      <c r="L75" s="55"/>
      <c r="M75" s="55"/>
      <c r="N75" s="55"/>
      <c r="O75" s="55"/>
      <c r="P75" s="55"/>
      <c r="Q75" s="55"/>
      <c r="R75" s="55"/>
      <c r="S75" s="55"/>
      <c r="T75" s="56"/>
      <c r="U75" s="8"/>
      <c r="V75" s="5"/>
    </row>
    <row r="76" spans="1:22" ht="15.6" x14ac:dyDescent="0.3">
      <c r="A76" s="24"/>
      <c r="B76" s="25" t="s">
        <v>19</v>
      </c>
      <c r="C76" s="34"/>
      <c r="D76" s="34"/>
      <c r="E76" s="34"/>
      <c r="F76" s="34"/>
      <c r="G76" s="34"/>
      <c r="H76" s="34"/>
      <c r="I76" s="34"/>
      <c r="J76" s="34"/>
      <c r="K76" s="34"/>
      <c r="L76" s="34"/>
      <c r="M76" s="34"/>
      <c r="N76" s="34"/>
      <c r="O76" s="34"/>
      <c r="P76" s="34"/>
      <c r="Q76" s="34"/>
      <c r="R76" s="34"/>
      <c r="S76" s="34"/>
      <c r="T76" s="54"/>
      <c r="U76" s="25"/>
      <c r="V76" s="5"/>
    </row>
    <row r="77" spans="1:22" ht="15.6" x14ac:dyDescent="0.3">
      <c r="A77" s="24"/>
      <c r="B77" s="25" t="s">
        <v>20</v>
      </c>
      <c r="C77" s="34"/>
      <c r="D77" s="34"/>
      <c r="E77" s="34"/>
      <c r="F77" s="34"/>
      <c r="G77" s="34"/>
      <c r="H77" s="34"/>
      <c r="I77" s="34"/>
      <c r="J77" s="34"/>
      <c r="K77" s="34"/>
      <c r="L77" s="34"/>
      <c r="M77" s="34"/>
      <c r="N77" s="34"/>
      <c r="O77" s="34"/>
      <c r="P77" s="34"/>
      <c r="Q77" s="34"/>
      <c r="R77" s="34"/>
      <c r="S77" s="34"/>
      <c r="T77" s="54"/>
      <c r="U77" s="25"/>
      <c r="V77" s="5"/>
    </row>
    <row r="78" spans="1:22" ht="15.6" x14ac:dyDescent="0.3">
      <c r="A78" s="24"/>
      <c r="B78" s="25"/>
      <c r="C78" s="34"/>
      <c r="D78" s="34"/>
      <c r="E78" s="34"/>
      <c r="F78" s="34"/>
      <c r="G78" s="34"/>
      <c r="H78" s="34"/>
      <c r="I78" s="34"/>
      <c r="J78" s="34"/>
      <c r="K78" s="34"/>
      <c r="L78" s="34"/>
      <c r="M78" s="34"/>
      <c r="N78" s="34"/>
      <c r="O78" s="34"/>
      <c r="P78" s="34"/>
      <c r="Q78" s="34"/>
      <c r="R78" s="34"/>
      <c r="S78" s="34"/>
      <c r="T78" s="54"/>
      <c r="U78" s="25"/>
      <c r="V78" s="5"/>
    </row>
    <row r="79" spans="1:22" ht="15.6" x14ac:dyDescent="0.3">
      <c r="A79" s="24"/>
      <c r="B79" s="25" t="s">
        <v>21</v>
      </c>
      <c r="C79" s="34"/>
      <c r="D79" s="34"/>
      <c r="E79" s="34"/>
      <c r="F79" s="34"/>
      <c r="G79" s="34"/>
      <c r="H79" s="34"/>
      <c r="I79" s="34"/>
      <c r="J79" s="34"/>
      <c r="K79" s="34"/>
      <c r="L79" s="34"/>
      <c r="M79" s="34"/>
      <c r="N79" s="34"/>
      <c r="O79" s="34"/>
      <c r="P79" s="34"/>
      <c r="Q79" s="34"/>
      <c r="R79" s="34"/>
      <c r="S79" s="34"/>
      <c r="T79" s="34"/>
      <c r="U79" s="25"/>
      <c r="V79" s="5"/>
    </row>
    <row r="80" spans="1:22" ht="15.6" x14ac:dyDescent="0.3">
      <c r="A80" s="24"/>
      <c r="B80" s="25"/>
      <c r="C80" s="34"/>
      <c r="D80" s="34"/>
      <c r="E80" s="34"/>
      <c r="F80" s="34"/>
      <c r="G80" s="34"/>
      <c r="H80" s="34"/>
      <c r="I80" s="34"/>
      <c r="J80" s="34"/>
      <c r="K80" s="34"/>
      <c r="L80" s="34"/>
      <c r="M80" s="34"/>
      <c r="N80" s="34"/>
      <c r="O80" s="34"/>
      <c r="P80" s="34"/>
      <c r="Q80" s="34"/>
      <c r="R80" s="34"/>
      <c r="S80" s="34"/>
      <c r="T80" s="34"/>
      <c r="U80" s="25"/>
      <c r="V80" s="5"/>
    </row>
    <row r="81" spans="1:22" ht="15.6" x14ac:dyDescent="0.3">
      <c r="A81" s="24"/>
      <c r="B81" s="25" t="s">
        <v>23</v>
      </c>
      <c r="C81" s="34"/>
      <c r="D81" s="34"/>
      <c r="E81" s="34"/>
      <c r="F81" s="34"/>
      <c r="G81" s="34"/>
      <c r="H81" s="34"/>
      <c r="I81" s="34"/>
      <c r="J81" s="34">
        <v>0</v>
      </c>
      <c r="K81" s="34"/>
      <c r="L81" s="34">
        <v>0</v>
      </c>
      <c r="M81" s="34"/>
      <c r="N81" s="34"/>
      <c r="O81" s="34"/>
      <c r="P81" s="34"/>
      <c r="Q81" s="34"/>
      <c r="R81" s="34"/>
      <c r="S81" s="34"/>
      <c r="T81" s="53">
        <v>0</v>
      </c>
      <c r="U81" s="25"/>
      <c r="V81" s="5"/>
    </row>
    <row r="82" spans="1:22" ht="15.6" x14ac:dyDescent="0.3">
      <c r="A82" s="24"/>
      <c r="B82" s="25" t="s">
        <v>123</v>
      </c>
      <c r="C82" s="34"/>
      <c r="D82" s="34"/>
      <c r="E82" s="34"/>
      <c r="F82" s="34"/>
      <c r="G82" s="34"/>
      <c r="H82" s="34"/>
      <c r="I82" s="34"/>
      <c r="J82" s="34">
        <v>0</v>
      </c>
      <c r="K82" s="34"/>
      <c r="L82" s="34">
        <v>0</v>
      </c>
      <c r="M82" s="34"/>
      <c r="N82" s="34"/>
      <c r="O82" s="34"/>
      <c r="P82" s="34"/>
      <c r="Q82" s="34"/>
      <c r="R82" s="34"/>
      <c r="S82" s="34"/>
      <c r="T82" s="54">
        <f>SUM(J82:P82)</f>
        <v>0</v>
      </c>
      <c r="U82" s="25"/>
      <c r="V82" s="5"/>
    </row>
    <row r="83" spans="1:22" ht="15.6" x14ac:dyDescent="0.3">
      <c r="A83" s="24"/>
      <c r="B83" s="25" t="s">
        <v>152</v>
      </c>
      <c r="C83" s="34"/>
      <c r="D83" s="34"/>
      <c r="E83" s="34"/>
      <c r="F83" s="34"/>
      <c r="G83" s="34"/>
      <c r="H83" s="34"/>
      <c r="I83" s="34"/>
      <c r="J83" s="34">
        <v>1</v>
      </c>
      <c r="K83" s="34"/>
      <c r="L83" s="34">
        <v>0</v>
      </c>
      <c r="M83" s="34"/>
      <c r="N83" s="34">
        <v>0</v>
      </c>
      <c r="O83" s="34"/>
      <c r="P83" s="34"/>
      <c r="Q83" s="34"/>
      <c r="R83" s="34"/>
      <c r="S83" s="34"/>
      <c r="T83" s="54">
        <f>+L83+N83</f>
        <v>0</v>
      </c>
      <c r="U83" s="25"/>
      <c r="V83" s="5"/>
    </row>
    <row r="84" spans="1:22" ht="15.6" x14ac:dyDescent="0.3">
      <c r="A84" s="24"/>
      <c r="B84" s="25" t="s">
        <v>25</v>
      </c>
      <c r="C84" s="34"/>
      <c r="D84" s="34"/>
      <c r="E84" s="34"/>
      <c r="F84" s="34"/>
      <c r="G84" s="34"/>
      <c r="H84" s="34"/>
      <c r="I84" s="34"/>
      <c r="J84" s="34">
        <v>0</v>
      </c>
      <c r="K84" s="34"/>
      <c r="L84" s="34">
        <v>0</v>
      </c>
      <c r="M84" s="34"/>
      <c r="N84" s="34"/>
      <c r="O84" s="34"/>
      <c r="P84" s="34"/>
      <c r="Q84" s="34"/>
      <c r="R84" s="34"/>
      <c r="S84" s="34"/>
      <c r="T84" s="54">
        <v>0</v>
      </c>
      <c r="U84" s="25"/>
      <c r="V84" s="5"/>
    </row>
    <row r="85" spans="1:22" ht="15.6" x14ac:dyDescent="0.3">
      <c r="A85" s="24"/>
      <c r="B85" s="25" t="s">
        <v>26</v>
      </c>
      <c r="C85" s="34"/>
      <c r="D85" s="34"/>
      <c r="E85" s="34"/>
      <c r="F85" s="54"/>
      <c r="G85" s="34"/>
      <c r="H85" s="54"/>
      <c r="I85" s="54"/>
      <c r="J85" s="54">
        <f>SUM(J72:J84)</f>
        <v>1000050</v>
      </c>
      <c r="K85" s="34"/>
      <c r="L85" s="54">
        <f>SUM(L72:L84)</f>
        <v>605141</v>
      </c>
      <c r="M85" s="34"/>
      <c r="N85" s="34"/>
      <c r="O85" s="34"/>
      <c r="P85" s="34"/>
      <c r="Q85" s="34"/>
      <c r="R85" s="54"/>
      <c r="S85" s="34"/>
      <c r="T85" s="54">
        <f>SUM(T72:T84)</f>
        <v>601403</v>
      </c>
      <c r="U85" s="25"/>
      <c r="V85" s="5"/>
    </row>
    <row r="86" spans="1:22" ht="15.6" x14ac:dyDescent="0.3">
      <c r="A86" s="24"/>
      <c r="B86" s="25"/>
      <c r="C86" s="34"/>
      <c r="D86" s="34"/>
      <c r="E86" s="34"/>
      <c r="F86" s="34"/>
      <c r="G86" s="34"/>
      <c r="H86" s="34"/>
      <c r="I86" s="34"/>
      <c r="J86" s="34"/>
      <c r="K86" s="34"/>
      <c r="L86" s="34"/>
      <c r="M86" s="34"/>
      <c r="N86" s="34"/>
      <c r="O86" s="34"/>
      <c r="P86" s="34"/>
      <c r="Q86" s="34"/>
      <c r="R86" s="34"/>
      <c r="S86" s="34"/>
      <c r="T86" s="54"/>
      <c r="U86" s="25"/>
      <c r="V86" s="5"/>
    </row>
    <row r="87" spans="1:22" ht="15.6" x14ac:dyDescent="0.3">
      <c r="A87" s="6"/>
      <c r="B87" s="8"/>
      <c r="C87" s="8"/>
      <c r="D87" s="8"/>
      <c r="E87" s="8"/>
      <c r="F87" s="8"/>
      <c r="G87" s="8"/>
      <c r="H87" s="8"/>
      <c r="I87" s="8"/>
      <c r="J87" s="8"/>
      <c r="K87" s="8"/>
      <c r="L87" s="8"/>
      <c r="M87" s="8"/>
      <c r="N87" s="8"/>
      <c r="O87" s="8"/>
      <c r="P87" s="8"/>
      <c r="Q87" s="8"/>
      <c r="R87" s="8"/>
      <c r="S87" s="8"/>
      <c r="T87" s="8"/>
      <c r="U87" s="8"/>
      <c r="V87" s="5"/>
    </row>
    <row r="88" spans="1:22" ht="15.6" x14ac:dyDescent="0.3">
      <c r="A88" s="6"/>
      <c r="B88" s="51" t="s">
        <v>27</v>
      </c>
      <c r="C88" s="14"/>
      <c r="D88" s="14"/>
      <c r="E88" s="14"/>
      <c r="F88" s="14"/>
      <c r="G88" s="14"/>
      <c r="H88" s="17"/>
      <c r="I88" s="17"/>
      <c r="J88" s="159" t="s">
        <v>98</v>
      </c>
      <c r="K88" s="17"/>
      <c r="L88" s="158">
        <f>+R194</f>
        <v>40268</v>
      </c>
      <c r="M88" s="17"/>
      <c r="N88" s="17"/>
      <c r="O88" s="17"/>
      <c r="P88" s="17"/>
      <c r="Q88" s="17"/>
      <c r="R88" s="17" t="s">
        <v>111</v>
      </c>
      <c r="S88" s="17"/>
      <c r="T88" s="17" t="s">
        <v>119</v>
      </c>
      <c r="U88" s="8"/>
      <c r="V88" s="5"/>
    </row>
    <row r="89" spans="1:22" ht="15.6" x14ac:dyDescent="0.3">
      <c r="A89" s="24"/>
      <c r="B89" s="25" t="s">
        <v>28</v>
      </c>
      <c r="C89" s="25"/>
      <c r="D89" s="25"/>
      <c r="E89" s="25"/>
      <c r="F89" s="25"/>
      <c r="G89" s="25"/>
      <c r="H89" s="25"/>
      <c r="I89" s="25"/>
      <c r="J89" s="25"/>
      <c r="K89" s="25"/>
      <c r="L89" s="25"/>
      <c r="M89" s="25"/>
      <c r="N89" s="25"/>
      <c r="O89" s="25"/>
      <c r="P89" s="25"/>
      <c r="Q89" s="25"/>
      <c r="R89" s="34">
        <v>0</v>
      </c>
      <c r="S89" s="25"/>
      <c r="T89" s="53">
        <v>0</v>
      </c>
      <c r="U89" s="25"/>
      <c r="V89" s="5"/>
    </row>
    <row r="90" spans="1:22" ht="15.6" x14ac:dyDescent="0.3">
      <c r="A90" s="24"/>
      <c r="B90" s="25" t="s">
        <v>29</v>
      </c>
      <c r="C90" s="25"/>
      <c r="D90" s="25"/>
      <c r="E90" s="25"/>
      <c r="F90" s="25"/>
      <c r="G90" s="25"/>
      <c r="H90" s="40"/>
      <c r="I90" s="57"/>
      <c r="J90" s="40"/>
      <c r="K90" s="25"/>
      <c r="L90" s="127"/>
      <c r="M90" s="25"/>
      <c r="N90" s="25"/>
      <c r="O90" s="25"/>
      <c r="P90" s="25"/>
      <c r="Q90" s="25"/>
      <c r="R90" s="34">
        <f>3911-561</f>
        <v>3350</v>
      </c>
      <c r="S90" s="25"/>
      <c r="T90" s="53"/>
      <c r="U90" s="25"/>
      <c r="V90" s="5"/>
    </row>
    <row r="91" spans="1:22" ht="15.6" x14ac:dyDescent="0.3">
      <c r="A91" s="24"/>
      <c r="B91" s="25" t="s">
        <v>225</v>
      </c>
      <c r="C91" s="25"/>
      <c r="D91" s="25"/>
      <c r="E91" s="25"/>
      <c r="F91" s="25"/>
      <c r="G91" s="25"/>
      <c r="H91" s="40"/>
      <c r="I91" s="57"/>
      <c r="J91" s="40"/>
      <c r="K91" s="25"/>
      <c r="L91" s="127"/>
      <c r="M91" s="25"/>
      <c r="N91" s="25"/>
      <c r="O91" s="25"/>
      <c r="P91" s="25"/>
      <c r="Q91" s="25"/>
      <c r="R91" s="34"/>
      <c r="S91" s="25"/>
      <c r="T91" s="53">
        <f>2744+2809-430-244+34+1</f>
        <v>4914</v>
      </c>
      <c r="U91" s="25"/>
      <c r="V91" s="5"/>
    </row>
    <row r="92" spans="1:22" ht="15.6" x14ac:dyDescent="0.3">
      <c r="A92" s="24"/>
      <c r="B92" s="25" t="s">
        <v>220</v>
      </c>
      <c r="C92" s="25"/>
      <c r="D92" s="25"/>
      <c r="E92" s="25"/>
      <c r="F92" s="25"/>
      <c r="G92" s="25"/>
      <c r="H92" s="40"/>
      <c r="I92" s="57"/>
      <c r="J92" s="40"/>
      <c r="K92" s="25"/>
      <c r="L92" s="127"/>
      <c r="M92" s="25"/>
      <c r="N92" s="25"/>
      <c r="O92" s="25"/>
      <c r="P92" s="25"/>
      <c r="Q92" s="25"/>
      <c r="R92" s="34"/>
      <c r="S92" s="25"/>
      <c r="T92" s="53">
        <f>47+143</f>
        <v>190</v>
      </c>
      <c r="U92" s="25"/>
      <c r="V92" s="5"/>
    </row>
    <row r="93" spans="1:22" ht="15.6" x14ac:dyDescent="0.3">
      <c r="A93" s="24"/>
      <c r="B93" s="25" t="s">
        <v>221</v>
      </c>
      <c r="C93" s="25"/>
      <c r="D93" s="25"/>
      <c r="E93" s="25"/>
      <c r="F93" s="25"/>
      <c r="G93" s="25"/>
      <c r="H93" s="40"/>
      <c r="I93" s="57"/>
      <c r="J93" s="40"/>
      <c r="K93" s="25"/>
      <c r="L93" s="127"/>
      <c r="M93" s="25"/>
      <c r="N93" s="25"/>
      <c r="O93" s="25"/>
      <c r="P93" s="25"/>
      <c r="Q93" s="25"/>
      <c r="R93" s="34"/>
      <c r="S93" s="25"/>
      <c r="T93" s="53">
        <v>30</v>
      </c>
      <c r="U93" s="25"/>
      <c r="V93" s="5"/>
    </row>
    <row r="94" spans="1:22" ht="15.6" x14ac:dyDescent="0.3">
      <c r="A94" s="24"/>
      <c r="B94" s="25" t="s">
        <v>261</v>
      </c>
      <c r="C94" s="25"/>
      <c r="D94" s="25"/>
      <c r="E94" s="25"/>
      <c r="F94" s="25"/>
      <c r="G94" s="25"/>
      <c r="H94" s="40"/>
      <c r="I94" s="57"/>
      <c r="J94" s="40"/>
      <c r="K94" s="25"/>
      <c r="L94" s="127"/>
      <c r="M94" s="25"/>
      <c r="N94" s="25"/>
      <c r="O94" s="25"/>
      <c r="P94" s="25"/>
      <c r="Q94" s="25"/>
      <c r="R94" s="34"/>
      <c r="S94" s="25"/>
      <c r="T94" s="53">
        <v>0</v>
      </c>
      <c r="U94" s="25"/>
      <c r="V94" s="5"/>
    </row>
    <row r="95" spans="1:22" ht="15.6" x14ac:dyDescent="0.3">
      <c r="A95" s="24"/>
      <c r="B95" s="25" t="s">
        <v>141</v>
      </c>
      <c r="C95" s="25"/>
      <c r="D95" s="25"/>
      <c r="E95" s="25"/>
      <c r="F95" s="25"/>
      <c r="G95" s="25"/>
      <c r="H95" s="25"/>
      <c r="I95" s="25"/>
      <c r="J95" s="25"/>
      <c r="K95" s="25"/>
      <c r="L95" s="25"/>
      <c r="M95" s="25"/>
      <c r="N95" s="25"/>
      <c r="O95" s="25"/>
      <c r="P95" s="25"/>
      <c r="Q95" s="25"/>
      <c r="R95" s="34"/>
      <c r="S95" s="25"/>
      <c r="T95" s="53">
        <v>0</v>
      </c>
      <c r="U95" s="25"/>
      <c r="V95" s="5"/>
    </row>
    <row r="96" spans="1:22" ht="15.6" x14ac:dyDescent="0.3">
      <c r="A96" s="24"/>
      <c r="B96" s="25" t="s">
        <v>250</v>
      </c>
      <c r="C96" s="25"/>
      <c r="D96" s="25"/>
      <c r="E96" s="25"/>
      <c r="F96" s="25"/>
      <c r="G96" s="25"/>
      <c r="H96" s="25"/>
      <c r="I96" s="25"/>
      <c r="J96" s="25"/>
      <c r="K96" s="25"/>
      <c r="L96" s="25"/>
      <c r="M96" s="25"/>
      <c r="N96" s="25"/>
      <c r="O96" s="25"/>
      <c r="P96" s="25"/>
      <c r="Q96" s="25"/>
      <c r="R96" s="34"/>
      <c r="S96" s="25"/>
      <c r="T96" s="53">
        <v>0</v>
      </c>
      <c r="U96" s="25"/>
      <c r="V96" s="5"/>
    </row>
    <row r="97" spans="1:24" ht="15.6" x14ac:dyDescent="0.3">
      <c r="A97" s="24"/>
      <c r="B97" s="25" t="s">
        <v>30</v>
      </c>
      <c r="C97" s="25"/>
      <c r="D97" s="25"/>
      <c r="E97" s="25"/>
      <c r="F97" s="25"/>
      <c r="G97" s="25"/>
      <c r="H97" s="25"/>
      <c r="I97" s="25"/>
      <c r="J97" s="25"/>
      <c r="K97" s="25"/>
      <c r="L97" s="25"/>
      <c r="M97" s="25"/>
      <c r="N97" s="25"/>
      <c r="O97" s="25"/>
      <c r="P97" s="25"/>
      <c r="Q97" s="25"/>
      <c r="R97" s="34">
        <f>SUM(R89:R96)</f>
        <v>3350</v>
      </c>
      <c r="S97" s="25"/>
      <c r="T97" s="54">
        <f>SUM(T89:T96)</f>
        <v>5134</v>
      </c>
      <c r="U97" s="25"/>
      <c r="V97" s="5"/>
    </row>
    <row r="98" spans="1:24" ht="15.6" x14ac:dyDescent="0.3">
      <c r="A98" s="24"/>
      <c r="B98" s="25" t="s">
        <v>168</v>
      </c>
      <c r="C98" s="25"/>
      <c r="D98" s="25"/>
      <c r="E98" s="25"/>
      <c r="F98" s="25"/>
      <c r="G98" s="25"/>
      <c r="H98" s="25"/>
      <c r="I98" s="25"/>
      <c r="J98" s="25"/>
      <c r="K98" s="25"/>
      <c r="L98" s="25"/>
      <c r="M98" s="25"/>
      <c r="N98" s="25"/>
      <c r="O98" s="25"/>
      <c r="P98" s="25"/>
      <c r="Q98" s="25"/>
      <c r="R98" s="34">
        <v>-29</v>
      </c>
      <c r="S98" s="25"/>
      <c r="T98" s="54">
        <f>-R98</f>
        <v>29</v>
      </c>
      <c r="U98" s="25"/>
      <c r="V98" s="5"/>
    </row>
    <row r="99" spans="1:24" ht="15.6" x14ac:dyDescent="0.3">
      <c r="A99" s="24"/>
      <c r="B99" s="25" t="s">
        <v>31</v>
      </c>
      <c r="C99" s="25"/>
      <c r="D99" s="25"/>
      <c r="E99" s="25"/>
      <c r="F99" s="25"/>
      <c r="G99" s="25"/>
      <c r="H99" s="25"/>
      <c r="I99" s="25"/>
      <c r="J99" s="25"/>
      <c r="K99" s="25"/>
      <c r="L99" s="25"/>
      <c r="M99" s="25"/>
      <c r="N99" s="25"/>
      <c r="O99" s="25"/>
      <c r="P99" s="25"/>
      <c r="Q99" s="25"/>
      <c r="R99" s="34">
        <f>-T99</f>
        <v>0</v>
      </c>
      <c r="S99" s="25"/>
      <c r="T99" s="53">
        <v>0</v>
      </c>
      <c r="U99" s="25"/>
      <c r="V99" s="5"/>
    </row>
    <row r="100" spans="1:24" ht="15.6" x14ac:dyDescent="0.3">
      <c r="A100" s="24"/>
      <c r="B100" s="25" t="s">
        <v>273</v>
      </c>
      <c r="C100" s="25"/>
      <c r="D100" s="25"/>
      <c r="E100" s="25"/>
      <c r="F100" s="25"/>
      <c r="G100" s="25"/>
      <c r="H100" s="25"/>
      <c r="I100" s="25"/>
      <c r="J100" s="25"/>
      <c r="K100" s="25"/>
      <c r="L100" s="25"/>
      <c r="M100" s="25"/>
      <c r="N100" s="25"/>
      <c r="O100" s="25"/>
      <c r="P100" s="25"/>
      <c r="Q100" s="25"/>
      <c r="R100" s="34"/>
      <c r="S100" s="25"/>
      <c r="T100" s="53">
        <v>176</v>
      </c>
      <c r="U100" s="25"/>
      <c r="V100" s="5"/>
    </row>
    <row r="101" spans="1:24" ht="15.6" x14ac:dyDescent="0.3">
      <c r="A101" s="24"/>
      <c r="B101" s="25" t="s">
        <v>32</v>
      </c>
      <c r="C101" s="25"/>
      <c r="D101" s="25"/>
      <c r="E101" s="25"/>
      <c r="F101" s="25"/>
      <c r="G101" s="25"/>
      <c r="H101" s="25"/>
      <c r="I101" s="25"/>
      <c r="J101" s="25"/>
      <c r="K101" s="25"/>
      <c r="L101" s="25"/>
      <c r="M101" s="25"/>
      <c r="N101" s="25"/>
      <c r="O101" s="25"/>
      <c r="P101" s="25"/>
      <c r="Q101" s="25"/>
      <c r="R101" s="34">
        <f>R97+R99+R98</f>
        <v>3321</v>
      </c>
      <c r="S101" s="25"/>
      <c r="T101" s="54">
        <f>T97+T99+T98+T100</f>
        <v>5339</v>
      </c>
      <c r="U101" s="25"/>
      <c r="V101" s="5"/>
    </row>
    <row r="102" spans="1:24" ht="15.6" x14ac:dyDescent="0.3">
      <c r="A102" s="24"/>
      <c r="B102" s="118" t="s">
        <v>33</v>
      </c>
      <c r="C102" s="25"/>
      <c r="D102" s="25"/>
      <c r="E102" s="25"/>
      <c r="F102" s="25"/>
      <c r="G102" s="25"/>
      <c r="H102" s="25"/>
      <c r="I102" s="25"/>
      <c r="J102" s="25"/>
      <c r="K102" s="25"/>
      <c r="L102" s="25"/>
      <c r="M102" s="25"/>
      <c r="N102" s="25"/>
      <c r="O102" s="25"/>
      <c r="P102" s="25"/>
      <c r="Q102" s="25"/>
      <c r="R102" s="34"/>
      <c r="S102" s="25"/>
      <c r="T102" s="53"/>
      <c r="U102" s="25"/>
      <c r="V102" s="5"/>
    </row>
    <row r="103" spans="1:24" ht="15.6" x14ac:dyDescent="0.3">
      <c r="A103" s="24">
        <v>1</v>
      </c>
      <c r="B103" s="25" t="s">
        <v>34</v>
      </c>
      <c r="C103" s="25"/>
      <c r="D103" s="25"/>
      <c r="E103" s="25"/>
      <c r="F103" s="25"/>
      <c r="G103" s="25"/>
      <c r="H103" s="25"/>
      <c r="I103" s="25"/>
      <c r="J103" s="25"/>
      <c r="K103" s="25"/>
      <c r="L103" s="25"/>
      <c r="M103" s="25"/>
      <c r="N103" s="25"/>
      <c r="O103" s="25"/>
      <c r="P103" s="25"/>
      <c r="Q103" s="25"/>
      <c r="R103" s="25"/>
      <c r="S103" s="25"/>
      <c r="T103" s="53">
        <v>0</v>
      </c>
      <c r="U103" s="25"/>
      <c r="V103" s="5"/>
    </row>
    <row r="104" spans="1:24" ht="15.6" x14ac:dyDescent="0.3">
      <c r="A104" s="24">
        <f>+A103+1</f>
        <v>2</v>
      </c>
      <c r="B104" s="25" t="s">
        <v>255</v>
      </c>
      <c r="C104" s="25"/>
      <c r="D104" s="25"/>
      <c r="E104" s="25"/>
      <c r="F104" s="25"/>
      <c r="G104" s="25"/>
      <c r="H104" s="25"/>
      <c r="I104" s="25"/>
      <c r="J104" s="25"/>
      <c r="K104" s="25"/>
      <c r="L104" s="25"/>
      <c r="M104" s="25"/>
      <c r="N104" s="25"/>
      <c r="O104" s="25"/>
      <c r="P104" s="25"/>
      <c r="Q104" s="25"/>
      <c r="R104" s="25"/>
      <c r="S104" s="25"/>
      <c r="T104" s="53">
        <v>-2</v>
      </c>
      <c r="U104" s="25"/>
      <c r="V104" s="5"/>
    </row>
    <row r="105" spans="1:24" ht="15.6" x14ac:dyDescent="0.3">
      <c r="A105" s="24">
        <f>+A104+1</f>
        <v>3</v>
      </c>
      <c r="B105" s="25" t="s">
        <v>213</v>
      </c>
      <c r="C105" s="25"/>
      <c r="D105" s="25"/>
      <c r="E105" s="25"/>
      <c r="F105" s="25"/>
      <c r="G105" s="25"/>
      <c r="H105" s="25"/>
      <c r="I105" s="25"/>
      <c r="J105" s="25"/>
      <c r="K105" s="25"/>
      <c r="L105" s="25"/>
      <c r="M105" s="25"/>
      <c r="N105" s="25"/>
      <c r="O105" s="25"/>
      <c r="P105" s="25"/>
      <c r="Q105" s="25"/>
      <c r="R105" s="25"/>
      <c r="S105" s="25"/>
      <c r="T105" s="53">
        <f>-226-324-7</f>
        <v>-557</v>
      </c>
      <c r="U105" s="25"/>
      <c r="V105" s="5"/>
    </row>
    <row r="106" spans="1:24" ht="15.6" x14ac:dyDescent="0.3">
      <c r="A106" s="24" t="s">
        <v>133</v>
      </c>
      <c r="B106" s="25" t="s">
        <v>122</v>
      </c>
      <c r="C106" s="25"/>
      <c r="D106" s="25"/>
      <c r="E106" s="25"/>
      <c r="F106" s="25"/>
      <c r="G106" s="25"/>
      <c r="H106" s="25"/>
      <c r="I106" s="25"/>
      <c r="J106" s="25"/>
      <c r="K106" s="25"/>
      <c r="L106" s="25"/>
      <c r="M106" s="25"/>
      <c r="N106" s="25"/>
      <c r="O106" s="25"/>
      <c r="P106" s="25"/>
      <c r="Q106" s="25"/>
      <c r="R106" s="25"/>
      <c r="S106" s="25"/>
      <c r="T106" s="53">
        <v>-1712</v>
      </c>
      <c r="U106" s="25"/>
      <c r="V106" s="5"/>
    </row>
    <row r="107" spans="1:24" ht="15.6" x14ac:dyDescent="0.3">
      <c r="A107" s="24" t="s">
        <v>134</v>
      </c>
      <c r="B107" s="25" t="s">
        <v>194</v>
      </c>
      <c r="C107" s="25"/>
      <c r="D107" s="25"/>
      <c r="E107" s="25"/>
      <c r="F107" s="25"/>
      <c r="G107" s="25"/>
      <c r="H107" s="25"/>
      <c r="I107" s="25"/>
      <c r="J107" s="25"/>
      <c r="K107" s="25"/>
      <c r="L107" s="25"/>
      <c r="M107" s="25"/>
      <c r="N107" s="25"/>
      <c r="O107" s="25"/>
      <c r="P107" s="25"/>
      <c r="Q107" s="25"/>
      <c r="R107" s="25"/>
      <c r="S107" s="25"/>
      <c r="T107" s="53">
        <f>-853+146</f>
        <v>-707</v>
      </c>
      <c r="U107" s="25"/>
      <c r="V107" s="5"/>
      <c r="W107" s="109"/>
    </row>
    <row r="108" spans="1:24" ht="15.6" x14ac:dyDescent="0.3">
      <c r="A108" s="24" t="s">
        <v>156</v>
      </c>
      <c r="B108" s="25" t="s">
        <v>191</v>
      </c>
      <c r="C108" s="25"/>
      <c r="D108" s="25"/>
      <c r="E108" s="25"/>
      <c r="F108" s="25"/>
      <c r="G108" s="25"/>
      <c r="H108" s="25"/>
      <c r="I108" s="25"/>
      <c r="J108" s="25"/>
      <c r="K108" s="25"/>
      <c r="L108" s="25"/>
      <c r="M108" s="25"/>
      <c r="N108" s="25"/>
      <c r="O108" s="25"/>
      <c r="P108" s="25"/>
      <c r="Q108" s="25"/>
      <c r="R108" s="25"/>
      <c r="S108" s="25"/>
      <c r="T108" s="53">
        <v>-146</v>
      </c>
      <c r="U108" s="25"/>
      <c r="V108" s="5"/>
      <c r="W108" s="109"/>
    </row>
    <row r="109" spans="1:24" ht="15.6" x14ac:dyDescent="0.3">
      <c r="A109" s="24" t="s">
        <v>214</v>
      </c>
      <c r="B109" s="25" t="s">
        <v>192</v>
      </c>
      <c r="C109" s="25"/>
      <c r="D109" s="25"/>
      <c r="E109" s="25"/>
      <c r="F109" s="25"/>
      <c r="G109" s="25"/>
      <c r="H109" s="25"/>
      <c r="I109" s="25"/>
      <c r="J109" s="25"/>
      <c r="K109" s="25"/>
      <c r="L109" s="25"/>
      <c r="M109" s="25"/>
      <c r="N109" s="25"/>
      <c r="O109" s="25"/>
      <c r="P109" s="25"/>
      <c r="Q109" s="25"/>
      <c r="R109" s="25"/>
      <c r="S109" s="25"/>
      <c r="T109" s="53">
        <v>-121</v>
      </c>
      <c r="U109" s="25"/>
      <c r="V109" s="5"/>
      <c r="W109" s="109"/>
      <c r="X109" s="109"/>
    </row>
    <row r="110" spans="1:24" ht="15.6" x14ac:dyDescent="0.3">
      <c r="A110" s="24" t="s">
        <v>215</v>
      </c>
      <c r="B110" s="25" t="s">
        <v>193</v>
      </c>
      <c r="C110" s="25"/>
      <c r="D110" s="25"/>
      <c r="E110" s="25"/>
      <c r="F110" s="25"/>
      <c r="G110" s="25"/>
      <c r="H110" s="25"/>
      <c r="I110" s="25"/>
      <c r="J110" s="25"/>
      <c r="K110" s="25"/>
      <c r="L110" s="25"/>
      <c r="M110" s="25"/>
      <c r="N110" s="25"/>
      <c r="O110" s="25"/>
      <c r="P110" s="25"/>
      <c r="Q110" s="25"/>
      <c r="R110" s="25"/>
      <c r="S110" s="25"/>
      <c r="T110" s="53">
        <v>-33</v>
      </c>
      <c r="U110" s="25"/>
      <c r="V110" s="169"/>
      <c r="W110" s="109"/>
    </row>
    <row r="111" spans="1:24" ht="15.6" x14ac:dyDescent="0.3">
      <c r="A111" s="24" t="s">
        <v>216</v>
      </c>
      <c r="B111" s="25" t="s">
        <v>204</v>
      </c>
      <c r="C111" s="25"/>
      <c r="D111" s="25"/>
      <c r="E111" s="25"/>
      <c r="F111" s="25"/>
      <c r="G111" s="25"/>
      <c r="H111" s="25"/>
      <c r="I111" s="25"/>
      <c r="J111" s="25"/>
      <c r="K111" s="25"/>
      <c r="L111" s="25"/>
      <c r="M111" s="25"/>
      <c r="N111" s="25"/>
      <c r="O111" s="25"/>
      <c r="P111" s="25"/>
      <c r="Q111" s="25"/>
      <c r="R111" s="25"/>
      <c r="S111" s="25"/>
      <c r="T111" s="53">
        <v>-163</v>
      </c>
      <c r="U111" s="25"/>
      <c r="V111" s="5"/>
      <c r="W111" s="109"/>
    </row>
    <row r="112" spans="1:24" ht="15.6" x14ac:dyDescent="0.3">
      <c r="A112" s="24">
        <v>7</v>
      </c>
      <c r="B112" s="25" t="s">
        <v>35</v>
      </c>
      <c r="C112" s="25"/>
      <c r="D112" s="25"/>
      <c r="E112" s="25"/>
      <c r="F112" s="25"/>
      <c r="G112" s="25"/>
      <c r="H112" s="25"/>
      <c r="I112" s="25"/>
      <c r="J112" s="25"/>
      <c r="K112" s="25"/>
      <c r="L112" s="25"/>
      <c r="M112" s="25"/>
      <c r="N112" s="25"/>
      <c r="O112" s="25"/>
      <c r="P112" s="25"/>
      <c r="Q112" s="25"/>
      <c r="R112" s="25"/>
      <c r="S112" s="25"/>
      <c r="T112" s="53">
        <v>-10</v>
      </c>
      <c r="U112" s="25"/>
      <c r="V112" s="5"/>
    </row>
    <row r="113" spans="1:22" ht="15.6" x14ac:dyDescent="0.3">
      <c r="A113" s="24">
        <f t="shared" ref="A113:A118" si="0">+A112+1</f>
        <v>8</v>
      </c>
      <c r="B113" s="25" t="s">
        <v>46</v>
      </c>
      <c r="C113" s="25"/>
      <c r="D113" s="25"/>
      <c r="E113" s="25"/>
      <c r="F113" s="25"/>
      <c r="G113" s="25"/>
      <c r="H113" s="25"/>
      <c r="I113" s="25"/>
      <c r="J113" s="25"/>
      <c r="K113" s="25"/>
      <c r="L113" s="25"/>
      <c r="M113" s="25"/>
      <c r="N113" s="25"/>
      <c r="O113" s="25"/>
      <c r="P113" s="25"/>
      <c r="Q113" s="25"/>
      <c r="R113" s="34">
        <f>-T113</f>
        <v>561</v>
      </c>
      <c r="S113" s="25"/>
      <c r="T113" s="53">
        <v>-561</v>
      </c>
      <c r="U113" s="25"/>
      <c r="V113" s="5"/>
    </row>
    <row r="114" spans="1:22" ht="15.6" x14ac:dyDescent="0.3">
      <c r="A114" s="24">
        <f t="shared" si="0"/>
        <v>9</v>
      </c>
      <c r="B114" s="25" t="s">
        <v>131</v>
      </c>
      <c r="C114" s="25"/>
      <c r="D114" s="25"/>
      <c r="E114" s="25"/>
      <c r="F114" s="25"/>
      <c r="G114" s="25"/>
      <c r="H114" s="25"/>
      <c r="I114" s="25"/>
      <c r="J114" s="25"/>
      <c r="K114" s="25"/>
      <c r="L114" s="25"/>
      <c r="M114" s="25"/>
      <c r="N114" s="25"/>
      <c r="O114" s="25"/>
      <c r="P114" s="25"/>
      <c r="Q114" s="25"/>
      <c r="R114" s="25"/>
      <c r="S114" s="25"/>
      <c r="T114" s="53">
        <v>0</v>
      </c>
      <c r="U114" s="25"/>
      <c r="V114" s="5"/>
    </row>
    <row r="115" spans="1:22" ht="15.6" x14ac:dyDescent="0.3">
      <c r="A115" s="24">
        <f t="shared" si="0"/>
        <v>10</v>
      </c>
      <c r="B115" s="25" t="s">
        <v>36</v>
      </c>
      <c r="C115" s="25"/>
      <c r="D115" s="25"/>
      <c r="E115" s="25"/>
      <c r="F115" s="25"/>
      <c r="G115" s="25"/>
      <c r="H115" s="25"/>
      <c r="I115" s="25"/>
      <c r="J115" s="25"/>
      <c r="K115" s="25"/>
      <c r="L115" s="25"/>
      <c r="M115" s="25"/>
      <c r="N115" s="25"/>
      <c r="O115" s="25"/>
      <c r="P115" s="25"/>
      <c r="Q115" s="25"/>
      <c r="R115" s="25"/>
      <c r="S115" s="25"/>
      <c r="T115" s="53">
        <v>0</v>
      </c>
      <c r="U115" s="25"/>
      <c r="V115" s="5"/>
    </row>
    <row r="116" spans="1:22" ht="15.6" x14ac:dyDescent="0.3">
      <c r="A116" s="24">
        <f t="shared" si="0"/>
        <v>11</v>
      </c>
      <c r="B116" s="25" t="s">
        <v>37</v>
      </c>
      <c r="C116" s="25"/>
      <c r="D116" s="25"/>
      <c r="E116" s="25"/>
      <c r="F116" s="25"/>
      <c r="G116" s="25"/>
      <c r="H116" s="25"/>
      <c r="I116" s="25"/>
      <c r="J116" s="25"/>
      <c r="K116" s="25"/>
      <c r="L116" s="25"/>
      <c r="M116" s="25"/>
      <c r="N116" s="25"/>
      <c r="O116" s="25"/>
      <c r="P116" s="25"/>
      <c r="Q116" s="25"/>
      <c r="R116" s="25"/>
      <c r="S116" s="25"/>
      <c r="T116" s="53">
        <v>0</v>
      </c>
      <c r="U116" s="25"/>
      <c r="V116" s="5"/>
    </row>
    <row r="117" spans="1:22" ht="15.6" x14ac:dyDescent="0.3">
      <c r="A117" s="24">
        <f t="shared" si="0"/>
        <v>12</v>
      </c>
      <c r="B117" s="25" t="s">
        <v>155</v>
      </c>
      <c r="C117" s="25"/>
      <c r="D117" s="25"/>
      <c r="E117" s="25"/>
      <c r="F117" s="25"/>
      <c r="G117" s="25"/>
      <c r="H117" s="25"/>
      <c r="I117" s="25"/>
      <c r="J117" s="25"/>
      <c r="K117" s="25"/>
      <c r="L117" s="25"/>
      <c r="M117" s="25"/>
      <c r="N117" s="25"/>
      <c r="O117" s="25"/>
      <c r="P117" s="25"/>
      <c r="Q117" s="25"/>
      <c r="R117" s="25"/>
      <c r="S117" s="25"/>
      <c r="T117" s="53">
        <v>-225</v>
      </c>
      <c r="U117" s="25"/>
      <c r="V117" s="5"/>
    </row>
    <row r="118" spans="1:22" ht="15.6" x14ac:dyDescent="0.3">
      <c r="A118" s="24">
        <f t="shared" si="0"/>
        <v>13</v>
      </c>
      <c r="B118" s="25" t="s">
        <v>132</v>
      </c>
      <c r="C118" s="25"/>
      <c r="D118" s="25"/>
      <c r="E118" s="25"/>
      <c r="F118" s="25"/>
      <c r="G118" s="25"/>
      <c r="H118" s="25"/>
      <c r="I118" s="25"/>
      <c r="J118" s="25"/>
      <c r="K118" s="25"/>
      <c r="L118" s="25"/>
      <c r="M118" s="25"/>
      <c r="N118" s="25"/>
      <c r="O118" s="25"/>
      <c r="P118" s="25"/>
      <c r="Q118" s="25"/>
      <c r="R118" s="25"/>
      <c r="S118" s="25"/>
      <c r="T118" s="53">
        <f>-T101-SUM(T103:T117)</f>
        <v>-1102</v>
      </c>
      <c r="U118" s="25"/>
      <c r="V118" s="5"/>
    </row>
    <row r="119" spans="1:22" ht="15.6" x14ac:dyDescent="0.3">
      <c r="A119" s="24"/>
      <c r="B119" s="118" t="s">
        <v>38</v>
      </c>
      <c r="C119" s="25"/>
      <c r="D119" s="25"/>
      <c r="E119" s="25"/>
      <c r="F119" s="25"/>
      <c r="G119" s="25"/>
      <c r="H119" s="25"/>
      <c r="I119" s="25"/>
      <c r="J119" s="25"/>
      <c r="K119" s="25"/>
      <c r="L119" s="25"/>
      <c r="M119" s="25"/>
      <c r="N119" s="25"/>
      <c r="O119" s="25"/>
      <c r="P119" s="25"/>
      <c r="Q119" s="25"/>
      <c r="R119" s="25"/>
      <c r="S119" s="25"/>
      <c r="T119" s="59"/>
      <c r="U119" s="25"/>
      <c r="V119" s="5"/>
    </row>
    <row r="120" spans="1:22" ht="15.6" x14ac:dyDescent="0.3">
      <c r="A120" s="24"/>
      <c r="B120" s="25" t="s">
        <v>180</v>
      </c>
      <c r="C120" s="25"/>
      <c r="D120" s="25"/>
      <c r="E120" s="25"/>
      <c r="F120" s="25"/>
      <c r="G120" s="25"/>
      <c r="H120" s="25"/>
      <c r="I120" s="25"/>
      <c r="J120" s="25"/>
      <c r="K120" s="25"/>
      <c r="L120" s="25"/>
      <c r="M120" s="25"/>
      <c r="N120" s="25"/>
      <c r="O120" s="25"/>
      <c r="P120" s="25"/>
      <c r="Q120" s="25"/>
      <c r="R120" s="34">
        <f>-R178</f>
        <v>-34</v>
      </c>
      <c r="S120" s="34"/>
      <c r="T120" s="53"/>
      <c r="U120" s="25"/>
      <c r="V120" s="5"/>
    </row>
    <row r="121" spans="1:22" ht="15.6" x14ac:dyDescent="0.3">
      <c r="A121" s="24"/>
      <c r="B121" s="25" t="s">
        <v>181</v>
      </c>
      <c r="C121" s="25"/>
      <c r="D121" s="25"/>
      <c r="E121" s="25"/>
      <c r="F121" s="25"/>
      <c r="G121" s="25"/>
      <c r="H121" s="25"/>
      <c r="I121" s="25"/>
      <c r="J121" s="25"/>
      <c r="K121" s="25"/>
      <c r="L121" s="25"/>
      <c r="M121" s="25"/>
      <c r="N121" s="25"/>
      <c r="O121" s="25"/>
      <c r="P121" s="25"/>
      <c r="Q121" s="25"/>
      <c r="R121" s="34">
        <v>-10</v>
      </c>
      <c r="S121" s="34"/>
      <c r="T121" s="53"/>
      <c r="U121" s="25"/>
      <c r="V121" s="5"/>
    </row>
    <row r="122" spans="1:22" ht="15.6" x14ac:dyDescent="0.3">
      <c r="A122" s="24"/>
      <c r="B122" s="25" t="s">
        <v>39</v>
      </c>
      <c r="C122" s="25"/>
      <c r="D122" s="25"/>
      <c r="E122" s="25"/>
      <c r="F122" s="25"/>
      <c r="G122" s="25"/>
      <c r="H122" s="25"/>
      <c r="I122" s="25"/>
      <c r="J122" s="25"/>
      <c r="K122" s="25"/>
      <c r="L122" s="25"/>
      <c r="M122" s="25"/>
      <c r="N122" s="25"/>
      <c r="O122" s="25"/>
      <c r="P122" s="25"/>
      <c r="Q122" s="25"/>
      <c r="R122" s="34">
        <f>-Q178</f>
        <v>-100</v>
      </c>
      <c r="S122" s="34"/>
      <c r="T122" s="53"/>
      <c r="U122" s="25"/>
      <c r="V122" s="5"/>
    </row>
    <row r="123" spans="1:22" ht="15.6" x14ac:dyDescent="0.3">
      <c r="A123" s="24"/>
      <c r="B123" s="25" t="s">
        <v>205</v>
      </c>
      <c r="C123" s="25"/>
      <c r="D123" s="25"/>
      <c r="E123" s="25"/>
      <c r="F123" s="25"/>
      <c r="G123" s="25"/>
      <c r="H123" s="25"/>
      <c r="I123" s="25"/>
      <c r="J123" s="25"/>
      <c r="K123" s="25"/>
      <c r="L123" s="25"/>
      <c r="M123" s="25"/>
      <c r="N123" s="25"/>
      <c r="O123" s="25"/>
      <c r="P123" s="25"/>
      <c r="Q123" s="25"/>
      <c r="R123" s="34">
        <v>-2445</v>
      </c>
      <c r="S123" s="34"/>
      <c r="T123" s="53"/>
      <c r="U123" s="25"/>
      <c r="V123" s="5"/>
    </row>
    <row r="124" spans="1:22" ht="15.6" x14ac:dyDescent="0.3">
      <c r="A124" s="24"/>
      <c r="B124" s="25" t="s">
        <v>203</v>
      </c>
      <c r="C124" s="25"/>
      <c r="D124" s="25"/>
      <c r="E124" s="25"/>
      <c r="F124" s="25"/>
      <c r="G124" s="25"/>
      <c r="H124" s="25"/>
      <c r="I124" s="25"/>
      <c r="J124" s="25"/>
      <c r="K124" s="25"/>
      <c r="L124" s="25"/>
      <c r="M124" s="25"/>
      <c r="N124" s="25"/>
      <c r="O124" s="25"/>
      <c r="P124" s="25"/>
      <c r="Q124" s="25"/>
      <c r="R124" s="34">
        <v>-644</v>
      </c>
      <c r="S124" s="34"/>
      <c r="T124" s="53"/>
      <c r="U124" s="25"/>
      <c r="V124" s="5"/>
    </row>
    <row r="125" spans="1:22" ht="15.6" x14ac:dyDescent="0.3">
      <c r="A125" s="24"/>
      <c r="B125" s="25" t="s">
        <v>202</v>
      </c>
      <c r="C125" s="25"/>
      <c r="D125" s="25"/>
      <c r="E125" s="25"/>
      <c r="F125" s="25"/>
      <c r="G125" s="25"/>
      <c r="H125" s="25"/>
      <c r="I125" s="25"/>
      <c r="J125" s="25"/>
      <c r="K125" s="25"/>
      <c r="L125" s="25"/>
      <c r="M125" s="25"/>
      <c r="N125" s="25"/>
      <c r="O125" s="25"/>
      <c r="P125" s="25"/>
      <c r="Q125" s="25"/>
      <c r="R125" s="34">
        <v>-649</v>
      </c>
      <c r="S125" s="34"/>
      <c r="T125" s="53"/>
      <c r="U125" s="25"/>
      <c r="V125" s="5"/>
    </row>
    <row r="126" spans="1:22" ht="15.6" x14ac:dyDescent="0.3">
      <c r="A126" s="24"/>
      <c r="B126" s="25" t="s">
        <v>197</v>
      </c>
      <c r="C126" s="25"/>
      <c r="D126" s="25"/>
      <c r="E126" s="25"/>
      <c r="F126" s="25"/>
      <c r="G126" s="25"/>
      <c r="H126" s="25"/>
      <c r="I126" s="25"/>
      <c r="J126" s="25"/>
      <c r="K126" s="25"/>
      <c r="L126" s="25"/>
      <c r="M126" s="25"/>
      <c r="N126" s="25"/>
      <c r="O126" s="25"/>
      <c r="P126" s="25"/>
      <c r="Q126" s="25"/>
      <c r="R126" s="34">
        <v>0</v>
      </c>
      <c r="S126" s="34"/>
      <c r="T126" s="53"/>
      <c r="U126" s="25"/>
      <c r="V126" s="5"/>
    </row>
    <row r="127" spans="1:22" ht="15.6" x14ac:dyDescent="0.3">
      <c r="A127" s="24"/>
      <c r="B127" s="25" t="s">
        <v>196</v>
      </c>
      <c r="C127" s="25"/>
      <c r="D127" s="25"/>
      <c r="E127" s="25"/>
      <c r="F127" s="25"/>
      <c r="G127" s="25"/>
      <c r="H127" s="25"/>
      <c r="I127" s="25"/>
      <c r="J127" s="25"/>
      <c r="K127" s="25"/>
      <c r="L127" s="25"/>
      <c r="M127" s="25"/>
      <c r="N127" s="25"/>
      <c r="O127" s="25"/>
      <c r="P127" s="25"/>
      <c r="Q127" s="25"/>
      <c r="R127" s="34">
        <v>0</v>
      </c>
      <c r="S127" s="34"/>
      <c r="T127" s="53"/>
      <c r="U127" s="25"/>
      <c r="V127" s="5"/>
    </row>
    <row r="128" spans="1:22" ht="15.6" x14ac:dyDescent="0.3">
      <c r="A128" s="24"/>
      <c r="B128" s="25" t="s">
        <v>195</v>
      </c>
      <c r="C128" s="25"/>
      <c r="D128" s="25"/>
      <c r="E128" s="25"/>
      <c r="F128" s="25"/>
      <c r="G128" s="25"/>
      <c r="H128" s="25"/>
      <c r="I128" s="25"/>
      <c r="J128" s="25"/>
      <c r="K128" s="25"/>
      <c r="L128" s="25"/>
      <c r="M128" s="25"/>
      <c r="N128" s="25"/>
      <c r="O128" s="25"/>
      <c r="P128" s="25"/>
      <c r="Q128" s="25"/>
      <c r="R128" s="34">
        <v>0</v>
      </c>
      <c r="S128" s="34"/>
      <c r="T128" s="53"/>
      <c r="U128" s="25"/>
      <c r="V128" s="5"/>
    </row>
    <row r="129" spans="1:22" ht="15.6" x14ac:dyDescent="0.3">
      <c r="A129" s="24"/>
      <c r="B129" s="25" t="s">
        <v>40</v>
      </c>
      <c r="C129" s="25"/>
      <c r="D129" s="25"/>
      <c r="E129" s="25"/>
      <c r="F129" s="25"/>
      <c r="G129" s="25"/>
      <c r="H129" s="25"/>
      <c r="I129" s="25"/>
      <c r="J129" s="25"/>
      <c r="K129" s="25"/>
      <c r="L129" s="25"/>
      <c r="M129" s="25"/>
      <c r="N129" s="25"/>
      <c r="O129" s="25"/>
      <c r="P129" s="25"/>
      <c r="Q129" s="25"/>
      <c r="R129" s="34">
        <f>SUM(R120:R128)</f>
        <v>-3882</v>
      </c>
      <c r="S129" s="34"/>
      <c r="T129" s="34">
        <f>SUM(T102:T127)</f>
        <v>-5339</v>
      </c>
      <c r="U129" s="25"/>
      <c r="V129" s="5"/>
    </row>
    <row r="130" spans="1:22" ht="15.6" x14ac:dyDescent="0.3">
      <c r="A130" s="24"/>
      <c r="B130" s="25" t="s">
        <v>41</v>
      </c>
      <c r="C130" s="25"/>
      <c r="D130" s="25"/>
      <c r="E130" s="25"/>
      <c r="F130" s="25"/>
      <c r="G130" s="25"/>
      <c r="H130" s="25"/>
      <c r="I130" s="25"/>
      <c r="J130" s="25"/>
      <c r="K130" s="25"/>
      <c r="L130" s="25"/>
      <c r="M130" s="25"/>
      <c r="N130" s="25"/>
      <c r="O130" s="25"/>
      <c r="P130" s="25"/>
      <c r="Q130" s="25"/>
      <c r="R130" s="34">
        <f>R101+R129+R113</f>
        <v>0</v>
      </c>
      <c r="S130" s="34"/>
      <c r="T130" s="34">
        <f>T101+T129</f>
        <v>0</v>
      </c>
      <c r="U130" s="25"/>
      <c r="V130" s="5"/>
    </row>
    <row r="131" spans="1:22" ht="15.6" x14ac:dyDescent="0.3">
      <c r="A131" s="24"/>
      <c r="B131" s="25"/>
      <c r="C131" s="25"/>
      <c r="D131" s="25"/>
      <c r="E131" s="25"/>
      <c r="F131" s="25"/>
      <c r="G131" s="25"/>
      <c r="H131" s="25"/>
      <c r="I131" s="25"/>
      <c r="J131" s="25"/>
      <c r="K131" s="25"/>
      <c r="L131" s="25"/>
      <c r="M131" s="25"/>
      <c r="N131" s="25"/>
      <c r="O131" s="25"/>
      <c r="P131" s="25"/>
      <c r="Q131" s="25"/>
      <c r="R131" s="34"/>
      <c r="S131" s="34"/>
      <c r="T131" s="34"/>
      <c r="U131" s="25"/>
      <c r="V131" s="5"/>
    </row>
    <row r="132" spans="1:22" ht="15.6" x14ac:dyDescent="0.3">
      <c r="A132" s="6"/>
      <c r="B132" s="8"/>
      <c r="C132" s="8"/>
      <c r="D132" s="8"/>
      <c r="E132" s="8"/>
      <c r="F132" s="8"/>
      <c r="G132" s="8"/>
      <c r="H132" s="8"/>
      <c r="I132" s="8"/>
      <c r="J132" s="8"/>
      <c r="K132" s="8"/>
      <c r="L132" s="8"/>
      <c r="M132" s="8"/>
      <c r="N132" s="8"/>
      <c r="O132" s="8"/>
      <c r="P132" s="8"/>
      <c r="Q132" s="8"/>
      <c r="R132" s="8"/>
      <c r="S132" s="8"/>
      <c r="T132" s="52"/>
      <c r="U132" s="8"/>
      <c r="V132" s="5"/>
    </row>
    <row r="133" spans="1:22" ht="18" thickBot="1" x14ac:dyDescent="0.35">
      <c r="A133" s="101"/>
      <c r="B133" s="102" t="str">
        <f>B64</f>
        <v>PM11 INVESTOR REPORT QUARTER ENDING MARCH 2010</v>
      </c>
      <c r="C133" s="103"/>
      <c r="D133" s="103"/>
      <c r="E133" s="103"/>
      <c r="F133" s="103"/>
      <c r="G133" s="103"/>
      <c r="H133" s="103"/>
      <c r="I133" s="103"/>
      <c r="J133" s="103"/>
      <c r="K133" s="103"/>
      <c r="L133" s="103"/>
      <c r="M133" s="103"/>
      <c r="N133" s="103"/>
      <c r="O133" s="103"/>
      <c r="P133" s="103"/>
      <c r="Q133" s="103"/>
      <c r="R133" s="103"/>
      <c r="S133" s="103"/>
      <c r="T133" s="106"/>
      <c r="U133" s="105"/>
      <c r="V133" s="5"/>
    </row>
    <row r="134" spans="1:22" ht="15.6" x14ac:dyDescent="0.3">
      <c r="A134" s="2"/>
      <c r="B134" s="60" t="s">
        <v>42</v>
      </c>
      <c r="C134" s="4"/>
      <c r="D134" s="4"/>
      <c r="E134" s="4"/>
      <c r="F134" s="4"/>
      <c r="G134" s="4"/>
      <c r="H134" s="4"/>
      <c r="I134" s="4"/>
      <c r="J134" s="4"/>
      <c r="K134" s="4"/>
      <c r="L134" s="4"/>
      <c r="M134" s="4"/>
      <c r="N134" s="4"/>
      <c r="O134" s="4"/>
      <c r="P134" s="4"/>
      <c r="Q134" s="4"/>
      <c r="R134" s="4"/>
      <c r="S134" s="4"/>
      <c r="T134" s="50"/>
      <c r="U134" s="4"/>
      <c r="V134" s="5"/>
    </row>
    <row r="135" spans="1:22" ht="15.6" x14ac:dyDescent="0.3">
      <c r="A135" s="6"/>
      <c r="B135" s="21"/>
      <c r="C135" s="8"/>
      <c r="D135" s="8"/>
      <c r="E135" s="8"/>
      <c r="F135" s="8"/>
      <c r="G135" s="8"/>
      <c r="H135" s="8"/>
      <c r="I135" s="8"/>
      <c r="J135" s="8"/>
      <c r="K135" s="8"/>
      <c r="L135" s="8"/>
      <c r="M135" s="8"/>
      <c r="N135" s="8"/>
      <c r="O135" s="8"/>
      <c r="P135" s="8"/>
      <c r="Q135" s="8"/>
      <c r="R135" s="8"/>
      <c r="S135" s="8"/>
      <c r="T135" s="52"/>
      <c r="U135" s="8"/>
      <c r="V135" s="5"/>
    </row>
    <row r="136" spans="1:22" ht="15.6" x14ac:dyDescent="0.3">
      <c r="A136" s="6"/>
      <c r="B136" s="119" t="s">
        <v>43</v>
      </c>
      <c r="C136" s="8"/>
      <c r="D136" s="8"/>
      <c r="E136" s="8"/>
      <c r="F136" s="8"/>
      <c r="G136" s="8"/>
      <c r="H136" s="8"/>
      <c r="I136" s="8"/>
      <c r="J136" s="8"/>
      <c r="K136" s="8"/>
      <c r="L136" s="8"/>
      <c r="M136" s="8"/>
      <c r="N136" s="8"/>
      <c r="O136" s="8"/>
      <c r="P136" s="8"/>
      <c r="Q136" s="8"/>
      <c r="R136" s="8"/>
      <c r="S136" s="8"/>
      <c r="T136" s="52"/>
      <c r="U136" s="8"/>
      <c r="V136" s="5"/>
    </row>
    <row r="137" spans="1:22" ht="15.6" x14ac:dyDescent="0.3">
      <c r="A137" s="24"/>
      <c r="B137" s="25" t="s">
        <v>44</v>
      </c>
      <c r="C137" s="25"/>
      <c r="D137" s="25"/>
      <c r="E137" s="25"/>
      <c r="F137" s="25"/>
      <c r="G137" s="25"/>
      <c r="H137" s="25"/>
      <c r="I137" s="25"/>
      <c r="J137" s="25"/>
      <c r="K137" s="25"/>
      <c r="L137" s="25"/>
      <c r="M137" s="25"/>
      <c r="N137" s="25"/>
      <c r="O137" s="25"/>
      <c r="P137" s="25"/>
      <c r="Q137" s="25"/>
      <c r="R137" s="25"/>
      <c r="S137" s="25"/>
      <c r="T137" s="53">
        <f>+T34*0.019</f>
        <v>19000.95</v>
      </c>
      <c r="U137" s="25"/>
      <c r="V137" s="5"/>
    </row>
    <row r="138" spans="1:22" ht="15.6" x14ac:dyDescent="0.3">
      <c r="A138" s="24"/>
      <c r="B138" s="25" t="s">
        <v>45</v>
      </c>
      <c r="C138" s="25"/>
      <c r="D138" s="25"/>
      <c r="E138" s="25"/>
      <c r="F138" s="25"/>
      <c r="G138" s="25"/>
      <c r="H138" s="25"/>
      <c r="I138" s="25"/>
      <c r="J138" s="25"/>
      <c r="K138" s="25"/>
      <c r="L138" s="25"/>
      <c r="M138" s="25"/>
      <c r="N138" s="25"/>
      <c r="O138" s="25"/>
      <c r="P138" s="25"/>
      <c r="Q138" s="25"/>
      <c r="R138" s="25"/>
      <c r="S138" s="25"/>
      <c r="T138" s="53">
        <v>19001</v>
      </c>
      <c r="U138" s="25"/>
      <c r="V138" s="5"/>
    </row>
    <row r="139" spans="1:22" ht="15.6" x14ac:dyDescent="0.3">
      <c r="A139" s="24"/>
      <c r="B139" s="25" t="s">
        <v>142</v>
      </c>
      <c r="C139" s="25"/>
      <c r="D139" s="25"/>
      <c r="E139" s="25"/>
      <c r="F139" s="25"/>
      <c r="G139" s="25"/>
      <c r="H139" s="25"/>
      <c r="I139" s="25"/>
      <c r="J139" s="25"/>
      <c r="K139" s="25"/>
      <c r="L139" s="25"/>
      <c r="M139" s="25"/>
      <c r="N139" s="25"/>
      <c r="O139" s="25"/>
      <c r="P139" s="25"/>
      <c r="Q139" s="25"/>
      <c r="R139" s="25"/>
      <c r="S139" s="25"/>
      <c r="T139" s="53">
        <v>0</v>
      </c>
      <c r="U139" s="25"/>
      <c r="V139" s="5"/>
    </row>
    <row r="140" spans="1:22" ht="15.6" x14ac:dyDescent="0.3">
      <c r="A140" s="24"/>
      <c r="B140" s="25" t="s">
        <v>129</v>
      </c>
      <c r="C140" s="25"/>
      <c r="D140" s="25"/>
      <c r="E140" s="25"/>
      <c r="F140" s="25"/>
      <c r="G140" s="25"/>
      <c r="H140" s="25"/>
      <c r="I140" s="25"/>
      <c r="J140" s="25"/>
      <c r="K140" s="25"/>
      <c r="L140" s="25"/>
      <c r="M140" s="25"/>
      <c r="N140" s="25"/>
      <c r="O140" s="25"/>
      <c r="P140" s="25"/>
      <c r="Q140" s="25"/>
      <c r="R140" s="25"/>
      <c r="S140" s="25"/>
      <c r="T140" s="53">
        <v>0</v>
      </c>
      <c r="U140" s="25"/>
      <c r="V140" s="5"/>
    </row>
    <row r="141" spans="1:22" ht="15.6" x14ac:dyDescent="0.3">
      <c r="A141" s="24"/>
      <c r="B141" s="25" t="s">
        <v>130</v>
      </c>
      <c r="C141" s="25"/>
      <c r="D141" s="25"/>
      <c r="E141" s="25"/>
      <c r="F141" s="25"/>
      <c r="G141" s="25"/>
      <c r="H141" s="25"/>
      <c r="I141" s="25"/>
      <c r="J141" s="25"/>
      <c r="K141" s="25"/>
      <c r="L141" s="25"/>
      <c r="M141" s="25"/>
      <c r="N141" s="25"/>
      <c r="O141" s="25"/>
      <c r="P141" s="25"/>
      <c r="Q141" s="25"/>
      <c r="R141" s="25"/>
      <c r="S141" s="25"/>
      <c r="T141" s="53">
        <v>0</v>
      </c>
      <c r="U141" s="25"/>
      <c r="V141" s="5"/>
    </row>
    <row r="142" spans="1:22" ht="15.6" x14ac:dyDescent="0.3">
      <c r="A142" s="24"/>
      <c r="B142" s="25" t="s">
        <v>182</v>
      </c>
      <c r="C142" s="25"/>
      <c r="D142" s="25"/>
      <c r="E142" s="25"/>
      <c r="F142" s="25"/>
      <c r="G142" s="25"/>
      <c r="H142" s="25"/>
      <c r="I142" s="25"/>
      <c r="J142" s="25"/>
      <c r="K142" s="25"/>
      <c r="L142" s="25"/>
      <c r="M142" s="25"/>
      <c r="N142" s="25"/>
      <c r="O142" s="25"/>
      <c r="P142" s="25"/>
      <c r="Q142" s="25"/>
      <c r="R142" s="25"/>
      <c r="S142" s="25"/>
      <c r="T142" s="53">
        <v>0</v>
      </c>
      <c r="U142" s="25"/>
      <c r="V142" s="5"/>
    </row>
    <row r="143" spans="1:22" ht="15.6" x14ac:dyDescent="0.3">
      <c r="A143" s="24"/>
      <c r="B143" s="25" t="s">
        <v>46</v>
      </c>
      <c r="C143" s="25"/>
      <c r="D143" s="25"/>
      <c r="E143" s="25"/>
      <c r="F143" s="25"/>
      <c r="G143" s="25"/>
      <c r="H143" s="25"/>
      <c r="I143" s="25"/>
      <c r="J143" s="25"/>
      <c r="K143" s="25"/>
      <c r="L143" s="25"/>
      <c r="M143" s="25"/>
      <c r="N143" s="25"/>
      <c r="O143" s="25"/>
      <c r="P143" s="25"/>
      <c r="Q143" s="25"/>
      <c r="R143" s="25"/>
      <c r="S143" s="25"/>
      <c r="T143" s="53">
        <v>0</v>
      </c>
      <c r="U143" s="25"/>
      <c r="V143" s="5"/>
    </row>
    <row r="144" spans="1:22" ht="15.6" x14ac:dyDescent="0.3">
      <c r="A144" s="24"/>
      <c r="B144" s="25" t="s">
        <v>135</v>
      </c>
      <c r="C144" s="25"/>
      <c r="D144" s="25"/>
      <c r="E144" s="25"/>
      <c r="F144" s="25"/>
      <c r="G144" s="25"/>
      <c r="H144" s="25"/>
      <c r="I144" s="25"/>
      <c r="J144" s="25"/>
      <c r="K144" s="25"/>
      <c r="L144" s="25"/>
      <c r="M144" s="25"/>
      <c r="N144" s="25"/>
      <c r="O144" s="25"/>
      <c r="P144" s="25"/>
      <c r="Q144" s="25"/>
      <c r="R144" s="25"/>
      <c r="S144" s="25"/>
      <c r="T144" s="53">
        <v>0</v>
      </c>
      <c r="U144" s="25"/>
      <c r="V144" s="5"/>
    </row>
    <row r="145" spans="1:23" ht="15.6" x14ac:dyDescent="0.3">
      <c r="A145" s="24"/>
      <c r="B145" s="25" t="s">
        <v>251</v>
      </c>
      <c r="C145" s="25"/>
      <c r="D145" s="25"/>
      <c r="E145" s="25"/>
      <c r="F145" s="25"/>
      <c r="G145" s="25"/>
      <c r="H145" s="25"/>
      <c r="I145" s="25"/>
      <c r="J145" s="25"/>
      <c r="K145" s="25"/>
      <c r="L145" s="25"/>
      <c r="M145" s="25"/>
      <c r="N145" s="25"/>
      <c r="O145" s="25"/>
      <c r="P145" s="25"/>
      <c r="Q145" s="25"/>
      <c r="R145" s="25"/>
      <c r="S145" s="25"/>
      <c r="T145" s="53">
        <v>0</v>
      </c>
      <c r="U145" s="25"/>
      <c r="V145" s="5"/>
      <c r="W145" s="109"/>
    </row>
    <row r="146" spans="1:23" ht="15.6" x14ac:dyDescent="0.3">
      <c r="A146" s="24"/>
      <c r="B146" s="25" t="s">
        <v>47</v>
      </c>
      <c r="C146" s="25"/>
      <c r="D146" s="25"/>
      <c r="E146" s="25"/>
      <c r="F146" s="25"/>
      <c r="G146" s="25"/>
      <c r="H146" s="25"/>
      <c r="I146" s="25"/>
      <c r="J146" s="25"/>
      <c r="K146" s="25"/>
      <c r="L146" s="25"/>
      <c r="M146" s="25"/>
      <c r="N146" s="25"/>
      <c r="O146" s="25"/>
      <c r="P146" s="25"/>
      <c r="Q146" s="25"/>
      <c r="R146" s="25"/>
      <c r="S146" s="25"/>
      <c r="T146" s="53">
        <f>SUM(T138:T145)</f>
        <v>19001</v>
      </c>
      <c r="U146" s="25"/>
      <c r="V146" s="5"/>
    </row>
    <row r="147" spans="1:23" ht="15.6" x14ac:dyDescent="0.3">
      <c r="A147" s="24"/>
      <c r="B147" s="25"/>
      <c r="C147" s="25"/>
      <c r="D147" s="25"/>
      <c r="E147" s="25"/>
      <c r="F147" s="25"/>
      <c r="G147" s="25"/>
      <c r="H147" s="25"/>
      <c r="I147" s="25"/>
      <c r="J147" s="25"/>
      <c r="K147" s="25"/>
      <c r="L147" s="25"/>
      <c r="M147" s="25"/>
      <c r="N147" s="25"/>
      <c r="O147" s="25"/>
      <c r="P147" s="25"/>
      <c r="Q147" s="25"/>
      <c r="R147" s="25"/>
      <c r="S147" s="25"/>
      <c r="T147" s="53"/>
      <c r="U147" s="25"/>
      <c r="V147" s="5"/>
    </row>
    <row r="148" spans="1:23" ht="15.6" x14ac:dyDescent="0.3">
      <c r="A148" s="24"/>
      <c r="B148" s="138" t="s">
        <v>262</v>
      </c>
      <c r="C148" s="25"/>
      <c r="D148" s="25"/>
      <c r="E148" s="25"/>
      <c r="F148" s="25"/>
      <c r="G148" s="25"/>
      <c r="H148" s="25"/>
      <c r="I148" s="25"/>
      <c r="J148" s="25"/>
      <c r="K148" s="25"/>
      <c r="L148" s="25"/>
      <c r="M148" s="25"/>
      <c r="N148" s="25"/>
      <c r="O148" s="25"/>
      <c r="P148" s="25"/>
      <c r="Q148" s="25"/>
      <c r="R148" s="25"/>
      <c r="S148" s="25"/>
      <c r="T148" s="53"/>
      <c r="U148" s="25"/>
      <c r="V148" s="5"/>
    </row>
    <row r="149" spans="1:23" ht="15.6" x14ac:dyDescent="0.3">
      <c r="A149" s="24"/>
      <c r="B149" s="25" t="s">
        <v>263</v>
      </c>
      <c r="C149" s="25"/>
      <c r="D149" s="25"/>
      <c r="E149" s="25"/>
      <c r="F149" s="25"/>
      <c r="G149" s="25"/>
      <c r="H149" s="25"/>
      <c r="I149" s="25"/>
      <c r="J149" s="25"/>
      <c r="K149" s="25"/>
      <c r="L149" s="25"/>
      <c r="M149" s="25"/>
      <c r="N149" s="25"/>
      <c r="O149" s="25"/>
      <c r="P149" s="25"/>
      <c r="Q149" s="25"/>
      <c r="R149" s="25"/>
      <c r="S149" s="25"/>
      <c r="T149" s="53">
        <v>0</v>
      </c>
      <c r="U149" s="25"/>
      <c r="V149" s="5"/>
    </row>
    <row r="150" spans="1:23" ht="15.6" x14ac:dyDescent="0.3">
      <c r="A150" s="24"/>
      <c r="B150" s="25" t="s">
        <v>179</v>
      </c>
      <c r="C150" s="25"/>
      <c r="D150" s="25"/>
      <c r="E150" s="25"/>
      <c r="F150" s="25"/>
      <c r="G150" s="25"/>
      <c r="H150" s="25"/>
      <c r="I150" s="25"/>
      <c r="J150" s="25"/>
      <c r="K150" s="25"/>
      <c r="L150" s="25"/>
      <c r="M150" s="25"/>
      <c r="N150" s="25"/>
      <c r="O150" s="25"/>
      <c r="P150" s="25"/>
      <c r="Q150" s="25"/>
      <c r="R150" s="25"/>
      <c r="S150" s="25"/>
      <c r="T150" s="53">
        <v>0</v>
      </c>
      <c r="U150" s="25"/>
      <c r="V150" s="5"/>
    </row>
    <row r="151" spans="1:23" ht="15.6" x14ac:dyDescent="0.3">
      <c r="A151" s="24"/>
      <c r="B151" s="25" t="s">
        <v>264</v>
      </c>
      <c r="C151" s="25"/>
      <c r="D151" s="25"/>
      <c r="E151" s="25"/>
      <c r="F151" s="25"/>
      <c r="G151" s="25"/>
      <c r="H151" s="25"/>
      <c r="I151" s="25"/>
      <c r="J151" s="25"/>
      <c r="K151" s="25"/>
      <c r="L151" s="25"/>
      <c r="M151" s="25"/>
      <c r="N151" s="25"/>
      <c r="O151" s="25"/>
      <c r="P151" s="25"/>
      <c r="Q151" s="25"/>
      <c r="R151" s="25"/>
      <c r="S151" s="25"/>
      <c r="T151" s="53">
        <v>0</v>
      </c>
      <c r="U151" s="25"/>
      <c r="V151" s="5"/>
    </row>
    <row r="152" spans="1:23" ht="15.6" x14ac:dyDescent="0.3">
      <c r="A152" s="24"/>
      <c r="B152" s="25"/>
      <c r="C152" s="25"/>
      <c r="D152" s="25"/>
      <c r="E152" s="25"/>
      <c r="F152" s="25"/>
      <c r="G152" s="25"/>
      <c r="H152" s="25"/>
      <c r="I152" s="25"/>
      <c r="J152" s="25"/>
      <c r="K152" s="25"/>
      <c r="L152" s="25"/>
      <c r="M152" s="25"/>
      <c r="N152" s="25"/>
      <c r="O152" s="25"/>
      <c r="P152" s="25"/>
      <c r="Q152" s="25"/>
      <c r="R152" s="25"/>
      <c r="S152" s="25"/>
      <c r="T152" s="53"/>
      <c r="U152" s="25"/>
      <c r="V152" s="5"/>
    </row>
    <row r="153" spans="1:23" ht="15.6" x14ac:dyDescent="0.3">
      <c r="A153" s="24"/>
      <c r="B153" s="25"/>
      <c r="C153" s="25"/>
      <c r="D153" s="25"/>
      <c r="E153" s="25"/>
      <c r="F153" s="25"/>
      <c r="G153" s="25"/>
      <c r="H153" s="25"/>
      <c r="I153" s="25"/>
      <c r="J153" s="25"/>
      <c r="K153" s="25"/>
      <c r="L153" s="25"/>
      <c r="M153" s="25"/>
      <c r="N153" s="25"/>
      <c r="O153" s="25"/>
      <c r="P153" s="25"/>
      <c r="Q153" s="25"/>
      <c r="R153" s="25"/>
      <c r="S153" s="25"/>
      <c r="T153" s="61"/>
      <c r="U153" s="25"/>
      <c r="V153" s="5"/>
    </row>
    <row r="154" spans="1:23" ht="15.6" x14ac:dyDescent="0.3">
      <c r="A154" s="6"/>
      <c r="B154" s="119" t="s">
        <v>24</v>
      </c>
      <c r="C154" s="8"/>
      <c r="D154" s="8"/>
      <c r="E154" s="8"/>
      <c r="F154" s="8"/>
      <c r="G154" s="8"/>
      <c r="H154" s="8"/>
      <c r="I154" s="8"/>
      <c r="J154" s="8"/>
      <c r="K154" s="8"/>
      <c r="L154" s="8"/>
      <c r="M154" s="8"/>
      <c r="N154" s="8"/>
      <c r="O154" s="8"/>
      <c r="P154" s="8"/>
      <c r="Q154" s="8"/>
      <c r="R154" s="8"/>
      <c r="S154" s="8"/>
      <c r="T154" s="52"/>
      <c r="U154" s="8"/>
      <c r="V154" s="5"/>
    </row>
    <row r="155" spans="1:23" ht="15.6" x14ac:dyDescent="0.3">
      <c r="A155" s="24"/>
      <c r="B155" s="25" t="s">
        <v>48</v>
      </c>
      <c r="C155" s="25"/>
      <c r="D155" s="25"/>
      <c r="E155" s="25"/>
      <c r="F155" s="25"/>
      <c r="G155" s="25"/>
      <c r="H155" s="25"/>
      <c r="I155" s="25"/>
      <c r="J155" s="25"/>
      <c r="K155" s="25"/>
      <c r="L155" s="25"/>
      <c r="M155" s="25"/>
      <c r="N155" s="25"/>
      <c r="O155" s="25"/>
      <c r="P155" s="25"/>
      <c r="Q155" s="25"/>
      <c r="R155" s="25"/>
      <c r="S155" s="25"/>
      <c r="T155" s="59" t="s">
        <v>124</v>
      </c>
      <c r="U155" s="25"/>
      <c r="V155" s="5"/>
    </row>
    <row r="156" spans="1:23" ht="15.6" x14ac:dyDescent="0.3">
      <c r="A156" s="24"/>
      <c r="B156" s="25" t="s">
        <v>49</v>
      </c>
      <c r="C156" s="163"/>
      <c r="D156" s="163"/>
      <c r="E156" s="163"/>
      <c r="F156" s="163"/>
      <c r="G156" s="163"/>
      <c r="H156" s="163"/>
      <c r="I156" s="163"/>
      <c r="J156" s="163"/>
      <c r="K156" s="163"/>
      <c r="L156" s="163"/>
      <c r="M156" s="163"/>
      <c r="N156" s="163"/>
      <c r="O156" s="163"/>
      <c r="P156" s="163"/>
      <c r="Q156" s="163"/>
      <c r="R156" s="163"/>
      <c r="S156" s="163"/>
      <c r="T156" s="59" t="s">
        <v>124</v>
      </c>
      <c r="U156" s="25"/>
      <c r="V156" s="5"/>
    </row>
    <row r="157" spans="1:23" ht="15.6" x14ac:dyDescent="0.3">
      <c r="A157" s="24"/>
      <c r="B157" s="25" t="s">
        <v>50</v>
      </c>
      <c r="C157" s="25"/>
      <c r="D157" s="25"/>
      <c r="E157" s="25"/>
      <c r="F157" s="25"/>
      <c r="G157" s="25"/>
      <c r="H157" s="25"/>
      <c r="I157" s="25"/>
      <c r="J157" s="25"/>
      <c r="K157" s="25"/>
      <c r="L157" s="25"/>
      <c r="M157" s="25"/>
      <c r="N157" s="25"/>
      <c r="O157" s="25"/>
      <c r="P157" s="25"/>
      <c r="Q157" s="25"/>
      <c r="R157" s="25"/>
      <c r="S157" s="25"/>
      <c r="T157" s="59" t="s">
        <v>124</v>
      </c>
      <c r="U157" s="25"/>
      <c r="V157" s="5"/>
    </row>
    <row r="158" spans="1:23" ht="15.6" x14ac:dyDescent="0.3">
      <c r="A158" s="24"/>
      <c r="B158" s="25" t="s">
        <v>51</v>
      </c>
      <c r="C158" s="25"/>
      <c r="D158" s="25"/>
      <c r="E158" s="25"/>
      <c r="F158" s="25"/>
      <c r="G158" s="25"/>
      <c r="H158" s="25"/>
      <c r="I158" s="25"/>
      <c r="J158" s="25"/>
      <c r="K158" s="25"/>
      <c r="L158" s="25"/>
      <c r="M158" s="25"/>
      <c r="N158" s="25"/>
      <c r="O158" s="25"/>
      <c r="P158" s="25"/>
      <c r="Q158" s="25"/>
      <c r="R158" s="25"/>
      <c r="S158" s="25"/>
      <c r="T158" s="59" t="s">
        <v>124</v>
      </c>
      <c r="U158" s="25"/>
      <c r="V158" s="5"/>
    </row>
    <row r="159" spans="1:23" ht="15.6" x14ac:dyDescent="0.3">
      <c r="A159" s="24"/>
      <c r="B159" s="25"/>
      <c r="C159" s="25"/>
      <c r="D159" s="25"/>
      <c r="E159" s="25"/>
      <c r="F159" s="25"/>
      <c r="G159" s="25"/>
      <c r="H159" s="25"/>
      <c r="I159" s="25"/>
      <c r="J159" s="25"/>
      <c r="K159" s="25"/>
      <c r="L159" s="25"/>
      <c r="M159" s="25"/>
      <c r="N159" s="25"/>
      <c r="O159" s="25"/>
      <c r="P159" s="25"/>
      <c r="Q159" s="25"/>
      <c r="R159" s="25"/>
      <c r="S159" s="25"/>
      <c r="T159" s="61"/>
      <c r="U159" s="25"/>
      <c r="V159" s="5"/>
    </row>
    <row r="160" spans="1:23" ht="15.6" x14ac:dyDescent="0.3">
      <c r="A160" s="6"/>
      <c r="B160" s="119" t="s">
        <v>52</v>
      </c>
      <c r="C160" s="8"/>
      <c r="D160" s="8"/>
      <c r="E160" s="8"/>
      <c r="F160" s="8"/>
      <c r="G160" s="8"/>
      <c r="H160" s="8"/>
      <c r="I160" s="8"/>
      <c r="J160" s="8"/>
      <c r="K160" s="8"/>
      <c r="L160" s="8"/>
      <c r="M160" s="8"/>
      <c r="N160" s="8"/>
      <c r="O160" s="8"/>
      <c r="P160" s="8"/>
      <c r="Q160" s="8"/>
      <c r="R160" s="8"/>
      <c r="S160" s="8"/>
      <c r="T160" s="63"/>
      <c r="U160" s="8"/>
      <c r="V160" s="5"/>
    </row>
    <row r="161" spans="1:22" ht="15.6" x14ac:dyDescent="0.3">
      <c r="A161" s="24"/>
      <c r="B161" s="25" t="s">
        <v>53</v>
      </c>
      <c r="C161" s="25"/>
      <c r="D161" s="25"/>
      <c r="E161" s="25"/>
      <c r="F161" s="25"/>
      <c r="G161" s="25"/>
      <c r="H161" s="25"/>
      <c r="I161" s="25"/>
      <c r="J161" s="25"/>
      <c r="K161" s="25"/>
      <c r="L161" s="25"/>
      <c r="M161" s="25"/>
      <c r="N161" s="25"/>
      <c r="O161" s="25"/>
      <c r="P161" s="25"/>
      <c r="Q161" s="25"/>
      <c r="R161" s="25"/>
      <c r="S161" s="25"/>
      <c r="T161" s="53">
        <v>0</v>
      </c>
      <c r="U161" s="25"/>
      <c r="V161" s="5"/>
    </row>
    <row r="162" spans="1:22" ht="15.6" x14ac:dyDescent="0.3">
      <c r="A162" s="24"/>
      <c r="B162" s="25" t="s">
        <v>54</v>
      </c>
      <c r="C162" s="25"/>
      <c r="D162" s="25"/>
      <c r="E162" s="25"/>
      <c r="F162" s="25"/>
      <c r="G162" s="25"/>
      <c r="H162" s="25"/>
      <c r="I162" s="25"/>
      <c r="J162" s="25"/>
      <c r="K162" s="25"/>
      <c r="L162" s="25"/>
      <c r="M162" s="25"/>
      <c r="N162" s="25"/>
      <c r="O162" s="25"/>
      <c r="P162" s="25"/>
      <c r="Q162" s="25"/>
      <c r="R162" s="25"/>
      <c r="S162" s="25"/>
      <c r="T162" s="53">
        <f>R113</f>
        <v>561</v>
      </c>
      <c r="U162" s="25"/>
      <c r="V162" s="5"/>
    </row>
    <row r="163" spans="1:22" ht="15.6" x14ac:dyDescent="0.3">
      <c r="A163" s="24"/>
      <c r="B163" s="25" t="s">
        <v>55</v>
      </c>
      <c r="C163" s="25"/>
      <c r="D163" s="25"/>
      <c r="E163" s="25"/>
      <c r="F163" s="25"/>
      <c r="G163" s="25"/>
      <c r="H163" s="25"/>
      <c r="I163" s="25"/>
      <c r="J163" s="25"/>
      <c r="K163" s="25"/>
      <c r="L163" s="25"/>
      <c r="M163" s="25"/>
      <c r="N163" s="25"/>
      <c r="O163" s="25"/>
      <c r="P163" s="25"/>
      <c r="Q163" s="25"/>
      <c r="R163" s="25"/>
      <c r="S163" s="25"/>
      <c r="T163" s="53">
        <f>T162+T161</f>
        <v>561</v>
      </c>
      <c r="U163" s="25"/>
      <c r="V163" s="5"/>
    </row>
    <row r="164" spans="1:22" ht="15.6" x14ac:dyDescent="0.3">
      <c r="A164" s="24"/>
      <c r="B164" s="405" t="s">
        <v>301</v>
      </c>
      <c r="C164" s="25"/>
      <c r="D164" s="25"/>
      <c r="E164" s="25"/>
      <c r="F164" s="25"/>
      <c r="G164" s="25"/>
      <c r="H164" s="25"/>
      <c r="I164" s="25"/>
      <c r="J164" s="25"/>
      <c r="K164" s="25"/>
      <c r="L164" s="25"/>
      <c r="M164" s="25"/>
      <c r="N164" s="25"/>
      <c r="O164" s="25"/>
      <c r="P164" s="25"/>
      <c r="Q164" s="25"/>
      <c r="R164" s="25"/>
      <c r="S164" s="25"/>
      <c r="T164" s="53">
        <f>T113</f>
        <v>-561</v>
      </c>
      <c r="U164" s="25"/>
      <c r="V164" s="5"/>
    </row>
    <row r="165" spans="1:22" ht="15.6" x14ac:dyDescent="0.3">
      <c r="A165" s="24"/>
      <c r="B165" s="25" t="s">
        <v>56</v>
      </c>
      <c r="C165" s="25"/>
      <c r="D165" s="25"/>
      <c r="E165" s="25"/>
      <c r="F165" s="25"/>
      <c r="G165" s="25"/>
      <c r="H165" s="25"/>
      <c r="I165" s="25"/>
      <c r="J165" s="25"/>
      <c r="K165" s="25"/>
      <c r="L165" s="25"/>
      <c r="M165" s="25"/>
      <c r="N165" s="25"/>
      <c r="O165" s="25"/>
      <c r="P165" s="25"/>
      <c r="Q165" s="25"/>
      <c r="R165" s="25"/>
      <c r="S165" s="25"/>
      <c r="T165" s="53">
        <f>T163+T164</f>
        <v>0</v>
      </c>
      <c r="U165" s="25"/>
      <c r="V165" s="5"/>
    </row>
    <row r="166" spans="1:22" ht="15.6" x14ac:dyDescent="0.3">
      <c r="A166" s="24"/>
      <c r="B166" s="25" t="s">
        <v>273</v>
      </c>
      <c r="C166" s="25"/>
      <c r="D166" s="25"/>
      <c r="E166" s="25"/>
      <c r="F166" s="25"/>
      <c r="G166" s="25"/>
      <c r="H166" s="25"/>
      <c r="I166" s="25"/>
      <c r="J166" s="25"/>
      <c r="K166" s="25"/>
      <c r="L166" s="25"/>
      <c r="M166" s="25"/>
      <c r="N166" s="25"/>
      <c r="O166" s="25"/>
      <c r="P166" s="25"/>
      <c r="Q166" s="25"/>
      <c r="R166" s="25"/>
      <c r="S166" s="25"/>
      <c r="T166" s="53">
        <v>0</v>
      </c>
      <c r="U166" s="25"/>
      <c r="V166" s="5"/>
    </row>
    <row r="167" spans="1:22" ht="16.2" thickBot="1" x14ac:dyDescent="0.35">
      <c r="A167" s="24"/>
      <c r="B167" s="25"/>
      <c r="C167" s="25"/>
      <c r="D167" s="25"/>
      <c r="E167" s="25"/>
      <c r="F167" s="25"/>
      <c r="G167" s="25"/>
      <c r="H167" s="25"/>
      <c r="I167" s="25"/>
      <c r="J167" s="25"/>
      <c r="K167" s="25"/>
      <c r="L167" s="25"/>
      <c r="M167" s="25"/>
      <c r="N167" s="25"/>
      <c r="O167" s="25"/>
      <c r="P167" s="25"/>
      <c r="Q167" s="25"/>
      <c r="R167" s="25"/>
      <c r="S167" s="25"/>
      <c r="T167" s="61"/>
      <c r="U167" s="25"/>
      <c r="V167" s="5"/>
    </row>
    <row r="168" spans="1:22" ht="15.6" x14ac:dyDescent="0.3">
      <c r="A168" s="2"/>
      <c r="B168" s="4"/>
      <c r="C168" s="4"/>
      <c r="D168" s="4"/>
      <c r="E168" s="4"/>
      <c r="F168" s="4"/>
      <c r="G168" s="4"/>
      <c r="H168" s="4"/>
      <c r="I168" s="4"/>
      <c r="J168" s="4"/>
      <c r="K168" s="4"/>
      <c r="L168" s="4"/>
      <c r="M168" s="4"/>
      <c r="N168" s="4"/>
      <c r="O168" s="4"/>
      <c r="P168" s="4"/>
      <c r="Q168" s="4"/>
      <c r="R168" s="4"/>
      <c r="S168" s="4"/>
      <c r="T168" s="50"/>
      <c r="U168" s="4"/>
      <c r="V168" s="5"/>
    </row>
    <row r="169" spans="1:22" ht="15.6" x14ac:dyDescent="0.3">
      <c r="A169" s="6"/>
      <c r="B169" s="119" t="s">
        <v>57</v>
      </c>
      <c r="C169" s="8"/>
      <c r="D169" s="8"/>
      <c r="E169" s="8"/>
      <c r="F169" s="8"/>
      <c r="G169" s="8"/>
      <c r="H169" s="8"/>
      <c r="I169" s="8"/>
      <c r="J169" s="8"/>
      <c r="K169" s="8"/>
      <c r="L169" s="8"/>
      <c r="M169" s="8"/>
      <c r="N169" s="8"/>
      <c r="O169" s="8"/>
      <c r="P169" s="8"/>
      <c r="Q169" s="8"/>
      <c r="R169" s="8"/>
      <c r="S169" s="8"/>
      <c r="T169" s="52"/>
      <c r="U169" s="8"/>
      <c r="V169" s="5"/>
    </row>
    <row r="170" spans="1:22" ht="15.6" x14ac:dyDescent="0.3">
      <c r="A170" s="6"/>
      <c r="B170" s="21"/>
      <c r="C170" s="8"/>
      <c r="D170" s="8"/>
      <c r="E170" s="8"/>
      <c r="F170" s="8"/>
      <c r="G170" s="8"/>
      <c r="H170" s="8"/>
      <c r="I170" s="8"/>
      <c r="J170" s="8"/>
      <c r="K170" s="8"/>
      <c r="L170" s="8"/>
      <c r="M170" s="8"/>
      <c r="N170" s="8"/>
      <c r="O170" s="8"/>
      <c r="P170" s="8"/>
      <c r="Q170" s="8"/>
      <c r="R170" s="8"/>
      <c r="S170" s="8"/>
      <c r="T170" s="52"/>
      <c r="U170" s="8"/>
      <c r="V170" s="5"/>
    </row>
    <row r="171" spans="1:22" ht="15.6" x14ac:dyDescent="0.3">
      <c r="A171" s="24"/>
      <c r="B171" s="25" t="s">
        <v>58</v>
      </c>
      <c r="C171" s="25"/>
      <c r="D171" s="25"/>
      <c r="E171" s="25"/>
      <c r="F171" s="25"/>
      <c r="G171" s="25"/>
      <c r="H171" s="25"/>
      <c r="I171" s="25"/>
      <c r="J171" s="25"/>
      <c r="K171" s="25"/>
      <c r="L171" s="25"/>
      <c r="M171" s="25"/>
      <c r="N171" s="25"/>
      <c r="O171" s="25"/>
      <c r="P171" s="25"/>
      <c r="Q171" s="25"/>
      <c r="R171" s="25"/>
      <c r="S171" s="25"/>
      <c r="T171" s="53">
        <f>T72</f>
        <v>601403</v>
      </c>
      <c r="U171" s="25"/>
      <c r="V171" s="5"/>
    </row>
    <row r="172" spans="1:22" ht="15.6" x14ac:dyDescent="0.3">
      <c r="A172" s="24"/>
      <c r="B172" s="25" t="s">
        <v>59</v>
      </c>
      <c r="C172" s="25"/>
      <c r="D172" s="25"/>
      <c r="E172" s="25"/>
      <c r="F172" s="25"/>
      <c r="G172" s="25"/>
      <c r="H172" s="25"/>
      <c r="I172" s="25"/>
      <c r="J172" s="25"/>
      <c r="K172" s="25"/>
      <c r="L172" s="25"/>
      <c r="M172" s="25"/>
      <c r="N172" s="25"/>
      <c r="O172" s="25"/>
      <c r="P172" s="25"/>
      <c r="Q172" s="25"/>
      <c r="R172" s="25"/>
      <c r="S172" s="25"/>
      <c r="T172" s="53">
        <f>T85</f>
        <v>601403</v>
      </c>
      <c r="U172" s="25"/>
      <c r="V172" s="5"/>
    </row>
    <row r="173" spans="1:22" ht="16.2" thickBot="1" x14ac:dyDescent="0.35">
      <c r="A173" s="24"/>
      <c r="B173" s="25"/>
      <c r="C173" s="25"/>
      <c r="D173" s="25"/>
      <c r="E173" s="25"/>
      <c r="F173" s="25"/>
      <c r="G173" s="25"/>
      <c r="H173" s="25"/>
      <c r="I173" s="25"/>
      <c r="J173" s="25"/>
      <c r="K173" s="25"/>
      <c r="L173" s="25"/>
      <c r="M173" s="25"/>
      <c r="N173" s="25"/>
      <c r="O173" s="25"/>
      <c r="P173" s="25"/>
      <c r="Q173" s="25"/>
      <c r="R173" s="25"/>
      <c r="S173" s="25"/>
      <c r="T173" s="61"/>
      <c r="U173" s="25"/>
      <c r="V173" s="5"/>
    </row>
    <row r="174" spans="1:22" ht="15.6" x14ac:dyDescent="0.3">
      <c r="A174" s="2"/>
      <c r="B174" s="4"/>
      <c r="C174" s="4"/>
      <c r="D174" s="4"/>
      <c r="E174" s="4"/>
      <c r="F174" s="4"/>
      <c r="G174" s="4"/>
      <c r="H174" s="4"/>
      <c r="I174" s="4"/>
      <c r="J174" s="4"/>
      <c r="K174" s="4"/>
      <c r="L174" s="4"/>
      <c r="M174" s="4"/>
      <c r="N174" s="4"/>
      <c r="O174" s="4"/>
      <c r="P174" s="4"/>
      <c r="Q174" s="4"/>
      <c r="R174" s="4"/>
      <c r="S174" s="4"/>
      <c r="T174" s="50"/>
      <c r="U174" s="4"/>
      <c r="V174" s="5"/>
    </row>
    <row r="175" spans="1:22" ht="15.6" x14ac:dyDescent="0.3">
      <c r="A175" s="6"/>
      <c r="B175" s="119" t="s">
        <v>60</v>
      </c>
      <c r="C175" s="117"/>
      <c r="D175" s="117"/>
      <c r="E175" s="117"/>
      <c r="F175" s="117"/>
      <c r="G175" s="117"/>
      <c r="H175" s="120"/>
      <c r="I175" s="120"/>
      <c r="J175" s="120"/>
      <c r="K175" s="120"/>
      <c r="L175" s="120"/>
      <c r="M175" s="120"/>
      <c r="N175" s="120"/>
      <c r="O175" s="120"/>
      <c r="P175" s="120"/>
      <c r="Q175" s="120" t="s">
        <v>104</v>
      </c>
      <c r="R175" s="120" t="s">
        <v>183</v>
      </c>
      <c r="S175" s="111"/>
      <c r="T175" s="121" t="s">
        <v>120</v>
      </c>
      <c r="U175" s="10"/>
      <c r="V175" s="5"/>
    </row>
    <row r="176" spans="1:22" ht="15.6" x14ac:dyDescent="0.3">
      <c r="A176" s="24"/>
      <c r="B176" s="25" t="s">
        <v>61</v>
      </c>
      <c r="C176" s="25"/>
      <c r="D176" s="25"/>
      <c r="E176" s="25"/>
      <c r="F176" s="25"/>
      <c r="G176" s="25"/>
      <c r="H176" s="25"/>
      <c r="I176" s="25"/>
      <c r="J176" s="25"/>
      <c r="K176" s="25"/>
      <c r="L176" s="25"/>
      <c r="M176" s="25"/>
      <c r="N176" s="25"/>
      <c r="O176" s="25"/>
      <c r="P176" s="25"/>
      <c r="Q176" s="53">
        <v>160008</v>
      </c>
      <c r="R176" s="40"/>
      <c r="S176" s="25"/>
      <c r="T176" s="53"/>
      <c r="U176" s="25"/>
      <c r="V176" s="5"/>
    </row>
    <row r="177" spans="1:22" ht="15.6" x14ac:dyDescent="0.3">
      <c r="A177" s="24"/>
      <c r="B177" s="25" t="s">
        <v>62</v>
      </c>
      <c r="C177" s="25"/>
      <c r="D177" s="25"/>
      <c r="E177" s="25"/>
      <c r="F177" s="25"/>
      <c r="G177" s="25"/>
      <c r="H177" s="25"/>
      <c r="I177" s="25"/>
      <c r="J177" s="25"/>
      <c r="K177" s="25"/>
      <c r="L177" s="25"/>
      <c r="M177" s="25"/>
      <c r="N177" s="25"/>
      <c r="O177" s="25"/>
      <c r="P177" s="25"/>
      <c r="Q177" s="53">
        <f>+'Dec 09'!Q179</f>
        <v>35398</v>
      </c>
      <c r="R177" s="53">
        <f>+'Dec 09'!R179</f>
        <v>3413</v>
      </c>
      <c r="S177" s="25"/>
      <c r="T177" s="53">
        <f>Q177+R177</f>
        <v>38811</v>
      </c>
      <c r="U177" s="25"/>
      <c r="V177" s="5"/>
    </row>
    <row r="178" spans="1:22" ht="15.6" x14ac:dyDescent="0.3">
      <c r="A178" s="24"/>
      <c r="B178" s="25" t="s">
        <v>63</v>
      </c>
      <c r="C178" s="25"/>
      <c r="D178" s="25"/>
      <c r="E178" s="25"/>
      <c r="F178" s="25"/>
      <c r="G178" s="25"/>
      <c r="H178" s="25"/>
      <c r="I178" s="25"/>
      <c r="J178" s="25"/>
      <c r="K178" s="25"/>
      <c r="L178" s="25"/>
      <c r="M178" s="25"/>
      <c r="N178" s="25"/>
      <c r="O178" s="25"/>
      <c r="P178" s="25"/>
      <c r="Q178" s="34">
        <f>100</f>
        <v>100</v>
      </c>
      <c r="R178" s="34">
        <v>34</v>
      </c>
      <c r="S178" s="25"/>
      <c r="T178" s="53">
        <f>Q178+R178</f>
        <v>134</v>
      </c>
      <c r="U178" s="25"/>
      <c r="V178" s="5"/>
    </row>
    <row r="179" spans="1:22" ht="15.6" x14ac:dyDescent="0.3">
      <c r="A179" s="24"/>
      <c r="B179" s="25" t="s">
        <v>64</v>
      </c>
      <c r="C179" s="25"/>
      <c r="D179" s="25"/>
      <c r="E179" s="25"/>
      <c r="F179" s="25"/>
      <c r="G179" s="25"/>
      <c r="H179" s="25"/>
      <c r="I179" s="25"/>
      <c r="J179" s="25"/>
      <c r="K179" s="25"/>
      <c r="L179" s="25"/>
      <c r="M179" s="25"/>
      <c r="N179" s="25"/>
      <c r="O179" s="25"/>
      <c r="P179" s="25"/>
      <c r="Q179" s="53">
        <f>Q177+Q178</f>
        <v>35498</v>
      </c>
      <c r="R179" s="53">
        <f>R178+R177</f>
        <v>3447</v>
      </c>
      <c r="S179" s="25"/>
      <c r="T179" s="53">
        <f>Q179+R179</f>
        <v>38945</v>
      </c>
      <c r="U179" s="25"/>
      <c r="V179" s="5"/>
    </row>
    <row r="180" spans="1:22" ht="15.6" x14ac:dyDescent="0.3">
      <c r="A180" s="24"/>
      <c r="B180" s="25" t="s">
        <v>65</v>
      </c>
      <c r="C180" s="25"/>
      <c r="D180" s="25"/>
      <c r="E180" s="25"/>
      <c r="F180" s="25"/>
      <c r="G180" s="25"/>
      <c r="H180" s="25"/>
      <c r="I180" s="25"/>
      <c r="J180" s="25"/>
      <c r="K180" s="25"/>
      <c r="L180" s="25"/>
      <c r="M180" s="25"/>
      <c r="N180" s="25"/>
      <c r="O180" s="25"/>
      <c r="P180" s="25"/>
      <c r="Q180" s="53">
        <f>Q176-Q179-R179</f>
        <v>121063</v>
      </c>
      <c r="R180" s="40"/>
      <c r="S180" s="25"/>
      <c r="T180" s="53"/>
      <c r="U180" s="25"/>
      <c r="V180" s="5"/>
    </row>
    <row r="181" spans="1:22" ht="16.2" thickBot="1" x14ac:dyDescent="0.35">
      <c r="A181" s="24"/>
      <c r="B181" s="25"/>
      <c r="C181" s="25"/>
      <c r="D181" s="25"/>
      <c r="E181" s="25"/>
      <c r="F181" s="25"/>
      <c r="G181" s="25"/>
      <c r="H181" s="25"/>
      <c r="I181" s="25"/>
      <c r="J181" s="25"/>
      <c r="K181" s="25"/>
      <c r="L181" s="25"/>
      <c r="M181" s="25"/>
      <c r="N181" s="25"/>
      <c r="O181" s="25"/>
      <c r="P181" s="25"/>
      <c r="Q181" s="25"/>
      <c r="R181" s="25"/>
      <c r="S181" s="25"/>
      <c r="T181" s="61"/>
      <c r="U181" s="25"/>
      <c r="V181" s="5"/>
    </row>
    <row r="182" spans="1:22" ht="15.6" x14ac:dyDescent="0.3">
      <c r="A182" s="2"/>
      <c r="B182" s="4"/>
      <c r="C182" s="4"/>
      <c r="D182" s="4"/>
      <c r="E182" s="4"/>
      <c r="F182" s="4"/>
      <c r="G182" s="4"/>
      <c r="H182" s="4"/>
      <c r="I182" s="4"/>
      <c r="J182" s="4"/>
      <c r="K182" s="4"/>
      <c r="L182" s="4"/>
      <c r="M182" s="4"/>
      <c r="N182" s="4"/>
      <c r="O182" s="4"/>
      <c r="P182" s="4"/>
      <c r="Q182" s="4"/>
      <c r="R182" s="4"/>
      <c r="S182" s="4"/>
      <c r="T182" s="50"/>
      <c r="U182" s="4"/>
      <c r="V182" s="5"/>
    </row>
    <row r="183" spans="1:22" ht="15.6" x14ac:dyDescent="0.3">
      <c r="A183" s="6"/>
      <c r="B183" s="119" t="s">
        <v>66</v>
      </c>
      <c r="C183" s="8"/>
      <c r="D183" s="8"/>
      <c r="E183" s="8"/>
      <c r="F183" s="8"/>
      <c r="G183" s="8"/>
      <c r="H183" s="8"/>
      <c r="I183" s="8"/>
      <c r="J183" s="8"/>
      <c r="K183" s="8"/>
      <c r="L183" s="8"/>
      <c r="M183" s="8"/>
      <c r="N183" s="8"/>
      <c r="O183" s="8"/>
      <c r="P183" s="8"/>
      <c r="Q183" s="8"/>
      <c r="R183" s="8"/>
      <c r="S183" s="8"/>
      <c r="T183" s="65"/>
      <c r="U183" s="8"/>
      <c r="V183" s="5"/>
    </row>
    <row r="184" spans="1:22" ht="15.6" x14ac:dyDescent="0.3">
      <c r="A184" s="24"/>
      <c r="B184" s="25" t="s">
        <v>67</v>
      </c>
      <c r="C184" s="25"/>
      <c r="D184" s="25"/>
      <c r="E184" s="25"/>
      <c r="F184" s="25"/>
      <c r="G184" s="25"/>
      <c r="H184" s="25"/>
      <c r="I184" s="25"/>
      <c r="J184" s="25"/>
      <c r="K184" s="25"/>
      <c r="L184" s="25"/>
      <c r="M184" s="25"/>
      <c r="N184" s="25"/>
      <c r="O184" s="25"/>
      <c r="P184" s="25"/>
      <c r="Q184" s="25"/>
      <c r="R184" s="25"/>
      <c r="S184" s="25"/>
      <c r="T184" s="59">
        <f>(T101+T103+T104+T105+T106)/-(T107+T108)</f>
        <v>3.5967174677608442</v>
      </c>
      <c r="U184" s="25" t="s">
        <v>121</v>
      </c>
      <c r="V184" s="5"/>
    </row>
    <row r="185" spans="1:22" ht="15.6" x14ac:dyDescent="0.3">
      <c r="A185" s="24"/>
      <c r="B185" s="25" t="s">
        <v>68</v>
      </c>
      <c r="C185" s="25"/>
      <c r="D185" s="25"/>
      <c r="E185" s="25"/>
      <c r="F185" s="25"/>
      <c r="G185" s="25"/>
      <c r="H185" s="25"/>
      <c r="I185" s="25"/>
      <c r="J185" s="25"/>
      <c r="K185" s="25"/>
      <c r="L185" s="25"/>
      <c r="M185" s="25"/>
      <c r="N185" s="25"/>
      <c r="O185" s="25"/>
      <c r="P185" s="25"/>
      <c r="Q185" s="25"/>
      <c r="R185" s="25"/>
      <c r="S185" s="25"/>
      <c r="T185" s="66">
        <v>1.51</v>
      </c>
      <c r="U185" s="25" t="s">
        <v>121</v>
      </c>
      <c r="V185" s="5"/>
    </row>
    <row r="186" spans="1:22" ht="15.6" x14ac:dyDescent="0.3">
      <c r="A186" s="24"/>
      <c r="B186" s="25" t="s">
        <v>69</v>
      </c>
      <c r="C186" s="25"/>
      <c r="D186" s="25"/>
      <c r="E186" s="25"/>
      <c r="F186" s="25"/>
      <c r="G186" s="25"/>
      <c r="H186" s="25"/>
      <c r="I186" s="25"/>
      <c r="J186" s="25"/>
      <c r="K186" s="25"/>
      <c r="L186" s="25"/>
      <c r="M186" s="25"/>
      <c r="N186" s="25"/>
      <c r="O186" s="25"/>
      <c r="P186" s="25"/>
      <c r="Q186" s="25"/>
      <c r="R186" s="25"/>
      <c r="S186" s="25"/>
      <c r="T186" s="59">
        <f>(T101+T103+T104+T105+T106+T107+T108)/-(T109+T110)</f>
        <v>14.383116883116884</v>
      </c>
      <c r="U186" s="25" t="s">
        <v>121</v>
      </c>
      <c r="V186" s="5"/>
    </row>
    <row r="187" spans="1:22" ht="15.6" x14ac:dyDescent="0.3">
      <c r="A187" s="24"/>
      <c r="B187" s="25" t="s">
        <v>70</v>
      </c>
      <c r="C187" s="25"/>
      <c r="D187" s="25"/>
      <c r="E187" s="25"/>
      <c r="F187" s="25"/>
      <c r="G187" s="25"/>
      <c r="H187" s="25"/>
      <c r="I187" s="25"/>
      <c r="J187" s="25"/>
      <c r="K187" s="25"/>
      <c r="L187" s="25"/>
      <c r="M187" s="25"/>
      <c r="N187" s="25"/>
      <c r="O187" s="25"/>
      <c r="P187" s="25"/>
      <c r="Q187" s="25"/>
      <c r="R187" s="25"/>
      <c r="S187" s="25"/>
      <c r="T187" s="66">
        <v>4.75</v>
      </c>
      <c r="U187" s="25" t="s">
        <v>121</v>
      </c>
      <c r="V187" s="5"/>
    </row>
    <row r="188" spans="1:22" ht="15.6" x14ac:dyDescent="0.3">
      <c r="A188" s="24"/>
      <c r="B188" s="25" t="s">
        <v>206</v>
      </c>
      <c r="C188" s="25"/>
      <c r="D188" s="25"/>
      <c r="E188" s="25"/>
      <c r="F188" s="25"/>
      <c r="G188" s="25"/>
      <c r="H188" s="25"/>
      <c r="I188" s="25"/>
      <c r="J188" s="25"/>
      <c r="K188" s="25"/>
      <c r="L188" s="25"/>
      <c r="M188" s="25"/>
      <c r="N188" s="25"/>
      <c r="O188" s="25"/>
      <c r="P188" s="25"/>
      <c r="Q188" s="25"/>
      <c r="R188" s="25"/>
      <c r="S188" s="25"/>
      <c r="T188" s="59">
        <f>(T101+T103+T104+T105+T106+T107+T108+T109+T110)/-(T111)</f>
        <v>12.644171779141104</v>
      </c>
      <c r="U188" s="25" t="s">
        <v>121</v>
      </c>
      <c r="V188" s="5"/>
    </row>
    <row r="189" spans="1:22" ht="15.6" x14ac:dyDescent="0.3">
      <c r="A189" s="24"/>
      <c r="B189" s="25" t="s">
        <v>207</v>
      </c>
      <c r="C189" s="25"/>
      <c r="D189" s="25"/>
      <c r="E189" s="25"/>
      <c r="F189" s="25"/>
      <c r="G189" s="25"/>
      <c r="H189" s="25"/>
      <c r="I189" s="25"/>
      <c r="J189" s="25"/>
      <c r="K189" s="25"/>
      <c r="L189" s="25"/>
      <c r="M189" s="25"/>
      <c r="N189" s="25"/>
      <c r="O189" s="25"/>
      <c r="P189" s="25"/>
      <c r="Q189" s="25"/>
      <c r="R189" s="25"/>
      <c r="S189" s="25"/>
      <c r="T189" s="66">
        <v>4.3</v>
      </c>
      <c r="U189" s="25" t="s">
        <v>121</v>
      </c>
      <c r="V189" s="5"/>
    </row>
    <row r="190" spans="1:22" ht="15.6" x14ac:dyDescent="0.3">
      <c r="A190" s="24"/>
      <c r="B190" s="25"/>
      <c r="C190" s="25"/>
      <c r="D190" s="25"/>
      <c r="E190" s="25"/>
      <c r="F190" s="25"/>
      <c r="G190" s="25"/>
      <c r="H190" s="25"/>
      <c r="I190" s="25"/>
      <c r="J190" s="25"/>
      <c r="K190" s="25"/>
      <c r="L190" s="25"/>
      <c r="M190" s="25"/>
      <c r="N190" s="25"/>
      <c r="O190" s="25"/>
      <c r="P190" s="25"/>
      <c r="Q190" s="25"/>
      <c r="R190" s="25"/>
      <c r="S190" s="25"/>
      <c r="T190" s="25"/>
      <c r="U190" s="25"/>
      <c r="V190" s="5"/>
    </row>
    <row r="191" spans="1:22" ht="15.6" x14ac:dyDescent="0.3">
      <c r="A191" s="24"/>
      <c r="B191" s="25"/>
      <c r="C191" s="25"/>
      <c r="D191" s="25"/>
      <c r="E191" s="25"/>
      <c r="F191" s="25"/>
      <c r="G191" s="25"/>
      <c r="H191" s="25"/>
      <c r="I191" s="25"/>
      <c r="J191" s="25"/>
      <c r="K191" s="25"/>
      <c r="L191" s="25"/>
      <c r="M191" s="25"/>
      <c r="N191" s="25"/>
      <c r="O191" s="25"/>
      <c r="P191" s="25"/>
      <c r="Q191" s="25"/>
      <c r="R191" s="25"/>
      <c r="S191" s="25"/>
      <c r="T191" s="25"/>
      <c r="U191" s="25"/>
      <c r="V191" s="5"/>
    </row>
    <row r="192" spans="1:22" ht="15.6" x14ac:dyDescent="0.3">
      <c r="A192" s="6"/>
      <c r="B192" s="8"/>
      <c r="C192" s="8"/>
      <c r="D192" s="8"/>
      <c r="E192" s="8"/>
      <c r="F192" s="8"/>
      <c r="G192" s="8"/>
      <c r="H192" s="8"/>
      <c r="I192" s="8"/>
      <c r="J192" s="8"/>
      <c r="K192" s="8"/>
      <c r="L192" s="8"/>
      <c r="M192" s="8"/>
      <c r="N192" s="8"/>
      <c r="O192" s="8"/>
      <c r="P192" s="8"/>
      <c r="Q192" s="8"/>
      <c r="R192" s="8"/>
      <c r="S192" s="8"/>
      <c r="T192" s="8"/>
      <c r="U192" s="8"/>
      <c r="V192" s="5"/>
    </row>
    <row r="193" spans="1:22" ht="18" thickBot="1" x14ac:dyDescent="0.35">
      <c r="A193" s="101"/>
      <c r="B193" s="102" t="str">
        <f>B133</f>
        <v>PM11 INVESTOR REPORT QUARTER ENDING MARCH 2010</v>
      </c>
      <c r="C193" s="165"/>
      <c r="D193" s="165"/>
      <c r="E193" s="165"/>
      <c r="F193" s="165"/>
      <c r="G193" s="165"/>
      <c r="H193" s="165"/>
      <c r="I193" s="165"/>
      <c r="J193" s="165"/>
      <c r="K193" s="165"/>
      <c r="L193" s="165"/>
      <c r="M193" s="165"/>
      <c r="N193" s="165"/>
      <c r="O193" s="165"/>
      <c r="P193" s="165"/>
      <c r="Q193" s="165"/>
      <c r="R193" s="165"/>
      <c r="S193" s="165"/>
      <c r="T193" s="165"/>
      <c r="U193" s="166"/>
      <c r="V193" s="5"/>
    </row>
    <row r="194" spans="1:22" ht="15.6" x14ac:dyDescent="0.3">
      <c r="A194" s="67"/>
      <c r="B194" s="60" t="s">
        <v>71</v>
      </c>
      <c r="C194" s="68"/>
      <c r="D194" s="68"/>
      <c r="E194" s="68"/>
      <c r="F194" s="68"/>
      <c r="G194" s="69"/>
      <c r="H194" s="69"/>
      <c r="I194" s="69"/>
      <c r="J194" s="69"/>
      <c r="K194" s="69"/>
      <c r="L194" s="69"/>
      <c r="M194" s="69"/>
      <c r="N194" s="69"/>
      <c r="O194" s="69"/>
      <c r="P194" s="69"/>
      <c r="Q194" s="69"/>
      <c r="R194" s="70">
        <v>40268</v>
      </c>
      <c r="S194" s="4"/>
      <c r="T194" s="4"/>
      <c r="U194" s="4"/>
      <c r="V194" s="5"/>
    </row>
    <row r="195" spans="1:22" ht="15.6" x14ac:dyDescent="0.3">
      <c r="A195" s="71"/>
      <c r="B195" s="72"/>
      <c r="C195" s="73"/>
      <c r="D195" s="73"/>
      <c r="E195" s="73"/>
      <c r="F195" s="73"/>
      <c r="G195" s="74"/>
      <c r="H195" s="74"/>
      <c r="I195" s="74"/>
      <c r="J195" s="74"/>
      <c r="K195" s="74"/>
      <c r="L195" s="74"/>
      <c r="M195" s="74"/>
      <c r="N195" s="74"/>
      <c r="O195" s="74"/>
      <c r="P195" s="74"/>
      <c r="Q195" s="74"/>
      <c r="R195" s="74"/>
      <c r="S195" s="8"/>
      <c r="T195" s="8"/>
      <c r="U195" s="8"/>
      <c r="V195" s="5"/>
    </row>
    <row r="196" spans="1:22" ht="15.6" x14ac:dyDescent="0.3">
      <c r="A196" s="75"/>
      <c r="B196" s="76" t="s">
        <v>72</v>
      </c>
      <c r="C196" s="77"/>
      <c r="D196" s="77"/>
      <c r="E196" s="77"/>
      <c r="F196" s="77"/>
      <c r="G196" s="64"/>
      <c r="H196" s="64"/>
      <c r="I196" s="64"/>
      <c r="J196" s="64"/>
      <c r="K196" s="64"/>
      <c r="L196" s="64"/>
      <c r="M196" s="64"/>
      <c r="N196" s="64"/>
      <c r="O196" s="64"/>
      <c r="P196" s="64"/>
      <c r="Q196" s="64"/>
      <c r="R196" s="78">
        <v>5.1569999999999998E-2</v>
      </c>
      <c r="S196" s="25"/>
      <c r="T196" s="25"/>
      <c r="U196" s="25"/>
      <c r="V196" s="5"/>
    </row>
    <row r="197" spans="1:22" ht="15.6" x14ac:dyDescent="0.3">
      <c r="A197" s="75"/>
      <c r="B197" s="76" t="s">
        <v>157</v>
      </c>
      <c r="C197" s="77"/>
      <c r="D197" s="77"/>
      <c r="E197" s="77"/>
      <c r="F197" s="77"/>
      <c r="G197" s="64"/>
      <c r="H197" s="64"/>
      <c r="I197" s="64"/>
      <c r="J197" s="64"/>
      <c r="K197" s="64"/>
      <c r="L197" s="64"/>
      <c r="M197" s="64"/>
      <c r="N197" s="64"/>
      <c r="O197" s="64"/>
      <c r="P197" s="64"/>
      <c r="Q197" s="64"/>
      <c r="R197" s="39">
        <v>4.6899999999999997E-2</v>
      </c>
      <c r="S197" s="25"/>
      <c r="T197" s="25"/>
      <c r="U197" s="25"/>
      <c r="V197" s="5"/>
    </row>
    <row r="198" spans="1:22" ht="15.6" x14ac:dyDescent="0.3">
      <c r="A198" s="75"/>
      <c r="B198" s="76" t="s">
        <v>73</v>
      </c>
      <c r="C198" s="77"/>
      <c r="D198" s="77"/>
      <c r="E198" s="77"/>
      <c r="F198" s="77"/>
      <c r="G198" s="64"/>
      <c r="H198" s="64"/>
      <c r="I198" s="64"/>
      <c r="J198" s="64"/>
      <c r="K198" s="64"/>
      <c r="L198" s="64"/>
      <c r="M198" s="64"/>
      <c r="N198" s="64"/>
      <c r="O198" s="64"/>
      <c r="P198" s="64"/>
      <c r="Q198" s="64"/>
      <c r="R198" s="78">
        <f>R196-R197</f>
        <v>4.6700000000000005E-3</v>
      </c>
      <c r="S198" s="25"/>
      <c r="T198" s="25"/>
      <c r="U198" s="25"/>
      <c r="V198" s="5"/>
    </row>
    <row r="199" spans="1:22" ht="15.6" x14ac:dyDescent="0.3">
      <c r="A199" s="75"/>
      <c r="B199" s="76" t="s">
        <v>74</v>
      </c>
      <c r="C199" s="77"/>
      <c r="D199" s="77"/>
      <c r="E199" s="77"/>
      <c r="F199" s="77"/>
      <c r="G199" s="64"/>
      <c r="H199" s="64"/>
      <c r="I199" s="64"/>
      <c r="J199" s="64"/>
      <c r="K199" s="64"/>
      <c r="L199" s="64"/>
      <c r="M199" s="64"/>
      <c r="N199" s="64"/>
      <c r="O199" s="64"/>
      <c r="P199" s="64"/>
      <c r="Q199" s="64"/>
      <c r="R199" s="78">
        <v>3.1879999999999999E-2</v>
      </c>
      <c r="S199" s="25"/>
      <c r="T199" s="25"/>
      <c r="U199" s="25"/>
      <c r="V199" s="5"/>
    </row>
    <row r="200" spans="1:22" ht="15.6" x14ac:dyDescent="0.3">
      <c r="A200" s="75"/>
      <c r="B200" s="76" t="s">
        <v>257</v>
      </c>
      <c r="C200" s="77"/>
      <c r="D200" s="77"/>
      <c r="E200" s="77"/>
      <c r="F200" s="77"/>
      <c r="G200" s="64"/>
      <c r="H200" s="64"/>
      <c r="I200" s="64"/>
      <c r="J200" s="64"/>
      <c r="K200" s="64"/>
      <c r="L200" s="64"/>
      <c r="M200" s="64"/>
      <c r="N200" s="64"/>
      <c r="O200" s="64"/>
      <c r="P200" s="64"/>
      <c r="Q200" s="64"/>
      <c r="R200" s="78">
        <f>T43</f>
        <v>7.8438222604549773E-3</v>
      </c>
      <c r="S200" s="25"/>
      <c r="T200" s="25"/>
      <c r="U200" s="25"/>
      <c r="V200" s="5"/>
    </row>
    <row r="201" spans="1:22" ht="15.6" x14ac:dyDescent="0.3">
      <c r="A201" s="75"/>
      <c r="B201" s="76" t="s">
        <v>75</v>
      </c>
      <c r="C201" s="77"/>
      <c r="D201" s="77"/>
      <c r="E201" s="77"/>
      <c r="F201" s="77"/>
      <c r="G201" s="64"/>
      <c r="H201" s="64"/>
      <c r="I201" s="64"/>
      <c r="J201" s="64"/>
      <c r="K201" s="64"/>
      <c r="L201" s="64"/>
      <c r="M201" s="64"/>
      <c r="N201" s="64"/>
      <c r="O201" s="64"/>
      <c r="P201" s="64"/>
      <c r="Q201" s="64"/>
      <c r="R201" s="78">
        <f>R199-R200</f>
        <v>2.4036177739545021E-2</v>
      </c>
      <c r="S201" s="25"/>
      <c r="T201" s="25"/>
      <c r="U201" s="25"/>
      <c r="V201" s="5"/>
    </row>
    <row r="202" spans="1:22" ht="15.6" x14ac:dyDescent="0.3">
      <c r="A202" s="75"/>
      <c r="B202" s="76" t="s">
        <v>260</v>
      </c>
      <c r="C202" s="77"/>
      <c r="D202" s="77"/>
      <c r="E202" s="77"/>
      <c r="F202" s="77"/>
      <c r="G202" s="64"/>
      <c r="H202" s="64"/>
      <c r="I202" s="64"/>
      <c r="J202" s="64"/>
      <c r="K202" s="64"/>
      <c r="L202" s="64"/>
      <c r="M202" s="64"/>
      <c r="N202" s="64"/>
      <c r="O202" s="64"/>
      <c r="P202" s="64"/>
      <c r="Q202" s="64"/>
      <c r="R202" s="78">
        <f>+T101/L72</f>
        <v>8.8227371802604686E-3</v>
      </c>
      <c r="S202" s="25"/>
      <c r="T202" s="25"/>
      <c r="U202" s="25"/>
      <c r="V202" s="5"/>
    </row>
    <row r="203" spans="1:22" ht="15.6" x14ac:dyDescent="0.3">
      <c r="A203" s="75"/>
      <c r="B203" s="76" t="s">
        <v>217</v>
      </c>
      <c r="C203" s="77"/>
      <c r="D203" s="77"/>
      <c r="E203" s="77"/>
      <c r="F203" s="77"/>
      <c r="G203" s="64"/>
      <c r="H203" s="64"/>
      <c r="I203" s="64"/>
      <c r="J203" s="64"/>
      <c r="K203" s="64"/>
      <c r="L203" s="64"/>
      <c r="M203" s="64"/>
      <c r="N203" s="64"/>
      <c r="O203" s="64"/>
      <c r="P203" s="64"/>
      <c r="Q203" s="64"/>
      <c r="R203" s="129">
        <v>15250</v>
      </c>
      <c r="S203" s="25"/>
      <c r="T203" s="25"/>
      <c r="U203" s="25"/>
      <c r="V203" s="5"/>
    </row>
    <row r="204" spans="1:22" ht="15.6" x14ac:dyDescent="0.3">
      <c r="A204" s="75"/>
      <c r="B204" s="76" t="s">
        <v>218</v>
      </c>
      <c r="C204" s="77"/>
      <c r="D204" s="77"/>
      <c r="E204" s="77"/>
      <c r="F204" s="77"/>
      <c r="G204" s="64"/>
      <c r="H204" s="64"/>
      <c r="I204" s="64"/>
      <c r="J204" s="64"/>
      <c r="K204" s="64"/>
      <c r="L204" s="64"/>
      <c r="M204" s="64"/>
      <c r="N204" s="64"/>
      <c r="O204" s="64"/>
      <c r="P204" s="64"/>
      <c r="Q204" s="64"/>
      <c r="R204" s="129">
        <v>15250</v>
      </c>
      <c r="S204" s="25"/>
      <c r="T204" s="25"/>
      <c r="U204" s="25"/>
      <c r="V204" s="5"/>
    </row>
    <row r="205" spans="1:22" ht="15.6" x14ac:dyDescent="0.3">
      <c r="A205" s="75"/>
      <c r="B205" s="76" t="s">
        <v>219</v>
      </c>
      <c r="C205" s="77"/>
      <c r="D205" s="77"/>
      <c r="E205" s="77"/>
      <c r="F205" s="77"/>
      <c r="G205" s="64"/>
      <c r="H205" s="64"/>
      <c r="I205" s="64"/>
      <c r="J205" s="64"/>
      <c r="K205" s="64"/>
      <c r="L205" s="64"/>
      <c r="M205" s="64"/>
      <c r="N205" s="64"/>
      <c r="O205" s="64"/>
      <c r="P205" s="64"/>
      <c r="Q205" s="64"/>
      <c r="R205" s="129">
        <v>15250</v>
      </c>
      <c r="S205" s="25"/>
      <c r="T205" s="25"/>
      <c r="U205" s="25"/>
      <c r="V205" s="5"/>
    </row>
    <row r="206" spans="1:22" ht="15.6" x14ac:dyDescent="0.3">
      <c r="A206" s="75"/>
      <c r="B206" s="76" t="s">
        <v>76</v>
      </c>
      <c r="C206" s="77"/>
      <c r="D206" s="77"/>
      <c r="E206" s="77"/>
      <c r="F206" s="77"/>
      <c r="G206" s="64"/>
      <c r="H206" s="64"/>
      <c r="I206" s="64"/>
      <c r="J206" s="64"/>
      <c r="K206" s="64"/>
      <c r="L206" s="64"/>
      <c r="M206" s="64"/>
      <c r="N206" s="64"/>
      <c r="O206" s="64"/>
      <c r="P206" s="64"/>
      <c r="Q206" s="64"/>
      <c r="R206" s="133">
        <v>21.18</v>
      </c>
      <c r="S206" s="25" t="s">
        <v>116</v>
      </c>
      <c r="T206" s="25"/>
      <c r="U206" s="25"/>
      <c r="V206" s="5"/>
    </row>
    <row r="207" spans="1:22" ht="15.6" x14ac:dyDescent="0.3">
      <c r="A207" s="75"/>
      <c r="B207" s="76" t="s">
        <v>77</v>
      </c>
      <c r="C207" s="77"/>
      <c r="D207" s="77"/>
      <c r="E207" s="77"/>
      <c r="F207" s="77"/>
      <c r="G207" s="64"/>
      <c r="H207" s="64"/>
      <c r="I207" s="64"/>
      <c r="J207" s="64"/>
      <c r="K207" s="64"/>
      <c r="L207" s="64"/>
      <c r="M207" s="64"/>
      <c r="N207" s="64"/>
      <c r="O207" s="64"/>
      <c r="P207" s="64"/>
      <c r="Q207" s="64"/>
      <c r="R207" s="133">
        <v>17.27</v>
      </c>
      <c r="S207" s="25" t="s">
        <v>116</v>
      </c>
      <c r="T207" s="25"/>
      <c r="U207" s="25"/>
      <c r="V207" s="5"/>
    </row>
    <row r="208" spans="1:22" ht="15.6" x14ac:dyDescent="0.3">
      <c r="A208" s="75"/>
      <c r="B208" s="76" t="s">
        <v>78</v>
      </c>
      <c r="C208" s="77"/>
      <c r="D208" s="77"/>
      <c r="E208" s="77"/>
      <c r="F208" s="77"/>
      <c r="G208" s="64"/>
      <c r="H208" s="64"/>
      <c r="I208" s="64"/>
      <c r="J208" s="64"/>
      <c r="K208" s="64"/>
      <c r="L208" s="64"/>
      <c r="M208" s="64"/>
      <c r="N208" s="64"/>
      <c r="O208" s="64"/>
      <c r="P208" s="64"/>
      <c r="Q208" s="64"/>
      <c r="R208" s="78">
        <f>N69/L69</f>
        <v>6.4629565671471606E-3</v>
      </c>
      <c r="S208" s="25"/>
      <c r="T208" s="25"/>
      <c r="U208" s="25"/>
      <c r="V208" s="5"/>
    </row>
    <row r="209" spans="1:22" ht="15.6" x14ac:dyDescent="0.3">
      <c r="A209" s="75"/>
      <c r="B209" s="76" t="s">
        <v>79</v>
      </c>
      <c r="C209" s="77"/>
      <c r="D209" s="77"/>
      <c r="E209" s="77"/>
      <c r="F209" s="77"/>
      <c r="G209" s="64"/>
      <c r="H209" s="64"/>
      <c r="I209" s="64"/>
      <c r="J209" s="64"/>
      <c r="K209" s="64"/>
      <c r="L209" s="64"/>
      <c r="M209" s="64"/>
      <c r="N209" s="64"/>
      <c r="O209" s="64"/>
      <c r="P209" s="64"/>
      <c r="Q209" s="64"/>
      <c r="R209" s="78">
        <v>0.1285</v>
      </c>
      <c r="S209" s="25"/>
      <c r="T209" s="25"/>
      <c r="U209" s="25"/>
      <c r="V209" s="5"/>
    </row>
    <row r="210" spans="1:22" ht="15.6" x14ac:dyDescent="0.3">
      <c r="A210" s="75"/>
      <c r="B210" s="76"/>
      <c r="C210" s="76"/>
      <c r="D210" s="76"/>
      <c r="E210" s="76"/>
      <c r="F210" s="76"/>
      <c r="G210" s="25"/>
      <c r="H210" s="25"/>
      <c r="I210" s="25"/>
      <c r="J210" s="25"/>
      <c r="K210" s="25"/>
      <c r="L210" s="25"/>
      <c r="M210" s="25"/>
      <c r="N210" s="25"/>
      <c r="O210" s="25"/>
      <c r="P210" s="25"/>
      <c r="Q210" s="25"/>
      <c r="R210" s="61"/>
      <c r="S210" s="25"/>
      <c r="T210" s="79"/>
      <c r="U210" s="25"/>
      <c r="V210" s="5"/>
    </row>
    <row r="211" spans="1:22" ht="15.6" x14ac:dyDescent="0.3">
      <c r="A211" s="80"/>
      <c r="B211" s="14" t="s">
        <v>80</v>
      </c>
      <c r="C211" s="81"/>
      <c r="D211" s="81"/>
      <c r="E211" s="81"/>
      <c r="F211" s="82"/>
      <c r="G211" s="81"/>
      <c r="H211" s="17"/>
      <c r="I211" s="17"/>
      <c r="J211" s="17"/>
      <c r="K211" s="17"/>
      <c r="L211" s="17"/>
      <c r="M211" s="17"/>
      <c r="N211" s="17"/>
      <c r="O211" s="17"/>
      <c r="P211" s="17"/>
      <c r="Q211" s="17" t="s">
        <v>105</v>
      </c>
      <c r="R211" s="83" t="s">
        <v>112</v>
      </c>
      <c r="S211" s="8"/>
      <c r="T211" s="8"/>
      <c r="U211" s="8"/>
      <c r="V211" s="5"/>
    </row>
    <row r="212" spans="1:22" ht="15.6" x14ac:dyDescent="0.3">
      <c r="A212" s="84"/>
      <c r="B212" s="76" t="s">
        <v>81</v>
      </c>
      <c r="C212" s="54"/>
      <c r="D212" s="54"/>
      <c r="E212" s="54"/>
      <c r="F212" s="25"/>
      <c r="G212" s="25"/>
      <c r="H212" s="30"/>
      <c r="I212" s="30"/>
      <c r="J212" s="30"/>
      <c r="K212" s="30"/>
      <c r="L212" s="30"/>
      <c r="M212" s="30"/>
      <c r="N212" s="30"/>
      <c r="O212" s="30"/>
      <c r="P212" s="30"/>
      <c r="Q212" s="30">
        <v>2</v>
      </c>
      <c r="R212" s="85">
        <v>393</v>
      </c>
      <c r="S212" s="25"/>
      <c r="T212" s="79"/>
      <c r="U212" s="86"/>
      <c r="V212" s="5"/>
    </row>
    <row r="213" spans="1:22" ht="15.6" x14ac:dyDescent="0.3">
      <c r="A213" s="84"/>
      <c r="B213" s="76" t="s">
        <v>151</v>
      </c>
      <c r="C213" s="54"/>
      <c r="D213" s="54"/>
      <c r="E213" s="54"/>
      <c r="F213" s="25"/>
      <c r="G213" s="25"/>
      <c r="H213" s="30"/>
      <c r="I213" s="30"/>
      <c r="J213" s="30"/>
      <c r="K213" s="30"/>
      <c r="L213" s="30"/>
      <c r="M213" s="30"/>
      <c r="N213" s="30"/>
      <c r="O213" s="30"/>
      <c r="P213" s="30"/>
      <c r="Q213" s="152">
        <f>+P253</f>
        <v>138</v>
      </c>
      <c r="R213" s="85">
        <f>+R253</f>
        <v>19431</v>
      </c>
      <c r="S213" s="25"/>
      <c r="T213" s="79"/>
      <c r="U213" s="86"/>
      <c r="V213" s="5"/>
    </row>
    <row r="214" spans="1:22" ht="15.6" x14ac:dyDescent="0.3">
      <c r="A214" s="84"/>
      <c r="B214" s="76" t="s">
        <v>82</v>
      </c>
      <c r="C214" s="54"/>
      <c r="D214" s="54"/>
      <c r="E214" s="54"/>
      <c r="F214" s="25"/>
      <c r="G214" s="25"/>
      <c r="H214" s="30"/>
      <c r="I214" s="30"/>
      <c r="J214" s="30"/>
      <c r="K214" s="30"/>
      <c r="L214" s="30"/>
      <c r="M214" s="30"/>
      <c r="N214" s="30"/>
      <c r="O214" s="30"/>
      <c r="P214" s="30"/>
      <c r="Q214" s="152">
        <f>+P265</f>
        <v>1</v>
      </c>
      <c r="R214" s="85">
        <f>+R265</f>
        <v>110</v>
      </c>
      <c r="S214" s="25"/>
      <c r="T214" s="79"/>
      <c r="U214" s="86"/>
      <c r="V214" s="5"/>
    </row>
    <row r="215" spans="1:22" ht="15.6" x14ac:dyDescent="0.3">
      <c r="A215" s="84"/>
      <c r="B215" s="122" t="s">
        <v>83</v>
      </c>
      <c r="C215" s="54"/>
      <c r="D215" s="54"/>
      <c r="E215" s="54"/>
      <c r="F215" s="25"/>
      <c r="G215" s="25"/>
      <c r="H215" s="25"/>
      <c r="I215" s="25"/>
      <c r="J215" s="25"/>
      <c r="K215" s="25"/>
      <c r="L215" s="25"/>
      <c r="M215" s="25"/>
      <c r="N215" s="25"/>
      <c r="O215" s="25"/>
      <c r="P215" s="25"/>
      <c r="Q215" s="25"/>
      <c r="R215" s="85">
        <v>0</v>
      </c>
      <c r="S215" s="25"/>
      <c r="T215" s="79"/>
      <c r="U215" s="86"/>
      <c r="V215" s="5"/>
    </row>
    <row r="216" spans="1:22" ht="15.6" x14ac:dyDescent="0.3">
      <c r="A216" s="84"/>
      <c r="B216" s="122" t="s">
        <v>84</v>
      </c>
      <c r="C216" s="54"/>
      <c r="D216" s="54"/>
      <c r="E216" s="54"/>
      <c r="F216" s="25"/>
      <c r="G216" s="25"/>
      <c r="H216" s="25"/>
      <c r="I216" s="25"/>
      <c r="J216" s="25"/>
      <c r="K216" s="25"/>
      <c r="L216" s="25"/>
      <c r="M216" s="25"/>
      <c r="N216" s="25"/>
      <c r="O216" s="25"/>
      <c r="P216" s="25"/>
      <c r="Q216" s="25"/>
      <c r="R216" s="62" t="s">
        <v>113</v>
      </c>
      <c r="S216" s="25"/>
      <c r="T216" s="79"/>
      <c r="U216" s="86"/>
      <c r="V216" s="5"/>
    </row>
    <row r="217" spans="1:22" ht="15.6" x14ac:dyDescent="0.3">
      <c r="A217" s="87"/>
      <c r="B217" s="122" t="s">
        <v>85</v>
      </c>
      <c r="C217" s="76"/>
      <c r="D217" s="76"/>
      <c r="E217" s="76"/>
      <c r="F217" s="76"/>
      <c r="G217" s="25"/>
      <c r="H217" s="25"/>
      <c r="I217" s="25"/>
      <c r="J217" s="25"/>
      <c r="K217" s="25"/>
      <c r="L217" s="25"/>
      <c r="M217" s="25"/>
      <c r="N217" s="25"/>
      <c r="O217" s="25"/>
      <c r="P217" s="25"/>
      <c r="Q217" s="25"/>
      <c r="R217" s="85"/>
      <c r="S217" s="25"/>
      <c r="T217" s="79"/>
      <c r="U217" s="88"/>
      <c r="V217" s="5"/>
    </row>
    <row r="218" spans="1:22" ht="15.6" x14ac:dyDescent="0.3">
      <c r="A218" s="87"/>
      <c r="B218" s="131" t="s">
        <v>86</v>
      </c>
      <c r="C218" s="76"/>
      <c r="D218" s="76"/>
      <c r="E218" s="76"/>
      <c r="F218" s="76"/>
      <c r="G218" s="25"/>
      <c r="H218" s="25"/>
      <c r="I218" s="25"/>
      <c r="J218" s="25"/>
      <c r="K218" s="25"/>
      <c r="L218" s="25"/>
      <c r="M218" s="25"/>
      <c r="N218" s="25"/>
      <c r="O218" s="25"/>
      <c r="P218" s="25"/>
      <c r="Q218" s="30"/>
      <c r="R218" s="85">
        <f>T162</f>
        <v>561</v>
      </c>
      <c r="S218" s="25"/>
      <c r="T218" s="79"/>
      <c r="U218" s="88"/>
      <c r="V218" s="5"/>
    </row>
    <row r="219" spans="1:22" ht="15.6" x14ac:dyDescent="0.3">
      <c r="A219" s="84"/>
      <c r="B219" s="76" t="s">
        <v>87</v>
      </c>
      <c r="C219" s="54"/>
      <c r="D219" s="54"/>
      <c r="E219" s="54"/>
      <c r="F219" s="54"/>
      <c r="G219" s="25"/>
      <c r="H219" s="25"/>
      <c r="I219" s="25"/>
      <c r="J219" s="25"/>
      <c r="K219" s="25"/>
      <c r="L219" s="25"/>
      <c r="M219" s="25"/>
      <c r="N219" s="25"/>
      <c r="O219" s="25"/>
      <c r="P219" s="25"/>
      <c r="Q219" s="30"/>
      <c r="R219" s="85">
        <f>+'Dec 09'!R219+R218</f>
        <v>2409</v>
      </c>
      <c r="S219" s="25"/>
      <c r="T219" s="79"/>
      <c r="U219" s="88"/>
      <c r="V219" s="5"/>
    </row>
    <row r="220" spans="1:22" ht="15.6" x14ac:dyDescent="0.3">
      <c r="A220" s="87"/>
      <c r="B220" s="122" t="s">
        <v>282</v>
      </c>
      <c r="C220" s="76"/>
      <c r="D220" s="76"/>
      <c r="E220" s="76"/>
      <c r="F220" s="76"/>
      <c r="G220" s="25"/>
      <c r="H220" s="25"/>
      <c r="I220" s="25"/>
      <c r="J220" s="25"/>
      <c r="K220" s="25"/>
      <c r="L220" s="25"/>
      <c r="M220" s="25"/>
      <c r="N220" s="25"/>
      <c r="O220" s="25"/>
      <c r="P220" s="25"/>
      <c r="Q220" s="30"/>
      <c r="R220" s="85"/>
      <c r="S220" s="25"/>
      <c r="T220" s="79"/>
      <c r="U220" s="88"/>
      <c r="V220" s="5"/>
    </row>
    <row r="221" spans="1:22" ht="15.6" x14ac:dyDescent="0.3">
      <c r="A221" s="87"/>
      <c r="B221" s="76" t="s">
        <v>280</v>
      </c>
      <c r="C221" s="76"/>
      <c r="D221" s="76"/>
      <c r="E221" s="76"/>
      <c r="F221" s="76"/>
      <c r="G221" s="25"/>
      <c r="H221" s="25"/>
      <c r="I221" s="25"/>
      <c r="J221" s="25"/>
      <c r="K221" s="25"/>
      <c r="L221" s="25"/>
      <c r="M221" s="25"/>
      <c r="N221" s="25"/>
      <c r="O221" s="25"/>
      <c r="P221" s="25"/>
      <c r="Q221" s="30">
        <v>0</v>
      </c>
      <c r="R221" s="170">
        <v>0</v>
      </c>
      <c r="S221" s="25"/>
      <c r="T221" s="79"/>
      <c r="U221" s="88"/>
      <c r="V221" s="5"/>
    </row>
    <row r="222" spans="1:22" ht="15.6" x14ac:dyDescent="0.3">
      <c r="A222" s="84"/>
      <c r="B222" s="76" t="s">
        <v>89</v>
      </c>
      <c r="C222" s="89"/>
      <c r="D222" s="89"/>
      <c r="E222" s="89"/>
      <c r="F222" s="90"/>
      <c r="G222" s="25"/>
      <c r="H222" s="25"/>
      <c r="I222" s="25"/>
      <c r="J222" s="25"/>
      <c r="K222" s="25"/>
      <c r="L222" s="25"/>
      <c r="M222" s="25"/>
      <c r="N222" s="25"/>
      <c r="O222" s="25"/>
      <c r="P222" s="25"/>
      <c r="Q222" s="25"/>
      <c r="R222" s="171">
        <v>0</v>
      </c>
      <c r="S222" s="25"/>
      <c r="T222" s="79"/>
      <c r="U222" s="88"/>
      <c r="V222" s="5"/>
    </row>
    <row r="223" spans="1:22" ht="15.6" x14ac:dyDescent="0.3">
      <c r="A223" s="84"/>
      <c r="B223" s="76" t="s">
        <v>90</v>
      </c>
      <c r="C223" s="89"/>
      <c r="D223" s="89"/>
      <c r="E223" s="89"/>
      <c r="F223" s="90"/>
      <c r="G223" s="25"/>
      <c r="H223" s="25"/>
      <c r="I223" s="25"/>
      <c r="J223" s="25"/>
      <c r="K223" s="25"/>
      <c r="L223" s="25"/>
      <c r="M223" s="25"/>
      <c r="N223" s="25"/>
      <c r="O223" s="25"/>
      <c r="P223" s="25"/>
      <c r="Q223" s="25"/>
      <c r="R223" s="171">
        <v>0</v>
      </c>
      <c r="S223" s="25"/>
      <c r="T223" s="79"/>
      <c r="U223" s="88"/>
      <c r="V223" s="5"/>
    </row>
    <row r="224" spans="1:22" ht="15.6" x14ac:dyDescent="0.3">
      <c r="A224" s="84"/>
      <c r="B224" s="122" t="s">
        <v>226</v>
      </c>
      <c r="C224" s="89"/>
      <c r="D224" s="89"/>
      <c r="E224" s="89"/>
      <c r="F224" s="90"/>
      <c r="G224" s="25"/>
      <c r="H224" s="25"/>
      <c r="I224" s="25"/>
      <c r="J224" s="25"/>
      <c r="K224" s="25"/>
      <c r="L224" s="25"/>
      <c r="M224" s="25"/>
      <c r="N224" s="25"/>
      <c r="O224" s="25"/>
      <c r="P224" s="25"/>
      <c r="Q224" s="30"/>
      <c r="R224" s="172"/>
      <c r="S224" s="25"/>
      <c r="T224" s="79"/>
      <c r="U224" s="88"/>
      <c r="V224" s="5"/>
    </row>
    <row r="225" spans="1:23" ht="15.6" x14ac:dyDescent="0.3">
      <c r="A225" s="84"/>
      <c r="B225" s="76" t="s">
        <v>280</v>
      </c>
      <c r="C225" s="89"/>
      <c r="D225" s="89"/>
      <c r="E225" s="89"/>
      <c r="F225" s="90"/>
      <c r="G225" s="25"/>
      <c r="H225" s="25"/>
      <c r="I225" s="25"/>
      <c r="J225" s="25"/>
      <c r="K225" s="25"/>
      <c r="L225" s="25"/>
      <c r="M225" s="25"/>
      <c r="N225" s="25"/>
      <c r="O225" s="25"/>
      <c r="P225" s="25"/>
      <c r="Q225" s="30">
        <v>15</v>
      </c>
      <c r="R225" s="170">
        <v>1642</v>
      </c>
      <c r="S225" s="25"/>
      <c r="T225" s="79"/>
      <c r="U225" s="88"/>
      <c r="V225" s="5"/>
    </row>
    <row r="226" spans="1:23" ht="15.6" x14ac:dyDescent="0.3">
      <c r="A226" s="84"/>
      <c r="B226" s="76" t="s">
        <v>227</v>
      </c>
      <c r="C226" s="89"/>
      <c r="D226" s="89"/>
      <c r="E226" s="89"/>
      <c r="F226" s="90"/>
      <c r="G226" s="25"/>
      <c r="H226" s="25"/>
      <c r="I226" s="25"/>
      <c r="J226" s="25"/>
      <c r="K226" s="25"/>
      <c r="L226" s="25"/>
      <c r="M226" s="25"/>
      <c r="N226" s="25"/>
      <c r="O226" s="25"/>
      <c r="P226" s="25"/>
      <c r="Q226" s="30"/>
      <c r="R226" s="171">
        <v>9.19</v>
      </c>
      <c r="S226" s="25"/>
      <c r="T226" s="79"/>
      <c r="U226" s="88"/>
      <c r="V226" s="5"/>
    </row>
    <row r="227" spans="1:23" ht="15.6" x14ac:dyDescent="0.3">
      <c r="A227" s="84"/>
      <c r="B227" s="76"/>
      <c r="C227" s="89"/>
      <c r="D227" s="89"/>
      <c r="E227" s="89"/>
      <c r="F227" s="90"/>
      <c r="G227" s="25"/>
      <c r="H227" s="25"/>
      <c r="I227" s="25"/>
      <c r="J227" s="25"/>
      <c r="K227" s="25"/>
      <c r="L227" s="25"/>
      <c r="M227" s="25"/>
      <c r="N227" s="25"/>
      <c r="O227" s="25"/>
      <c r="P227" s="25"/>
      <c r="Q227" s="25"/>
      <c r="R227" s="91"/>
      <c r="S227" s="25"/>
      <c r="T227" s="79"/>
      <c r="U227" s="88"/>
      <c r="V227" s="5"/>
    </row>
    <row r="228" spans="1:23" ht="15.6" x14ac:dyDescent="0.3">
      <c r="A228" s="84"/>
      <c r="B228" s="76"/>
      <c r="C228" s="89"/>
      <c r="D228" s="89"/>
      <c r="E228" s="89"/>
      <c r="F228" s="90"/>
      <c r="G228" s="25"/>
      <c r="H228" s="25"/>
      <c r="I228" s="25"/>
      <c r="J228" s="25"/>
      <c r="K228" s="25"/>
      <c r="L228" s="25"/>
      <c r="M228" s="25"/>
      <c r="N228" s="25"/>
      <c r="O228" s="25"/>
      <c r="P228" s="25"/>
      <c r="Q228" s="25"/>
      <c r="R228" s="91"/>
      <c r="S228" s="25"/>
      <c r="T228" s="79"/>
      <c r="U228" s="88"/>
      <c r="V228" s="5"/>
    </row>
    <row r="229" spans="1:23" ht="17.399999999999999" x14ac:dyDescent="0.3">
      <c r="A229" s="84"/>
      <c r="B229" s="149" t="s">
        <v>175</v>
      </c>
      <c r="C229" s="89"/>
      <c r="D229" s="89"/>
      <c r="E229" s="89"/>
      <c r="F229" s="90"/>
      <c r="G229" s="25"/>
      <c r="H229" s="25"/>
      <c r="I229" s="25"/>
      <c r="J229" s="25"/>
      <c r="K229" s="25"/>
      <c r="L229" s="25"/>
      <c r="M229" s="25"/>
      <c r="N229" s="150" t="s">
        <v>174</v>
      </c>
      <c r="O229" s="25"/>
      <c r="P229" s="25"/>
      <c r="Q229" s="25"/>
      <c r="R229" s="91"/>
      <c r="S229" s="25"/>
      <c r="T229" s="79"/>
      <c r="U229" s="88"/>
      <c r="V229" s="5"/>
    </row>
    <row r="230" spans="1:23" ht="15.6" x14ac:dyDescent="0.3">
      <c r="A230" s="84"/>
      <c r="B230" s="76"/>
      <c r="C230" s="89"/>
      <c r="D230" s="89"/>
      <c r="E230" s="89"/>
      <c r="F230" s="90"/>
      <c r="G230" s="25"/>
      <c r="H230" s="25"/>
      <c r="I230" s="25"/>
      <c r="J230" s="25"/>
      <c r="K230" s="25"/>
      <c r="L230" s="25"/>
      <c r="M230" s="25"/>
      <c r="N230" s="25"/>
      <c r="O230" s="25"/>
      <c r="P230" s="25"/>
      <c r="Q230" s="25"/>
      <c r="R230" s="91"/>
      <c r="S230" s="25"/>
      <c r="T230" s="79"/>
      <c r="U230" s="88"/>
      <c r="V230" s="5"/>
    </row>
    <row r="231" spans="1:23" ht="15.6" x14ac:dyDescent="0.3">
      <c r="A231" s="6"/>
      <c r="B231" s="14" t="s">
        <v>169</v>
      </c>
      <c r="C231" s="81"/>
      <c r="D231" s="81"/>
      <c r="E231" s="81"/>
      <c r="F231" s="82"/>
      <c r="G231" s="81"/>
      <c r="H231" s="17"/>
      <c r="I231" s="17"/>
      <c r="J231" s="17"/>
      <c r="K231" s="17"/>
      <c r="L231" s="17"/>
      <c r="M231" s="17"/>
      <c r="N231" s="17"/>
      <c r="O231" s="17"/>
      <c r="P231" s="83" t="s">
        <v>105</v>
      </c>
      <c r="Q231" s="17" t="s">
        <v>106</v>
      </c>
      <c r="R231" s="83" t="s">
        <v>114</v>
      </c>
      <c r="S231" s="17" t="s">
        <v>106</v>
      </c>
      <c r="T231" s="8"/>
      <c r="U231" s="92"/>
      <c r="V231" s="5"/>
    </row>
    <row r="232" spans="1:23" ht="15.6" x14ac:dyDescent="0.3">
      <c r="A232" s="24"/>
      <c r="B232" s="54" t="s">
        <v>91</v>
      </c>
      <c r="C232" s="93"/>
      <c r="D232" s="93"/>
      <c r="E232" s="93"/>
      <c r="F232" s="25"/>
      <c r="G232" s="93"/>
      <c r="H232" s="93"/>
      <c r="I232" s="93"/>
      <c r="J232" s="93"/>
      <c r="K232" s="93"/>
      <c r="L232" s="93"/>
      <c r="M232" s="93"/>
      <c r="N232" s="93"/>
      <c r="O232" s="93"/>
      <c r="P232" s="54">
        <v>4319</v>
      </c>
      <c r="Q232" s="94">
        <f t="shared" ref="Q232:Q239" si="1">P232/$P$241</f>
        <v>0.98946162657502867</v>
      </c>
      <c r="R232" s="53">
        <v>574862</v>
      </c>
      <c r="S232" s="132">
        <f t="shared" ref="S232:S239" si="2">R232/$R$241</f>
        <v>0.98796965603527986</v>
      </c>
      <c r="T232" s="79"/>
      <c r="U232" s="88"/>
      <c r="V232" s="5"/>
    </row>
    <row r="233" spans="1:23" ht="15.6" x14ac:dyDescent="0.3">
      <c r="A233" s="24"/>
      <c r="B233" s="54" t="s">
        <v>92</v>
      </c>
      <c r="C233" s="93"/>
      <c r="D233" s="93"/>
      <c r="E233" s="93"/>
      <c r="F233" s="25"/>
      <c r="G233" s="94"/>
      <c r="H233" s="93"/>
      <c r="I233" s="93"/>
      <c r="J233" s="93"/>
      <c r="K233" s="93"/>
      <c r="L233" s="93"/>
      <c r="M233" s="93"/>
      <c r="N233" s="93"/>
      <c r="O233" s="93"/>
      <c r="P233" s="54">
        <v>35</v>
      </c>
      <c r="Q233" s="94">
        <f t="shared" si="1"/>
        <v>8.0183276059564712E-3</v>
      </c>
      <c r="R233" s="53">
        <v>5485</v>
      </c>
      <c r="S233" s="132">
        <f t="shared" si="2"/>
        <v>9.4266338066414379E-3</v>
      </c>
      <c r="T233" s="79"/>
      <c r="U233" s="88"/>
      <c r="V233" s="5"/>
      <c r="W233" s="109"/>
    </row>
    <row r="234" spans="1:23" ht="15.6" x14ac:dyDescent="0.3">
      <c r="A234" s="24"/>
      <c r="B234" s="54" t="s">
        <v>93</v>
      </c>
      <c r="C234" s="93"/>
      <c r="D234" s="93"/>
      <c r="E234" s="93"/>
      <c r="F234" s="25"/>
      <c r="G234" s="94"/>
      <c r="H234" s="93"/>
      <c r="I234" s="93"/>
      <c r="J234" s="93"/>
      <c r="K234" s="93"/>
      <c r="L234" s="93"/>
      <c r="M234" s="93"/>
      <c r="N234" s="93"/>
      <c r="O234" s="93"/>
      <c r="P234" s="54">
        <v>9</v>
      </c>
      <c r="Q234" s="94">
        <f t="shared" si="1"/>
        <v>2.0618556701030928E-3</v>
      </c>
      <c r="R234" s="53">
        <v>1301</v>
      </c>
      <c r="S234" s="132">
        <f t="shared" si="2"/>
        <v>2.2359253568715607E-3</v>
      </c>
      <c r="T234" s="79"/>
      <c r="U234" s="88"/>
      <c r="V234" s="5"/>
    </row>
    <row r="235" spans="1:23" ht="15.6" x14ac:dyDescent="0.3">
      <c r="A235" s="24"/>
      <c r="B235" s="54" t="s">
        <v>163</v>
      </c>
      <c r="C235" s="93"/>
      <c r="D235" s="93"/>
      <c r="E235" s="93"/>
      <c r="F235" s="25"/>
      <c r="G235" s="94"/>
      <c r="H235" s="93"/>
      <c r="I235" s="93"/>
      <c r="J235" s="93"/>
      <c r="K235" s="93"/>
      <c r="L235" s="93"/>
      <c r="M235" s="93"/>
      <c r="N235" s="93"/>
      <c r="O235" s="93"/>
      <c r="P235" s="54">
        <v>1</v>
      </c>
      <c r="Q235" s="94">
        <f t="shared" si="1"/>
        <v>2.290950744558992E-4</v>
      </c>
      <c r="R235" s="53">
        <v>68</v>
      </c>
      <c r="S235" s="132">
        <f t="shared" si="2"/>
        <v>1.1686619851442438E-4</v>
      </c>
      <c r="T235" s="79"/>
      <c r="U235" s="88"/>
      <c r="V235" s="5"/>
      <c r="W235" s="109"/>
    </row>
    <row r="236" spans="1:23" ht="15.6" x14ac:dyDescent="0.3">
      <c r="A236" s="24"/>
      <c r="B236" s="54" t="s">
        <v>164</v>
      </c>
      <c r="C236" s="93"/>
      <c r="D236" s="93"/>
      <c r="E236" s="93"/>
      <c r="F236" s="25"/>
      <c r="G236" s="94"/>
      <c r="H236" s="93"/>
      <c r="I236" s="93"/>
      <c r="J236" s="93"/>
      <c r="K236" s="93"/>
      <c r="L236" s="93"/>
      <c r="M236" s="93"/>
      <c r="N236" s="93"/>
      <c r="O236" s="93"/>
      <c r="P236" s="54">
        <v>0</v>
      </c>
      <c r="Q236" s="94">
        <f t="shared" si="1"/>
        <v>0</v>
      </c>
      <c r="R236" s="53">
        <v>0</v>
      </c>
      <c r="S236" s="132">
        <f t="shared" si="2"/>
        <v>0</v>
      </c>
      <c r="T236" s="79"/>
      <c r="U236" s="88"/>
      <c r="V236" s="5"/>
    </row>
    <row r="237" spans="1:23" ht="15.6" x14ac:dyDescent="0.3">
      <c r="A237" s="24"/>
      <c r="B237" s="54" t="s">
        <v>165</v>
      </c>
      <c r="C237" s="93"/>
      <c r="D237" s="93"/>
      <c r="E237" s="93"/>
      <c r="F237" s="25"/>
      <c r="G237" s="94"/>
      <c r="H237" s="93"/>
      <c r="I237" s="93"/>
      <c r="J237" s="93"/>
      <c r="K237" s="93"/>
      <c r="L237" s="93"/>
      <c r="M237" s="93"/>
      <c r="N237" s="93"/>
      <c r="O237" s="93"/>
      <c r="P237" s="54">
        <v>1</v>
      </c>
      <c r="Q237" s="94">
        <f t="shared" si="1"/>
        <v>2.290950744558992E-4</v>
      </c>
      <c r="R237" s="53">
        <v>146</v>
      </c>
      <c r="S237" s="132">
        <f t="shared" si="2"/>
        <v>2.5091860269273468E-4</v>
      </c>
      <c r="T237" s="79"/>
      <c r="U237" s="88"/>
      <c r="V237" s="5"/>
      <c r="W237" s="109"/>
    </row>
    <row r="238" spans="1:23" ht="15.6" x14ac:dyDescent="0.3">
      <c r="A238" s="24"/>
      <c r="B238" s="54" t="s">
        <v>166</v>
      </c>
      <c r="C238" s="93"/>
      <c r="D238" s="93"/>
      <c r="E238" s="93"/>
      <c r="F238" s="25"/>
      <c r="G238" s="94"/>
      <c r="H238" s="93"/>
      <c r="I238" s="93"/>
      <c r="J238" s="93"/>
      <c r="K238" s="93"/>
      <c r="L238" s="93"/>
      <c r="M238" s="93"/>
      <c r="N238" s="93"/>
      <c r="O238" s="93"/>
      <c r="P238" s="54">
        <v>0</v>
      </c>
      <c r="Q238" s="94">
        <f t="shared" si="1"/>
        <v>0</v>
      </c>
      <c r="R238" s="53">
        <v>0</v>
      </c>
      <c r="S238" s="132">
        <f t="shared" si="2"/>
        <v>0</v>
      </c>
      <c r="T238" s="79"/>
      <c r="U238" s="88"/>
      <c r="V238" s="5"/>
    </row>
    <row r="239" spans="1:23" ht="15.6" x14ac:dyDescent="0.3">
      <c r="A239" s="24"/>
      <c r="B239" s="54" t="s">
        <v>167</v>
      </c>
      <c r="C239" s="93"/>
      <c r="D239" s="93"/>
      <c r="E239" s="93"/>
      <c r="F239" s="25"/>
      <c r="G239" s="94"/>
      <c r="H239" s="93"/>
      <c r="I239" s="93"/>
      <c r="J239" s="93"/>
      <c r="K239" s="93"/>
      <c r="L239" s="93"/>
      <c r="M239" s="93"/>
      <c r="N239" s="93"/>
      <c r="O239" s="93"/>
      <c r="P239" s="54">
        <v>0</v>
      </c>
      <c r="Q239" s="94">
        <f t="shared" si="1"/>
        <v>0</v>
      </c>
      <c r="R239" s="53">
        <v>0</v>
      </c>
      <c r="S239" s="132">
        <f t="shared" si="2"/>
        <v>0</v>
      </c>
      <c r="T239" s="79"/>
      <c r="U239" s="88"/>
      <c r="V239" s="5"/>
      <c r="W239" s="109"/>
    </row>
    <row r="240" spans="1:23" ht="15.6" x14ac:dyDescent="0.3">
      <c r="A240" s="24"/>
      <c r="B240" s="54"/>
      <c r="C240" s="93"/>
      <c r="D240" s="93"/>
      <c r="E240" s="93"/>
      <c r="F240" s="25"/>
      <c r="G240" s="94"/>
      <c r="H240" s="93"/>
      <c r="I240" s="93"/>
      <c r="J240" s="93"/>
      <c r="K240" s="93"/>
      <c r="L240" s="93"/>
      <c r="M240" s="93"/>
      <c r="N240" s="93"/>
      <c r="O240" s="93"/>
      <c r="P240" s="54"/>
      <c r="Q240" s="94"/>
      <c r="R240" s="53"/>
      <c r="S240" s="132"/>
      <c r="T240" s="79"/>
      <c r="U240" s="88"/>
      <c r="V240" s="5"/>
    </row>
    <row r="241" spans="1:22" ht="15.6" x14ac:dyDescent="0.3">
      <c r="A241" s="24"/>
      <c r="B241" s="25" t="s">
        <v>120</v>
      </c>
      <c r="C241" s="25"/>
      <c r="D241" s="25"/>
      <c r="E241" s="25"/>
      <c r="F241" s="25"/>
      <c r="G241" s="25"/>
      <c r="H241" s="95"/>
      <c r="I241" s="95"/>
      <c r="J241" s="95"/>
      <c r="K241" s="95"/>
      <c r="L241" s="95"/>
      <c r="M241" s="95"/>
      <c r="N241" s="95"/>
      <c r="O241" s="95"/>
      <c r="P241" s="34">
        <f>SUM(P232:P240)</f>
        <v>4365</v>
      </c>
      <c r="Q241" s="132">
        <f>SUM(Q232:Q240)</f>
        <v>1</v>
      </c>
      <c r="R241" s="53">
        <f>SUM(R232:R240)</f>
        <v>581862</v>
      </c>
      <c r="S241" s="132">
        <f>SUM(S232:S240)</f>
        <v>1</v>
      </c>
      <c r="T241" s="25"/>
      <c r="U241" s="25"/>
      <c r="V241" s="5"/>
    </row>
    <row r="242" spans="1:22" ht="15.6" x14ac:dyDescent="0.3">
      <c r="A242" s="24"/>
      <c r="B242" s="25"/>
      <c r="C242" s="25"/>
      <c r="D242" s="25"/>
      <c r="E242" s="25"/>
      <c r="F242" s="25"/>
      <c r="G242" s="25"/>
      <c r="H242" s="95"/>
      <c r="I242" s="95"/>
      <c r="J242" s="95"/>
      <c r="K242" s="95"/>
      <c r="L242" s="95"/>
      <c r="M242" s="95"/>
      <c r="N242" s="95"/>
      <c r="O242" s="95"/>
      <c r="P242" s="34"/>
      <c r="Q242" s="132"/>
      <c r="R242" s="53"/>
      <c r="S242" s="132"/>
      <c r="T242" s="25"/>
      <c r="U242" s="25"/>
      <c r="V242" s="5"/>
    </row>
    <row r="243" spans="1:22" ht="15.6" x14ac:dyDescent="0.3">
      <c r="A243" s="141"/>
      <c r="B243" s="14" t="s">
        <v>267</v>
      </c>
      <c r="C243" s="81"/>
      <c r="D243" s="81"/>
      <c r="E243" s="81"/>
      <c r="F243" s="82"/>
      <c r="G243" s="81"/>
      <c r="H243" s="17"/>
      <c r="I243" s="17"/>
      <c r="J243" s="17"/>
      <c r="K243" s="17"/>
      <c r="L243" s="17"/>
      <c r="M243" s="17"/>
      <c r="N243" s="17"/>
      <c r="O243" s="17"/>
      <c r="P243" s="83" t="s">
        <v>105</v>
      </c>
      <c r="Q243" s="17" t="s">
        <v>106</v>
      </c>
      <c r="R243" s="83" t="s">
        <v>114</v>
      </c>
      <c r="S243" s="17" t="s">
        <v>106</v>
      </c>
      <c r="T243" s="139"/>
      <c r="U243" s="140"/>
      <c r="V243" s="5"/>
    </row>
    <row r="244" spans="1:22" ht="15.6" x14ac:dyDescent="0.3">
      <c r="A244" s="24"/>
      <c r="B244" s="54" t="s">
        <v>91</v>
      </c>
      <c r="C244" s="93"/>
      <c r="D244" s="93"/>
      <c r="E244" s="93"/>
      <c r="F244" s="25"/>
      <c r="G244" s="93"/>
      <c r="H244" s="93"/>
      <c r="I244" s="93"/>
      <c r="J244" s="93"/>
      <c r="K244" s="93"/>
      <c r="L244" s="93"/>
      <c r="M244" s="93"/>
      <c r="N244" s="93"/>
      <c r="O244" s="93"/>
      <c r="P244" s="54">
        <v>69</v>
      </c>
      <c r="Q244" s="94">
        <f t="shared" ref="Q244:Q251" si="3">P244/$P$253</f>
        <v>0.5</v>
      </c>
      <c r="R244" s="53">
        <v>10610</v>
      </c>
      <c r="S244" s="132">
        <f t="shared" ref="S244:S251" si="4">R244/$R$253</f>
        <v>0.54603468684061551</v>
      </c>
      <c r="T244" s="25"/>
      <c r="U244" s="25"/>
      <c r="V244" s="5"/>
    </row>
    <row r="245" spans="1:22" ht="15.6" x14ac:dyDescent="0.3">
      <c r="A245" s="24"/>
      <c r="B245" s="54" t="s">
        <v>92</v>
      </c>
      <c r="C245" s="93"/>
      <c r="D245" s="93"/>
      <c r="E245" s="93"/>
      <c r="F245" s="25"/>
      <c r="G245" s="94"/>
      <c r="H245" s="93"/>
      <c r="I245" s="93"/>
      <c r="J245" s="93"/>
      <c r="K245" s="93"/>
      <c r="L245" s="93"/>
      <c r="M245" s="93"/>
      <c r="N245" s="93"/>
      <c r="O245" s="93"/>
      <c r="P245" s="54">
        <v>8</v>
      </c>
      <c r="Q245" s="94">
        <f t="shared" si="3"/>
        <v>5.7971014492753624E-2</v>
      </c>
      <c r="R245" s="53">
        <v>764</v>
      </c>
      <c r="S245" s="132">
        <f t="shared" si="4"/>
        <v>3.931861458494159E-2</v>
      </c>
      <c r="T245" s="25"/>
      <c r="U245" s="25"/>
      <c r="V245" s="5"/>
    </row>
    <row r="246" spans="1:22" ht="15.6" x14ac:dyDescent="0.3">
      <c r="A246" s="24"/>
      <c r="B246" s="54" t="s">
        <v>93</v>
      </c>
      <c r="C246" s="93"/>
      <c r="D246" s="93"/>
      <c r="E246" s="93"/>
      <c r="F246" s="25"/>
      <c r="G246" s="94"/>
      <c r="H246" s="93"/>
      <c r="I246" s="93"/>
      <c r="J246" s="93"/>
      <c r="K246" s="93"/>
      <c r="L246" s="93"/>
      <c r="M246" s="93"/>
      <c r="N246" s="93"/>
      <c r="O246" s="93"/>
      <c r="P246" s="54">
        <v>7</v>
      </c>
      <c r="Q246" s="94">
        <f t="shared" si="3"/>
        <v>5.0724637681159424E-2</v>
      </c>
      <c r="R246" s="53">
        <v>1138</v>
      </c>
      <c r="S246" s="132">
        <f t="shared" si="4"/>
        <v>5.8566208635685242E-2</v>
      </c>
      <c r="T246" s="25"/>
      <c r="U246" s="25"/>
      <c r="V246" s="5"/>
    </row>
    <row r="247" spans="1:22" ht="15.6" x14ac:dyDescent="0.3">
      <c r="A247" s="24"/>
      <c r="B247" s="54" t="s">
        <v>163</v>
      </c>
      <c r="C247" s="93"/>
      <c r="D247" s="93"/>
      <c r="E247" s="93"/>
      <c r="F247" s="25"/>
      <c r="G247" s="94"/>
      <c r="H247" s="93"/>
      <c r="I247" s="93"/>
      <c r="J247" s="93"/>
      <c r="K247" s="93"/>
      <c r="L247" s="93"/>
      <c r="M247" s="93"/>
      <c r="N247" s="93"/>
      <c r="O247" s="93"/>
      <c r="P247" s="54">
        <v>6</v>
      </c>
      <c r="Q247" s="94">
        <f t="shared" si="3"/>
        <v>4.3478260869565216E-2</v>
      </c>
      <c r="R247" s="53">
        <v>1069</v>
      </c>
      <c r="S247" s="132">
        <f t="shared" si="4"/>
        <v>5.5015181925788685E-2</v>
      </c>
      <c r="T247" s="25"/>
      <c r="U247" s="25"/>
      <c r="V247" s="5"/>
    </row>
    <row r="248" spans="1:22" ht="15.6" x14ac:dyDescent="0.3">
      <c r="A248" s="24"/>
      <c r="B248" s="54" t="s">
        <v>164</v>
      </c>
      <c r="C248" s="93"/>
      <c r="D248" s="93"/>
      <c r="E248" s="93"/>
      <c r="F248" s="25"/>
      <c r="G248" s="94"/>
      <c r="H248" s="93"/>
      <c r="I248" s="93"/>
      <c r="J248" s="93"/>
      <c r="K248" s="93"/>
      <c r="L248" s="93"/>
      <c r="M248" s="93"/>
      <c r="N248" s="93"/>
      <c r="O248" s="93"/>
      <c r="P248" s="54">
        <v>4</v>
      </c>
      <c r="Q248" s="94">
        <f t="shared" si="3"/>
        <v>2.8985507246376812E-2</v>
      </c>
      <c r="R248" s="53">
        <v>625</v>
      </c>
      <c r="S248" s="132">
        <f t="shared" si="4"/>
        <v>3.2165097009932579E-2</v>
      </c>
      <c r="T248" s="25"/>
      <c r="U248" s="25"/>
      <c r="V248" s="5"/>
    </row>
    <row r="249" spans="1:22" ht="15.6" x14ac:dyDescent="0.3">
      <c r="A249" s="24"/>
      <c r="B249" s="54" t="s">
        <v>165</v>
      </c>
      <c r="C249" s="93"/>
      <c r="D249" s="93"/>
      <c r="E249" s="93"/>
      <c r="F249" s="25"/>
      <c r="G249" s="94"/>
      <c r="H249" s="93"/>
      <c r="I249" s="93"/>
      <c r="J249" s="93"/>
      <c r="K249" s="93"/>
      <c r="L249" s="93"/>
      <c r="M249" s="93"/>
      <c r="N249" s="93"/>
      <c r="O249" s="93"/>
      <c r="P249" s="54">
        <v>5</v>
      </c>
      <c r="Q249" s="94">
        <f t="shared" si="3"/>
        <v>3.6231884057971016E-2</v>
      </c>
      <c r="R249" s="53">
        <v>797</v>
      </c>
      <c r="S249" s="132">
        <f t="shared" si="4"/>
        <v>4.101693170706603E-2</v>
      </c>
      <c r="T249" s="25"/>
      <c r="U249" s="25"/>
      <c r="V249" s="5"/>
    </row>
    <row r="250" spans="1:22" ht="15.6" x14ac:dyDescent="0.3">
      <c r="A250" s="24"/>
      <c r="B250" s="54" t="s">
        <v>166</v>
      </c>
      <c r="C250" s="93"/>
      <c r="D250" s="93"/>
      <c r="E250" s="93"/>
      <c r="F250" s="25"/>
      <c r="G250" s="94"/>
      <c r="H250" s="93"/>
      <c r="I250" s="93"/>
      <c r="J250" s="93"/>
      <c r="K250" s="93"/>
      <c r="L250" s="93"/>
      <c r="M250" s="93"/>
      <c r="N250" s="93"/>
      <c r="O250" s="93"/>
      <c r="P250" s="54">
        <v>22</v>
      </c>
      <c r="Q250" s="94">
        <f t="shared" si="3"/>
        <v>0.15942028985507245</v>
      </c>
      <c r="R250" s="53">
        <v>2301</v>
      </c>
      <c r="S250" s="132">
        <f t="shared" si="4"/>
        <v>0.11841902115176779</v>
      </c>
      <c r="T250" s="25"/>
      <c r="U250" s="25"/>
      <c r="V250" s="5"/>
    </row>
    <row r="251" spans="1:22" ht="15.6" x14ac:dyDescent="0.3">
      <c r="A251" s="24"/>
      <c r="B251" s="54" t="s">
        <v>167</v>
      </c>
      <c r="C251" s="93"/>
      <c r="D251" s="93"/>
      <c r="E251" s="93"/>
      <c r="F251" s="25"/>
      <c r="G251" s="94"/>
      <c r="H251" s="93"/>
      <c r="I251" s="93"/>
      <c r="J251" s="93"/>
      <c r="K251" s="93"/>
      <c r="L251" s="93"/>
      <c r="M251" s="93"/>
      <c r="N251" s="93"/>
      <c r="O251" s="93"/>
      <c r="P251" s="54">
        <v>17</v>
      </c>
      <c r="Q251" s="94">
        <f t="shared" si="3"/>
        <v>0.12318840579710146</v>
      </c>
      <c r="R251" s="53">
        <v>2127</v>
      </c>
      <c r="S251" s="132">
        <f t="shared" si="4"/>
        <v>0.10946425814420256</v>
      </c>
      <c r="T251" s="25"/>
      <c r="U251" s="25"/>
      <c r="V251" s="5"/>
    </row>
    <row r="252" spans="1:22" ht="15.6" x14ac:dyDescent="0.3">
      <c r="A252" s="24"/>
      <c r="B252" s="54"/>
      <c r="C252" s="93"/>
      <c r="D252" s="93"/>
      <c r="E252" s="93"/>
      <c r="F252" s="25"/>
      <c r="G252" s="94"/>
      <c r="H252" s="93"/>
      <c r="I252" s="93"/>
      <c r="J252" s="93"/>
      <c r="K252" s="93"/>
      <c r="L252" s="93"/>
      <c r="M252" s="93"/>
      <c r="N252" s="93"/>
      <c r="O252" s="93"/>
      <c r="P252" s="54"/>
      <c r="Q252" s="94"/>
      <c r="R252" s="53"/>
      <c r="S252" s="132"/>
      <c r="T252" s="25"/>
      <c r="U252" s="25"/>
      <c r="V252" s="5"/>
    </row>
    <row r="253" spans="1:22" ht="15.6" x14ac:dyDescent="0.3">
      <c r="A253" s="24"/>
      <c r="B253" s="25" t="s">
        <v>120</v>
      </c>
      <c r="C253" s="25"/>
      <c r="D253" s="25"/>
      <c r="E253" s="25"/>
      <c r="F253" s="25"/>
      <c r="G253" s="25"/>
      <c r="H253" s="95"/>
      <c r="I253" s="95"/>
      <c r="J253" s="95"/>
      <c r="K253" s="95"/>
      <c r="L253" s="95"/>
      <c r="M253" s="95"/>
      <c r="N253" s="95"/>
      <c r="O253" s="95"/>
      <c r="P253" s="34">
        <f>SUM(P244:P252)</f>
        <v>138</v>
      </c>
      <c r="Q253" s="132">
        <f>SUM(Q244:Q252)</f>
        <v>1.0000000000000002</v>
      </c>
      <c r="R253" s="53">
        <f>SUM(R244:R252)</f>
        <v>19431</v>
      </c>
      <c r="S253" s="132">
        <f>SUM(S244:S252)</f>
        <v>1</v>
      </c>
      <c r="T253" s="25"/>
      <c r="U253" s="25"/>
      <c r="V253" s="5"/>
    </row>
    <row r="254" spans="1:22" ht="15.6" x14ac:dyDescent="0.3">
      <c r="A254" s="24"/>
      <c r="B254" s="25"/>
      <c r="C254" s="25"/>
      <c r="D254" s="25"/>
      <c r="E254" s="25"/>
      <c r="F254" s="25"/>
      <c r="G254" s="25"/>
      <c r="H254" s="95"/>
      <c r="I254" s="95"/>
      <c r="J254" s="95"/>
      <c r="K254" s="95"/>
      <c r="L254" s="95"/>
      <c r="M254" s="95"/>
      <c r="N254" s="95"/>
      <c r="O254" s="95"/>
      <c r="P254" s="34"/>
      <c r="Q254" s="132"/>
      <c r="R254" s="53"/>
      <c r="S254" s="132"/>
      <c r="T254" s="25"/>
      <c r="U254" s="25"/>
      <c r="V254" s="5"/>
    </row>
    <row r="255" spans="1:22" ht="15.6" x14ac:dyDescent="0.3">
      <c r="A255" s="141"/>
      <c r="B255" s="14" t="s">
        <v>170</v>
      </c>
      <c r="C255" s="139"/>
      <c r="D255" s="139"/>
      <c r="E255" s="139"/>
      <c r="F255" s="139"/>
      <c r="G255" s="139"/>
      <c r="H255" s="145"/>
      <c r="I255" s="145"/>
      <c r="J255" s="145"/>
      <c r="K255" s="145"/>
      <c r="L255" s="145"/>
      <c r="M255" s="145"/>
      <c r="N255" s="145"/>
      <c r="O255" s="145"/>
      <c r="P255" s="83" t="s">
        <v>105</v>
      </c>
      <c r="Q255" s="17" t="s">
        <v>106</v>
      </c>
      <c r="R255" s="83" t="s">
        <v>114</v>
      </c>
      <c r="S255" s="17" t="s">
        <v>106</v>
      </c>
      <c r="T255" s="139"/>
      <c r="U255" s="140"/>
      <c r="V255" s="5"/>
    </row>
    <row r="256" spans="1:22" ht="15.6" x14ac:dyDescent="0.3">
      <c r="A256" s="24"/>
      <c r="B256" s="54" t="s">
        <v>91</v>
      </c>
      <c r="C256" s="25"/>
      <c r="D256" s="25"/>
      <c r="E256" s="25"/>
      <c r="F256" s="25"/>
      <c r="G256" s="25"/>
      <c r="H256" s="95"/>
      <c r="I256" s="95"/>
      <c r="J256" s="95"/>
      <c r="K256" s="95"/>
      <c r="L256" s="95"/>
      <c r="M256" s="95"/>
      <c r="N256" s="95"/>
      <c r="O256" s="95"/>
      <c r="P256" s="54">
        <v>0</v>
      </c>
      <c r="Q256" s="94">
        <v>0</v>
      </c>
      <c r="R256" s="53">
        <v>0</v>
      </c>
      <c r="S256" s="132">
        <v>0</v>
      </c>
      <c r="T256" s="25"/>
      <c r="U256" s="25"/>
      <c r="V256" s="5"/>
    </row>
    <row r="257" spans="1:22" ht="15.6" x14ac:dyDescent="0.3">
      <c r="A257" s="24"/>
      <c r="B257" s="54" t="s">
        <v>92</v>
      </c>
      <c r="C257" s="25"/>
      <c r="D257" s="25"/>
      <c r="E257" s="25"/>
      <c r="F257" s="25"/>
      <c r="G257" s="25"/>
      <c r="H257" s="95"/>
      <c r="I257" s="95"/>
      <c r="J257" s="95"/>
      <c r="K257" s="95"/>
      <c r="L257" s="95"/>
      <c r="M257" s="95"/>
      <c r="N257" s="95"/>
      <c r="O257" s="95"/>
      <c r="P257" s="54">
        <v>0</v>
      </c>
      <c r="Q257" s="94">
        <v>0</v>
      </c>
      <c r="R257" s="53">
        <v>0</v>
      </c>
      <c r="S257" s="132">
        <v>0</v>
      </c>
      <c r="T257" s="25"/>
      <c r="U257" s="25"/>
      <c r="V257" s="5"/>
    </row>
    <row r="258" spans="1:22" ht="15.6" x14ac:dyDescent="0.3">
      <c r="A258" s="24"/>
      <c r="B258" s="54" t="s">
        <v>93</v>
      </c>
      <c r="C258" s="25"/>
      <c r="D258" s="25"/>
      <c r="E258" s="25"/>
      <c r="F258" s="25"/>
      <c r="G258" s="25"/>
      <c r="H258" s="95"/>
      <c r="I258" s="95"/>
      <c r="J258" s="95"/>
      <c r="K258" s="95"/>
      <c r="L258" s="95"/>
      <c r="M258" s="95"/>
      <c r="N258" s="95"/>
      <c r="O258" s="95"/>
      <c r="P258" s="54">
        <v>0</v>
      </c>
      <c r="Q258" s="94">
        <v>0</v>
      </c>
      <c r="R258" s="53">
        <v>0</v>
      </c>
      <c r="S258" s="132">
        <v>0</v>
      </c>
      <c r="T258" s="25"/>
      <c r="U258" s="25"/>
      <c r="V258" s="5"/>
    </row>
    <row r="259" spans="1:22" ht="15.6" x14ac:dyDescent="0.3">
      <c r="A259" s="24"/>
      <c r="B259" s="54" t="s">
        <v>163</v>
      </c>
      <c r="C259" s="25"/>
      <c r="D259" s="25"/>
      <c r="E259" s="25"/>
      <c r="F259" s="25"/>
      <c r="G259" s="25"/>
      <c r="H259" s="95"/>
      <c r="I259" s="95"/>
      <c r="J259" s="95"/>
      <c r="K259" s="95"/>
      <c r="L259" s="95"/>
      <c r="M259" s="95"/>
      <c r="N259" s="95"/>
      <c r="O259" s="95"/>
      <c r="P259" s="54">
        <v>0</v>
      </c>
      <c r="Q259" s="94">
        <v>0</v>
      </c>
      <c r="R259" s="53">
        <v>0</v>
      </c>
      <c r="S259" s="132">
        <v>0</v>
      </c>
      <c r="T259" s="25"/>
      <c r="U259" s="25"/>
      <c r="V259" s="5"/>
    </row>
    <row r="260" spans="1:22" ht="15.6" x14ac:dyDescent="0.3">
      <c r="A260" s="24"/>
      <c r="B260" s="54" t="s">
        <v>164</v>
      </c>
      <c r="C260" s="25"/>
      <c r="D260" s="25"/>
      <c r="E260" s="25"/>
      <c r="F260" s="25"/>
      <c r="G260" s="25"/>
      <c r="H260" s="95"/>
      <c r="I260" s="95"/>
      <c r="J260" s="95"/>
      <c r="K260" s="95"/>
      <c r="L260" s="95"/>
      <c r="M260" s="95"/>
      <c r="N260" s="95"/>
      <c r="O260" s="95"/>
      <c r="P260" s="54">
        <v>0</v>
      </c>
      <c r="Q260" s="94">
        <v>0</v>
      </c>
      <c r="R260" s="53">
        <v>0</v>
      </c>
      <c r="S260" s="132">
        <v>0</v>
      </c>
      <c r="T260" s="25"/>
      <c r="U260" s="25"/>
      <c r="V260" s="5"/>
    </row>
    <row r="261" spans="1:22" ht="15.6" x14ac:dyDescent="0.3">
      <c r="A261" s="24"/>
      <c r="B261" s="54" t="s">
        <v>165</v>
      </c>
      <c r="C261" s="25"/>
      <c r="D261" s="25"/>
      <c r="E261" s="25"/>
      <c r="F261" s="25"/>
      <c r="G261" s="25"/>
      <c r="H261" s="95"/>
      <c r="I261" s="95"/>
      <c r="J261" s="95"/>
      <c r="K261" s="95"/>
      <c r="L261" s="95"/>
      <c r="M261" s="95"/>
      <c r="N261" s="95"/>
      <c r="O261" s="95"/>
      <c r="P261" s="54">
        <v>0</v>
      </c>
      <c r="Q261" s="94">
        <v>0</v>
      </c>
      <c r="R261" s="53">
        <v>0</v>
      </c>
      <c r="S261" s="132">
        <v>0</v>
      </c>
      <c r="T261" s="25"/>
      <c r="U261" s="25"/>
      <c r="V261" s="5"/>
    </row>
    <row r="262" spans="1:22" ht="15.6" x14ac:dyDescent="0.3">
      <c r="A262" s="24"/>
      <c r="B262" s="54" t="s">
        <v>166</v>
      </c>
      <c r="C262" s="25"/>
      <c r="D262" s="25"/>
      <c r="E262" s="25"/>
      <c r="F262" s="25"/>
      <c r="G262" s="25"/>
      <c r="H262" s="95"/>
      <c r="I262" s="95"/>
      <c r="J262" s="95"/>
      <c r="K262" s="95"/>
      <c r="L262" s="95"/>
      <c r="M262" s="95"/>
      <c r="N262" s="95"/>
      <c r="O262" s="95"/>
      <c r="P262" s="54">
        <v>0</v>
      </c>
      <c r="Q262" s="94">
        <v>0</v>
      </c>
      <c r="R262" s="53">
        <v>0</v>
      </c>
      <c r="S262" s="132">
        <v>0</v>
      </c>
      <c r="T262" s="25"/>
      <c r="U262" s="25"/>
      <c r="V262" s="5"/>
    </row>
    <row r="263" spans="1:22" ht="15.6" x14ac:dyDescent="0.3">
      <c r="A263" s="24"/>
      <c r="B263" s="54" t="s">
        <v>167</v>
      </c>
      <c r="C263" s="25"/>
      <c r="D263" s="25"/>
      <c r="E263" s="25"/>
      <c r="F263" s="25"/>
      <c r="G263" s="25"/>
      <c r="H263" s="95"/>
      <c r="I263" s="95"/>
      <c r="J263" s="95"/>
      <c r="K263" s="95"/>
      <c r="L263" s="95"/>
      <c r="M263" s="95"/>
      <c r="N263" s="95"/>
      <c r="O263" s="95"/>
      <c r="P263" s="54">
        <v>1</v>
      </c>
      <c r="Q263" s="94">
        <v>1</v>
      </c>
      <c r="R263" s="53">
        <v>110</v>
      </c>
      <c r="S263" s="132">
        <v>1</v>
      </c>
      <c r="T263" s="25"/>
      <c r="U263" s="25"/>
      <c r="V263" s="5"/>
    </row>
    <row r="264" spans="1:22" ht="15.6" x14ac:dyDescent="0.3">
      <c r="A264" s="24"/>
      <c r="B264" s="54"/>
      <c r="C264" s="25"/>
      <c r="D264" s="25"/>
      <c r="E264" s="25"/>
      <c r="F264" s="25"/>
      <c r="G264" s="25"/>
      <c r="H264" s="95"/>
      <c r="I264" s="95"/>
      <c r="J264" s="95"/>
      <c r="K264" s="95"/>
      <c r="L264" s="95"/>
      <c r="M264" s="95"/>
      <c r="N264" s="95"/>
      <c r="O264" s="95"/>
      <c r="P264" s="54"/>
      <c r="Q264" s="94"/>
      <c r="R264" s="53"/>
      <c r="S264" s="132"/>
      <c r="T264" s="25"/>
      <c r="U264" s="25"/>
      <c r="V264" s="5"/>
    </row>
    <row r="265" spans="1:22" ht="15.6" x14ac:dyDescent="0.3">
      <c r="A265" s="24"/>
      <c r="B265" s="25" t="s">
        <v>120</v>
      </c>
      <c r="C265" s="25"/>
      <c r="D265" s="25"/>
      <c r="E265" s="25"/>
      <c r="F265" s="25"/>
      <c r="G265" s="25"/>
      <c r="H265" s="95"/>
      <c r="I265" s="95"/>
      <c r="J265" s="95"/>
      <c r="K265" s="95"/>
      <c r="L265" s="95"/>
      <c r="M265" s="95"/>
      <c r="N265" s="95"/>
      <c r="O265" s="95"/>
      <c r="P265" s="34">
        <f>SUM(P256:P263)</f>
        <v>1</v>
      </c>
      <c r="Q265" s="132">
        <f>SUM(Q256:Q264)</f>
        <v>1</v>
      </c>
      <c r="R265" s="53">
        <f>SUM(R256:R263)</f>
        <v>110</v>
      </c>
      <c r="S265" s="132">
        <f>SUM(S256:S264)</f>
        <v>1</v>
      </c>
      <c r="T265" s="25"/>
      <c r="U265" s="25"/>
      <c r="V265" s="5"/>
    </row>
    <row r="266" spans="1:22" ht="15.6" x14ac:dyDescent="0.3">
      <c r="A266" s="24"/>
      <c r="B266" s="25"/>
      <c r="C266" s="25"/>
      <c r="D266" s="25"/>
      <c r="E266" s="25"/>
      <c r="F266" s="25"/>
      <c r="G266" s="25"/>
      <c r="H266" s="95"/>
      <c r="I266" s="95"/>
      <c r="J266" s="95"/>
      <c r="K266" s="95"/>
      <c r="L266" s="95"/>
      <c r="M266" s="95"/>
      <c r="N266" s="95"/>
      <c r="O266" s="95"/>
      <c r="P266" s="34"/>
      <c r="Q266" s="132"/>
      <c r="R266" s="53"/>
      <c r="S266" s="132"/>
      <c r="T266" s="25"/>
      <c r="U266" s="25"/>
      <c r="V266" s="5"/>
    </row>
    <row r="267" spans="1:22" ht="15.6" x14ac:dyDescent="0.3">
      <c r="A267" s="24"/>
      <c r="B267" s="142" t="s">
        <v>171</v>
      </c>
      <c r="C267" s="25"/>
      <c r="D267" s="25"/>
      <c r="E267" s="25"/>
      <c r="F267" s="25"/>
      <c r="G267" s="25"/>
      <c r="H267" s="95"/>
      <c r="I267" s="95"/>
      <c r="J267" s="95"/>
      <c r="K267" s="95"/>
      <c r="L267" s="95"/>
      <c r="M267" s="95"/>
      <c r="N267" s="95"/>
      <c r="O267" s="95"/>
      <c r="P267" s="161">
        <f>P265+P253+P241</f>
        <v>4504</v>
      </c>
      <c r="Q267" s="143"/>
      <c r="R267" s="144">
        <f>+R265+R253+R241</f>
        <v>601403</v>
      </c>
      <c r="S267" s="143"/>
      <c r="T267" s="25"/>
      <c r="U267" s="25"/>
      <c r="V267" s="5"/>
    </row>
    <row r="268" spans="1:22" ht="15.6" x14ac:dyDescent="0.3">
      <c r="A268" s="24"/>
      <c r="B268" s="25"/>
      <c r="C268" s="25"/>
      <c r="D268" s="25"/>
      <c r="E268" s="25"/>
      <c r="F268" s="25"/>
      <c r="G268" s="25"/>
      <c r="H268" s="95"/>
      <c r="I268" s="95"/>
      <c r="J268" s="95"/>
      <c r="K268" s="95"/>
      <c r="L268" s="95"/>
      <c r="M268" s="95"/>
      <c r="N268" s="95"/>
      <c r="O268" s="95"/>
      <c r="P268" s="95"/>
      <c r="Q268" s="95"/>
      <c r="R268" s="53"/>
      <c r="S268" s="95"/>
      <c r="T268" s="25"/>
      <c r="U268" s="25"/>
      <c r="V268" s="5"/>
    </row>
    <row r="269" spans="1:22" ht="15.6" x14ac:dyDescent="0.3">
      <c r="A269" s="6"/>
      <c r="B269" s="8"/>
      <c r="C269" s="8"/>
      <c r="D269" s="8"/>
      <c r="E269" s="8"/>
      <c r="F269" s="8"/>
      <c r="G269" s="8"/>
      <c r="H269" s="96"/>
      <c r="I269" s="96"/>
      <c r="J269" s="96"/>
      <c r="K269" s="96"/>
      <c r="L269" s="96"/>
      <c r="M269" s="96"/>
      <c r="N269" s="96"/>
      <c r="O269" s="96"/>
      <c r="P269" s="96"/>
      <c r="Q269" s="96"/>
      <c r="R269" s="97"/>
      <c r="S269" s="96"/>
      <c r="T269" s="8"/>
      <c r="U269" s="8"/>
      <c r="V269" s="5"/>
    </row>
    <row r="270" spans="1:22" ht="15.6" x14ac:dyDescent="0.3">
      <c r="A270" s="167"/>
      <c r="B270" s="14" t="s">
        <v>94</v>
      </c>
      <c r="C270" s="15"/>
      <c r="D270" s="15"/>
      <c r="E270" s="15"/>
      <c r="F270" s="17" t="s">
        <v>100</v>
      </c>
      <c r="G270" s="15"/>
      <c r="H270" s="14" t="s">
        <v>102</v>
      </c>
      <c r="I270" s="162"/>
      <c r="J270" s="162"/>
      <c r="K270" s="162"/>
      <c r="L270" s="162"/>
      <c r="M270" s="162"/>
      <c r="N270" s="162"/>
      <c r="O270" s="162"/>
      <c r="P270" s="162"/>
      <c r="Q270" s="162"/>
      <c r="R270" s="162"/>
      <c r="S270" s="162"/>
      <c r="T270" s="162"/>
      <c r="U270" s="162"/>
      <c r="V270" s="5"/>
    </row>
    <row r="271" spans="1:22" ht="15.6" x14ac:dyDescent="0.3">
      <c r="A271" s="167"/>
      <c r="B271" s="13" t="s">
        <v>95</v>
      </c>
      <c r="C271" s="13"/>
      <c r="D271" s="13"/>
      <c r="E271" s="13"/>
      <c r="F271" s="130" t="s">
        <v>154</v>
      </c>
      <c r="G271" s="13"/>
      <c r="H271" s="13" t="s">
        <v>158</v>
      </c>
      <c r="I271" s="162"/>
      <c r="J271" s="162"/>
      <c r="K271" s="162"/>
      <c r="L271" s="162"/>
      <c r="M271" s="162"/>
      <c r="N271" s="162"/>
      <c r="O271" s="162"/>
      <c r="P271" s="162"/>
      <c r="Q271" s="162"/>
      <c r="R271" s="162"/>
      <c r="S271" s="162"/>
      <c r="T271" s="162"/>
      <c r="U271" s="162"/>
      <c r="V271" s="5"/>
    </row>
    <row r="272" spans="1:22" ht="15.6" x14ac:dyDescent="0.3">
      <c r="A272" s="167"/>
      <c r="B272" s="13" t="s">
        <v>268</v>
      </c>
      <c r="C272" s="13"/>
      <c r="D272" s="13"/>
      <c r="E272" s="13"/>
      <c r="F272" s="130" t="s">
        <v>269</v>
      </c>
      <c r="G272" s="13"/>
      <c r="H272" s="13" t="s">
        <v>270</v>
      </c>
      <c r="I272" s="162"/>
      <c r="J272" s="162"/>
      <c r="K272" s="162"/>
      <c r="L272" s="162"/>
      <c r="M272" s="162"/>
      <c r="N272" s="162"/>
      <c r="O272" s="162"/>
      <c r="P272" s="162"/>
      <c r="Q272" s="162"/>
      <c r="R272" s="162"/>
      <c r="S272" s="162"/>
      <c r="T272" s="162"/>
      <c r="U272" s="162"/>
      <c r="V272" s="5"/>
    </row>
    <row r="273" spans="1:22" ht="15.6" x14ac:dyDescent="0.3">
      <c r="A273" s="167"/>
      <c r="B273" s="13" t="s">
        <v>96</v>
      </c>
      <c r="C273" s="13"/>
      <c r="D273" s="13"/>
      <c r="E273" s="13"/>
      <c r="F273" s="130" t="s">
        <v>153</v>
      </c>
      <c r="G273" s="13"/>
      <c r="H273" s="13" t="s">
        <v>159</v>
      </c>
      <c r="I273" s="162"/>
      <c r="J273" s="162"/>
      <c r="K273" s="162"/>
      <c r="L273" s="162"/>
      <c r="M273" s="162"/>
      <c r="N273" s="162"/>
      <c r="O273" s="162"/>
      <c r="P273" s="162"/>
      <c r="Q273" s="162"/>
      <c r="R273" s="162"/>
      <c r="S273" s="162"/>
      <c r="T273" s="162"/>
      <c r="U273" s="162"/>
      <c r="V273" s="5"/>
    </row>
    <row r="274" spans="1:22" ht="15.6" x14ac:dyDescent="0.3">
      <c r="A274" s="167"/>
      <c r="B274" s="13"/>
      <c r="C274" s="13"/>
      <c r="D274" s="13"/>
      <c r="E274" s="13"/>
      <c r="F274" s="13"/>
      <c r="G274" s="99"/>
      <c r="H274" s="162"/>
      <c r="I274" s="162"/>
      <c r="J274" s="162"/>
      <c r="K274" s="162"/>
      <c r="L274" s="162"/>
      <c r="M274" s="162"/>
      <c r="N274" s="162"/>
      <c r="O274" s="162"/>
      <c r="P274" s="162"/>
      <c r="Q274" s="162"/>
      <c r="R274" s="162"/>
      <c r="S274" s="162"/>
      <c r="T274" s="162"/>
      <c r="U274" s="162"/>
      <c r="V274" s="5"/>
    </row>
    <row r="275" spans="1:22" ht="15.6" x14ac:dyDescent="0.3">
      <c r="A275" s="167"/>
      <c r="B275" s="13"/>
      <c r="C275" s="13"/>
      <c r="D275" s="13"/>
      <c r="E275" s="13"/>
      <c r="F275" s="13"/>
      <c r="G275" s="99"/>
      <c r="H275" s="162"/>
      <c r="I275" s="162"/>
      <c r="J275" s="162"/>
      <c r="K275" s="162"/>
      <c r="L275" s="162"/>
      <c r="M275" s="162"/>
      <c r="N275" s="162"/>
      <c r="O275" s="162"/>
      <c r="P275" s="162"/>
      <c r="Q275" s="162"/>
      <c r="R275" s="162"/>
      <c r="S275" s="162"/>
      <c r="T275" s="162"/>
      <c r="U275" s="162"/>
      <c r="V275" s="5"/>
    </row>
    <row r="276" spans="1:22" ht="18" thickBot="1" x14ac:dyDescent="0.35">
      <c r="A276" s="167"/>
      <c r="B276" s="49" t="str">
        <f>B193</f>
        <v>PM11 INVESTOR REPORT QUARTER ENDING MARCH 2010</v>
      </c>
      <c r="C276" s="13"/>
      <c r="D276" s="13"/>
      <c r="E276" s="13"/>
      <c r="F276" s="13"/>
      <c r="G276" s="99"/>
      <c r="H276" s="162"/>
      <c r="I276" s="162"/>
      <c r="J276" s="162"/>
      <c r="K276" s="162"/>
      <c r="L276" s="162"/>
      <c r="M276" s="162"/>
      <c r="N276" s="162"/>
      <c r="O276" s="162"/>
      <c r="P276" s="162"/>
      <c r="Q276" s="162"/>
      <c r="R276" s="162"/>
      <c r="S276" s="162"/>
      <c r="T276" s="162"/>
      <c r="U276" s="162"/>
      <c r="V276" s="5"/>
    </row>
    <row r="277" spans="1:22" x14ac:dyDescent="0.25">
      <c r="A277" s="100"/>
      <c r="B277" s="100"/>
      <c r="C277" s="100"/>
      <c r="D277" s="100"/>
      <c r="E277" s="100"/>
      <c r="F277" s="100"/>
      <c r="G277" s="100"/>
      <c r="H277" s="100"/>
      <c r="I277" s="100"/>
      <c r="J277" s="100"/>
      <c r="K277" s="100"/>
      <c r="L277" s="100"/>
      <c r="M277" s="100"/>
      <c r="N277" s="100"/>
      <c r="O277" s="100"/>
      <c r="P277" s="100"/>
      <c r="Q277" s="100"/>
      <c r="R277" s="100"/>
      <c r="S277" s="100"/>
      <c r="T277" s="100"/>
      <c r="U277" s="100"/>
    </row>
  </sheetData>
  <phoneticPr fontId="0" type="noConversion"/>
  <hyperlinks>
    <hyperlink ref="N229" r:id="rId1" xr:uid="{00000000-0004-0000-0F00-000000000000}"/>
    <hyperlink ref="J9" r:id="rId2" xr:uid="{00000000-0004-0000-0F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4" max="14" man="1"/>
    <brk id="133" max="14" man="1"/>
    <brk id="193" max="14" man="1"/>
  </rowBreaks>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89CB31"/>
  </sheetPr>
  <dimension ref="A1:X288"/>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08984375" style="1" customWidth="1"/>
    <col min="10" max="10" width="17.81640625" style="1" customWidth="1"/>
    <col min="11" max="11" width="2.1796875" style="1" customWidth="1"/>
    <col min="12" max="12" width="14.81640625" style="1" customWidth="1"/>
    <col min="13" max="13" width="2.1796875" style="1" customWidth="1"/>
    <col min="14" max="14" width="15.54296875" style="1" customWidth="1"/>
    <col min="15" max="15" width="2.08984375" style="1" customWidth="1"/>
    <col min="16" max="16" width="15.54296875" style="1" customWidth="1"/>
    <col min="17" max="18" width="12.81640625" style="1" customWidth="1"/>
    <col min="19" max="19" width="7.81640625" style="1" customWidth="1"/>
    <col min="20" max="20" width="14.81640625" style="1" customWidth="1"/>
    <col min="21" max="21" width="11.81640625" style="1" customWidth="1"/>
    <col min="22" max="16384" width="9.81640625" style="1"/>
  </cols>
  <sheetData>
    <row r="1" spans="1:22" ht="20.399999999999999" x14ac:dyDescent="0.35">
      <c r="A1" s="173"/>
      <c r="B1" s="228" t="s">
        <v>228</v>
      </c>
      <c r="C1" s="174"/>
      <c r="D1" s="174"/>
      <c r="E1" s="174"/>
      <c r="F1" s="174"/>
      <c r="G1" s="174"/>
      <c r="H1" s="174"/>
      <c r="I1" s="174"/>
      <c r="J1" s="174"/>
      <c r="K1" s="174"/>
      <c r="L1" s="174"/>
      <c r="M1" s="174"/>
      <c r="N1" s="174"/>
      <c r="O1" s="174"/>
      <c r="P1" s="174"/>
      <c r="Q1" s="174"/>
      <c r="R1" s="174"/>
      <c r="S1" s="174"/>
      <c r="T1" s="174"/>
      <c r="U1" s="174"/>
      <c r="V1" s="5"/>
    </row>
    <row r="2" spans="1:22" ht="15.6" x14ac:dyDescent="0.3">
      <c r="A2" s="175"/>
      <c r="B2" s="176"/>
      <c r="C2" s="177"/>
      <c r="D2" s="177"/>
      <c r="E2" s="177"/>
      <c r="F2" s="177"/>
      <c r="G2" s="177"/>
      <c r="H2" s="177"/>
      <c r="I2" s="177"/>
      <c r="J2" s="177"/>
      <c r="K2" s="177"/>
      <c r="L2" s="177"/>
      <c r="M2" s="177"/>
      <c r="N2" s="177"/>
      <c r="O2" s="177"/>
      <c r="P2" s="177"/>
      <c r="Q2" s="177"/>
      <c r="R2" s="177"/>
      <c r="S2" s="177"/>
      <c r="T2" s="177"/>
      <c r="U2" s="177"/>
      <c r="V2" s="5"/>
    </row>
    <row r="3" spans="1:22" ht="15.6" x14ac:dyDescent="0.3">
      <c r="A3" s="178"/>
      <c r="B3" s="179" t="s">
        <v>229</v>
      </c>
      <c r="C3" s="177"/>
      <c r="D3" s="177"/>
      <c r="E3" s="177"/>
      <c r="F3" s="177"/>
      <c r="G3" s="177"/>
      <c r="H3" s="177"/>
      <c r="I3" s="177"/>
      <c r="J3" s="177"/>
      <c r="K3" s="177"/>
      <c r="L3" s="177"/>
      <c r="M3" s="177"/>
      <c r="N3" s="177"/>
      <c r="O3" s="177"/>
      <c r="P3" s="177"/>
      <c r="Q3" s="177"/>
      <c r="R3" s="177"/>
      <c r="S3" s="177"/>
      <c r="T3" s="177"/>
      <c r="U3" s="177"/>
      <c r="V3" s="5"/>
    </row>
    <row r="4" spans="1:22" ht="15.6" x14ac:dyDescent="0.3">
      <c r="A4" s="175"/>
      <c r="B4" s="176"/>
      <c r="C4" s="177"/>
      <c r="D4" s="177"/>
      <c r="E4" s="177"/>
      <c r="F4" s="177"/>
      <c r="G4" s="177"/>
      <c r="H4" s="177"/>
      <c r="I4" s="177"/>
      <c r="J4" s="177"/>
      <c r="K4" s="177"/>
      <c r="L4" s="177"/>
      <c r="M4" s="177"/>
      <c r="N4" s="177"/>
      <c r="O4" s="177"/>
      <c r="P4" s="177"/>
      <c r="Q4" s="177"/>
      <c r="R4" s="177"/>
      <c r="S4" s="177"/>
      <c r="T4" s="177"/>
      <c r="U4" s="177"/>
      <c r="V4" s="5"/>
    </row>
    <row r="5" spans="1:22" ht="15.6" x14ac:dyDescent="0.3">
      <c r="A5" s="175"/>
      <c r="B5" s="229" t="s">
        <v>143</v>
      </c>
      <c r="C5" s="177"/>
      <c r="D5" s="177"/>
      <c r="E5" s="177"/>
      <c r="F5" s="177"/>
      <c r="G5" s="177"/>
      <c r="H5" s="177"/>
      <c r="I5" s="177"/>
      <c r="J5" s="177"/>
      <c r="K5" s="177"/>
      <c r="L5" s="177"/>
      <c r="M5" s="177"/>
      <c r="N5" s="177"/>
      <c r="O5" s="177"/>
      <c r="P5" s="177"/>
      <c r="Q5" s="177"/>
      <c r="R5" s="177"/>
      <c r="S5" s="177"/>
      <c r="T5" s="177"/>
      <c r="U5" s="177"/>
      <c r="V5" s="5"/>
    </row>
    <row r="6" spans="1:22" ht="15.6" x14ac:dyDescent="0.3">
      <c r="A6" s="175"/>
      <c r="B6" s="229" t="s">
        <v>145</v>
      </c>
      <c r="C6" s="177"/>
      <c r="D6" s="177"/>
      <c r="E6" s="177"/>
      <c r="F6" s="177"/>
      <c r="G6" s="177"/>
      <c r="H6" s="177"/>
      <c r="I6" s="177"/>
      <c r="J6" s="177"/>
      <c r="K6" s="177"/>
      <c r="L6" s="177"/>
      <c r="M6" s="177"/>
      <c r="N6" s="177"/>
      <c r="O6" s="177"/>
      <c r="P6" s="177"/>
      <c r="Q6" s="177"/>
      <c r="R6" s="177"/>
      <c r="S6" s="177"/>
      <c r="T6" s="177"/>
      <c r="U6" s="177"/>
      <c r="V6" s="5"/>
    </row>
    <row r="7" spans="1:22" ht="15.6" x14ac:dyDescent="0.3">
      <c r="A7" s="175"/>
      <c r="B7" s="229" t="s">
        <v>144</v>
      </c>
      <c r="C7" s="177"/>
      <c r="D7" s="177"/>
      <c r="E7" s="177"/>
      <c r="F7" s="177"/>
      <c r="G7" s="177"/>
      <c r="H7" s="177"/>
      <c r="I7" s="177"/>
      <c r="J7" s="177"/>
      <c r="K7" s="177"/>
      <c r="L7" s="177"/>
      <c r="M7" s="177"/>
      <c r="N7" s="177"/>
      <c r="O7" s="177"/>
      <c r="P7" s="177"/>
      <c r="Q7" s="177"/>
      <c r="R7" s="177"/>
      <c r="S7" s="177"/>
      <c r="T7" s="177"/>
      <c r="U7" s="177"/>
      <c r="V7" s="5"/>
    </row>
    <row r="8" spans="1:22" ht="15.6" x14ac:dyDescent="0.3">
      <c r="A8" s="175"/>
      <c r="B8" s="180"/>
      <c r="C8" s="177"/>
      <c r="D8" s="177"/>
      <c r="E8" s="177"/>
      <c r="F8" s="177"/>
      <c r="G8" s="177"/>
      <c r="H8" s="177"/>
      <c r="I8" s="177"/>
      <c r="J8" s="177"/>
      <c r="K8" s="177"/>
      <c r="L8" s="177"/>
      <c r="M8" s="177"/>
      <c r="N8" s="177"/>
      <c r="O8" s="177"/>
      <c r="P8" s="177"/>
      <c r="Q8" s="177"/>
      <c r="R8" s="177"/>
      <c r="S8" s="177"/>
      <c r="T8" s="177"/>
      <c r="U8" s="177"/>
      <c r="V8" s="5"/>
    </row>
    <row r="9" spans="1:22" ht="17.399999999999999" x14ac:dyDescent="0.3">
      <c r="A9" s="175"/>
      <c r="B9" s="181" t="s">
        <v>173</v>
      </c>
      <c r="C9" s="177"/>
      <c r="D9" s="177"/>
      <c r="E9" s="177"/>
      <c r="F9" s="177"/>
      <c r="G9" s="177"/>
      <c r="H9" s="177"/>
      <c r="I9" s="177"/>
      <c r="J9" s="182" t="s">
        <v>174</v>
      </c>
      <c r="K9" s="177"/>
      <c r="L9" s="182"/>
      <c r="M9" s="177"/>
      <c r="N9" s="177"/>
      <c r="O9" s="177"/>
      <c r="P9" s="177"/>
      <c r="Q9" s="177"/>
      <c r="R9" s="177"/>
      <c r="S9" s="177"/>
      <c r="T9" s="177"/>
      <c r="U9" s="177"/>
      <c r="V9" s="5"/>
    </row>
    <row r="10" spans="1:22" ht="15.6" x14ac:dyDescent="0.3">
      <c r="A10" s="175"/>
      <c r="B10" s="180"/>
      <c r="C10" s="183"/>
      <c r="D10" s="183"/>
      <c r="E10" s="183"/>
      <c r="F10" s="177"/>
      <c r="G10" s="177"/>
      <c r="H10" s="177"/>
      <c r="I10" s="177"/>
      <c r="J10" s="177"/>
      <c r="K10" s="177"/>
      <c r="L10" s="177"/>
      <c r="M10" s="177"/>
      <c r="N10" s="177"/>
      <c r="O10" s="177"/>
      <c r="P10" s="177"/>
      <c r="Q10" s="177"/>
      <c r="R10" s="177"/>
      <c r="S10" s="177"/>
      <c r="T10" s="177"/>
      <c r="U10" s="177"/>
      <c r="V10" s="5"/>
    </row>
    <row r="11" spans="1:22" ht="15.6" x14ac:dyDescent="0.3">
      <c r="A11" s="175"/>
      <c r="B11" s="230" t="s">
        <v>0</v>
      </c>
      <c r="C11" s="177"/>
      <c r="D11" s="177"/>
      <c r="E11" s="177"/>
      <c r="F11" s="177"/>
      <c r="G11" s="177"/>
      <c r="H11" s="177"/>
      <c r="I11" s="177"/>
      <c r="J11" s="177"/>
      <c r="K11" s="177"/>
      <c r="L11" s="177"/>
      <c r="M11" s="177"/>
      <c r="N11" s="177"/>
      <c r="O11" s="177"/>
      <c r="P11" s="177"/>
      <c r="Q11" s="177"/>
      <c r="R11" s="177"/>
      <c r="S11" s="177"/>
      <c r="T11" s="177"/>
      <c r="U11" s="177"/>
      <c r="V11" s="5"/>
    </row>
    <row r="12" spans="1:22" ht="16.2" thickBot="1" x14ac:dyDescent="0.35">
      <c r="A12" s="175"/>
      <c r="B12" s="183"/>
      <c r="C12" s="177"/>
      <c r="D12" s="177"/>
      <c r="E12" s="177"/>
      <c r="F12" s="177"/>
      <c r="G12" s="177"/>
      <c r="H12" s="177"/>
      <c r="I12" s="177"/>
      <c r="J12" s="177"/>
      <c r="K12" s="177"/>
      <c r="L12" s="177"/>
      <c r="M12" s="177"/>
      <c r="N12" s="177"/>
      <c r="O12" s="177"/>
      <c r="P12" s="177"/>
      <c r="Q12" s="177"/>
      <c r="R12" s="177"/>
      <c r="S12" s="177"/>
      <c r="T12" s="177"/>
      <c r="U12" s="177"/>
      <c r="V12" s="5"/>
    </row>
    <row r="13" spans="1:22" ht="15.6" x14ac:dyDescent="0.3">
      <c r="A13" s="173"/>
      <c r="B13" s="174"/>
      <c r="C13" s="174"/>
      <c r="D13" s="174"/>
      <c r="E13" s="174"/>
      <c r="F13" s="174"/>
      <c r="G13" s="174"/>
      <c r="H13" s="174"/>
      <c r="I13" s="174"/>
      <c r="J13" s="174"/>
      <c r="K13" s="174"/>
      <c r="L13" s="174"/>
      <c r="M13" s="174"/>
      <c r="N13" s="174"/>
      <c r="O13" s="174"/>
      <c r="P13" s="174"/>
      <c r="Q13" s="174"/>
      <c r="R13" s="174"/>
      <c r="S13" s="174"/>
      <c r="T13" s="174"/>
      <c r="U13" s="174"/>
      <c r="V13" s="5"/>
    </row>
    <row r="14" spans="1:22" ht="15.6" x14ac:dyDescent="0.3">
      <c r="A14" s="175"/>
      <c r="B14" s="230" t="s">
        <v>1</v>
      </c>
      <c r="C14" s="184"/>
      <c r="D14" s="184"/>
      <c r="E14" s="184"/>
      <c r="F14" s="184"/>
      <c r="G14" s="184"/>
      <c r="H14" s="184"/>
      <c r="I14" s="184"/>
      <c r="J14" s="184"/>
      <c r="K14" s="184"/>
      <c r="L14" s="184"/>
      <c r="M14" s="184"/>
      <c r="N14" s="184"/>
      <c r="O14" s="184"/>
      <c r="P14" s="231"/>
      <c r="Q14" s="231"/>
      <c r="R14" s="231"/>
      <c r="S14" s="231"/>
      <c r="T14" s="233" t="s">
        <v>230</v>
      </c>
      <c r="U14" s="184"/>
      <c r="V14" s="5"/>
    </row>
    <row r="15" spans="1:22" ht="15.6" x14ac:dyDescent="0.3">
      <c r="A15" s="175"/>
      <c r="B15" s="230" t="s">
        <v>2</v>
      </c>
      <c r="C15" s="184"/>
      <c r="D15" s="184"/>
      <c r="E15" s="184"/>
      <c r="F15" s="184"/>
      <c r="G15" s="184"/>
      <c r="H15" s="185"/>
      <c r="I15" s="185"/>
      <c r="J15" s="185"/>
      <c r="K15" s="185"/>
      <c r="L15" s="185"/>
      <c r="M15" s="185"/>
      <c r="N15" s="185"/>
      <c r="O15" s="185"/>
      <c r="P15" s="234" t="s">
        <v>107</v>
      </c>
      <c r="Q15" s="235">
        <v>0.40749999999999997</v>
      </c>
      <c r="R15" s="236" t="s">
        <v>146</v>
      </c>
      <c r="S15" s="235">
        <v>0.59250000000000003</v>
      </c>
      <c r="T15" s="233"/>
      <c r="U15" s="184"/>
      <c r="V15" s="5"/>
    </row>
    <row r="16" spans="1:22" ht="15.6" x14ac:dyDescent="0.3">
      <c r="A16" s="175"/>
      <c r="B16" s="230" t="s">
        <v>3</v>
      </c>
      <c r="C16" s="184"/>
      <c r="D16" s="184"/>
      <c r="E16" s="184"/>
      <c r="F16" s="184"/>
      <c r="G16" s="184"/>
      <c r="H16" s="185"/>
      <c r="I16" s="185"/>
      <c r="J16" s="185"/>
      <c r="K16" s="185"/>
      <c r="L16" s="185"/>
      <c r="M16" s="185"/>
      <c r="N16" s="185"/>
      <c r="O16" s="185"/>
      <c r="P16" s="234" t="s">
        <v>107</v>
      </c>
      <c r="Q16" s="235">
        <v>0.4501</v>
      </c>
      <c r="R16" s="236" t="s">
        <v>146</v>
      </c>
      <c r="S16" s="235">
        <v>0.54990000000000006</v>
      </c>
      <c r="T16" s="233"/>
      <c r="U16" s="184"/>
      <c r="V16" s="5"/>
    </row>
    <row r="17" spans="1:22" ht="15.6" x14ac:dyDescent="0.3">
      <c r="A17" s="175"/>
      <c r="B17" s="230" t="s">
        <v>4</v>
      </c>
      <c r="C17" s="184"/>
      <c r="D17" s="184"/>
      <c r="E17" s="184"/>
      <c r="F17" s="184"/>
      <c r="G17" s="184"/>
      <c r="H17" s="184"/>
      <c r="I17" s="184"/>
      <c r="J17" s="184"/>
      <c r="K17" s="184"/>
      <c r="L17" s="184"/>
      <c r="M17" s="184"/>
      <c r="N17" s="184"/>
      <c r="O17" s="184"/>
      <c r="P17" s="231"/>
      <c r="Q17" s="231"/>
      <c r="R17" s="231"/>
      <c r="S17" s="231"/>
      <c r="T17" s="237">
        <v>38799</v>
      </c>
      <c r="U17" s="184"/>
      <c r="V17" s="5"/>
    </row>
    <row r="18" spans="1:22" ht="15.6" x14ac:dyDescent="0.3">
      <c r="A18" s="175"/>
      <c r="B18" s="230" t="s">
        <v>5</v>
      </c>
      <c r="C18" s="184"/>
      <c r="D18" s="184"/>
      <c r="E18" s="184"/>
      <c r="F18" s="184"/>
      <c r="G18" s="184"/>
      <c r="H18" s="184"/>
      <c r="I18" s="184"/>
      <c r="J18" s="184"/>
      <c r="K18" s="184"/>
      <c r="L18" s="184"/>
      <c r="M18" s="184"/>
      <c r="N18" s="184"/>
      <c r="O18" s="184"/>
      <c r="P18" s="231"/>
      <c r="Q18" s="231"/>
      <c r="R18" s="231"/>
      <c r="S18" s="231"/>
      <c r="T18" s="237">
        <v>40381</v>
      </c>
      <c r="U18" s="184"/>
      <c r="V18" s="5"/>
    </row>
    <row r="19" spans="1:22" ht="15.6" x14ac:dyDescent="0.3">
      <c r="A19" s="175"/>
      <c r="B19" s="177"/>
      <c r="C19" s="177"/>
      <c r="D19" s="177"/>
      <c r="E19" s="177"/>
      <c r="F19" s="177"/>
      <c r="G19" s="177"/>
      <c r="H19" s="177"/>
      <c r="I19" s="177"/>
      <c r="J19" s="177"/>
      <c r="K19" s="177"/>
      <c r="L19" s="177"/>
      <c r="M19" s="177"/>
      <c r="N19" s="177"/>
      <c r="O19" s="177"/>
      <c r="P19" s="177"/>
      <c r="Q19" s="177"/>
      <c r="R19" s="177"/>
      <c r="S19" s="177"/>
      <c r="T19" s="186"/>
      <c r="U19" s="177"/>
      <c r="V19" s="5"/>
    </row>
    <row r="20" spans="1:22" ht="15.6" x14ac:dyDescent="0.3">
      <c r="A20" s="175"/>
      <c r="B20" s="232" t="s">
        <v>6</v>
      </c>
      <c r="C20" s="177"/>
      <c r="D20" s="177"/>
      <c r="E20" s="177"/>
      <c r="F20" s="177"/>
      <c r="G20" s="177"/>
      <c r="H20" s="177"/>
      <c r="I20" s="177"/>
      <c r="J20" s="177"/>
      <c r="K20" s="177"/>
      <c r="L20" s="177"/>
      <c r="M20" s="177"/>
      <c r="N20" s="177"/>
      <c r="O20" s="177"/>
      <c r="P20" s="177"/>
      <c r="Q20" s="177"/>
      <c r="R20" s="238" t="s">
        <v>108</v>
      </c>
      <c r="S20" s="177"/>
      <c r="T20" s="188"/>
      <c r="U20" s="177"/>
      <c r="V20" s="5"/>
    </row>
    <row r="21" spans="1:22" ht="15.6" x14ac:dyDescent="0.3">
      <c r="A21" s="175"/>
      <c r="B21" s="177"/>
      <c r="C21" s="177"/>
      <c r="D21" s="177"/>
      <c r="E21" s="177"/>
      <c r="F21" s="177"/>
      <c r="G21" s="177"/>
      <c r="H21" s="177"/>
      <c r="I21" s="177"/>
      <c r="J21" s="177"/>
      <c r="K21" s="177"/>
      <c r="L21" s="177"/>
      <c r="M21" s="177"/>
      <c r="N21" s="177"/>
      <c r="O21" s="177"/>
      <c r="P21" s="177"/>
      <c r="Q21" s="177"/>
      <c r="R21" s="177"/>
      <c r="S21" s="177"/>
      <c r="T21" s="189"/>
      <c r="U21" s="177"/>
      <c r="V21" s="5"/>
    </row>
    <row r="22" spans="1:22" ht="15.6" x14ac:dyDescent="0.3">
      <c r="A22" s="222"/>
      <c r="B22" s="223"/>
      <c r="C22" s="224"/>
      <c r="D22" s="224" t="s">
        <v>184</v>
      </c>
      <c r="E22" s="224"/>
      <c r="F22" s="224" t="s">
        <v>185</v>
      </c>
      <c r="G22" s="224"/>
      <c r="H22" s="224" t="s">
        <v>186</v>
      </c>
      <c r="I22" s="224"/>
      <c r="J22" s="224" t="s">
        <v>187</v>
      </c>
      <c r="K22" s="224"/>
      <c r="L22" s="224" t="s">
        <v>188</v>
      </c>
      <c r="M22" s="224"/>
      <c r="N22" s="224" t="s">
        <v>189</v>
      </c>
      <c r="O22" s="224"/>
      <c r="P22" s="224"/>
      <c r="Q22" s="225"/>
      <c r="R22" s="226"/>
      <c r="S22" s="227"/>
      <c r="T22" s="227"/>
      <c r="U22" s="223"/>
      <c r="V22" s="5"/>
    </row>
    <row r="23" spans="1:22" ht="15.6" x14ac:dyDescent="0.3">
      <c r="A23" s="190"/>
      <c r="B23" s="239" t="s">
        <v>7</v>
      </c>
      <c r="C23" s="240"/>
      <c r="D23" s="240" t="s">
        <v>222</v>
      </c>
      <c r="E23" s="240"/>
      <c r="F23" s="240" t="s">
        <v>147</v>
      </c>
      <c r="G23" s="240"/>
      <c r="H23" s="240" t="s">
        <v>147</v>
      </c>
      <c r="I23" s="240"/>
      <c r="J23" s="240" t="s">
        <v>190</v>
      </c>
      <c r="K23" s="240"/>
      <c r="L23" s="240" t="s">
        <v>190</v>
      </c>
      <c r="M23" s="240"/>
      <c r="N23" s="240" t="s">
        <v>148</v>
      </c>
      <c r="O23" s="240"/>
      <c r="P23" s="240"/>
      <c r="Q23" s="240"/>
      <c r="R23" s="240"/>
      <c r="S23" s="241"/>
      <c r="T23" s="241"/>
      <c r="U23" s="239"/>
      <c r="V23" s="5"/>
    </row>
    <row r="24" spans="1:22" ht="15.6" x14ac:dyDescent="0.3">
      <c r="A24" s="284"/>
      <c r="B24" s="285" t="s">
        <v>8</v>
      </c>
      <c r="C24" s="286"/>
      <c r="D24" s="286" t="s">
        <v>223</v>
      </c>
      <c r="E24" s="286"/>
      <c r="F24" s="286" t="s">
        <v>149</v>
      </c>
      <c r="G24" s="286"/>
      <c r="H24" s="286" t="s">
        <v>149</v>
      </c>
      <c r="I24" s="286"/>
      <c r="J24" s="286" t="s">
        <v>172</v>
      </c>
      <c r="K24" s="286"/>
      <c r="L24" s="286" t="s">
        <v>172</v>
      </c>
      <c r="M24" s="286"/>
      <c r="N24" s="286" t="s">
        <v>150</v>
      </c>
      <c r="O24" s="286"/>
      <c r="P24" s="286"/>
      <c r="Q24" s="286"/>
      <c r="R24" s="286"/>
      <c r="S24" s="287"/>
      <c r="T24" s="287"/>
      <c r="U24" s="288"/>
      <c r="V24" s="5"/>
    </row>
    <row r="25" spans="1:22" ht="15.6" x14ac:dyDescent="0.3">
      <c r="A25" s="289"/>
      <c r="B25" s="290" t="s">
        <v>198</v>
      </c>
      <c r="C25" s="291"/>
      <c r="D25" s="286" t="s">
        <v>224</v>
      </c>
      <c r="E25" s="286"/>
      <c r="F25" s="286" t="s">
        <v>149</v>
      </c>
      <c r="G25" s="286"/>
      <c r="H25" s="286" t="s">
        <v>149</v>
      </c>
      <c r="I25" s="286"/>
      <c r="J25" s="286" t="s">
        <v>172</v>
      </c>
      <c r="K25" s="286"/>
      <c r="L25" s="286" t="s">
        <v>172</v>
      </c>
      <c r="M25" s="286"/>
      <c r="N25" s="286" t="s">
        <v>150</v>
      </c>
      <c r="O25" s="286"/>
      <c r="P25" s="286"/>
      <c r="Q25" s="291"/>
      <c r="R25" s="286"/>
      <c r="S25" s="287"/>
      <c r="T25" s="287"/>
      <c r="U25" s="288"/>
      <c r="V25" s="5"/>
    </row>
    <row r="26" spans="1:22" ht="15.6" x14ac:dyDescent="0.3">
      <c r="A26" s="289"/>
      <c r="B26" s="292" t="s">
        <v>9</v>
      </c>
      <c r="C26" s="291"/>
      <c r="D26" s="291" t="s">
        <v>222</v>
      </c>
      <c r="E26" s="291"/>
      <c r="F26" s="291" t="s">
        <v>147</v>
      </c>
      <c r="G26" s="291"/>
      <c r="H26" s="291" t="s">
        <v>147</v>
      </c>
      <c r="I26" s="291"/>
      <c r="J26" s="291" t="s">
        <v>190</v>
      </c>
      <c r="K26" s="291"/>
      <c r="L26" s="291" t="s">
        <v>190</v>
      </c>
      <c r="M26" s="291"/>
      <c r="N26" s="291" t="s">
        <v>148</v>
      </c>
      <c r="O26" s="291"/>
      <c r="P26" s="291"/>
      <c r="Q26" s="291"/>
      <c r="R26" s="286"/>
      <c r="S26" s="287"/>
      <c r="T26" s="287"/>
      <c r="U26" s="288"/>
      <c r="V26" s="5"/>
    </row>
    <row r="27" spans="1:22" ht="15.6" x14ac:dyDescent="0.3">
      <c r="A27" s="284"/>
      <c r="B27" s="292" t="s">
        <v>199</v>
      </c>
      <c r="C27" s="286"/>
      <c r="D27" s="291" t="s">
        <v>223</v>
      </c>
      <c r="E27" s="291"/>
      <c r="F27" s="291" t="s">
        <v>149</v>
      </c>
      <c r="G27" s="291"/>
      <c r="H27" s="291" t="s">
        <v>149</v>
      </c>
      <c r="I27" s="291"/>
      <c r="J27" s="291" t="s">
        <v>172</v>
      </c>
      <c r="K27" s="291"/>
      <c r="L27" s="291" t="s">
        <v>172</v>
      </c>
      <c r="M27" s="291"/>
      <c r="N27" s="291" t="s">
        <v>150</v>
      </c>
      <c r="O27" s="291"/>
      <c r="P27" s="291"/>
      <c r="Q27" s="286"/>
      <c r="R27" s="293"/>
      <c r="S27" s="287"/>
      <c r="T27" s="287"/>
      <c r="U27" s="288"/>
      <c r="V27" s="5"/>
    </row>
    <row r="28" spans="1:22" ht="15.6" x14ac:dyDescent="0.3">
      <c r="A28" s="284"/>
      <c r="B28" s="294" t="s">
        <v>200</v>
      </c>
      <c r="C28" s="286"/>
      <c r="D28" s="291" t="s">
        <v>224</v>
      </c>
      <c r="E28" s="291"/>
      <c r="F28" s="291" t="s">
        <v>149</v>
      </c>
      <c r="G28" s="291"/>
      <c r="H28" s="291" t="s">
        <v>149</v>
      </c>
      <c r="I28" s="291"/>
      <c r="J28" s="291" t="s">
        <v>172</v>
      </c>
      <c r="K28" s="291"/>
      <c r="L28" s="291" t="s">
        <v>172</v>
      </c>
      <c r="M28" s="291"/>
      <c r="N28" s="291" t="s">
        <v>150</v>
      </c>
      <c r="O28" s="291"/>
      <c r="P28" s="291"/>
      <c r="Q28" s="286"/>
      <c r="R28" s="293"/>
      <c r="S28" s="287"/>
      <c r="T28" s="287"/>
      <c r="U28" s="288"/>
      <c r="V28" s="5"/>
    </row>
    <row r="29" spans="1:22" ht="15.6" x14ac:dyDescent="0.3">
      <c r="A29" s="284"/>
      <c r="B29" s="285" t="s">
        <v>10</v>
      </c>
      <c r="C29" s="295"/>
      <c r="D29" s="286" t="s">
        <v>237</v>
      </c>
      <c r="E29" s="286"/>
      <c r="F29" s="293" t="s">
        <v>238</v>
      </c>
      <c r="G29" s="286"/>
      <c r="H29" s="286" t="s">
        <v>239</v>
      </c>
      <c r="I29" s="286"/>
      <c r="J29" s="286" t="s">
        <v>240</v>
      </c>
      <c r="K29" s="286"/>
      <c r="L29" s="286" t="s">
        <v>241</v>
      </c>
      <c r="M29" s="286"/>
      <c r="N29" s="286" t="s">
        <v>242</v>
      </c>
      <c r="O29" s="286"/>
      <c r="P29" s="286"/>
      <c r="Q29" s="296"/>
      <c r="R29" s="296"/>
      <c r="S29" s="297"/>
      <c r="T29" s="296"/>
      <c r="U29" s="298"/>
      <c r="V29" s="5"/>
    </row>
    <row r="30" spans="1:22" ht="15.6" x14ac:dyDescent="0.3">
      <c r="A30" s="284"/>
      <c r="B30" s="285" t="s">
        <v>10</v>
      </c>
      <c r="C30" s="295"/>
      <c r="D30" s="286" t="s">
        <v>236</v>
      </c>
      <c r="E30" s="286"/>
      <c r="F30" s="293" t="s">
        <v>124</v>
      </c>
      <c r="G30" s="286"/>
      <c r="H30" s="286" t="s">
        <v>124</v>
      </c>
      <c r="I30" s="286"/>
      <c r="J30" s="286" t="s">
        <v>124</v>
      </c>
      <c r="K30" s="286"/>
      <c r="L30" s="286" t="s">
        <v>124</v>
      </c>
      <c r="M30" s="286"/>
      <c r="N30" s="286" t="s">
        <v>124</v>
      </c>
      <c r="O30" s="286"/>
      <c r="P30" s="286"/>
      <c r="Q30" s="296"/>
      <c r="R30" s="296"/>
      <c r="S30" s="297"/>
      <c r="T30" s="296"/>
      <c r="U30" s="298"/>
      <c r="V30" s="5"/>
    </row>
    <row r="31" spans="1:22" ht="15.6" x14ac:dyDescent="0.3">
      <c r="A31" s="289"/>
      <c r="B31" s="285" t="s">
        <v>139</v>
      </c>
      <c r="C31" s="299"/>
      <c r="D31" s="300">
        <v>985000</v>
      </c>
      <c r="E31" s="295"/>
      <c r="F31" s="296">
        <v>149500</v>
      </c>
      <c r="G31" s="296"/>
      <c r="H31" s="301">
        <v>219700</v>
      </c>
      <c r="I31" s="296"/>
      <c r="J31" s="296">
        <v>16000</v>
      </c>
      <c r="K31" s="296"/>
      <c r="L31" s="301">
        <v>82400</v>
      </c>
      <c r="M31" s="296"/>
      <c r="N31" s="301">
        <v>87500</v>
      </c>
      <c r="O31" s="296"/>
      <c r="P31" s="301"/>
      <c r="Q31" s="302"/>
      <c r="R31" s="302"/>
      <c r="S31" s="303"/>
      <c r="T31" s="302"/>
      <c r="U31" s="298"/>
      <c r="V31" s="5"/>
    </row>
    <row r="32" spans="1:22" ht="15.6" x14ac:dyDescent="0.3">
      <c r="A32" s="284"/>
      <c r="B32" s="285" t="s">
        <v>138</v>
      </c>
      <c r="C32" s="295"/>
      <c r="D32" s="300">
        <f>D38*D31</f>
        <v>532354.9715000001</v>
      </c>
      <c r="E32" s="295"/>
      <c r="F32" s="296">
        <f>F38*F31</f>
        <v>80799.128800000006</v>
      </c>
      <c r="G32" s="296"/>
      <c r="H32" s="301">
        <f>H38*H31</f>
        <v>118739.58928</v>
      </c>
      <c r="I32" s="296"/>
      <c r="J32" s="296">
        <f>+J31</f>
        <v>16000</v>
      </c>
      <c r="K32" s="296"/>
      <c r="L32" s="301">
        <f>+L31</f>
        <v>82400</v>
      </c>
      <c r="M32" s="296"/>
      <c r="N32" s="301">
        <f>+N31</f>
        <v>87500</v>
      </c>
      <c r="O32" s="296"/>
      <c r="P32" s="301"/>
      <c r="Q32" s="296"/>
      <c r="R32" s="296"/>
      <c r="S32" s="297"/>
      <c r="T32" s="296"/>
      <c r="U32" s="298"/>
      <c r="V32" s="5"/>
    </row>
    <row r="33" spans="1:22" ht="15.6" x14ac:dyDescent="0.3">
      <c r="A33" s="284"/>
      <c r="B33" s="292" t="s">
        <v>140</v>
      </c>
      <c r="C33" s="295"/>
      <c r="D33" s="304">
        <f>D37*D31</f>
        <v>527257.30099999998</v>
      </c>
      <c r="E33" s="299"/>
      <c r="F33" s="302">
        <f>F37*F31</f>
        <v>80025.436399999991</v>
      </c>
      <c r="G33" s="302"/>
      <c r="H33" s="305">
        <f>H31*H37</f>
        <v>117602.59783999999</v>
      </c>
      <c r="I33" s="302"/>
      <c r="J33" s="302">
        <f>J31*J37</f>
        <v>16000</v>
      </c>
      <c r="K33" s="302"/>
      <c r="L33" s="305">
        <f>L31*L37</f>
        <v>82400</v>
      </c>
      <c r="M33" s="302"/>
      <c r="N33" s="305">
        <f>N31*N37</f>
        <v>87500</v>
      </c>
      <c r="O33" s="302"/>
      <c r="P33" s="305"/>
      <c r="Q33" s="296"/>
      <c r="R33" s="296"/>
      <c r="S33" s="297"/>
      <c r="T33" s="296"/>
      <c r="U33" s="298"/>
      <c r="V33" s="5"/>
    </row>
    <row r="34" spans="1:22" ht="15.6" x14ac:dyDescent="0.3">
      <c r="A34" s="289"/>
      <c r="B34" s="285" t="s">
        <v>283</v>
      </c>
      <c r="C34" s="299"/>
      <c r="D34" s="296">
        <v>567282</v>
      </c>
      <c r="E34" s="295"/>
      <c r="F34" s="296">
        <v>149500</v>
      </c>
      <c r="G34" s="296"/>
      <c r="H34" s="296">
        <v>150716</v>
      </c>
      <c r="I34" s="296"/>
      <c r="J34" s="296">
        <v>16000</v>
      </c>
      <c r="K34" s="296"/>
      <c r="L34" s="296">
        <v>56527</v>
      </c>
      <c r="M34" s="296"/>
      <c r="N34" s="296">
        <v>60025</v>
      </c>
      <c r="O34" s="296"/>
      <c r="P34" s="296"/>
      <c r="Q34" s="302"/>
      <c r="R34" s="302"/>
      <c r="S34" s="303"/>
      <c r="T34" s="306">
        <f>SUM(C34:P34)</f>
        <v>1000050</v>
      </c>
      <c r="U34" s="298"/>
      <c r="V34" s="5"/>
    </row>
    <row r="35" spans="1:22" ht="15.6" x14ac:dyDescent="0.3">
      <c r="A35" s="289"/>
      <c r="B35" s="285" t="s">
        <v>284</v>
      </c>
      <c r="C35" s="307"/>
      <c r="D35" s="296">
        <f>D38*D34</f>
        <v>306594.30755580001</v>
      </c>
      <c r="E35" s="295"/>
      <c r="F35" s="296">
        <f>F38*F34</f>
        <v>80799.128800000006</v>
      </c>
      <c r="G35" s="296"/>
      <c r="H35" s="296">
        <f>H38*H34</f>
        <v>81456.331078400006</v>
      </c>
      <c r="I35" s="296"/>
      <c r="J35" s="296">
        <f>+J34</f>
        <v>16000</v>
      </c>
      <c r="K35" s="296"/>
      <c r="L35" s="296">
        <f>+L34</f>
        <v>56527</v>
      </c>
      <c r="M35" s="296"/>
      <c r="N35" s="296">
        <f>+N34</f>
        <v>60025</v>
      </c>
      <c r="O35" s="296"/>
      <c r="P35" s="296"/>
      <c r="Q35" s="296"/>
      <c r="R35" s="296"/>
      <c r="S35" s="297"/>
      <c r="T35" s="306">
        <f>SUM(C35:P35)+1</f>
        <v>601402.76743420004</v>
      </c>
      <c r="U35" s="298"/>
      <c r="V35" s="5"/>
    </row>
    <row r="36" spans="1:22" ht="15.6" x14ac:dyDescent="0.3">
      <c r="A36" s="289"/>
      <c r="B36" s="292" t="s">
        <v>285</v>
      </c>
      <c r="C36" s="307"/>
      <c r="D36" s="302">
        <f>D37*D34</f>
        <v>303658.45302119997</v>
      </c>
      <c r="E36" s="299"/>
      <c r="F36" s="302">
        <f>F37*F34</f>
        <v>80025.436399999991</v>
      </c>
      <c r="G36" s="302"/>
      <c r="H36" s="302">
        <f>H37*H34</f>
        <v>80676.345635199992</v>
      </c>
      <c r="I36" s="302"/>
      <c r="J36" s="302">
        <f>+J34</f>
        <v>16000</v>
      </c>
      <c r="K36" s="302"/>
      <c r="L36" s="302">
        <f>+L34</f>
        <v>56527</v>
      </c>
      <c r="M36" s="302"/>
      <c r="N36" s="302">
        <f>+N34</f>
        <v>60025</v>
      </c>
      <c r="O36" s="302"/>
      <c r="P36" s="302"/>
      <c r="Q36" s="308"/>
      <c r="R36" s="308"/>
      <c r="S36" s="297"/>
      <c r="T36" s="309">
        <f>SUM(C36:P36)+1</f>
        <v>596913.23505639995</v>
      </c>
      <c r="U36" s="298"/>
      <c r="V36" s="5"/>
    </row>
    <row r="37" spans="1:22" ht="15.6" x14ac:dyDescent="0.3">
      <c r="A37" s="284"/>
      <c r="B37" s="310" t="s">
        <v>136</v>
      </c>
      <c r="C37" s="311"/>
      <c r="D37" s="312">
        <v>0.53528659999999995</v>
      </c>
      <c r="E37" s="313"/>
      <c r="F37" s="312">
        <v>0.53528719999999996</v>
      </c>
      <c r="G37" s="314"/>
      <c r="H37" s="312">
        <v>0.53528719999999996</v>
      </c>
      <c r="I37" s="314"/>
      <c r="J37" s="312">
        <v>1</v>
      </c>
      <c r="K37" s="314"/>
      <c r="L37" s="312">
        <v>1</v>
      </c>
      <c r="M37" s="314"/>
      <c r="N37" s="312">
        <v>1</v>
      </c>
      <c r="O37" s="314"/>
      <c r="P37" s="314"/>
      <c r="Q37" s="315"/>
      <c r="R37" s="315"/>
      <c r="S37" s="316"/>
      <c r="T37" s="316"/>
      <c r="U37" s="317"/>
      <c r="V37" s="5"/>
    </row>
    <row r="38" spans="1:22" ht="15.6" x14ac:dyDescent="0.3">
      <c r="A38" s="284"/>
      <c r="B38" s="310" t="s">
        <v>137</v>
      </c>
      <c r="C38" s="311"/>
      <c r="D38" s="312">
        <v>0.54046190000000005</v>
      </c>
      <c r="E38" s="313"/>
      <c r="F38" s="312">
        <v>0.54046240000000001</v>
      </c>
      <c r="G38" s="314"/>
      <c r="H38" s="312">
        <v>0.54046240000000001</v>
      </c>
      <c r="I38" s="314"/>
      <c r="J38" s="312">
        <v>1</v>
      </c>
      <c r="K38" s="314"/>
      <c r="L38" s="312">
        <v>1</v>
      </c>
      <c r="M38" s="314"/>
      <c r="N38" s="312">
        <v>1</v>
      </c>
      <c r="O38" s="314"/>
      <c r="P38" s="314"/>
      <c r="Q38" s="318"/>
      <c r="R38" s="319"/>
      <c r="S38" s="316"/>
      <c r="T38" s="318"/>
      <c r="U38" s="317"/>
      <c r="V38" s="5"/>
    </row>
    <row r="39" spans="1:22" ht="15.6" x14ac:dyDescent="0.3">
      <c r="A39" s="284"/>
      <c r="B39" s="285" t="s">
        <v>11</v>
      </c>
      <c r="C39" s="285"/>
      <c r="D39" s="293" t="s">
        <v>275</v>
      </c>
      <c r="E39" s="285"/>
      <c r="F39" s="293" t="s">
        <v>231</v>
      </c>
      <c r="G39" s="293"/>
      <c r="H39" s="293" t="s">
        <v>231</v>
      </c>
      <c r="I39" s="293"/>
      <c r="J39" s="293" t="s">
        <v>232</v>
      </c>
      <c r="K39" s="293"/>
      <c r="L39" s="293" t="s">
        <v>232</v>
      </c>
      <c r="M39" s="293"/>
      <c r="N39" s="293" t="s">
        <v>233</v>
      </c>
      <c r="O39" s="293"/>
      <c r="P39" s="293"/>
      <c r="Q39" s="320"/>
      <c r="R39" s="321"/>
      <c r="S39" s="287"/>
      <c r="T39" s="287"/>
      <c r="U39" s="288"/>
      <c r="V39" s="5"/>
    </row>
    <row r="40" spans="1:22" ht="15.6" x14ac:dyDescent="0.3">
      <c r="A40" s="284"/>
      <c r="B40" s="285" t="s">
        <v>12</v>
      </c>
      <c r="C40" s="285"/>
      <c r="D40" s="321">
        <v>4.4968999999999999E-3</v>
      </c>
      <c r="E40" s="285"/>
      <c r="F40" s="321">
        <v>7.7093999999999999E-3</v>
      </c>
      <c r="G40" s="320"/>
      <c r="H40" s="321">
        <v>7.6400000000000001E-3</v>
      </c>
      <c r="I40" s="320"/>
      <c r="J40" s="321">
        <v>8.9093999999999996E-3</v>
      </c>
      <c r="K40" s="320"/>
      <c r="L40" s="321">
        <v>8.8400000000000006E-3</v>
      </c>
      <c r="M40" s="320"/>
      <c r="N40" s="321">
        <v>1.094E-2</v>
      </c>
      <c r="O40" s="320"/>
      <c r="P40" s="321"/>
      <c r="Q40" s="320"/>
      <c r="R40" s="321"/>
      <c r="S40" s="287"/>
      <c r="T40" s="293"/>
      <c r="U40" s="288"/>
      <c r="V40" s="5"/>
    </row>
    <row r="41" spans="1:22" ht="15.6" x14ac:dyDescent="0.3">
      <c r="A41" s="284"/>
      <c r="B41" s="285" t="s">
        <v>13</v>
      </c>
      <c r="C41" s="285"/>
      <c r="D41" s="321">
        <v>3.3E-3</v>
      </c>
      <c r="E41" s="285"/>
      <c r="F41" s="321">
        <v>7.3000000000000001E-3</v>
      </c>
      <c r="G41" s="320"/>
      <c r="H41" s="321">
        <v>8.0400000000000003E-3</v>
      </c>
      <c r="I41" s="320"/>
      <c r="J41" s="321">
        <v>8.5000000000000006E-3</v>
      </c>
      <c r="K41" s="320"/>
      <c r="L41" s="321">
        <v>9.2399999999999999E-3</v>
      </c>
      <c r="M41" s="320"/>
      <c r="N41" s="321">
        <v>1.1339999999999999E-2</v>
      </c>
      <c r="O41" s="320"/>
      <c r="P41" s="321"/>
      <c r="Q41" s="320"/>
      <c r="R41" s="321"/>
      <c r="S41" s="287"/>
      <c r="T41" s="320" t="s">
        <v>201</v>
      </c>
      <c r="U41" s="288"/>
      <c r="V41" s="5"/>
    </row>
    <row r="42" spans="1:22" ht="15.6" x14ac:dyDescent="0.3">
      <c r="A42" s="284"/>
      <c r="B42" s="285" t="s">
        <v>286</v>
      </c>
      <c r="C42" s="285"/>
      <c r="D42" s="293" t="s">
        <v>231</v>
      </c>
      <c r="E42" s="285"/>
      <c r="F42" s="293" t="s">
        <v>231</v>
      </c>
      <c r="G42" s="293"/>
      <c r="H42" s="293" t="s">
        <v>243</v>
      </c>
      <c r="I42" s="293"/>
      <c r="J42" s="293" t="s">
        <v>232</v>
      </c>
      <c r="K42" s="293"/>
      <c r="L42" s="293" t="s">
        <v>244</v>
      </c>
      <c r="M42" s="293"/>
      <c r="N42" s="293" t="s">
        <v>246</v>
      </c>
      <c r="O42" s="293"/>
      <c r="P42" s="293"/>
      <c r="Q42" s="320"/>
      <c r="R42" s="321"/>
      <c r="S42" s="287"/>
      <c r="T42" s="287"/>
      <c r="U42" s="288"/>
      <c r="V42" s="5"/>
    </row>
    <row r="43" spans="1:22" ht="15.6" x14ac:dyDescent="0.3">
      <c r="A43" s="284"/>
      <c r="B43" s="285" t="s">
        <v>287</v>
      </c>
      <c r="C43" s="322"/>
      <c r="D43" s="321">
        <v>7.7456000000000001E-3</v>
      </c>
      <c r="E43" s="321"/>
      <c r="F43" s="321">
        <f>+F40</f>
        <v>7.7093999999999999E-3</v>
      </c>
      <c r="G43" s="321"/>
      <c r="H43" s="321">
        <v>7.7073999999999997E-3</v>
      </c>
      <c r="I43" s="321"/>
      <c r="J43" s="321">
        <f>+J40</f>
        <v>8.9093999999999996E-3</v>
      </c>
      <c r="K43" s="321"/>
      <c r="L43" s="321">
        <v>9.0624E-3</v>
      </c>
      <c r="M43" s="321"/>
      <c r="N43" s="321">
        <v>1.14144E-2</v>
      </c>
      <c r="O43" s="320"/>
      <c r="P43" s="321"/>
      <c r="Q43" s="293"/>
      <c r="R43" s="293"/>
      <c r="S43" s="287"/>
      <c r="T43" s="320">
        <f>SUMPRODUCT(D43:N43,D35:N35)/T35</f>
        <v>8.2564572562793519E-3</v>
      </c>
      <c r="U43" s="288"/>
      <c r="V43" s="5"/>
    </row>
    <row r="44" spans="1:22" ht="15.6" x14ac:dyDescent="0.3">
      <c r="A44" s="284"/>
      <c r="B44" s="285" t="s">
        <v>288</v>
      </c>
      <c r="C44" s="322"/>
      <c r="D44" s="321">
        <v>7.3362000000000002E-3</v>
      </c>
      <c r="E44" s="321"/>
      <c r="F44" s="321">
        <f>+F41</f>
        <v>7.3000000000000001E-3</v>
      </c>
      <c r="G44" s="321"/>
      <c r="H44" s="321">
        <v>7.2979999999999998E-3</v>
      </c>
      <c r="I44" s="321"/>
      <c r="J44" s="321">
        <f>+J41</f>
        <v>8.5000000000000006E-3</v>
      </c>
      <c r="K44" s="321"/>
      <c r="L44" s="321">
        <v>8.6529999999999992E-3</v>
      </c>
      <c r="M44" s="321"/>
      <c r="N44" s="321">
        <v>1.1004999999999999E-2</v>
      </c>
      <c r="O44" s="320"/>
      <c r="P44" s="321"/>
      <c r="Q44" s="293"/>
      <c r="R44" s="293"/>
      <c r="S44" s="287"/>
      <c r="T44" s="287"/>
      <c r="U44" s="288"/>
      <c r="V44" s="5"/>
    </row>
    <row r="45" spans="1:22" ht="15.6" x14ac:dyDescent="0.3">
      <c r="A45" s="284"/>
      <c r="B45" s="285" t="s">
        <v>14</v>
      </c>
      <c r="C45" s="285"/>
      <c r="D45" s="322">
        <v>40283</v>
      </c>
      <c r="E45" s="322"/>
      <c r="F45" s="322">
        <v>40283</v>
      </c>
      <c r="G45" s="322"/>
      <c r="H45" s="322">
        <v>40283</v>
      </c>
      <c r="I45" s="322"/>
      <c r="J45" s="322">
        <v>40283</v>
      </c>
      <c r="K45" s="322"/>
      <c r="L45" s="322">
        <v>40283</v>
      </c>
      <c r="M45" s="322"/>
      <c r="N45" s="322">
        <v>40283</v>
      </c>
      <c r="O45" s="322"/>
      <c r="P45" s="322"/>
      <c r="Q45" s="293"/>
      <c r="R45" s="293"/>
      <c r="S45" s="287"/>
      <c r="T45" s="287"/>
      <c r="U45" s="288"/>
      <c r="V45" s="5"/>
    </row>
    <row r="46" spans="1:22" ht="15.6" x14ac:dyDescent="0.3">
      <c r="A46" s="284"/>
      <c r="B46" s="285" t="s">
        <v>15</v>
      </c>
      <c r="C46" s="285"/>
      <c r="D46" s="322">
        <v>40648</v>
      </c>
      <c r="E46" s="322"/>
      <c r="F46" s="322">
        <v>40648</v>
      </c>
      <c r="G46" s="322"/>
      <c r="H46" s="322">
        <v>40648</v>
      </c>
      <c r="I46" s="293"/>
      <c r="J46" s="322">
        <v>40648</v>
      </c>
      <c r="K46" s="293"/>
      <c r="L46" s="322">
        <v>40648</v>
      </c>
      <c r="M46" s="293"/>
      <c r="N46" s="322">
        <v>40648</v>
      </c>
      <c r="O46" s="293"/>
      <c r="P46" s="322"/>
      <c r="Q46" s="293"/>
      <c r="R46" s="293"/>
      <c r="S46" s="287"/>
      <c r="T46" s="287"/>
      <c r="U46" s="288"/>
      <c r="V46" s="5"/>
    </row>
    <row r="47" spans="1:22" ht="15.6" x14ac:dyDescent="0.3">
      <c r="A47" s="284"/>
      <c r="B47" s="285" t="s">
        <v>125</v>
      </c>
      <c r="C47" s="285"/>
      <c r="D47" s="323" t="s">
        <v>124</v>
      </c>
      <c r="E47" s="285"/>
      <c r="F47" s="293" t="s">
        <v>232</v>
      </c>
      <c r="G47" s="293"/>
      <c r="H47" s="293" t="s">
        <v>232</v>
      </c>
      <c r="I47" s="293"/>
      <c r="J47" s="293" t="s">
        <v>234</v>
      </c>
      <c r="K47" s="293"/>
      <c r="L47" s="293" t="s">
        <v>234</v>
      </c>
      <c r="M47" s="293"/>
      <c r="N47" s="293" t="s">
        <v>235</v>
      </c>
      <c r="O47" s="293"/>
      <c r="P47" s="293"/>
      <c r="Q47" s="324"/>
      <c r="R47" s="324"/>
      <c r="S47" s="324"/>
      <c r="T47" s="324"/>
      <c r="U47" s="288"/>
      <c r="V47" s="5"/>
    </row>
    <row r="48" spans="1:22" ht="15.6" x14ac:dyDescent="0.3">
      <c r="A48" s="284"/>
      <c r="B48" s="285" t="s">
        <v>289</v>
      </c>
      <c r="C48" s="285"/>
      <c r="D48" s="293" t="s">
        <v>208</v>
      </c>
      <c r="E48" s="285"/>
      <c r="F48" s="293" t="s">
        <v>232</v>
      </c>
      <c r="G48" s="293"/>
      <c r="H48" s="293" t="s">
        <v>232</v>
      </c>
      <c r="I48" s="293"/>
      <c r="J48" s="293" t="s">
        <v>234</v>
      </c>
      <c r="K48" s="293"/>
      <c r="L48" s="293" t="s">
        <v>245</v>
      </c>
      <c r="M48" s="293"/>
      <c r="N48" s="293" t="s">
        <v>247</v>
      </c>
      <c r="O48" s="293"/>
      <c r="P48" s="293"/>
      <c r="Q48" s="285"/>
      <c r="R48" s="285"/>
      <c r="S48" s="285"/>
      <c r="T48" s="320"/>
      <c r="U48" s="288"/>
      <c r="V48" s="5"/>
    </row>
    <row r="49" spans="1:23" ht="15.6" x14ac:dyDescent="0.3">
      <c r="A49" s="284"/>
      <c r="B49" s="285"/>
      <c r="C49" s="285"/>
      <c r="D49" s="293"/>
      <c r="E49" s="285"/>
      <c r="F49" s="293"/>
      <c r="G49" s="293"/>
      <c r="H49" s="293"/>
      <c r="I49" s="293"/>
      <c r="J49" s="293"/>
      <c r="K49" s="293"/>
      <c r="L49" s="293"/>
      <c r="M49" s="293"/>
      <c r="N49" s="293"/>
      <c r="O49" s="293"/>
      <c r="P49" s="293"/>
      <c r="Q49" s="285"/>
      <c r="R49" s="285"/>
      <c r="S49" s="285"/>
      <c r="T49" s="320" t="s">
        <v>201</v>
      </c>
      <c r="U49" s="288"/>
      <c r="V49" s="5"/>
    </row>
    <row r="50" spans="1:23" ht="15.6" x14ac:dyDescent="0.3">
      <c r="A50" s="284"/>
      <c r="B50" s="285" t="s">
        <v>176</v>
      </c>
      <c r="C50" s="285"/>
      <c r="D50" s="293"/>
      <c r="E50" s="285"/>
      <c r="F50" s="293"/>
      <c r="G50" s="293"/>
      <c r="H50" s="293"/>
      <c r="I50" s="293"/>
      <c r="J50" s="293"/>
      <c r="K50" s="293"/>
      <c r="L50" s="293"/>
      <c r="M50" s="293"/>
      <c r="N50" s="293"/>
      <c r="O50" s="293"/>
      <c r="P50" s="293"/>
      <c r="Q50" s="285"/>
      <c r="R50" s="285"/>
      <c r="S50" s="285"/>
      <c r="T50" s="320">
        <f>SUM(J34:P34)/SUM(D34:H34)</f>
        <v>0.15279804679664968</v>
      </c>
      <c r="U50" s="288"/>
      <c r="V50" s="5"/>
    </row>
    <row r="51" spans="1:23" ht="15.6" x14ac:dyDescent="0.3">
      <c r="A51" s="284"/>
      <c r="B51" s="285" t="s">
        <v>177</v>
      </c>
      <c r="C51" s="285"/>
      <c r="D51" s="285"/>
      <c r="E51" s="285"/>
      <c r="F51" s="325"/>
      <c r="G51" s="285"/>
      <c r="H51" s="285"/>
      <c r="I51" s="285"/>
      <c r="J51" s="285"/>
      <c r="K51" s="285"/>
      <c r="L51" s="285"/>
      <c r="M51" s="285"/>
      <c r="N51" s="285"/>
      <c r="O51" s="285"/>
      <c r="P51" s="285"/>
      <c r="Q51" s="285"/>
      <c r="R51" s="285"/>
      <c r="S51" s="285"/>
      <c r="T51" s="320">
        <f>SUM(J36:P36)/SUM(D36:H36)</f>
        <v>0.28545079874012164</v>
      </c>
      <c r="U51" s="288"/>
      <c r="V51" s="5"/>
    </row>
    <row r="52" spans="1:23" ht="15.6" x14ac:dyDescent="0.3">
      <c r="A52" s="284"/>
      <c r="B52" s="285" t="s">
        <v>178</v>
      </c>
      <c r="C52" s="285"/>
      <c r="D52" s="285"/>
      <c r="E52" s="285"/>
      <c r="F52" s="285"/>
      <c r="G52" s="285"/>
      <c r="H52" s="285"/>
      <c r="I52" s="285"/>
      <c r="J52" s="285"/>
      <c r="K52" s="285"/>
      <c r="L52" s="285"/>
      <c r="M52" s="285"/>
      <c r="N52" s="285"/>
      <c r="O52" s="285"/>
      <c r="P52" s="285"/>
      <c r="Q52" s="285"/>
      <c r="R52" s="293" t="s">
        <v>109</v>
      </c>
      <c r="S52" s="293" t="s">
        <v>115</v>
      </c>
      <c r="T52" s="296">
        <f>+T34/2-SUM(J34:P34)</f>
        <v>367473</v>
      </c>
      <c r="U52" s="288"/>
      <c r="V52" s="5"/>
    </row>
    <row r="53" spans="1:23" ht="15.6" x14ac:dyDescent="0.3">
      <c r="A53" s="284"/>
      <c r="B53" s="285"/>
      <c r="C53" s="285"/>
      <c r="D53" s="285"/>
      <c r="E53" s="285"/>
      <c r="F53" s="285"/>
      <c r="G53" s="285"/>
      <c r="H53" s="285"/>
      <c r="I53" s="285"/>
      <c r="J53" s="285"/>
      <c r="K53" s="285"/>
      <c r="L53" s="285"/>
      <c r="M53" s="285"/>
      <c r="N53" s="285"/>
      <c r="O53" s="285"/>
      <c r="P53" s="285"/>
      <c r="Q53" s="285"/>
      <c r="R53" s="285"/>
      <c r="S53" s="285"/>
      <c r="T53" s="326"/>
      <c r="U53" s="288"/>
      <c r="V53" s="5"/>
    </row>
    <row r="54" spans="1:23" ht="15.6" x14ac:dyDescent="0.3">
      <c r="A54" s="284"/>
      <c r="B54" s="285" t="s">
        <v>211</v>
      </c>
      <c r="C54" s="285"/>
      <c r="D54" s="285"/>
      <c r="E54" s="285"/>
      <c r="F54" s="285"/>
      <c r="G54" s="285"/>
      <c r="H54" s="285"/>
      <c r="I54" s="285"/>
      <c r="J54" s="285"/>
      <c r="K54" s="285"/>
      <c r="L54" s="285"/>
      <c r="M54" s="285"/>
      <c r="N54" s="285"/>
      <c r="O54" s="285"/>
      <c r="P54" s="285"/>
      <c r="Q54" s="285"/>
      <c r="R54" s="285"/>
      <c r="S54" s="285"/>
      <c r="T54" s="327" t="s">
        <v>212</v>
      </c>
      <c r="U54" s="288"/>
      <c r="V54" s="5"/>
    </row>
    <row r="55" spans="1:23" ht="15.6" x14ac:dyDescent="0.3">
      <c r="A55" s="284"/>
      <c r="B55" s="285" t="s">
        <v>253</v>
      </c>
      <c r="C55" s="285"/>
      <c r="D55" s="285"/>
      <c r="E55" s="285"/>
      <c r="F55" s="285"/>
      <c r="G55" s="285"/>
      <c r="H55" s="285"/>
      <c r="I55" s="285"/>
      <c r="J55" s="285"/>
      <c r="K55" s="285"/>
      <c r="L55" s="285"/>
      <c r="M55" s="285"/>
      <c r="N55" s="285"/>
      <c r="O55" s="285"/>
      <c r="P55" s="285"/>
      <c r="Q55" s="285"/>
      <c r="R55" s="293"/>
      <c r="S55" s="293"/>
      <c r="T55" s="328" t="s">
        <v>117</v>
      </c>
      <c r="U55" s="288"/>
      <c r="V55" s="5"/>
    </row>
    <row r="56" spans="1:23" ht="15.6" x14ac:dyDescent="0.3">
      <c r="A56" s="284"/>
      <c r="B56" s="292" t="s">
        <v>210</v>
      </c>
      <c r="C56" s="292"/>
      <c r="D56" s="292"/>
      <c r="E56" s="292"/>
      <c r="F56" s="292"/>
      <c r="G56" s="292"/>
      <c r="H56" s="292"/>
      <c r="I56" s="292"/>
      <c r="J56" s="292"/>
      <c r="K56" s="292"/>
      <c r="L56" s="292"/>
      <c r="M56" s="292"/>
      <c r="N56" s="292"/>
      <c r="O56" s="292"/>
      <c r="P56" s="292"/>
      <c r="Q56" s="292"/>
      <c r="R56" s="329"/>
      <c r="S56" s="329"/>
      <c r="T56" s="330">
        <v>40374</v>
      </c>
      <c r="U56" s="288"/>
      <c r="V56" s="5"/>
    </row>
    <row r="57" spans="1:23" ht="15.6" x14ac:dyDescent="0.3">
      <c r="A57" s="284"/>
      <c r="B57" s="285" t="s">
        <v>127</v>
      </c>
      <c r="C57" s="285"/>
      <c r="D57" s="285"/>
      <c r="E57" s="285"/>
      <c r="F57" s="285"/>
      <c r="G57" s="285"/>
      <c r="H57" s="331"/>
      <c r="I57" s="331"/>
      <c r="J57" s="331"/>
      <c r="K57" s="331"/>
      <c r="L57" s="331"/>
      <c r="M57" s="331"/>
      <c r="N57" s="331"/>
      <c r="O57" s="331"/>
      <c r="P57" s="285">
        <f>+T57-R57+1</f>
        <v>90</v>
      </c>
      <c r="Q57" s="331"/>
      <c r="R57" s="332">
        <v>40193</v>
      </c>
      <c r="S57" s="333"/>
      <c r="T57" s="332">
        <v>40282</v>
      </c>
      <c r="U57" s="288"/>
      <c r="V57" s="5"/>
    </row>
    <row r="58" spans="1:23" ht="15.6" x14ac:dyDescent="0.3">
      <c r="A58" s="284"/>
      <c r="B58" s="285" t="s">
        <v>128</v>
      </c>
      <c r="C58" s="285"/>
      <c r="D58" s="285"/>
      <c r="E58" s="285"/>
      <c r="F58" s="285"/>
      <c r="G58" s="285"/>
      <c r="H58" s="285"/>
      <c r="I58" s="285"/>
      <c r="J58" s="285"/>
      <c r="K58" s="285"/>
      <c r="L58" s="285"/>
      <c r="M58" s="285"/>
      <c r="N58" s="285"/>
      <c r="O58" s="285"/>
      <c r="P58" s="285">
        <f>+T58-R58+1</f>
        <v>91</v>
      </c>
      <c r="Q58" s="285"/>
      <c r="R58" s="332">
        <v>40283</v>
      </c>
      <c r="S58" s="333"/>
      <c r="T58" s="332">
        <v>40373</v>
      </c>
      <c r="U58" s="288"/>
      <c r="V58" s="5"/>
    </row>
    <row r="59" spans="1:23" ht="15.6" x14ac:dyDescent="0.3">
      <c r="A59" s="284"/>
      <c r="B59" s="285" t="s">
        <v>209</v>
      </c>
      <c r="C59" s="285"/>
      <c r="D59" s="285"/>
      <c r="E59" s="285"/>
      <c r="F59" s="285"/>
      <c r="G59" s="285"/>
      <c r="H59" s="285"/>
      <c r="I59" s="285"/>
      <c r="J59" s="285"/>
      <c r="K59" s="285"/>
      <c r="L59" s="285"/>
      <c r="M59" s="285"/>
      <c r="N59" s="285"/>
      <c r="O59" s="285"/>
      <c r="P59" s="285"/>
      <c r="Q59" s="285"/>
      <c r="R59" s="332"/>
      <c r="S59" s="333"/>
      <c r="T59" s="332" t="s">
        <v>126</v>
      </c>
      <c r="U59" s="288"/>
      <c r="V59" s="5"/>
    </row>
    <row r="60" spans="1:23" ht="15.6" x14ac:dyDescent="0.3">
      <c r="A60" s="284"/>
      <c r="B60" s="285" t="s">
        <v>249</v>
      </c>
      <c r="C60" s="285"/>
      <c r="D60" s="285"/>
      <c r="E60" s="285"/>
      <c r="F60" s="285"/>
      <c r="G60" s="285"/>
      <c r="H60" s="285"/>
      <c r="I60" s="285"/>
      <c r="J60" s="285"/>
      <c r="K60" s="285"/>
      <c r="L60" s="285"/>
      <c r="M60" s="285"/>
      <c r="N60" s="285"/>
      <c r="O60" s="285"/>
      <c r="P60" s="285"/>
      <c r="Q60" s="285"/>
      <c r="R60" s="332"/>
      <c r="S60" s="333"/>
      <c r="T60" s="332" t="s">
        <v>160</v>
      </c>
      <c r="U60" s="288"/>
      <c r="V60" s="5"/>
      <c r="W60" s="134"/>
    </row>
    <row r="61" spans="1:23" ht="15.6" x14ac:dyDescent="0.3">
      <c r="A61" s="284"/>
      <c r="B61" s="285" t="s">
        <v>16</v>
      </c>
      <c r="C61" s="285"/>
      <c r="D61" s="285"/>
      <c r="E61" s="285"/>
      <c r="F61" s="285"/>
      <c r="G61" s="285"/>
      <c r="H61" s="285"/>
      <c r="I61" s="285"/>
      <c r="J61" s="285"/>
      <c r="K61" s="285"/>
      <c r="L61" s="285"/>
      <c r="M61" s="285"/>
      <c r="N61" s="285"/>
      <c r="O61" s="285"/>
      <c r="P61" s="285"/>
      <c r="Q61" s="285"/>
      <c r="R61" s="332"/>
      <c r="S61" s="333"/>
      <c r="T61" s="332">
        <v>40360</v>
      </c>
      <c r="U61" s="288"/>
      <c r="V61" s="5"/>
    </row>
    <row r="62" spans="1:23" ht="15.6" x14ac:dyDescent="0.3">
      <c r="A62" s="175"/>
      <c r="B62" s="281"/>
      <c r="C62" s="281"/>
      <c r="D62" s="281"/>
      <c r="E62" s="281"/>
      <c r="F62" s="281"/>
      <c r="G62" s="281"/>
      <c r="H62" s="281"/>
      <c r="I62" s="281"/>
      <c r="J62" s="281"/>
      <c r="K62" s="281"/>
      <c r="L62" s="281"/>
      <c r="M62" s="281"/>
      <c r="N62" s="281"/>
      <c r="O62" s="281"/>
      <c r="P62" s="281"/>
      <c r="Q62" s="281"/>
      <c r="R62" s="282"/>
      <c r="S62" s="283"/>
      <c r="T62" s="282"/>
      <c r="U62" s="281"/>
      <c r="V62" s="5"/>
    </row>
    <row r="63" spans="1:23" ht="15.6" x14ac:dyDescent="0.3">
      <c r="A63" s="175"/>
      <c r="B63" s="231"/>
      <c r="C63" s="231"/>
      <c r="D63" s="231"/>
      <c r="E63" s="231"/>
      <c r="F63" s="231"/>
      <c r="G63" s="231"/>
      <c r="H63" s="231"/>
      <c r="I63" s="231"/>
      <c r="J63" s="231"/>
      <c r="K63" s="231"/>
      <c r="L63" s="231"/>
      <c r="M63" s="231"/>
      <c r="N63" s="231"/>
      <c r="O63" s="231"/>
      <c r="P63" s="231"/>
      <c r="Q63" s="231"/>
      <c r="R63" s="244"/>
      <c r="S63" s="245"/>
      <c r="T63" s="244"/>
      <c r="U63" s="231"/>
      <c r="V63" s="5"/>
    </row>
    <row r="64" spans="1:23" ht="18" thickBot="1" x14ac:dyDescent="0.35">
      <c r="A64" s="192"/>
      <c r="B64" s="246" t="s">
        <v>293</v>
      </c>
      <c r="C64" s="247"/>
      <c r="D64" s="247"/>
      <c r="E64" s="247"/>
      <c r="F64" s="247"/>
      <c r="G64" s="247"/>
      <c r="H64" s="247"/>
      <c r="I64" s="247"/>
      <c r="J64" s="247"/>
      <c r="K64" s="247"/>
      <c r="L64" s="247"/>
      <c r="M64" s="247"/>
      <c r="N64" s="247"/>
      <c r="O64" s="247"/>
      <c r="P64" s="247"/>
      <c r="Q64" s="247"/>
      <c r="R64" s="247"/>
      <c r="S64" s="247"/>
      <c r="T64" s="248"/>
      <c r="U64" s="249"/>
      <c r="V64" s="5"/>
    </row>
    <row r="65" spans="1:22" ht="15.6" x14ac:dyDescent="0.3">
      <c r="A65" s="222"/>
      <c r="B65" s="252" t="s">
        <v>17</v>
      </c>
      <c r="C65" s="223"/>
      <c r="D65" s="223"/>
      <c r="E65" s="223"/>
      <c r="F65" s="223"/>
      <c r="G65" s="223"/>
      <c r="H65" s="223"/>
      <c r="I65" s="223"/>
      <c r="J65" s="223"/>
      <c r="K65" s="223"/>
      <c r="L65" s="223"/>
      <c r="M65" s="223"/>
      <c r="N65" s="223"/>
      <c r="O65" s="223"/>
      <c r="P65" s="223"/>
      <c r="Q65" s="223"/>
      <c r="R65" s="223"/>
      <c r="S65" s="223"/>
      <c r="T65" s="250"/>
      <c r="U65" s="223"/>
      <c r="V65" s="5"/>
    </row>
    <row r="66" spans="1:22" ht="15.6" x14ac:dyDescent="0.3">
      <c r="A66" s="175"/>
      <c r="B66" s="183"/>
      <c r="C66" s="177"/>
      <c r="D66" s="177"/>
      <c r="E66" s="177"/>
      <c r="F66" s="177"/>
      <c r="G66" s="177"/>
      <c r="H66" s="177"/>
      <c r="I66" s="177"/>
      <c r="J66" s="177"/>
      <c r="K66" s="177"/>
      <c r="L66" s="177"/>
      <c r="M66" s="177"/>
      <c r="N66" s="177"/>
      <c r="O66" s="177"/>
      <c r="P66" s="177"/>
      <c r="Q66" s="177"/>
      <c r="R66" s="177"/>
      <c r="S66" s="177"/>
      <c r="T66" s="194"/>
      <c r="U66" s="177"/>
      <c r="V66" s="5"/>
    </row>
    <row r="67" spans="1:22" ht="46.8" x14ac:dyDescent="0.3">
      <c r="A67" s="175"/>
      <c r="B67" s="195" t="s">
        <v>18</v>
      </c>
      <c r="C67" s="196"/>
      <c r="D67" s="196"/>
      <c r="E67" s="196"/>
      <c r="F67" s="196"/>
      <c r="G67" s="196"/>
      <c r="H67" s="196"/>
      <c r="I67" s="196"/>
      <c r="J67" s="196" t="s">
        <v>97</v>
      </c>
      <c r="K67" s="196"/>
      <c r="L67" s="196" t="s">
        <v>99</v>
      </c>
      <c r="M67" s="196"/>
      <c r="N67" s="196" t="s">
        <v>101</v>
      </c>
      <c r="O67" s="196"/>
      <c r="P67" s="196" t="s">
        <v>103</v>
      </c>
      <c r="Q67" s="196"/>
      <c r="R67" s="196" t="s">
        <v>110</v>
      </c>
      <c r="S67" s="196"/>
      <c r="T67" s="197" t="s">
        <v>118</v>
      </c>
      <c r="U67" s="198"/>
      <c r="V67" s="5"/>
    </row>
    <row r="68" spans="1:22" ht="15.6" x14ac:dyDescent="0.3">
      <c r="A68" s="337"/>
      <c r="B68" s="285" t="s">
        <v>19</v>
      </c>
      <c r="C68" s="338"/>
      <c r="D68" s="338"/>
      <c r="E68" s="338"/>
      <c r="F68" s="338"/>
      <c r="G68" s="338"/>
      <c r="H68" s="338"/>
      <c r="I68" s="338"/>
      <c r="J68" s="338">
        <v>1000039</v>
      </c>
      <c r="K68" s="338"/>
      <c r="L68" s="339">
        <v>601403</v>
      </c>
      <c r="M68" s="338"/>
      <c r="N68" s="338">
        <f>4490+470+23</f>
        <v>4983</v>
      </c>
      <c r="O68" s="338"/>
      <c r="P68" s="338">
        <f>470+23</f>
        <v>493</v>
      </c>
      <c r="Q68" s="338"/>
      <c r="R68" s="338">
        <v>0</v>
      </c>
      <c r="S68" s="338"/>
      <c r="T68" s="339">
        <f>+L68-N68+P68-R68</f>
        <v>596913</v>
      </c>
      <c r="U68" s="288"/>
      <c r="V68" s="5"/>
    </row>
    <row r="69" spans="1:22" ht="15.6" x14ac:dyDescent="0.3">
      <c r="A69" s="337"/>
      <c r="B69" s="285" t="s">
        <v>20</v>
      </c>
      <c r="C69" s="338"/>
      <c r="D69" s="338"/>
      <c r="E69" s="338"/>
      <c r="F69" s="338"/>
      <c r="G69" s="338"/>
      <c r="H69" s="338"/>
      <c r="I69" s="338"/>
      <c r="J69" s="338">
        <v>10</v>
      </c>
      <c r="K69" s="338"/>
      <c r="L69" s="339">
        <v>0</v>
      </c>
      <c r="M69" s="338"/>
      <c r="N69" s="338">
        <v>0</v>
      </c>
      <c r="O69" s="338"/>
      <c r="P69" s="338">
        <v>0</v>
      </c>
      <c r="Q69" s="338"/>
      <c r="R69" s="338">
        <v>0</v>
      </c>
      <c r="S69" s="338"/>
      <c r="T69" s="339">
        <v>0</v>
      </c>
      <c r="U69" s="288"/>
      <c r="V69" s="5"/>
    </row>
    <row r="70" spans="1:22" ht="15.6" x14ac:dyDescent="0.3">
      <c r="A70" s="337"/>
      <c r="B70" s="285"/>
      <c r="C70" s="338"/>
      <c r="D70" s="338"/>
      <c r="E70" s="338"/>
      <c r="F70" s="338"/>
      <c r="G70" s="338"/>
      <c r="H70" s="338"/>
      <c r="I70" s="338"/>
      <c r="J70" s="338"/>
      <c r="K70" s="338"/>
      <c r="L70" s="339"/>
      <c r="M70" s="338"/>
      <c r="N70" s="338"/>
      <c r="O70" s="338"/>
      <c r="P70" s="338"/>
      <c r="Q70" s="338"/>
      <c r="R70" s="338"/>
      <c r="S70" s="338"/>
      <c r="T70" s="339"/>
      <c r="U70" s="288"/>
      <c r="V70" s="5"/>
    </row>
    <row r="71" spans="1:22" ht="15.6" x14ac:dyDescent="0.3">
      <c r="A71" s="337"/>
      <c r="B71" s="285" t="s">
        <v>21</v>
      </c>
      <c r="C71" s="338"/>
      <c r="D71" s="338"/>
      <c r="E71" s="338"/>
      <c r="F71" s="338"/>
      <c r="G71" s="338"/>
      <c r="H71" s="338"/>
      <c r="I71" s="338"/>
      <c r="J71" s="338">
        <f>SUM(J68:J70)</f>
        <v>1000049</v>
      </c>
      <c r="K71" s="338"/>
      <c r="L71" s="338">
        <f>L68+L69</f>
        <v>601403</v>
      </c>
      <c r="M71" s="338"/>
      <c r="N71" s="338">
        <f>SUM(N68:N70)</f>
        <v>4983</v>
      </c>
      <c r="O71" s="338"/>
      <c r="P71" s="338">
        <f>SUM(P68:P70)</f>
        <v>493</v>
      </c>
      <c r="Q71" s="338"/>
      <c r="R71" s="338">
        <f>SUM(R68:R70)</f>
        <v>0</v>
      </c>
      <c r="S71" s="338"/>
      <c r="T71" s="338">
        <f>SUM(T68:T70)</f>
        <v>596913</v>
      </c>
      <c r="U71" s="288"/>
      <c r="V71" s="5"/>
    </row>
    <row r="72" spans="1:22" ht="15.6" x14ac:dyDescent="0.3">
      <c r="A72" s="175"/>
      <c r="B72" s="334"/>
      <c r="C72" s="335"/>
      <c r="D72" s="335"/>
      <c r="E72" s="335"/>
      <c r="F72" s="335"/>
      <c r="G72" s="335"/>
      <c r="H72" s="335"/>
      <c r="I72" s="335"/>
      <c r="J72" s="335"/>
      <c r="K72" s="335"/>
      <c r="L72" s="335"/>
      <c r="M72" s="335"/>
      <c r="N72" s="335"/>
      <c r="O72" s="335"/>
      <c r="P72" s="335"/>
      <c r="Q72" s="335"/>
      <c r="R72" s="335"/>
      <c r="S72" s="335"/>
      <c r="T72" s="336"/>
      <c r="U72" s="334"/>
      <c r="V72" s="5"/>
    </row>
    <row r="73" spans="1:22" ht="15.6" x14ac:dyDescent="0.3">
      <c r="A73" s="175"/>
      <c r="B73" s="179" t="s">
        <v>22</v>
      </c>
      <c r="C73" s="199"/>
      <c r="D73" s="199"/>
      <c r="E73" s="199"/>
      <c r="F73" s="199"/>
      <c r="G73" s="199"/>
      <c r="H73" s="199"/>
      <c r="I73" s="199"/>
      <c r="J73" s="199"/>
      <c r="K73" s="199"/>
      <c r="L73" s="199"/>
      <c r="M73" s="199"/>
      <c r="N73" s="199"/>
      <c r="O73" s="199"/>
      <c r="P73" s="199"/>
      <c r="Q73" s="199"/>
      <c r="R73" s="199"/>
      <c r="S73" s="199"/>
      <c r="T73" s="200"/>
      <c r="U73" s="177"/>
      <c r="V73" s="5"/>
    </row>
    <row r="74" spans="1:22" ht="15.6" x14ac:dyDescent="0.3">
      <c r="A74" s="175"/>
      <c r="B74" s="177"/>
      <c r="C74" s="199"/>
      <c r="D74" s="199"/>
      <c r="E74" s="199"/>
      <c r="F74" s="199"/>
      <c r="G74" s="199"/>
      <c r="H74" s="199"/>
      <c r="I74" s="199"/>
      <c r="J74" s="199"/>
      <c r="K74" s="199"/>
      <c r="L74" s="199"/>
      <c r="M74" s="199"/>
      <c r="N74" s="199"/>
      <c r="O74" s="199"/>
      <c r="P74" s="199"/>
      <c r="Q74" s="199"/>
      <c r="R74" s="199"/>
      <c r="S74" s="199"/>
      <c r="T74" s="200"/>
      <c r="U74" s="177"/>
      <c r="V74" s="5"/>
    </row>
    <row r="75" spans="1:22" ht="15.6" x14ac:dyDescent="0.3">
      <c r="A75" s="284"/>
      <c r="B75" s="285" t="s">
        <v>19</v>
      </c>
      <c r="C75" s="338"/>
      <c r="D75" s="338"/>
      <c r="E75" s="338"/>
      <c r="F75" s="338"/>
      <c r="G75" s="338"/>
      <c r="H75" s="338"/>
      <c r="I75" s="338"/>
      <c r="J75" s="338"/>
      <c r="K75" s="338"/>
      <c r="L75" s="338"/>
      <c r="M75" s="338"/>
      <c r="N75" s="338"/>
      <c r="O75" s="338"/>
      <c r="P75" s="338"/>
      <c r="Q75" s="338"/>
      <c r="R75" s="338"/>
      <c r="S75" s="338"/>
      <c r="T75" s="338"/>
      <c r="U75" s="288"/>
      <c r="V75" s="5"/>
    </row>
    <row r="76" spans="1:22" ht="15.6" x14ac:dyDescent="0.3">
      <c r="A76" s="284"/>
      <c r="B76" s="285" t="s">
        <v>20</v>
      </c>
      <c r="C76" s="338"/>
      <c r="D76" s="338"/>
      <c r="E76" s="338"/>
      <c r="F76" s="338"/>
      <c r="G76" s="338"/>
      <c r="H76" s="338"/>
      <c r="I76" s="338"/>
      <c r="J76" s="338"/>
      <c r="K76" s="338"/>
      <c r="L76" s="338"/>
      <c r="M76" s="338"/>
      <c r="N76" s="338"/>
      <c r="O76" s="338"/>
      <c r="P76" s="338"/>
      <c r="Q76" s="338"/>
      <c r="R76" s="338"/>
      <c r="S76" s="338"/>
      <c r="T76" s="338"/>
      <c r="U76" s="288"/>
      <c r="V76" s="5"/>
    </row>
    <row r="77" spans="1:22" ht="15.6" x14ac:dyDescent="0.3">
      <c r="A77" s="284"/>
      <c r="B77" s="285"/>
      <c r="C77" s="338"/>
      <c r="D77" s="338"/>
      <c r="E77" s="338"/>
      <c r="F77" s="338"/>
      <c r="G77" s="338"/>
      <c r="H77" s="338"/>
      <c r="I77" s="338"/>
      <c r="J77" s="338"/>
      <c r="K77" s="338"/>
      <c r="L77" s="338"/>
      <c r="M77" s="338"/>
      <c r="N77" s="338"/>
      <c r="O77" s="338"/>
      <c r="P77" s="338"/>
      <c r="Q77" s="338"/>
      <c r="R77" s="338"/>
      <c r="S77" s="338"/>
      <c r="T77" s="338"/>
      <c r="U77" s="288"/>
      <c r="V77" s="5"/>
    </row>
    <row r="78" spans="1:22" ht="15.6" x14ac:dyDescent="0.3">
      <c r="A78" s="284"/>
      <c r="B78" s="285" t="s">
        <v>21</v>
      </c>
      <c r="C78" s="338"/>
      <c r="D78" s="338"/>
      <c r="E78" s="338"/>
      <c r="F78" s="338"/>
      <c r="G78" s="338"/>
      <c r="H78" s="338"/>
      <c r="I78" s="338"/>
      <c r="J78" s="338"/>
      <c r="K78" s="338"/>
      <c r="L78" s="338"/>
      <c r="M78" s="338"/>
      <c r="N78" s="338"/>
      <c r="O78" s="338"/>
      <c r="P78" s="338"/>
      <c r="Q78" s="338"/>
      <c r="R78" s="338"/>
      <c r="S78" s="338"/>
      <c r="T78" s="338"/>
      <c r="U78" s="288"/>
      <c r="V78" s="5"/>
    </row>
    <row r="79" spans="1:22" ht="15.6" x14ac:dyDescent="0.3">
      <c r="A79" s="284"/>
      <c r="B79" s="285"/>
      <c r="C79" s="338"/>
      <c r="D79" s="338"/>
      <c r="E79" s="338"/>
      <c r="F79" s="338"/>
      <c r="G79" s="338"/>
      <c r="H79" s="338"/>
      <c r="I79" s="338"/>
      <c r="J79" s="338"/>
      <c r="K79" s="338"/>
      <c r="L79" s="338"/>
      <c r="M79" s="338"/>
      <c r="N79" s="338"/>
      <c r="O79" s="338"/>
      <c r="P79" s="338"/>
      <c r="Q79" s="338"/>
      <c r="R79" s="338"/>
      <c r="S79" s="338"/>
      <c r="T79" s="338"/>
      <c r="U79" s="288"/>
      <c r="V79" s="5"/>
    </row>
    <row r="80" spans="1:22" ht="15.6" x14ac:dyDescent="0.3">
      <c r="A80" s="284"/>
      <c r="B80" s="285" t="s">
        <v>23</v>
      </c>
      <c r="C80" s="338"/>
      <c r="D80" s="338"/>
      <c r="E80" s="338"/>
      <c r="F80" s="338"/>
      <c r="G80" s="338"/>
      <c r="H80" s="338"/>
      <c r="I80" s="338"/>
      <c r="J80" s="338">
        <v>0</v>
      </c>
      <c r="K80" s="338"/>
      <c r="L80" s="338">
        <v>0</v>
      </c>
      <c r="M80" s="338"/>
      <c r="N80" s="338"/>
      <c r="O80" s="338"/>
      <c r="P80" s="338"/>
      <c r="Q80" s="338"/>
      <c r="R80" s="338"/>
      <c r="S80" s="338"/>
      <c r="T80" s="339">
        <v>0</v>
      </c>
      <c r="U80" s="288"/>
      <c r="V80" s="5"/>
    </row>
    <row r="81" spans="1:22" ht="15.6" x14ac:dyDescent="0.3">
      <c r="A81" s="284"/>
      <c r="B81" s="285" t="s">
        <v>123</v>
      </c>
      <c r="C81" s="338"/>
      <c r="D81" s="338"/>
      <c r="E81" s="338"/>
      <c r="F81" s="338"/>
      <c r="G81" s="338"/>
      <c r="H81" s="338"/>
      <c r="I81" s="338"/>
      <c r="J81" s="338">
        <v>0</v>
      </c>
      <c r="K81" s="338"/>
      <c r="L81" s="338">
        <v>0</v>
      </c>
      <c r="M81" s="338"/>
      <c r="N81" s="338"/>
      <c r="O81" s="338"/>
      <c r="P81" s="338"/>
      <c r="Q81" s="338"/>
      <c r="R81" s="338"/>
      <c r="S81" s="338"/>
      <c r="T81" s="338">
        <f>SUM(J81:P81)</f>
        <v>0</v>
      </c>
      <c r="U81" s="288"/>
      <c r="V81" s="5"/>
    </row>
    <row r="82" spans="1:22" ht="15.6" x14ac:dyDescent="0.3">
      <c r="A82" s="284"/>
      <c r="B82" s="285" t="s">
        <v>152</v>
      </c>
      <c r="C82" s="338"/>
      <c r="D82" s="338"/>
      <c r="E82" s="338"/>
      <c r="F82" s="338"/>
      <c r="G82" s="338"/>
      <c r="H82" s="338"/>
      <c r="I82" s="338"/>
      <c r="J82" s="338">
        <v>1</v>
      </c>
      <c r="K82" s="338"/>
      <c r="L82" s="338">
        <v>0</v>
      </c>
      <c r="M82" s="338"/>
      <c r="N82" s="338">
        <v>0</v>
      </c>
      <c r="O82" s="338"/>
      <c r="P82" s="338"/>
      <c r="Q82" s="338"/>
      <c r="R82" s="338"/>
      <c r="S82" s="338"/>
      <c r="T82" s="338">
        <f>+L82+N82</f>
        <v>0</v>
      </c>
      <c r="U82" s="288"/>
      <c r="V82" s="5"/>
    </row>
    <row r="83" spans="1:22" ht="15.6" x14ac:dyDescent="0.3">
      <c r="A83" s="284"/>
      <c r="B83" s="285" t="s">
        <v>25</v>
      </c>
      <c r="C83" s="338"/>
      <c r="D83" s="338"/>
      <c r="E83" s="338"/>
      <c r="F83" s="338"/>
      <c r="G83" s="338"/>
      <c r="H83" s="338"/>
      <c r="I83" s="338"/>
      <c r="J83" s="338">
        <v>0</v>
      </c>
      <c r="K83" s="338"/>
      <c r="L83" s="338">
        <v>0</v>
      </c>
      <c r="M83" s="338"/>
      <c r="N83" s="338"/>
      <c r="O83" s="338"/>
      <c r="P83" s="338"/>
      <c r="Q83" s="338"/>
      <c r="R83" s="338"/>
      <c r="S83" s="338"/>
      <c r="T83" s="338">
        <v>0</v>
      </c>
      <c r="U83" s="288"/>
      <c r="V83" s="5"/>
    </row>
    <row r="84" spans="1:22" ht="15.6" x14ac:dyDescent="0.3">
      <c r="A84" s="284"/>
      <c r="B84" s="285" t="s">
        <v>26</v>
      </c>
      <c r="C84" s="338"/>
      <c r="D84" s="338"/>
      <c r="E84" s="338"/>
      <c r="F84" s="338"/>
      <c r="G84" s="338"/>
      <c r="H84" s="338"/>
      <c r="I84" s="338"/>
      <c r="J84" s="338">
        <f>SUM(J71:J83)</f>
        <v>1000050</v>
      </c>
      <c r="K84" s="338"/>
      <c r="L84" s="338">
        <f>SUM(L71:L83)</f>
        <v>601403</v>
      </c>
      <c r="M84" s="338"/>
      <c r="N84" s="338"/>
      <c r="O84" s="338"/>
      <c r="P84" s="338"/>
      <c r="Q84" s="338"/>
      <c r="R84" s="338"/>
      <c r="S84" s="338"/>
      <c r="T84" s="338">
        <f>SUM(T71:T83)</f>
        <v>596913</v>
      </c>
      <c r="U84" s="288"/>
      <c r="V84" s="5"/>
    </row>
    <row r="85" spans="1:22" ht="15.6" x14ac:dyDescent="0.3">
      <c r="A85" s="175"/>
      <c r="B85" s="334"/>
      <c r="C85" s="335"/>
      <c r="D85" s="335"/>
      <c r="E85" s="335"/>
      <c r="F85" s="335"/>
      <c r="G85" s="335"/>
      <c r="H85" s="335"/>
      <c r="I85" s="335"/>
      <c r="J85" s="335"/>
      <c r="K85" s="335"/>
      <c r="L85" s="335"/>
      <c r="M85" s="335"/>
      <c r="N85" s="335"/>
      <c r="O85" s="335"/>
      <c r="P85" s="335"/>
      <c r="Q85" s="335"/>
      <c r="R85" s="335"/>
      <c r="S85" s="335"/>
      <c r="T85" s="336"/>
      <c r="U85" s="334"/>
      <c r="V85" s="5"/>
    </row>
    <row r="86" spans="1:22" ht="15.6" x14ac:dyDescent="0.3">
      <c r="A86" s="175"/>
      <c r="B86" s="177"/>
      <c r="C86" s="177"/>
      <c r="D86" s="177"/>
      <c r="E86" s="177"/>
      <c r="F86" s="177"/>
      <c r="G86" s="177"/>
      <c r="H86" s="177"/>
      <c r="I86" s="177"/>
      <c r="J86" s="177"/>
      <c r="K86" s="177"/>
      <c r="L86" s="177"/>
      <c r="M86" s="177"/>
      <c r="N86" s="177"/>
      <c r="O86" s="177"/>
      <c r="P86" s="177"/>
      <c r="Q86" s="177"/>
      <c r="R86" s="177"/>
      <c r="S86" s="177"/>
      <c r="T86" s="177"/>
      <c r="U86" s="177"/>
      <c r="V86" s="5"/>
    </row>
    <row r="87" spans="1:22" ht="15.6" x14ac:dyDescent="0.3">
      <c r="A87" s="222"/>
      <c r="B87" s="252" t="s">
        <v>27</v>
      </c>
      <c r="C87" s="252"/>
      <c r="D87" s="252"/>
      <c r="E87" s="252"/>
      <c r="F87" s="252"/>
      <c r="G87" s="252"/>
      <c r="H87" s="253"/>
      <c r="I87" s="253"/>
      <c r="J87" s="254" t="s">
        <v>98</v>
      </c>
      <c r="K87" s="253"/>
      <c r="L87" s="255">
        <f>+R193</f>
        <v>40359</v>
      </c>
      <c r="M87" s="253"/>
      <c r="N87" s="253"/>
      <c r="O87" s="253"/>
      <c r="P87" s="253"/>
      <c r="Q87" s="253"/>
      <c r="R87" s="253" t="s">
        <v>111</v>
      </c>
      <c r="S87" s="253"/>
      <c r="T87" s="253" t="s">
        <v>119</v>
      </c>
      <c r="U87" s="223"/>
      <c r="V87" s="5"/>
    </row>
    <row r="88" spans="1:22" ht="15.6" x14ac:dyDescent="0.3">
      <c r="A88" s="190"/>
      <c r="B88" s="239" t="s">
        <v>28</v>
      </c>
      <c r="C88" s="239"/>
      <c r="D88" s="239"/>
      <c r="E88" s="239"/>
      <c r="F88" s="239"/>
      <c r="G88" s="239"/>
      <c r="H88" s="239"/>
      <c r="I88" s="239"/>
      <c r="J88" s="239"/>
      <c r="K88" s="239"/>
      <c r="L88" s="239"/>
      <c r="M88" s="239"/>
      <c r="N88" s="239"/>
      <c r="O88" s="239"/>
      <c r="P88" s="239"/>
      <c r="Q88" s="239"/>
      <c r="R88" s="243">
        <v>0</v>
      </c>
      <c r="S88" s="239"/>
      <c r="T88" s="251">
        <v>0</v>
      </c>
      <c r="U88" s="239"/>
      <c r="V88" s="5"/>
    </row>
    <row r="89" spans="1:22" ht="15.6" x14ac:dyDescent="0.3">
      <c r="A89" s="284"/>
      <c r="B89" s="285" t="s">
        <v>29</v>
      </c>
      <c r="C89" s="285"/>
      <c r="D89" s="285"/>
      <c r="E89" s="285"/>
      <c r="F89" s="285"/>
      <c r="G89" s="285"/>
      <c r="H89" s="324"/>
      <c r="I89" s="341"/>
      <c r="J89" s="324"/>
      <c r="K89" s="285"/>
      <c r="L89" s="342"/>
      <c r="M89" s="285"/>
      <c r="N89" s="285"/>
      <c r="O89" s="285"/>
      <c r="P89" s="285"/>
      <c r="Q89" s="285"/>
      <c r="R89" s="338">
        <f>4983-26</f>
        <v>4957</v>
      </c>
      <c r="S89" s="285"/>
      <c r="T89" s="339"/>
      <c r="U89" s="288"/>
      <c r="V89" s="5"/>
    </row>
    <row r="90" spans="1:22" ht="15.6" x14ac:dyDescent="0.3">
      <c r="A90" s="284"/>
      <c r="B90" s="285" t="s">
        <v>225</v>
      </c>
      <c r="C90" s="285"/>
      <c r="D90" s="285"/>
      <c r="E90" s="285"/>
      <c r="F90" s="285"/>
      <c r="G90" s="285"/>
      <c r="H90" s="324"/>
      <c r="I90" s="341"/>
      <c r="J90" s="324"/>
      <c r="K90" s="285"/>
      <c r="L90" s="342"/>
      <c r="M90" s="285"/>
      <c r="N90" s="285"/>
      <c r="O90" s="285"/>
      <c r="P90" s="285"/>
      <c r="Q90" s="285"/>
      <c r="R90" s="338"/>
      <c r="S90" s="285"/>
      <c r="T90" s="339">
        <f>2453+2539-345-240+18</f>
        <v>4425</v>
      </c>
      <c r="U90" s="288"/>
      <c r="V90" s="5"/>
    </row>
    <row r="91" spans="1:22" ht="15.6" x14ac:dyDescent="0.3">
      <c r="A91" s="284"/>
      <c r="B91" s="285" t="s">
        <v>220</v>
      </c>
      <c r="C91" s="285"/>
      <c r="D91" s="285"/>
      <c r="E91" s="285"/>
      <c r="F91" s="285"/>
      <c r="G91" s="285"/>
      <c r="H91" s="324"/>
      <c r="I91" s="341"/>
      <c r="J91" s="324"/>
      <c r="K91" s="285"/>
      <c r="L91" s="342"/>
      <c r="M91" s="285"/>
      <c r="N91" s="285"/>
      <c r="O91" s="285"/>
      <c r="P91" s="285"/>
      <c r="Q91" s="285"/>
      <c r="R91" s="338"/>
      <c r="S91" s="285"/>
      <c r="T91" s="339">
        <f>22+39</f>
        <v>61</v>
      </c>
      <c r="U91" s="288"/>
      <c r="V91" s="5"/>
    </row>
    <row r="92" spans="1:22" ht="15.6" x14ac:dyDescent="0.3">
      <c r="A92" s="284"/>
      <c r="B92" s="285" t="s">
        <v>221</v>
      </c>
      <c r="C92" s="285"/>
      <c r="D92" s="285"/>
      <c r="E92" s="285"/>
      <c r="F92" s="285"/>
      <c r="G92" s="285"/>
      <c r="H92" s="324"/>
      <c r="I92" s="341"/>
      <c r="J92" s="324"/>
      <c r="K92" s="285"/>
      <c r="L92" s="342"/>
      <c r="M92" s="285"/>
      <c r="N92" s="285"/>
      <c r="O92" s="285"/>
      <c r="P92" s="285"/>
      <c r="Q92" s="285"/>
      <c r="R92" s="338"/>
      <c r="S92" s="285"/>
      <c r="T92" s="339">
        <v>28</v>
      </c>
      <c r="U92" s="288"/>
      <c r="V92" s="5"/>
    </row>
    <row r="93" spans="1:22" ht="15.6" x14ac:dyDescent="0.3">
      <c r="A93" s="284"/>
      <c r="B93" s="285" t="s">
        <v>261</v>
      </c>
      <c r="C93" s="285"/>
      <c r="D93" s="285"/>
      <c r="E93" s="285"/>
      <c r="F93" s="285"/>
      <c r="G93" s="285"/>
      <c r="H93" s="324"/>
      <c r="I93" s="341"/>
      <c r="J93" s="324"/>
      <c r="K93" s="285"/>
      <c r="L93" s="342"/>
      <c r="M93" s="285"/>
      <c r="N93" s="285"/>
      <c r="O93" s="285"/>
      <c r="P93" s="285"/>
      <c r="Q93" s="285"/>
      <c r="R93" s="338"/>
      <c r="S93" s="285"/>
      <c r="T93" s="339">
        <v>0</v>
      </c>
      <c r="U93" s="288"/>
      <c r="V93" s="5"/>
    </row>
    <row r="94" spans="1:22" ht="15.6" x14ac:dyDescent="0.3">
      <c r="A94" s="284"/>
      <c r="B94" s="285" t="s">
        <v>141</v>
      </c>
      <c r="C94" s="285"/>
      <c r="D94" s="285"/>
      <c r="E94" s="285"/>
      <c r="F94" s="285"/>
      <c r="G94" s="285"/>
      <c r="H94" s="285"/>
      <c r="I94" s="285"/>
      <c r="J94" s="285"/>
      <c r="K94" s="285"/>
      <c r="L94" s="285"/>
      <c r="M94" s="285"/>
      <c r="N94" s="285"/>
      <c r="O94" s="285"/>
      <c r="P94" s="285"/>
      <c r="Q94" s="285"/>
      <c r="R94" s="338"/>
      <c r="S94" s="285"/>
      <c r="T94" s="339">
        <v>0</v>
      </c>
      <c r="U94" s="288"/>
      <c r="V94" s="5"/>
    </row>
    <row r="95" spans="1:22" ht="15.6" x14ac:dyDescent="0.3">
      <c r="A95" s="284"/>
      <c r="B95" s="285" t="s">
        <v>250</v>
      </c>
      <c r="C95" s="285"/>
      <c r="D95" s="285"/>
      <c r="E95" s="285"/>
      <c r="F95" s="285"/>
      <c r="G95" s="285"/>
      <c r="H95" s="285"/>
      <c r="I95" s="285"/>
      <c r="J95" s="285"/>
      <c r="K95" s="285"/>
      <c r="L95" s="285"/>
      <c r="M95" s="285"/>
      <c r="N95" s="285"/>
      <c r="O95" s="285"/>
      <c r="P95" s="285"/>
      <c r="Q95" s="285"/>
      <c r="R95" s="338"/>
      <c r="S95" s="285"/>
      <c r="T95" s="339">
        <v>0</v>
      </c>
      <c r="U95" s="288"/>
      <c r="V95" s="5"/>
    </row>
    <row r="96" spans="1:22" ht="15.6" x14ac:dyDescent="0.3">
      <c r="A96" s="284"/>
      <c r="B96" s="285" t="s">
        <v>30</v>
      </c>
      <c r="C96" s="285"/>
      <c r="D96" s="285"/>
      <c r="E96" s="285"/>
      <c r="F96" s="285"/>
      <c r="G96" s="285"/>
      <c r="H96" s="285"/>
      <c r="I96" s="285"/>
      <c r="J96" s="285"/>
      <c r="K96" s="285"/>
      <c r="L96" s="285"/>
      <c r="M96" s="285"/>
      <c r="N96" s="285"/>
      <c r="O96" s="285"/>
      <c r="P96" s="285"/>
      <c r="Q96" s="285"/>
      <c r="R96" s="338">
        <f>SUM(R88:R95)</f>
        <v>4957</v>
      </c>
      <c r="S96" s="285"/>
      <c r="T96" s="338">
        <f>SUM(T88:T95)</f>
        <v>4514</v>
      </c>
      <c r="U96" s="288"/>
      <c r="V96" s="5"/>
    </row>
    <row r="97" spans="1:24" ht="15.6" x14ac:dyDescent="0.3">
      <c r="A97" s="284"/>
      <c r="B97" s="285" t="s">
        <v>168</v>
      </c>
      <c r="C97" s="285"/>
      <c r="D97" s="285"/>
      <c r="E97" s="285"/>
      <c r="F97" s="285"/>
      <c r="G97" s="285"/>
      <c r="H97" s="285"/>
      <c r="I97" s="285"/>
      <c r="J97" s="285"/>
      <c r="K97" s="285"/>
      <c r="L97" s="285"/>
      <c r="M97" s="285"/>
      <c r="N97" s="285"/>
      <c r="O97" s="285"/>
      <c r="P97" s="285"/>
      <c r="Q97" s="285"/>
      <c r="R97" s="338">
        <v>-22</v>
      </c>
      <c r="S97" s="285"/>
      <c r="T97" s="338">
        <f>-R97</f>
        <v>22</v>
      </c>
      <c r="U97" s="288"/>
      <c r="V97" s="5"/>
    </row>
    <row r="98" spans="1:24" ht="15.6" x14ac:dyDescent="0.3">
      <c r="A98" s="284"/>
      <c r="B98" s="285" t="s">
        <v>31</v>
      </c>
      <c r="C98" s="285"/>
      <c r="D98" s="285"/>
      <c r="E98" s="285"/>
      <c r="F98" s="285"/>
      <c r="G98" s="285"/>
      <c r="H98" s="285"/>
      <c r="I98" s="285"/>
      <c r="J98" s="285"/>
      <c r="K98" s="285"/>
      <c r="L98" s="285"/>
      <c r="M98" s="285"/>
      <c r="N98" s="285"/>
      <c r="O98" s="285"/>
      <c r="P98" s="285"/>
      <c r="Q98" s="285"/>
      <c r="R98" s="338">
        <f>-T98</f>
        <v>0</v>
      </c>
      <c r="S98" s="285"/>
      <c r="T98" s="339">
        <v>0</v>
      </c>
      <c r="U98" s="288"/>
      <c r="V98" s="5"/>
    </row>
    <row r="99" spans="1:24" ht="15.6" x14ac:dyDescent="0.3">
      <c r="A99" s="284"/>
      <c r="B99" s="285" t="s">
        <v>273</v>
      </c>
      <c r="C99" s="285"/>
      <c r="D99" s="285"/>
      <c r="E99" s="285"/>
      <c r="F99" s="285"/>
      <c r="G99" s="285"/>
      <c r="H99" s="285"/>
      <c r="I99" s="285"/>
      <c r="J99" s="285"/>
      <c r="K99" s="285"/>
      <c r="L99" s="285"/>
      <c r="M99" s="285"/>
      <c r="N99" s="285"/>
      <c r="O99" s="285"/>
      <c r="P99" s="285"/>
      <c r="Q99" s="285"/>
      <c r="R99" s="338"/>
      <c r="S99" s="285"/>
      <c r="T99" s="339">
        <v>-101</v>
      </c>
      <c r="U99" s="288"/>
      <c r="V99" s="5"/>
    </row>
    <row r="100" spans="1:24" ht="15.6" x14ac:dyDescent="0.3">
      <c r="A100" s="284"/>
      <c r="B100" s="285" t="s">
        <v>32</v>
      </c>
      <c r="C100" s="285"/>
      <c r="D100" s="285"/>
      <c r="E100" s="285"/>
      <c r="F100" s="285"/>
      <c r="G100" s="285"/>
      <c r="H100" s="285"/>
      <c r="I100" s="285"/>
      <c r="J100" s="285"/>
      <c r="K100" s="285"/>
      <c r="L100" s="285"/>
      <c r="M100" s="285"/>
      <c r="N100" s="285"/>
      <c r="O100" s="285"/>
      <c r="P100" s="285"/>
      <c r="Q100" s="285"/>
      <c r="R100" s="338">
        <f>R96+R98+R97</f>
        <v>4935</v>
      </c>
      <c r="S100" s="285"/>
      <c r="T100" s="338">
        <f>T96+T98+T97+T99</f>
        <v>4435</v>
      </c>
      <c r="U100" s="288"/>
      <c r="V100" s="5"/>
    </row>
    <row r="101" spans="1:24" ht="15.6" x14ac:dyDescent="0.3">
      <c r="A101" s="284"/>
      <c r="B101" s="343" t="s">
        <v>33</v>
      </c>
      <c r="C101" s="311"/>
      <c r="D101" s="311"/>
      <c r="E101" s="311"/>
      <c r="F101" s="311"/>
      <c r="G101" s="311"/>
      <c r="H101" s="311"/>
      <c r="I101" s="311"/>
      <c r="J101" s="311"/>
      <c r="K101" s="311"/>
      <c r="L101" s="311"/>
      <c r="M101" s="311"/>
      <c r="N101" s="311"/>
      <c r="O101" s="311"/>
      <c r="P101" s="311"/>
      <c r="Q101" s="311"/>
      <c r="R101" s="344"/>
      <c r="S101" s="311"/>
      <c r="T101" s="345"/>
      <c r="U101" s="317"/>
      <c r="V101" s="5"/>
    </row>
    <row r="102" spans="1:24" ht="15.6" x14ac:dyDescent="0.3">
      <c r="A102" s="337">
        <v>1</v>
      </c>
      <c r="B102" s="285" t="s">
        <v>34</v>
      </c>
      <c r="C102" s="285"/>
      <c r="D102" s="285"/>
      <c r="E102" s="285"/>
      <c r="F102" s="285"/>
      <c r="G102" s="285"/>
      <c r="H102" s="285"/>
      <c r="I102" s="285"/>
      <c r="J102" s="285"/>
      <c r="K102" s="285"/>
      <c r="L102" s="285"/>
      <c r="M102" s="285"/>
      <c r="N102" s="285"/>
      <c r="O102" s="285"/>
      <c r="P102" s="285"/>
      <c r="Q102" s="285"/>
      <c r="R102" s="285"/>
      <c r="S102" s="285"/>
      <c r="T102" s="339">
        <v>0</v>
      </c>
      <c r="U102" s="288"/>
      <c r="V102" s="5"/>
    </row>
    <row r="103" spans="1:24" ht="15.6" x14ac:dyDescent="0.3">
      <c r="A103" s="337">
        <f>+A102+1</f>
        <v>2</v>
      </c>
      <c r="B103" s="285" t="s">
        <v>255</v>
      </c>
      <c r="C103" s="285"/>
      <c r="D103" s="285"/>
      <c r="E103" s="285"/>
      <c r="F103" s="285"/>
      <c r="G103" s="285"/>
      <c r="H103" s="285"/>
      <c r="I103" s="285"/>
      <c r="J103" s="285"/>
      <c r="K103" s="285"/>
      <c r="L103" s="285"/>
      <c r="M103" s="285"/>
      <c r="N103" s="285"/>
      <c r="O103" s="285"/>
      <c r="P103" s="285"/>
      <c r="Q103" s="285"/>
      <c r="R103" s="285"/>
      <c r="S103" s="285"/>
      <c r="T103" s="339">
        <v>-2</v>
      </c>
      <c r="U103" s="288"/>
      <c r="V103" s="5"/>
    </row>
    <row r="104" spans="1:24" ht="15.6" x14ac:dyDescent="0.3">
      <c r="A104" s="337">
        <f>+A103+1</f>
        <v>3</v>
      </c>
      <c r="B104" s="285" t="s">
        <v>213</v>
      </c>
      <c r="C104" s="285"/>
      <c r="D104" s="285"/>
      <c r="E104" s="285"/>
      <c r="F104" s="285"/>
      <c r="G104" s="285"/>
      <c r="H104" s="285"/>
      <c r="I104" s="285"/>
      <c r="J104" s="285"/>
      <c r="K104" s="285"/>
      <c r="L104" s="285"/>
      <c r="M104" s="285"/>
      <c r="N104" s="285"/>
      <c r="O104" s="285"/>
      <c r="P104" s="285"/>
      <c r="Q104" s="285"/>
      <c r="R104" s="285"/>
      <c r="S104" s="285"/>
      <c r="T104" s="339">
        <f>-227-122-7</f>
        <v>-356</v>
      </c>
      <c r="U104" s="288"/>
      <c r="V104" s="5"/>
    </row>
    <row r="105" spans="1:24" ht="15.6" x14ac:dyDescent="0.3">
      <c r="A105" s="337" t="s">
        <v>133</v>
      </c>
      <c r="B105" s="285" t="s">
        <v>122</v>
      </c>
      <c r="C105" s="285"/>
      <c r="D105" s="285"/>
      <c r="E105" s="285"/>
      <c r="F105" s="285"/>
      <c r="G105" s="285"/>
      <c r="H105" s="285"/>
      <c r="I105" s="285"/>
      <c r="J105" s="285"/>
      <c r="K105" s="285"/>
      <c r="L105" s="285"/>
      <c r="M105" s="285"/>
      <c r="N105" s="285"/>
      <c r="O105" s="285"/>
      <c r="P105" s="285"/>
      <c r="Q105" s="285"/>
      <c r="R105" s="285"/>
      <c r="S105" s="285"/>
      <c r="T105" s="339">
        <v>-878</v>
      </c>
      <c r="U105" s="288"/>
      <c r="V105" s="5"/>
    </row>
    <row r="106" spans="1:24" ht="15.6" x14ac:dyDescent="0.3">
      <c r="A106" s="337" t="s">
        <v>134</v>
      </c>
      <c r="B106" s="285" t="s">
        <v>194</v>
      </c>
      <c r="C106" s="285"/>
      <c r="D106" s="285"/>
      <c r="E106" s="285"/>
      <c r="F106" s="285"/>
      <c r="G106" s="285"/>
      <c r="H106" s="285"/>
      <c r="I106" s="285"/>
      <c r="J106" s="285"/>
      <c r="K106" s="285"/>
      <c r="L106" s="285"/>
      <c r="M106" s="285"/>
      <c r="N106" s="285"/>
      <c r="O106" s="285"/>
      <c r="P106" s="285"/>
      <c r="Q106" s="285"/>
      <c r="R106" s="285"/>
      <c r="S106" s="285"/>
      <c r="T106" s="339">
        <f>-592-157</f>
        <v>-749</v>
      </c>
      <c r="U106" s="288"/>
      <c r="V106" s="5"/>
      <c r="W106" s="109"/>
    </row>
    <row r="107" spans="1:24" ht="15.6" x14ac:dyDescent="0.3">
      <c r="A107" s="337" t="s">
        <v>156</v>
      </c>
      <c r="B107" s="285" t="s">
        <v>191</v>
      </c>
      <c r="C107" s="285"/>
      <c r="D107" s="285"/>
      <c r="E107" s="285"/>
      <c r="F107" s="285"/>
      <c r="G107" s="285"/>
      <c r="H107" s="285"/>
      <c r="I107" s="285"/>
      <c r="J107" s="285"/>
      <c r="K107" s="285"/>
      <c r="L107" s="285"/>
      <c r="M107" s="285"/>
      <c r="N107" s="285"/>
      <c r="O107" s="285"/>
      <c r="P107" s="285"/>
      <c r="Q107" s="285"/>
      <c r="R107" s="285"/>
      <c r="S107" s="285"/>
      <c r="T107" s="339">
        <v>-155</v>
      </c>
      <c r="U107" s="288"/>
      <c r="V107" s="5"/>
      <c r="W107" s="109"/>
    </row>
    <row r="108" spans="1:24" ht="15.6" x14ac:dyDescent="0.3">
      <c r="A108" s="337" t="s">
        <v>214</v>
      </c>
      <c r="B108" s="285" t="s">
        <v>192</v>
      </c>
      <c r="C108" s="285"/>
      <c r="D108" s="285"/>
      <c r="E108" s="285"/>
      <c r="F108" s="285"/>
      <c r="G108" s="285"/>
      <c r="H108" s="285"/>
      <c r="I108" s="285"/>
      <c r="J108" s="285"/>
      <c r="K108" s="285"/>
      <c r="L108" s="285"/>
      <c r="M108" s="285"/>
      <c r="N108" s="285"/>
      <c r="O108" s="285"/>
      <c r="P108" s="285"/>
      <c r="Q108" s="285"/>
      <c r="R108" s="285"/>
      <c r="S108" s="285"/>
      <c r="T108" s="339">
        <v>-128</v>
      </c>
      <c r="U108" s="288"/>
      <c r="V108" s="5"/>
      <c r="W108" s="109"/>
      <c r="X108" s="109"/>
    </row>
    <row r="109" spans="1:24" ht="15.6" x14ac:dyDescent="0.3">
      <c r="A109" s="337" t="s">
        <v>215</v>
      </c>
      <c r="B109" s="285" t="s">
        <v>193</v>
      </c>
      <c r="C109" s="285"/>
      <c r="D109" s="285"/>
      <c r="E109" s="285"/>
      <c r="F109" s="285"/>
      <c r="G109" s="285"/>
      <c r="H109" s="285"/>
      <c r="I109" s="285"/>
      <c r="J109" s="285"/>
      <c r="K109" s="285"/>
      <c r="L109" s="285"/>
      <c r="M109" s="285"/>
      <c r="N109" s="285"/>
      <c r="O109" s="285"/>
      <c r="P109" s="285"/>
      <c r="Q109" s="285"/>
      <c r="R109" s="285"/>
      <c r="S109" s="285"/>
      <c r="T109" s="339">
        <v>-35</v>
      </c>
      <c r="U109" s="288"/>
      <c r="V109" s="169"/>
      <c r="W109" s="109"/>
    </row>
    <row r="110" spans="1:24" ht="15.6" x14ac:dyDescent="0.3">
      <c r="A110" s="337" t="s">
        <v>216</v>
      </c>
      <c r="B110" s="285" t="s">
        <v>204</v>
      </c>
      <c r="C110" s="285"/>
      <c r="D110" s="285"/>
      <c r="E110" s="285"/>
      <c r="F110" s="285"/>
      <c r="G110" s="285"/>
      <c r="H110" s="285"/>
      <c r="I110" s="285"/>
      <c r="J110" s="285"/>
      <c r="K110" s="285"/>
      <c r="L110" s="285"/>
      <c r="M110" s="285"/>
      <c r="N110" s="285"/>
      <c r="O110" s="285"/>
      <c r="P110" s="285"/>
      <c r="Q110" s="285"/>
      <c r="R110" s="285"/>
      <c r="S110" s="285"/>
      <c r="T110" s="339">
        <v>-171</v>
      </c>
      <c r="U110" s="288"/>
      <c r="V110" s="5"/>
      <c r="W110" s="109"/>
    </row>
    <row r="111" spans="1:24" ht="15.6" x14ac:dyDescent="0.3">
      <c r="A111" s="337">
        <v>7</v>
      </c>
      <c r="B111" s="285" t="s">
        <v>35</v>
      </c>
      <c r="C111" s="285"/>
      <c r="D111" s="285"/>
      <c r="E111" s="285"/>
      <c r="F111" s="285"/>
      <c r="G111" s="285"/>
      <c r="H111" s="285"/>
      <c r="I111" s="285"/>
      <c r="J111" s="285"/>
      <c r="K111" s="285"/>
      <c r="L111" s="285"/>
      <c r="M111" s="285"/>
      <c r="N111" s="285"/>
      <c r="O111" s="285"/>
      <c r="P111" s="285"/>
      <c r="Q111" s="285"/>
      <c r="R111" s="285"/>
      <c r="S111" s="285"/>
      <c r="T111" s="339">
        <v>-10</v>
      </c>
      <c r="U111" s="288"/>
      <c r="V111" s="5"/>
    </row>
    <row r="112" spans="1:24" ht="15.6" x14ac:dyDescent="0.3">
      <c r="A112" s="337">
        <f t="shared" ref="A112:A117" si="0">+A111+1</f>
        <v>8</v>
      </c>
      <c r="B112" s="285" t="s">
        <v>46</v>
      </c>
      <c r="C112" s="285"/>
      <c r="D112" s="285"/>
      <c r="E112" s="285"/>
      <c r="F112" s="285"/>
      <c r="G112" s="285"/>
      <c r="H112" s="285"/>
      <c r="I112" s="285"/>
      <c r="J112" s="285"/>
      <c r="K112" s="285"/>
      <c r="L112" s="285"/>
      <c r="M112" s="285"/>
      <c r="N112" s="285"/>
      <c r="O112" s="285"/>
      <c r="P112" s="285"/>
      <c r="Q112" s="285"/>
      <c r="R112" s="338">
        <f>-T112</f>
        <v>26</v>
      </c>
      <c r="S112" s="285"/>
      <c r="T112" s="339">
        <v>-26</v>
      </c>
      <c r="U112" s="288"/>
      <c r="V112" s="5"/>
    </row>
    <row r="113" spans="1:22" ht="15.6" x14ac:dyDescent="0.3">
      <c r="A113" s="337">
        <f t="shared" si="0"/>
        <v>9</v>
      </c>
      <c r="B113" s="285" t="s">
        <v>131</v>
      </c>
      <c r="C113" s="285"/>
      <c r="D113" s="285"/>
      <c r="E113" s="285"/>
      <c r="F113" s="285"/>
      <c r="G113" s="285"/>
      <c r="H113" s="285"/>
      <c r="I113" s="285"/>
      <c r="J113" s="285"/>
      <c r="K113" s="285"/>
      <c r="L113" s="285"/>
      <c r="M113" s="285"/>
      <c r="N113" s="285"/>
      <c r="O113" s="285"/>
      <c r="P113" s="285"/>
      <c r="Q113" s="285"/>
      <c r="R113" s="285"/>
      <c r="S113" s="285"/>
      <c r="T113" s="339">
        <v>0</v>
      </c>
      <c r="U113" s="288"/>
      <c r="V113" s="5"/>
    </row>
    <row r="114" spans="1:22" ht="15.6" x14ac:dyDescent="0.3">
      <c r="A114" s="337">
        <f t="shared" si="0"/>
        <v>10</v>
      </c>
      <c r="B114" s="285" t="s">
        <v>36</v>
      </c>
      <c r="C114" s="285"/>
      <c r="D114" s="285"/>
      <c r="E114" s="285"/>
      <c r="F114" s="285"/>
      <c r="G114" s="285"/>
      <c r="H114" s="285"/>
      <c r="I114" s="285"/>
      <c r="J114" s="285"/>
      <c r="K114" s="285"/>
      <c r="L114" s="285"/>
      <c r="M114" s="285"/>
      <c r="N114" s="285"/>
      <c r="O114" s="285"/>
      <c r="P114" s="285"/>
      <c r="Q114" s="285"/>
      <c r="R114" s="285"/>
      <c r="S114" s="285"/>
      <c r="T114" s="339">
        <v>0</v>
      </c>
      <c r="U114" s="288"/>
      <c r="V114" s="5"/>
    </row>
    <row r="115" spans="1:22" ht="15.6" x14ac:dyDescent="0.3">
      <c r="A115" s="337">
        <f t="shared" si="0"/>
        <v>11</v>
      </c>
      <c r="B115" s="285" t="s">
        <v>37</v>
      </c>
      <c r="C115" s="285"/>
      <c r="D115" s="285"/>
      <c r="E115" s="285"/>
      <c r="F115" s="285"/>
      <c r="G115" s="285"/>
      <c r="H115" s="285"/>
      <c r="I115" s="285"/>
      <c r="J115" s="285"/>
      <c r="K115" s="285"/>
      <c r="L115" s="285"/>
      <c r="M115" s="285"/>
      <c r="N115" s="285"/>
      <c r="O115" s="285"/>
      <c r="P115" s="285"/>
      <c r="Q115" s="285"/>
      <c r="R115" s="285"/>
      <c r="S115" s="285"/>
      <c r="T115" s="339">
        <v>0</v>
      </c>
      <c r="U115" s="288"/>
      <c r="V115" s="5"/>
    </row>
    <row r="116" spans="1:22" ht="15.6" x14ac:dyDescent="0.3">
      <c r="A116" s="337">
        <f t="shared" si="0"/>
        <v>12</v>
      </c>
      <c r="B116" s="285" t="s">
        <v>155</v>
      </c>
      <c r="C116" s="285"/>
      <c r="D116" s="285"/>
      <c r="E116" s="285"/>
      <c r="F116" s="285"/>
      <c r="G116" s="285"/>
      <c r="H116" s="285"/>
      <c r="I116" s="285"/>
      <c r="J116" s="285"/>
      <c r="K116" s="285"/>
      <c r="L116" s="285"/>
      <c r="M116" s="285"/>
      <c r="N116" s="285"/>
      <c r="O116" s="285"/>
      <c r="P116" s="285"/>
      <c r="Q116" s="285"/>
      <c r="R116" s="285"/>
      <c r="S116" s="285"/>
      <c r="T116" s="339">
        <v>-226</v>
      </c>
      <c r="U116" s="288"/>
      <c r="V116" s="5"/>
    </row>
    <row r="117" spans="1:22" ht="15.6" x14ac:dyDescent="0.3">
      <c r="A117" s="337">
        <f t="shared" si="0"/>
        <v>13</v>
      </c>
      <c r="B117" s="285" t="s">
        <v>132</v>
      </c>
      <c r="C117" s="285"/>
      <c r="D117" s="285"/>
      <c r="E117" s="285"/>
      <c r="F117" s="285"/>
      <c r="G117" s="285"/>
      <c r="H117" s="285"/>
      <c r="I117" s="285"/>
      <c r="J117" s="285"/>
      <c r="K117" s="285"/>
      <c r="L117" s="285"/>
      <c r="M117" s="285"/>
      <c r="N117" s="285"/>
      <c r="O117" s="285"/>
      <c r="P117" s="285"/>
      <c r="Q117" s="285"/>
      <c r="R117" s="285"/>
      <c r="S117" s="285"/>
      <c r="T117" s="339">
        <f>-T100-SUM(T102:T116)</f>
        <v>-1699</v>
      </c>
      <c r="U117" s="288"/>
      <c r="V117" s="5"/>
    </row>
    <row r="118" spans="1:22" ht="15.6" x14ac:dyDescent="0.3">
      <c r="A118" s="284"/>
      <c r="B118" s="343" t="s">
        <v>38</v>
      </c>
      <c r="C118" s="311"/>
      <c r="D118" s="311"/>
      <c r="E118" s="311"/>
      <c r="F118" s="311"/>
      <c r="G118" s="311"/>
      <c r="H118" s="311"/>
      <c r="I118" s="311"/>
      <c r="J118" s="311"/>
      <c r="K118" s="311"/>
      <c r="L118" s="311"/>
      <c r="M118" s="311"/>
      <c r="N118" s="311"/>
      <c r="O118" s="311"/>
      <c r="P118" s="311"/>
      <c r="Q118" s="311"/>
      <c r="R118" s="311"/>
      <c r="S118" s="311"/>
      <c r="T118" s="346"/>
      <c r="U118" s="317"/>
      <c r="V118" s="5"/>
    </row>
    <row r="119" spans="1:22" ht="15.6" x14ac:dyDescent="0.3">
      <c r="A119" s="337"/>
      <c r="B119" s="285" t="s">
        <v>180</v>
      </c>
      <c r="C119" s="285"/>
      <c r="D119" s="285"/>
      <c r="E119" s="285"/>
      <c r="F119" s="285"/>
      <c r="G119" s="285"/>
      <c r="H119" s="285"/>
      <c r="I119" s="285"/>
      <c r="J119" s="285"/>
      <c r="K119" s="285"/>
      <c r="L119" s="285"/>
      <c r="M119" s="285"/>
      <c r="N119" s="285"/>
      <c r="O119" s="285"/>
      <c r="P119" s="285"/>
      <c r="Q119" s="285"/>
      <c r="R119" s="338">
        <f>-R177</f>
        <v>0</v>
      </c>
      <c r="S119" s="338"/>
      <c r="T119" s="339"/>
      <c r="U119" s="288"/>
      <c r="V119" s="5"/>
    </row>
    <row r="120" spans="1:22" ht="15.6" x14ac:dyDescent="0.3">
      <c r="A120" s="337"/>
      <c r="B120" s="285" t="s">
        <v>181</v>
      </c>
      <c r="C120" s="285"/>
      <c r="D120" s="285"/>
      <c r="E120" s="285"/>
      <c r="F120" s="285"/>
      <c r="G120" s="285"/>
      <c r="H120" s="285"/>
      <c r="I120" s="285"/>
      <c r="J120" s="285"/>
      <c r="K120" s="285"/>
      <c r="L120" s="285"/>
      <c r="M120" s="285"/>
      <c r="N120" s="285"/>
      <c r="O120" s="285"/>
      <c r="P120" s="285"/>
      <c r="Q120" s="285"/>
      <c r="R120" s="338">
        <v>0</v>
      </c>
      <c r="S120" s="338"/>
      <c r="T120" s="339"/>
      <c r="U120" s="288"/>
      <c r="V120" s="5"/>
    </row>
    <row r="121" spans="1:22" ht="15.6" x14ac:dyDescent="0.3">
      <c r="A121" s="337"/>
      <c r="B121" s="285" t="s">
        <v>39</v>
      </c>
      <c r="C121" s="285"/>
      <c r="D121" s="285"/>
      <c r="E121" s="285"/>
      <c r="F121" s="285"/>
      <c r="G121" s="285"/>
      <c r="H121" s="285"/>
      <c r="I121" s="285"/>
      <c r="J121" s="285"/>
      <c r="K121" s="285"/>
      <c r="L121" s="285"/>
      <c r="M121" s="285"/>
      <c r="N121" s="285"/>
      <c r="O121" s="285"/>
      <c r="P121" s="285"/>
      <c r="Q121" s="285"/>
      <c r="R121" s="338">
        <f>-Q177</f>
        <v>-471</v>
      </c>
      <c r="S121" s="338"/>
      <c r="T121" s="339"/>
      <c r="U121" s="288"/>
      <c r="V121" s="5"/>
    </row>
    <row r="122" spans="1:22" ht="15.6" x14ac:dyDescent="0.3">
      <c r="A122" s="337"/>
      <c r="B122" s="285" t="s">
        <v>205</v>
      </c>
      <c r="C122" s="285"/>
      <c r="D122" s="285"/>
      <c r="E122" s="285"/>
      <c r="F122" s="285"/>
      <c r="G122" s="285"/>
      <c r="H122" s="285"/>
      <c r="I122" s="285"/>
      <c r="J122" s="285"/>
      <c r="K122" s="285"/>
      <c r="L122" s="285"/>
      <c r="M122" s="285"/>
      <c r="N122" s="285"/>
      <c r="O122" s="285"/>
      <c r="P122" s="285"/>
      <c r="Q122" s="285"/>
      <c r="R122" s="338">
        <v>-2936</v>
      </c>
      <c r="S122" s="338"/>
      <c r="T122" s="339"/>
      <c r="U122" s="288"/>
      <c r="V122" s="5"/>
    </row>
    <row r="123" spans="1:22" ht="15.6" x14ac:dyDescent="0.3">
      <c r="A123" s="337"/>
      <c r="B123" s="285" t="s">
        <v>203</v>
      </c>
      <c r="C123" s="285"/>
      <c r="D123" s="285"/>
      <c r="E123" s="285"/>
      <c r="F123" s="285"/>
      <c r="G123" s="285"/>
      <c r="H123" s="285"/>
      <c r="I123" s="285"/>
      <c r="J123" s="285"/>
      <c r="K123" s="285"/>
      <c r="L123" s="285"/>
      <c r="M123" s="285"/>
      <c r="N123" s="285"/>
      <c r="O123" s="285"/>
      <c r="P123" s="285"/>
      <c r="Q123" s="285"/>
      <c r="R123" s="338">
        <v>-774</v>
      </c>
      <c r="S123" s="338"/>
      <c r="T123" s="339"/>
      <c r="U123" s="288"/>
      <c r="V123" s="5"/>
    </row>
    <row r="124" spans="1:22" ht="15.6" x14ac:dyDescent="0.3">
      <c r="A124" s="337"/>
      <c r="B124" s="285" t="s">
        <v>202</v>
      </c>
      <c r="C124" s="285"/>
      <c r="D124" s="285"/>
      <c r="E124" s="285"/>
      <c r="F124" s="285"/>
      <c r="G124" s="285"/>
      <c r="H124" s="285"/>
      <c r="I124" s="285"/>
      <c r="J124" s="285"/>
      <c r="K124" s="285"/>
      <c r="L124" s="285"/>
      <c r="M124" s="285"/>
      <c r="N124" s="285"/>
      <c r="O124" s="285"/>
      <c r="P124" s="285"/>
      <c r="Q124" s="285"/>
      <c r="R124" s="338">
        <v>-780</v>
      </c>
      <c r="S124" s="338"/>
      <c r="T124" s="339"/>
      <c r="U124" s="288"/>
      <c r="V124" s="5"/>
    </row>
    <row r="125" spans="1:22" ht="15.6" x14ac:dyDescent="0.3">
      <c r="A125" s="337"/>
      <c r="B125" s="285" t="s">
        <v>197</v>
      </c>
      <c r="C125" s="285"/>
      <c r="D125" s="285"/>
      <c r="E125" s="285"/>
      <c r="F125" s="285"/>
      <c r="G125" s="285"/>
      <c r="H125" s="285"/>
      <c r="I125" s="285"/>
      <c r="J125" s="285"/>
      <c r="K125" s="285"/>
      <c r="L125" s="285"/>
      <c r="M125" s="285"/>
      <c r="N125" s="285"/>
      <c r="O125" s="285"/>
      <c r="P125" s="285"/>
      <c r="Q125" s="285"/>
      <c r="R125" s="338">
        <v>0</v>
      </c>
      <c r="S125" s="338"/>
      <c r="T125" s="339"/>
      <c r="U125" s="288"/>
      <c r="V125" s="5"/>
    </row>
    <row r="126" spans="1:22" ht="15.6" x14ac:dyDescent="0.3">
      <c r="A126" s="337"/>
      <c r="B126" s="285" t="s">
        <v>196</v>
      </c>
      <c r="C126" s="285"/>
      <c r="D126" s="285"/>
      <c r="E126" s="285"/>
      <c r="F126" s="285"/>
      <c r="G126" s="285"/>
      <c r="H126" s="285"/>
      <c r="I126" s="285"/>
      <c r="J126" s="285"/>
      <c r="K126" s="285"/>
      <c r="L126" s="285"/>
      <c r="M126" s="285"/>
      <c r="N126" s="285"/>
      <c r="O126" s="285"/>
      <c r="P126" s="285"/>
      <c r="Q126" s="285"/>
      <c r="R126" s="338">
        <v>0</v>
      </c>
      <c r="S126" s="338"/>
      <c r="T126" s="339"/>
      <c r="U126" s="288"/>
      <c r="V126" s="5"/>
    </row>
    <row r="127" spans="1:22" ht="15.6" x14ac:dyDescent="0.3">
      <c r="A127" s="337"/>
      <c r="B127" s="285" t="s">
        <v>195</v>
      </c>
      <c r="C127" s="285"/>
      <c r="D127" s="285"/>
      <c r="E127" s="285"/>
      <c r="F127" s="285"/>
      <c r="G127" s="285"/>
      <c r="H127" s="285"/>
      <c r="I127" s="285"/>
      <c r="J127" s="285"/>
      <c r="K127" s="285"/>
      <c r="L127" s="285"/>
      <c r="M127" s="285"/>
      <c r="N127" s="285"/>
      <c r="O127" s="285"/>
      <c r="P127" s="285"/>
      <c r="Q127" s="285"/>
      <c r="R127" s="338">
        <v>0</v>
      </c>
      <c r="S127" s="338"/>
      <c r="T127" s="339"/>
      <c r="U127" s="288"/>
      <c r="V127" s="5"/>
    </row>
    <row r="128" spans="1:22" ht="15.6" x14ac:dyDescent="0.3">
      <c r="A128" s="337"/>
      <c r="B128" s="285" t="s">
        <v>40</v>
      </c>
      <c r="C128" s="285"/>
      <c r="D128" s="285"/>
      <c r="E128" s="285"/>
      <c r="F128" s="285"/>
      <c r="G128" s="285"/>
      <c r="H128" s="285"/>
      <c r="I128" s="285"/>
      <c r="J128" s="285"/>
      <c r="K128" s="285"/>
      <c r="L128" s="285"/>
      <c r="M128" s="285"/>
      <c r="N128" s="285"/>
      <c r="O128" s="285"/>
      <c r="P128" s="285"/>
      <c r="Q128" s="285"/>
      <c r="R128" s="338">
        <f>SUM(R119:R127)</f>
        <v>-4961</v>
      </c>
      <c r="S128" s="338"/>
      <c r="T128" s="338">
        <f>SUM(T101:T126)</f>
        <v>-4435</v>
      </c>
      <c r="U128" s="288"/>
      <c r="V128" s="5"/>
    </row>
    <row r="129" spans="1:23" ht="15.6" x14ac:dyDescent="0.3">
      <c r="A129" s="337"/>
      <c r="B129" s="285" t="s">
        <v>41</v>
      </c>
      <c r="C129" s="285"/>
      <c r="D129" s="285"/>
      <c r="E129" s="285"/>
      <c r="F129" s="285"/>
      <c r="G129" s="285"/>
      <c r="H129" s="285"/>
      <c r="I129" s="285"/>
      <c r="J129" s="285"/>
      <c r="K129" s="285"/>
      <c r="L129" s="285"/>
      <c r="M129" s="285"/>
      <c r="N129" s="285"/>
      <c r="O129" s="285"/>
      <c r="P129" s="285"/>
      <c r="Q129" s="285"/>
      <c r="R129" s="338">
        <f>R100+R128+R112</f>
        <v>0</v>
      </c>
      <c r="S129" s="338"/>
      <c r="T129" s="338">
        <f>T100+T128</f>
        <v>0</v>
      </c>
      <c r="U129" s="288"/>
      <c r="V129" s="5"/>
    </row>
    <row r="130" spans="1:23" ht="15.6" x14ac:dyDescent="0.3">
      <c r="A130" s="256"/>
      <c r="B130" s="281"/>
      <c r="C130" s="281"/>
      <c r="D130" s="281"/>
      <c r="E130" s="281"/>
      <c r="F130" s="281"/>
      <c r="G130" s="281"/>
      <c r="H130" s="281"/>
      <c r="I130" s="281"/>
      <c r="J130" s="281"/>
      <c r="K130" s="281"/>
      <c r="L130" s="281"/>
      <c r="M130" s="281"/>
      <c r="N130" s="281"/>
      <c r="O130" s="281"/>
      <c r="P130" s="281"/>
      <c r="Q130" s="281"/>
      <c r="R130" s="340"/>
      <c r="S130" s="340"/>
      <c r="T130" s="340"/>
      <c r="U130" s="281"/>
      <c r="V130" s="5"/>
    </row>
    <row r="131" spans="1:23" ht="15.6" x14ac:dyDescent="0.3">
      <c r="A131" s="256"/>
      <c r="B131" s="231"/>
      <c r="C131" s="231"/>
      <c r="D131" s="231"/>
      <c r="E131" s="231"/>
      <c r="F131" s="231"/>
      <c r="G131" s="231"/>
      <c r="H131" s="231"/>
      <c r="I131" s="231"/>
      <c r="J131" s="231"/>
      <c r="K131" s="231"/>
      <c r="L131" s="231"/>
      <c r="M131" s="231"/>
      <c r="N131" s="231"/>
      <c r="O131" s="231"/>
      <c r="P131" s="231"/>
      <c r="Q131" s="231"/>
      <c r="R131" s="231"/>
      <c r="S131" s="231"/>
      <c r="T131" s="257"/>
      <c r="U131" s="231"/>
      <c r="V131" s="5"/>
    </row>
    <row r="132" spans="1:23" ht="18" thickBot="1" x14ac:dyDescent="0.35">
      <c r="A132" s="258"/>
      <c r="B132" s="246" t="str">
        <f>B64</f>
        <v>PM11 INVESTOR REPORT QUARTER ENDING JUNE 2010</v>
      </c>
      <c r="C132" s="247"/>
      <c r="D132" s="247"/>
      <c r="E132" s="247"/>
      <c r="F132" s="247"/>
      <c r="G132" s="247"/>
      <c r="H132" s="247"/>
      <c r="I132" s="247"/>
      <c r="J132" s="247"/>
      <c r="K132" s="247"/>
      <c r="L132" s="247"/>
      <c r="M132" s="247"/>
      <c r="N132" s="247"/>
      <c r="O132" s="247"/>
      <c r="P132" s="247"/>
      <c r="Q132" s="247"/>
      <c r="R132" s="247"/>
      <c r="S132" s="247"/>
      <c r="T132" s="259"/>
      <c r="U132" s="249"/>
      <c r="V132" s="5"/>
    </row>
    <row r="133" spans="1:23" ht="15.6" x14ac:dyDescent="0.3">
      <c r="A133" s="260"/>
      <c r="B133" s="263" t="s">
        <v>42</v>
      </c>
      <c r="C133" s="261"/>
      <c r="D133" s="261"/>
      <c r="E133" s="261"/>
      <c r="F133" s="261"/>
      <c r="G133" s="261"/>
      <c r="H133" s="261"/>
      <c r="I133" s="261"/>
      <c r="J133" s="261"/>
      <c r="K133" s="261"/>
      <c r="L133" s="261"/>
      <c r="M133" s="261"/>
      <c r="N133" s="261"/>
      <c r="O133" s="261"/>
      <c r="P133" s="261"/>
      <c r="Q133" s="261"/>
      <c r="R133" s="261"/>
      <c r="S133" s="261"/>
      <c r="T133" s="262"/>
      <c r="U133" s="261"/>
      <c r="V133" s="5"/>
    </row>
    <row r="134" spans="1:23" ht="15.6" x14ac:dyDescent="0.3">
      <c r="A134" s="175"/>
      <c r="B134" s="187"/>
      <c r="C134" s="177"/>
      <c r="D134" s="177"/>
      <c r="E134" s="177"/>
      <c r="F134" s="177"/>
      <c r="G134" s="177"/>
      <c r="H134" s="177"/>
      <c r="I134" s="177"/>
      <c r="J134" s="177"/>
      <c r="K134" s="177"/>
      <c r="L134" s="177"/>
      <c r="M134" s="177"/>
      <c r="N134" s="177"/>
      <c r="O134" s="177"/>
      <c r="P134" s="177"/>
      <c r="Q134" s="177"/>
      <c r="R134" s="177"/>
      <c r="S134" s="177"/>
      <c r="T134" s="194"/>
      <c r="U134" s="177"/>
      <c r="V134" s="5"/>
    </row>
    <row r="135" spans="1:23" ht="15.6" x14ac:dyDescent="0.3">
      <c r="A135" s="175"/>
      <c r="B135" s="201" t="s">
        <v>43</v>
      </c>
      <c r="C135" s="177"/>
      <c r="D135" s="177"/>
      <c r="E135" s="177"/>
      <c r="F135" s="177"/>
      <c r="G135" s="177"/>
      <c r="H135" s="177"/>
      <c r="I135" s="177"/>
      <c r="J135" s="177"/>
      <c r="K135" s="177"/>
      <c r="L135" s="177"/>
      <c r="M135" s="177"/>
      <c r="N135" s="177"/>
      <c r="O135" s="177"/>
      <c r="P135" s="177"/>
      <c r="Q135" s="177"/>
      <c r="R135" s="177"/>
      <c r="S135" s="177"/>
      <c r="T135" s="194"/>
      <c r="U135" s="177"/>
      <c r="V135" s="5"/>
    </row>
    <row r="136" spans="1:23" ht="15.6" x14ac:dyDescent="0.3">
      <c r="A136" s="284"/>
      <c r="B136" s="285" t="s">
        <v>44</v>
      </c>
      <c r="C136" s="285"/>
      <c r="D136" s="285"/>
      <c r="E136" s="285"/>
      <c r="F136" s="285"/>
      <c r="G136" s="285"/>
      <c r="H136" s="285"/>
      <c r="I136" s="285"/>
      <c r="J136" s="285"/>
      <c r="K136" s="285"/>
      <c r="L136" s="285"/>
      <c r="M136" s="285"/>
      <c r="N136" s="285"/>
      <c r="O136" s="285"/>
      <c r="P136" s="285"/>
      <c r="Q136" s="285"/>
      <c r="R136" s="285"/>
      <c r="S136" s="285"/>
      <c r="T136" s="339">
        <f>+T34*0.019</f>
        <v>19000.95</v>
      </c>
      <c r="U136" s="288"/>
      <c r="V136" s="5"/>
    </row>
    <row r="137" spans="1:23" ht="15.6" x14ac:dyDescent="0.3">
      <c r="A137" s="284"/>
      <c r="B137" s="285" t="s">
        <v>45</v>
      </c>
      <c r="C137" s="285"/>
      <c r="D137" s="285"/>
      <c r="E137" s="285"/>
      <c r="F137" s="285"/>
      <c r="G137" s="285"/>
      <c r="H137" s="285"/>
      <c r="I137" s="285"/>
      <c r="J137" s="285"/>
      <c r="K137" s="285"/>
      <c r="L137" s="285"/>
      <c r="M137" s="285"/>
      <c r="N137" s="285"/>
      <c r="O137" s="285"/>
      <c r="P137" s="285"/>
      <c r="Q137" s="285"/>
      <c r="R137" s="285"/>
      <c r="S137" s="285"/>
      <c r="T137" s="339">
        <v>19001</v>
      </c>
      <c r="U137" s="288"/>
      <c r="V137" s="5"/>
    </row>
    <row r="138" spans="1:23" ht="15.6" x14ac:dyDescent="0.3">
      <c r="A138" s="284"/>
      <c r="B138" s="285" t="s">
        <v>142</v>
      </c>
      <c r="C138" s="285"/>
      <c r="D138" s="285"/>
      <c r="E138" s="285"/>
      <c r="F138" s="285"/>
      <c r="G138" s="285"/>
      <c r="H138" s="285"/>
      <c r="I138" s="285"/>
      <c r="J138" s="285"/>
      <c r="K138" s="285"/>
      <c r="L138" s="285"/>
      <c r="M138" s="285"/>
      <c r="N138" s="285"/>
      <c r="O138" s="285"/>
      <c r="P138" s="285"/>
      <c r="Q138" s="285"/>
      <c r="R138" s="285"/>
      <c r="S138" s="285"/>
      <c r="T138" s="339">
        <v>0</v>
      </c>
      <c r="U138" s="288"/>
      <c r="V138" s="5"/>
    </row>
    <row r="139" spans="1:23" ht="15.6" x14ac:dyDescent="0.3">
      <c r="A139" s="284"/>
      <c r="B139" s="285" t="s">
        <v>129</v>
      </c>
      <c r="C139" s="285"/>
      <c r="D139" s="285"/>
      <c r="E139" s="285"/>
      <c r="F139" s="285"/>
      <c r="G139" s="285"/>
      <c r="H139" s="285"/>
      <c r="I139" s="285"/>
      <c r="J139" s="285"/>
      <c r="K139" s="285"/>
      <c r="L139" s="285"/>
      <c r="M139" s="285"/>
      <c r="N139" s="285"/>
      <c r="O139" s="285"/>
      <c r="P139" s="285"/>
      <c r="Q139" s="285"/>
      <c r="R139" s="285"/>
      <c r="S139" s="285"/>
      <c r="T139" s="339">
        <v>0</v>
      </c>
      <c r="U139" s="288"/>
      <c r="V139" s="5"/>
    </row>
    <row r="140" spans="1:23" ht="15.6" x14ac:dyDescent="0.3">
      <c r="A140" s="284"/>
      <c r="B140" s="285" t="s">
        <v>130</v>
      </c>
      <c r="C140" s="285"/>
      <c r="D140" s="285"/>
      <c r="E140" s="285"/>
      <c r="F140" s="285"/>
      <c r="G140" s="285"/>
      <c r="H140" s="285"/>
      <c r="I140" s="285"/>
      <c r="J140" s="285"/>
      <c r="K140" s="285"/>
      <c r="L140" s="285"/>
      <c r="M140" s="285"/>
      <c r="N140" s="285"/>
      <c r="O140" s="285"/>
      <c r="P140" s="285"/>
      <c r="Q140" s="285"/>
      <c r="R140" s="285"/>
      <c r="S140" s="285"/>
      <c r="T140" s="339">
        <v>0</v>
      </c>
      <c r="U140" s="288"/>
      <c r="V140" s="5"/>
    </row>
    <row r="141" spans="1:23" ht="15.6" x14ac:dyDescent="0.3">
      <c r="A141" s="284"/>
      <c r="B141" s="285" t="s">
        <v>182</v>
      </c>
      <c r="C141" s="285"/>
      <c r="D141" s="285"/>
      <c r="E141" s="285"/>
      <c r="F141" s="285"/>
      <c r="G141" s="285"/>
      <c r="H141" s="285"/>
      <c r="I141" s="285"/>
      <c r="J141" s="285"/>
      <c r="K141" s="285"/>
      <c r="L141" s="285"/>
      <c r="M141" s="285"/>
      <c r="N141" s="285"/>
      <c r="O141" s="285"/>
      <c r="P141" s="285"/>
      <c r="Q141" s="285"/>
      <c r="R141" s="285"/>
      <c r="S141" s="285"/>
      <c r="T141" s="339">
        <v>0</v>
      </c>
      <c r="U141" s="288"/>
      <c r="V141" s="5"/>
    </row>
    <row r="142" spans="1:23" ht="15.6" x14ac:dyDescent="0.3">
      <c r="A142" s="284"/>
      <c r="B142" s="285" t="s">
        <v>46</v>
      </c>
      <c r="C142" s="285"/>
      <c r="D142" s="285"/>
      <c r="E142" s="285"/>
      <c r="F142" s="285"/>
      <c r="G142" s="285"/>
      <c r="H142" s="285"/>
      <c r="I142" s="285"/>
      <c r="J142" s="285"/>
      <c r="K142" s="285"/>
      <c r="L142" s="285"/>
      <c r="M142" s="285"/>
      <c r="N142" s="285"/>
      <c r="O142" s="285"/>
      <c r="P142" s="285"/>
      <c r="Q142" s="285"/>
      <c r="R142" s="285"/>
      <c r="S142" s="285"/>
      <c r="T142" s="339">
        <v>0</v>
      </c>
      <c r="U142" s="288"/>
      <c r="V142" s="5"/>
    </row>
    <row r="143" spans="1:23" ht="15.6" x14ac:dyDescent="0.3">
      <c r="A143" s="284"/>
      <c r="B143" s="285" t="s">
        <v>135</v>
      </c>
      <c r="C143" s="285"/>
      <c r="D143" s="285"/>
      <c r="E143" s="285"/>
      <c r="F143" s="285"/>
      <c r="G143" s="285"/>
      <c r="H143" s="285"/>
      <c r="I143" s="285"/>
      <c r="J143" s="285"/>
      <c r="K143" s="285"/>
      <c r="L143" s="285"/>
      <c r="M143" s="285"/>
      <c r="N143" s="285"/>
      <c r="O143" s="285"/>
      <c r="P143" s="285"/>
      <c r="Q143" s="285"/>
      <c r="R143" s="285"/>
      <c r="S143" s="285"/>
      <c r="T143" s="339">
        <v>0</v>
      </c>
      <c r="U143" s="288"/>
      <c r="V143" s="5"/>
    </row>
    <row r="144" spans="1:23" ht="15.6" x14ac:dyDescent="0.3">
      <c r="A144" s="284"/>
      <c r="B144" s="285" t="s">
        <v>251</v>
      </c>
      <c r="C144" s="285"/>
      <c r="D144" s="285"/>
      <c r="E144" s="285"/>
      <c r="F144" s="285"/>
      <c r="G144" s="285"/>
      <c r="H144" s="285"/>
      <c r="I144" s="285"/>
      <c r="J144" s="285"/>
      <c r="K144" s="285"/>
      <c r="L144" s="285"/>
      <c r="M144" s="285"/>
      <c r="N144" s="285"/>
      <c r="O144" s="285"/>
      <c r="P144" s="285"/>
      <c r="Q144" s="285"/>
      <c r="R144" s="285"/>
      <c r="S144" s="285"/>
      <c r="T144" s="339">
        <v>0</v>
      </c>
      <c r="U144" s="288"/>
      <c r="V144" s="5"/>
      <c r="W144" s="109"/>
    </row>
    <row r="145" spans="1:22" ht="15.6" x14ac:dyDescent="0.3">
      <c r="A145" s="284"/>
      <c r="B145" s="285" t="s">
        <v>47</v>
      </c>
      <c r="C145" s="285"/>
      <c r="D145" s="285"/>
      <c r="E145" s="285"/>
      <c r="F145" s="285"/>
      <c r="G145" s="285"/>
      <c r="H145" s="285"/>
      <c r="I145" s="285"/>
      <c r="J145" s="285"/>
      <c r="K145" s="285"/>
      <c r="L145" s="285"/>
      <c r="M145" s="285"/>
      <c r="N145" s="285"/>
      <c r="O145" s="285"/>
      <c r="P145" s="285"/>
      <c r="Q145" s="285"/>
      <c r="R145" s="285"/>
      <c r="S145" s="285"/>
      <c r="T145" s="339">
        <f>SUM(T137:T144)</f>
        <v>19001</v>
      </c>
      <c r="U145" s="288"/>
      <c r="V145" s="5"/>
    </row>
    <row r="146" spans="1:22" ht="15.6" x14ac:dyDescent="0.3">
      <c r="A146" s="284"/>
      <c r="B146" s="311"/>
      <c r="C146" s="311"/>
      <c r="D146" s="311"/>
      <c r="E146" s="311"/>
      <c r="F146" s="311"/>
      <c r="G146" s="311"/>
      <c r="H146" s="311"/>
      <c r="I146" s="311"/>
      <c r="J146" s="311"/>
      <c r="K146" s="311"/>
      <c r="L146" s="311"/>
      <c r="M146" s="311"/>
      <c r="N146" s="311"/>
      <c r="O146" s="311"/>
      <c r="P146" s="311"/>
      <c r="Q146" s="311"/>
      <c r="R146" s="311"/>
      <c r="S146" s="311"/>
      <c r="T146" s="345"/>
      <c r="U146" s="317"/>
      <c r="V146" s="5"/>
    </row>
    <row r="147" spans="1:22" ht="15.6" x14ac:dyDescent="0.3">
      <c r="A147" s="284"/>
      <c r="B147" s="343" t="s">
        <v>262</v>
      </c>
      <c r="C147" s="311"/>
      <c r="D147" s="311"/>
      <c r="E147" s="311"/>
      <c r="F147" s="311"/>
      <c r="G147" s="311"/>
      <c r="H147" s="311"/>
      <c r="I147" s="311"/>
      <c r="J147" s="311"/>
      <c r="K147" s="311"/>
      <c r="L147" s="311"/>
      <c r="M147" s="311"/>
      <c r="N147" s="311"/>
      <c r="O147" s="311"/>
      <c r="P147" s="311"/>
      <c r="Q147" s="311"/>
      <c r="R147" s="311"/>
      <c r="S147" s="311"/>
      <c r="T147" s="345"/>
      <c r="U147" s="317"/>
      <c r="V147" s="5"/>
    </row>
    <row r="148" spans="1:22" ht="15.6" x14ac:dyDescent="0.3">
      <c r="A148" s="284"/>
      <c r="B148" s="285" t="s">
        <v>263</v>
      </c>
      <c r="C148" s="285"/>
      <c r="D148" s="285"/>
      <c r="E148" s="285"/>
      <c r="F148" s="285"/>
      <c r="G148" s="285"/>
      <c r="H148" s="285"/>
      <c r="I148" s="285"/>
      <c r="J148" s="285"/>
      <c r="K148" s="285"/>
      <c r="L148" s="285"/>
      <c r="M148" s="285"/>
      <c r="N148" s="285"/>
      <c r="O148" s="285"/>
      <c r="P148" s="285"/>
      <c r="Q148" s="285"/>
      <c r="R148" s="285"/>
      <c r="S148" s="285"/>
      <c r="T148" s="339">
        <v>0</v>
      </c>
      <c r="U148" s="288"/>
      <c r="V148" s="5"/>
    </row>
    <row r="149" spans="1:22" ht="15.6" x14ac:dyDescent="0.3">
      <c r="A149" s="284"/>
      <c r="B149" s="285" t="s">
        <v>179</v>
      </c>
      <c r="C149" s="285"/>
      <c r="D149" s="285"/>
      <c r="E149" s="285"/>
      <c r="F149" s="285"/>
      <c r="G149" s="285"/>
      <c r="H149" s="285"/>
      <c r="I149" s="285"/>
      <c r="J149" s="285"/>
      <c r="K149" s="285"/>
      <c r="L149" s="285"/>
      <c r="M149" s="285"/>
      <c r="N149" s="285"/>
      <c r="O149" s="285"/>
      <c r="P149" s="285"/>
      <c r="Q149" s="285"/>
      <c r="R149" s="285"/>
      <c r="S149" s="285"/>
      <c r="T149" s="339">
        <v>0</v>
      </c>
      <c r="U149" s="288"/>
      <c r="V149" s="5"/>
    </row>
    <row r="150" spans="1:22" ht="15.6" x14ac:dyDescent="0.3">
      <c r="A150" s="284"/>
      <c r="B150" s="285" t="s">
        <v>264</v>
      </c>
      <c r="C150" s="285"/>
      <c r="D150" s="285"/>
      <c r="E150" s="285"/>
      <c r="F150" s="285"/>
      <c r="G150" s="285"/>
      <c r="H150" s="285"/>
      <c r="I150" s="285"/>
      <c r="J150" s="285"/>
      <c r="K150" s="285"/>
      <c r="L150" s="285"/>
      <c r="M150" s="285"/>
      <c r="N150" s="285"/>
      <c r="O150" s="285"/>
      <c r="P150" s="285"/>
      <c r="Q150" s="285"/>
      <c r="R150" s="285"/>
      <c r="S150" s="285"/>
      <c r="T150" s="339">
        <v>0</v>
      </c>
      <c r="U150" s="288"/>
      <c r="V150" s="5"/>
    </row>
    <row r="151" spans="1:22" ht="15.6" x14ac:dyDescent="0.3">
      <c r="A151" s="284"/>
      <c r="B151" s="285"/>
      <c r="C151" s="285"/>
      <c r="D151" s="285"/>
      <c r="E151" s="285"/>
      <c r="F151" s="285"/>
      <c r="G151" s="285"/>
      <c r="H151" s="285"/>
      <c r="I151" s="285"/>
      <c r="J151" s="285"/>
      <c r="K151" s="285"/>
      <c r="L151" s="285"/>
      <c r="M151" s="285"/>
      <c r="N151" s="285"/>
      <c r="O151" s="285"/>
      <c r="P151" s="285"/>
      <c r="Q151" s="285"/>
      <c r="R151" s="285"/>
      <c r="S151" s="285"/>
      <c r="T151" s="339"/>
      <c r="U151" s="288"/>
      <c r="V151" s="5"/>
    </row>
    <row r="152" spans="1:22" ht="15.6" x14ac:dyDescent="0.3">
      <c r="A152" s="175"/>
      <c r="B152" s="334"/>
      <c r="C152" s="334"/>
      <c r="D152" s="334"/>
      <c r="E152" s="334"/>
      <c r="F152" s="334"/>
      <c r="G152" s="334"/>
      <c r="H152" s="334"/>
      <c r="I152" s="334"/>
      <c r="J152" s="334"/>
      <c r="K152" s="334"/>
      <c r="L152" s="334"/>
      <c r="M152" s="334"/>
      <c r="N152" s="334"/>
      <c r="O152" s="334"/>
      <c r="P152" s="334"/>
      <c r="Q152" s="334"/>
      <c r="R152" s="334"/>
      <c r="S152" s="334"/>
      <c r="T152" s="347"/>
      <c r="U152" s="334"/>
      <c r="V152" s="5"/>
    </row>
    <row r="153" spans="1:22" ht="15.6" x14ac:dyDescent="0.3">
      <c r="A153" s="175"/>
      <c r="B153" s="201" t="s">
        <v>24</v>
      </c>
      <c r="C153" s="177"/>
      <c r="D153" s="177"/>
      <c r="E153" s="177"/>
      <c r="F153" s="177"/>
      <c r="G153" s="177"/>
      <c r="H153" s="177"/>
      <c r="I153" s="177"/>
      <c r="J153" s="177"/>
      <c r="K153" s="177"/>
      <c r="L153" s="177"/>
      <c r="M153" s="177"/>
      <c r="N153" s="177"/>
      <c r="O153" s="177"/>
      <c r="P153" s="177"/>
      <c r="Q153" s="177"/>
      <c r="R153" s="177"/>
      <c r="S153" s="177"/>
      <c r="T153" s="194"/>
      <c r="U153" s="177"/>
      <c r="V153" s="5"/>
    </row>
    <row r="154" spans="1:22" ht="15.6" x14ac:dyDescent="0.3">
      <c r="A154" s="284"/>
      <c r="B154" s="285" t="s">
        <v>48</v>
      </c>
      <c r="C154" s="285"/>
      <c r="D154" s="285"/>
      <c r="E154" s="285"/>
      <c r="F154" s="285"/>
      <c r="G154" s="285"/>
      <c r="H154" s="285"/>
      <c r="I154" s="285"/>
      <c r="J154" s="285"/>
      <c r="K154" s="285"/>
      <c r="L154" s="285"/>
      <c r="M154" s="285"/>
      <c r="N154" s="285"/>
      <c r="O154" s="285"/>
      <c r="P154" s="285"/>
      <c r="Q154" s="285"/>
      <c r="R154" s="285"/>
      <c r="S154" s="285"/>
      <c r="T154" s="348" t="s">
        <v>124</v>
      </c>
      <c r="U154" s="288"/>
      <c r="V154" s="5"/>
    </row>
    <row r="155" spans="1:22" ht="15.6" x14ac:dyDescent="0.3">
      <c r="A155" s="284"/>
      <c r="B155" s="285" t="s">
        <v>49</v>
      </c>
      <c r="C155" s="287"/>
      <c r="D155" s="287"/>
      <c r="E155" s="287"/>
      <c r="F155" s="287"/>
      <c r="G155" s="287"/>
      <c r="H155" s="287"/>
      <c r="I155" s="287"/>
      <c r="J155" s="287"/>
      <c r="K155" s="287"/>
      <c r="L155" s="287"/>
      <c r="M155" s="287"/>
      <c r="N155" s="287"/>
      <c r="O155" s="287"/>
      <c r="P155" s="287"/>
      <c r="Q155" s="287"/>
      <c r="R155" s="287"/>
      <c r="S155" s="287"/>
      <c r="T155" s="348" t="s">
        <v>124</v>
      </c>
      <c r="U155" s="288"/>
      <c r="V155" s="5"/>
    </row>
    <row r="156" spans="1:22" ht="15.6" x14ac:dyDescent="0.3">
      <c r="A156" s="284"/>
      <c r="B156" s="285" t="s">
        <v>50</v>
      </c>
      <c r="C156" s="285"/>
      <c r="D156" s="285"/>
      <c r="E156" s="285"/>
      <c r="F156" s="285"/>
      <c r="G156" s="285"/>
      <c r="H156" s="285"/>
      <c r="I156" s="285"/>
      <c r="J156" s="285"/>
      <c r="K156" s="285"/>
      <c r="L156" s="285"/>
      <c r="M156" s="285"/>
      <c r="N156" s="285"/>
      <c r="O156" s="285"/>
      <c r="P156" s="285"/>
      <c r="Q156" s="285"/>
      <c r="R156" s="285"/>
      <c r="S156" s="285"/>
      <c r="T156" s="348" t="s">
        <v>124</v>
      </c>
      <c r="U156" s="288"/>
      <c r="V156" s="5"/>
    </row>
    <row r="157" spans="1:22" ht="15.6" x14ac:dyDescent="0.3">
      <c r="A157" s="284"/>
      <c r="B157" s="285" t="s">
        <v>51</v>
      </c>
      <c r="C157" s="285"/>
      <c r="D157" s="285"/>
      <c r="E157" s="285"/>
      <c r="F157" s="285"/>
      <c r="G157" s="285"/>
      <c r="H157" s="285"/>
      <c r="I157" s="285"/>
      <c r="J157" s="285"/>
      <c r="K157" s="285"/>
      <c r="L157" s="285"/>
      <c r="M157" s="285"/>
      <c r="N157" s="285"/>
      <c r="O157" s="285"/>
      <c r="P157" s="285"/>
      <c r="Q157" s="285"/>
      <c r="R157" s="285"/>
      <c r="S157" s="285"/>
      <c r="T157" s="348" t="s">
        <v>124</v>
      </c>
      <c r="U157" s="288"/>
      <c r="V157" s="5"/>
    </row>
    <row r="158" spans="1:22" ht="15.6" x14ac:dyDescent="0.3">
      <c r="A158" s="175"/>
      <c r="B158" s="334"/>
      <c r="C158" s="334"/>
      <c r="D158" s="334"/>
      <c r="E158" s="334"/>
      <c r="F158" s="334"/>
      <c r="G158" s="334"/>
      <c r="H158" s="334"/>
      <c r="I158" s="334"/>
      <c r="J158" s="334"/>
      <c r="K158" s="334"/>
      <c r="L158" s="334"/>
      <c r="M158" s="334"/>
      <c r="N158" s="334"/>
      <c r="O158" s="334"/>
      <c r="P158" s="334"/>
      <c r="Q158" s="334"/>
      <c r="R158" s="334"/>
      <c r="S158" s="334"/>
      <c r="T158" s="347"/>
      <c r="U158" s="334"/>
      <c r="V158" s="5"/>
    </row>
    <row r="159" spans="1:22" ht="15.6" x14ac:dyDescent="0.3">
      <c r="A159" s="175"/>
      <c r="B159" s="201" t="s">
        <v>52</v>
      </c>
      <c r="C159" s="177"/>
      <c r="D159" s="177"/>
      <c r="E159" s="177"/>
      <c r="F159" s="177"/>
      <c r="G159" s="177"/>
      <c r="H159" s="177"/>
      <c r="I159" s="177"/>
      <c r="J159" s="177"/>
      <c r="K159" s="177"/>
      <c r="L159" s="177"/>
      <c r="M159" s="177"/>
      <c r="N159" s="177"/>
      <c r="O159" s="177"/>
      <c r="P159" s="177"/>
      <c r="Q159" s="177"/>
      <c r="R159" s="177"/>
      <c r="S159" s="177"/>
      <c r="T159" s="202"/>
      <c r="U159" s="177"/>
      <c r="V159" s="5"/>
    </row>
    <row r="160" spans="1:22" ht="15.6" x14ac:dyDescent="0.3">
      <c r="A160" s="284"/>
      <c r="B160" s="285" t="s">
        <v>53</v>
      </c>
      <c r="C160" s="285"/>
      <c r="D160" s="285"/>
      <c r="E160" s="285"/>
      <c r="F160" s="285"/>
      <c r="G160" s="285"/>
      <c r="H160" s="285"/>
      <c r="I160" s="285"/>
      <c r="J160" s="285"/>
      <c r="K160" s="285"/>
      <c r="L160" s="285"/>
      <c r="M160" s="285"/>
      <c r="N160" s="285"/>
      <c r="O160" s="285"/>
      <c r="P160" s="285"/>
      <c r="Q160" s="285"/>
      <c r="R160" s="285"/>
      <c r="S160" s="285"/>
      <c r="T160" s="339">
        <v>0</v>
      </c>
      <c r="U160" s="288"/>
      <c r="V160" s="5"/>
    </row>
    <row r="161" spans="1:22" ht="15.6" x14ac:dyDescent="0.3">
      <c r="A161" s="284"/>
      <c r="B161" s="285" t="s">
        <v>54</v>
      </c>
      <c r="C161" s="285"/>
      <c r="D161" s="285"/>
      <c r="E161" s="285"/>
      <c r="F161" s="285"/>
      <c r="G161" s="285"/>
      <c r="H161" s="285"/>
      <c r="I161" s="285"/>
      <c r="J161" s="285"/>
      <c r="K161" s="285"/>
      <c r="L161" s="285"/>
      <c r="M161" s="285"/>
      <c r="N161" s="285"/>
      <c r="O161" s="285"/>
      <c r="P161" s="285"/>
      <c r="Q161" s="285"/>
      <c r="R161" s="285"/>
      <c r="S161" s="285"/>
      <c r="T161" s="339">
        <f>R112</f>
        <v>26</v>
      </c>
      <c r="U161" s="288"/>
      <c r="V161" s="5"/>
    </row>
    <row r="162" spans="1:22" ht="15.6" x14ac:dyDescent="0.3">
      <c r="A162" s="284"/>
      <c r="B162" s="285" t="s">
        <v>55</v>
      </c>
      <c r="C162" s="285"/>
      <c r="D162" s="285"/>
      <c r="E162" s="285"/>
      <c r="F162" s="285"/>
      <c r="G162" s="285"/>
      <c r="H162" s="285"/>
      <c r="I162" s="285"/>
      <c r="J162" s="285"/>
      <c r="K162" s="285"/>
      <c r="L162" s="285"/>
      <c r="M162" s="285"/>
      <c r="N162" s="285"/>
      <c r="O162" s="285"/>
      <c r="P162" s="285"/>
      <c r="Q162" s="285"/>
      <c r="R162" s="285"/>
      <c r="S162" s="285"/>
      <c r="T162" s="339">
        <f>T161+T160</f>
        <v>26</v>
      </c>
      <c r="U162" s="288"/>
      <c r="V162" s="5"/>
    </row>
    <row r="163" spans="1:22" ht="15.6" x14ac:dyDescent="0.3">
      <c r="A163" s="284"/>
      <c r="B163" s="285" t="s">
        <v>301</v>
      </c>
      <c r="C163" s="285"/>
      <c r="D163" s="285"/>
      <c r="E163" s="285"/>
      <c r="F163" s="285"/>
      <c r="G163" s="285"/>
      <c r="H163" s="285"/>
      <c r="I163" s="285"/>
      <c r="J163" s="285"/>
      <c r="K163" s="285"/>
      <c r="L163" s="285"/>
      <c r="M163" s="285"/>
      <c r="N163" s="285"/>
      <c r="O163" s="285"/>
      <c r="P163" s="285"/>
      <c r="Q163" s="285"/>
      <c r="R163" s="285"/>
      <c r="S163" s="285"/>
      <c r="T163" s="339">
        <f>T112</f>
        <v>-26</v>
      </c>
      <c r="U163" s="288"/>
      <c r="V163" s="5"/>
    </row>
    <row r="164" spans="1:22" ht="15.6" x14ac:dyDescent="0.3">
      <c r="A164" s="284"/>
      <c r="B164" s="285" t="s">
        <v>56</v>
      </c>
      <c r="C164" s="285"/>
      <c r="D164" s="285"/>
      <c r="E164" s="285"/>
      <c r="F164" s="285"/>
      <c r="G164" s="285"/>
      <c r="H164" s="285"/>
      <c r="I164" s="285"/>
      <c r="J164" s="285"/>
      <c r="K164" s="285"/>
      <c r="L164" s="285"/>
      <c r="M164" s="285"/>
      <c r="N164" s="285"/>
      <c r="O164" s="285"/>
      <c r="P164" s="285"/>
      <c r="Q164" s="285"/>
      <c r="R164" s="285"/>
      <c r="S164" s="285"/>
      <c r="T164" s="339">
        <f>T162+T163</f>
        <v>0</v>
      </c>
      <c r="U164" s="288"/>
      <c r="V164" s="5"/>
    </row>
    <row r="165" spans="1:22" ht="15.6" x14ac:dyDescent="0.3">
      <c r="A165" s="284"/>
      <c r="B165" s="285" t="s">
        <v>273</v>
      </c>
      <c r="C165" s="285"/>
      <c r="D165" s="285"/>
      <c r="E165" s="285"/>
      <c r="F165" s="285"/>
      <c r="G165" s="285"/>
      <c r="H165" s="285"/>
      <c r="I165" s="285"/>
      <c r="J165" s="285"/>
      <c r="K165" s="285"/>
      <c r="L165" s="285"/>
      <c r="M165" s="285"/>
      <c r="N165" s="285"/>
      <c r="O165" s="285"/>
      <c r="P165" s="285"/>
      <c r="Q165" s="285"/>
      <c r="R165" s="285"/>
      <c r="S165" s="285"/>
      <c r="T165" s="339">
        <f>-T99</f>
        <v>101</v>
      </c>
      <c r="U165" s="288"/>
      <c r="V165" s="5"/>
    </row>
    <row r="166" spans="1:22" ht="16.2" thickBot="1" x14ac:dyDescent="0.35">
      <c r="A166" s="175"/>
      <c r="B166" s="334"/>
      <c r="C166" s="334"/>
      <c r="D166" s="334"/>
      <c r="E166" s="334"/>
      <c r="F166" s="334"/>
      <c r="G166" s="334"/>
      <c r="H166" s="334"/>
      <c r="I166" s="334"/>
      <c r="J166" s="334"/>
      <c r="K166" s="334"/>
      <c r="L166" s="334"/>
      <c r="M166" s="334"/>
      <c r="N166" s="334"/>
      <c r="O166" s="334"/>
      <c r="P166" s="334"/>
      <c r="Q166" s="334"/>
      <c r="R166" s="334"/>
      <c r="S166" s="334"/>
      <c r="T166" s="347"/>
      <c r="U166" s="334"/>
      <c r="V166" s="5"/>
    </row>
    <row r="167" spans="1:22" ht="15.6" x14ac:dyDescent="0.3">
      <c r="A167" s="173"/>
      <c r="B167" s="174"/>
      <c r="C167" s="174"/>
      <c r="D167" s="174"/>
      <c r="E167" s="174"/>
      <c r="F167" s="174"/>
      <c r="G167" s="174"/>
      <c r="H167" s="174"/>
      <c r="I167" s="174"/>
      <c r="J167" s="174"/>
      <c r="K167" s="174"/>
      <c r="L167" s="174"/>
      <c r="M167" s="174"/>
      <c r="N167" s="174"/>
      <c r="O167" s="174"/>
      <c r="P167" s="174"/>
      <c r="Q167" s="174"/>
      <c r="R167" s="174"/>
      <c r="S167" s="174"/>
      <c r="T167" s="193"/>
      <c r="U167" s="174"/>
      <c r="V167" s="5"/>
    </row>
    <row r="168" spans="1:22" ht="15.6" x14ac:dyDescent="0.3">
      <c r="A168" s="175"/>
      <c r="B168" s="201" t="s">
        <v>57</v>
      </c>
      <c r="C168" s="177"/>
      <c r="D168" s="177"/>
      <c r="E168" s="177"/>
      <c r="F168" s="177"/>
      <c r="G168" s="177"/>
      <c r="H168" s="177"/>
      <c r="I168" s="177"/>
      <c r="J168" s="177"/>
      <c r="K168" s="177"/>
      <c r="L168" s="177"/>
      <c r="M168" s="177"/>
      <c r="N168" s="177"/>
      <c r="O168" s="177"/>
      <c r="P168" s="177"/>
      <c r="Q168" s="177"/>
      <c r="R168" s="177"/>
      <c r="S168" s="177"/>
      <c r="T168" s="194"/>
      <c r="U168" s="177"/>
      <c r="V168" s="5"/>
    </row>
    <row r="169" spans="1:22" ht="15.6" x14ac:dyDescent="0.3">
      <c r="A169" s="175"/>
      <c r="B169" s="187"/>
      <c r="C169" s="177"/>
      <c r="D169" s="177"/>
      <c r="E169" s="177"/>
      <c r="F169" s="177"/>
      <c r="G169" s="177"/>
      <c r="H169" s="177"/>
      <c r="I169" s="177"/>
      <c r="J169" s="177"/>
      <c r="K169" s="177"/>
      <c r="L169" s="177"/>
      <c r="M169" s="177"/>
      <c r="N169" s="177"/>
      <c r="O169" s="177"/>
      <c r="P169" s="177"/>
      <c r="Q169" s="177"/>
      <c r="R169" s="177"/>
      <c r="S169" s="177"/>
      <c r="T169" s="194"/>
      <c r="U169" s="177"/>
      <c r="V169" s="5"/>
    </row>
    <row r="170" spans="1:22" ht="15.6" x14ac:dyDescent="0.3">
      <c r="A170" s="284"/>
      <c r="B170" s="285" t="s">
        <v>58</v>
      </c>
      <c r="C170" s="285"/>
      <c r="D170" s="285"/>
      <c r="E170" s="285"/>
      <c r="F170" s="285"/>
      <c r="G170" s="285"/>
      <c r="H170" s="285"/>
      <c r="I170" s="285"/>
      <c r="J170" s="285"/>
      <c r="K170" s="285"/>
      <c r="L170" s="285"/>
      <c r="M170" s="285"/>
      <c r="N170" s="285"/>
      <c r="O170" s="285"/>
      <c r="P170" s="285"/>
      <c r="Q170" s="285"/>
      <c r="R170" s="285"/>
      <c r="S170" s="285"/>
      <c r="T170" s="339">
        <f>T71</f>
        <v>596913</v>
      </c>
      <c r="U170" s="288"/>
      <c r="V170" s="5"/>
    </row>
    <row r="171" spans="1:22" ht="15.6" x14ac:dyDescent="0.3">
      <c r="A171" s="284"/>
      <c r="B171" s="285" t="s">
        <v>59</v>
      </c>
      <c r="C171" s="285"/>
      <c r="D171" s="285"/>
      <c r="E171" s="285"/>
      <c r="F171" s="285"/>
      <c r="G171" s="285"/>
      <c r="H171" s="285"/>
      <c r="I171" s="285"/>
      <c r="J171" s="285"/>
      <c r="K171" s="285"/>
      <c r="L171" s="285"/>
      <c r="M171" s="285"/>
      <c r="N171" s="285"/>
      <c r="O171" s="285"/>
      <c r="P171" s="285"/>
      <c r="Q171" s="285"/>
      <c r="R171" s="285"/>
      <c r="S171" s="285"/>
      <c r="T171" s="339">
        <f>T84</f>
        <v>596913</v>
      </c>
      <c r="U171" s="288"/>
      <c r="V171" s="5"/>
    </row>
    <row r="172" spans="1:22" ht="16.2" thickBot="1" x14ac:dyDescent="0.35">
      <c r="A172" s="175"/>
      <c r="B172" s="334"/>
      <c r="C172" s="334"/>
      <c r="D172" s="334"/>
      <c r="E172" s="334"/>
      <c r="F172" s="334"/>
      <c r="G172" s="334"/>
      <c r="H172" s="334"/>
      <c r="I172" s="334"/>
      <c r="J172" s="334"/>
      <c r="K172" s="334"/>
      <c r="L172" s="334"/>
      <c r="M172" s="334"/>
      <c r="N172" s="334"/>
      <c r="O172" s="334"/>
      <c r="P172" s="334"/>
      <c r="Q172" s="334"/>
      <c r="R172" s="334"/>
      <c r="S172" s="334"/>
      <c r="T172" s="347"/>
      <c r="U172" s="334"/>
      <c r="V172" s="5"/>
    </row>
    <row r="173" spans="1:22" ht="15.6" x14ac:dyDescent="0.3">
      <c r="A173" s="173"/>
      <c r="B173" s="174"/>
      <c r="C173" s="174"/>
      <c r="D173" s="174"/>
      <c r="E173" s="174"/>
      <c r="F173" s="174"/>
      <c r="G173" s="174"/>
      <c r="H173" s="174"/>
      <c r="I173" s="174"/>
      <c r="J173" s="174"/>
      <c r="K173" s="174"/>
      <c r="L173" s="174"/>
      <c r="M173" s="174"/>
      <c r="N173" s="174"/>
      <c r="O173" s="174"/>
      <c r="P173" s="174"/>
      <c r="Q173" s="174"/>
      <c r="R173" s="174"/>
      <c r="S173" s="174"/>
      <c r="T173" s="193"/>
      <c r="U173" s="174"/>
      <c r="V173" s="5"/>
    </row>
    <row r="174" spans="1:22" ht="15.6" x14ac:dyDescent="0.3">
      <c r="A174" s="175"/>
      <c r="B174" s="201" t="s">
        <v>60</v>
      </c>
      <c r="C174" s="198"/>
      <c r="D174" s="198"/>
      <c r="E174" s="198"/>
      <c r="F174" s="198"/>
      <c r="G174" s="198"/>
      <c r="H174" s="203"/>
      <c r="I174" s="203"/>
      <c r="J174" s="203"/>
      <c r="K174" s="203"/>
      <c r="L174" s="203"/>
      <c r="M174" s="203"/>
      <c r="N174" s="203"/>
      <c r="O174" s="203"/>
      <c r="P174" s="203"/>
      <c r="Q174" s="203" t="s">
        <v>104</v>
      </c>
      <c r="R174" s="203" t="s">
        <v>183</v>
      </c>
      <c r="S174" s="179"/>
      <c r="T174" s="204" t="s">
        <v>120</v>
      </c>
      <c r="U174" s="205"/>
      <c r="V174" s="5"/>
    </row>
    <row r="175" spans="1:22" ht="15.6" x14ac:dyDescent="0.3">
      <c r="A175" s="284"/>
      <c r="B175" s="285" t="s">
        <v>61</v>
      </c>
      <c r="C175" s="285"/>
      <c r="D175" s="285"/>
      <c r="E175" s="285"/>
      <c r="F175" s="285"/>
      <c r="G175" s="285"/>
      <c r="H175" s="285"/>
      <c r="I175" s="285"/>
      <c r="J175" s="285"/>
      <c r="K175" s="285"/>
      <c r="L175" s="285"/>
      <c r="M175" s="285"/>
      <c r="N175" s="285"/>
      <c r="O175" s="285"/>
      <c r="P175" s="285"/>
      <c r="Q175" s="339">
        <v>160008</v>
      </c>
      <c r="R175" s="324"/>
      <c r="S175" s="285"/>
      <c r="T175" s="339"/>
      <c r="U175" s="288"/>
      <c r="V175" s="5"/>
    </row>
    <row r="176" spans="1:22" ht="15.6" x14ac:dyDescent="0.3">
      <c r="A176" s="284"/>
      <c r="B176" s="285" t="s">
        <v>62</v>
      </c>
      <c r="C176" s="285"/>
      <c r="D176" s="285"/>
      <c r="E176" s="285"/>
      <c r="F176" s="285"/>
      <c r="G176" s="285"/>
      <c r="H176" s="285"/>
      <c r="I176" s="285"/>
      <c r="J176" s="285"/>
      <c r="K176" s="285"/>
      <c r="L176" s="285"/>
      <c r="M176" s="285"/>
      <c r="N176" s="285"/>
      <c r="O176" s="285"/>
      <c r="P176" s="285"/>
      <c r="Q176" s="339">
        <f>+'March 10'!Q179</f>
        <v>35498</v>
      </c>
      <c r="R176" s="339">
        <f>+'March 10'!R179</f>
        <v>3447</v>
      </c>
      <c r="S176" s="285"/>
      <c r="T176" s="339">
        <f>Q176+R176</f>
        <v>38945</v>
      </c>
      <c r="U176" s="288"/>
      <c r="V176" s="5"/>
    </row>
    <row r="177" spans="1:22" ht="15.6" x14ac:dyDescent="0.3">
      <c r="A177" s="284"/>
      <c r="B177" s="285" t="s">
        <v>63</v>
      </c>
      <c r="C177" s="285"/>
      <c r="D177" s="285"/>
      <c r="E177" s="285"/>
      <c r="F177" s="285"/>
      <c r="G177" s="285"/>
      <c r="H177" s="285"/>
      <c r="I177" s="285"/>
      <c r="J177" s="285"/>
      <c r="K177" s="285"/>
      <c r="L177" s="285"/>
      <c r="M177" s="285"/>
      <c r="N177" s="285"/>
      <c r="O177" s="285"/>
      <c r="P177" s="285"/>
      <c r="Q177" s="338">
        <f>470+1</f>
        <v>471</v>
      </c>
      <c r="R177" s="338">
        <v>0</v>
      </c>
      <c r="S177" s="285"/>
      <c r="T177" s="339">
        <f>Q177+R177</f>
        <v>471</v>
      </c>
      <c r="U177" s="288"/>
      <c r="V177" s="5"/>
    </row>
    <row r="178" spans="1:22" ht="15.6" x14ac:dyDescent="0.3">
      <c r="A178" s="284"/>
      <c r="B178" s="285" t="s">
        <v>64</v>
      </c>
      <c r="C178" s="285"/>
      <c r="D178" s="285"/>
      <c r="E178" s="285"/>
      <c r="F178" s="285"/>
      <c r="G178" s="285"/>
      <c r="H178" s="285"/>
      <c r="I178" s="285"/>
      <c r="J178" s="285"/>
      <c r="K178" s="285"/>
      <c r="L178" s="285"/>
      <c r="M178" s="285"/>
      <c r="N178" s="285"/>
      <c r="O178" s="285"/>
      <c r="P178" s="285"/>
      <c r="Q178" s="339">
        <f>Q176+Q177</f>
        <v>35969</v>
      </c>
      <c r="R178" s="339">
        <f>R177+R176</f>
        <v>3447</v>
      </c>
      <c r="S178" s="285"/>
      <c r="T178" s="339">
        <f>Q178+R178</f>
        <v>39416</v>
      </c>
      <c r="U178" s="288"/>
      <c r="V178" s="5"/>
    </row>
    <row r="179" spans="1:22" ht="15.6" x14ac:dyDescent="0.3">
      <c r="A179" s="284"/>
      <c r="B179" s="285" t="s">
        <v>65</v>
      </c>
      <c r="C179" s="285"/>
      <c r="D179" s="285"/>
      <c r="E179" s="285"/>
      <c r="F179" s="285"/>
      <c r="G179" s="285"/>
      <c r="H179" s="285"/>
      <c r="I179" s="285"/>
      <c r="J179" s="285"/>
      <c r="K179" s="285"/>
      <c r="L179" s="285"/>
      <c r="M179" s="285"/>
      <c r="N179" s="285"/>
      <c r="O179" s="285"/>
      <c r="P179" s="285"/>
      <c r="Q179" s="339">
        <f>Q175-Q178-R178</f>
        <v>120592</v>
      </c>
      <c r="R179" s="324"/>
      <c r="S179" s="285"/>
      <c r="T179" s="339"/>
      <c r="U179" s="288"/>
      <c r="V179" s="5"/>
    </row>
    <row r="180" spans="1:22" ht="16.2" thickBot="1" x14ac:dyDescent="0.35">
      <c r="A180" s="175"/>
      <c r="B180" s="334"/>
      <c r="C180" s="334"/>
      <c r="D180" s="334"/>
      <c r="E180" s="334"/>
      <c r="F180" s="334"/>
      <c r="G180" s="334"/>
      <c r="H180" s="334"/>
      <c r="I180" s="334"/>
      <c r="J180" s="334"/>
      <c r="K180" s="334"/>
      <c r="L180" s="334"/>
      <c r="M180" s="334"/>
      <c r="N180" s="334"/>
      <c r="O180" s="334"/>
      <c r="P180" s="334"/>
      <c r="Q180" s="334"/>
      <c r="R180" s="334"/>
      <c r="S180" s="334"/>
      <c r="T180" s="347"/>
      <c r="U180" s="334"/>
      <c r="V180" s="5"/>
    </row>
    <row r="181" spans="1:22" ht="15.6" x14ac:dyDescent="0.3">
      <c r="A181" s="173"/>
      <c r="B181" s="174"/>
      <c r="C181" s="174"/>
      <c r="D181" s="174"/>
      <c r="E181" s="174"/>
      <c r="F181" s="174"/>
      <c r="G181" s="174"/>
      <c r="H181" s="174"/>
      <c r="I181" s="174"/>
      <c r="J181" s="174"/>
      <c r="K181" s="174"/>
      <c r="L181" s="174"/>
      <c r="M181" s="174"/>
      <c r="N181" s="174"/>
      <c r="O181" s="174"/>
      <c r="P181" s="174"/>
      <c r="Q181" s="174"/>
      <c r="R181" s="174"/>
      <c r="S181" s="174"/>
      <c r="T181" s="193"/>
      <c r="U181" s="174"/>
      <c r="V181" s="5"/>
    </row>
    <row r="182" spans="1:22" ht="15.6" x14ac:dyDescent="0.3">
      <c r="A182" s="175"/>
      <c r="B182" s="201" t="s">
        <v>66</v>
      </c>
      <c r="C182" s="177"/>
      <c r="D182" s="177"/>
      <c r="E182" s="177"/>
      <c r="F182" s="177"/>
      <c r="G182" s="177"/>
      <c r="H182" s="177"/>
      <c r="I182" s="177"/>
      <c r="J182" s="177"/>
      <c r="K182" s="177"/>
      <c r="L182" s="177"/>
      <c r="M182" s="177"/>
      <c r="N182" s="177"/>
      <c r="O182" s="177"/>
      <c r="P182" s="177"/>
      <c r="Q182" s="177"/>
      <c r="R182" s="177"/>
      <c r="S182" s="177"/>
      <c r="T182" s="206"/>
      <c r="U182" s="177"/>
      <c r="V182" s="5"/>
    </row>
    <row r="183" spans="1:22" ht="15.6" x14ac:dyDescent="0.3">
      <c r="A183" s="284"/>
      <c r="B183" s="285" t="s">
        <v>67</v>
      </c>
      <c r="C183" s="285"/>
      <c r="D183" s="285"/>
      <c r="E183" s="285"/>
      <c r="F183" s="285"/>
      <c r="G183" s="285"/>
      <c r="H183" s="285"/>
      <c r="I183" s="285"/>
      <c r="J183" s="285"/>
      <c r="K183" s="285"/>
      <c r="L183" s="285"/>
      <c r="M183" s="285"/>
      <c r="N183" s="285"/>
      <c r="O183" s="285"/>
      <c r="P183" s="285"/>
      <c r="Q183" s="285"/>
      <c r="R183" s="285"/>
      <c r="S183" s="285"/>
      <c r="T183" s="348">
        <f>(T100+T102+T103+T104+T105)/-(T106+T107)</f>
        <v>3.538716814159292</v>
      </c>
      <c r="U183" s="288" t="s">
        <v>121</v>
      </c>
      <c r="V183" s="5"/>
    </row>
    <row r="184" spans="1:22" ht="15.6" x14ac:dyDescent="0.3">
      <c r="A184" s="284"/>
      <c r="B184" s="285" t="s">
        <v>68</v>
      </c>
      <c r="C184" s="285"/>
      <c r="D184" s="285"/>
      <c r="E184" s="285"/>
      <c r="F184" s="285"/>
      <c r="G184" s="285"/>
      <c r="H184" s="285"/>
      <c r="I184" s="285"/>
      <c r="J184" s="285"/>
      <c r="K184" s="285"/>
      <c r="L184" s="285"/>
      <c r="M184" s="285"/>
      <c r="N184" s="285"/>
      <c r="O184" s="285"/>
      <c r="P184" s="285"/>
      <c r="Q184" s="285"/>
      <c r="R184" s="285"/>
      <c r="S184" s="285"/>
      <c r="T184" s="349">
        <v>1.52</v>
      </c>
      <c r="U184" s="288" t="s">
        <v>121</v>
      </c>
      <c r="V184" s="5"/>
    </row>
    <row r="185" spans="1:22" ht="15.6" x14ac:dyDescent="0.3">
      <c r="A185" s="284"/>
      <c r="B185" s="285" t="s">
        <v>69</v>
      </c>
      <c r="C185" s="285"/>
      <c r="D185" s="285"/>
      <c r="E185" s="285"/>
      <c r="F185" s="285"/>
      <c r="G185" s="285"/>
      <c r="H185" s="285"/>
      <c r="I185" s="285"/>
      <c r="J185" s="285"/>
      <c r="K185" s="285"/>
      <c r="L185" s="285"/>
      <c r="M185" s="285"/>
      <c r="N185" s="285"/>
      <c r="O185" s="285"/>
      <c r="P185" s="285"/>
      <c r="Q185" s="285"/>
      <c r="R185" s="285"/>
      <c r="S185" s="285"/>
      <c r="T185" s="348">
        <f>(T100+T102+T103+T104+T105+T106+T107)/-(T108+T109)</f>
        <v>14.079754601226995</v>
      </c>
      <c r="U185" s="288" t="s">
        <v>121</v>
      </c>
      <c r="V185" s="5"/>
    </row>
    <row r="186" spans="1:22" ht="15.6" x14ac:dyDescent="0.3">
      <c r="A186" s="284"/>
      <c r="B186" s="285" t="s">
        <v>70</v>
      </c>
      <c r="C186" s="285"/>
      <c r="D186" s="285"/>
      <c r="E186" s="285"/>
      <c r="F186" s="285"/>
      <c r="G186" s="285"/>
      <c r="H186" s="285"/>
      <c r="I186" s="285"/>
      <c r="J186" s="285"/>
      <c r="K186" s="285"/>
      <c r="L186" s="285"/>
      <c r="M186" s="285"/>
      <c r="N186" s="285"/>
      <c r="O186" s="285"/>
      <c r="P186" s="285"/>
      <c r="Q186" s="285"/>
      <c r="R186" s="285"/>
      <c r="S186" s="285"/>
      <c r="T186" s="349">
        <v>4.8600000000000003</v>
      </c>
      <c r="U186" s="288" t="s">
        <v>121</v>
      </c>
      <c r="V186" s="5"/>
    </row>
    <row r="187" spans="1:22" ht="15.6" x14ac:dyDescent="0.3">
      <c r="A187" s="284"/>
      <c r="B187" s="285" t="s">
        <v>206</v>
      </c>
      <c r="C187" s="285"/>
      <c r="D187" s="285"/>
      <c r="E187" s="285"/>
      <c r="F187" s="285"/>
      <c r="G187" s="285"/>
      <c r="H187" s="285"/>
      <c r="I187" s="285"/>
      <c r="J187" s="285"/>
      <c r="K187" s="285"/>
      <c r="L187" s="285"/>
      <c r="M187" s="285"/>
      <c r="N187" s="285"/>
      <c r="O187" s="285"/>
      <c r="P187" s="285"/>
      <c r="Q187" s="285"/>
      <c r="R187" s="285"/>
      <c r="S187" s="285"/>
      <c r="T187" s="348">
        <f>(T100+T102+T103+T104+T105+T106+T107+T108+T109)/-(T110)</f>
        <v>12.467836257309942</v>
      </c>
      <c r="U187" s="288" t="s">
        <v>121</v>
      </c>
      <c r="V187" s="5"/>
    </row>
    <row r="188" spans="1:22" ht="15.6" x14ac:dyDescent="0.3">
      <c r="A188" s="284"/>
      <c r="B188" s="285" t="s">
        <v>207</v>
      </c>
      <c r="C188" s="285"/>
      <c r="D188" s="285"/>
      <c r="E188" s="285"/>
      <c r="F188" s="285"/>
      <c r="G188" s="285"/>
      <c r="H188" s="285"/>
      <c r="I188" s="285"/>
      <c r="J188" s="285"/>
      <c r="K188" s="285"/>
      <c r="L188" s="285"/>
      <c r="M188" s="285"/>
      <c r="N188" s="285"/>
      <c r="O188" s="285"/>
      <c r="P188" s="285"/>
      <c r="Q188" s="285"/>
      <c r="R188" s="285"/>
      <c r="S188" s="285"/>
      <c r="T188" s="349">
        <v>4.42</v>
      </c>
      <c r="U188" s="288" t="s">
        <v>121</v>
      </c>
      <c r="V188" s="5"/>
    </row>
    <row r="189" spans="1:22" ht="15.6" x14ac:dyDescent="0.3">
      <c r="A189" s="284"/>
      <c r="B189" s="311"/>
      <c r="C189" s="311"/>
      <c r="D189" s="311"/>
      <c r="E189" s="311"/>
      <c r="F189" s="311"/>
      <c r="G189" s="311"/>
      <c r="H189" s="311"/>
      <c r="I189" s="311"/>
      <c r="J189" s="311"/>
      <c r="K189" s="311"/>
      <c r="L189" s="311"/>
      <c r="M189" s="311"/>
      <c r="N189" s="311"/>
      <c r="O189" s="311"/>
      <c r="P189" s="311"/>
      <c r="Q189" s="311"/>
      <c r="R189" s="311"/>
      <c r="S189" s="311"/>
      <c r="T189" s="311"/>
      <c r="U189" s="317"/>
      <c r="V189" s="5"/>
    </row>
    <row r="190" spans="1:22" ht="15.6" x14ac:dyDescent="0.3">
      <c r="A190" s="175"/>
      <c r="B190" s="334"/>
      <c r="C190" s="334"/>
      <c r="D190" s="334"/>
      <c r="E190" s="334"/>
      <c r="F190" s="334"/>
      <c r="G190" s="334"/>
      <c r="H190" s="334"/>
      <c r="I190" s="334"/>
      <c r="J190" s="334"/>
      <c r="K190" s="334"/>
      <c r="L190" s="334"/>
      <c r="M190" s="334"/>
      <c r="N190" s="334"/>
      <c r="O190" s="334"/>
      <c r="P190" s="334"/>
      <c r="Q190" s="334"/>
      <c r="R190" s="334"/>
      <c r="S190" s="334"/>
      <c r="T190" s="334"/>
      <c r="U190" s="334"/>
      <c r="V190" s="5"/>
    </row>
    <row r="191" spans="1:22" ht="15.6" x14ac:dyDescent="0.3">
      <c r="A191" s="175"/>
      <c r="B191" s="177"/>
      <c r="C191" s="177"/>
      <c r="D191" s="177"/>
      <c r="E191" s="177"/>
      <c r="F191" s="177"/>
      <c r="G191" s="177"/>
      <c r="H191" s="177"/>
      <c r="I191" s="177"/>
      <c r="J191" s="177"/>
      <c r="K191" s="177"/>
      <c r="L191" s="177"/>
      <c r="M191" s="177"/>
      <c r="N191" s="177"/>
      <c r="O191" s="177"/>
      <c r="P191" s="177"/>
      <c r="Q191" s="177"/>
      <c r="R191" s="177"/>
      <c r="S191" s="177"/>
      <c r="T191" s="177"/>
      <c r="U191" s="177"/>
      <c r="V191" s="5"/>
    </row>
    <row r="192" spans="1:22" ht="18" thickBot="1" x14ac:dyDescent="0.35">
      <c r="A192" s="192"/>
      <c r="B192" s="246" t="str">
        <f>B132</f>
        <v>PM11 INVESTOR REPORT QUARTER ENDING JUNE 2010</v>
      </c>
      <c r="C192" s="207"/>
      <c r="D192" s="207"/>
      <c r="E192" s="207"/>
      <c r="F192" s="207"/>
      <c r="G192" s="207"/>
      <c r="H192" s="207"/>
      <c r="I192" s="207"/>
      <c r="J192" s="207"/>
      <c r="K192" s="207"/>
      <c r="L192" s="207"/>
      <c r="M192" s="207"/>
      <c r="N192" s="207"/>
      <c r="O192" s="207"/>
      <c r="P192" s="207"/>
      <c r="Q192" s="207"/>
      <c r="R192" s="207"/>
      <c r="S192" s="207"/>
      <c r="T192" s="207"/>
      <c r="U192" s="208"/>
      <c r="V192" s="5"/>
    </row>
    <row r="193" spans="1:22" ht="15.6" x14ac:dyDescent="0.3">
      <c r="A193" s="260"/>
      <c r="B193" s="263" t="s">
        <v>71</v>
      </c>
      <c r="C193" s="264"/>
      <c r="D193" s="264"/>
      <c r="E193" s="264"/>
      <c r="F193" s="264"/>
      <c r="G193" s="265"/>
      <c r="H193" s="265"/>
      <c r="I193" s="265"/>
      <c r="J193" s="265"/>
      <c r="K193" s="265"/>
      <c r="L193" s="265"/>
      <c r="M193" s="265"/>
      <c r="N193" s="265"/>
      <c r="O193" s="265"/>
      <c r="P193" s="265"/>
      <c r="Q193" s="265"/>
      <c r="R193" s="265">
        <v>40359</v>
      </c>
      <c r="S193" s="261"/>
      <c r="T193" s="261"/>
      <c r="U193" s="261"/>
      <c r="V193" s="5"/>
    </row>
    <row r="194" spans="1:22" ht="15.6" x14ac:dyDescent="0.3">
      <c r="A194" s="209"/>
      <c r="B194" s="210"/>
      <c r="C194" s="211"/>
      <c r="D194" s="211"/>
      <c r="E194" s="211"/>
      <c r="F194" s="211"/>
      <c r="G194" s="212"/>
      <c r="H194" s="212"/>
      <c r="I194" s="212"/>
      <c r="J194" s="212"/>
      <c r="K194" s="212"/>
      <c r="L194" s="212"/>
      <c r="M194" s="212"/>
      <c r="N194" s="212"/>
      <c r="O194" s="212"/>
      <c r="P194" s="212"/>
      <c r="Q194" s="212"/>
      <c r="R194" s="212"/>
      <c r="S194" s="177"/>
      <c r="T194" s="177"/>
      <c r="U194" s="177"/>
      <c r="V194" s="5"/>
    </row>
    <row r="195" spans="1:22" ht="15.6" x14ac:dyDescent="0.3">
      <c r="A195" s="352"/>
      <c r="B195" s="285" t="s">
        <v>72</v>
      </c>
      <c r="C195" s="353"/>
      <c r="D195" s="353"/>
      <c r="E195" s="353"/>
      <c r="F195" s="353"/>
      <c r="G195" s="329"/>
      <c r="H195" s="329"/>
      <c r="I195" s="329"/>
      <c r="J195" s="329"/>
      <c r="K195" s="329"/>
      <c r="L195" s="329"/>
      <c r="M195" s="329"/>
      <c r="N195" s="329"/>
      <c r="O195" s="329"/>
      <c r="P195" s="329"/>
      <c r="Q195" s="329"/>
      <c r="R195" s="320">
        <v>5.1569999999999998E-2</v>
      </c>
      <c r="S195" s="285"/>
      <c r="T195" s="285"/>
      <c r="U195" s="317"/>
      <c r="V195" s="5"/>
    </row>
    <row r="196" spans="1:22" ht="15.6" x14ac:dyDescent="0.3">
      <c r="A196" s="352"/>
      <c r="B196" s="285" t="s">
        <v>157</v>
      </c>
      <c r="C196" s="353"/>
      <c r="D196" s="353"/>
      <c r="E196" s="353"/>
      <c r="F196" s="353"/>
      <c r="G196" s="329"/>
      <c r="H196" s="329"/>
      <c r="I196" s="329"/>
      <c r="J196" s="329"/>
      <c r="K196" s="329"/>
      <c r="L196" s="329"/>
      <c r="M196" s="329"/>
      <c r="N196" s="329"/>
      <c r="O196" s="329"/>
      <c r="P196" s="329"/>
      <c r="Q196" s="329"/>
      <c r="R196" s="320">
        <v>4.6899999999999997E-2</v>
      </c>
      <c r="S196" s="285"/>
      <c r="T196" s="285"/>
      <c r="U196" s="317"/>
      <c r="V196" s="5"/>
    </row>
    <row r="197" spans="1:22" ht="15.6" x14ac:dyDescent="0.3">
      <c r="A197" s="352"/>
      <c r="B197" s="285" t="s">
        <v>73</v>
      </c>
      <c r="C197" s="353"/>
      <c r="D197" s="353"/>
      <c r="E197" s="353"/>
      <c r="F197" s="353"/>
      <c r="G197" s="329"/>
      <c r="H197" s="329"/>
      <c r="I197" s="329"/>
      <c r="J197" s="329"/>
      <c r="K197" s="329"/>
      <c r="L197" s="329"/>
      <c r="M197" s="329"/>
      <c r="N197" s="329"/>
      <c r="O197" s="329"/>
      <c r="P197" s="329"/>
      <c r="Q197" s="329"/>
      <c r="R197" s="320">
        <f>R195-R196</f>
        <v>4.6700000000000005E-3</v>
      </c>
      <c r="S197" s="285"/>
      <c r="T197" s="285"/>
      <c r="U197" s="317"/>
      <c r="V197" s="5"/>
    </row>
    <row r="198" spans="1:22" ht="15.6" x14ac:dyDescent="0.3">
      <c r="A198" s="352"/>
      <c r="B198" s="285" t="s">
        <v>74</v>
      </c>
      <c r="C198" s="353"/>
      <c r="D198" s="353"/>
      <c r="E198" s="353"/>
      <c r="F198" s="353"/>
      <c r="G198" s="329"/>
      <c r="H198" s="329"/>
      <c r="I198" s="329"/>
      <c r="J198" s="329"/>
      <c r="K198" s="329"/>
      <c r="L198" s="329"/>
      <c r="M198" s="329"/>
      <c r="N198" s="329"/>
      <c r="O198" s="329"/>
      <c r="P198" s="329"/>
      <c r="Q198" s="329"/>
      <c r="R198" s="320">
        <v>2.811E-2</v>
      </c>
      <c r="S198" s="285"/>
      <c r="T198" s="285"/>
      <c r="U198" s="317"/>
      <c r="V198" s="5"/>
    </row>
    <row r="199" spans="1:22" ht="15.6" x14ac:dyDescent="0.3">
      <c r="A199" s="352"/>
      <c r="B199" s="285" t="s">
        <v>257</v>
      </c>
      <c r="C199" s="353"/>
      <c r="D199" s="353"/>
      <c r="E199" s="353"/>
      <c r="F199" s="353"/>
      <c r="G199" s="329"/>
      <c r="H199" s="329"/>
      <c r="I199" s="329"/>
      <c r="J199" s="329"/>
      <c r="K199" s="329"/>
      <c r="L199" s="329"/>
      <c r="M199" s="329"/>
      <c r="N199" s="329"/>
      <c r="O199" s="329"/>
      <c r="P199" s="329"/>
      <c r="Q199" s="329"/>
      <c r="R199" s="320">
        <f>T43</f>
        <v>8.2564572562793519E-3</v>
      </c>
      <c r="S199" s="285"/>
      <c r="T199" s="285"/>
      <c r="U199" s="317"/>
      <c r="V199" s="5"/>
    </row>
    <row r="200" spans="1:22" ht="15.6" x14ac:dyDescent="0.3">
      <c r="A200" s="352"/>
      <c r="B200" s="285" t="s">
        <v>75</v>
      </c>
      <c r="C200" s="353"/>
      <c r="D200" s="353"/>
      <c r="E200" s="353"/>
      <c r="F200" s="353"/>
      <c r="G200" s="329"/>
      <c r="H200" s="329"/>
      <c r="I200" s="329"/>
      <c r="J200" s="329"/>
      <c r="K200" s="329"/>
      <c r="L200" s="329"/>
      <c r="M200" s="329"/>
      <c r="N200" s="329"/>
      <c r="O200" s="329"/>
      <c r="P200" s="329"/>
      <c r="Q200" s="329"/>
      <c r="R200" s="320">
        <f>R198-R199</f>
        <v>1.9853542743720649E-2</v>
      </c>
      <c r="S200" s="285"/>
      <c r="T200" s="285"/>
      <c r="U200" s="317"/>
      <c r="V200" s="5"/>
    </row>
    <row r="201" spans="1:22" ht="15.6" x14ac:dyDescent="0.3">
      <c r="A201" s="352"/>
      <c r="B201" s="285" t="s">
        <v>260</v>
      </c>
      <c r="C201" s="353"/>
      <c r="D201" s="353"/>
      <c r="E201" s="353"/>
      <c r="F201" s="353"/>
      <c r="G201" s="329"/>
      <c r="H201" s="329"/>
      <c r="I201" s="329"/>
      <c r="J201" s="329"/>
      <c r="K201" s="329"/>
      <c r="L201" s="329"/>
      <c r="M201" s="329"/>
      <c r="N201" s="329"/>
      <c r="O201" s="329"/>
      <c r="P201" s="329"/>
      <c r="Q201" s="329"/>
      <c r="R201" s="320">
        <f>+T100/L71</f>
        <v>7.374422808000625E-3</v>
      </c>
      <c r="S201" s="285"/>
      <c r="T201" s="285"/>
      <c r="U201" s="317"/>
      <c r="V201" s="5"/>
    </row>
    <row r="202" spans="1:22" ht="15.6" x14ac:dyDescent="0.3">
      <c r="A202" s="352"/>
      <c r="B202" s="285" t="s">
        <v>217</v>
      </c>
      <c r="C202" s="353"/>
      <c r="D202" s="353"/>
      <c r="E202" s="353"/>
      <c r="F202" s="353"/>
      <c r="G202" s="329"/>
      <c r="H202" s="329"/>
      <c r="I202" s="329"/>
      <c r="J202" s="329"/>
      <c r="K202" s="329"/>
      <c r="L202" s="329"/>
      <c r="M202" s="329"/>
      <c r="N202" s="329"/>
      <c r="O202" s="329"/>
      <c r="P202" s="329"/>
      <c r="Q202" s="329"/>
      <c r="R202" s="354">
        <v>15250</v>
      </c>
      <c r="S202" s="285"/>
      <c r="T202" s="285"/>
      <c r="U202" s="317"/>
      <c r="V202" s="5"/>
    </row>
    <row r="203" spans="1:22" ht="15.6" x14ac:dyDescent="0.3">
      <c r="A203" s="352"/>
      <c r="B203" s="285" t="s">
        <v>218</v>
      </c>
      <c r="C203" s="353"/>
      <c r="D203" s="353"/>
      <c r="E203" s="353"/>
      <c r="F203" s="353"/>
      <c r="G203" s="329"/>
      <c r="H203" s="329"/>
      <c r="I203" s="329"/>
      <c r="J203" s="329"/>
      <c r="K203" s="329"/>
      <c r="L203" s="329"/>
      <c r="M203" s="329"/>
      <c r="N203" s="329"/>
      <c r="O203" s="329"/>
      <c r="P203" s="329"/>
      <c r="Q203" s="329"/>
      <c r="R203" s="354">
        <v>15250</v>
      </c>
      <c r="S203" s="285"/>
      <c r="T203" s="285"/>
      <c r="U203" s="317"/>
      <c r="V203" s="5"/>
    </row>
    <row r="204" spans="1:22" ht="15.6" x14ac:dyDescent="0.3">
      <c r="A204" s="352"/>
      <c r="B204" s="285" t="s">
        <v>219</v>
      </c>
      <c r="C204" s="353"/>
      <c r="D204" s="353"/>
      <c r="E204" s="353"/>
      <c r="F204" s="353"/>
      <c r="G204" s="329"/>
      <c r="H204" s="329"/>
      <c r="I204" s="329"/>
      <c r="J204" s="329"/>
      <c r="K204" s="329"/>
      <c r="L204" s="329"/>
      <c r="M204" s="329"/>
      <c r="N204" s="329"/>
      <c r="O204" s="329"/>
      <c r="P204" s="329"/>
      <c r="Q204" s="329"/>
      <c r="R204" s="354">
        <v>15250</v>
      </c>
      <c r="S204" s="285"/>
      <c r="T204" s="285"/>
      <c r="U204" s="317"/>
      <c r="V204" s="5"/>
    </row>
    <row r="205" spans="1:22" ht="15.6" x14ac:dyDescent="0.3">
      <c r="A205" s="352"/>
      <c r="B205" s="285" t="s">
        <v>76</v>
      </c>
      <c r="C205" s="353"/>
      <c r="D205" s="353"/>
      <c r="E205" s="353"/>
      <c r="F205" s="353"/>
      <c r="G205" s="329"/>
      <c r="H205" s="329"/>
      <c r="I205" s="329"/>
      <c r="J205" s="329"/>
      <c r="K205" s="329"/>
      <c r="L205" s="329"/>
      <c r="M205" s="329"/>
      <c r="N205" s="329"/>
      <c r="O205" s="329"/>
      <c r="P205" s="329"/>
      <c r="Q205" s="329"/>
      <c r="R205" s="326">
        <v>21.18</v>
      </c>
      <c r="S205" s="285" t="s">
        <v>116</v>
      </c>
      <c r="T205" s="285"/>
      <c r="U205" s="317"/>
      <c r="V205" s="5"/>
    </row>
    <row r="206" spans="1:22" ht="15.6" x14ac:dyDescent="0.3">
      <c r="A206" s="352"/>
      <c r="B206" s="285" t="s">
        <v>77</v>
      </c>
      <c r="C206" s="353"/>
      <c r="D206" s="353"/>
      <c r="E206" s="353"/>
      <c r="F206" s="353"/>
      <c r="G206" s="329"/>
      <c r="H206" s="329"/>
      <c r="I206" s="329"/>
      <c r="J206" s="329"/>
      <c r="K206" s="329"/>
      <c r="L206" s="329"/>
      <c r="M206" s="329"/>
      <c r="N206" s="329"/>
      <c r="O206" s="329"/>
      <c r="P206" s="329"/>
      <c r="Q206" s="329"/>
      <c r="R206" s="326">
        <v>17.02</v>
      </c>
      <c r="S206" s="285" t="s">
        <v>116</v>
      </c>
      <c r="T206" s="285"/>
      <c r="U206" s="317"/>
      <c r="V206" s="5"/>
    </row>
    <row r="207" spans="1:22" ht="15.6" x14ac:dyDescent="0.3">
      <c r="A207" s="352"/>
      <c r="B207" s="285" t="s">
        <v>78</v>
      </c>
      <c r="C207" s="353"/>
      <c r="D207" s="353"/>
      <c r="E207" s="353"/>
      <c r="F207" s="353"/>
      <c r="G207" s="329"/>
      <c r="H207" s="329"/>
      <c r="I207" s="329"/>
      <c r="J207" s="329"/>
      <c r="K207" s="329"/>
      <c r="L207" s="329"/>
      <c r="M207" s="329"/>
      <c r="N207" s="329"/>
      <c r="O207" s="329"/>
      <c r="P207" s="329"/>
      <c r="Q207" s="329"/>
      <c r="R207" s="320">
        <f>N68/L68</f>
        <v>8.2856254458324955E-3</v>
      </c>
      <c r="S207" s="285"/>
      <c r="T207" s="285"/>
      <c r="U207" s="317"/>
      <c r="V207" s="5"/>
    </row>
    <row r="208" spans="1:22" ht="15.6" x14ac:dyDescent="0.3">
      <c r="A208" s="352"/>
      <c r="B208" s="285" t="s">
        <v>79</v>
      </c>
      <c r="C208" s="353"/>
      <c r="D208" s="353"/>
      <c r="E208" s="353"/>
      <c r="F208" s="353"/>
      <c r="G208" s="329"/>
      <c r="H208" s="329"/>
      <c r="I208" s="329"/>
      <c r="J208" s="329"/>
      <c r="K208" s="329"/>
      <c r="L208" s="329"/>
      <c r="M208" s="329"/>
      <c r="N208" s="329"/>
      <c r="O208" s="329"/>
      <c r="P208" s="329"/>
      <c r="Q208" s="329"/>
      <c r="R208" s="320">
        <v>0.1232</v>
      </c>
      <c r="S208" s="285"/>
      <c r="T208" s="285"/>
      <c r="U208" s="317"/>
      <c r="V208" s="5"/>
    </row>
    <row r="209" spans="1:22" ht="15.6" x14ac:dyDescent="0.3">
      <c r="A209" s="209"/>
      <c r="B209" s="350"/>
      <c r="C209" s="350"/>
      <c r="D209" s="350"/>
      <c r="E209" s="350"/>
      <c r="F209" s="350"/>
      <c r="G209" s="334"/>
      <c r="H209" s="334"/>
      <c r="I209" s="334"/>
      <c r="J209" s="334"/>
      <c r="K209" s="334"/>
      <c r="L209" s="334"/>
      <c r="M209" s="334"/>
      <c r="N209" s="334"/>
      <c r="O209" s="334"/>
      <c r="P209" s="334"/>
      <c r="Q209" s="334"/>
      <c r="R209" s="347"/>
      <c r="S209" s="334"/>
      <c r="T209" s="351"/>
      <c r="U209" s="334"/>
      <c r="V209" s="5"/>
    </row>
    <row r="210" spans="1:22" ht="15.6" x14ac:dyDescent="0.3">
      <c r="A210" s="266"/>
      <c r="B210" s="252" t="s">
        <v>80</v>
      </c>
      <c r="C210" s="253"/>
      <c r="D210" s="253"/>
      <c r="E210" s="253"/>
      <c r="F210" s="267"/>
      <c r="G210" s="253"/>
      <c r="H210" s="253"/>
      <c r="I210" s="253"/>
      <c r="J210" s="253"/>
      <c r="K210" s="253"/>
      <c r="L210" s="253"/>
      <c r="M210" s="253"/>
      <c r="N210" s="253"/>
      <c r="O210" s="253"/>
      <c r="P210" s="253"/>
      <c r="Q210" s="253" t="s">
        <v>105</v>
      </c>
      <c r="R210" s="267" t="s">
        <v>112</v>
      </c>
      <c r="S210" s="223"/>
      <c r="T210" s="223"/>
      <c r="U210" s="223"/>
      <c r="V210" s="5"/>
    </row>
    <row r="211" spans="1:22" ht="15.6" x14ac:dyDescent="0.3">
      <c r="A211" s="214"/>
      <c r="B211" s="239" t="s">
        <v>81</v>
      </c>
      <c r="C211" s="243"/>
      <c r="D211" s="243"/>
      <c r="E211" s="243"/>
      <c r="F211" s="239"/>
      <c r="G211" s="239"/>
      <c r="H211" s="242"/>
      <c r="I211" s="242"/>
      <c r="J211" s="242"/>
      <c r="K211" s="242"/>
      <c r="L211" s="242"/>
      <c r="M211" s="242"/>
      <c r="N211" s="242"/>
      <c r="O211" s="242"/>
      <c r="P211" s="242"/>
      <c r="Q211" s="242">
        <v>0</v>
      </c>
      <c r="R211" s="272">
        <v>0</v>
      </c>
      <c r="S211" s="239"/>
      <c r="T211" s="273"/>
      <c r="U211" s="215"/>
      <c r="V211" s="5"/>
    </row>
    <row r="212" spans="1:22" ht="15.6" x14ac:dyDescent="0.3">
      <c r="A212" s="360"/>
      <c r="B212" s="285" t="s">
        <v>151</v>
      </c>
      <c r="C212" s="338"/>
      <c r="D212" s="338"/>
      <c r="E212" s="338"/>
      <c r="F212" s="285"/>
      <c r="G212" s="285"/>
      <c r="H212" s="293"/>
      <c r="I212" s="293"/>
      <c r="J212" s="293"/>
      <c r="K212" s="293"/>
      <c r="L212" s="293"/>
      <c r="M212" s="293"/>
      <c r="N212" s="293"/>
      <c r="O212" s="293"/>
      <c r="P212" s="293"/>
      <c r="Q212" s="361">
        <f>+P264</f>
        <v>133</v>
      </c>
      <c r="R212" s="362">
        <f>+R264</f>
        <v>19244</v>
      </c>
      <c r="S212" s="285"/>
      <c r="T212" s="363"/>
      <c r="U212" s="364"/>
      <c r="V212" s="5"/>
    </row>
    <row r="213" spans="1:22" ht="15.6" x14ac:dyDescent="0.3">
      <c r="A213" s="360"/>
      <c r="B213" s="285" t="s">
        <v>82</v>
      </c>
      <c r="C213" s="338"/>
      <c r="D213" s="338"/>
      <c r="E213" s="338"/>
      <c r="F213" s="285"/>
      <c r="G213" s="285"/>
      <c r="H213" s="293"/>
      <c r="I213" s="293"/>
      <c r="J213" s="293"/>
      <c r="K213" s="293"/>
      <c r="L213" s="293"/>
      <c r="M213" s="293"/>
      <c r="N213" s="293"/>
      <c r="O213" s="293"/>
      <c r="P213" s="293"/>
      <c r="Q213" s="361">
        <f>+P276</f>
        <v>1</v>
      </c>
      <c r="R213" s="362">
        <f>+R276</f>
        <v>110</v>
      </c>
      <c r="S213" s="285"/>
      <c r="T213" s="363"/>
      <c r="U213" s="364"/>
      <c r="V213" s="5"/>
    </row>
    <row r="214" spans="1:22" ht="15.6" x14ac:dyDescent="0.3">
      <c r="A214" s="360"/>
      <c r="B214" s="310" t="s">
        <v>83</v>
      </c>
      <c r="C214" s="365"/>
      <c r="D214" s="365"/>
      <c r="E214" s="365"/>
      <c r="F214" s="311"/>
      <c r="G214" s="311"/>
      <c r="H214" s="311"/>
      <c r="I214" s="311"/>
      <c r="J214" s="311"/>
      <c r="K214" s="311"/>
      <c r="L214" s="311"/>
      <c r="M214" s="311"/>
      <c r="N214" s="311"/>
      <c r="O214" s="311"/>
      <c r="P214" s="311"/>
      <c r="Q214" s="285"/>
      <c r="R214" s="362">
        <v>0</v>
      </c>
      <c r="S214" s="311"/>
      <c r="T214" s="366"/>
      <c r="U214" s="364"/>
      <c r="V214" s="5"/>
    </row>
    <row r="215" spans="1:22" ht="15.6" x14ac:dyDescent="0.3">
      <c r="A215" s="360"/>
      <c r="B215" s="310" t="s">
        <v>84</v>
      </c>
      <c r="C215" s="365"/>
      <c r="D215" s="365"/>
      <c r="E215" s="365"/>
      <c r="F215" s="311"/>
      <c r="G215" s="311"/>
      <c r="H215" s="311"/>
      <c r="I215" s="311"/>
      <c r="J215" s="311"/>
      <c r="K215" s="311"/>
      <c r="L215" s="311"/>
      <c r="M215" s="311"/>
      <c r="N215" s="311"/>
      <c r="O215" s="311"/>
      <c r="P215" s="311"/>
      <c r="Q215" s="285"/>
      <c r="R215" s="367" t="s">
        <v>113</v>
      </c>
      <c r="S215" s="311"/>
      <c r="T215" s="366"/>
      <c r="U215" s="364"/>
      <c r="V215" s="5"/>
    </row>
    <row r="216" spans="1:22" ht="15.6" x14ac:dyDescent="0.3">
      <c r="A216" s="368"/>
      <c r="B216" s="310" t="s">
        <v>85</v>
      </c>
      <c r="C216" s="369"/>
      <c r="D216" s="369"/>
      <c r="E216" s="369"/>
      <c r="F216" s="369"/>
      <c r="G216" s="311"/>
      <c r="H216" s="311"/>
      <c r="I216" s="311"/>
      <c r="J216" s="311"/>
      <c r="K216" s="311"/>
      <c r="L216" s="311"/>
      <c r="M216" s="311"/>
      <c r="N216" s="311"/>
      <c r="O216" s="311"/>
      <c r="P216" s="311"/>
      <c r="Q216" s="285"/>
      <c r="R216" s="362"/>
      <c r="S216" s="311"/>
      <c r="T216" s="366"/>
      <c r="U216" s="370"/>
      <c r="V216" s="5"/>
    </row>
    <row r="217" spans="1:22" ht="15.6" x14ac:dyDescent="0.3">
      <c r="A217" s="368"/>
      <c r="B217" s="290" t="s">
        <v>86</v>
      </c>
      <c r="C217" s="290"/>
      <c r="D217" s="290"/>
      <c r="E217" s="290"/>
      <c r="F217" s="290"/>
      <c r="G217" s="290"/>
      <c r="H217" s="290"/>
      <c r="I217" s="290"/>
      <c r="J217" s="290"/>
      <c r="K217" s="290"/>
      <c r="L217" s="290"/>
      <c r="M217" s="290"/>
      <c r="N217" s="290"/>
      <c r="O217" s="290"/>
      <c r="P217" s="290"/>
      <c r="Q217" s="293"/>
      <c r="R217" s="362">
        <f>T161</f>
        <v>26</v>
      </c>
      <c r="S217" s="290"/>
      <c r="T217" s="371"/>
      <c r="U217" s="370"/>
      <c r="V217" s="5"/>
    </row>
    <row r="218" spans="1:22" ht="15.6" x14ac:dyDescent="0.3">
      <c r="A218" s="360"/>
      <c r="B218" s="290" t="s">
        <v>87</v>
      </c>
      <c r="C218" s="372"/>
      <c r="D218" s="372"/>
      <c r="E218" s="372"/>
      <c r="F218" s="372"/>
      <c r="G218" s="290"/>
      <c r="H218" s="290"/>
      <c r="I218" s="290"/>
      <c r="J218" s="290"/>
      <c r="K218" s="290"/>
      <c r="L218" s="290"/>
      <c r="M218" s="290"/>
      <c r="N218" s="290"/>
      <c r="O218" s="290"/>
      <c r="P218" s="290"/>
      <c r="Q218" s="293"/>
      <c r="R218" s="362">
        <f>'March 10'!R219+R217</f>
        <v>2435</v>
      </c>
      <c r="S218" s="290"/>
      <c r="T218" s="371"/>
      <c r="U218" s="370"/>
      <c r="V218" s="5"/>
    </row>
    <row r="219" spans="1:22" ht="15.6" x14ac:dyDescent="0.3">
      <c r="A219" s="368"/>
      <c r="B219" s="310" t="s">
        <v>282</v>
      </c>
      <c r="C219" s="369"/>
      <c r="D219" s="369"/>
      <c r="E219" s="369"/>
      <c r="F219" s="369"/>
      <c r="G219" s="311"/>
      <c r="H219" s="311"/>
      <c r="I219" s="311"/>
      <c r="J219" s="311"/>
      <c r="K219" s="311"/>
      <c r="L219" s="311"/>
      <c r="M219" s="311"/>
      <c r="N219" s="311"/>
      <c r="O219" s="311"/>
      <c r="P219" s="311"/>
      <c r="Q219" s="293"/>
      <c r="R219" s="362"/>
      <c r="S219" s="311"/>
      <c r="T219" s="366"/>
      <c r="U219" s="370"/>
      <c r="V219" s="5"/>
    </row>
    <row r="220" spans="1:22" ht="15.6" x14ac:dyDescent="0.3">
      <c r="A220" s="368"/>
      <c r="B220" s="285" t="s">
        <v>280</v>
      </c>
      <c r="C220" s="369"/>
      <c r="D220" s="369"/>
      <c r="E220" s="369"/>
      <c r="F220" s="369"/>
      <c r="G220" s="311"/>
      <c r="H220" s="311"/>
      <c r="I220" s="311"/>
      <c r="J220" s="311"/>
      <c r="K220" s="311"/>
      <c r="L220" s="311"/>
      <c r="M220" s="311"/>
      <c r="N220" s="311"/>
      <c r="O220" s="311"/>
      <c r="P220" s="311"/>
      <c r="Q220" s="293">
        <v>0</v>
      </c>
      <c r="R220" s="362">
        <v>0</v>
      </c>
      <c r="S220" s="311"/>
      <c r="T220" s="366"/>
      <c r="U220" s="370"/>
      <c r="V220" s="5"/>
    </row>
    <row r="221" spans="1:22" ht="15.6" x14ac:dyDescent="0.3">
      <c r="A221" s="360"/>
      <c r="B221" s="285" t="s">
        <v>89</v>
      </c>
      <c r="C221" s="373"/>
      <c r="D221" s="373"/>
      <c r="E221" s="373"/>
      <c r="F221" s="374"/>
      <c r="G221" s="311"/>
      <c r="H221" s="311"/>
      <c r="I221" s="311"/>
      <c r="J221" s="311"/>
      <c r="K221" s="311"/>
      <c r="L221" s="311"/>
      <c r="M221" s="311"/>
      <c r="N221" s="311"/>
      <c r="O221" s="311"/>
      <c r="P221" s="311"/>
      <c r="Q221" s="285"/>
      <c r="R221" s="367">
        <v>0</v>
      </c>
      <c r="S221" s="311"/>
      <c r="T221" s="366"/>
      <c r="U221" s="370"/>
      <c r="V221" s="5"/>
    </row>
    <row r="222" spans="1:22" ht="15.6" x14ac:dyDescent="0.3">
      <c r="A222" s="360"/>
      <c r="B222" s="285" t="s">
        <v>90</v>
      </c>
      <c r="C222" s="373"/>
      <c r="D222" s="373"/>
      <c r="E222" s="373"/>
      <c r="F222" s="374"/>
      <c r="G222" s="311"/>
      <c r="H222" s="311"/>
      <c r="I222" s="311"/>
      <c r="J222" s="311"/>
      <c r="K222" s="311"/>
      <c r="L222" s="311"/>
      <c r="M222" s="311"/>
      <c r="N222" s="311"/>
      <c r="O222" s="311"/>
      <c r="P222" s="311"/>
      <c r="Q222" s="285"/>
      <c r="R222" s="367">
        <v>0</v>
      </c>
      <c r="S222" s="311"/>
      <c r="T222" s="366"/>
      <c r="U222" s="370"/>
      <c r="V222" s="5"/>
    </row>
    <row r="223" spans="1:22" ht="15.6" x14ac:dyDescent="0.3">
      <c r="A223" s="360"/>
      <c r="B223" s="310" t="s">
        <v>226</v>
      </c>
      <c r="C223" s="373"/>
      <c r="D223" s="373"/>
      <c r="E223" s="373"/>
      <c r="F223" s="374"/>
      <c r="G223" s="311"/>
      <c r="H223" s="311"/>
      <c r="I223" s="311"/>
      <c r="J223" s="311"/>
      <c r="K223" s="311"/>
      <c r="L223" s="311"/>
      <c r="M223" s="311"/>
      <c r="N223" s="311"/>
      <c r="O223" s="311"/>
      <c r="P223" s="311"/>
      <c r="Q223" s="293"/>
      <c r="R223" s="375"/>
      <c r="S223" s="311"/>
      <c r="T223" s="366"/>
      <c r="U223" s="370"/>
      <c r="V223" s="5"/>
    </row>
    <row r="224" spans="1:22" ht="15.6" x14ac:dyDescent="0.3">
      <c r="A224" s="360"/>
      <c r="B224" s="285" t="s">
        <v>280</v>
      </c>
      <c r="C224" s="373"/>
      <c r="D224" s="373"/>
      <c r="E224" s="373"/>
      <c r="F224" s="374"/>
      <c r="G224" s="311"/>
      <c r="H224" s="311"/>
      <c r="I224" s="311"/>
      <c r="J224" s="311"/>
      <c r="K224" s="311"/>
      <c r="L224" s="311"/>
      <c r="M224" s="311"/>
      <c r="N224" s="311"/>
      <c r="O224" s="311"/>
      <c r="P224" s="311"/>
      <c r="Q224" s="293">
        <v>10</v>
      </c>
      <c r="R224" s="362">
        <v>850</v>
      </c>
      <c r="S224" s="311"/>
      <c r="T224" s="366"/>
      <c r="U224" s="370"/>
      <c r="V224" s="5"/>
    </row>
    <row r="225" spans="1:23" ht="15.6" x14ac:dyDescent="0.3">
      <c r="A225" s="360"/>
      <c r="B225" s="285" t="s">
        <v>227</v>
      </c>
      <c r="C225" s="373"/>
      <c r="D225" s="373"/>
      <c r="E225" s="373"/>
      <c r="F225" s="374"/>
      <c r="G225" s="311"/>
      <c r="H225" s="311"/>
      <c r="I225" s="311"/>
      <c r="J225" s="311"/>
      <c r="K225" s="311"/>
      <c r="L225" s="311"/>
      <c r="M225" s="311"/>
      <c r="N225" s="311"/>
      <c r="O225" s="311"/>
      <c r="P225" s="311"/>
      <c r="Q225" s="293"/>
      <c r="R225" s="367">
        <v>8.2200000000000006</v>
      </c>
      <c r="S225" s="311"/>
      <c r="T225" s="366"/>
      <c r="U225" s="370"/>
      <c r="V225" s="5"/>
    </row>
    <row r="226" spans="1:23" ht="15.6" x14ac:dyDescent="0.3">
      <c r="A226" s="360"/>
      <c r="B226" s="369"/>
      <c r="C226" s="373"/>
      <c r="D226" s="373"/>
      <c r="E226" s="373"/>
      <c r="F226" s="374"/>
      <c r="G226" s="311"/>
      <c r="H226" s="311"/>
      <c r="I226" s="311"/>
      <c r="J226" s="311"/>
      <c r="K226" s="311"/>
      <c r="L226" s="311"/>
      <c r="M226" s="311"/>
      <c r="N226" s="311"/>
      <c r="O226" s="311"/>
      <c r="P226" s="311"/>
      <c r="Q226" s="311"/>
      <c r="R226" s="376"/>
      <c r="S226" s="311"/>
      <c r="T226" s="366"/>
      <c r="U226" s="370"/>
      <c r="V226" s="5"/>
    </row>
    <row r="227" spans="1:23" ht="15.6" x14ac:dyDescent="0.3">
      <c r="A227" s="360"/>
      <c r="B227" s="369"/>
      <c r="C227" s="373"/>
      <c r="D227" s="373"/>
      <c r="E227" s="373"/>
      <c r="F227" s="374"/>
      <c r="G227" s="311"/>
      <c r="H227" s="311"/>
      <c r="I227" s="311"/>
      <c r="J227" s="311"/>
      <c r="K227" s="311"/>
      <c r="L227" s="311"/>
      <c r="M227" s="311"/>
      <c r="N227" s="311"/>
      <c r="O227" s="311"/>
      <c r="P227" s="311"/>
      <c r="Q227" s="311"/>
      <c r="R227" s="376"/>
      <c r="S227" s="311"/>
      <c r="T227" s="366"/>
      <c r="U227" s="370"/>
      <c r="V227" s="5"/>
    </row>
    <row r="228" spans="1:23" ht="17.399999999999999" x14ac:dyDescent="0.3">
      <c r="A228" s="360"/>
      <c r="B228" s="377" t="s">
        <v>175</v>
      </c>
      <c r="C228" s="373"/>
      <c r="D228" s="373"/>
      <c r="E228" s="373"/>
      <c r="F228" s="374"/>
      <c r="G228" s="311"/>
      <c r="H228" s="311"/>
      <c r="I228" s="311"/>
      <c r="J228" s="311"/>
      <c r="K228" s="311"/>
      <c r="L228" s="311"/>
      <c r="M228" s="311"/>
      <c r="N228" s="378" t="s">
        <v>174</v>
      </c>
      <c r="O228" s="311"/>
      <c r="P228" s="311"/>
      <c r="Q228" s="311"/>
      <c r="R228" s="376"/>
      <c r="S228" s="311"/>
      <c r="T228" s="366"/>
      <c r="U228" s="370"/>
      <c r="V228" s="5"/>
    </row>
    <row r="229" spans="1:23" ht="15.6" x14ac:dyDescent="0.3">
      <c r="A229" s="355"/>
      <c r="B229" s="350"/>
      <c r="C229" s="356"/>
      <c r="D229" s="356"/>
      <c r="E229" s="356"/>
      <c r="F229" s="357"/>
      <c r="G229" s="334"/>
      <c r="H229" s="334"/>
      <c r="I229" s="334"/>
      <c r="J229" s="334"/>
      <c r="K229" s="334"/>
      <c r="L229" s="334"/>
      <c r="M229" s="334"/>
      <c r="N229" s="334"/>
      <c r="O229" s="334"/>
      <c r="P229" s="334"/>
      <c r="Q229" s="334"/>
      <c r="R229" s="358"/>
      <c r="S229" s="334"/>
      <c r="T229" s="351"/>
      <c r="U229" s="359"/>
      <c r="V229" s="5"/>
    </row>
    <row r="230" spans="1:23" ht="15.6" x14ac:dyDescent="0.3">
      <c r="A230" s="222"/>
      <c r="B230" s="252" t="s">
        <v>295</v>
      </c>
      <c r="C230" s="253"/>
      <c r="D230" s="253"/>
      <c r="E230" s="253"/>
      <c r="F230" s="267"/>
      <c r="G230" s="253"/>
      <c r="H230" s="253"/>
      <c r="I230" s="253"/>
      <c r="J230" s="253"/>
      <c r="K230" s="253"/>
      <c r="L230" s="253"/>
      <c r="M230" s="253"/>
      <c r="N230" s="253"/>
      <c r="O230" s="253"/>
      <c r="P230" s="267" t="s">
        <v>105</v>
      </c>
      <c r="Q230" s="253" t="s">
        <v>106</v>
      </c>
      <c r="R230" s="267" t="s">
        <v>114</v>
      </c>
      <c r="S230" s="253" t="s">
        <v>106</v>
      </c>
      <c r="T230" s="223"/>
      <c r="U230" s="252"/>
      <c r="V230" s="5"/>
    </row>
    <row r="231" spans="1:23" ht="15.6" x14ac:dyDescent="0.3">
      <c r="A231" s="190"/>
      <c r="B231" s="243" t="s">
        <v>91</v>
      </c>
      <c r="C231" s="217"/>
      <c r="D231" s="217"/>
      <c r="E231" s="217"/>
      <c r="F231" s="191"/>
      <c r="G231" s="217"/>
      <c r="H231" s="217"/>
      <c r="I231" s="217"/>
      <c r="J231" s="217"/>
      <c r="K231" s="217"/>
      <c r="L231" s="217"/>
      <c r="M231" s="217"/>
      <c r="N231" s="217"/>
      <c r="O231" s="217"/>
      <c r="P231" s="338">
        <f>+P243+P255+P267</f>
        <v>4381</v>
      </c>
      <c r="Q231" s="384">
        <f>P231/$P$240</f>
        <v>0.97965116279069764</v>
      </c>
      <c r="R231" s="339">
        <f>+R243+R255+R267</f>
        <v>583767</v>
      </c>
      <c r="S231" s="384">
        <f>R231/$R$240</f>
        <v>0.97797669007041232</v>
      </c>
      <c r="T231" s="366"/>
      <c r="U231" s="216"/>
      <c r="V231" s="5"/>
    </row>
    <row r="232" spans="1:23" ht="15.6" x14ac:dyDescent="0.3">
      <c r="A232" s="284"/>
      <c r="B232" s="338" t="s">
        <v>92</v>
      </c>
      <c r="C232" s="382"/>
      <c r="D232" s="382"/>
      <c r="E232" s="382"/>
      <c r="F232" s="311"/>
      <c r="G232" s="383"/>
      <c r="H232" s="382"/>
      <c r="I232" s="382"/>
      <c r="J232" s="382"/>
      <c r="K232" s="382"/>
      <c r="L232" s="382"/>
      <c r="M232" s="382"/>
      <c r="N232" s="382"/>
      <c r="O232" s="382"/>
      <c r="P232" s="338">
        <f t="shared" ref="P232:P238" si="1">+P244+P256+P268</f>
        <v>34</v>
      </c>
      <c r="Q232" s="384">
        <f t="shared" ref="Q232:Q238" si="2">P232/$P$240</f>
        <v>7.6028622540250451E-3</v>
      </c>
      <c r="R232" s="339">
        <f t="shared" ref="R232:R238" si="3">+R244+R256+R268</f>
        <v>4778</v>
      </c>
      <c r="S232" s="384">
        <f t="shared" ref="S232:S238" si="4">R232/$R$240</f>
        <v>8.0045165710915991E-3</v>
      </c>
      <c r="T232" s="366"/>
      <c r="U232" s="370"/>
      <c r="V232" s="5"/>
      <c r="W232" s="109"/>
    </row>
    <row r="233" spans="1:23" ht="15.6" x14ac:dyDescent="0.3">
      <c r="A233" s="284"/>
      <c r="B233" s="338" t="s">
        <v>93</v>
      </c>
      <c r="C233" s="382"/>
      <c r="D233" s="382"/>
      <c r="E233" s="382"/>
      <c r="F233" s="311"/>
      <c r="G233" s="383"/>
      <c r="H233" s="382"/>
      <c r="I233" s="382"/>
      <c r="J233" s="382"/>
      <c r="K233" s="382"/>
      <c r="L233" s="382"/>
      <c r="M233" s="382"/>
      <c r="N233" s="382"/>
      <c r="O233" s="382"/>
      <c r="P233" s="338">
        <f t="shared" si="1"/>
        <v>8</v>
      </c>
      <c r="Q233" s="384">
        <f t="shared" si="2"/>
        <v>1.7889087656529517E-3</v>
      </c>
      <c r="R233" s="339">
        <f t="shared" si="3"/>
        <v>1107</v>
      </c>
      <c r="S233" s="384">
        <f t="shared" si="4"/>
        <v>1.854541616617497E-3</v>
      </c>
      <c r="T233" s="366"/>
      <c r="U233" s="370"/>
      <c r="V233" s="5"/>
    </row>
    <row r="234" spans="1:23" ht="15.6" x14ac:dyDescent="0.3">
      <c r="A234" s="284"/>
      <c r="B234" s="338" t="s">
        <v>163</v>
      </c>
      <c r="C234" s="382"/>
      <c r="D234" s="382"/>
      <c r="E234" s="382"/>
      <c r="F234" s="311"/>
      <c r="G234" s="383"/>
      <c r="H234" s="382"/>
      <c r="I234" s="382"/>
      <c r="J234" s="382"/>
      <c r="K234" s="382"/>
      <c r="L234" s="382"/>
      <c r="M234" s="382"/>
      <c r="N234" s="382"/>
      <c r="O234" s="382"/>
      <c r="P234" s="338">
        <f t="shared" si="1"/>
        <v>4</v>
      </c>
      <c r="Q234" s="384">
        <f t="shared" si="2"/>
        <v>8.9445438282647585E-4</v>
      </c>
      <c r="R234" s="339">
        <f t="shared" si="3"/>
        <v>622</v>
      </c>
      <c r="S234" s="384">
        <f t="shared" si="4"/>
        <v>1.042027900213264E-3</v>
      </c>
      <c r="T234" s="366"/>
      <c r="U234" s="370"/>
      <c r="V234" s="5"/>
      <c r="W234" s="109"/>
    </row>
    <row r="235" spans="1:23" ht="15.6" x14ac:dyDescent="0.3">
      <c r="A235" s="284"/>
      <c r="B235" s="338" t="s">
        <v>164</v>
      </c>
      <c r="C235" s="382"/>
      <c r="D235" s="382"/>
      <c r="E235" s="382"/>
      <c r="F235" s="311"/>
      <c r="G235" s="383"/>
      <c r="H235" s="382"/>
      <c r="I235" s="382"/>
      <c r="J235" s="382"/>
      <c r="K235" s="382"/>
      <c r="L235" s="382"/>
      <c r="M235" s="382"/>
      <c r="N235" s="382"/>
      <c r="O235" s="382"/>
      <c r="P235" s="338">
        <f t="shared" si="1"/>
        <v>3</v>
      </c>
      <c r="Q235" s="384">
        <f t="shared" si="2"/>
        <v>6.7084078711985684E-4</v>
      </c>
      <c r="R235" s="339">
        <f t="shared" si="3"/>
        <v>561</v>
      </c>
      <c r="S235" s="384">
        <f t="shared" si="4"/>
        <v>9.3983545340778308E-4</v>
      </c>
      <c r="T235" s="366"/>
      <c r="U235" s="370"/>
      <c r="V235" s="5"/>
    </row>
    <row r="236" spans="1:23" ht="15.6" x14ac:dyDescent="0.3">
      <c r="A236" s="284"/>
      <c r="B236" s="338" t="s">
        <v>165</v>
      </c>
      <c r="C236" s="382"/>
      <c r="D236" s="382"/>
      <c r="E236" s="382"/>
      <c r="F236" s="311"/>
      <c r="G236" s="383"/>
      <c r="H236" s="382"/>
      <c r="I236" s="382"/>
      <c r="J236" s="382"/>
      <c r="K236" s="382"/>
      <c r="L236" s="382"/>
      <c r="M236" s="382"/>
      <c r="N236" s="382"/>
      <c r="O236" s="382"/>
      <c r="P236" s="338">
        <f t="shared" si="1"/>
        <v>7</v>
      </c>
      <c r="Q236" s="384">
        <f t="shared" si="2"/>
        <v>1.5652951699463328E-3</v>
      </c>
      <c r="R236" s="339">
        <f t="shared" si="3"/>
        <v>863</v>
      </c>
      <c r="S236" s="384">
        <f t="shared" si="4"/>
        <v>1.4457718293955735E-3</v>
      </c>
      <c r="T236" s="366"/>
      <c r="U236" s="370"/>
      <c r="V236" s="5"/>
      <c r="W236" s="109"/>
    </row>
    <row r="237" spans="1:23" ht="15.6" x14ac:dyDescent="0.3">
      <c r="A237" s="284"/>
      <c r="B237" s="338" t="s">
        <v>166</v>
      </c>
      <c r="C237" s="382"/>
      <c r="D237" s="382"/>
      <c r="E237" s="382"/>
      <c r="F237" s="311"/>
      <c r="G237" s="383"/>
      <c r="H237" s="382"/>
      <c r="I237" s="382"/>
      <c r="J237" s="382"/>
      <c r="K237" s="382"/>
      <c r="L237" s="382"/>
      <c r="M237" s="382"/>
      <c r="N237" s="382"/>
      <c r="O237" s="382"/>
      <c r="P237" s="338">
        <f t="shared" si="1"/>
        <v>15</v>
      </c>
      <c r="Q237" s="384">
        <f t="shared" si="2"/>
        <v>3.3542039355992843E-3</v>
      </c>
      <c r="R237" s="339">
        <f t="shared" si="3"/>
        <v>2645</v>
      </c>
      <c r="S237" s="384">
        <f t="shared" si="4"/>
        <v>4.4311315049261786E-3</v>
      </c>
      <c r="T237" s="366"/>
      <c r="U237" s="370"/>
      <c r="V237" s="5"/>
    </row>
    <row r="238" spans="1:23" ht="15.6" x14ac:dyDescent="0.3">
      <c r="A238" s="284"/>
      <c r="B238" s="338" t="s">
        <v>167</v>
      </c>
      <c r="C238" s="382"/>
      <c r="D238" s="382"/>
      <c r="E238" s="382"/>
      <c r="F238" s="311"/>
      <c r="G238" s="383"/>
      <c r="H238" s="382"/>
      <c r="I238" s="382"/>
      <c r="J238" s="382"/>
      <c r="K238" s="382"/>
      <c r="L238" s="382"/>
      <c r="M238" s="382"/>
      <c r="N238" s="382"/>
      <c r="O238" s="382"/>
      <c r="P238" s="338">
        <f t="shared" si="1"/>
        <v>20</v>
      </c>
      <c r="Q238" s="384">
        <f t="shared" si="2"/>
        <v>4.4722719141323791E-3</v>
      </c>
      <c r="R238" s="339">
        <f t="shared" si="3"/>
        <v>2570</v>
      </c>
      <c r="S238" s="384">
        <f t="shared" si="4"/>
        <v>4.3054850539358336E-3</v>
      </c>
      <c r="T238" s="366"/>
      <c r="U238" s="370"/>
      <c r="V238" s="5"/>
      <c r="W238" s="109"/>
    </row>
    <row r="239" spans="1:23" ht="15.6" x14ac:dyDescent="0.3">
      <c r="A239" s="284"/>
      <c r="B239" s="338"/>
      <c r="C239" s="382"/>
      <c r="D239" s="382"/>
      <c r="E239" s="382"/>
      <c r="F239" s="311"/>
      <c r="G239" s="383"/>
      <c r="H239" s="382"/>
      <c r="I239" s="382"/>
      <c r="J239" s="382"/>
      <c r="K239" s="382"/>
      <c r="L239" s="382"/>
      <c r="M239" s="382"/>
      <c r="N239" s="382"/>
      <c r="O239" s="382"/>
      <c r="P239" s="338"/>
      <c r="Q239" s="384"/>
      <c r="R239" s="339"/>
      <c r="S239" s="384"/>
      <c r="T239" s="366"/>
      <c r="U239" s="370"/>
      <c r="V239" s="5"/>
    </row>
    <row r="240" spans="1:23" ht="15.6" x14ac:dyDescent="0.3">
      <c r="A240" s="284"/>
      <c r="B240" s="285" t="s">
        <v>120</v>
      </c>
      <c r="C240" s="311"/>
      <c r="D240" s="311"/>
      <c r="E240" s="311"/>
      <c r="F240" s="311"/>
      <c r="G240" s="311"/>
      <c r="H240" s="385"/>
      <c r="I240" s="385"/>
      <c r="J240" s="385"/>
      <c r="K240" s="385"/>
      <c r="L240" s="385"/>
      <c r="M240" s="385"/>
      <c r="N240" s="385"/>
      <c r="O240" s="385"/>
      <c r="P240" s="338">
        <f>SUM(P231:P239)</f>
        <v>4472</v>
      </c>
      <c r="Q240" s="384">
        <f>SUM(Q231:Q239)</f>
        <v>0.99999999999999989</v>
      </c>
      <c r="R240" s="339">
        <f>SUM(R231:R239)</f>
        <v>596913</v>
      </c>
      <c r="S240" s="384">
        <f>SUM(S231:S239)</f>
        <v>0.99999999999999989</v>
      </c>
      <c r="T240" s="311"/>
      <c r="U240" s="317"/>
      <c r="V240" s="5"/>
    </row>
    <row r="241" spans="1:23" ht="15.6" x14ac:dyDescent="0.3">
      <c r="A241" s="175"/>
      <c r="B241" s="281"/>
      <c r="C241" s="334"/>
      <c r="D241" s="334"/>
      <c r="E241" s="334"/>
      <c r="F241" s="334"/>
      <c r="G241" s="334"/>
      <c r="H241" s="379"/>
      <c r="I241" s="379"/>
      <c r="J241" s="379"/>
      <c r="K241" s="379"/>
      <c r="L241" s="379"/>
      <c r="M241" s="379"/>
      <c r="N241" s="379"/>
      <c r="O241" s="379"/>
      <c r="P241" s="340"/>
      <c r="Q241" s="392"/>
      <c r="R241" s="393"/>
      <c r="S241" s="392"/>
      <c r="T241" s="334"/>
      <c r="U241" s="334"/>
      <c r="V241" s="5"/>
    </row>
    <row r="242" spans="1:23" ht="15.6" x14ac:dyDescent="0.3">
      <c r="A242" s="222"/>
      <c r="B242" s="252" t="s">
        <v>169</v>
      </c>
      <c r="C242" s="253"/>
      <c r="D242" s="253"/>
      <c r="E242" s="253"/>
      <c r="F242" s="267"/>
      <c r="G242" s="253"/>
      <c r="H242" s="253"/>
      <c r="I242" s="253"/>
      <c r="J242" s="253"/>
      <c r="K242" s="253"/>
      <c r="L242" s="253"/>
      <c r="M242" s="253"/>
      <c r="N242" s="253"/>
      <c r="O242" s="253"/>
      <c r="P242" s="267" t="s">
        <v>105</v>
      </c>
      <c r="Q242" s="253" t="s">
        <v>106</v>
      </c>
      <c r="R242" s="267" t="s">
        <v>114</v>
      </c>
      <c r="S242" s="253" t="s">
        <v>106</v>
      </c>
      <c r="T242" s="223"/>
      <c r="U242" s="252"/>
      <c r="V242" s="5"/>
    </row>
    <row r="243" spans="1:23" ht="15.6" x14ac:dyDescent="0.3">
      <c r="A243" s="190"/>
      <c r="B243" s="243" t="s">
        <v>91</v>
      </c>
      <c r="C243" s="217"/>
      <c r="D243" s="217"/>
      <c r="E243" s="217"/>
      <c r="F243" s="191"/>
      <c r="G243" s="217"/>
      <c r="H243" s="217"/>
      <c r="I243" s="217"/>
      <c r="J243" s="217"/>
      <c r="K243" s="217"/>
      <c r="L243" s="217"/>
      <c r="M243" s="217"/>
      <c r="N243" s="217"/>
      <c r="O243" s="217"/>
      <c r="P243" s="243">
        <v>4310</v>
      </c>
      <c r="Q243" s="274">
        <f t="shared" ref="Q243:Q250" si="5">P243/$P$252</f>
        <v>0.99354541263254958</v>
      </c>
      <c r="R243" s="251">
        <v>573378</v>
      </c>
      <c r="S243" s="274">
        <f t="shared" ref="S243:S250" si="6">R243/$R$252</f>
        <v>0.99276091273791944</v>
      </c>
      <c r="T243" s="213"/>
      <c r="U243" s="216"/>
      <c r="V243" s="5"/>
    </row>
    <row r="244" spans="1:23" ht="15.6" x14ac:dyDescent="0.3">
      <c r="A244" s="284"/>
      <c r="B244" s="338" t="s">
        <v>92</v>
      </c>
      <c r="C244" s="382"/>
      <c r="D244" s="382"/>
      <c r="E244" s="382"/>
      <c r="F244" s="311"/>
      <c r="G244" s="383"/>
      <c r="H244" s="382"/>
      <c r="I244" s="382"/>
      <c r="J244" s="382"/>
      <c r="K244" s="382"/>
      <c r="L244" s="382"/>
      <c r="M244" s="382"/>
      <c r="N244" s="382"/>
      <c r="O244" s="382"/>
      <c r="P244" s="338">
        <v>24</v>
      </c>
      <c r="Q244" s="384">
        <f t="shared" si="5"/>
        <v>5.5325034578146614E-3</v>
      </c>
      <c r="R244" s="339">
        <v>3607</v>
      </c>
      <c r="S244" s="384">
        <f t="shared" si="6"/>
        <v>6.2452494030912856E-3</v>
      </c>
      <c r="T244" s="366"/>
      <c r="U244" s="370"/>
      <c r="V244" s="5"/>
      <c r="W244" s="109"/>
    </row>
    <row r="245" spans="1:23" ht="15.6" x14ac:dyDescent="0.3">
      <c r="A245" s="284"/>
      <c r="B245" s="338" t="s">
        <v>93</v>
      </c>
      <c r="C245" s="382"/>
      <c r="D245" s="382"/>
      <c r="E245" s="382"/>
      <c r="F245" s="311"/>
      <c r="G245" s="383"/>
      <c r="H245" s="382"/>
      <c r="I245" s="382"/>
      <c r="J245" s="382"/>
      <c r="K245" s="382"/>
      <c r="L245" s="382"/>
      <c r="M245" s="382"/>
      <c r="N245" s="382"/>
      <c r="O245" s="382"/>
      <c r="P245" s="338">
        <v>2</v>
      </c>
      <c r="Q245" s="384">
        <f t="shared" si="5"/>
        <v>4.6104195481788842E-4</v>
      </c>
      <c r="R245" s="339">
        <v>308</v>
      </c>
      <c r="S245" s="384">
        <f t="shared" si="6"/>
        <v>5.3327885116498917E-4</v>
      </c>
      <c r="T245" s="366"/>
      <c r="U245" s="370"/>
      <c r="V245" s="5"/>
    </row>
    <row r="246" spans="1:23" ht="15.6" x14ac:dyDescent="0.3">
      <c r="A246" s="284"/>
      <c r="B246" s="338" t="s">
        <v>163</v>
      </c>
      <c r="C246" s="382"/>
      <c r="D246" s="382"/>
      <c r="E246" s="382"/>
      <c r="F246" s="311"/>
      <c r="G246" s="383"/>
      <c r="H246" s="382"/>
      <c r="I246" s="382"/>
      <c r="J246" s="382"/>
      <c r="K246" s="382"/>
      <c r="L246" s="382"/>
      <c r="M246" s="382"/>
      <c r="N246" s="382"/>
      <c r="O246" s="382"/>
      <c r="P246" s="338">
        <v>1</v>
      </c>
      <c r="Q246" s="384">
        <f t="shared" si="5"/>
        <v>2.3052097740894421E-4</v>
      </c>
      <c r="R246" s="339">
        <v>89</v>
      </c>
      <c r="S246" s="384">
        <f t="shared" si="6"/>
        <v>1.5409681088858455E-4</v>
      </c>
      <c r="T246" s="366"/>
      <c r="U246" s="370"/>
      <c r="V246" s="5"/>
      <c r="W246" s="109"/>
    </row>
    <row r="247" spans="1:23" ht="15.6" x14ac:dyDescent="0.3">
      <c r="A247" s="284"/>
      <c r="B247" s="338" t="s">
        <v>164</v>
      </c>
      <c r="C247" s="382"/>
      <c r="D247" s="382"/>
      <c r="E247" s="382"/>
      <c r="F247" s="311"/>
      <c r="G247" s="383"/>
      <c r="H247" s="382"/>
      <c r="I247" s="382"/>
      <c r="J247" s="382"/>
      <c r="K247" s="382"/>
      <c r="L247" s="382"/>
      <c r="M247" s="382"/>
      <c r="N247" s="382"/>
      <c r="O247" s="382"/>
      <c r="P247" s="338">
        <v>1</v>
      </c>
      <c r="Q247" s="384">
        <f t="shared" si="5"/>
        <v>2.3052097740894421E-4</v>
      </c>
      <c r="R247" s="339">
        <v>177</v>
      </c>
      <c r="S247" s="384">
        <f t="shared" si="6"/>
        <v>3.0646219693572431E-4</v>
      </c>
      <c r="T247" s="366"/>
      <c r="U247" s="370"/>
      <c r="V247" s="5"/>
    </row>
    <row r="248" spans="1:23" ht="15.6" x14ac:dyDescent="0.3">
      <c r="A248" s="284"/>
      <c r="B248" s="338" t="s">
        <v>165</v>
      </c>
      <c r="C248" s="382"/>
      <c r="D248" s="382"/>
      <c r="E248" s="382"/>
      <c r="F248" s="311"/>
      <c r="G248" s="383"/>
      <c r="H248" s="382"/>
      <c r="I248" s="382"/>
      <c r="J248" s="382"/>
      <c r="K248" s="382"/>
      <c r="L248" s="382"/>
      <c r="M248" s="382"/>
      <c r="N248" s="382"/>
      <c r="O248" s="382"/>
      <c r="P248" s="338">
        <v>0</v>
      </c>
      <c r="Q248" s="384">
        <f t="shared" si="5"/>
        <v>0</v>
      </c>
      <c r="R248" s="339">
        <v>0</v>
      </c>
      <c r="S248" s="384">
        <f t="shared" si="6"/>
        <v>0</v>
      </c>
      <c r="T248" s="366"/>
      <c r="U248" s="370"/>
      <c r="V248" s="5"/>
      <c r="W248" s="109"/>
    </row>
    <row r="249" spans="1:23" ht="15.6" x14ac:dyDescent="0.3">
      <c r="A249" s="284"/>
      <c r="B249" s="338" t="s">
        <v>166</v>
      </c>
      <c r="C249" s="382"/>
      <c r="D249" s="382"/>
      <c r="E249" s="382"/>
      <c r="F249" s="311"/>
      <c r="G249" s="383"/>
      <c r="H249" s="382"/>
      <c r="I249" s="382"/>
      <c r="J249" s="382"/>
      <c r="K249" s="382"/>
      <c r="L249" s="382"/>
      <c r="M249" s="382"/>
      <c r="N249" s="382"/>
      <c r="O249" s="382"/>
      <c r="P249" s="338">
        <v>0</v>
      </c>
      <c r="Q249" s="384">
        <f t="shared" si="5"/>
        <v>0</v>
      </c>
      <c r="R249" s="339">
        <v>0</v>
      </c>
      <c r="S249" s="384">
        <f t="shared" si="6"/>
        <v>0</v>
      </c>
      <c r="T249" s="366"/>
      <c r="U249" s="370"/>
      <c r="V249" s="5"/>
    </row>
    <row r="250" spans="1:23" ht="15.6" x14ac:dyDescent="0.3">
      <c r="A250" s="284"/>
      <c r="B250" s="338" t="s">
        <v>167</v>
      </c>
      <c r="C250" s="382"/>
      <c r="D250" s="382"/>
      <c r="E250" s="382"/>
      <c r="F250" s="311"/>
      <c r="G250" s="383"/>
      <c r="H250" s="382"/>
      <c r="I250" s="382"/>
      <c r="J250" s="382"/>
      <c r="K250" s="382"/>
      <c r="L250" s="382"/>
      <c r="M250" s="382"/>
      <c r="N250" s="382"/>
      <c r="O250" s="382"/>
      <c r="P250" s="338">
        <v>0</v>
      </c>
      <c r="Q250" s="384">
        <f t="shared" si="5"/>
        <v>0</v>
      </c>
      <c r="R250" s="339">
        <v>0</v>
      </c>
      <c r="S250" s="384">
        <f t="shared" si="6"/>
        <v>0</v>
      </c>
      <c r="T250" s="366"/>
      <c r="U250" s="370"/>
      <c r="V250" s="5"/>
      <c r="W250" s="109"/>
    </row>
    <row r="251" spans="1:23" ht="15.6" x14ac:dyDescent="0.3">
      <c r="A251" s="284"/>
      <c r="B251" s="338"/>
      <c r="C251" s="382"/>
      <c r="D251" s="382"/>
      <c r="E251" s="382"/>
      <c r="F251" s="311"/>
      <c r="G251" s="383"/>
      <c r="H251" s="382"/>
      <c r="I251" s="382"/>
      <c r="J251" s="382"/>
      <c r="K251" s="382"/>
      <c r="L251" s="382"/>
      <c r="M251" s="382"/>
      <c r="N251" s="382"/>
      <c r="O251" s="382"/>
      <c r="P251" s="338"/>
      <c r="Q251" s="384"/>
      <c r="R251" s="339"/>
      <c r="S251" s="384"/>
      <c r="T251" s="366"/>
      <c r="U251" s="370"/>
      <c r="V251" s="5"/>
    </row>
    <row r="252" spans="1:23" ht="15.6" x14ac:dyDescent="0.3">
      <c r="A252" s="284"/>
      <c r="B252" s="285" t="s">
        <v>120</v>
      </c>
      <c r="C252" s="311"/>
      <c r="D252" s="311"/>
      <c r="E252" s="311"/>
      <c r="F252" s="311"/>
      <c r="G252" s="311"/>
      <c r="H252" s="385"/>
      <c r="I252" s="385"/>
      <c r="J252" s="385"/>
      <c r="K252" s="385"/>
      <c r="L252" s="385"/>
      <c r="M252" s="385"/>
      <c r="N252" s="385"/>
      <c r="O252" s="385"/>
      <c r="P252" s="338">
        <f>SUM(P243:P251)</f>
        <v>4338</v>
      </c>
      <c r="Q252" s="384">
        <f>SUM(Q243:Q251)</f>
        <v>1</v>
      </c>
      <c r="R252" s="339">
        <f>SUM(R243:R251)</f>
        <v>577559</v>
      </c>
      <c r="S252" s="384">
        <f>SUM(S243:S251)</f>
        <v>1</v>
      </c>
      <c r="T252" s="311"/>
      <c r="U252" s="317"/>
      <c r="V252" s="5"/>
    </row>
    <row r="253" spans="1:23" ht="15.6" x14ac:dyDescent="0.3">
      <c r="A253" s="175"/>
      <c r="B253" s="334"/>
      <c r="C253" s="334"/>
      <c r="D253" s="334"/>
      <c r="E253" s="334"/>
      <c r="F253" s="334"/>
      <c r="G253" s="334"/>
      <c r="H253" s="379"/>
      <c r="I253" s="379"/>
      <c r="J253" s="379"/>
      <c r="K253" s="379"/>
      <c r="L253" s="379"/>
      <c r="M253" s="379"/>
      <c r="N253" s="379"/>
      <c r="O253" s="379"/>
      <c r="P253" s="335"/>
      <c r="Q253" s="380"/>
      <c r="R253" s="381"/>
      <c r="S253" s="380"/>
      <c r="T253" s="334"/>
      <c r="U253" s="334"/>
      <c r="V253" s="5"/>
    </row>
    <row r="254" spans="1:23" ht="15.6" x14ac:dyDescent="0.3">
      <c r="A254" s="268"/>
      <c r="B254" s="252" t="s">
        <v>267</v>
      </c>
      <c r="C254" s="253"/>
      <c r="D254" s="253"/>
      <c r="E254" s="253"/>
      <c r="F254" s="267"/>
      <c r="G254" s="253"/>
      <c r="H254" s="253"/>
      <c r="I254" s="253"/>
      <c r="J254" s="253"/>
      <c r="K254" s="253"/>
      <c r="L254" s="253"/>
      <c r="M254" s="253"/>
      <c r="N254" s="253"/>
      <c r="O254" s="253"/>
      <c r="P254" s="267" t="s">
        <v>105</v>
      </c>
      <c r="Q254" s="253" t="s">
        <v>106</v>
      </c>
      <c r="R254" s="267" t="s">
        <v>114</v>
      </c>
      <c r="S254" s="253" t="s">
        <v>106</v>
      </c>
      <c r="T254" s="269"/>
      <c r="U254" s="270"/>
      <c r="V254" s="5"/>
    </row>
    <row r="255" spans="1:23" ht="15.6" x14ac:dyDescent="0.3">
      <c r="A255" s="190"/>
      <c r="B255" s="243" t="s">
        <v>91</v>
      </c>
      <c r="C255" s="217"/>
      <c r="D255" s="217"/>
      <c r="E255" s="217"/>
      <c r="F255" s="191"/>
      <c r="G255" s="217"/>
      <c r="H255" s="217"/>
      <c r="I255" s="217"/>
      <c r="J255" s="217"/>
      <c r="K255" s="217"/>
      <c r="L255" s="217"/>
      <c r="M255" s="217"/>
      <c r="N255" s="217"/>
      <c r="O255" s="217"/>
      <c r="P255" s="243">
        <v>71</v>
      </c>
      <c r="Q255" s="274">
        <f t="shared" ref="Q255:Q262" si="7">P255/$P$264</f>
        <v>0.53383458646616544</v>
      </c>
      <c r="R255" s="251">
        <v>10389</v>
      </c>
      <c r="S255" s="274">
        <f t="shared" ref="S255:S262" si="8">R255/$R$264</f>
        <v>0.53985657867387238</v>
      </c>
      <c r="T255" s="191"/>
      <c r="U255" s="191"/>
      <c r="V255" s="5"/>
    </row>
    <row r="256" spans="1:23" ht="15.6" x14ac:dyDescent="0.3">
      <c r="A256" s="284"/>
      <c r="B256" s="338" t="s">
        <v>92</v>
      </c>
      <c r="C256" s="382"/>
      <c r="D256" s="382"/>
      <c r="E256" s="382"/>
      <c r="F256" s="311"/>
      <c r="G256" s="383"/>
      <c r="H256" s="382"/>
      <c r="I256" s="382"/>
      <c r="J256" s="382"/>
      <c r="K256" s="382"/>
      <c r="L256" s="382"/>
      <c r="M256" s="382"/>
      <c r="N256" s="382"/>
      <c r="O256" s="382"/>
      <c r="P256" s="338">
        <v>10</v>
      </c>
      <c r="Q256" s="384">
        <f t="shared" si="7"/>
        <v>7.5187969924812026E-2</v>
      </c>
      <c r="R256" s="339">
        <v>1171</v>
      </c>
      <c r="S256" s="384">
        <f t="shared" si="8"/>
        <v>6.0850135107046351E-2</v>
      </c>
      <c r="T256" s="311"/>
      <c r="U256" s="317"/>
      <c r="V256" s="5"/>
    </row>
    <row r="257" spans="1:22" ht="15.6" x14ac:dyDescent="0.3">
      <c r="A257" s="284"/>
      <c r="B257" s="338" t="s">
        <v>93</v>
      </c>
      <c r="C257" s="382"/>
      <c r="D257" s="382"/>
      <c r="E257" s="382"/>
      <c r="F257" s="311"/>
      <c r="G257" s="383"/>
      <c r="H257" s="382"/>
      <c r="I257" s="382"/>
      <c r="J257" s="382"/>
      <c r="K257" s="382"/>
      <c r="L257" s="382"/>
      <c r="M257" s="382"/>
      <c r="N257" s="382"/>
      <c r="O257" s="382"/>
      <c r="P257" s="338">
        <v>6</v>
      </c>
      <c r="Q257" s="384">
        <f t="shared" si="7"/>
        <v>4.5112781954887216E-2</v>
      </c>
      <c r="R257" s="339">
        <v>799</v>
      </c>
      <c r="S257" s="384">
        <f t="shared" si="8"/>
        <v>4.1519434628975262E-2</v>
      </c>
      <c r="T257" s="311"/>
      <c r="U257" s="317"/>
      <c r="V257" s="5"/>
    </row>
    <row r="258" spans="1:22" ht="15.6" x14ac:dyDescent="0.3">
      <c r="A258" s="284"/>
      <c r="B258" s="338" t="s">
        <v>163</v>
      </c>
      <c r="C258" s="382"/>
      <c r="D258" s="382"/>
      <c r="E258" s="382"/>
      <c r="F258" s="311"/>
      <c r="G258" s="383"/>
      <c r="H258" s="382"/>
      <c r="I258" s="382"/>
      <c r="J258" s="382"/>
      <c r="K258" s="382"/>
      <c r="L258" s="382"/>
      <c r="M258" s="382"/>
      <c r="N258" s="382"/>
      <c r="O258" s="382"/>
      <c r="P258" s="338">
        <v>3</v>
      </c>
      <c r="Q258" s="384">
        <f t="shared" si="7"/>
        <v>2.2556390977443608E-2</v>
      </c>
      <c r="R258" s="339">
        <v>533</v>
      </c>
      <c r="S258" s="384">
        <f t="shared" si="8"/>
        <v>2.7696944502182498E-2</v>
      </c>
      <c r="T258" s="311"/>
      <c r="U258" s="317"/>
      <c r="V258" s="5"/>
    </row>
    <row r="259" spans="1:22" ht="15.6" x14ac:dyDescent="0.3">
      <c r="A259" s="284"/>
      <c r="B259" s="338" t="s">
        <v>164</v>
      </c>
      <c r="C259" s="382"/>
      <c r="D259" s="382"/>
      <c r="E259" s="382"/>
      <c r="F259" s="311"/>
      <c r="G259" s="383"/>
      <c r="H259" s="382"/>
      <c r="I259" s="382"/>
      <c r="J259" s="382"/>
      <c r="K259" s="382"/>
      <c r="L259" s="382"/>
      <c r="M259" s="382"/>
      <c r="N259" s="382"/>
      <c r="O259" s="382"/>
      <c r="P259" s="338">
        <v>2</v>
      </c>
      <c r="Q259" s="384">
        <f t="shared" si="7"/>
        <v>1.5037593984962405E-2</v>
      </c>
      <c r="R259" s="339">
        <v>384</v>
      </c>
      <c r="S259" s="384">
        <f t="shared" si="8"/>
        <v>1.9954271461234671E-2</v>
      </c>
      <c r="T259" s="311"/>
      <c r="U259" s="317"/>
      <c r="V259" s="5"/>
    </row>
    <row r="260" spans="1:22" ht="15.6" x14ac:dyDescent="0.3">
      <c r="A260" s="284"/>
      <c r="B260" s="338" t="s">
        <v>165</v>
      </c>
      <c r="C260" s="382"/>
      <c r="D260" s="382"/>
      <c r="E260" s="382"/>
      <c r="F260" s="311"/>
      <c r="G260" s="383"/>
      <c r="H260" s="382"/>
      <c r="I260" s="382"/>
      <c r="J260" s="382"/>
      <c r="K260" s="382"/>
      <c r="L260" s="382"/>
      <c r="M260" s="382"/>
      <c r="N260" s="382"/>
      <c r="O260" s="382"/>
      <c r="P260" s="338">
        <v>7</v>
      </c>
      <c r="Q260" s="384">
        <f t="shared" si="7"/>
        <v>5.2631578947368418E-2</v>
      </c>
      <c r="R260" s="339">
        <v>863</v>
      </c>
      <c r="S260" s="384">
        <f t="shared" si="8"/>
        <v>4.4845146539181042E-2</v>
      </c>
      <c r="T260" s="311"/>
      <c r="U260" s="317"/>
      <c r="V260" s="5"/>
    </row>
    <row r="261" spans="1:22" ht="15.6" x14ac:dyDescent="0.3">
      <c r="A261" s="284"/>
      <c r="B261" s="338" t="s">
        <v>166</v>
      </c>
      <c r="C261" s="382"/>
      <c r="D261" s="382"/>
      <c r="E261" s="382"/>
      <c r="F261" s="311"/>
      <c r="G261" s="383"/>
      <c r="H261" s="382"/>
      <c r="I261" s="382"/>
      <c r="J261" s="382"/>
      <c r="K261" s="382"/>
      <c r="L261" s="382"/>
      <c r="M261" s="382"/>
      <c r="N261" s="382"/>
      <c r="O261" s="382"/>
      <c r="P261" s="338">
        <v>15</v>
      </c>
      <c r="Q261" s="384">
        <f t="shared" si="7"/>
        <v>0.11278195488721804</v>
      </c>
      <c r="R261" s="339">
        <v>2645</v>
      </c>
      <c r="S261" s="384">
        <f t="shared" si="8"/>
        <v>0.13744543753897318</v>
      </c>
      <c r="T261" s="311"/>
      <c r="U261" s="317"/>
      <c r="V261" s="5"/>
    </row>
    <row r="262" spans="1:22" ht="15.6" x14ac:dyDescent="0.3">
      <c r="A262" s="284"/>
      <c r="B262" s="338" t="s">
        <v>167</v>
      </c>
      <c r="C262" s="382"/>
      <c r="D262" s="382"/>
      <c r="E262" s="382"/>
      <c r="F262" s="311"/>
      <c r="G262" s="383"/>
      <c r="H262" s="382"/>
      <c r="I262" s="382"/>
      <c r="J262" s="382"/>
      <c r="K262" s="382"/>
      <c r="L262" s="382"/>
      <c r="M262" s="382"/>
      <c r="N262" s="382"/>
      <c r="O262" s="382"/>
      <c r="P262" s="338">
        <v>19</v>
      </c>
      <c r="Q262" s="384">
        <f t="shared" si="7"/>
        <v>0.14285714285714285</v>
      </c>
      <c r="R262" s="339">
        <v>2460</v>
      </c>
      <c r="S262" s="384">
        <f t="shared" si="8"/>
        <v>0.12783205154853461</v>
      </c>
      <c r="T262" s="311"/>
      <c r="U262" s="317"/>
      <c r="V262" s="5"/>
    </row>
    <row r="263" spans="1:22" ht="15.6" x14ac:dyDescent="0.3">
      <c r="A263" s="284"/>
      <c r="B263" s="338"/>
      <c r="C263" s="382"/>
      <c r="D263" s="382"/>
      <c r="E263" s="382"/>
      <c r="F263" s="311"/>
      <c r="G263" s="383"/>
      <c r="H263" s="382"/>
      <c r="I263" s="382"/>
      <c r="J263" s="382"/>
      <c r="K263" s="382"/>
      <c r="L263" s="382"/>
      <c r="M263" s="382"/>
      <c r="N263" s="382"/>
      <c r="O263" s="382"/>
      <c r="P263" s="338"/>
      <c r="Q263" s="384"/>
      <c r="R263" s="339"/>
      <c r="S263" s="384"/>
      <c r="T263" s="311"/>
      <c r="U263" s="317"/>
      <c r="V263" s="5"/>
    </row>
    <row r="264" spans="1:22" ht="15.6" x14ac:dyDescent="0.3">
      <c r="A264" s="284"/>
      <c r="B264" s="285" t="s">
        <v>120</v>
      </c>
      <c r="C264" s="311"/>
      <c r="D264" s="311"/>
      <c r="E264" s="311"/>
      <c r="F264" s="311"/>
      <c r="G264" s="311"/>
      <c r="H264" s="385"/>
      <c r="I264" s="385"/>
      <c r="J264" s="385"/>
      <c r="K264" s="385"/>
      <c r="L264" s="385"/>
      <c r="M264" s="385"/>
      <c r="N264" s="385"/>
      <c r="O264" s="385"/>
      <c r="P264" s="338">
        <f>SUM(P255:P263)</f>
        <v>133</v>
      </c>
      <c r="Q264" s="384">
        <f>SUM(Q255:Q263)</f>
        <v>1</v>
      </c>
      <c r="R264" s="339">
        <f>SUM(R255:R263)</f>
        <v>19244</v>
      </c>
      <c r="S264" s="384">
        <f>SUM(S255:S263)</f>
        <v>1</v>
      </c>
      <c r="T264" s="311"/>
      <c r="U264" s="317"/>
      <c r="V264" s="5"/>
    </row>
    <row r="265" spans="1:22" ht="15.6" x14ac:dyDescent="0.3">
      <c r="A265" s="175"/>
      <c r="B265" s="334"/>
      <c r="C265" s="334"/>
      <c r="D265" s="334"/>
      <c r="E265" s="334"/>
      <c r="F265" s="334"/>
      <c r="G265" s="334"/>
      <c r="H265" s="379"/>
      <c r="I265" s="379"/>
      <c r="J265" s="379"/>
      <c r="K265" s="379"/>
      <c r="L265" s="379"/>
      <c r="M265" s="379"/>
      <c r="N265" s="379"/>
      <c r="O265" s="379"/>
      <c r="P265" s="335"/>
      <c r="Q265" s="380"/>
      <c r="R265" s="381"/>
      <c r="S265" s="380"/>
      <c r="T265" s="334"/>
      <c r="U265" s="334"/>
      <c r="V265" s="5"/>
    </row>
    <row r="266" spans="1:22" ht="15.6" x14ac:dyDescent="0.3">
      <c r="A266" s="268"/>
      <c r="B266" s="252" t="s">
        <v>170</v>
      </c>
      <c r="C266" s="269"/>
      <c r="D266" s="269"/>
      <c r="E266" s="269"/>
      <c r="F266" s="269"/>
      <c r="G266" s="269"/>
      <c r="H266" s="271"/>
      <c r="I266" s="271"/>
      <c r="J266" s="271"/>
      <c r="K266" s="271"/>
      <c r="L266" s="271"/>
      <c r="M266" s="271"/>
      <c r="N266" s="271"/>
      <c r="O266" s="271"/>
      <c r="P266" s="267" t="s">
        <v>105</v>
      </c>
      <c r="Q266" s="253" t="s">
        <v>106</v>
      </c>
      <c r="R266" s="267" t="s">
        <v>114</v>
      </c>
      <c r="S266" s="253" t="s">
        <v>106</v>
      </c>
      <c r="T266" s="269"/>
      <c r="U266" s="270"/>
      <c r="V266" s="5"/>
    </row>
    <row r="267" spans="1:22" ht="15.6" x14ac:dyDescent="0.3">
      <c r="A267" s="190"/>
      <c r="B267" s="243" t="s">
        <v>91</v>
      </c>
      <c r="C267" s="239"/>
      <c r="D267" s="239"/>
      <c r="E267" s="239"/>
      <c r="F267" s="239"/>
      <c r="G267" s="239"/>
      <c r="H267" s="275"/>
      <c r="I267" s="275"/>
      <c r="J267" s="275"/>
      <c r="K267" s="275"/>
      <c r="L267" s="218"/>
      <c r="M267" s="218"/>
      <c r="N267" s="218"/>
      <c r="O267" s="218"/>
      <c r="P267" s="243">
        <v>0</v>
      </c>
      <c r="Q267" s="274">
        <v>0</v>
      </c>
      <c r="R267" s="251">
        <v>0</v>
      </c>
      <c r="S267" s="274">
        <v>0</v>
      </c>
      <c r="T267" s="239"/>
      <c r="U267" s="191"/>
      <c r="V267" s="5"/>
    </row>
    <row r="268" spans="1:22" ht="15.6" x14ac:dyDescent="0.3">
      <c r="A268" s="284"/>
      <c r="B268" s="338" t="s">
        <v>92</v>
      </c>
      <c r="C268" s="285"/>
      <c r="D268" s="285"/>
      <c r="E268" s="285"/>
      <c r="F268" s="285"/>
      <c r="G268" s="285"/>
      <c r="H268" s="387"/>
      <c r="I268" s="387"/>
      <c r="J268" s="387"/>
      <c r="K268" s="387"/>
      <c r="L268" s="385"/>
      <c r="M268" s="385"/>
      <c r="N268" s="385"/>
      <c r="O268" s="385"/>
      <c r="P268" s="338">
        <v>0</v>
      </c>
      <c r="Q268" s="384">
        <v>0</v>
      </c>
      <c r="R268" s="339">
        <v>0</v>
      </c>
      <c r="S268" s="384">
        <v>0</v>
      </c>
      <c r="T268" s="285"/>
      <c r="U268" s="317"/>
      <c r="V268" s="5"/>
    </row>
    <row r="269" spans="1:22" ht="15.6" x14ac:dyDescent="0.3">
      <c r="A269" s="284"/>
      <c r="B269" s="338" t="s">
        <v>93</v>
      </c>
      <c r="C269" s="285"/>
      <c r="D269" s="285"/>
      <c r="E269" s="285"/>
      <c r="F269" s="285"/>
      <c r="G269" s="285"/>
      <c r="H269" s="387"/>
      <c r="I269" s="387"/>
      <c r="J269" s="387"/>
      <c r="K269" s="387"/>
      <c r="L269" s="385"/>
      <c r="M269" s="385"/>
      <c r="N269" s="385"/>
      <c r="O269" s="385"/>
      <c r="P269" s="338">
        <v>0</v>
      </c>
      <c r="Q269" s="384">
        <v>0</v>
      </c>
      <c r="R269" s="339">
        <v>0</v>
      </c>
      <c r="S269" s="384">
        <v>0</v>
      </c>
      <c r="T269" s="285"/>
      <c r="U269" s="317"/>
      <c r="V269" s="5"/>
    </row>
    <row r="270" spans="1:22" ht="15.6" x14ac:dyDescent="0.3">
      <c r="A270" s="284"/>
      <c r="B270" s="338" t="s">
        <v>163</v>
      </c>
      <c r="C270" s="285"/>
      <c r="D270" s="285"/>
      <c r="E270" s="285"/>
      <c r="F270" s="285"/>
      <c r="G270" s="285"/>
      <c r="H270" s="387"/>
      <c r="I270" s="387"/>
      <c r="J270" s="387"/>
      <c r="K270" s="387"/>
      <c r="L270" s="385"/>
      <c r="M270" s="385"/>
      <c r="N270" s="385"/>
      <c r="O270" s="385"/>
      <c r="P270" s="338">
        <v>0</v>
      </c>
      <c r="Q270" s="384">
        <v>0</v>
      </c>
      <c r="R270" s="339">
        <v>0</v>
      </c>
      <c r="S270" s="384">
        <v>0</v>
      </c>
      <c r="T270" s="285"/>
      <c r="U270" s="317"/>
      <c r="V270" s="5"/>
    </row>
    <row r="271" spans="1:22" ht="15.6" x14ac:dyDescent="0.3">
      <c r="A271" s="284"/>
      <c r="B271" s="338" t="s">
        <v>164</v>
      </c>
      <c r="C271" s="285"/>
      <c r="D271" s="285"/>
      <c r="E271" s="285"/>
      <c r="F271" s="285"/>
      <c r="G271" s="285"/>
      <c r="H271" s="387"/>
      <c r="I271" s="387"/>
      <c r="J271" s="387"/>
      <c r="K271" s="387"/>
      <c r="L271" s="385"/>
      <c r="M271" s="385"/>
      <c r="N271" s="385"/>
      <c r="O271" s="385"/>
      <c r="P271" s="338">
        <v>0</v>
      </c>
      <c r="Q271" s="384">
        <v>0</v>
      </c>
      <c r="R271" s="339">
        <v>0</v>
      </c>
      <c r="S271" s="384">
        <v>0</v>
      </c>
      <c r="T271" s="285"/>
      <c r="U271" s="317"/>
      <c r="V271" s="5"/>
    </row>
    <row r="272" spans="1:22" ht="15.6" x14ac:dyDescent="0.3">
      <c r="A272" s="284"/>
      <c r="B272" s="338" t="s">
        <v>165</v>
      </c>
      <c r="C272" s="285"/>
      <c r="D272" s="285"/>
      <c r="E272" s="285"/>
      <c r="F272" s="285"/>
      <c r="G272" s="285"/>
      <c r="H272" s="387"/>
      <c r="I272" s="387"/>
      <c r="J272" s="387"/>
      <c r="K272" s="387"/>
      <c r="L272" s="385"/>
      <c r="M272" s="385"/>
      <c r="N272" s="385"/>
      <c r="O272" s="385"/>
      <c r="P272" s="338">
        <v>0</v>
      </c>
      <c r="Q272" s="384">
        <v>0</v>
      </c>
      <c r="R272" s="339">
        <v>0</v>
      </c>
      <c r="S272" s="384">
        <v>0</v>
      </c>
      <c r="T272" s="285"/>
      <c r="U272" s="317"/>
      <c r="V272" s="5"/>
    </row>
    <row r="273" spans="1:22" ht="15.6" x14ac:dyDescent="0.3">
      <c r="A273" s="284"/>
      <c r="B273" s="338" t="s">
        <v>166</v>
      </c>
      <c r="C273" s="285"/>
      <c r="D273" s="285"/>
      <c r="E273" s="285"/>
      <c r="F273" s="285"/>
      <c r="G273" s="285"/>
      <c r="H273" s="387"/>
      <c r="I273" s="387"/>
      <c r="J273" s="387"/>
      <c r="K273" s="387"/>
      <c r="L273" s="385"/>
      <c r="M273" s="385"/>
      <c r="N273" s="385"/>
      <c r="O273" s="385"/>
      <c r="P273" s="338">
        <v>0</v>
      </c>
      <c r="Q273" s="384">
        <v>0</v>
      </c>
      <c r="R273" s="339">
        <v>0</v>
      </c>
      <c r="S273" s="384">
        <v>0</v>
      </c>
      <c r="T273" s="285"/>
      <c r="U273" s="317"/>
      <c r="V273" s="5"/>
    </row>
    <row r="274" spans="1:22" ht="15.6" x14ac:dyDescent="0.3">
      <c r="A274" s="284"/>
      <c r="B274" s="338" t="s">
        <v>167</v>
      </c>
      <c r="C274" s="285"/>
      <c r="D274" s="285"/>
      <c r="E274" s="285"/>
      <c r="F274" s="285"/>
      <c r="G274" s="285"/>
      <c r="H274" s="387"/>
      <c r="I274" s="387"/>
      <c r="J274" s="387"/>
      <c r="K274" s="387"/>
      <c r="L274" s="385"/>
      <c r="M274" s="385"/>
      <c r="N274" s="385"/>
      <c r="O274" s="385"/>
      <c r="P274" s="338">
        <v>1</v>
      </c>
      <c r="Q274" s="384">
        <v>1</v>
      </c>
      <c r="R274" s="339">
        <v>110</v>
      </c>
      <c r="S274" s="384">
        <v>1</v>
      </c>
      <c r="T274" s="285"/>
      <c r="U274" s="317"/>
      <c r="V274" s="5"/>
    </row>
    <row r="275" spans="1:22" ht="15.6" x14ac:dyDescent="0.3">
      <c r="A275" s="284"/>
      <c r="B275" s="338"/>
      <c r="C275" s="285"/>
      <c r="D275" s="285"/>
      <c r="E275" s="285"/>
      <c r="F275" s="285"/>
      <c r="G275" s="285"/>
      <c r="H275" s="387"/>
      <c r="I275" s="387"/>
      <c r="J275" s="387"/>
      <c r="K275" s="387"/>
      <c r="L275" s="385"/>
      <c r="M275" s="385"/>
      <c r="N275" s="385"/>
      <c r="O275" s="385"/>
      <c r="P275" s="338"/>
      <c r="Q275" s="384"/>
      <c r="R275" s="339"/>
      <c r="S275" s="384"/>
      <c r="T275" s="285"/>
      <c r="U275" s="317"/>
      <c r="V275" s="5"/>
    </row>
    <row r="276" spans="1:22" ht="15.6" x14ac:dyDescent="0.3">
      <c r="A276" s="284"/>
      <c r="B276" s="285" t="s">
        <v>120</v>
      </c>
      <c r="C276" s="285"/>
      <c r="D276" s="285"/>
      <c r="E276" s="285"/>
      <c r="F276" s="285"/>
      <c r="G276" s="285"/>
      <c r="H276" s="387"/>
      <c r="I276" s="387"/>
      <c r="J276" s="387"/>
      <c r="K276" s="387"/>
      <c r="L276" s="385"/>
      <c r="M276" s="385"/>
      <c r="N276" s="385"/>
      <c r="O276" s="385"/>
      <c r="P276" s="338">
        <f>SUM(P267:P274)</f>
        <v>1</v>
      </c>
      <c r="Q276" s="384">
        <f>SUM(Q267:Q275)</f>
        <v>1</v>
      </c>
      <c r="R276" s="339">
        <f>SUM(R267:R274)</f>
        <v>110</v>
      </c>
      <c r="S276" s="384">
        <f>SUM(S267:S275)</f>
        <v>1</v>
      </c>
      <c r="T276" s="285"/>
      <c r="U276" s="317"/>
      <c r="V276" s="5"/>
    </row>
    <row r="277" spans="1:22" ht="15.6" x14ac:dyDescent="0.3">
      <c r="A277" s="284"/>
      <c r="B277" s="285"/>
      <c r="C277" s="285"/>
      <c r="D277" s="285"/>
      <c r="E277" s="285"/>
      <c r="F277" s="285"/>
      <c r="G277" s="285"/>
      <c r="H277" s="387"/>
      <c r="I277" s="387"/>
      <c r="J277" s="387"/>
      <c r="K277" s="387"/>
      <c r="L277" s="385"/>
      <c r="M277" s="385"/>
      <c r="N277" s="385"/>
      <c r="O277" s="385"/>
      <c r="P277" s="344"/>
      <c r="Q277" s="388"/>
      <c r="R277" s="345"/>
      <c r="S277" s="388"/>
      <c r="T277" s="311"/>
      <c r="U277" s="317"/>
      <c r="V277" s="5"/>
    </row>
    <row r="278" spans="1:22" ht="15.6" x14ac:dyDescent="0.3">
      <c r="A278" s="284"/>
      <c r="B278" s="294" t="s">
        <v>171</v>
      </c>
      <c r="C278" s="285"/>
      <c r="D278" s="285"/>
      <c r="E278" s="285"/>
      <c r="F278" s="285"/>
      <c r="G278" s="285"/>
      <c r="H278" s="387"/>
      <c r="I278" s="387"/>
      <c r="J278" s="387"/>
      <c r="K278" s="387"/>
      <c r="L278" s="385"/>
      <c r="M278" s="385"/>
      <c r="N278" s="385"/>
      <c r="O278" s="385"/>
      <c r="P278" s="389">
        <f>P276+P264+P252</f>
        <v>4472</v>
      </c>
      <c r="Q278" s="390"/>
      <c r="R278" s="391">
        <f>+R276+R264+R252</f>
        <v>596913</v>
      </c>
      <c r="S278" s="390"/>
      <c r="T278" s="311"/>
      <c r="U278" s="317"/>
      <c r="V278" s="5"/>
    </row>
    <row r="279" spans="1:22" ht="15.6" x14ac:dyDescent="0.3">
      <c r="A279" s="175"/>
      <c r="B279" s="281"/>
      <c r="C279" s="281"/>
      <c r="D279" s="281"/>
      <c r="E279" s="281"/>
      <c r="F279" s="281"/>
      <c r="G279" s="281"/>
      <c r="H279" s="386"/>
      <c r="I279" s="386"/>
      <c r="J279" s="386"/>
      <c r="K279" s="386"/>
      <c r="L279" s="379"/>
      <c r="M279" s="379"/>
      <c r="N279" s="379"/>
      <c r="O279" s="379"/>
      <c r="P279" s="379"/>
      <c r="Q279" s="379"/>
      <c r="R279" s="381"/>
      <c r="S279" s="379"/>
      <c r="T279" s="334"/>
      <c r="U279" s="334"/>
      <c r="V279" s="5"/>
    </row>
    <row r="280" spans="1:22" ht="15.6" x14ac:dyDescent="0.3">
      <c r="A280" s="175"/>
      <c r="B280" s="231"/>
      <c r="C280" s="231"/>
      <c r="D280" s="231"/>
      <c r="E280" s="231"/>
      <c r="F280" s="231"/>
      <c r="G280" s="231"/>
      <c r="H280" s="276"/>
      <c r="I280" s="276"/>
      <c r="J280" s="276"/>
      <c r="K280" s="276"/>
      <c r="L280" s="219"/>
      <c r="M280" s="219"/>
      <c r="N280" s="219"/>
      <c r="O280" s="219"/>
      <c r="P280" s="219"/>
      <c r="Q280" s="219"/>
      <c r="R280" s="220"/>
      <c r="S280" s="219"/>
      <c r="T280" s="177"/>
      <c r="U280" s="177"/>
      <c r="V280" s="5"/>
    </row>
    <row r="281" spans="1:22" ht="15.6" x14ac:dyDescent="0.3">
      <c r="A281" s="221"/>
      <c r="B281" s="230" t="s">
        <v>94</v>
      </c>
      <c r="C281" s="231"/>
      <c r="D281" s="231"/>
      <c r="E281" s="231"/>
      <c r="F281" s="236" t="s">
        <v>100</v>
      </c>
      <c r="G281" s="231"/>
      <c r="H281" s="230" t="s">
        <v>102</v>
      </c>
      <c r="I281" s="277"/>
      <c r="J281" s="277"/>
      <c r="K281" s="277"/>
      <c r="L281" s="188"/>
      <c r="M281" s="188"/>
      <c r="N281" s="188"/>
      <c r="O281" s="188"/>
      <c r="P281" s="188"/>
      <c r="Q281" s="188"/>
      <c r="R281" s="188"/>
      <c r="S281" s="188"/>
      <c r="T281" s="188"/>
      <c r="U281" s="188"/>
      <c r="V281" s="5"/>
    </row>
    <row r="282" spans="1:22" ht="15.6" x14ac:dyDescent="0.3">
      <c r="A282" s="221"/>
      <c r="B282" s="230" t="s">
        <v>95</v>
      </c>
      <c r="C282" s="230"/>
      <c r="D282" s="230"/>
      <c r="E282" s="230"/>
      <c r="F282" s="278" t="s">
        <v>154</v>
      </c>
      <c r="G282" s="230"/>
      <c r="H282" s="230" t="s">
        <v>158</v>
      </c>
      <c r="I282" s="277"/>
      <c r="J282" s="277"/>
      <c r="K282" s="277"/>
      <c r="L282" s="188"/>
      <c r="M282" s="188"/>
      <c r="N282" s="188"/>
      <c r="O282" s="188"/>
      <c r="P282" s="188"/>
      <c r="Q282" s="188"/>
      <c r="R282" s="188"/>
      <c r="S282" s="188"/>
      <c r="T282" s="188"/>
      <c r="U282" s="188"/>
      <c r="V282" s="5"/>
    </row>
    <row r="283" spans="1:22" ht="15.6" x14ac:dyDescent="0.3">
      <c r="A283" s="221"/>
      <c r="B283" s="230" t="s">
        <v>268</v>
      </c>
      <c r="C283" s="230"/>
      <c r="D283" s="230"/>
      <c r="E283" s="230"/>
      <c r="F283" s="278" t="s">
        <v>269</v>
      </c>
      <c r="G283" s="230"/>
      <c r="H283" s="230" t="s">
        <v>270</v>
      </c>
      <c r="I283" s="277"/>
      <c r="J283" s="277"/>
      <c r="K283" s="277"/>
      <c r="L283" s="188"/>
      <c r="M283" s="188"/>
      <c r="N283" s="188"/>
      <c r="O283" s="188"/>
      <c r="P283" s="188"/>
      <c r="Q283" s="188"/>
      <c r="R283" s="188"/>
      <c r="S283" s="188"/>
      <c r="T283" s="188"/>
      <c r="U283" s="188"/>
      <c r="V283" s="5"/>
    </row>
    <row r="284" spans="1:22" ht="15.6" x14ac:dyDescent="0.3">
      <c r="A284" s="221"/>
      <c r="B284" s="230" t="s">
        <v>96</v>
      </c>
      <c r="C284" s="230"/>
      <c r="D284" s="230"/>
      <c r="E284" s="230"/>
      <c r="F284" s="278" t="s">
        <v>153</v>
      </c>
      <c r="G284" s="230"/>
      <c r="H284" s="230" t="s">
        <v>159</v>
      </c>
      <c r="I284" s="277"/>
      <c r="J284" s="277"/>
      <c r="K284" s="277"/>
      <c r="L284" s="188"/>
      <c r="M284" s="188"/>
      <c r="N284" s="188"/>
      <c r="O284" s="188"/>
      <c r="P284" s="188"/>
      <c r="Q284" s="188"/>
      <c r="R284" s="188"/>
      <c r="S284" s="188"/>
      <c r="T284" s="188"/>
      <c r="U284" s="188"/>
      <c r="V284" s="5"/>
    </row>
    <row r="285" spans="1:22" ht="15.6" x14ac:dyDescent="0.3">
      <c r="A285" s="221"/>
      <c r="B285" s="230"/>
      <c r="C285" s="230"/>
      <c r="D285" s="230"/>
      <c r="E285" s="230"/>
      <c r="F285" s="230"/>
      <c r="G285" s="279"/>
      <c r="H285" s="277"/>
      <c r="I285" s="277"/>
      <c r="J285" s="277"/>
      <c r="K285" s="277"/>
      <c r="L285" s="188"/>
      <c r="M285" s="188"/>
      <c r="N285" s="188"/>
      <c r="O285" s="188"/>
      <c r="P285" s="188"/>
      <c r="Q285" s="188"/>
      <c r="R285" s="188"/>
      <c r="S285" s="188"/>
      <c r="T285" s="188"/>
      <c r="U285" s="188"/>
      <c r="V285" s="5"/>
    </row>
    <row r="286" spans="1:22" ht="15.6" x14ac:dyDescent="0.3">
      <c r="A286" s="221"/>
      <c r="B286" s="230"/>
      <c r="C286" s="230"/>
      <c r="D286" s="230"/>
      <c r="E286" s="230"/>
      <c r="F286" s="230"/>
      <c r="G286" s="279"/>
      <c r="H286" s="277"/>
      <c r="I286" s="277"/>
      <c r="J286" s="277"/>
      <c r="K286" s="277"/>
      <c r="L286" s="188"/>
      <c r="M286" s="188"/>
      <c r="N286" s="188"/>
      <c r="O286" s="188"/>
      <c r="P286" s="188"/>
      <c r="Q286" s="188"/>
      <c r="R286" s="188"/>
      <c r="S286" s="188"/>
      <c r="T286" s="188"/>
      <c r="U286" s="188"/>
      <c r="V286" s="5"/>
    </row>
    <row r="287" spans="1:22" ht="18" thickBot="1" x14ac:dyDescent="0.35">
      <c r="A287" s="221"/>
      <c r="B287" s="280" t="str">
        <f>B192</f>
        <v>PM11 INVESTOR REPORT QUARTER ENDING JUNE 2010</v>
      </c>
      <c r="C287" s="230"/>
      <c r="D287" s="230"/>
      <c r="E287" s="230"/>
      <c r="F287" s="230"/>
      <c r="G287" s="279"/>
      <c r="H287" s="277"/>
      <c r="I287" s="277"/>
      <c r="J287" s="277"/>
      <c r="K287" s="277"/>
      <c r="L287" s="188"/>
      <c r="M287" s="188"/>
      <c r="N287" s="188"/>
      <c r="O287" s="188"/>
      <c r="P287" s="188"/>
      <c r="Q287" s="188"/>
      <c r="R287" s="188"/>
      <c r="S287" s="188"/>
      <c r="T287" s="188"/>
      <c r="U287" s="188"/>
      <c r="V287" s="5"/>
    </row>
    <row r="288" spans="1:22" x14ac:dyDescent="0.25">
      <c r="A288" s="100"/>
      <c r="B288" s="100"/>
      <c r="C288" s="100"/>
      <c r="D288" s="100"/>
      <c r="E288" s="100"/>
      <c r="F288" s="100"/>
      <c r="G288" s="100"/>
      <c r="H288" s="100"/>
      <c r="I288" s="100"/>
      <c r="J288" s="100"/>
      <c r="K288" s="100"/>
      <c r="L288" s="100"/>
      <c r="M288" s="100"/>
      <c r="N288" s="100"/>
      <c r="O288" s="100"/>
      <c r="P288" s="100"/>
      <c r="Q288" s="100"/>
      <c r="R288" s="100"/>
      <c r="S288" s="100"/>
      <c r="T288" s="100"/>
      <c r="U288" s="100"/>
    </row>
  </sheetData>
  <phoneticPr fontId="0" type="noConversion"/>
  <hyperlinks>
    <hyperlink ref="N228" r:id="rId1" xr:uid="{00000000-0004-0000-1000-000000000000}"/>
    <hyperlink ref="J9" r:id="rId2" xr:uid="{00000000-0004-0000-10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4" max="21" man="1"/>
    <brk id="132" max="14" man="1"/>
    <brk id="192" max="14" man="1"/>
  </rowBreaks>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2D2926"/>
  </sheetPr>
  <dimension ref="A1:X288"/>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08984375" style="1" customWidth="1"/>
    <col min="10" max="10" width="17.81640625" style="1" customWidth="1"/>
    <col min="11" max="11" width="2.1796875" style="1" customWidth="1"/>
    <col min="12" max="12" width="14.81640625" style="1" customWidth="1"/>
    <col min="13" max="13" width="2.1796875" style="1" customWidth="1"/>
    <col min="14" max="14" width="15.54296875" style="1" customWidth="1"/>
    <col min="15" max="15" width="2.08984375" style="1" customWidth="1"/>
    <col min="16" max="16" width="15.54296875" style="1" customWidth="1"/>
    <col min="17" max="18" width="12.81640625" style="1" customWidth="1"/>
    <col min="19" max="19" width="7.81640625" style="1" customWidth="1"/>
    <col min="20" max="20" width="14.81640625" style="1" customWidth="1"/>
    <col min="21" max="21" width="11.81640625" style="1" customWidth="1"/>
    <col min="22" max="16384" width="9.81640625" style="1"/>
  </cols>
  <sheetData>
    <row r="1" spans="1:22" ht="20.399999999999999" x14ac:dyDescent="0.35">
      <c r="A1" s="173"/>
      <c r="B1" s="228" t="s">
        <v>228</v>
      </c>
      <c r="C1" s="174"/>
      <c r="D1" s="174"/>
      <c r="E1" s="174"/>
      <c r="F1" s="174"/>
      <c r="G1" s="174"/>
      <c r="H1" s="174"/>
      <c r="I1" s="174"/>
      <c r="J1" s="174"/>
      <c r="K1" s="174"/>
      <c r="L1" s="174"/>
      <c r="M1" s="174"/>
      <c r="N1" s="174"/>
      <c r="O1" s="174"/>
      <c r="P1" s="174"/>
      <c r="Q1" s="174"/>
      <c r="R1" s="174"/>
      <c r="S1" s="174"/>
      <c r="T1" s="174"/>
      <c r="U1" s="174"/>
      <c r="V1" s="5"/>
    </row>
    <row r="2" spans="1:22" ht="15.6" x14ac:dyDescent="0.3">
      <c r="A2" s="175"/>
      <c r="B2" s="176"/>
      <c r="C2" s="177"/>
      <c r="D2" s="177"/>
      <c r="E2" s="177"/>
      <c r="F2" s="177"/>
      <c r="G2" s="177"/>
      <c r="H2" s="177"/>
      <c r="I2" s="177"/>
      <c r="J2" s="177"/>
      <c r="K2" s="177"/>
      <c r="L2" s="177"/>
      <c r="M2" s="177"/>
      <c r="N2" s="177"/>
      <c r="O2" s="177"/>
      <c r="P2" s="177"/>
      <c r="Q2" s="177"/>
      <c r="R2" s="177"/>
      <c r="S2" s="177"/>
      <c r="T2" s="177"/>
      <c r="U2" s="177"/>
      <c r="V2" s="5"/>
    </row>
    <row r="3" spans="1:22" ht="15.6" x14ac:dyDescent="0.3">
      <c r="A3" s="178"/>
      <c r="B3" s="179" t="s">
        <v>229</v>
      </c>
      <c r="C3" s="177"/>
      <c r="D3" s="177"/>
      <c r="E3" s="177"/>
      <c r="F3" s="177"/>
      <c r="G3" s="177"/>
      <c r="H3" s="177"/>
      <c r="I3" s="177"/>
      <c r="J3" s="177"/>
      <c r="K3" s="177"/>
      <c r="L3" s="177"/>
      <c r="M3" s="177"/>
      <c r="N3" s="177"/>
      <c r="O3" s="177"/>
      <c r="P3" s="177"/>
      <c r="Q3" s="177"/>
      <c r="R3" s="177"/>
      <c r="S3" s="177"/>
      <c r="T3" s="177"/>
      <c r="U3" s="177"/>
      <c r="V3" s="5"/>
    </row>
    <row r="4" spans="1:22" ht="15.6" x14ac:dyDescent="0.3">
      <c r="A4" s="175"/>
      <c r="B4" s="176"/>
      <c r="C4" s="177"/>
      <c r="D4" s="177"/>
      <c r="E4" s="177"/>
      <c r="F4" s="177"/>
      <c r="G4" s="177"/>
      <c r="H4" s="177"/>
      <c r="I4" s="177"/>
      <c r="J4" s="177"/>
      <c r="K4" s="177"/>
      <c r="L4" s="177"/>
      <c r="M4" s="177"/>
      <c r="N4" s="177"/>
      <c r="O4" s="177"/>
      <c r="P4" s="177"/>
      <c r="Q4" s="177"/>
      <c r="R4" s="177"/>
      <c r="S4" s="177"/>
      <c r="T4" s="177"/>
      <c r="U4" s="177"/>
      <c r="V4" s="5"/>
    </row>
    <row r="5" spans="1:22" ht="15.6" x14ac:dyDescent="0.3">
      <c r="A5" s="175"/>
      <c r="B5" s="229" t="s">
        <v>143</v>
      </c>
      <c r="C5" s="177"/>
      <c r="D5" s="177"/>
      <c r="E5" s="177"/>
      <c r="F5" s="177"/>
      <c r="G5" s="177"/>
      <c r="H5" s="177"/>
      <c r="I5" s="177"/>
      <c r="J5" s="177"/>
      <c r="K5" s="177"/>
      <c r="L5" s="177"/>
      <c r="M5" s="177"/>
      <c r="N5" s="177"/>
      <c r="O5" s="177"/>
      <c r="P5" s="177"/>
      <c r="Q5" s="177"/>
      <c r="R5" s="177"/>
      <c r="S5" s="177"/>
      <c r="T5" s="177"/>
      <c r="U5" s="177"/>
      <c r="V5" s="5"/>
    </row>
    <row r="6" spans="1:22" ht="15.6" x14ac:dyDescent="0.3">
      <c r="A6" s="175"/>
      <c r="B6" s="229" t="s">
        <v>145</v>
      </c>
      <c r="C6" s="177"/>
      <c r="D6" s="177"/>
      <c r="E6" s="177"/>
      <c r="F6" s="177"/>
      <c r="G6" s="177"/>
      <c r="H6" s="177"/>
      <c r="I6" s="177"/>
      <c r="J6" s="177"/>
      <c r="K6" s="177"/>
      <c r="L6" s="177"/>
      <c r="M6" s="177"/>
      <c r="N6" s="177"/>
      <c r="O6" s="177"/>
      <c r="P6" s="177"/>
      <c r="Q6" s="177"/>
      <c r="R6" s="177"/>
      <c r="S6" s="177"/>
      <c r="T6" s="177"/>
      <c r="U6" s="177"/>
      <c r="V6" s="5"/>
    </row>
    <row r="7" spans="1:22" ht="15.6" x14ac:dyDescent="0.3">
      <c r="A7" s="175"/>
      <c r="B7" s="229" t="s">
        <v>144</v>
      </c>
      <c r="C7" s="177"/>
      <c r="D7" s="177"/>
      <c r="E7" s="177"/>
      <c r="F7" s="177"/>
      <c r="G7" s="177"/>
      <c r="H7" s="177"/>
      <c r="I7" s="177"/>
      <c r="J7" s="177"/>
      <c r="K7" s="177"/>
      <c r="L7" s="177"/>
      <c r="M7" s="177"/>
      <c r="N7" s="177"/>
      <c r="O7" s="177"/>
      <c r="P7" s="177"/>
      <c r="Q7" s="177"/>
      <c r="R7" s="177"/>
      <c r="S7" s="177"/>
      <c r="T7" s="177"/>
      <c r="U7" s="177"/>
      <c r="V7" s="5"/>
    </row>
    <row r="8" spans="1:22" ht="15.6" x14ac:dyDescent="0.3">
      <c r="A8" s="175"/>
      <c r="B8" s="180"/>
      <c r="C8" s="177"/>
      <c r="D8" s="177"/>
      <c r="E8" s="177"/>
      <c r="F8" s="177"/>
      <c r="G8" s="177"/>
      <c r="H8" s="177"/>
      <c r="I8" s="177"/>
      <c r="J8" s="177"/>
      <c r="K8" s="177"/>
      <c r="L8" s="177"/>
      <c r="M8" s="177"/>
      <c r="N8" s="177"/>
      <c r="O8" s="177"/>
      <c r="P8" s="177"/>
      <c r="Q8" s="177"/>
      <c r="R8" s="177"/>
      <c r="S8" s="177"/>
      <c r="T8" s="177"/>
      <c r="U8" s="177"/>
      <c r="V8" s="5"/>
    </row>
    <row r="9" spans="1:22" ht="17.399999999999999" x14ac:dyDescent="0.3">
      <c r="A9" s="175"/>
      <c r="B9" s="181" t="s">
        <v>173</v>
      </c>
      <c r="C9" s="177"/>
      <c r="D9" s="177"/>
      <c r="E9" s="177"/>
      <c r="F9" s="177"/>
      <c r="G9" s="177"/>
      <c r="H9" s="177"/>
      <c r="I9" s="177"/>
      <c r="J9" s="182" t="s">
        <v>174</v>
      </c>
      <c r="K9" s="177"/>
      <c r="L9" s="182"/>
      <c r="M9" s="177"/>
      <c r="N9" s="177"/>
      <c r="O9" s="177"/>
      <c r="P9" s="177"/>
      <c r="Q9" s="177"/>
      <c r="R9" s="177"/>
      <c r="S9" s="177"/>
      <c r="T9" s="177"/>
      <c r="U9" s="177"/>
      <c r="V9" s="5"/>
    </row>
    <row r="10" spans="1:22" ht="15.6" x14ac:dyDescent="0.3">
      <c r="A10" s="175"/>
      <c r="B10" s="180"/>
      <c r="C10" s="183"/>
      <c r="D10" s="183"/>
      <c r="E10" s="183"/>
      <c r="F10" s="177"/>
      <c r="G10" s="177"/>
      <c r="H10" s="177"/>
      <c r="I10" s="177"/>
      <c r="J10" s="177"/>
      <c r="K10" s="177"/>
      <c r="L10" s="177"/>
      <c r="M10" s="177"/>
      <c r="N10" s="177"/>
      <c r="O10" s="177"/>
      <c r="P10" s="177"/>
      <c r="Q10" s="177"/>
      <c r="R10" s="177"/>
      <c r="S10" s="177"/>
      <c r="T10" s="177"/>
      <c r="U10" s="177"/>
      <c r="V10" s="5"/>
    </row>
    <row r="11" spans="1:22" ht="15.6" x14ac:dyDescent="0.3">
      <c r="A11" s="175"/>
      <c r="B11" s="230" t="s">
        <v>0</v>
      </c>
      <c r="C11" s="177"/>
      <c r="D11" s="177"/>
      <c r="E11" s="177"/>
      <c r="F11" s="177"/>
      <c r="G11" s="177"/>
      <c r="H11" s="177"/>
      <c r="I11" s="177"/>
      <c r="J11" s="177"/>
      <c r="K11" s="177"/>
      <c r="L11" s="177"/>
      <c r="M11" s="177"/>
      <c r="N11" s="177"/>
      <c r="O11" s="177"/>
      <c r="P11" s="177"/>
      <c r="Q11" s="177"/>
      <c r="R11" s="177"/>
      <c r="S11" s="177"/>
      <c r="T11" s="177"/>
      <c r="U11" s="177"/>
      <c r="V11" s="5"/>
    </row>
    <row r="12" spans="1:22" ht="16.2" thickBot="1" x14ac:dyDescent="0.35">
      <c r="A12" s="175"/>
      <c r="B12" s="183"/>
      <c r="C12" s="177"/>
      <c r="D12" s="177"/>
      <c r="E12" s="177"/>
      <c r="F12" s="177"/>
      <c r="G12" s="177"/>
      <c r="H12" s="177"/>
      <c r="I12" s="177"/>
      <c r="J12" s="177"/>
      <c r="K12" s="177"/>
      <c r="L12" s="177"/>
      <c r="M12" s="177"/>
      <c r="N12" s="177"/>
      <c r="O12" s="177"/>
      <c r="P12" s="177"/>
      <c r="Q12" s="177"/>
      <c r="R12" s="177"/>
      <c r="S12" s="177"/>
      <c r="T12" s="177"/>
      <c r="U12" s="177"/>
      <c r="V12" s="5"/>
    </row>
    <row r="13" spans="1:22" ht="15.6" x14ac:dyDescent="0.3">
      <c r="A13" s="173"/>
      <c r="B13" s="174"/>
      <c r="C13" s="174"/>
      <c r="D13" s="174"/>
      <c r="E13" s="174"/>
      <c r="F13" s="174"/>
      <c r="G13" s="174"/>
      <c r="H13" s="174"/>
      <c r="I13" s="174"/>
      <c r="J13" s="174"/>
      <c r="K13" s="174"/>
      <c r="L13" s="174"/>
      <c r="M13" s="174"/>
      <c r="N13" s="174"/>
      <c r="O13" s="174"/>
      <c r="P13" s="174"/>
      <c r="Q13" s="174"/>
      <c r="R13" s="174"/>
      <c r="S13" s="174"/>
      <c r="T13" s="174"/>
      <c r="U13" s="174"/>
      <c r="V13" s="5"/>
    </row>
    <row r="14" spans="1:22" ht="15.6" x14ac:dyDescent="0.3">
      <c r="A14" s="175"/>
      <c r="B14" s="230" t="s">
        <v>1</v>
      </c>
      <c r="C14" s="184"/>
      <c r="D14" s="184"/>
      <c r="E14" s="184"/>
      <c r="F14" s="184"/>
      <c r="G14" s="184"/>
      <c r="H14" s="184"/>
      <c r="I14" s="184"/>
      <c r="J14" s="184"/>
      <c r="K14" s="184"/>
      <c r="L14" s="184"/>
      <c r="M14" s="184"/>
      <c r="N14" s="184"/>
      <c r="O14" s="184"/>
      <c r="P14" s="231"/>
      <c r="Q14" s="231"/>
      <c r="R14" s="231"/>
      <c r="S14" s="231"/>
      <c r="T14" s="233" t="s">
        <v>230</v>
      </c>
      <c r="U14" s="184"/>
      <c r="V14" s="5"/>
    </row>
    <row r="15" spans="1:22" ht="15.6" x14ac:dyDescent="0.3">
      <c r="A15" s="175"/>
      <c r="B15" s="230" t="s">
        <v>2</v>
      </c>
      <c r="C15" s="184"/>
      <c r="D15" s="184"/>
      <c r="E15" s="184"/>
      <c r="F15" s="184"/>
      <c r="G15" s="184"/>
      <c r="H15" s="185"/>
      <c r="I15" s="185"/>
      <c r="J15" s="185"/>
      <c r="K15" s="185"/>
      <c r="L15" s="185"/>
      <c r="M15" s="185"/>
      <c r="N15" s="185"/>
      <c r="O15" s="185"/>
      <c r="P15" s="234" t="s">
        <v>107</v>
      </c>
      <c r="Q15" s="235">
        <v>0.40749999999999997</v>
      </c>
      <c r="R15" s="236" t="s">
        <v>146</v>
      </c>
      <c r="S15" s="235">
        <v>0.59250000000000003</v>
      </c>
      <c r="T15" s="233"/>
      <c r="U15" s="184"/>
      <c r="V15" s="5"/>
    </row>
    <row r="16" spans="1:22" ht="15.6" x14ac:dyDescent="0.3">
      <c r="A16" s="175"/>
      <c r="B16" s="230" t="s">
        <v>3</v>
      </c>
      <c r="C16" s="184"/>
      <c r="D16" s="184"/>
      <c r="E16" s="184"/>
      <c r="F16" s="184"/>
      <c r="G16" s="184"/>
      <c r="H16" s="185"/>
      <c r="I16" s="185"/>
      <c r="J16" s="185"/>
      <c r="K16" s="185"/>
      <c r="L16" s="185"/>
      <c r="M16" s="185"/>
      <c r="N16" s="185"/>
      <c r="O16" s="185"/>
      <c r="P16" s="234" t="s">
        <v>107</v>
      </c>
      <c r="Q16" s="235">
        <v>0.44979999999999998</v>
      </c>
      <c r="R16" s="236" t="s">
        <v>146</v>
      </c>
      <c r="S16" s="235">
        <v>0.55020000000000002</v>
      </c>
      <c r="T16" s="233"/>
      <c r="U16" s="184"/>
      <c r="V16" s="5"/>
    </row>
    <row r="17" spans="1:22" ht="15.6" x14ac:dyDescent="0.3">
      <c r="A17" s="175"/>
      <c r="B17" s="230" t="s">
        <v>4</v>
      </c>
      <c r="C17" s="184"/>
      <c r="D17" s="184"/>
      <c r="E17" s="184"/>
      <c r="F17" s="184"/>
      <c r="G17" s="184"/>
      <c r="H17" s="184"/>
      <c r="I17" s="184"/>
      <c r="J17" s="184"/>
      <c r="K17" s="184"/>
      <c r="L17" s="184"/>
      <c r="M17" s="184"/>
      <c r="N17" s="184"/>
      <c r="O17" s="184"/>
      <c r="P17" s="231"/>
      <c r="Q17" s="231"/>
      <c r="R17" s="231"/>
      <c r="S17" s="231"/>
      <c r="T17" s="237">
        <v>38799</v>
      </c>
      <c r="U17" s="184"/>
      <c r="V17" s="5"/>
    </row>
    <row r="18" spans="1:22" ht="15.6" x14ac:dyDescent="0.3">
      <c r="A18" s="175"/>
      <c r="B18" s="230" t="s">
        <v>5</v>
      </c>
      <c r="C18" s="184"/>
      <c r="D18" s="184"/>
      <c r="E18" s="184"/>
      <c r="F18" s="184"/>
      <c r="G18" s="184"/>
      <c r="H18" s="184"/>
      <c r="I18" s="184"/>
      <c r="J18" s="184"/>
      <c r="K18" s="184"/>
      <c r="L18" s="184"/>
      <c r="M18" s="184"/>
      <c r="N18" s="184"/>
      <c r="O18" s="184"/>
      <c r="P18" s="231"/>
      <c r="Q18" s="231"/>
      <c r="R18" s="231"/>
      <c r="S18" s="231"/>
      <c r="T18" s="237">
        <v>40471</v>
      </c>
      <c r="U18" s="184"/>
      <c r="V18" s="5"/>
    </row>
    <row r="19" spans="1:22" ht="15.6" x14ac:dyDescent="0.3">
      <c r="A19" s="175"/>
      <c r="B19" s="177"/>
      <c r="C19" s="177"/>
      <c r="D19" s="177"/>
      <c r="E19" s="177"/>
      <c r="F19" s="177"/>
      <c r="G19" s="177"/>
      <c r="H19" s="177"/>
      <c r="I19" s="177"/>
      <c r="J19" s="177"/>
      <c r="K19" s="177"/>
      <c r="L19" s="177"/>
      <c r="M19" s="177"/>
      <c r="N19" s="177"/>
      <c r="O19" s="177"/>
      <c r="P19" s="177"/>
      <c r="Q19" s="177"/>
      <c r="R19" s="177"/>
      <c r="S19" s="177"/>
      <c r="T19" s="186"/>
      <c r="U19" s="177"/>
      <c r="V19" s="5"/>
    </row>
    <row r="20" spans="1:22" ht="15.6" x14ac:dyDescent="0.3">
      <c r="A20" s="175"/>
      <c r="B20" s="232" t="s">
        <v>6</v>
      </c>
      <c r="C20" s="177"/>
      <c r="D20" s="177"/>
      <c r="E20" s="177"/>
      <c r="F20" s="177"/>
      <c r="G20" s="177"/>
      <c r="H20" s="177"/>
      <c r="I20" s="177"/>
      <c r="J20" s="177"/>
      <c r="K20" s="177"/>
      <c r="L20" s="177"/>
      <c r="M20" s="177"/>
      <c r="N20" s="177"/>
      <c r="O20" s="177"/>
      <c r="P20" s="177"/>
      <c r="Q20" s="177"/>
      <c r="R20" s="238" t="s">
        <v>108</v>
      </c>
      <c r="S20" s="177"/>
      <c r="T20" s="188"/>
      <c r="U20" s="177"/>
      <c r="V20" s="5"/>
    </row>
    <row r="21" spans="1:22" ht="15.6" x14ac:dyDescent="0.3">
      <c r="A21" s="175"/>
      <c r="B21" s="177"/>
      <c r="C21" s="177"/>
      <c r="D21" s="177"/>
      <c r="E21" s="177"/>
      <c r="F21" s="177"/>
      <c r="G21" s="177"/>
      <c r="H21" s="177"/>
      <c r="I21" s="177"/>
      <c r="J21" s="177"/>
      <c r="K21" s="177"/>
      <c r="L21" s="177"/>
      <c r="M21" s="177"/>
      <c r="N21" s="177"/>
      <c r="O21" s="177"/>
      <c r="P21" s="177"/>
      <c r="Q21" s="177"/>
      <c r="R21" s="177"/>
      <c r="S21" s="177"/>
      <c r="T21" s="189"/>
      <c r="U21" s="177"/>
      <c r="V21" s="5"/>
    </row>
    <row r="22" spans="1:22" ht="15.6" x14ac:dyDescent="0.3">
      <c r="A22" s="222"/>
      <c r="B22" s="223"/>
      <c r="C22" s="224"/>
      <c r="D22" s="224" t="s">
        <v>184</v>
      </c>
      <c r="E22" s="224"/>
      <c r="F22" s="224" t="s">
        <v>185</v>
      </c>
      <c r="G22" s="224"/>
      <c r="H22" s="224" t="s">
        <v>186</v>
      </c>
      <c r="I22" s="224"/>
      <c r="J22" s="224" t="s">
        <v>187</v>
      </c>
      <c r="K22" s="224"/>
      <c r="L22" s="224" t="s">
        <v>188</v>
      </c>
      <c r="M22" s="224"/>
      <c r="N22" s="224" t="s">
        <v>189</v>
      </c>
      <c r="O22" s="224"/>
      <c r="P22" s="224"/>
      <c r="Q22" s="225"/>
      <c r="R22" s="226"/>
      <c r="S22" s="227"/>
      <c r="T22" s="227"/>
      <c r="U22" s="223"/>
      <c r="V22" s="5"/>
    </row>
    <row r="23" spans="1:22" ht="15.6" x14ac:dyDescent="0.3">
      <c r="A23" s="190"/>
      <c r="B23" s="239" t="s">
        <v>7</v>
      </c>
      <c r="C23" s="240"/>
      <c r="D23" s="240" t="s">
        <v>222</v>
      </c>
      <c r="E23" s="240"/>
      <c r="F23" s="240" t="s">
        <v>147</v>
      </c>
      <c r="G23" s="240"/>
      <c r="H23" s="240" t="s">
        <v>147</v>
      </c>
      <c r="I23" s="240"/>
      <c r="J23" s="240" t="s">
        <v>190</v>
      </c>
      <c r="K23" s="240"/>
      <c r="L23" s="240" t="s">
        <v>190</v>
      </c>
      <c r="M23" s="240"/>
      <c r="N23" s="240" t="s">
        <v>148</v>
      </c>
      <c r="O23" s="240"/>
      <c r="P23" s="240"/>
      <c r="Q23" s="240"/>
      <c r="R23" s="240"/>
      <c r="S23" s="241"/>
      <c r="T23" s="241"/>
      <c r="U23" s="239"/>
      <c r="V23" s="5"/>
    </row>
    <row r="24" spans="1:22" ht="15.6" x14ac:dyDescent="0.3">
      <c r="A24" s="284"/>
      <c r="B24" s="285" t="s">
        <v>8</v>
      </c>
      <c r="C24" s="286"/>
      <c r="D24" s="286" t="s">
        <v>223</v>
      </c>
      <c r="E24" s="286"/>
      <c r="F24" s="286" t="s">
        <v>149</v>
      </c>
      <c r="G24" s="286"/>
      <c r="H24" s="286" t="s">
        <v>149</v>
      </c>
      <c r="I24" s="286"/>
      <c r="J24" s="286" t="s">
        <v>172</v>
      </c>
      <c r="K24" s="286"/>
      <c r="L24" s="286" t="s">
        <v>172</v>
      </c>
      <c r="M24" s="286"/>
      <c r="N24" s="286" t="s">
        <v>150</v>
      </c>
      <c r="O24" s="286"/>
      <c r="P24" s="286"/>
      <c r="Q24" s="286"/>
      <c r="R24" s="286"/>
      <c r="S24" s="287"/>
      <c r="T24" s="287"/>
      <c r="U24" s="288"/>
      <c r="V24" s="5"/>
    </row>
    <row r="25" spans="1:22" ht="15.6" x14ac:dyDescent="0.3">
      <c r="A25" s="289"/>
      <c r="B25" s="290" t="s">
        <v>198</v>
      </c>
      <c r="C25" s="291"/>
      <c r="D25" s="286" t="s">
        <v>224</v>
      </c>
      <c r="E25" s="286"/>
      <c r="F25" s="286" t="s">
        <v>149</v>
      </c>
      <c r="G25" s="286"/>
      <c r="H25" s="286" t="s">
        <v>149</v>
      </c>
      <c r="I25" s="286"/>
      <c r="J25" s="286" t="s">
        <v>172</v>
      </c>
      <c r="K25" s="286"/>
      <c r="L25" s="286" t="s">
        <v>172</v>
      </c>
      <c r="M25" s="286"/>
      <c r="N25" s="286" t="s">
        <v>150</v>
      </c>
      <c r="O25" s="286"/>
      <c r="P25" s="286"/>
      <c r="Q25" s="291"/>
      <c r="R25" s="286"/>
      <c r="S25" s="287"/>
      <c r="T25" s="287"/>
      <c r="U25" s="288"/>
      <c r="V25" s="5"/>
    </row>
    <row r="26" spans="1:22" ht="15.6" x14ac:dyDescent="0.3">
      <c r="A26" s="289"/>
      <c r="B26" s="292" t="s">
        <v>9</v>
      </c>
      <c r="C26" s="291"/>
      <c r="D26" s="291" t="s">
        <v>222</v>
      </c>
      <c r="E26" s="291"/>
      <c r="F26" s="291" t="s">
        <v>147</v>
      </c>
      <c r="G26" s="291"/>
      <c r="H26" s="291" t="s">
        <v>147</v>
      </c>
      <c r="I26" s="291"/>
      <c r="J26" s="291" t="s">
        <v>190</v>
      </c>
      <c r="K26" s="291"/>
      <c r="L26" s="291" t="s">
        <v>190</v>
      </c>
      <c r="M26" s="291"/>
      <c r="N26" s="291" t="s">
        <v>148</v>
      </c>
      <c r="O26" s="291"/>
      <c r="P26" s="291"/>
      <c r="Q26" s="291"/>
      <c r="R26" s="286"/>
      <c r="S26" s="287"/>
      <c r="T26" s="287"/>
      <c r="U26" s="288"/>
      <c r="V26" s="5"/>
    </row>
    <row r="27" spans="1:22" ht="15.6" x14ac:dyDescent="0.3">
      <c r="A27" s="284"/>
      <c r="B27" s="292" t="s">
        <v>199</v>
      </c>
      <c r="C27" s="286"/>
      <c r="D27" s="291" t="s">
        <v>223</v>
      </c>
      <c r="E27" s="291"/>
      <c r="F27" s="291" t="s">
        <v>149</v>
      </c>
      <c r="G27" s="291"/>
      <c r="H27" s="291" t="s">
        <v>149</v>
      </c>
      <c r="I27" s="291"/>
      <c r="J27" s="291" t="s">
        <v>172</v>
      </c>
      <c r="K27" s="291"/>
      <c r="L27" s="291" t="s">
        <v>172</v>
      </c>
      <c r="M27" s="291"/>
      <c r="N27" s="291" t="s">
        <v>150</v>
      </c>
      <c r="O27" s="291"/>
      <c r="P27" s="291"/>
      <c r="Q27" s="286"/>
      <c r="R27" s="293"/>
      <c r="S27" s="287"/>
      <c r="T27" s="287"/>
      <c r="U27" s="288"/>
      <c r="V27" s="5"/>
    </row>
    <row r="28" spans="1:22" ht="15.6" x14ac:dyDescent="0.3">
      <c r="A28" s="284"/>
      <c r="B28" s="294" t="s">
        <v>200</v>
      </c>
      <c r="C28" s="286"/>
      <c r="D28" s="291" t="s">
        <v>224</v>
      </c>
      <c r="E28" s="291"/>
      <c r="F28" s="291" t="s">
        <v>149</v>
      </c>
      <c r="G28" s="291"/>
      <c r="H28" s="291" t="s">
        <v>149</v>
      </c>
      <c r="I28" s="291"/>
      <c r="J28" s="291" t="s">
        <v>172</v>
      </c>
      <c r="K28" s="291"/>
      <c r="L28" s="291" t="s">
        <v>172</v>
      </c>
      <c r="M28" s="291"/>
      <c r="N28" s="291" t="s">
        <v>150</v>
      </c>
      <c r="O28" s="291"/>
      <c r="P28" s="291"/>
      <c r="Q28" s="286"/>
      <c r="R28" s="293"/>
      <c r="S28" s="287"/>
      <c r="T28" s="287"/>
      <c r="U28" s="288"/>
      <c r="V28" s="5"/>
    </row>
    <row r="29" spans="1:22" ht="15.6" x14ac:dyDescent="0.3">
      <c r="A29" s="284"/>
      <c r="B29" s="285" t="s">
        <v>10</v>
      </c>
      <c r="C29" s="295"/>
      <c r="D29" s="286" t="s">
        <v>237</v>
      </c>
      <c r="E29" s="286"/>
      <c r="F29" s="293" t="s">
        <v>238</v>
      </c>
      <c r="G29" s="286"/>
      <c r="H29" s="286" t="s">
        <v>239</v>
      </c>
      <c r="I29" s="286"/>
      <c r="J29" s="286" t="s">
        <v>240</v>
      </c>
      <c r="K29" s="286"/>
      <c r="L29" s="286" t="s">
        <v>241</v>
      </c>
      <c r="M29" s="286"/>
      <c r="N29" s="286" t="s">
        <v>242</v>
      </c>
      <c r="O29" s="286"/>
      <c r="P29" s="286"/>
      <c r="Q29" s="296"/>
      <c r="R29" s="296"/>
      <c r="S29" s="297"/>
      <c r="T29" s="296"/>
      <c r="U29" s="298"/>
      <c r="V29" s="5"/>
    </row>
    <row r="30" spans="1:22" ht="15.6" x14ac:dyDescent="0.3">
      <c r="A30" s="284"/>
      <c r="B30" s="285" t="s">
        <v>10</v>
      </c>
      <c r="C30" s="295"/>
      <c r="D30" s="286" t="s">
        <v>236</v>
      </c>
      <c r="E30" s="286"/>
      <c r="F30" s="293" t="s">
        <v>124</v>
      </c>
      <c r="G30" s="286"/>
      <c r="H30" s="286" t="s">
        <v>124</v>
      </c>
      <c r="I30" s="286"/>
      <c r="J30" s="286" t="s">
        <v>124</v>
      </c>
      <c r="K30" s="286"/>
      <c r="L30" s="286" t="s">
        <v>124</v>
      </c>
      <c r="M30" s="286"/>
      <c r="N30" s="286" t="s">
        <v>124</v>
      </c>
      <c r="O30" s="286"/>
      <c r="P30" s="286"/>
      <c r="Q30" s="296"/>
      <c r="R30" s="296"/>
      <c r="S30" s="297"/>
      <c r="T30" s="296"/>
      <c r="U30" s="298"/>
      <c r="V30" s="5"/>
    </row>
    <row r="31" spans="1:22" ht="15.6" x14ac:dyDescent="0.3">
      <c r="A31" s="289"/>
      <c r="B31" s="285" t="s">
        <v>139</v>
      </c>
      <c r="C31" s="299"/>
      <c r="D31" s="300">
        <v>985000</v>
      </c>
      <c r="E31" s="295"/>
      <c r="F31" s="296">
        <v>149500</v>
      </c>
      <c r="G31" s="296"/>
      <c r="H31" s="301">
        <v>219700</v>
      </c>
      <c r="I31" s="296"/>
      <c r="J31" s="296">
        <v>16000</v>
      </c>
      <c r="K31" s="296"/>
      <c r="L31" s="301">
        <v>82400</v>
      </c>
      <c r="M31" s="296"/>
      <c r="N31" s="301">
        <v>87500</v>
      </c>
      <c r="O31" s="296"/>
      <c r="P31" s="301"/>
      <c r="Q31" s="302"/>
      <c r="R31" s="302"/>
      <c r="S31" s="303"/>
      <c r="T31" s="302"/>
      <c r="U31" s="298"/>
      <c r="V31" s="5"/>
    </row>
    <row r="32" spans="1:22" ht="15.6" x14ac:dyDescent="0.3">
      <c r="A32" s="284"/>
      <c r="B32" s="285" t="s">
        <v>138</v>
      </c>
      <c r="C32" s="295"/>
      <c r="D32" s="300">
        <f>D38*D31</f>
        <v>527257.30099999998</v>
      </c>
      <c r="E32" s="295"/>
      <c r="F32" s="296">
        <f>F38*F31</f>
        <v>80025.436399999991</v>
      </c>
      <c r="G32" s="296"/>
      <c r="H32" s="301">
        <f>H38*H31</f>
        <v>117602.59783999999</v>
      </c>
      <c r="I32" s="296"/>
      <c r="J32" s="296">
        <f>+J31</f>
        <v>16000</v>
      </c>
      <c r="K32" s="296"/>
      <c r="L32" s="301">
        <f>+L31</f>
        <v>82400</v>
      </c>
      <c r="M32" s="296"/>
      <c r="N32" s="301">
        <f>+N31</f>
        <v>87500</v>
      </c>
      <c r="O32" s="296"/>
      <c r="P32" s="301"/>
      <c r="Q32" s="296"/>
      <c r="R32" s="296"/>
      <c r="S32" s="297"/>
      <c r="T32" s="296"/>
      <c r="U32" s="298"/>
      <c r="V32" s="5"/>
    </row>
    <row r="33" spans="1:22" ht="15.6" x14ac:dyDescent="0.3">
      <c r="A33" s="284"/>
      <c r="B33" s="292" t="s">
        <v>140</v>
      </c>
      <c r="C33" s="295"/>
      <c r="D33" s="304">
        <f>D37*D31</f>
        <v>518921.44299999997</v>
      </c>
      <c r="E33" s="299"/>
      <c r="F33" s="302">
        <f>F37*F31</f>
        <v>78760.247799999997</v>
      </c>
      <c r="G33" s="302"/>
      <c r="H33" s="305">
        <f>H31*H37</f>
        <v>115743.32067999999</v>
      </c>
      <c r="I33" s="302"/>
      <c r="J33" s="302">
        <f>J31*J37</f>
        <v>16000</v>
      </c>
      <c r="K33" s="302"/>
      <c r="L33" s="305">
        <f>L31*L37</f>
        <v>82400</v>
      </c>
      <c r="M33" s="302"/>
      <c r="N33" s="305">
        <f>N31*N37</f>
        <v>87500</v>
      </c>
      <c r="O33" s="302"/>
      <c r="P33" s="305"/>
      <c r="Q33" s="296"/>
      <c r="R33" s="296"/>
      <c r="S33" s="297"/>
      <c r="T33" s="296"/>
      <c r="U33" s="298"/>
      <c r="V33" s="5"/>
    </row>
    <row r="34" spans="1:22" ht="15.6" x14ac:dyDescent="0.3">
      <c r="A34" s="289"/>
      <c r="B34" s="285" t="s">
        <v>283</v>
      </c>
      <c r="C34" s="299"/>
      <c r="D34" s="296">
        <v>567282</v>
      </c>
      <c r="E34" s="295"/>
      <c r="F34" s="296">
        <v>149500</v>
      </c>
      <c r="G34" s="296"/>
      <c r="H34" s="296">
        <v>150716</v>
      </c>
      <c r="I34" s="296"/>
      <c r="J34" s="296">
        <v>16000</v>
      </c>
      <c r="K34" s="296"/>
      <c r="L34" s="296">
        <v>56527</v>
      </c>
      <c r="M34" s="296"/>
      <c r="N34" s="296">
        <v>60025</v>
      </c>
      <c r="O34" s="296"/>
      <c r="P34" s="296"/>
      <c r="Q34" s="302"/>
      <c r="R34" s="302"/>
      <c r="S34" s="303"/>
      <c r="T34" s="306">
        <f>SUM(C34:P34)</f>
        <v>1000050</v>
      </c>
      <c r="U34" s="298"/>
      <c r="V34" s="5"/>
    </row>
    <row r="35" spans="1:22" ht="15.6" x14ac:dyDescent="0.3">
      <c r="A35" s="289"/>
      <c r="B35" s="285" t="s">
        <v>284</v>
      </c>
      <c r="C35" s="307"/>
      <c r="D35" s="296">
        <f>D38*D34</f>
        <v>303658.45302119997</v>
      </c>
      <c r="E35" s="295"/>
      <c r="F35" s="296">
        <f>F38*F34</f>
        <v>80025.436399999991</v>
      </c>
      <c r="G35" s="296"/>
      <c r="H35" s="296">
        <f>H38*H34</f>
        <v>80676.345635199992</v>
      </c>
      <c r="I35" s="296"/>
      <c r="J35" s="296">
        <f>+J34</f>
        <v>16000</v>
      </c>
      <c r="K35" s="296"/>
      <c r="L35" s="296">
        <f>+L34</f>
        <v>56527</v>
      </c>
      <c r="M35" s="296"/>
      <c r="N35" s="296">
        <f>+N34</f>
        <v>60025</v>
      </c>
      <c r="O35" s="296"/>
      <c r="P35" s="296"/>
      <c r="Q35" s="296"/>
      <c r="R35" s="296"/>
      <c r="S35" s="297"/>
      <c r="T35" s="306">
        <f>SUM(C35:P35)+1</f>
        <v>596913.23505639995</v>
      </c>
      <c r="U35" s="298"/>
      <c r="V35" s="5"/>
    </row>
    <row r="36" spans="1:22" ht="15.6" x14ac:dyDescent="0.3">
      <c r="A36" s="289"/>
      <c r="B36" s="292" t="s">
        <v>285</v>
      </c>
      <c r="C36" s="307"/>
      <c r="D36" s="302">
        <f>D37*D34</f>
        <v>298857.65891159995</v>
      </c>
      <c r="E36" s="299"/>
      <c r="F36" s="302">
        <f>F37*F34</f>
        <v>78760.247799999997</v>
      </c>
      <c r="G36" s="302"/>
      <c r="H36" s="302">
        <f>H37*H34</f>
        <v>79400.866270400002</v>
      </c>
      <c r="I36" s="302"/>
      <c r="J36" s="302">
        <f>+J34</f>
        <v>16000</v>
      </c>
      <c r="K36" s="302"/>
      <c r="L36" s="302">
        <f>+L34</f>
        <v>56527</v>
      </c>
      <c r="M36" s="302"/>
      <c r="N36" s="302">
        <f>+N34</f>
        <v>60025</v>
      </c>
      <c r="O36" s="302"/>
      <c r="P36" s="302"/>
      <c r="Q36" s="308"/>
      <c r="R36" s="308"/>
      <c r="S36" s="297"/>
      <c r="T36" s="309">
        <f>SUM(C36:P36)+1</f>
        <v>589571.77298199991</v>
      </c>
      <c r="U36" s="298"/>
      <c r="V36" s="5"/>
    </row>
    <row r="37" spans="1:22" ht="15.6" x14ac:dyDescent="0.3">
      <c r="A37" s="284"/>
      <c r="B37" s="310" t="s">
        <v>136</v>
      </c>
      <c r="C37" s="311"/>
      <c r="D37" s="312">
        <v>0.52682379999999995</v>
      </c>
      <c r="E37" s="313"/>
      <c r="F37" s="312">
        <v>0.52682439999999997</v>
      </c>
      <c r="G37" s="314"/>
      <c r="H37" s="312">
        <v>0.52682439999999997</v>
      </c>
      <c r="I37" s="314"/>
      <c r="J37" s="312">
        <v>1</v>
      </c>
      <c r="K37" s="314"/>
      <c r="L37" s="312">
        <v>1</v>
      </c>
      <c r="M37" s="314"/>
      <c r="N37" s="312">
        <v>1</v>
      </c>
      <c r="O37" s="314"/>
      <c r="P37" s="314"/>
      <c r="Q37" s="315"/>
      <c r="R37" s="315"/>
      <c r="S37" s="316"/>
      <c r="T37" s="316"/>
      <c r="U37" s="317"/>
      <c r="V37" s="5"/>
    </row>
    <row r="38" spans="1:22" ht="15.6" x14ac:dyDescent="0.3">
      <c r="A38" s="284"/>
      <c r="B38" s="310" t="s">
        <v>137</v>
      </c>
      <c r="C38" s="311"/>
      <c r="D38" s="312">
        <v>0.53528659999999995</v>
      </c>
      <c r="E38" s="313"/>
      <c r="F38" s="312">
        <v>0.53528719999999996</v>
      </c>
      <c r="G38" s="314"/>
      <c r="H38" s="312">
        <v>0.53528719999999996</v>
      </c>
      <c r="I38" s="314"/>
      <c r="J38" s="312">
        <v>1</v>
      </c>
      <c r="K38" s="314"/>
      <c r="L38" s="312">
        <v>1</v>
      </c>
      <c r="M38" s="314"/>
      <c r="N38" s="312">
        <v>1</v>
      </c>
      <c r="O38" s="314"/>
      <c r="P38" s="314"/>
      <c r="Q38" s="318"/>
      <c r="R38" s="319"/>
      <c r="S38" s="316"/>
      <c r="T38" s="318"/>
      <c r="U38" s="317"/>
      <c r="V38" s="5"/>
    </row>
    <row r="39" spans="1:22" ht="15.6" x14ac:dyDescent="0.3">
      <c r="A39" s="284"/>
      <c r="B39" s="285" t="s">
        <v>11</v>
      </c>
      <c r="C39" s="285"/>
      <c r="D39" s="293" t="s">
        <v>275</v>
      </c>
      <c r="E39" s="285"/>
      <c r="F39" s="293" t="s">
        <v>231</v>
      </c>
      <c r="G39" s="293"/>
      <c r="H39" s="293" t="s">
        <v>231</v>
      </c>
      <c r="I39" s="293"/>
      <c r="J39" s="293" t="s">
        <v>232</v>
      </c>
      <c r="K39" s="293"/>
      <c r="L39" s="293" t="s">
        <v>232</v>
      </c>
      <c r="M39" s="293"/>
      <c r="N39" s="293" t="s">
        <v>233</v>
      </c>
      <c r="O39" s="293"/>
      <c r="P39" s="293"/>
      <c r="Q39" s="320"/>
      <c r="R39" s="321"/>
      <c r="S39" s="287"/>
      <c r="T39" s="287"/>
      <c r="U39" s="288"/>
      <c r="V39" s="5"/>
    </row>
    <row r="40" spans="1:22" ht="15.6" x14ac:dyDescent="0.3">
      <c r="A40" s="284"/>
      <c r="B40" s="285" t="s">
        <v>12</v>
      </c>
      <c r="C40" s="285"/>
      <c r="D40" s="321">
        <v>3.5734E-3</v>
      </c>
      <c r="E40" s="285"/>
      <c r="F40" s="321">
        <v>8.5359000000000008E-3</v>
      </c>
      <c r="G40" s="320"/>
      <c r="H40" s="321">
        <v>9.5499999999999995E-3</v>
      </c>
      <c r="I40" s="320"/>
      <c r="J40" s="321">
        <v>9.7359000000000005E-3</v>
      </c>
      <c r="K40" s="320"/>
      <c r="L40" s="321">
        <v>1.0749999999999999E-2</v>
      </c>
      <c r="M40" s="320"/>
      <c r="N40" s="321">
        <v>1.285E-2</v>
      </c>
      <c r="O40" s="320"/>
      <c r="P40" s="321"/>
      <c r="Q40" s="320"/>
      <c r="R40" s="321"/>
      <c r="S40" s="287"/>
      <c r="T40" s="293"/>
      <c r="U40" s="288"/>
      <c r="V40" s="5"/>
    </row>
    <row r="41" spans="1:22" ht="15.6" x14ac:dyDescent="0.3">
      <c r="A41" s="284"/>
      <c r="B41" s="285" t="s">
        <v>13</v>
      </c>
      <c r="C41" s="285"/>
      <c r="D41" s="321">
        <v>4.4968999999999999E-3</v>
      </c>
      <c r="E41" s="285"/>
      <c r="F41" s="321">
        <v>7.7093999999999999E-3</v>
      </c>
      <c r="G41" s="320"/>
      <c r="H41" s="321">
        <v>7.6400000000000001E-3</v>
      </c>
      <c r="I41" s="320"/>
      <c r="J41" s="321">
        <v>8.9093999999999996E-3</v>
      </c>
      <c r="K41" s="320"/>
      <c r="L41" s="321">
        <v>8.8400000000000006E-3</v>
      </c>
      <c r="M41" s="320"/>
      <c r="N41" s="321">
        <v>1.094E-2</v>
      </c>
      <c r="O41" s="320"/>
      <c r="P41" s="321"/>
      <c r="Q41" s="320"/>
      <c r="R41" s="321"/>
      <c r="S41" s="287"/>
      <c r="T41" s="320" t="s">
        <v>201</v>
      </c>
      <c r="U41" s="288"/>
      <c r="V41" s="5"/>
    </row>
    <row r="42" spans="1:22" ht="15.6" x14ac:dyDescent="0.3">
      <c r="A42" s="284"/>
      <c r="B42" s="285" t="s">
        <v>286</v>
      </c>
      <c r="C42" s="285"/>
      <c r="D42" s="293" t="s">
        <v>231</v>
      </c>
      <c r="E42" s="285"/>
      <c r="F42" s="293" t="s">
        <v>231</v>
      </c>
      <c r="G42" s="293"/>
      <c r="H42" s="293" t="s">
        <v>243</v>
      </c>
      <c r="I42" s="293"/>
      <c r="J42" s="293" t="s">
        <v>232</v>
      </c>
      <c r="K42" s="293"/>
      <c r="L42" s="293" t="s">
        <v>244</v>
      </c>
      <c r="M42" s="293"/>
      <c r="N42" s="293" t="s">
        <v>246</v>
      </c>
      <c r="O42" s="293"/>
      <c r="P42" s="293"/>
      <c r="Q42" s="320"/>
      <c r="R42" s="321"/>
      <c r="S42" s="287"/>
      <c r="T42" s="287"/>
      <c r="U42" s="288"/>
      <c r="V42" s="5"/>
    </row>
    <row r="43" spans="1:22" ht="15.6" x14ac:dyDescent="0.3">
      <c r="A43" s="284"/>
      <c r="B43" s="285" t="s">
        <v>287</v>
      </c>
      <c r="C43" s="322"/>
      <c r="D43" s="321">
        <v>8.5720999999999992E-3</v>
      </c>
      <c r="E43" s="321"/>
      <c r="F43" s="321">
        <f>+F40</f>
        <v>8.5359000000000008E-3</v>
      </c>
      <c r="G43" s="321"/>
      <c r="H43" s="321">
        <v>8.5339000000000005E-3</v>
      </c>
      <c r="I43" s="321"/>
      <c r="J43" s="321">
        <f>+J40</f>
        <v>9.7359000000000005E-3</v>
      </c>
      <c r="K43" s="321"/>
      <c r="L43" s="321">
        <v>9.8889000000000008E-3</v>
      </c>
      <c r="M43" s="321"/>
      <c r="N43" s="321">
        <v>1.2240900000000001E-2</v>
      </c>
      <c r="O43" s="320"/>
      <c r="P43" s="321"/>
      <c r="Q43" s="293"/>
      <c r="R43" s="293"/>
      <c r="S43" s="287"/>
      <c r="T43" s="320">
        <f>SUMPRODUCT(D43:N43,D35:N35)/T35</f>
        <v>9.0868949923911813E-3</v>
      </c>
      <c r="U43" s="288"/>
      <c r="V43" s="5"/>
    </row>
    <row r="44" spans="1:22" ht="15.6" x14ac:dyDescent="0.3">
      <c r="A44" s="284"/>
      <c r="B44" s="285" t="s">
        <v>288</v>
      </c>
      <c r="C44" s="322"/>
      <c r="D44" s="321">
        <v>7.7456000000000001E-3</v>
      </c>
      <c r="E44" s="321"/>
      <c r="F44" s="321">
        <f>+F41</f>
        <v>7.7093999999999999E-3</v>
      </c>
      <c r="G44" s="321"/>
      <c r="H44" s="321">
        <v>7.7073999999999997E-3</v>
      </c>
      <c r="I44" s="321"/>
      <c r="J44" s="321">
        <f>+J41</f>
        <v>8.9093999999999996E-3</v>
      </c>
      <c r="K44" s="321"/>
      <c r="L44" s="321">
        <v>9.0624E-3</v>
      </c>
      <c r="M44" s="321"/>
      <c r="N44" s="321">
        <v>1.14144E-2</v>
      </c>
      <c r="O44" s="320"/>
      <c r="P44" s="321"/>
      <c r="Q44" s="293"/>
      <c r="R44" s="293"/>
      <c r="S44" s="287"/>
      <c r="T44" s="287"/>
      <c r="U44" s="288"/>
      <c r="V44" s="5"/>
    </row>
    <row r="45" spans="1:22" ht="15.6" x14ac:dyDescent="0.3">
      <c r="A45" s="284"/>
      <c r="B45" s="285" t="s">
        <v>14</v>
      </c>
      <c r="C45" s="285"/>
      <c r="D45" s="322">
        <v>40283</v>
      </c>
      <c r="E45" s="322"/>
      <c r="F45" s="322">
        <v>40283</v>
      </c>
      <c r="G45" s="322"/>
      <c r="H45" s="322">
        <v>40283</v>
      </c>
      <c r="I45" s="322"/>
      <c r="J45" s="322">
        <v>40283</v>
      </c>
      <c r="K45" s="322"/>
      <c r="L45" s="322">
        <v>40283</v>
      </c>
      <c r="M45" s="322"/>
      <c r="N45" s="322">
        <v>40283</v>
      </c>
      <c r="O45" s="322"/>
      <c r="P45" s="322"/>
      <c r="Q45" s="293"/>
      <c r="R45" s="293"/>
      <c r="S45" s="287"/>
      <c r="T45" s="287"/>
      <c r="U45" s="288"/>
      <c r="V45" s="5"/>
    </row>
    <row r="46" spans="1:22" ht="15.6" x14ac:dyDescent="0.3">
      <c r="A46" s="284"/>
      <c r="B46" s="285" t="s">
        <v>15</v>
      </c>
      <c r="C46" s="285"/>
      <c r="D46" s="322">
        <v>40648</v>
      </c>
      <c r="E46" s="322"/>
      <c r="F46" s="322">
        <v>40648</v>
      </c>
      <c r="G46" s="322"/>
      <c r="H46" s="322">
        <v>40648</v>
      </c>
      <c r="I46" s="293"/>
      <c r="J46" s="322">
        <v>40648</v>
      </c>
      <c r="K46" s="293"/>
      <c r="L46" s="322">
        <v>40648</v>
      </c>
      <c r="M46" s="293"/>
      <c r="N46" s="322">
        <v>40648</v>
      </c>
      <c r="O46" s="293"/>
      <c r="P46" s="322"/>
      <c r="Q46" s="293"/>
      <c r="R46" s="293"/>
      <c r="S46" s="287"/>
      <c r="T46" s="287"/>
      <c r="U46" s="288"/>
      <c r="V46" s="5"/>
    </row>
    <row r="47" spans="1:22" ht="15.6" x14ac:dyDescent="0.3">
      <c r="A47" s="284"/>
      <c r="B47" s="285" t="s">
        <v>125</v>
      </c>
      <c r="C47" s="285"/>
      <c r="D47" s="323" t="s">
        <v>124</v>
      </c>
      <c r="E47" s="285"/>
      <c r="F47" s="293" t="s">
        <v>232</v>
      </c>
      <c r="G47" s="293"/>
      <c r="H47" s="293" t="s">
        <v>232</v>
      </c>
      <c r="I47" s="293"/>
      <c r="J47" s="293" t="s">
        <v>234</v>
      </c>
      <c r="K47" s="293"/>
      <c r="L47" s="293" t="s">
        <v>234</v>
      </c>
      <c r="M47" s="293"/>
      <c r="N47" s="293" t="s">
        <v>235</v>
      </c>
      <c r="O47" s="293"/>
      <c r="P47" s="293"/>
      <c r="Q47" s="324"/>
      <c r="R47" s="324"/>
      <c r="S47" s="324"/>
      <c r="T47" s="324"/>
      <c r="U47" s="288"/>
      <c r="V47" s="5"/>
    </row>
    <row r="48" spans="1:22" ht="15.6" x14ac:dyDescent="0.3">
      <c r="A48" s="284"/>
      <c r="B48" s="285" t="s">
        <v>289</v>
      </c>
      <c r="C48" s="285"/>
      <c r="D48" s="293" t="s">
        <v>208</v>
      </c>
      <c r="E48" s="285"/>
      <c r="F48" s="293" t="s">
        <v>232</v>
      </c>
      <c r="G48" s="293"/>
      <c r="H48" s="293" t="s">
        <v>232</v>
      </c>
      <c r="I48" s="293"/>
      <c r="J48" s="293" t="s">
        <v>234</v>
      </c>
      <c r="K48" s="293"/>
      <c r="L48" s="293" t="s">
        <v>245</v>
      </c>
      <c r="M48" s="293"/>
      <c r="N48" s="293" t="s">
        <v>247</v>
      </c>
      <c r="O48" s="293"/>
      <c r="P48" s="293"/>
      <c r="Q48" s="285"/>
      <c r="R48" s="285"/>
      <c r="S48" s="285"/>
      <c r="T48" s="320"/>
      <c r="U48" s="288"/>
      <c r="V48" s="5"/>
    </row>
    <row r="49" spans="1:23" ht="15.6" x14ac:dyDescent="0.3">
      <c r="A49" s="284"/>
      <c r="B49" s="285"/>
      <c r="C49" s="285"/>
      <c r="D49" s="293"/>
      <c r="E49" s="285"/>
      <c r="F49" s="293"/>
      <c r="G49" s="293"/>
      <c r="H49" s="293"/>
      <c r="I49" s="293"/>
      <c r="J49" s="293"/>
      <c r="K49" s="293"/>
      <c r="L49" s="293"/>
      <c r="M49" s="293"/>
      <c r="N49" s="293"/>
      <c r="O49" s="293"/>
      <c r="P49" s="293"/>
      <c r="Q49" s="285"/>
      <c r="R49" s="285"/>
      <c r="S49" s="285"/>
      <c r="T49" s="320" t="s">
        <v>201</v>
      </c>
      <c r="U49" s="288"/>
      <c r="V49" s="5"/>
    </row>
    <row r="50" spans="1:23" ht="15.6" x14ac:dyDescent="0.3">
      <c r="A50" s="284"/>
      <c r="B50" s="285" t="s">
        <v>176</v>
      </c>
      <c r="C50" s="285"/>
      <c r="D50" s="293"/>
      <c r="E50" s="285"/>
      <c r="F50" s="293"/>
      <c r="G50" s="293"/>
      <c r="H50" s="293"/>
      <c r="I50" s="293"/>
      <c r="J50" s="293"/>
      <c r="K50" s="293"/>
      <c r="L50" s="293"/>
      <c r="M50" s="293"/>
      <c r="N50" s="293"/>
      <c r="O50" s="293"/>
      <c r="P50" s="293"/>
      <c r="Q50" s="285"/>
      <c r="R50" s="285"/>
      <c r="S50" s="285"/>
      <c r="T50" s="320">
        <f>SUM(J34:P34)/SUM(D34:H34)</f>
        <v>0.15279804679664968</v>
      </c>
      <c r="U50" s="288"/>
      <c r="V50" s="5"/>
    </row>
    <row r="51" spans="1:23" ht="15.6" x14ac:dyDescent="0.3">
      <c r="A51" s="284"/>
      <c r="B51" s="285" t="s">
        <v>177</v>
      </c>
      <c r="C51" s="285"/>
      <c r="D51" s="285"/>
      <c r="E51" s="285"/>
      <c r="F51" s="325"/>
      <c r="G51" s="285"/>
      <c r="H51" s="285"/>
      <c r="I51" s="285"/>
      <c r="J51" s="285"/>
      <c r="K51" s="285"/>
      <c r="L51" s="285"/>
      <c r="M51" s="285"/>
      <c r="N51" s="285"/>
      <c r="O51" s="285"/>
      <c r="P51" s="285"/>
      <c r="Q51" s="285"/>
      <c r="R51" s="285"/>
      <c r="S51" s="285"/>
      <c r="T51" s="320">
        <f>SUM(J36:P36)/SUM(D36:H36)</f>
        <v>0.2900362257224402</v>
      </c>
      <c r="U51" s="288"/>
      <c r="V51" s="5"/>
    </row>
    <row r="52" spans="1:23" ht="15.6" x14ac:dyDescent="0.3">
      <c r="A52" s="284"/>
      <c r="B52" s="285" t="s">
        <v>178</v>
      </c>
      <c r="C52" s="285"/>
      <c r="D52" s="285"/>
      <c r="E52" s="285"/>
      <c r="F52" s="285"/>
      <c r="G52" s="285"/>
      <c r="H52" s="285"/>
      <c r="I52" s="285"/>
      <c r="J52" s="285"/>
      <c r="K52" s="285"/>
      <c r="L52" s="285"/>
      <c r="M52" s="285"/>
      <c r="N52" s="285"/>
      <c r="O52" s="285"/>
      <c r="P52" s="285"/>
      <c r="Q52" s="285"/>
      <c r="R52" s="293" t="s">
        <v>109</v>
      </c>
      <c r="S52" s="293" t="s">
        <v>115</v>
      </c>
      <c r="T52" s="296">
        <f>+T34/2-SUM(J34:P34)</f>
        <v>367473</v>
      </c>
      <c r="U52" s="288"/>
      <c r="V52" s="5"/>
    </row>
    <row r="53" spans="1:23" ht="15.6" x14ac:dyDescent="0.3">
      <c r="A53" s="284"/>
      <c r="B53" s="285"/>
      <c r="C53" s="285"/>
      <c r="D53" s="285"/>
      <c r="E53" s="285"/>
      <c r="F53" s="285"/>
      <c r="G53" s="285"/>
      <c r="H53" s="285"/>
      <c r="I53" s="285"/>
      <c r="J53" s="285"/>
      <c r="K53" s="285"/>
      <c r="L53" s="285"/>
      <c r="M53" s="285"/>
      <c r="N53" s="285"/>
      <c r="O53" s="285"/>
      <c r="P53" s="285"/>
      <c r="Q53" s="285"/>
      <c r="R53" s="285"/>
      <c r="S53" s="285"/>
      <c r="T53" s="326"/>
      <c r="U53" s="288"/>
      <c r="V53" s="5"/>
    </row>
    <row r="54" spans="1:23" ht="15.6" x14ac:dyDescent="0.3">
      <c r="A54" s="284"/>
      <c r="B54" s="285" t="s">
        <v>211</v>
      </c>
      <c r="C54" s="285"/>
      <c r="D54" s="285"/>
      <c r="E54" s="285"/>
      <c r="F54" s="285"/>
      <c r="G54" s="285"/>
      <c r="H54" s="285"/>
      <c r="I54" s="285"/>
      <c r="J54" s="285"/>
      <c r="K54" s="285"/>
      <c r="L54" s="285"/>
      <c r="M54" s="285"/>
      <c r="N54" s="285"/>
      <c r="O54" s="285"/>
      <c r="P54" s="285"/>
      <c r="Q54" s="285"/>
      <c r="R54" s="285"/>
      <c r="S54" s="285"/>
      <c r="T54" s="327" t="s">
        <v>212</v>
      </c>
      <c r="U54" s="288"/>
      <c r="V54" s="5"/>
    </row>
    <row r="55" spans="1:23" ht="15.6" x14ac:dyDescent="0.3">
      <c r="A55" s="284"/>
      <c r="B55" s="285" t="s">
        <v>253</v>
      </c>
      <c r="C55" s="285"/>
      <c r="D55" s="285"/>
      <c r="E55" s="285"/>
      <c r="F55" s="285"/>
      <c r="G55" s="285"/>
      <c r="H55" s="285"/>
      <c r="I55" s="285"/>
      <c r="J55" s="285"/>
      <c r="K55" s="285"/>
      <c r="L55" s="285"/>
      <c r="M55" s="285"/>
      <c r="N55" s="285"/>
      <c r="O55" s="285"/>
      <c r="P55" s="285"/>
      <c r="Q55" s="285"/>
      <c r="R55" s="293"/>
      <c r="S55" s="293"/>
      <c r="T55" s="328" t="s">
        <v>117</v>
      </c>
      <c r="U55" s="288"/>
      <c r="V55" s="5"/>
    </row>
    <row r="56" spans="1:23" ht="15.6" x14ac:dyDescent="0.3">
      <c r="A56" s="284"/>
      <c r="B56" s="292" t="s">
        <v>210</v>
      </c>
      <c r="C56" s="292"/>
      <c r="D56" s="292"/>
      <c r="E56" s="292"/>
      <c r="F56" s="292"/>
      <c r="G56" s="292"/>
      <c r="H56" s="292"/>
      <c r="I56" s="292"/>
      <c r="J56" s="292"/>
      <c r="K56" s="292"/>
      <c r="L56" s="292"/>
      <c r="M56" s="292"/>
      <c r="N56" s="292"/>
      <c r="O56" s="292"/>
      <c r="P56" s="292"/>
      <c r="Q56" s="292"/>
      <c r="R56" s="329"/>
      <c r="S56" s="329"/>
      <c r="T56" s="330">
        <v>40466</v>
      </c>
      <c r="U56" s="288"/>
      <c r="V56" s="5"/>
    </row>
    <row r="57" spans="1:23" ht="15.6" x14ac:dyDescent="0.3">
      <c r="A57" s="284"/>
      <c r="B57" s="285" t="s">
        <v>127</v>
      </c>
      <c r="C57" s="285"/>
      <c r="D57" s="285"/>
      <c r="E57" s="285"/>
      <c r="F57" s="285"/>
      <c r="G57" s="285"/>
      <c r="H57" s="331"/>
      <c r="I57" s="331"/>
      <c r="J57" s="331"/>
      <c r="K57" s="331"/>
      <c r="L57" s="331"/>
      <c r="M57" s="331"/>
      <c r="N57" s="331"/>
      <c r="O57" s="331"/>
      <c r="P57" s="285">
        <f>+T57-R57+1</f>
        <v>91</v>
      </c>
      <c r="Q57" s="331"/>
      <c r="R57" s="332">
        <v>40283</v>
      </c>
      <c r="S57" s="333"/>
      <c r="T57" s="332">
        <v>40373</v>
      </c>
      <c r="U57" s="288"/>
      <c r="V57" s="5"/>
    </row>
    <row r="58" spans="1:23" ht="15.6" x14ac:dyDescent="0.3">
      <c r="A58" s="284"/>
      <c r="B58" s="285" t="s">
        <v>128</v>
      </c>
      <c r="C58" s="285"/>
      <c r="D58" s="285"/>
      <c r="E58" s="285"/>
      <c r="F58" s="285"/>
      <c r="G58" s="285"/>
      <c r="H58" s="285"/>
      <c r="I58" s="285"/>
      <c r="J58" s="285"/>
      <c r="K58" s="285"/>
      <c r="L58" s="285"/>
      <c r="M58" s="285"/>
      <c r="N58" s="285"/>
      <c r="O58" s="285"/>
      <c r="P58" s="285">
        <f>+T58-R58+1</f>
        <v>92</v>
      </c>
      <c r="Q58" s="285"/>
      <c r="R58" s="332">
        <v>40374</v>
      </c>
      <c r="S58" s="333"/>
      <c r="T58" s="332">
        <v>40465</v>
      </c>
      <c r="U58" s="288"/>
      <c r="V58" s="5"/>
    </row>
    <row r="59" spans="1:23" ht="15.6" x14ac:dyDescent="0.3">
      <c r="A59" s="284"/>
      <c r="B59" s="285" t="s">
        <v>209</v>
      </c>
      <c r="C59" s="285"/>
      <c r="D59" s="285"/>
      <c r="E59" s="285"/>
      <c r="F59" s="285"/>
      <c r="G59" s="285"/>
      <c r="H59" s="285"/>
      <c r="I59" s="285"/>
      <c r="J59" s="285"/>
      <c r="K59" s="285"/>
      <c r="L59" s="285"/>
      <c r="M59" s="285"/>
      <c r="N59" s="285"/>
      <c r="O59" s="285"/>
      <c r="P59" s="285"/>
      <c r="Q59" s="285"/>
      <c r="R59" s="332"/>
      <c r="S59" s="333"/>
      <c r="T59" s="332" t="s">
        <v>126</v>
      </c>
      <c r="U59" s="288"/>
      <c r="V59" s="5"/>
    </row>
    <row r="60" spans="1:23" ht="15.6" x14ac:dyDescent="0.3">
      <c r="A60" s="284"/>
      <c r="B60" s="285" t="s">
        <v>249</v>
      </c>
      <c r="C60" s="285"/>
      <c r="D60" s="285"/>
      <c r="E60" s="285"/>
      <c r="F60" s="285"/>
      <c r="G60" s="285"/>
      <c r="H60" s="285"/>
      <c r="I60" s="285"/>
      <c r="J60" s="285"/>
      <c r="K60" s="285"/>
      <c r="L60" s="285"/>
      <c r="M60" s="285"/>
      <c r="N60" s="285"/>
      <c r="O60" s="285"/>
      <c r="P60" s="285"/>
      <c r="Q60" s="285"/>
      <c r="R60" s="332"/>
      <c r="S60" s="333"/>
      <c r="T60" s="332" t="s">
        <v>160</v>
      </c>
      <c r="U60" s="288"/>
      <c r="V60" s="5"/>
      <c r="W60" s="134"/>
    </row>
    <row r="61" spans="1:23" ht="15.6" x14ac:dyDescent="0.3">
      <c r="A61" s="284"/>
      <c r="B61" s="285" t="s">
        <v>16</v>
      </c>
      <c r="C61" s="285"/>
      <c r="D61" s="285"/>
      <c r="E61" s="285"/>
      <c r="F61" s="285"/>
      <c r="G61" s="285"/>
      <c r="H61" s="285"/>
      <c r="I61" s="285"/>
      <c r="J61" s="285"/>
      <c r="K61" s="285"/>
      <c r="L61" s="285"/>
      <c r="M61" s="285"/>
      <c r="N61" s="285"/>
      <c r="O61" s="285"/>
      <c r="P61" s="285"/>
      <c r="Q61" s="285"/>
      <c r="R61" s="332"/>
      <c r="S61" s="333"/>
      <c r="T61" s="332">
        <v>40452</v>
      </c>
      <c r="U61" s="288"/>
      <c r="V61" s="5"/>
    </row>
    <row r="62" spans="1:23" ht="15.6" x14ac:dyDescent="0.3">
      <c r="A62" s="175"/>
      <c r="B62" s="281"/>
      <c r="C62" s="281"/>
      <c r="D62" s="281"/>
      <c r="E62" s="281"/>
      <c r="F62" s="281"/>
      <c r="G62" s="281"/>
      <c r="H62" s="281"/>
      <c r="I62" s="281"/>
      <c r="J62" s="281"/>
      <c r="K62" s="281"/>
      <c r="L62" s="281"/>
      <c r="M62" s="281"/>
      <c r="N62" s="281"/>
      <c r="O62" s="281"/>
      <c r="P62" s="281"/>
      <c r="Q62" s="281"/>
      <c r="R62" s="282"/>
      <c r="S62" s="283"/>
      <c r="T62" s="282"/>
      <c r="U62" s="281"/>
      <c r="V62" s="5"/>
    </row>
    <row r="63" spans="1:23" ht="15.6" x14ac:dyDescent="0.3">
      <c r="A63" s="175"/>
      <c r="B63" s="231"/>
      <c r="C63" s="231"/>
      <c r="D63" s="231"/>
      <c r="E63" s="231"/>
      <c r="F63" s="231"/>
      <c r="G63" s="231"/>
      <c r="H63" s="231"/>
      <c r="I63" s="231"/>
      <c r="J63" s="231"/>
      <c r="K63" s="231"/>
      <c r="L63" s="231"/>
      <c r="M63" s="231"/>
      <c r="N63" s="231"/>
      <c r="O63" s="231"/>
      <c r="P63" s="231"/>
      <c r="Q63" s="231"/>
      <c r="R63" s="244"/>
      <c r="S63" s="245"/>
      <c r="T63" s="244"/>
      <c r="U63" s="231"/>
      <c r="V63" s="5"/>
    </row>
    <row r="64" spans="1:23" ht="18" thickBot="1" x14ac:dyDescent="0.35">
      <c r="A64" s="192"/>
      <c r="B64" s="246" t="s">
        <v>294</v>
      </c>
      <c r="C64" s="247"/>
      <c r="D64" s="247"/>
      <c r="E64" s="247"/>
      <c r="F64" s="247"/>
      <c r="G64" s="247"/>
      <c r="H64" s="247"/>
      <c r="I64" s="247"/>
      <c r="J64" s="247"/>
      <c r="K64" s="247"/>
      <c r="L64" s="247"/>
      <c r="M64" s="247"/>
      <c r="N64" s="247"/>
      <c r="O64" s="247"/>
      <c r="P64" s="247"/>
      <c r="Q64" s="247"/>
      <c r="R64" s="247"/>
      <c r="S64" s="247"/>
      <c r="T64" s="248"/>
      <c r="U64" s="249"/>
      <c r="V64" s="5"/>
    </row>
    <row r="65" spans="1:22" ht="15.6" x14ac:dyDescent="0.3">
      <c r="A65" s="222"/>
      <c r="B65" s="252" t="s">
        <v>17</v>
      </c>
      <c r="C65" s="223"/>
      <c r="D65" s="223"/>
      <c r="E65" s="223"/>
      <c r="F65" s="223"/>
      <c r="G65" s="223"/>
      <c r="H65" s="223"/>
      <c r="I65" s="223"/>
      <c r="J65" s="223"/>
      <c r="K65" s="223"/>
      <c r="L65" s="223"/>
      <c r="M65" s="223"/>
      <c r="N65" s="223"/>
      <c r="O65" s="223"/>
      <c r="P65" s="223"/>
      <c r="Q65" s="223"/>
      <c r="R65" s="223"/>
      <c r="S65" s="223"/>
      <c r="T65" s="250"/>
      <c r="U65" s="223"/>
      <c r="V65" s="5"/>
    </row>
    <row r="66" spans="1:22" ht="15.6" x14ac:dyDescent="0.3">
      <c r="A66" s="175"/>
      <c r="B66" s="183"/>
      <c r="C66" s="177"/>
      <c r="D66" s="177"/>
      <c r="E66" s="177"/>
      <c r="F66" s="177"/>
      <c r="G66" s="177"/>
      <c r="H66" s="177"/>
      <c r="I66" s="177"/>
      <c r="J66" s="177"/>
      <c r="K66" s="177"/>
      <c r="L66" s="177"/>
      <c r="M66" s="177"/>
      <c r="N66" s="177"/>
      <c r="O66" s="177"/>
      <c r="P66" s="177"/>
      <c r="Q66" s="177"/>
      <c r="R66" s="177"/>
      <c r="S66" s="177"/>
      <c r="T66" s="194"/>
      <c r="U66" s="177"/>
      <c r="V66" s="5"/>
    </row>
    <row r="67" spans="1:22" ht="46.8" x14ac:dyDescent="0.3">
      <c r="A67" s="175"/>
      <c r="B67" s="195" t="s">
        <v>18</v>
      </c>
      <c r="C67" s="196"/>
      <c r="D67" s="196"/>
      <c r="E67" s="196"/>
      <c r="F67" s="196"/>
      <c r="G67" s="196"/>
      <c r="H67" s="196"/>
      <c r="I67" s="196"/>
      <c r="J67" s="196" t="s">
        <v>97</v>
      </c>
      <c r="K67" s="196"/>
      <c r="L67" s="196" t="s">
        <v>99</v>
      </c>
      <c r="M67" s="196"/>
      <c r="N67" s="196" t="s">
        <v>101</v>
      </c>
      <c r="O67" s="196"/>
      <c r="P67" s="196" t="s">
        <v>103</v>
      </c>
      <c r="Q67" s="196"/>
      <c r="R67" s="196" t="s">
        <v>110</v>
      </c>
      <c r="S67" s="196"/>
      <c r="T67" s="197" t="s">
        <v>118</v>
      </c>
      <c r="U67" s="198"/>
      <c r="V67" s="5"/>
    </row>
    <row r="68" spans="1:22" ht="15.6" x14ac:dyDescent="0.3">
      <c r="A68" s="337"/>
      <c r="B68" s="285" t="s">
        <v>19</v>
      </c>
      <c r="C68" s="338"/>
      <c r="D68" s="338"/>
      <c r="E68" s="338"/>
      <c r="F68" s="338"/>
      <c r="G68" s="338"/>
      <c r="H68" s="338"/>
      <c r="I68" s="338"/>
      <c r="J68" s="338">
        <v>1000039</v>
      </c>
      <c r="K68" s="338"/>
      <c r="L68" s="339">
        <v>596913</v>
      </c>
      <c r="M68" s="338"/>
      <c r="N68" s="338">
        <f>7341+170+114</f>
        <v>7625</v>
      </c>
      <c r="O68" s="338"/>
      <c r="P68" s="338">
        <f>170+114</f>
        <v>284</v>
      </c>
      <c r="Q68" s="338"/>
      <c r="R68" s="338">
        <v>0</v>
      </c>
      <c r="S68" s="338"/>
      <c r="T68" s="339">
        <f>+L68-N68+P68-R68</f>
        <v>589572</v>
      </c>
      <c r="U68" s="288"/>
      <c r="V68" s="5"/>
    </row>
    <row r="69" spans="1:22" ht="15.6" x14ac:dyDescent="0.3">
      <c r="A69" s="337"/>
      <c r="B69" s="285" t="s">
        <v>20</v>
      </c>
      <c r="C69" s="338"/>
      <c r="D69" s="338"/>
      <c r="E69" s="338"/>
      <c r="F69" s="338"/>
      <c r="G69" s="338"/>
      <c r="H69" s="338"/>
      <c r="I69" s="338"/>
      <c r="J69" s="338">
        <v>10</v>
      </c>
      <c r="K69" s="338"/>
      <c r="L69" s="339">
        <v>0</v>
      </c>
      <c r="M69" s="338"/>
      <c r="N69" s="338">
        <v>0</v>
      </c>
      <c r="O69" s="338"/>
      <c r="P69" s="338">
        <v>0</v>
      </c>
      <c r="Q69" s="338"/>
      <c r="R69" s="338">
        <v>0</v>
      </c>
      <c r="S69" s="338"/>
      <c r="T69" s="339">
        <v>0</v>
      </c>
      <c r="U69" s="288"/>
      <c r="V69" s="5"/>
    </row>
    <row r="70" spans="1:22" ht="15.6" x14ac:dyDescent="0.3">
      <c r="A70" s="337"/>
      <c r="B70" s="285"/>
      <c r="C70" s="338"/>
      <c r="D70" s="338"/>
      <c r="E70" s="338"/>
      <c r="F70" s="338"/>
      <c r="G70" s="338"/>
      <c r="H70" s="338"/>
      <c r="I70" s="338"/>
      <c r="J70" s="338"/>
      <c r="K70" s="338"/>
      <c r="L70" s="339"/>
      <c r="M70" s="338"/>
      <c r="N70" s="338"/>
      <c r="O70" s="338"/>
      <c r="P70" s="338"/>
      <c r="Q70" s="338"/>
      <c r="R70" s="338"/>
      <c r="S70" s="338"/>
      <c r="T70" s="339"/>
      <c r="U70" s="288"/>
      <c r="V70" s="5"/>
    </row>
    <row r="71" spans="1:22" ht="15.6" x14ac:dyDescent="0.3">
      <c r="A71" s="337"/>
      <c r="B71" s="285" t="s">
        <v>21</v>
      </c>
      <c r="C71" s="338"/>
      <c r="D71" s="338"/>
      <c r="E71" s="338"/>
      <c r="F71" s="338"/>
      <c r="G71" s="338"/>
      <c r="H71" s="338"/>
      <c r="I71" s="338"/>
      <c r="J71" s="338">
        <f>SUM(J68:J70)</f>
        <v>1000049</v>
      </c>
      <c r="K71" s="338"/>
      <c r="L71" s="338">
        <f>L68+L69</f>
        <v>596913</v>
      </c>
      <c r="M71" s="338"/>
      <c r="N71" s="338">
        <f>SUM(N68:N70)</f>
        <v>7625</v>
      </c>
      <c r="O71" s="338"/>
      <c r="P71" s="338">
        <f>SUM(P68:P70)</f>
        <v>284</v>
      </c>
      <c r="Q71" s="338"/>
      <c r="R71" s="338">
        <f>SUM(R68:R70)</f>
        <v>0</v>
      </c>
      <c r="S71" s="338"/>
      <c r="T71" s="338">
        <f>SUM(T68:T70)</f>
        <v>589572</v>
      </c>
      <c r="U71" s="288"/>
      <c r="V71" s="5"/>
    </row>
    <row r="72" spans="1:22" ht="15.6" x14ac:dyDescent="0.3">
      <c r="A72" s="175"/>
      <c r="B72" s="334"/>
      <c r="C72" s="335"/>
      <c r="D72" s="335"/>
      <c r="E72" s="335"/>
      <c r="F72" s="335"/>
      <c r="G72" s="335"/>
      <c r="H72" s="335"/>
      <c r="I72" s="335"/>
      <c r="J72" s="335"/>
      <c r="K72" s="335"/>
      <c r="L72" s="335"/>
      <c r="M72" s="335"/>
      <c r="N72" s="335"/>
      <c r="O72" s="335"/>
      <c r="P72" s="335"/>
      <c r="Q72" s="335"/>
      <c r="R72" s="335"/>
      <c r="S72" s="335"/>
      <c r="T72" s="336"/>
      <c r="U72" s="334"/>
      <c r="V72" s="5"/>
    </row>
    <row r="73" spans="1:22" ht="15.6" x14ac:dyDescent="0.3">
      <c r="A73" s="175"/>
      <c r="B73" s="179" t="s">
        <v>22</v>
      </c>
      <c r="C73" s="199"/>
      <c r="D73" s="199"/>
      <c r="E73" s="199"/>
      <c r="F73" s="199"/>
      <c r="G73" s="199"/>
      <c r="H73" s="199"/>
      <c r="I73" s="199"/>
      <c r="J73" s="199"/>
      <c r="K73" s="199"/>
      <c r="L73" s="199"/>
      <c r="M73" s="199"/>
      <c r="N73" s="199"/>
      <c r="O73" s="199"/>
      <c r="P73" s="199"/>
      <c r="Q73" s="199"/>
      <c r="R73" s="199"/>
      <c r="S73" s="199"/>
      <c r="T73" s="200"/>
      <c r="U73" s="177"/>
      <c r="V73" s="5"/>
    </row>
    <row r="74" spans="1:22" ht="15.6" x14ac:dyDescent="0.3">
      <c r="A74" s="175"/>
      <c r="B74" s="177"/>
      <c r="C74" s="199"/>
      <c r="D74" s="199"/>
      <c r="E74" s="199"/>
      <c r="F74" s="199"/>
      <c r="G74" s="199"/>
      <c r="H74" s="199"/>
      <c r="I74" s="199"/>
      <c r="J74" s="199"/>
      <c r="K74" s="199"/>
      <c r="L74" s="199"/>
      <c r="M74" s="199"/>
      <c r="N74" s="199"/>
      <c r="O74" s="199"/>
      <c r="P74" s="199"/>
      <c r="Q74" s="199"/>
      <c r="R74" s="199"/>
      <c r="S74" s="199"/>
      <c r="T74" s="200"/>
      <c r="U74" s="177"/>
      <c r="V74" s="5"/>
    </row>
    <row r="75" spans="1:22" ht="15.6" x14ac:dyDescent="0.3">
      <c r="A75" s="284"/>
      <c r="B75" s="285" t="s">
        <v>19</v>
      </c>
      <c r="C75" s="338"/>
      <c r="D75" s="338"/>
      <c r="E75" s="338"/>
      <c r="F75" s="338"/>
      <c r="G75" s="338"/>
      <c r="H75" s="338"/>
      <c r="I75" s="338"/>
      <c r="J75" s="338"/>
      <c r="K75" s="338"/>
      <c r="L75" s="338"/>
      <c r="M75" s="338"/>
      <c r="N75" s="338"/>
      <c r="O75" s="338"/>
      <c r="P75" s="338"/>
      <c r="Q75" s="338"/>
      <c r="R75" s="338"/>
      <c r="S75" s="338"/>
      <c r="T75" s="338"/>
      <c r="U75" s="288"/>
      <c r="V75" s="5"/>
    </row>
    <row r="76" spans="1:22" ht="15.6" x14ac:dyDescent="0.3">
      <c r="A76" s="284"/>
      <c r="B76" s="285" t="s">
        <v>20</v>
      </c>
      <c r="C76" s="338"/>
      <c r="D76" s="338"/>
      <c r="E76" s="338"/>
      <c r="F76" s="338"/>
      <c r="G76" s="338"/>
      <c r="H76" s="338"/>
      <c r="I76" s="338"/>
      <c r="J76" s="338"/>
      <c r="K76" s="338"/>
      <c r="L76" s="338"/>
      <c r="M76" s="338"/>
      <c r="N76" s="338"/>
      <c r="O76" s="338"/>
      <c r="P76" s="338"/>
      <c r="Q76" s="338"/>
      <c r="R76" s="338"/>
      <c r="S76" s="338"/>
      <c r="T76" s="338"/>
      <c r="U76" s="288"/>
      <c r="V76" s="5"/>
    </row>
    <row r="77" spans="1:22" ht="15.6" x14ac:dyDescent="0.3">
      <c r="A77" s="284"/>
      <c r="B77" s="285"/>
      <c r="C77" s="338"/>
      <c r="D77" s="338"/>
      <c r="E77" s="338"/>
      <c r="F77" s="338"/>
      <c r="G77" s="338"/>
      <c r="H77" s="338"/>
      <c r="I77" s="338"/>
      <c r="J77" s="338"/>
      <c r="K77" s="338"/>
      <c r="L77" s="338"/>
      <c r="M77" s="338"/>
      <c r="N77" s="338"/>
      <c r="O77" s="338"/>
      <c r="P77" s="338"/>
      <c r="Q77" s="338"/>
      <c r="R77" s="338"/>
      <c r="S77" s="338"/>
      <c r="T77" s="338"/>
      <c r="U77" s="288"/>
      <c r="V77" s="5"/>
    </row>
    <row r="78" spans="1:22" ht="15.6" x14ac:dyDescent="0.3">
      <c r="A78" s="284"/>
      <c r="B78" s="285" t="s">
        <v>21</v>
      </c>
      <c r="C78" s="338"/>
      <c r="D78" s="338"/>
      <c r="E78" s="338"/>
      <c r="F78" s="338"/>
      <c r="G78" s="338"/>
      <c r="H78" s="338"/>
      <c r="I78" s="338"/>
      <c r="J78" s="338"/>
      <c r="K78" s="338"/>
      <c r="L78" s="338"/>
      <c r="M78" s="338"/>
      <c r="N78" s="338"/>
      <c r="O78" s="338"/>
      <c r="P78" s="338"/>
      <c r="Q78" s="338"/>
      <c r="R78" s="338"/>
      <c r="S78" s="338"/>
      <c r="T78" s="338"/>
      <c r="U78" s="288"/>
      <c r="V78" s="5"/>
    </row>
    <row r="79" spans="1:22" ht="15.6" x14ac:dyDescent="0.3">
      <c r="A79" s="284"/>
      <c r="B79" s="285"/>
      <c r="C79" s="338"/>
      <c r="D79" s="338"/>
      <c r="E79" s="338"/>
      <c r="F79" s="338"/>
      <c r="G79" s="338"/>
      <c r="H79" s="338"/>
      <c r="I79" s="338"/>
      <c r="J79" s="338"/>
      <c r="K79" s="338"/>
      <c r="L79" s="338"/>
      <c r="M79" s="338"/>
      <c r="N79" s="338"/>
      <c r="O79" s="338"/>
      <c r="P79" s="338"/>
      <c r="Q79" s="338"/>
      <c r="R79" s="338"/>
      <c r="S79" s="338"/>
      <c r="T79" s="338"/>
      <c r="U79" s="288"/>
      <c r="V79" s="5"/>
    </row>
    <row r="80" spans="1:22" ht="15.6" x14ac:dyDescent="0.3">
      <c r="A80" s="284"/>
      <c r="B80" s="285" t="s">
        <v>23</v>
      </c>
      <c r="C80" s="338"/>
      <c r="D80" s="338"/>
      <c r="E80" s="338"/>
      <c r="F80" s="338"/>
      <c r="G80" s="338"/>
      <c r="H80" s="338"/>
      <c r="I80" s="338"/>
      <c r="J80" s="338">
        <v>0</v>
      </c>
      <c r="K80" s="338"/>
      <c r="L80" s="338">
        <v>0</v>
      </c>
      <c r="M80" s="338"/>
      <c r="N80" s="338"/>
      <c r="O80" s="338"/>
      <c r="P80" s="338"/>
      <c r="Q80" s="338"/>
      <c r="R80" s="338"/>
      <c r="S80" s="338"/>
      <c r="T80" s="339">
        <v>0</v>
      </c>
      <c r="U80" s="288"/>
      <c r="V80" s="5"/>
    </row>
    <row r="81" spans="1:22" ht="15.6" x14ac:dyDescent="0.3">
      <c r="A81" s="284"/>
      <c r="B81" s="285" t="s">
        <v>123</v>
      </c>
      <c r="C81" s="338"/>
      <c r="D81" s="338"/>
      <c r="E81" s="338"/>
      <c r="F81" s="338"/>
      <c r="G81" s="338"/>
      <c r="H81" s="338"/>
      <c r="I81" s="338"/>
      <c r="J81" s="338">
        <v>0</v>
      </c>
      <c r="K81" s="338"/>
      <c r="L81" s="338">
        <v>0</v>
      </c>
      <c r="M81" s="338"/>
      <c r="N81" s="338"/>
      <c r="O81" s="338"/>
      <c r="P81" s="338"/>
      <c r="Q81" s="338"/>
      <c r="R81" s="338"/>
      <c r="S81" s="338"/>
      <c r="T81" s="338">
        <f>SUM(J81:P81)</f>
        <v>0</v>
      </c>
      <c r="U81" s="288"/>
      <c r="V81" s="5"/>
    </row>
    <row r="82" spans="1:22" ht="15.6" x14ac:dyDescent="0.3">
      <c r="A82" s="284"/>
      <c r="B82" s="285" t="s">
        <v>152</v>
      </c>
      <c r="C82" s="338"/>
      <c r="D82" s="338"/>
      <c r="E82" s="338"/>
      <c r="F82" s="338"/>
      <c r="G82" s="338"/>
      <c r="H82" s="338"/>
      <c r="I82" s="338"/>
      <c r="J82" s="338">
        <v>1</v>
      </c>
      <c r="K82" s="338"/>
      <c r="L82" s="338">
        <v>0</v>
      </c>
      <c r="M82" s="338"/>
      <c r="N82" s="338">
        <v>0</v>
      </c>
      <c r="O82" s="338"/>
      <c r="P82" s="338"/>
      <c r="Q82" s="338"/>
      <c r="R82" s="338"/>
      <c r="S82" s="338"/>
      <c r="T82" s="338">
        <f>+L82+N82</f>
        <v>0</v>
      </c>
      <c r="U82" s="288"/>
      <c r="V82" s="5"/>
    </row>
    <row r="83" spans="1:22" ht="15.6" x14ac:dyDescent="0.3">
      <c r="A83" s="284"/>
      <c r="B83" s="285" t="s">
        <v>25</v>
      </c>
      <c r="C83" s="338"/>
      <c r="D83" s="338"/>
      <c r="E83" s="338"/>
      <c r="F83" s="338"/>
      <c r="G83" s="338"/>
      <c r="H83" s="338"/>
      <c r="I83" s="338"/>
      <c r="J83" s="338">
        <v>0</v>
      </c>
      <c r="K83" s="338"/>
      <c r="L83" s="338">
        <v>0</v>
      </c>
      <c r="M83" s="338"/>
      <c r="N83" s="338"/>
      <c r="O83" s="338"/>
      <c r="P83" s="338"/>
      <c r="Q83" s="338"/>
      <c r="R83" s="338"/>
      <c r="S83" s="338"/>
      <c r="T83" s="338">
        <v>0</v>
      </c>
      <c r="U83" s="288"/>
      <c r="V83" s="5"/>
    </row>
    <row r="84" spans="1:22" ht="15.6" x14ac:dyDescent="0.3">
      <c r="A84" s="284"/>
      <c r="B84" s="285" t="s">
        <v>26</v>
      </c>
      <c r="C84" s="338"/>
      <c r="D84" s="338"/>
      <c r="E84" s="338"/>
      <c r="F84" s="338"/>
      <c r="G84" s="338"/>
      <c r="H84" s="338"/>
      <c r="I84" s="338"/>
      <c r="J84" s="338">
        <f>SUM(J71:J83)</f>
        <v>1000050</v>
      </c>
      <c r="K84" s="338"/>
      <c r="L84" s="338">
        <f>SUM(L71:L83)</f>
        <v>596913</v>
      </c>
      <c r="M84" s="338"/>
      <c r="N84" s="338"/>
      <c r="O84" s="338"/>
      <c r="P84" s="338"/>
      <c r="Q84" s="338"/>
      <c r="R84" s="338"/>
      <c r="S84" s="338"/>
      <c r="T84" s="338">
        <f>SUM(T71:T83)</f>
        <v>589572</v>
      </c>
      <c r="U84" s="288"/>
      <c r="V84" s="5"/>
    </row>
    <row r="85" spans="1:22" ht="15.6" x14ac:dyDescent="0.3">
      <c r="A85" s="175"/>
      <c r="B85" s="334"/>
      <c r="C85" s="335"/>
      <c r="D85" s="335"/>
      <c r="E85" s="335"/>
      <c r="F85" s="335"/>
      <c r="G85" s="335"/>
      <c r="H85" s="335"/>
      <c r="I85" s="335"/>
      <c r="J85" s="335"/>
      <c r="K85" s="335"/>
      <c r="L85" s="335"/>
      <c r="M85" s="335"/>
      <c r="N85" s="335"/>
      <c r="O85" s="335"/>
      <c r="P85" s="335"/>
      <c r="Q85" s="335"/>
      <c r="R85" s="335"/>
      <c r="S85" s="335"/>
      <c r="T85" s="336"/>
      <c r="U85" s="334"/>
      <c r="V85" s="5"/>
    </row>
    <row r="86" spans="1:22" ht="15.6" x14ac:dyDescent="0.3">
      <c r="A86" s="175"/>
      <c r="B86" s="177"/>
      <c r="C86" s="177"/>
      <c r="D86" s="177"/>
      <c r="E86" s="177"/>
      <c r="F86" s="177"/>
      <c r="G86" s="177"/>
      <c r="H86" s="177"/>
      <c r="I86" s="177"/>
      <c r="J86" s="177"/>
      <c r="K86" s="177"/>
      <c r="L86" s="177"/>
      <c r="M86" s="177"/>
      <c r="N86" s="177"/>
      <c r="O86" s="177"/>
      <c r="P86" s="177"/>
      <c r="Q86" s="177"/>
      <c r="R86" s="177"/>
      <c r="S86" s="177"/>
      <c r="T86" s="177"/>
      <c r="U86" s="177"/>
      <c r="V86" s="5"/>
    </row>
    <row r="87" spans="1:22" ht="15.6" x14ac:dyDescent="0.3">
      <c r="A87" s="222"/>
      <c r="B87" s="252" t="s">
        <v>27</v>
      </c>
      <c r="C87" s="252"/>
      <c r="D87" s="252"/>
      <c r="E87" s="252"/>
      <c r="F87" s="252"/>
      <c r="G87" s="252"/>
      <c r="H87" s="253"/>
      <c r="I87" s="253"/>
      <c r="J87" s="254" t="s">
        <v>98</v>
      </c>
      <c r="K87" s="253"/>
      <c r="L87" s="255">
        <f>+R193</f>
        <v>40451</v>
      </c>
      <c r="M87" s="253"/>
      <c r="N87" s="253"/>
      <c r="O87" s="253"/>
      <c r="P87" s="253"/>
      <c r="Q87" s="253"/>
      <c r="R87" s="253" t="s">
        <v>111</v>
      </c>
      <c r="S87" s="253"/>
      <c r="T87" s="253" t="s">
        <v>119</v>
      </c>
      <c r="U87" s="223"/>
      <c r="V87" s="5"/>
    </row>
    <row r="88" spans="1:22" ht="15.6" x14ac:dyDescent="0.3">
      <c r="A88" s="190"/>
      <c r="B88" s="239" t="s">
        <v>28</v>
      </c>
      <c r="C88" s="239"/>
      <c r="D88" s="239"/>
      <c r="E88" s="239"/>
      <c r="F88" s="239"/>
      <c r="G88" s="239"/>
      <c r="H88" s="239"/>
      <c r="I88" s="239"/>
      <c r="J88" s="239"/>
      <c r="K88" s="239"/>
      <c r="L88" s="239"/>
      <c r="M88" s="239"/>
      <c r="N88" s="239"/>
      <c r="O88" s="239"/>
      <c r="P88" s="239"/>
      <c r="Q88" s="239"/>
      <c r="R88" s="243">
        <v>0</v>
      </c>
      <c r="S88" s="239"/>
      <c r="T88" s="251">
        <v>0</v>
      </c>
      <c r="U88" s="239"/>
      <c r="V88" s="5"/>
    </row>
    <row r="89" spans="1:22" ht="15.6" x14ac:dyDescent="0.3">
      <c r="A89" s="284"/>
      <c r="B89" s="285" t="s">
        <v>29</v>
      </c>
      <c r="C89" s="285"/>
      <c r="D89" s="285"/>
      <c r="E89" s="285"/>
      <c r="F89" s="285"/>
      <c r="G89" s="285"/>
      <c r="H89" s="324"/>
      <c r="I89" s="341"/>
      <c r="J89" s="324"/>
      <c r="K89" s="285"/>
      <c r="L89" s="342"/>
      <c r="M89" s="285"/>
      <c r="N89" s="285"/>
      <c r="O89" s="285"/>
      <c r="P89" s="285"/>
      <c r="Q89" s="285"/>
      <c r="R89" s="338">
        <f>7625-219</f>
        <v>7406</v>
      </c>
      <c r="S89" s="285"/>
      <c r="T89" s="339"/>
      <c r="U89" s="288"/>
      <c r="V89" s="5"/>
    </row>
    <row r="90" spans="1:22" ht="15.6" x14ac:dyDescent="0.3">
      <c r="A90" s="284"/>
      <c r="B90" s="285" t="s">
        <v>225</v>
      </c>
      <c r="C90" s="285"/>
      <c r="D90" s="285"/>
      <c r="E90" s="285"/>
      <c r="F90" s="285"/>
      <c r="G90" s="285"/>
      <c r="H90" s="324"/>
      <c r="I90" s="341"/>
      <c r="J90" s="324"/>
      <c r="K90" s="285"/>
      <c r="L90" s="342"/>
      <c r="M90" s="285"/>
      <c r="N90" s="285"/>
      <c r="O90" s="285"/>
      <c r="P90" s="285"/>
      <c r="Q90" s="285"/>
      <c r="R90" s="338"/>
      <c r="S90" s="285"/>
      <c r="T90" s="339">
        <f>2331+2597-378-360+35</f>
        <v>4225</v>
      </c>
      <c r="U90" s="288"/>
      <c r="V90" s="5"/>
    </row>
    <row r="91" spans="1:22" ht="15.6" x14ac:dyDescent="0.3">
      <c r="A91" s="284"/>
      <c r="B91" s="285" t="s">
        <v>220</v>
      </c>
      <c r="C91" s="285"/>
      <c r="D91" s="285"/>
      <c r="E91" s="285"/>
      <c r="F91" s="285"/>
      <c r="G91" s="285"/>
      <c r="H91" s="324"/>
      <c r="I91" s="341"/>
      <c r="J91" s="324"/>
      <c r="K91" s="285"/>
      <c r="L91" s="342"/>
      <c r="M91" s="285"/>
      <c r="N91" s="285"/>
      <c r="O91" s="285"/>
      <c r="P91" s="285"/>
      <c r="Q91" s="285"/>
      <c r="R91" s="338"/>
      <c r="S91" s="285"/>
      <c r="T91" s="339">
        <f>35+72</f>
        <v>107</v>
      </c>
      <c r="U91" s="288"/>
      <c r="V91" s="5"/>
    </row>
    <row r="92" spans="1:22" ht="15.6" x14ac:dyDescent="0.3">
      <c r="A92" s="284"/>
      <c r="B92" s="285" t="s">
        <v>221</v>
      </c>
      <c r="C92" s="285"/>
      <c r="D92" s="285"/>
      <c r="E92" s="285"/>
      <c r="F92" s="285"/>
      <c r="G92" s="285"/>
      <c r="H92" s="324"/>
      <c r="I92" s="341"/>
      <c r="J92" s="324"/>
      <c r="K92" s="285"/>
      <c r="L92" s="342"/>
      <c r="M92" s="285"/>
      <c r="N92" s="285"/>
      <c r="O92" s="285"/>
      <c r="P92" s="285"/>
      <c r="Q92" s="285"/>
      <c r="R92" s="338"/>
      <c r="S92" s="285"/>
      <c r="T92" s="339">
        <v>30</v>
      </c>
      <c r="U92" s="288"/>
      <c r="V92" s="5"/>
    </row>
    <row r="93" spans="1:22" ht="15.6" x14ac:dyDescent="0.3">
      <c r="A93" s="284"/>
      <c r="B93" s="285" t="s">
        <v>261</v>
      </c>
      <c r="C93" s="285"/>
      <c r="D93" s="285"/>
      <c r="E93" s="285"/>
      <c r="F93" s="285"/>
      <c r="G93" s="285"/>
      <c r="H93" s="324"/>
      <c r="I93" s="341"/>
      <c r="J93" s="324"/>
      <c r="K93" s="285"/>
      <c r="L93" s="342"/>
      <c r="M93" s="285"/>
      <c r="N93" s="285"/>
      <c r="O93" s="285"/>
      <c r="P93" s="285"/>
      <c r="Q93" s="285"/>
      <c r="R93" s="338"/>
      <c r="S93" s="285"/>
      <c r="T93" s="339">
        <v>0</v>
      </c>
      <c r="U93" s="288"/>
      <c r="V93" s="5"/>
    </row>
    <row r="94" spans="1:22" ht="15.6" x14ac:dyDescent="0.3">
      <c r="A94" s="284"/>
      <c r="B94" s="285" t="s">
        <v>141</v>
      </c>
      <c r="C94" s="285"/>
      <c r="D94" s="285"/>
      <c r="E94" s="285"/>
      <c r="F94" s="285"/>
      <c r="G94" s="285"/>
      <c r="H94" s="285"/>
      <c r="I94" s="285"/>
      <c r="J94" s="285"/>
      <c r="K94" s="285"/>
      <c r="L94" s="285"/>
      <c r="M94" s="285"/>
      <c r="N94" s="285"/>
      <c r="O94" s="285"/>
      <c r="P94" s="285"/>
      <c r="Q94" s="285"/>
      <c r="R94" s="338"/>
      <c r="S94" s="285"/>
      <c r="T94" s="339">
        <v>0</v>
      </c>
      <c r="U94" s="288"/>
      <c r="V94" s="5"/>
    </row>
    <row r="95" spans="1:22" ht="15.6" x14ac:dyDescent="0.3">
      <c r="A95" s="284"/>
      <c r="B95" s="285" t="s">
        <v>250</v>
      </c>
      <c r="C95" s="285"/>
      <c r="D95" s="285"/>
      <c r="E95" s="285"/>
      <c r="F95" s="285"/>
      <c r="G95" s="285"/>
      <c r="H95" s="285"/>
      <c r="I95" s="285"/>
      <c r="J95" s="285"/>
      <c r="K95" s="285"/>
      <c r="L95" s="285"/>
      <c r="M95" s="285"/>
      <c r="N95" s="285"/>
      <c r="O95" s="285"/>
      <c r="P95" s="285"/>
      <c r="Q95" s="285"/>
      <c r="R95" s="338"/>
      <c r="S95" s="285"/>
      <c r="T95" s="339">
        <v>0</v>
      </c>
      <c r="U95" s="288"/>
      <c r="V95" s="5"/>
    </row>
    <row r="96" spans="1:22" ht="15.6" x14ac:dyDescent="0.3">
      <c r="A96" s="284"/>
      <c r="B96" s="285" t="s">
        <v>30</v>
      </c>
      <c r="C96" s="285"/>
      <c r="D96" s="285"/>
      <c r="E96" s="285"/>
      <c r="F96" s="285"/>
      <c r="G96" s="285"/>
      <c r="H96" s="285"/>
      <c r="I96" s="285"/>
      <c r="J96" s="285"/>
      <c r="K96" s="285"/>
      <c r="L96" s="285"/>
      <c r="M96" s="285"/>
      <c r="N96" s="285"/>
      <c r="O96" s="285"/>
      <c r="P96" s="285"/>
      <c r="Q96" s="285"/>
      <c r="R96" s="338">
        <f>SUM(R88:R95)</f>
        <v>7406</v>
      </c>
      <c r="S96" s="285"/>
      <c r="T96" s="338">
        <f>SUM(T88:T95)</f>
        <v>4362</v>
      </c>
      <c r="U96" s="288"/>
      <c r="V96" s="5"/>
    </row>
    <row r="97" spans="1:24" ht="15.6" x14ac:dyDescent="0.3">
      <c r="A97" s="284"/>
      <c r="B97" s="285" t="s">
        <v>168</v>
      </c>
      <c r="C97" s="285"/>
      <c r="D97" s="285"/>
      <c r="E97" s="285"/>
      <c r="F97" s="285"/>
      <c r="G97" s="285"/>
      <c r="H97" s="285"/>
      <c r="I97" s="285"/>
      <c r="J97" s="285"/>
      <c r="K97" s="285"/>
      <c r="L97" s="285"/>
      <c r="M97" s="285"/>
      <c r="N97" s="285"/>
      <c r="O97" s="285"/>
      <c r="P97" s="285"/>
      <c r="Q97" s="285"/>
      <c r="R97" s="338">
        <v>-45</v>
      </c>
      <c r="S97" s="285"/>
      <c r="T97" s="338">
        <f>-R97</f>
        <v>45</v>
      </c>
      <c r="U97" s="288"/>
      <c r="V97" s="5"/>
    </row>
    <row r="98" spans="1:24" ht="15.6" x14ac:dyDescent="0.3">
      <c r="A98" s="284"/>
      <c r="B98" s="285" t="s">
        <v>31</v>
      </c>
      <c r="C98" s="285"/>
      <c r="D98" s="285"/>
      <c r="E98" s="285"/>
      <c r="F98" s="285"/>
      <c r="G98" s="285"/>
      <c r="H98" s="285"/>
      <c r="I98" s="285"/>
      <c r="J98" s="285"/>
      <c r="K98" s="285"/>
      <c r="L98" s="285"/>
      <c r="M98" s="285"/>
      <c r="N98" s="285"/>
      <c r="O98" s="285"/>
      <c r="P98" s="285"/>
      <c r="Q98" s="285"/>
      <c r="R98" s="338">
        <f>-T98</f>
        <v>0</v>
      </c>
      <c r="S98" s="285"/>
      <c r="T98" s="339">
        <v>0</v>
      </c>
      <c r="U98" s="288"/>
      <c r="V98" s="5"/>
    </row>
    <row r="99" spans="1:24" ht="15.6" x14ac:dyDescent="0.3">
      <c r="A99" s="284"/>
      <c r="B99" s="285" t="s">
        <v>273</v>
      </c>
      <c r="C99" s="285"/>
      <c r="D99" s="285"/>
      <c r="E99" s="285"/>
      <c r="F99" s="285"/>
      <c r="G99" s="285"/>
      <c r="H99" s="285"/>
      <c r="I99" s="285"/>
      <c r="J99" s="285"/>
      <c r="K99" s="285"/>
      <c r="L99" s="285"/>
      <c r="M99" s="285"/>
      <c r="N99" s="285"/>
      <c r="O99" s="285"/>
      <c r="P99" s="285"/>
      <c r="Q99" s="285"/>
      <c r="R99" s="338"/>
      <c r="S99" s="285"/>
      <c r="T99" s="339">
        <v>80</v>
      </c>
      <c r="U99" s="288"/>
      <c r="V99" s="5"/>
    </row>
    <row r="100" spans="1:24" ht="15.6" x14ac:dyDescent="0.3">
      <c r="A100" s="284"/>
      <c r="B100" s="285" t="s">
        <v>32</v>
      </c>
      <c r="C100" s="285"/>
      <c r="D100" s="285"/>
      <c r="E100" s="285"/>
      <c r="F100" s="285"/>
      <c r="G100" s="285"/>
      <c r="H100" s="285"/>
      <c r="I100" s="285"/>
      <c r="J100" s="285"/>
      <c r="K100" s="285"/>
      <c r="L100" s="285"/>
      <c r="M100" s="285"/>
      <c r="N100" s="285"/>
      <c r="O100" s="285"/>
      <c r="P100" s="285"/>
      <c r="Q100" s="285"/>
      <c r="R100" s="338">
        <f>R96+R98+R97</f>
        <v>7361</v>
      </c>
      <c r="S100" s="285"/>
      <c r="T100" s="338">
        <f>T96+T98+T97+T99</f>
        <v>4487</v>
      </c>
      <c r="U100" s="288"/>
      <c r="V100" s="5"/>
    </row>
    <row r="101" spans="1:24" ht="15.6" x14ac:dyDescent="0.3">
      <c r="A101" s="284"/>
      <c r="B101" s="343" t="s">
        <v>33</v>
      </c>
      <c r="C101" s="311"/>
      <c r="D101" s="311"/>
      <c r="E101" s="311"/>
      <c r="F101" s="311"/>
      <c r="G101" s="311"/>
      <c r="H101" s="311"/>
      <c r="I101" s="311"/>
      <c r="J101" s="311"/>
      <c r="K101" s="311"/>
      <c r="L101" s="311"/>
      <c r="M101" s="311"/>
      <c r="N101" s="311"/>
      <c r="O101" s="311"/>
      <c r="P101" s="311"/>
      <c r="Q101" s="311"/>
      <c r="R101" s="344"/>
      <c r="S101" s="311"/>
      <c r="T101" s="345"/>
      <c r="U101" s="317"/>
      <c r="V101" s="5"/>
    </row>
    <row r="102" spans="1:24" ht="15.6" x14ac:dyDescent="0.3">
      <c r="A102" s="337">
        <v>1</v>
      </c>
      <c r="B102" s="285" t="s">
        <v>34</v>
      </c>
      <c r="C102" s="285"/>
      <c r="D102" s="285"/>
      <c r="E102" s="285"/>
      <c r="F102" s="285"/>
      <c r="G102" s="285"/>
      <c r="H102" s="285"/>
      <c r="I102" s="285"/>
      <c r="J102" s="285"/>
      <c r="K102" s="285"/>
      <c r="L102" s="285"/>
      <c r="M102" s="285"/>
      <c r="N102" s="285"/>
      <c r="O102" s="285"/>
      <c r="P102" s="285"/>
      <c r="Q102" s="285"/>
      <c r="R102" s="285"/>
      <c r="S102" s="285"/>
      <c r="T102" s="339">
        <v>0</v>
      </c>
      <c r="U102" s="288"/>
      <c r="V102" s="5"/>
    </row>
    <row r="103" spans="1:24" ht="15.6" x14ac:dyDescent="0.3">
      <c r="A103" s="337">
        <f>+A102+1</f>
        <v>2</v>
      </c>
      <c r="B103" s="285" t="s">
        <v>255</v>
      </c>
      <c r="C103" s="285"/>
      <c r="D103" s="285"/>
      <c r="E103" s="285"/>
      <c r="F103" s="285"/>
      <c r="G103" s="285"/>
      <c r="H103" s="285"/>
      <c r="I103" s="285"/>
      <c r="J103" s="285"/>
      <c r="K103" s="285"/>
      <c r="L103" s="285"/>
      <c r="M103" s="285"/>
      <c r="N103" s="285"/>
      <c r="O103" s="285"/>
      <c r="P103" s="285"/>
      <c r="Q103" s="285"/>
      <c r="R103" s="285"/>
      <c r="S103" s="285"/>
      <c r="T103" s="339">
        <v>-2</v>
      </c>
      <c r="U103" s="288"/>
      <c r="V103" s="5"/>
    </row>
    <row r="104" spans="1:24" ht="15.6" x14ac:dyDescent="0.3">
      <c r="A104" s="337">
        <f>+A103+1</f>
        <v>3</v>
      </c>
      <c r="B104" s="285" t="s">
        <v>213</v>
      </c>
      <c r="C104" s="285"/>
      <c r="D104" s="285"/>
      <c r="E104" s="285"/>
      <c r="F104" s="285"/>
      <c r="G104" s="285"/>
      <c r="H104" s="285"/>
      <c r="I104" s="285"/>
      <c r="J104" s="285"/>
      <c r="K104" s="285"/>
      <c r="L104" s="285"/>
      <c r="M104" s="285"/>
      <c r="N104" s="285"/>
      <c r="O104" s="285"/>
      <c r="P104" s="285"/>
      <c r="Q104" s="285"/>
      <c r="R104" s="285"/>
      <c r="S104" s="285"/>
      <c r="T104" s="339">
        <f>-227-185-7</f>
        <v>-419</v>
      </c>
      <c r="U104" s="288"/>
      <c r="V104" s="5"/>
    </row>
    <row r="105" spans="1:24" ht="15.6" x14ac:dyDescent="0.3">
      <c r="A105" s="337" t="s">
        <v>133</v>
      </c>
      <c r="B105" s="285" t="s">
        <v>122</v>
      </c>
      <c r="C105" s="285"/>
      <c r="D105" s="285"/>
      <c r="E105" s="285"/>
      <c r="F105" s="285"/>
      <c r="G105" s="285"/>
      <c r="H105" s="285"/>
      <c r="I105" s="285"/>
      <c r="J105" s="285"/>
      <c r="K105" s="285"/>
      <c r="L105" s="285"/>
      <c r="M105" s="285"/>
      <c r="N105" s="285"/>
      <c r="O105" s="285"/>
      <c r="P105" s="285"/>
      <c r="Q105" s="285"/>
      <c r="R105" s="285"/>
      <c r="S105" s="285"/>
      <c r="T105" s="339">
        <v>-659</v>
      </c>
      <c r="U105" s="288"/>
      <c r="V105" s="5"/>
    </row>
    <row r="106" spans="1:24" ht="15.6" x14ac:dyDescent="0.3">
      <c r="A106" s="337" t="s">
        <v>134</v>
      </c>
      <c r="B106" s="285" t="s">
        <v>194</v>
      </c>
      <c r="C106" s="285"/>
      <c r="D106" s="285"/>
      <c r="E106" s="285"/>
      <c r="F106" s="285"/>
      <c r="G106" s="285"/>
      <c r="H106" s="285"/>
      <c r="I106" s="285"/>
      <c r="J106" s="285"/>
      <c r="K106" s="285"/>
      <c r="L106" s="285"/>
      <c r="M106" s="285"/>
      <c r="N106" s="285"/>
      <c r="O106" s="285"/>
      <c r="P106" s="285"/>
      <c r="Q106" s="285"/>
      <c r="R106" s="285"/>
      <c r="S106" s="285"/>
      <c r="T106" s="339">
        <f>-1002+172</f>
        <v>-830</v>
      </c>
      <c r="U106" s="288"/>
      <c r="V106" s="5"/>
      <c r="W106" s="109"/>
    </row>
    <row r="107" spans="1:24" ht="15.6" x14ac:dyDescent="0.3">
      <c r="A107" s="337" t="s">
        <v>156</v>
      </c>
      <c r="B107" s="285" t="s">
        <v>191</v>
      </c>
      <c r="C107" s="285"/>
      <c r="D107" s="285"/>
      <c r="E107" s="285"/>
      <c r="F107" s="285"/>
      <c r="G107" s="285"/>
      <c r="H107" s="285"/>
      <c r="I107" s="285"/>
      <c r="J107" s="285"/>
      <c r="K107" s="285"/>
      <c r="L107" s="285"/>
      <c r="M107" s="285"/>
      <c r="N107" s="285"/>
      <c r="O107" s="285"/>
      <c r="P107" s="285"/>
      <c r="Q107" s="285"/>
      <c r="R107" s="285"/>
      <c r="S107" s="285"/>
      <c r="T107" s="339">
        <v>-172</v>
      </c>
      <c r="U107" s="288"/>
      <c r="V107" s="5"/>
      <c r="W107" s="109"/>
    </row>
    <row r="108" spans="1:24" ht="15.6" x14ac:dyDescent="0.3">
      <c r="A108" s="337" t="s">
        <v>214</v>
      </c>
      <c r="B108" s="285" t="s">
        <v>192</v>
      </c>
      <c r="C108" s="285"/>
      <c r="D108" s="285"/>
      <c r="E108" s="285"/>
      <c r="F108" s="285"/>
      <c r="G108" s="285"/>
      <c r="H108" s="285"/>
      <c r="I108" s="285"/>
      <c r="J108" s="285"/>
      <c r="K108" s="285"/>
      <c r="L108" s="285"/>
      <c r="M108" s="285"/>
      <c r="N108" s="285"/>
      <c r="O108" s="285"/>
      <c r="P108" s="285"/>
      <c r="Q108" s="285"/>
      <c r="R108" s="285"/>
      <c r="S108" s="285"/>
      <c r="T108" s="339">
        <v>-141</v>
      </c>
      <c r="U108" s="288"/>
      <c r="V108" s="5"/>
      <c r="W108" s="109"/>
      <c r="X108" s="109"/>
    </row>
    <row r="109" spans="1:24" ht="15.6" x14ac:dyDescent="0.3">
      <c r="A109" s="337" t="s">
        <v>215</v>
      </c>
      <c r="B109" s="285" t="s">
        <v>193</v>
      </c>
      <c r="C109" s="285"/>
      <c r="D109" s="285"/>
      <c r="E109" s="285"/>
      <c r="F109" s="285"/>
      <c r="G109" s="285"/>
      <c r="H109" s="285"/>
      <c r="I109" s="285"/>
      <c r="J109" s="285"/>
      <c r="K109" s="285"/>
      <c r="L109" s="285"/>
      <c r="M109" s="285"/>
      <c r="N109" s="285"/>
      <c r="O109" s="285"/>
      <c r="P109" s="285"/>
      <c r="Q109" s="285"/>
      <c r="R109" s="285"/>
      <c r="S109" s="285"/>
      <c r="T109" s="339">
        <v>-39</v>
      </c>
      <c r="U109" s="288"/>
      <c r="V109" s="169"/>
      <c r="W109" s="109"/>
    </row>
    <row r="110" spans="1:24" ht="15.6" x14ac:dyDescent="0.3">
      <c r="A110" s="337" t="s">
        <v>216</v>
      </c>
      <c r="B110" s="285" t="s">
        <v>204</v>
      </c>
      <c r="C110" s="285"/>
      <c r="D110" s="285"/>
      <c r="E110" s="285"/>
      <c r="F110" s="285"/>
      <c r="G110" s="285"/>
      <c r="H110" s="285"/>
      <c r="I110" s="285"/>
      <c r="J110" s="285"/>
      <c r="K110" s="285"/>
      <c r="L110" s="285"/>
      <c r="M110" s="285"/>
      <c r="N110" s="285"/>
      <c r="O110" s="285"/>
      <c r="P110" s="285"/>
      <c r="Q110" s="285"/>
      <c r="R110" s="285"/>
      <c r="S110" s="285"/>
      <c r="T110" s="339">
        <v>-185</v>
      </c>
      <c r="U110" s="288"/>
      <c r="V110" s="5"/>
      <c r="W110" s="109"/>
    </row>
    <row r="111" spans="1:24" ht="15.6" x14ac:dyDescent="0.3">
      <c r="A111" s="337">
        <v>7</v>
      </c>
      <c r="B111" s="285" t="s">
        <v>35</v>
      </c>
      <c r="C111" s="285"/>
      <c r="D111" s="285"/>
      <c r="E111" s="285"/>
      <c r="F111" s="285"/>
      <c r="G111" s="285"/>
      <c r="H111" s="285"/>
      <c r="I111" s="285"/>
      <c r="J111" s="285"/>
      <c r="K111" s="285"/>
      <c r="L111" s="285"/>
      <c r="M111" s="285"/>
      <c r="N111" s="285"/>
      <c r="O111" s="285"/>
      <c r="P111" s="285"/>
      <c r="Q111" s="285"/>
      <c r="R111" s="285"/>
      <c r="S111" s="285"/>
      <c r="T111" s="339">
        <v>-10</v>
      </c>
      <c r="U111" s="288"/>
      <c r="V111" s="5"/>
    </row>
    <row r="112" spans="1:24" ht="15.6" x14ac:dyDescent="0.3">
      <c r="A112" s="337">
        <f t="shared" ref="A112:A117" si="0">+A111+1</f>
        <v>8</v>
      </c>
      <c r="B112" s="285" t="s">
        <v>46</v>
      </c>
      <c r="C112" s="285"/>
      <c r="D112" s="285"/>
      <c r="E112" s="285"/>
      <c r="F112" s="285"/>
      <c r="G112" s="285"/>
      <c r="H112" s="285"/>
      <c r="I112" s="285"/>
      <c r="J112" s="285"/>
      <c r="K112" s="285"/>
      <c r="L112" s="285"/>
      <c r="M112" s="285"/>
      <c r="N112" s="285"/>
      <c r="O112" s="285"/>
      <c r="P112" s="285"/>
      <c r="Q112" s="285"/>
      <c r="R112" s="338">
        <f>-T112</f>
        <v>219</v>
      </c>
      <c r="S112" s="285"/>
      <c r="T112" s="339">
        <v>-219</v>
      </c>
      <c r="U112" s="288"/>
      <c r="V112" s="5"/>
    </row>
    <row r="113" spans="1:22" ht="15.6" x14ac:dyDescent="0.3">
      <c r="A113" s="337">
        <f t="shared" si="0"/>
        <v>9</v>
      </c>
      <c r="B113" s="285" t="s">
        <v>131</v>
      </c>
      <c r="C113" s="285"/>
      <c r="D113" s="285"/>
      <c r="E113" s="285"/>
      <c r="F113" s="285"/>
      <c r="G113" s="285"/>
      <c r="H113" s="285"/>
      <c r="I113" s="285"/>
      <c r="J113" s="285"/>
      <c r="K113" s="285"/>
      <c r="L113" s="285"/>
      <c r="M113" s="285"/>
      <c r="N113" s="285"/>
      <c r="O113" s="285"/>
      <c r="P113" s="285"/>
      <c r="Q113" s="285"/>
      <c r="R113" s="285"/>
      <c r="S113" s="285"/>
      <c r="T113" s="339">
        <v>0</v>
      </c>
      <c r="U113" s="288"/>
      <c r="V113" s="5"/>
    </row>
    <row r="114" spans="1:22" ht="15.6" x14ac:dyDescent="0.3">
      <c r="A114" s="337">
        <f t="shared" si="0"/>
        <v>10</v>
      </c>
      <c r="B114" s="285" t="s">
        <v>36</v>
      </c>
      <c r="C114" s="285"/>
      <c r="D114" s="285"/>
      <c r="E114" s="285"/>
      <c r="F114" s="285"/>
      <c r="G114" s="285"/>
      <c r="H114" s="285"/>
      <c r="I114" s="285"/>
      <c r="J114" s="285"/>
      <c r="K114" s="285"/>
      <c r="L114" s="285"/>
      <c r="M114" s="285"/>
      <c r="N114" s="285"/>
      <c r="O114" s="285"/>
      <c r="P114" s="285"/>
      <c r="Q114" s="285"/>
      <c r="R114" s="285"/>
      <c r="S114" s="285"/>
      <c r="T114" s="339">
        <v>0</v>
      </c>
      <c r="U114" s="288"/>
      <c r="V114" s="5"/>
    </row>
    <row r="115" spans="1:22" ht="15.6" x14ac:dyDescent="0.3">
      <c r="A115" s="337">
        <f t="shared" si="0"/>
        <v>11</v>
      </c>
      <c r="B115" s="285" t="s">
        <v>37</v>
      </c>
      <c r="C115" s="285"/>
      <c r="D115" s="285"/>
      <c r="E115" s="285"/>
      <c r="F115" s="285"/>
      <c r="G115" s="285"/>
      <c r="H115" s="285"/>
      <c r="I115" s="285"/>
      <c r="J115" s="285"/>
      <c r="K115" s="285"/>
      <c r="L115" s="285"/>
      <c r="M115" s="285"/>
      <c r="N115" s="285"/>
      <c r="O115" s="285"/>
      <c r="P115" s="285"/>
      <c r="Q115" s="285"/>
      <c r="R115" s="285"/>
      <c r="S115" s="285"/>
      <c r="T115" s="339">
        <v>0</v>
      </c>
      <c r="U115" s="288"/>
      <c r="V115" s="5"/>
    </row>
    <row r="116" spans="1:22" ht="15.6" x14ac:dyDescent="0.3">
      <c r="A116" s="337">
        <f t="shared" si="0"/>
        <v>12</v>
      </c>
      <c r="B116" s="285" t="s">
        <v>155</v>
      </c>
      <c r="C116" s="285"/>
      <c r="D116" s="285"/>
      <c r="E116" s="285"/>
      <c r="F116" s="285"/>
      <c r="G116" s="285"/>
      <c r="H116" s="285"/>
      <c r="I116" s="285"/>
      <c r="J116" s="285"/>
      <c r="K116" s="285"/>
      <c r="L116" s="285"/>
      <c r="M116" s="285"/>
      <c r="N116" s="285"/>
      <c r="O116" s="285"/>
      <c r="P116" s="285"/>
      <c r="Q116" s="285"/>
      <c r="R116" s="285"/>
      <c r="S116" s="285"/>
      <c r="T116" s="339">
        <v>-228</v>
      </c>
      <c r="U116" s="288"/>
      <c r="V116" s="5"/>
    </row>
    <row r="117" spans="1:22" ht="15.6" x14ac:dyDescent="0.3">
      <c r="A117" s="337">
        <f t="shared" si="0"/>
        <v>13</v>
      </c>
      <c r="B117" s="285" t="s">
        <v>132</v>
      </c>
      <c r="C117" s="285"/>
      <c r="D117" s="285"/>
      <c r="E117" s="285"/>
      <c r="F117" s="285"/>
      <c r="G117" s="285"/>
      <c r="H117" s="285"/>
      <c r="I117" s="285"/>
      <c r="J117" s="285"/>
      <c r="K117" s="285"/>
      <c r="L117" s="285"/>
      <c r="M117" s="285"/>
      <c r="N117" s="285"/>
      <c r="O117" s="285"/>
      <c r="P117" s="285"/>
      <c r="Q117" s="285"/>
      <c r="R117" s="285"/>
      <c r="S117" s="285"/>
      <c r="T117" s="339">
        <f>-T100-SUM(T102:T116)</f>
        <v>-1583</v>
      </c>
      <c r="U117" s="288"/>
      <c r="V117" s="5"/>
    </row>
    <row r="118" spans="1:22" ht="15.6" x14ac:dyDescent="0.3">
      <c r="A118" s="284"/>
      <c r="B118" s="343" t="s">
        <v>38</v>
      </c>
      <c r="C118" s="311"/>
      <c r="D118" s="311"/>
      <c r="E118" s="311"/>
      <c r="F118" s="311"/>
      <c r="G118" s="311"/>
      <c r="H118" s="311"/>
      <c r="I118" s="311"/>
      <c r="J118" s="311"/>
      <c r="K118" s="311"/>
      <c r="L118" s="311"/>
      <c r="M118" s="311"/>
      <c r="N118" s="311"/>
      <c r="O118" s="311"/>
      <c r="P118" s="311"/>
      <c r="Q118" s="311"/>
      <c r="R118" s="311"/>
      <c r="S118" s="311"/>
      <c r="T118" s="346"/>
      <c r="U118" s="317"/>
      <c r="V118" s="5"/>
    </row>
    <row r="119" spans="1:22" ht="15.6" x14ac:dyDescent="0.3">
      <c r="A119" s="337"/>
      <c r="B119" s="285" t="s">
        <v>180</v>
      </c>
      <c r="C119" s="285"/>
      <c r="D119" s="285"/>
      <c r="E119" s="285"/>
      <c r="F119" s="285"/>
      <c r="G119" s="285"/>
      <c r="H119" s="285"/>
      <c r="I119" s="285"/>
      <c r="J119" s="285"/>
      <c r="K119" s="285"/>
      <c r="L119" s="285"/>
      <c r="M119" s="285"/>
      <c r="N119" s="285"/>
      <c r="O119" s="285"/>
      <c r="P119" s="285"/>
      <c r="Q119" s="285"/>
      <c r="R119" s="338">
        <f>-R177</f>
        <v>0</v>
      </c>
      <c r="S119" s="338"/>
      <c r="T119" s="339"/>
      <c r="U119" s="288"/>
      <c r="V119" s="5"/>
    </row>
    <row r="120" spans="1:22" ht="15.6" x14ac:dyDescent="0.3">
      <c r="A120" s="337"/>
      <c r="B120" s="285" t="s">
        <v>181</v>
      </c>
      <c r="C120" s="285"/>
      <c r="D120" s="285"/>
      <c r="E120" s="285"/>
      <c r="F120" s="285"/>
      <c r="G120" s="285"/>
      <c r="H120" s="285"/>
      <c r="I120" s="285"/>
      <c r="J120" s="285"/>
      <c r="K120" s="285"/>
      <c r="L120" s="285"/>
      <c r="M120" s="285"/>
      <c r="N120" s="285"/>
      <c r="O120" s="285"/>
      <c r="P120" s="285"/>
      <c r="Q120" s="285"/>
      <c r="R120" s="338">
        <v>-54</v>
      </c>
      <c r="S120" s="338"/>
      <c r="T120" s="339"/>
      <c r="U120" s="288"/>
      <c r="V120" s="5"/>
    </row>
    <row r="121" spans="1:22" ht="15.6" x14ac:dyDescent="0.3">
      <c r="A121" s="337"/>
      <c r="B121" s="285" t="s">
        <v>39</v>
      </c>
      <c r="C121" s="285"/>
      <c r="D121" s="285"/>
      <c r="E121" s="285"/>
      <c r="F121" s="285"/>
      <c r="G121" s="285"/>
      <c r="H121" s="285"/>
      <c r="I121" s="285"/>
      <c r="J121" s="285"/>
      <c r="K121" s="285"/>
      <c r="L121" s="285"/>
      <c r="M121" s="285"/>
      <c r="N121" s="285"/>
      <c r="O121" s="285"/>
      <c r="P121" s="285"/>
      <c r="Q121" s="285"/>
      <c r="R121" s="338">
        <f>-Q177</f>
        <v>-185</v>
      </c>
      <c r="S121" s="338"/>
      <c r="T121" s="339"/>
      <c r="U121" s="288"/>
      <c r="V121" s="5"/>
    </row>
    <row r="122" spans="1:22" ht="15.6" x14ac:dyDescent="0.3">
      <c r="A122" s="337"/>
      <c r="B122" s="285" t="s">
        <v>205</v>
      </c>
      <c r="C122" s="285"/>
      <c r="D122" s="285"/>
      <c r="E122" s="285"/>
      <c r="F122" s="285"/>
      <c r="G122" s="285"/>
      <c r="H122" s="285"/>
      <c r="I122" s="285"/>
      <c r="J122" s="285"/>
      <c r="K122" s="285"/>
      <c r="L122" s="285"/>
      <c r="M122" s="285"/>
      <c r="N122" s="285"/>
      <c r="O122" s="285"/>
      <c r="P122" s="285"/>
      <c r="Q122" s="285"/>
      <c r="R122" s="338">
        <v>-4801</v>
      </c>
      <c r="S122" s="338"/>
      <c r="T122" s="339"/>
      <c r="U122" s="288"/>
      <c r="V122" s="5"/>
    </row>
    <row r="123" spans="1:22" ht="15.6" x14ac:dyDescent="0.3">
      <c r="A123" s="337"/>
      <c r="B123" s="285" t="s">
        <v>203</v>
      </c>
      <c r="C123" s="285"/>
      <c r="D123" s="285"/>
      <c r="E123" s="285"/>
      <c r="F123" s="285"/>
      <c r="G123" s="285"/>
      <c r="H123" s="285"/>
      <c r="I123" s="285"/>
      <c r="J123" s="285"/>
      <c r="K123" s="285"/>
      <c r="L123" s="285"/>
      <c r="M123" s="285"/>
      <c r="N123" s="285"/>
      <c r="O123" s="285"/>
      <c r="P123" s="285"/>
      <c r="Q123" s="285"/>
      <c r="R123" s="338">
        <v>-1265</v>
      </c>
      <c r="S123" s="338"/>
      <c r="T123" s="339"/>
      <c r="U123" s="288"/>
      <c r="V123" s="5"/>
    </row>
    <row r="124" spans="1:22" ht="15.6" x14ac:dyDescent="0.3">
      <c r="A124" s="337"/>
      <c r="B124" s="285" t="s">
        <v>202</v>
      </c>
      <c r="C124" s="285"/>
      <c r="D124" s="285"/>
      <c r="E124" s="285"/>
      <c r="F124" s="285"/>
      <c r="G124" s="285"/>
      <c r="H124" s="285"/>
      <c r="I124" s="285"/>
      <c r="J124" s="285"/>
      <c r="K124" s="285"/>
      <c r="L124" s="285"/>
      <c r="M124" s="285"/>
      <c r="N124" s="285"/>
      <c r="O124" s="285"/>
      <c r="P124" s="285"/>
      <c r="Q124" s="285"/>
      <c r="R124" s="338">
        <v>-1275</v>
      </c>
      <c r="S124" s="338"/>
      <c r="T124" s="339"/>
      <c r="U124" s="288"/>
      <c r="V124" s="5"/>
    </row>
    <row r="125" spans="1:22" ht="15.6" x14ac:dyDescent="0.3">
      <c r="A125" s="337"/>
      <c r="B125" s="285" t="s">
        <v>197</v>
      </c>
      <c r="C125" s="285"/>
      <c r="D125" s="285"/>
      <c r="E125" s="285"/>
      <c r="F125" s="285"/>
      <c r="G125" s="285"/>
      <c r="H125" s="285"/>
      <c r="I125" s="285"/>
      <c r="J125" s="285"/>
      <c r="K125" s="285"/>
      <c r="L125" s="285"/>
      <c r="M125" s="285"/>
      <c r="N125" s="285"/>
      <c r="O125" s="285"/>
      <c r="P125" s="285"/>
      <c r="Q125" s="285"/>
      <c r="R125" s="338">
        <v>0</v>
      </c>
      <c r="S125" s="338"/>
      <c r="T125" s="339"/>
      <c r="U125" s="288"/>
      <c r="V125" s="5"/>
    </row>
    <row r="126" spans="1:22" ht="15.6" x14ac:dyDescent="0.3">
      <c r="A126" s="337"/>
      <c r="B126" s="285" t="s">
        <v>196</v>
      </c>
      <c r="C126" s="285"/>
      <c r="D126" s="285"/>
      <c r="E126" s="285"/>
      <c r="F126" s="285"/>
      <c r="G126" s="285"/>
      <c r="H126" s="285"/>
      <c r="I126" s="285"/>
      <c r="J126" s="285"/>
      <c r="K126" s="285"/>
      <c r="L126" s="285"/>
      <c r="M126" s="285"/>
      <c r="N126" s="285"/>
      <c r="O126" s="285"/>
      <c r="P126" s="285"/>
      <c r="Q126" s="285"/>
      <c r="R126" s="338">
        <v>0</v>
      </c>
      <c r="S126" s="338"/>
      <c r="T126" s="339"/>
      <c r="U126" s="288"/>
      <c r="V126" s="5"/>
    </row>
    <row r="127" spans="1:22" ht="15.6" x14ac:dyDescent="0.3">
      <c r="A127" s="337"/>
      <c r="B127" s="285" t="s">
        <v>195</v>
      </c>
      <c r="C127" s="285"/>
      <c r="D127" s="285"/>
      <c r="E127" s="285"/>
      <c r="F127" s="285"/>
      <c r="G127" s="285"/>
      <c r="H127" s="285"/>
      <c r="I127" s="285"/>
      <c r="J127" s="285"/>
      <c r="K127" s="285"/>
      <c r="L127" s="285"/>
      <c r="M127" s="285"/>
      <c r="N127" s="285"/>
      <c r="O127" s="285"/>
      <c r="P127" s="285"/>
      <c r="Q127" s="285"/>
      <c r="R127" s="338">
        <v>0</v>
      </c>
      <c r="S127" s="338"/>
      <c r="T127" s="339"/>
      <c r="U127" s="288"/>
      <c r="V127" s="5"/>
    </row>
    <row r="128" spans="1:22" ht="15.6" x14ac:dyDescent="0.3">
      <c r="A128" s="337"/>
      <c r="B128" s="285" t="s">
        <v>40</v>
      </c>
      <c r="C128" s="285"/>
      <c r="D128" s="285"/>
      <c r="E128" s="285"/>
      <c r="F128" s="285"/>
      <c r="G128" s="285"/>
      <c r="H128" s="285"/>
      <c r="I128" s="285"/>
      <c r="J128" s="285"/>
      <c r="K128" s="285"/>
      <c r="L128" s="285"/>
      <c r="M128" s="285"/>
      <c r="N128" s="285"/>
      <c r="O128" s="285"/>
      <c r="P128" s="285"/>
      <c r="Q128" s="285"/>
      <c r="R128" s="338">
        <f>SUM(R119:R127)</f>
        <v>-7580</v>
      </c>
      <c r="S128" s="338"/>
      <c r="T128" s="338">
        <f>SUM(T101:T126)</f>
        <v>-4487</v>
      </c>
      <c r="U128" s="288"/>
      <c r="V128" s="5"/>
    </row>
    <row r="129" spans="1:23" ht="15.6" x14ac:dyDescent="0.3">
      <c r="A129" s="337"/>
      <c r="B129" s="285" t="s">
        <v>41</v>
      </c>
      <c r="C129" s="285"/>
      <c r="D129" s="285"/>
      <c r="E129" s="285"/>
      <c r="F129" s="285"/>
      <c r="G129" s="285"/>
      <c r="H129" s="285"/>
      <c r="I129" s="285"/>
      <c r="J129" s="285"/>
      <c r="K129" s="285"/>
      <c r="L129" s="285"/>
      <c r="M129" s="285"/>
      <c r="N129" s="285"/>
      <c r="O129" s="285"/>
      <c r="P129" s="285"/>
      <c r="Q129" s="285"/>
      <c r="R129" s="338">
        <f>R100+R128+R112</f>
        <v>0</v>
      </c>
      <c r="S129" s="338"/>
      <c r="T129" s="338">
        <f>T100+T128</f>
        <v>0</v>
      </c>
      <c r="U129" s="288"/>
      <c r="V129" s="5"/>
    </row>
    <row r="130" spans="1:23" ht="15.6" x14ac:dyDescent="0.3">
      <c r="A130" s="256"/>
      <c r="B130" s="281"/>
      <c r="C130" s="281"/>
      <c r="D130" s="281"/>
      <c r="E130" s="281"/>
      <c r="F130" s="281"/>
      <c r="G130" s="281"/>
      <c r="H130" s="281"/>
      <c r="I130" s="281"/>
      <c r="J130" s="281"/>
      <c r="K130" s="281"/>
      <c r="L130" s="281"/>
      <c r="M130" s="281"/>
      <c r="N130" s="281"/>
      <c r="O130" s="281"/>
      <c r="P130" s="281"/>
      <c r="Q130" s="281"/>
      <c r="R130" s="340"/>
      <c r="S130" s="340"/>
      <c r="T130" s="340"/>
      <c r="U130" s="281"/>
      <c r="V130" s="5"/>
    </row>
    <row r="131" spans="1:23" ht="15.6" x14ac:dyDescent="0.3">
      <c r="A131" s="256"/>
      <c r="B131" s="231"/>
      <c r="C131" s="231"/>
      <c r="D131" s="231"/>
      <c r="E131" s="231"/>
      <c r="F131" s="231"/>
      <c r="G131" s="231"/>
      <c r="H131" s="231"/>
      <c r="I131" s="231"/>
      <c r="J131" s="231"/>
      <c r="K131" s="231"/>
      <c r="L131" s="231"/>
      <c r="M131" s="231"/>
      <c r="N131" s="231"/>
      <c r="O131" s="231"/>
      <c r="P131" s="231"/>
      <c r="Q131" s="231"/>
      <c r="R131" s="231"/>
      <c r="S131" s="231"/>
      <c r="T131" s="257"/>
      <c r="U131" s="231"/>
      <c r="V131" s="5"/>
    </row>
    <row r="132" spans="1:23" ht="18" thickBot="1" x14ac:dyDescent="0.35">
      <c r="A132" s="258"/>
      <c r="B132" s="246" t="str">
        <f>B64</f>
        <v>PM11 INVESTOR REPORT QUARTER ENDING SEPTEMBER 2010</v>
      </c>
      <c r="C132" s="247"/>
      <c r="D132" s="247"/>
      <c r="E132" s="247"/>
      <c r="F132" s="247"/>
      <c r="G132" s="247"/>
      <c r="H132" s="247"/>
      <c r="I132" s="247"/>
      <c r="J132" s="247"/>
      <c r="K132" s="247"/>
      <c r="L132" s="247"/>
      <c r="M132" s="247"/>
      <c r="N132" s="247"/>
      <c r="O132" s="247"/>
      <c r="P132" s="247"/>
      <c r="Q132" s="247"/>
      <c r="R132" s="247"/>
      <c r="S132" s="247"/>
      <c r="T132" s="259"/>
      <c r="U132" s="249"/>
      <c r="V132" s="5"/>
    </row>
    <row r="133" spans="1:23" ht="15.6" x14ac:dyDescent="0.3">
      <c r="A133" s="260"/>
      <c r="B133" s="263" t="s">
        <v>42</v>
      </c>
      <c r="C133" s="261"/>
      <c r="D133" s="261"/>
      <c r="E133" s="261"/>
      <c r="F133" s="261"/>
      <c r="G133" s="261"/>
      <c r="H133" s="261"/>
      <c r="I133" s="261"/>
      <c r="J133" s="261"/>
      <c r="K133" s="261"/>
      <c r="L133" s="261"/>
      <c r="M133" s="261"/>
      <c r="N133" s="261"/>
      <c r="O133" s="261"/>
      <c r="P133" s="261"/>
      <c r="Q133" s="261"/>
      <c r="R133" s="261"/>
      <c r="S133" s="261"/>
      <c r="T133" s="262"/>
      <c r="U133" s="261"/>
      <c r="V133" s="5"/>
    </row>
    <row r="134" spans="1:23" ht="15.6" x14ac:dyDescent="0.3">
      <c r="A134" s="175"/>
      <c r="B134" s="187"/>
      <c r="C134" s="177"/>
      <c r="D134" s="177"/>
      <c r="E134" s="177"/>
      <c r="F134" s="177"/>
      <c r="G134" s="177"/>
      <c r="H134" s="177"/>
      <c r="I134" s="177"/>
      <c r="J134" s="177"/>
      <c r="K134" s="177"/>
      <c r="L134" s="177"/>
      <c r="M134" s="177"/>
      <c r="N134" s="177"/>
      <c r="O134" s="177"/>
      <c r="P134" s="177"/>
      <c r="Q134" s="177"/>
      <c r="R134" s="177"/>
      <c r="S134" s="177"/>
      <c r="T134" s="194"/>
      <c r="U134" s="177"/>
      <c r="V134" s="5"/>
    </row>
    <row r="135" spans="1:23" ht="15.6" x14ac:dyDescent="0.3">
      <c r="A135" s="175"/>
      <c r="B135" s="201" t="s">
        <v>43</v>
      </c>
      <c r="C135" s="177"/>
      <c r="D135" s="177"/>
      <c r="E135" s="177"/>
      <c r="F135" s="177"/>
      <c r="G135" s="177"/>
      <c r="H135" s="177"/>
      <c r="I135" s="177"/>
      <c r="J135" s="177"/>
      <c r="K135" s="177"/>
      <c r="L135" s="177"/>
      <c r="M135" s="177"/>
      <c r="N135" s="177"/>
      <c r="O135" s="177"/>
      <c r="P135" s="177"/>
      <c r="Q135" s="177"/>
      <c r="R135" s="177"/>
      <c r="S135" s="177"/>
      <c r="T135" s="194"/>
      <c r="U135" s="177"/>
      <c r="V135" s="5"/>
    </row>
    <row r="136" spans="1:23" ht="15.6" x14ac:dyDescent="0.3">
      <c r="A136" s="284"/>
      <c r="B136" s="285" t="s">
        <v>44</v>
      </c>
      <c r="C136" s="285"/>
      <c r="D136" s="285"/>
      <c r="E136" s="285"/>
      <c r="F136" s="285"/>
      <c r="G136" s="285"/>
      <c r="H136" s="285"/>
      <c r="I136" s="285"/>
      <c r="J136" s="285"/>
      <c r="K136" s="285"/>
      <c r="L136" s="285"/>
      <c r="M136" s="285"/>
      <c r="N136" s="285"/>
      <c r="O136" s="285"/>
      <c r="P136" s="285"/>
      <c r="Q136" s="285"/>
      <c r="R136" s="285"/>
      <c r="S136" s="285"/>
      <c r="T136" s="339">
        <f>+T34*0.019</f>
        <v>19000.95</v>
      </c>
      <c r="U136" s="288"/>
      <c r="V136" s="5"/>
    </row>
    <row r="137" spans="1:23" ht="15.6" x14ac:dyDescent="0.3">
      <c r="A137" s="284"/>
      <c r="B137" s="285" t="s">
        <v>45</v>
      </c>
      <c r="C137" s="285"/>
      <c r="D137" s="285"/>
      <c r="E137" s="285"/>
      <c r="F137" s="285"/>
      <c r="G137" s="285"/>
      <c r="H137" s="285"/>
      <c r="I137" s="285"/>
      <c r="J137" s="285"/>
      <c r="K137" s="285"/>
      <c r="L137" s="285"/>
      <c r="M137" s="285"/>
      <c r="N137" s="285"/>
      <c r="O137" s="285"/>
      <c r="P137" s="285"/>
      <c r="Q137" s="285"/>
      <c r="R137" s="285"/>
      <c r="S137" s="285"/>
      <c r="T137" s="339">
        <v>19001</v>
      </c>
      <c r="U137" s="288"/>
      <c r="V137" s="5"/>
    </row>
    <row r="138" spans="1:23" ht="15.6" x14ac:dyDescent="0.3">
      <c r="A138" s="284"/>
      <c r="B138" s="285" t="s">
        <v>142</v>
      </c>
      <c r="C138" s="285"/>
      <c r="D138" s="285"/>
      <c r="E138" s="285"/>
      <c r="F138" s="285"/>
      <c r="G138" s="285"/>
      <c r="H138" s="285"/>
      <c r="I138" s="285"/>
      <c r="J138" s="285"/>
      <c r="K138" s="285"/>
      <c r="L138" s="285"/>
      <c r="M138" s="285"/>
      <c r="N138" s="285"/>
      <c r="O138" s="285"/>
      <c r="P138" s="285"/>
      <c r="Q138" s="285"/>
      <c r="R138" s="285"/>
      <c r="S138" s="285"/>
      <c r="T138" s="339">
        <v>0</v>
      </c>
      <c r="U138" s="288"/>
      <c r="V138" s="5"/>
    </row>
    <row r="139" spans="1:23" ht="15.6" x14ac:dyDescent="0.3">
      <c r="A139" s="284"/>
      <c r="B139" s="285" t="s">
        <v>129</v>
      </c>
      <c r="C139" s="285"/>
      <c r="D139" s="285"/>
      <c r="E139" s="285"/>
      <c r="F139" s="285"/>
      <c r="G139" s="285"/>
      <c r="H139" s="285"/>
      <c r="I139" s="285"/>
      <c r="J139" s="285"/>
      <c r="K139" s="285"/>
      <c r="L139" s="285"/>
      <c r="M139" s="285"/>
      <c r="N139" s="285"/>
      <c r="O139" s="285"/>
      <c r="P139" s="285"/>
      <c r="Q139" s="285"/>
      <c r="R139" s="285"/>
      <c r="S139" s="285"/>
      <c r="T139" s="339">
        <v>0</v>
      </c>
      <c r="U139" s="288"/>
      <c r="V139" s="5"/>
    </row>
    <row r="140" spans="1:23" ht="15.6" x14ac:dyDescent="0.3">
      <c r="A140" s="284"/>
      <c r="B140" s="285" t="s">
        <v>130</v>
      </c>
      <c r="C140" s="285"/>
      <c r="D140" s="285"/>
      <c r="E140" s="285"/>
      <c r="F140" s="285"/>
      <c r="G140" s="285"/>
      <c r="H140" s="285"/>
      <c r="I140" s="285"/>
      <c r="J140" s="285"/>
      <c r="K140" s="285"/>
      <c r="L140" s="285"/>
      <c r="M140" s="285"/>
      <c r="N140" s="285"/>
      <c r="O140" s="285"/>
      <c r="P140" s="285"/>
      <c r="Q140" s="285"/>
      <c r="R140" s="285"/>
      <c r="S140" s="285"/>
      <c r="T140" s="339">
        <v>0</v>
      </c>
      <c r="U140" s="288"/>
      <c r="V140" s="5"/>
    </row>
    <row r="141" spans="1:23" ht="15.6" x14ac:dyDescent="0.3">
      <c r="A141" s="284"/>
      <c r="B141" s="285" t="s">
        <v>182</v>
      </c>
      <c r="C141" s="285"/>
      <c r="D141" s="285"/>
      <c r="E141" s="285"/>
      <c r="F141" s="285"/>
      <c r="G141" s="285"/>
      <c r="H141" s="285"/>
      <c r="I141" s="285"/>
      <c r="J141" s="285"/>
      <c r="K141" s="285"/>
      <c r="L141" s="285"/>
      <c r="M141" s="285"/>
      <c r="N141" s="285"/>
      <c r="O141" s="285"/>
      <c r="P141" s="285"/>
      <c r="Q141" s="285"/>
      <c r="R141" s="285"/>
      <c r="S141" s="285"/>
      <c r="T141" s="339">
        <v>0</v>
      </c>
      <c r="U141" s="288"/>
      <c r="V141" s="5"/>
    </row>
    <row r="142" spans="1:23" ht="15.6" x14ac:dyDescent="0.3">
      <c r="A142" s="284"/>
      <c r="B142" s="285" t="s">
        <v>46</v>
      </c>
      <c r="C142" s="285"/>
      <c r="D142" s="285"/>
      <c r="E142" s="285"/>
      <c r="F142" s="285"/>
      <c r="G142" s="285"/>
      <c r="H142" s="285"/>
      <c r="I142" s="285"/>
      <c r="J142" s="285"/>
      <c r="K142" s="285"/>
      <c r="L142" s="285"/>
      <c r="M142" s="285"/>
      <c r="N142" s="285"/>
      <c r="O142" s="285"/>
      <c r="P142" s="285"/>
      <c r="Q142" s="285"/>
      <c r="R142" s="285"/>
      <c r="S142" s="285"/>
      <c r="T142" s="339">
        <v>0</v>
      </c>
      <c r="U142" s="288"/>
      <c r="V142" s="5"/>
    </row>
    <row r="143" spans="1:23" ht="15.6" x14ac:dyDescent="0.3">
      <c r="A143" s="284"/>
      <c r="B143" s="285" t="s">
        <v>135</v>
      </c>
      <c r="C143" s="285"/>
      <c r="D143" s="285"/>
      <c r="E143" s="285"/>
      <c r="F143" s="285"/>
      <c r="G143" s="285"/>
      <c r="H143" s="285"/>
      <c r="I143" s="285"/>
      <c r="J143" s="285"/>
      <c r="K143" s="285"/>
      <c r="L143" s="285"/>
      <c r="M143" s="285"/>
      <c r="N143" s="285"/>
      <c r="O143" s="285"/>
      <c r="P143" s="285"/>
      <c r="Q143" s="285"/>
      <c r="R143" s="285"/>
      <c r="S143" s="285"/>
      <c r="T143" s="339">
        <v>0</v>
      </c>
      <c r="U143" s="288"/>
      <c r="V143" s="5"/>
    </row>
    <row r="144" spans="1:23" ht="15.6" x14ac:dyDescent="0.3">
      <c r="A144" s="284"/>
      <c r="B144" s="285" t="s">
        <v>251</v>
      </c>
      <c r="C144" s="285"/>
      <c r="D144" s="285"/>
      <c r="E144" s="285"/>
      <c r="F144" s="285"/>
      <c r="G144" s="285"/>
      <c r="H144" s="285"/>
      <c r="I144" s="285"/>
      <c r="J144" s="285"/>
      <c r="K144" s="285"/>
      <c r="L144" s="285"/>
      <c r="M144" s="285"/>
      <c r="N144" s="285"/>
      <c r="O144" s="285"/>
      <c r="P144" s="285"/>
      <c r="Q144" s="285"/>
      <c r="R144" s="285"/>
      <c r="S144" s="285"/>
      <c r="T144" s="339">
        <v>0</v>
      </c>
      <c r="U144" s="288"/>
      <c r="V144" s="5"/>
      <c r="W144" s="109"/>
    </row>
    <row r="145" spans="1:22" ht="15.6" x14ac:dyDescent="0.3">
      <c r="A145" s="284"/>
      <c r="B145" s="285" t="s">
        <v>47</v>
      </c>
      <c r="C145" s="285"/>
      <c r="D145" s="285"/>
      <c r="E145" s="285"/>
      <c r="F145" s="285"/>
      <c r="G145" s="285"/>
      <c r="H145" s="285"/>
      <c r="I145" s="285"/>
      <c r="J145" s="285"/>
      <c r="K145" s="285"/>
      <c r="L145" s="285"/>
      <c r="M145" s="285"/>
      <c r="N145" s="285"/>
      <c r="O145" s="285"/>
      <c r="P145" s="285"/>
      <c r="Q145" s="285"/>
      <c r="R145" s="285"/>
      <c r="S145" s="285"/>
      <c r="T145" s="339">
        <f>SUM(T137:T144)</f>
        <v>19001</v>
      </c>
      <c r="U145" s="288"/>
      <c r="V145" s="5"/>
    </row>
    <row r="146" spans="1:22" ht="15.6" x14ac:dyDescent="0.3">
      <c r="A146" s="284"/>
      <c r="B146" s="311"/>
      <c r="C146" s="311"/>
      <c r="D146" s="311"/>
      <c r="E146" s="311"/>
      <c r="F146" s="311"/>
      <c r="G146" s="311"/>
      <c r="H146" s="311"/>
      <c r="I146" s="311"/>
      <c r="J146" s="311"/>
      <c r="K146" s="311"/>
      <c r="L146" s="311"/>
      <c r="M146" s="311"/>
      <c r="N146" s="311"/>
      <c r="O146" s="311"/>
      <c r="P146" s="311"/>
      <c r="Q146" s="311"/>
      <c r="R146" s="311"/>
      <c r="S146" s="311"/>
      <c r="T146" s="345"/>
      <c r="U146" s="317"/>
      <c r="V146" s="5"/>
    </row>
    <row r="147" spans="1:22" ht="15.6" x14ac:dyDescent="0.3">
      <c r="A147" s="284"/>
      <c r="B147" s="343" t="s">
        <v>262</v>
      </c>
      <c r="C147" s="311"/>
      <c r="D147" s="311"/>
      <c r="E147" s="311"/>
      <c r="F147" s="311"/>
      <c r="G147" s="311"/>
      <c r="H147" s="311"/>
      <c r="I147" s="311"/>
      <c r="J147" s="311"/>
      <c r="K147" s="311"/>
      <c r="L147" s="311"/>
      <c r="M147" s="311"/>
      <c r="N147" s="311"/>
      <c r="O147" s="311"/>
      <c r="P147" s="311"/>
      <c r="Q147" s="311"/>
      <c r="R147" s="311"/>
      <c r="S147" s="311"/>
      <c r="T147" s="345"/>
      <c r="U147" s="317"/>
      <c r="V147" s="5"/>
    </row>
    <row r="148" spans="1:22" ht="15.6" x14ac:dyDescent="0.3">
      <c r="A148" s="284"/>
      <c r="B148" s="285" t="s">
        <v>263</v>
      </c>
      <c r="C148" s="285"/>
      <c r="D148" s="285"/>
      <c r="E148" s="285"/>
      <c r="F148" s="285"/>
      <c r="G148" s="285"/>
      <c r="H148" s="285"/>
      <c r="I148" s="285"/>
      <c r="J148" s="285"/>
      <c r="K148" s="285"/>
      <c r="L148" s="285"/>
      <c r="M148" s="285"/>
      <c r="N148" s="285"/>
      <c r="O148" s="285"/>
      <c r="P148" s="285"/>
      <c r="Q148" s="285"/>
      <c r="R148" s="285"/>
      <c r="S148" s="285"/>
      <c r="T148" s="339">
        <v>0</v>
      </c>
      <c r="U148" s="288"/>
      <c r="V148" s="5"/>
    </row>
    <row r="149" spans="1:22" ht="15.6" x14ac:dyDescent="0.3">
      <c r="A149" s="284"/>
      <c r="B149" s="285" t="s">
        <v>179</v>
      </c>
      <c r="C149" s="285"/>
      <c r="D149" s="285"/>
      <c r="E149" s="285"/>
      <c r="F149" s="285"/>
      <c r="G149" s="285"/>
      <c r="H149" s="285"/>
      <c r="I149" s="285"/>
      <c r="J149" s="285"/>
      <c r="K149" s="285"/>
      <c r="L149" s="285"/>
      <c r="M149" s="285"/>
      <c r="N149" s="285"/>
      <c r="O149" s="285"/>
      <c r="P149" s="285"/>
      <c r="Q149" s="285"/>
      <c r="R149" s="285"/>
      <c r="S149" s="285"/>
      <c r="T149" s="339">
        <v>0</v>
      </c>
      <c r="U149" s="288"/>
      <c r="V149" s="5"/>
    </row>
    <row r="150" spans="1:22" ht="15.6" x14ac:dyDescent="0.3">
      <c r="A150" s="284"/>
      <c r="B150" s="285" t="s">
        <v>264</v>
      </c>
      <c r="C150" s="285"/>
      <c r="D150" s="285"/>
      <c r="E150" s="285"/>
      <c r="F150" s="285"/>
      <c r="G150" s="285"/>
      <c r="H150" s="285"/>
      <c r="I150" s="285"/>
      <c r="J150" s="285"/>
      <c r="K150" s="285"/>
      <c r="L150" s="285"/>
      <c r="M150" s="285"/>
      <c r="N150" s="285"/>
      <c r="O150" s="285"/>
      <c r="P150" s="285"/>
      <c r="Q150" s="285"/>
      <c r="R150" s="285"/>
      <c r="S150" s="285"/>
      <c r="T150" s="339">
        <v>0</v>
      </c>
      <c r="U150" s="288"/>
      <c r="V150" s="5"/>
    </row>
    <row r="151" spans="1:22" ht="15.6" x14ac:dyDescent="0.3">
      <c r="A151" s="284"/>
      <c r="B151" s="285"/>
      <c r="C151" s="285"/>
      <c r="D151" s="285"/>
      <c r="E151" s="285"/>
      <c r="F151" s="285"/>
      <c r="G151" s="285"/>
      <c r="H151" s="285"/>
      <c r="I151" s="285"/>
      <c r="J151" s="285"/>
      <c r="K151" s="285"/>
      <c r="L151" s="285"/>
      <c r="M151" s="285"/>
      <c r="N151" s="285"/>
      <c r="O151" s="285"/>
      <c r="P151" s="285"/>
      <c r="Q151" s="285"/>
      <c r="R151" s="285"/>
      <c r="S151" s="285"/>
      <c r="T151" s="339"/>
      <c r="U151" s="288"/>
      <c r="V151" s="5"/>
    </row>
    <row r="152" spans="1:22" ht="15.6" x14ac:dyDescent="0.3">
      <c r="A152" s="175"/>
      <c r="B152" s="334"/>
      <c r="C152" s="334"/>
      <c r="D152" s="334"/>
      <c r="E152" s="334"/>
      <c r="F152" s="334"/>
      <c r="G152" s="334"/>
      <c r="H152" s="334"/>
      <c r="I152" s="334"/>
      <c r="J152" s="334"/>
      <c r="K152" s="334"/>
      <c r="L152" s="334"/>
      <c r="M152" s="334"/>
      <c r="N152" s="334"/>
      <c r="O152" s="334"/>
      <c r="P152" s="334"/>
      <c r="Q152" s="334"/>
      <c r="R152" s="334"/>
      <c r="S152" s="334"/>
      <c r="T152" s="347"/>
      <c r="U152" s="334"/>
      <c r="V152" s="5"/>
    </row>
    <row r="153" spans="1:22" ht="15.6" x14ac:dyDescent="0.3">
      <c r="A153" s="175"/>
      <c r="B153" s="201" t="s">
        <v>24</v>
      </c>
      <c r="C153" s="177"/>
      <c r="D153" s="177"/>
      <c r="E153" s="177"/>
      <c r="F153" s="177"/>
      <c r="G153" s="177"/>
      <c r="H153" s="177"/>
      <c r="I153" s="177"/>
      <c r="J153" s="177"/>
      <c r="K153" s="177"/>
      <c r="L153" s="177"/>
      <c r="M153" s="177"/>
      <c r="N153" s="177"/>
      <c r="O153" s="177"/>
      <c r="P153" s="177"/>
      <c r="Q153" s="177"/>
      <c r="R153" s="177"/>
      <c r="S153" s="177"/>
      <c r="T153" s="194"/>
      <c r="U153" s="177"/>
      <c r="V153" s="5"/>
    </row>
    <row r="154" spans="1:22" ht="15.6" x14ac:dyDescent="0.3">
      <c r="A154" s="284"/>
      <c r="B154" s="285" t="s">
        <v>48</v>
      </c>
      <c r="C154" s="285"/>
      <c r="D154" s="285"/>
      <c r="E154" s="285"/>
      <c r="F154" s="285"/>
      <c r="G154" s="285"/>
      <c r="H154" s="285"/>
      <c r="I154" s="285"/>
      <c r="J154" s="285"/>
      <c r="K154" s="285"/>
      <c r="L154" s="285"/>
      <c r="M154" s="285"/>
      <c r="N154" s="285"/>
      <c r="O154" s="285"/>
      <c r="P154" s="285"/>
      <c r="Q154" s="285"/>
      <c r="R154" s="285"/>
      <c r="S154" s="285"/>
      <c r="T154" s="348" t="s">
        <v>124</v>
      </c>
      <c r="U154" s="288"/>
      <c r="V154" s="5"/>
    </row>
    <row r="155" spans="1:22" ht="15.6" x14ac:dyDescent="0.3">
      <c r="A155" s="284"/>
      <c r="B155" s="285" t="s">
        <v>49</v>
      </c>
      <c r="C155" s="287"/>
      <c r="D155" s="287"/>
      <c r="E155" s="287"/>
      <c r="F155" s="287"/>
      <c r="G155" s="287"/>
      <c r="H155" s="287"/>
      <c r="I155" s="287"/>
      <c r="J155" s="287"/>
      <c r="K155" s="287"/>
      <c r="L155" s="287"/>
      <c r="M155" s="287"/>
      <c r="N155" s="287"/>
      <c r="O155" s="287"/>
      <c r="P155" s="287"/>
      <c r="Q155" s="287"/>
      <c r="R155" s="287"/>
      <c r="S155" s="287"/>
      <c r="T155" s="348" t="s">
        <v>124</v>
      </c>
      <c r="U155" s="288"/>
      <c r="V155" s="5"/>
    </row>
    <row r="156" spans="1:22" ht="15.6" x14ac:dyDescent="0.3">
      <c r="A156" s="284"/>
      <c r="B156" s="285" t="s">
        <v>50</v>
      </c>
      <c r="C156" s="285"/>
      <c r="D156" s="285"/>
      <c r="E156" s="285"/>
      <c r="F156" s="285"/>
      <c r="G156" s="285"/>
      <c r="H156" s="285"/>
      <c r="I156" s="285"/>
      <c r="J156" s="285"/>
      <c r="K156" s="285"/>
      <c r="L156" s="285"/>
      <c r="M156" s="285"/>
      <c r="N156" s="285"/>
      <c r="O156" s="285"/>
      <c r="P156" s="285"/>
      <c r="Q156" s="285"/>
      <c r="R156" s="285"/>
      <c r="S156" s="285"/>
      <c r="T156" s="348" t="s">
        <v>124</v>
      </c>
      <c r="U156" s="288"/>
      <c r="V156" s="5"/>
    </row>
    <row r="157" spans="1:22" ht="15.6" x14ac:dyDescent="0.3">
      <c r="A157" s="284"/>
      <c r="B157" s="285" t="s">
        <v>51</v>
      </c>
      <c r="C157" s="285"/>
      <c r="D157" s="285"/>
      <c r="E157" s="285"/>
      <c r="F157" s="285"/>
      <c r="G157" s="285"/>
      <c r="H157" s="285"/>
      <c r="I157" s="285"/>
      <c r="J157" s="285"/>
      <c r="K157" s="285"/>
      <c r="L157" s="285"/>
      <c r="M157" s="285"/>
      <c r="N157" s="285"/>
      <c r="O157" s="285"/>
      <c r="P157" s="285"/>
      <c r="Q157" s="285"/>
      <c r="R157" s="285"/>
      <c r="S157" s="285"/>
      <c r="T157" s="348" t="s">
        <v>124</v>
      </c>
      <c r="U157" s="288"/>
      <c r="V157" s="5"/>
    </row>
    <row r="158" spans="1:22" ht="15.6" x14ac:dyDescent="0.3">
      <c r="A158" s="175"/>
      <c r="B158" s="334"/>
      <c r="C158" s="334"/>
      <c r="D158" s="334"/>
      <c r="E158" s="334"/>
      <c r="F158" s="334"/>
      <c r="G158" s="334"/>
      <c r="H158" s="334"/>
      <c r="I158" s="334"/>
      <c r="J158" s="334"/>
      <c r="K158" s="334"/>
      <c r="L158" s="334"/>
      <c r="M158" s="334"/>
      <c r="N158" s="334"/>
      <c r="O158" s="334"/>
      <c r="P158" s="334"/>
      <c r="Q158" s="334"/>
      <c r="R158" s="334"/>
      <c r="S158" s="334"/>
      <c r="T158" s="347"/>
      <c r="U158" s="334"/>
      <c r="V158" s="5"/>
    </row>
    <row r="159" spans="1:22" ht="15.6" x14ac:dyDescent="0.3">
      <c r="A159" s="175"/>
      <c r="B159" s="201" t="s">
        <v>52</v>
      </c>
      <c r="C159" s="177"/>
      <c r="D159" s="177"/>
      <c r="E159" s="177"/>
      <c r="F159" s="177"/>
      <c r="G159" s="177"/>
      <c r="H159" s="177"/>
      <c r="I159" s="177"/>
      <c r="J159" s="177"/>
      <c r="K159" s="177"/>
      <c r="L159" s="177"/>
      <c r="M159" s="177"/>
      <c r="N159" s="177"/>
      <c r="O159" s="177"/>
      <c r="P159" s="177"/>
      <c r="Q159" s="177"/>
      <c r="R159" s="177"/>
      <c r="S159" s="177"/>
      <c r="T159" s="202"/>
      <c r="U159" s="177"/>
      <c r="V159" s="5"/>
    </row>
    <row r="160" spans="1:22" ht="15.6" x14ac:dyDescent="0.3">
      <c r="A160" s="284"/>
      <c r="B160" s="285" t="s">
        <v>53</v>
      </c>
      <c r="C160" s="285"/>
      <c r="D160" s="285"/>
      <c r="E160" s="285"/>
      <c r="F160" s="285"/>
      <c r="G160" s="285"/>
      <c r="H160" s="285"/>
      <c r="I160" s="285"/>
      <c r="J160" s="285"/>
      <c r="K160" s="285"/>
      <c r="L160" s="285"/>
      <c r="M160" s="285"/>
      <c r="N160" s="285"/>
      <c r="O160" s="285"/>
      <c r="P160" s="285"/>
      <c r="Q160" s="285"/>
      <c r="R160" s="285"/>
      <c r="S160" s="285"/>
      <c r="T160" s="339">
        <v>0</v>
      </c>
      <c r="U160" s="288"/>
      <c r="V160" s="5"/>
    </row>
    <row r="161" spans="1:22" ht="15.6" x14ac:dyDescent="0.3">
      <c r="A161" s="284"/>
      <c r="B161" s="285" t="s">
        <v>54</v>
      </c>
      <c r="C161" s="285"/>
      <c r="D161" s="285"/>
      <c r="E161" s="285"/>
      <c r="F161" s="285"/>
      <c r="G161" s="285"/>
      <c r="H161" s="285"/>
      <c r="I161" s="285"/>
      <c r="J161" s="285"/>
      <c r="K161" s="285"/>
      <c r="L161" s="285"/>
      <c r="M161" s="285"/>
      <c r="N161" s="285"/>
      <c r="O161" s="285"/>
      <c r="P161" s="285"/>
      <c r="Q161" s="285"/>
      <c r="R161" s="285"/>
      <c r="S161" s="285"/>
      <c r="T161" s="339">
        <f>R112</f>
        <v>219</v>
      </c>
      <c r="U161" s="288"/>
      <c r="V161" s="5"/>
    </row>
    <row r="162" spans="1:22" ht="15.6" x14ac:dyDescent="0.3">
      <c r="A162" s="284"/>
      <c r="B162" s="285" t="s">
        <v>55</v>
      </c>
      <c r="C162" s="285"/>
      <c r="D162" s="285"/>
      <c r="E162" s="285"/>
      <c r="F162" s="285"/>
      <c r="G162" s="285"/>
      <c r="H162" s="285"/>
      <c r="I162" s="285"/>
      <c r="J162" s="285"/>
      <c r="K162" s="285"/>
      <c r="L162" s="285"/>
      <c r="M162" s="285"/>
      <c r="N162" s="285"/>
      <c r="O162" s="285"/>
      <c r="P162" s="285"/>
      <c r="Q162" s="285"/>
      <c r="R162" s="285"/>
      <c r="S162" s="285"/>
      <c r="T162" s="339">
        <f>T161+T160</f>
        <v>219</v>
      </c>
      <c r="U162" s="288"/>
      <c r="V162" s="5"/>
    </row>
    <row r="163" spans="1:22" ht="15.6" x14ac:dyDescent="0.3">
      <c r="A163" s="284"/>
      <c r="B163" s="285" t="s">
        <v>301</v>
      </c>
      <c r="C163" s="285"/>
      <c r="D163" s="285"/>
      <c r="E163" s="285"/>
      <c r="F163" s="285"/>
      <c r="G163" s="285"/>
      <c r="H163" s="285"/>
      <c r="I163" s="285"/>
      <c r="J163" s="285"/>
      <c r="K163" s="285"/>
      <c r="L163" s="285"/>
      <c r="M163" s="285"/>
      <c r="N163" s="285"/>
      <c r="O163" s="285"/>
      <c r="P163" s="285"/>
      <c r="Q163" s="285"/>
      <c r="R163" s="285"/>
      <c r="S163" s="285"/>
      <c r="T163" s="339">
        <f>T112</f>
        <v>-219</v>
      </c>
      <c r="U163" s="288"/>
      <c r="V163" s="5"/>
    </row>
    <row r="164" spans="1:22" ht="15.6" x14ac:dyDescent="0.3">
      <c r="A164" s="284"/>
      <c r="B164" s="285" t="s">
        <v>56</v>
      </c>
      <c r="C164" s="285"/>
      <c r="D164" s="285"/>
      <c r="E164" s="285"/>
      <c r="F164" s="285"/>
      <c r="G164" s="285"/>
      <c r="H164" s="285"/>
      <c r="I164" s="285"/>
      <c r="J164" s="285"/>
      <c r="K164" s="285"/>
      <c r="L164" s="285"/>
      <c r="M164" s="285"/>
      <c r="N164" s="285"/>
      <c r="O164" s="285"/>
      <c r="P164" s="285"/>
      <c r="Q164" s="285"/>
      <c r="R164" s="285"/>
      <c r="S164" s="285"/>
      <c r="T164" s="339">
        <f>T162+T163</f>
        <v>0</v>
      </c>
      <c r="U164" s="288"/>
      <c r="V164" s="5"/>
    </row>
    <row r="165" spans="1:22" ht="15.6" x14ac:dyDescent="0.3">
      <c r="A165" s="284"/>
      <c r="B165" s="285" t="s">
        <v>273</v>
      </c>
      <c r="C165" s="285"/>
      <c r="D165" s="285"/>
      <c r="E165" s="285"/>
      <c r="F165" s="285"/>
      <c r="G165" s="285"/>
      <c r="H165" s="285"/>
      <c r="I165" s="285"/>
      <c r="J165" s="285"/>
      <c r="K165" s="285"/>
      <c r="L165" s="285"/>
      <c r="M165" s="285"/>
      <c r="N165" s="285"/>
      <c r="O165" s="285"/>
      <c r="P165" s="285"/>
      <c r="Q165" s="285"/>
      <c r="R165" s="285"/>
      <c r="S165" s="285"/>
      <c r="T165" s="339">
        <v>0</v>
      </c>
      <c r="U165" s="288"/>
      <c r="V165" s="5"/>
    </row>
    <row r="166" spans="1:22" ht="16.2" thickBot="1" x14ac:dyDescent="0.35">
      <c r="A166" s="175"/>
      <c r="B166" s="334"/>
      <c r="C166" s="334"/>
      <c r="D166" s="334"/>
      <c r="E166" s="334"/>
      <c r="F166" s="334"/>
      <c r="G166" s="334"/>
      <c r="H166" s="334"/>
      <c r="I166" s="334"/>
      <c r="J166" s="334"/>
      <c r="K166" s="334"/>
      <c r="L166" s="334"/>
      <c r="M166" s="334"/>
      <c r="N166" s="334"/>
      <c r="O166" s="334"/>
      <c r="P166" s="334"/>
      <c r="Q166" s="334"/>
      <c r="R166" s="334"/>
      <c r="S166" s="334"/>
      <c r="T166" s="347"/>
      <c r="U166" s="334"/>
      <c r="V166" s="5"/>
    </row>
    <row r="167" spans="1:22" ht="15.6" x14ac:dyDescent="0.3">
      <c r="A167" s="173"/>
      <c r="B167" s="174"/>
      <c r="C167" s="174"/>
      <c r="D167" s="174"/>
      <c r="E167" s="174"/>
      <c r="F167" s="174"/>
      <c r="G167" s="174"/>
      <c r="H167" s="174"/>
      <c r="I167" s="174"/>
      <c r="J167" s="174"/>
      <c r="K167" s="174"/>
      <c r="L167" s="174"/>
      <c r="M167" s="174"/>
      <c r="N167" s="174"/>
      <c r="O167" s="174"/>
      <c r="P167" s="174"/>
      <c r="Q167" s="174"/>
      <c r="R167" s="174"/>
      <c r="S167" s="174"/>
      <c r="T167" s="193"/>
      <c r="U167" s="174"/>
      <c r="V167" s="5"/>
    </row>
    <row r="168" spans="1:22" ht="15.6" x14ac:dyDescent="0.3">
      <c r="A168" s="175"/>
      <c r="B168" s="201" t="s">
        <v>57</v>
      </c>
      <c r="C168" s="177"/>
      <c r="D168" s="177"/>
      <c r="E168" s="177"/>
      <c r="F168" s="177"/>
      <c r="G168" s="177"/>
      <c r="H168" s="177"/>
      <c r="I168" s="177"/>
      <c r="J168" s="177"/>
      <c r="K168" s="177"/>
      <c r="L168" s="177"/>
      <c r="M168" s="177"/>
      <c r="N168" s="177"/>
      <c r="O168" s="177"/>
      <c r="P168" s="177"/>
      <c r="Q168" s="177"/>
      <c r="R168" s="177"/>
      <c r="S168" s="177"/>
      <c r="T168" s="194"/>
      <c r="U168" s="177"/>
      <c r="V168" s="5"/>
    </row>
    <row r="169" spans="1:22" ht="15.6" x14ac:dyDescent="0.3">
      <c r="A169" s="175"/>
      <c r="B169" s="187"/>
      <c r="C169" s="177"/>
      <c r="D169" s="177"/>
      <c r="E169" s="177"/>
      <c r="F169" s="177"/>
      <c r="G169" s="177"/>
      <c r="H169" s="177"/>
      <c r="I169" s="177"/>
      <c r="J169" s="177"/>
      <c r="K169" s="177"/>
      <c r="L169" s="177"/>
      <c r="M169" s="177"/>
      <c r="N169" s="177"/>
      <c r="O169" s="177"/>
      <c r="P169" s="177"/>
      <c r="Q169" s="177"/>
      <c r="R169" s="177"/>
      <c r="S169" s="177"/>
      <c r="T169" s="194"/>
      <c r="U169" s="177"/>
      <c r="V169" s="5"/>
    </row>
    <row r="170" spans="1:22" ht="15.6" x14ac:dyDescent="0.3">
      <c r="A170" s="284"/>
      <c r="B170" s="285" t="s">
        <v>58</v>
      </c>
      <c r="C170" s="285"/>
      <c r="D170" s="285"/>
      <c r="E170" s="285"/>
      <c r="F170" s="285"/>
      <c r="G170" s="285"/>
      <c r="H170" s="285"/>
      <c r="I170" s="285"/>
      <c r="J170" s="285"/>
      <c r="K170" s="285"/>
      <c r="L170" s="285"/>
      <c r="M170" s="285"/>
      <c r="N170" s="285"/>
      <c r="O170" s="285"/>
      <c r="P170" s="285"/>
      <c r="Q170" s="285"/>
      <c r="R170" s="285"/>
      <c r="S170" s="285"/>
      <c r="T170" s="339">
        <f>T71</f>
        <v>589572</v>
      </c>
      <c r="U170" s="288"/>
      <c r="V170" s="5"/>
    </row>
    <row r="171" spans="1:22" ht="15.6" x14ac:dyDescent="0.3">
      <c r="A171" s="284"/>
      <c r="B171" s="285" t="s">
        <v>59</v>
      </c>
      <c r="C171" s="285"/>
      <c r="D171" s="285"/>
      <c r="E171" s="285"/>
      <c r="F171" s="285"/>
      <c r="G171" s="285"/>
      <c r="H171" s="285"/>
      <c r="I171" s="285"/>
      <c r="J171" s="285"/>
      <c r="K171" s="285"/>
      <c r="L171" s="285"/>
      <c r="M171" s="285"/>
      <c r="N171" s="285"/>
      <c r="O171" s="285"/>
      <c r="P171" s="285"/>
      <c r="Q171" s="285"/>
      <c r="R171" s="285"/>
      <c r="S171" s="285"/>
      <c r="T171" s="339">
        <f>T84</f>
        <v>589572</v>
      </c>
      <c r="U171" s="288"/>
      <c r="V171" s="5"/>
    </row>
    <row r="172" spans="1:22" ht="16.2" thickBot="1" x14ac:dyDescent="0.35">
      <c r="A172" s="175"/>
      <c r="B172" s="334"/>
      <c r="C172" s="334"/>
      <c r="D172" s="334"/>
      <c r="E172" s="334"/>
      <c r="F172" s="334"/>
      <c r="G172" s="334"/>
      <c r="H172" s="334"/>
      <c r="I172" s="334"/>
      <c r="J172" s="334"/>
      <c r="K172" s="334"/>
      <c r="L172" s="334"/>
      <c r="M172" s="334"/>
      <c r="N172" s="334"/>
      <c r="O172" s="334"/>
      <c r="P172" s="334"/>
      <c r="Q172" s="334"/>
      <c r="R172" s="334"/>
      <c r="S172" s="334"/>
      <c r="T172" s="347"/>
      <c r="U172" s="334"/>
      <c r="V172" s="5"/>
    </row>
    <row r="173" spans="1:22" ht="15.6" x14ac:dyDescent="0.3">
      <c r="A173" s="173"/>
      <c r="B173" s="174"/>
      <c r="C173" s="174"/>
      <c r="D173" s="174"/>
      <c r="E173" s="174"/>
      <c r="F173" s="174"/>
      <c r="G173" s="174"/>
      <c r="H173" s="174"/>
      <c r="I173" s="174"/>
      <c r="J173" s="174"/>
      <c r="K173" s="174"/>
      <c r="L173" s="174"/>
      <c r="M173" s="174"/>
      <c r="N173" s="174"/>
      <c r="O173" s="174"/>
      <c r="P173" s="174"/>
      <c r="Q173" s="174"/>
      <c r="R173" s="174"/>
      <c r="S173" s="174"/>
      <c r="T173" s="193"/>
      <c r="U173" s="174"/>
      <c r="V173" s="5"/>
    </row>
    <row r="174" spans="1:22" ht="15.6" x14ac:dyDescent="0.3">
      <c r="A174" s="175"/>
      <c r="B174" s="201" t="s">
        <v>60</v>
      </c>
      <c r="C174" s="198"/>
      <c r="D174" s="198"/>
      <c r="E174" s="198"/>
      <c r="F174" s="198"/>
      <c r="G174" s="198"/>
      <c r="H174" s="203"/>
      <c r="I174" s="203"/>
      <c r="J174" s="203"/>
      <c r="K174" s="203"/>
      <c r="L174" s="203"/>
      <c r="M174" s="203"/>
      <c r="N174" s="203"/>
      <c r="O174" s="203"/>
      <c r="P174" s="203"/>
      <c r="Q174" s="203" t="s">
        <v>104</v>
      </c>
      <c r="R174" s="203" t="s">
        <v>183</v>
      </c>
      <c r="S174" s="179"/>
      <c r="T174" s="204" t="s">
        <v>120</v>
      </c>
      <c r="U174" s="205"/>
      <c r="V174" s="5"/>
    </row>
    <row r="175" spans="1:22" ht="15.6" x14ac:dyDescent="0.3">
      <c r="A175" s="284"/>
      <c r="B175" s="285" t="s">
        <v>61</v>
      </c>
      <c r="C175" s="285"/>
      <c r="D175" s="285"/>
      <c r="E175" s="285"/>
      <c r="F175" s="285"/>
      <c r="G175" s="285"/>
      <c r="H175" s="285"/>
      <c r="I175" s="285"/>
      <c r="J175" s="285"/>
      <c r="K175" s="285"/>
      <c r="L175" s="285"/>
      <c r="M175" s="285"/>
      <c r="N175" s="285"/>
      <c r="O175" s="285"/>
      <c r="P175" s="285"/>
      <c r="Q175" s="339">
        <v>160008</v>
      </c>
      <c r="R175" s="324"/>
      <c r="S175" s="285"/>
      <c r="T175" s="339"/>
      <c r="U175" s="288"/>
      <c r="V175" s="5"/>
    </row>
    <row r="176" spans="1:22" ht="15.6" x14ac:dyDescent="0.3">
      <c r="A176" s="284"/>
      <c r="B176" s="285" t="s">
        <v>62</v>
      </c>
      <c r="C176" s="285"/>
      <c r="D176" s="285"/>
      <c r="E176" s="285"/>
      <c r="F176" s="285"/>
      <c r="G176" s="285"/>
      <c r="H176" s="285"/>
      <c r="I176" s="285"/>
      <c r="J176" s="285"/>
      <c r="K176" s="285"/>
      <c r="L176" s="285"/>
      <c r="M176" s="285"/>
      <c r="N176" s="285"/>
      <c r="O176" s="285"/>
      <c r="P176" s="285"/>
      <c r="Q176" s="339">
        <f>+'June 10'!Q178</f>
        <v>35969</v>
      </c>
      <c r="R176" s="339">
        <f>+'June 10'!R178</f>
        <v>3447</v>
      </c>
      <c r="S176" s="285"/>
      <c r="T176" s="339">
        <f>Q176+R176</f>
        <v>39416</v>
      </c>
      <c r="U176" s="288"/>
      <c r="V176" s="5"/>
    </row>
    <row r="177" spans="1:22" ht="15.6" x14ac:dyDescent="0.3">
      <c r="A177" s="284"/>
      <c r="B177" s="285" t="s">
        <v>63</v>
      </c>
      <c r="C177" s="285"/>
      <c r="D177" s="285"/>
      <c r="E177" s="285"/>
      <c r="F177" s="285"/>
      <c r="G177" s="285"/>
      <c r="H177" s="285"/>
      <c r="I177" s="285"/>
      <c r="J177" s="285"/>
      <c r="K177" s="285"/>
      <c r="L177" s="285"/>
      <c r="M177" s="285"/>
      <c r="N177" s="285"/>
      <c r="O177" s="285"/>
      <c r="P177" s="285"/>
      <c r="Q177" s="338">
        <f>170+15</f>
        <v>185</v>
      </c>
      <c r="R177" s="338">
        <v>0</v>
      </c>
      <c r="S177" s="285"/>
      <c r="T177" s="339">
        <f>Q177+R177</f>
        <v>185</v>
      </c>
      <c r="U177" s="288"/>
      <c r="V177" s="5"/>
    </row>
    <row r="178" spans="1:22" ht="15.6" x14ac:dyDescent="0.3">
      <c r="A178" s="284"/>
      <c r="B178" s="285" t="s">
        <v>64</v>
      </c>
      <c r="C178" s="285"/>
      <c r="D178" s="285"/>
      <c r="E178" s="285"/>
      <c r="F178" s="285"/>
      <c r="G178" s="285"/>
      <c r="H178" s="285"/>
      <c r="I178" s="285"/>
      <c r="J178" s="285"/>
      <c r="K178" s="285"/>
      <c r="L178" s="285"/>
      <c r="M178" s="285"/>
      <c r="N178" s="285"/>
      <c r="O178" s="285"/>
      <c r="P178" s="285"/>
      <c r="Q178" s="339">
        <f>Q176+Q177</f>
        <v>36154</v>
      </c>
      <c r="R178" s="339">
        <f>R177+R176</f>
        <v>3447</v>
      </c>
      <c r="S178" s="285"/>
      <c r="T178" s="339">
        <f>Q178+R178</f>
        <v>39601</v>
      </c>
      <c r="U178" s="288"/>
      <c r="V178" s="5"/>
    </row>
    <row r="179" spans="1:22" ht="15.6" x14ac:dyDescent="0.3">
      <c r="A179" s="284"/>
      <c r="B179" s="285" t="s">
        <v>65</v>
      </c>
      <c r="C179" s="285"/>
      <c r="D179" s="285"/>
      <c r="E179" s="285"/>
      <c r="F179" s="285"/>
      <c r="G179" s="285"/>
      <c r="H179" s="285"/>
      <c r="I179" s="285"/>
      <c r="J179" s="285"/>
      <c r="K179" s="285"/>
      <c r="L179" s="285"/>
      <c r="M179" s="285"/>
      <c r="N179" s="285"/>
      <c r="O179" s="285"/>
      <c r="P179" s="285"/>
      <c r="Q179" s="339">
        <f>Q175-Q178-R178</f>
        <v>120407</v>
      </c>
      <c r="R179" s="324"/>
      <c r="S179" s="285"/>
      <c r="T179" s="339"/>
      <c r="U179" s="288"/>
      <c r="V179" s="5"/>
    </row>
    <row r="180" spans="1:22" ht="16.2" thickBot="1" x14ac:dyDescent="0.35">
      <c r="A180" s="175"/>
      <c r="B180" s="334"/>
      <c r="C180" s="334"/>
      <c r="D180" s="334"/>
      <c r="E180" s="334"/>
      <c r="F180" s="334"/>
      <c r="G180" s="334"/>
      <c r="H180" s="334"/>
      <c r="I180" s="334"/>
      <c r="J180" s="334"/>
      <c r="K180" s="334"/>
      <c r="L180" s="334"/>
      <c r="M180" s="334"/>
      <c r="N180" s="334"/>
      <c r="O180" s="334"/>
      <c r="P180" s="334"/>
      <c r="Q180" s="334"/>
      <c r="R180" s="334"/>
      <c r="S180" s="334"/>
      <c r="T180" s="347"/>
      <c r="U180" s="334"/>
      <c r="V180" s="5"/>
    </row>
    <row r="181" spans="1:22" ht="15.6" x14ac:dyDescent="0.3">
      <c r="A181" s="173"/>
      <c r="B181" s="174"/>
      <c r="C181" s="174"/>
      <c r="D181" s="174"/>
      <c r="E181" s="174"/>
      <c r="F181" s="174"/>
      <c r="G181" s="174"/>
      <c r="H181" s="174"/>
      <c r="I181" s="174"/>
      <c r="J181" s="174"/>
      <c r="K181" s="174"/>
      <c r="L181" s="174"/>
      <c r="M181" s="174"/>
      <c r="N181" s="174"/>
      <c r="O181" s="174"/>
      <c r="P181" s="174"/>
      <c r="Q181" s="174"/>
      <c r="R181" s="174"/>
      <c r="S181" s="174"/>
      <c r="T181" s="193"/>
      <c r="U181" s="174"/>
      <c r="V181" s="5"/>
    </row>
    <row r="182" spans="1:22" ht="15.6" x14ac:dyDescent="0.3">
      <c r="A182" s="175"/>
      <c r="B182" s="201" t="s">
        <v>66</v>
      </c>
      <c r="C182" s="177"/>
      <c r="D182" s="177"/>
      <c r="E182" s="177"/>
      <c r="F182" s="177"/>
      <c r="G182" s="177"/>
      <c r="H182" s="177"/>
      <c r="I182" s="177"/>
      <c r="J182" s="177"/>
      <c r="K182" s="177"/>
      <c r="L182" s="177"/>
      <c r="M182" s="177"/>
      <c r="N182" s="177"/>
      <c r="O182" s="177"/>
      <c r="P182" s="177"/>
      <c r="Q182" s="177"/>
      <c r="R182" s="177"/>
      <c r="S182" s="177"/>
      <c r="T182" s="206"/>
      <c r="U182" s="177"/>
      <c r="V182" s="5"/>
    </row>
    <row r="183" spans="1:22" ht="15.6" x14ac:dyDescent="0.3">
      <c r="A183" s="284"/>
      <c r="B183" s="285" t="s">
        <v>67</v>
      </c>
      <c r="C183" s="285"/>
      <c r="D183" s="285"/>
      <c r="E183" s="285"/>
      <c r="F183" s="285"/>
      <c r="G183" s="285"/>
      <c r="H183" s="285"/>
      <c r="I183" s="285"/>
      <c r="J183" s="285"/>
      <c r="K183" s="285"/>
      <c r="L183" s="285"/>
      <c r="M183" s="285"/>
      <c r="N183" s="285"/>
      <c r="O183" s="285"/>
      <c r="P183" s="285"/>
      <c r="Q183" s="285"/>
      <c r="R183" s="285"/>
      <c r="S183" s="285"/>
      <c r="T183" s="348">
        <f>(T100+T102+T103+T104+T105)/-(T106+T107)</f>
        <v>3.4001996007984032</v>
      </c>
      <c r="U183" s="288" t="s">
        <v>121</v>
      </c>
      <c r="V183" s="5"/>
    </row>
    <row r="184" spans="1:22" ht="15.6" x14ac:dyDescent="0.3">
      <c r="A184" s="284"/>
      <c r="B184" s="285" t="s">
        <v>68</v>
      </c>
      <c r="C184" s="285"/>
      <c r="D184" s="285"/>
      <c r="E184" s="285"/>
      <c r="F184" s="285"/>
      <c r="G184" s="285"/>
      <c r="H184" s="285"/>
      <c r="I184" s="285"/>
      <c r="J184" s="285"/>
      <c r="K184" s="285"/>
      <c r="L184" s="285"/>
      <c r="M184" s="285"/>
      <c r="N184" s="285"/>
      <c r="O184" s="285"/>
      <c r="P184" s="285"/>
      <c r="Q184" s="285"/>
      <c r="R184" s="285"/>
      <c r="S184" s="285"/>
      <c r="T184" s="349">
        <v>1.54</v>
      </c>
      <c r="U184" s="288" t="s">
        <v>121</v>
      </c>
      <c r="V184" s="5"/>
    </row>
    <row r="185" spans="1:22" ht="15.6" x14ac:dyDescent="0.3">
      <c r="A185" s="284"/>
      <c r="B185" s="285" t="s">
        <v>69</v>
      </c>
      <c r="C185" s="285"/>
      <c r="D185" s="285"/>
      <c r="E185" s="285"/>
      <c r="F185" s="285"/>
      <c r="G185" s="285"/>
      <c r="H185" s="285"/>
      <c r="I185" s="285"/>
      <c r="J185" s="285"/>
      <c r="K185" s="285"/>
      <c r="L185" s="285"/>
      <c r="M185" s="285"/>
      <c r="N185" s="285"/>
      <c r="O185" s="285"/>
      <c r="P185" s="285"/>
      <c r="Q185" s="285"/>
      <c r="R185" s="285"/>
      <c r="S185" s="285"/>
      <c r="T185" s="348">
        <f>(T100+T102+T103+T104+T105+T106+T107)/-(T108+T109)</f>
        <v>13.361111111111111</v>
      </c>
      <c r="U185" s="288" t="s">
        <v>121</v>
      </c>
      <c r="V185" s="5"/>
    </row>
    <row r="186" spans="1:22" ht="15.6" x14ac:dyDescent="0.3">
      <c r="A186" s="284"/>
      <c r="B186" s="285" t="s">
        <v>70</v>
      </c>
      <c r="C186" s="285"/>
      <c r="D186" s="285"/>
      <c r="E186" s="285"/>
      <c r="F186" s="285"/>
      <c r="G186" s="285"/>
      <c r="H186" s="285"/>
      <c r="I186" s="285"/>
      <c r="J186" s="285"/>
      <c r="K186" s="285"/>
      <c r="L186" s="285"/>
      <c r="M186" s="285"/>
      <c r="N186" s="285"/>
      <c r="O186" s="285"/>
      <c r="P186" s="285"/>
      <c r="Q186" s="285"/>
      <c r="R186" s="285"/>
      <c r="S186" s="285"/>
      <c r="T186" s="349">
        <v>4.97</v>
      </c>
      <c r="U186" s="288" t="s">
        <v>121</v>
      </c>
      <c r="V186" s="5"/>
    </row>
    <row r="187" spans="1:22" ht="15.6" x14ac:dyDescent="0.3">
      <c r="A187" s="284"/>
      <c r="B187" s="285" t="s">
        <v>206</v>
      </c>
      <c r="C187" s="285"/>
      <c r="D187" s="285"/>
      <c r="E187" s="285"/>
      <c r="F187" s="285"/>
      <c r="G187" s="285"/>
      <c r="H187" s="285"/>
      <c r="I187" s="285"/>
      <c r="J187" s="285"/>
      <c r="K187" s="285"/>
      <c r="L187" s="285"/>
      <c r="M187" s="285"/>
      <c r="N187" s="285"/>
      <c r="O187" s="285"/>
      <c r="P187" s="285"/>
      <c r="Q187" s="285"/>
      <c r="R187" s="285"/>
      <c r="S187" s="285"/>
      <c r="T187" s="348">
        <f>(T100+T102+T103+T104+T105+T106+T107+T108+T109)/-(T110)</f>
        <v>12.027027027027026</v>
      </c>
      <c r="U187" s="288" t="s">
        <v>121</v>
      </c>
      <c r="V187" s="5"/>
    </row>
    <row r="188" spans="1:22" ht="15.6" x14ac:dyDescent="0.3">
      <c r="A188" s="284"/>
      <c r="B188" s="285" t="s">
        <v>207</v>
      </c>
      <c r="C188" s="285"/>
      <c r="D188" s="285"/>
      <c r="E188" s="285"/>
      <c r="F188" s="285"/>
      <c r="G188" s="285"/>
      <c r="H188" s="285"/>
      <c r="I188" s="285"/>
      <c r="J188" s="285"/>
      <c r="K188" s="285"/>
      <c r="L188" s="285"/>
      <c r="M188" s="285"/>
      <c r="N188" s="285"/>
      <c r="O188" s="285"/>
      <c r="P188" s="285"/>
      <c r="Q188" s="285"/>
      <c r="R188" s="285"/>
      <c r="S188" s="285"/>
      <c r="T188" s="349">
        <v>4.53</v>
      </c>
      <c r="U188" s="288" t="s">
        <v>121</v>
      </c>
      <c r="V188" s="5"/>
    </row>
    <row r="189" spans="1:22" ht="15.6" x14ac:dyDescent="0.3">
      <c r="A189" s="284"/>
      <c r="B189" s="311"/>
      <c r="C189" s="311"/>
      <c r="D189" s="311"/>
      <c r="E189" s="311"/>
      <c r="F189" s="311"/>
      <c r="G189" s="311"/>
      <c r="H189" s="311"/>
      <c r="I189" s="311"/>
      <c r="J189" s="311"/>
      <c r="K189" s="311"/>
      <c r="L189" s="311"/>
      <c r="M189" s="311"/>
      <c r="N189" s="311"/>
      <c r="O189" s="311"/>
      <c r="P189" s="311"/>
      <c r="Q189" s="311"/>
      <c r="R189" s="311"/>
      <c r="S189" s="311"/>
      <c r="T189" s="311"/>
      <c r="U189" s="317"/>
      <c r="V189" s="5"/>
    </row>
    <row r="190" spans="1:22" ht="15.6" x14ac:dyDescent="0.3">
      <c r="A190" s="175"/>
      <c r="B190" s="334"/>
      <c r="C190" s="334"/>
      <c r="D190" s="334"/>
      <c r="E190" s="334"/>
      <c r="F190" s="334"/>
      <c r="G190" s="334"/>
      <c r="H190" s="334"/>
      <c r="I190" s="334"/>
      <c r="J190" s="334"/>
      <c r="K190" s="334"/>
      <c r="L190" s="334"/>
      <c r="M190" s="334"/>
      <c r="N190" s="334"/>
      <c r="O190" s="334"/>
      <c r="P190" s="334"/>
      <c r="Q190" s="334"/>
      <c r="R190" s="334"/>
      <c r="S190" s="334"/>
      <c r="T190" s="334"/>
      <c r="U190" s="334"/>
      <c r="V190" s="5"/>
    </row>
    <row r="191" spans="1:22" ht="15.6" x14ac:dyDescent="0.3">
      <c r="A191" s="175"/>
      <c r="B191" s="177"/>
      <c r="C191" s="177"/>
      <c r="D191" s="177"/>
      <c r="E191" s="177"/>
      <c r="F191" s="177"/>
      <c r="G191" s="177"/>
      <c r="H191" s="177"/>
      <c r="I191" s="177"/>
      <c r="J191" s="177"/>
      <c r="K191" s="177"/>
      <c r="L191" s="177"/>
      <c r="M191" s="177"/>
      <c r="N191" s="177"/>
      <c r="O191" s="177"/>
      <c r="P191" s="177"/>
      <c r="Q191" s="177"/>
      <c r="R191" s="177"/>
      <c r="S191" s="177"/>
      <c r="T191" s="177"/>
      <c r="U191" s="177"/>
      <c r="V191" s="5"/>
    </row>
    <row r="192" spans="1:22" ht="18" thickBot="1" x14ac:dyDescent="0.35">
      <c r="A192" s="192"/>
      <c r="B192" s="246" t="str">
        <f>B132</f>
        <v>PM11 INVESTOR REPORT QUARTER ENDING SEPTEMBER 2010</v>
      </c>
      <c r="C192" s="207"/>
      <c r="D192" s="207"/>
      <c r="E192" s="207"/>
      <c r="F192" s="207"/>
      <c r="G192" s="207"/>
      <c r="H192" s="207"/>
      <c r="I192" s="207"/>
      <c r="J192" s="207"/>
      <c r="K192" s="207"/>
      <c r="L192" s="207"/>
      <c r="M192" s="207"/>
      <c r="N192" s="207"/>
      <c r="O192" s="207"/>
      <c r="P192" s="207"/>
      <c r="Q192" s="207"/>
      <c r="R192" s="207"/>
      <c r="S192" s="207"/>
      <c r="T192" s="207"/>
      <c r="U192" s="208"/>
      <c r="V192" s="5"/>
    </row>
    <row r="193" spans="1:22" ht="15.6" x14ac:dyDescent="0.3">
      <c r="A193" s="260"/>
      <c r="B193" s="263" t="s">
        <v>71</v>
      </c>
      <c r="C193" s="264"/>
      <c r="D193" s="264"/>
      <c r="E193" s="264"/>
      <c r="F193" s="264"/>
      <c r="G193" s="265"/>
      <c r="H193" s="265"/>
      <c r="I193" s="265"/>
      <c r="J193" s="265"/>
      <c r="K193" s="265"/>
      <c r="L193" s="265"/>
      <c r="M193" s="265"/>
      <c r="N193" s="265"/>
      <c r="O193" s="265"/>
      <c r="P193" s="265"/>
      <c r="Q193" s="265"/>
      <c r="R193" s="265">
        <v>40451</v>
      </c>
      <c r="S193" s="261"/>
      <c r="T193" s="261"/>
      <c r="U193" s="261"/>
      <c r="V193" s="5"/>
    </row>
    <row r="194" spans="1:22" ht="15.6" x14ac:dyDescent="0.3">
      <c r="A194" s="209"/>
      <c r="B194" s="210"/>
      <c r="C194" s="211"/>
      <c r="D194" s="211"/>
      <c r="E194" s="211"/>
      <c r="F194" s="211"/>
      <c r="G194" s="212"/>
      <c r="H194" s="212"/>
      <c r="I194" s="212"/>
      <c r="J194" s="212"/>
      <c r="K194" s="212"/>
      <c r="L194" s="212"/>
      <c r="M194" s="212"/>
      <c r="N194" s="212"/>
      <c r="O194" s="212"/>
      <c r="P194" s="212"/>
      <c r="Q194" s="212"/>
      <c r="R194" s="212"/>
      <c r="S194" s="177"/>
      <c r="T194" s="177"/>
      <c r="U194" s="177"/>
      <c r="V194" s="5"/>
    </row>
    <row r="195" spans="1:22" ht="15.6" x14ac:dyDescent="0.3">
      <c r="A195" s="352"/>
      <c r="B195" s="285" t="s">
        <v>72</v>
      </c>
      <c r="C195" s="353"/>
      <c r="D195" s="353"/>
      <c r="E195" s="353"/>
      <c r="F195" s="353"/>
      <c r="G195" s="329"/>
      <c r="H195" s="329"/>
      <c r="I195" s="329"/>
      <c r="J195" s="329"/>
      <c r="K195" s="329"/>
      <c r="L195" s="329"/>
      <c r="M195" s="329"/>
      <c r="N195" s="329"/>
      <c r="O195" s="329"/>
      <c r="P195" s="329"/>
      <c r="Q195" s="329"/>
      <c r="R195" s="320">
        <v>5.1569999999999998E-2</v>
      </c>
      <c r="S195" s="285"/>
      <c r="T195" s="285"/>
      <c r="U195" s="317"/>
      <c r="V195" s="5"/>
    </row>
    <row r="196" spans="1:22" ht="15.6" x14ac:dyDescent="0.3">
      <c r="A196" s="352"/>
      <c r="B196" s="285" t="s">
        <v>157</v>
      </c>
      <c r="C196" s="353"/>
      <c r="D196" s="353"/>
      <c r="E196" s="353"/>
      <c r="F196" s="353"/>
      <c r="G196" s="329"/>
      <c r="H196" s="329"/>
      <c r="I196" s="329"/>
      <c r="J196" s="329"/>
      <c r="K196" s="329"/>
      <c r="L196" s="329"/>
      <c r="M196" s="329"/>
      <c r="N196" s="329"/>
      <c r="O196" s="329"/>
      <c r="P196" s="329"/>
      <c r="Q196" s="329"/>
      <c r="R196" s="320">
        <v>4.6899999999999997E-2</v>
      </c>
      <c r="S196" s="285"/>
      <c r="T196" s="285"/>
      <c r="U196" s="317"/>
      <c r="V196" s="5"/>
    </row>
    <row r="197" spans="1:22" ht="15.6" x14ac:dyDescent="0.3">
      <c r="A197" s="352"/>
      <c r="B197" s="285" t="s">
        <v>73</v>
      </c>
      <c r="C197" s="353"/>
      <c r="D197" s="353"/>
      <c r="E197" s="353"/>
      <c r="F197" s="353"/>
      <c r="G197" s="329"/>
      <c r="H197" s="329"/>
      <c r="I197" s="329"/>
      <c r="J197" s="329"/>
      <c r="K197" s="329"/>
      <c r="L197" s="329"/>
      <c r="M197" s="329"/>
      <c r="N197" s="329"/>
      <c r="O197" s="329"/>
      <c r="P197" s="329"/>
      <c r="Q197" s="329"/>
      <c r="R197" s="320">
        <f>R195-R196</f>
        <v>4.6700000000000005E-3</v>
      </c>
      <c r="S197" s="285"/>
      <c r="T197" s="285"/>
      <c r="U197" s="317"/>
      <c r="V197" s="5"/>
    </row>
    <row r="198" spans="1:22" ht="15.6" x14ac:dyDescent="0.3">
      <c r="A198" s="352"/>
      <c r="B198" s="285" t="s">
        <v>74</v>
      </c>
      <c r="C198" s="353"/>
      <c r="D198" s="353"/>
      <c r="E198" s="353"/>
      <c r="F198" s="353"/>
      <c r="G198" s="329"/>
      <c r="H198" s="329"/>
      <c r="I198" s="329"/>
      <c r="J198" s="329"/>
      <c r="K198" s="329"/>
      <c r="L198" s="329"/>
      <c r="M198" s="329"/>
      <c r="N198" s="329"/>
      <c r="O198" s="329"/>
      <c r="P198" s="329"/>
      <c r="Q198" s="329"/>
      <c r="R198" s="320">
        <v>2.8479999999999998E-2</v>
      </c>
      <c r="S198" s="285"/>
      <c r="T198" s="285"/>
      <c r="U198" s="317"/>
      <c r="V198" s="5"/>
    </row>
    <row r="199" spans="1:22" ht="15.6" x14ac:dyDescent="0.3">
      <c r="A199" s="352"/>
      <c r="B199" s="285" t="s">
        <v>257</v>
      </c>
      <c r="C199" s="353"/>
      <c r="D199" s="353"/>
      <c r="E199" s="353"/>
      <c r="F199" s="353"/>
      <c r="G199" s="329"/>
      <c r="H199" s="329"/>
      <c r="I199" s="329"/>
      <c r="J199" s="329"/>
      <c r="K199" s="329"/>
      <c r="L199" s="329"/>
      <c r="M199" s="329"/>
      <c r="N199" s="329"/>
      <c r="O199" s="329"/>
      <c r="P199" s="329"/>
      <c r="Q199" s="329"/>
      <c r="R199" s="320">
        <f>T43</f>
        <v>9.0868949923911813E-3</v>
      </c>
      <c r="S199" s="285"/>
      <c r="T199" s="285"/>
      <c r="U199" s="317"/>
      <c r="V199" s="5"/>
    </row>
    <row r="200" spans="1:22" ht="15.6" x14ac:dyDescent="0.3">
      <c r="A200" s="352"/>
      <c r="B200" s="285" t="s">
        <v>75</v>
      </c>
      <c r="C200" s="353"/>
      <c r="D200" s="353"/>
      <c r="E200" s="353"/>
      <c r="F200" s="353"/>
      <c r="G200" s="329"/>
      <c r="H200" s="329"/>
      <c r="I200" s="329"/>
      <c r="J200" s="329"/>
      <c r="K200" s="329"/>
      <c r="L200" s="329"/>
      <c r="M200" s="329"/>
      <c r="N200" s="329"/>
      <c r="O200" s="329"/>
      <c r="P200" s="329"/>
      <c r="Q200" s="329"/>
      <c r="R200" s="320">
        <f>R198-R199</f>
        <v>1.9393105007608817E-2</v>
      </c>
      <c r="S200" s="285"/>
      <c r="T200" s="285"/>
      <c r="U200" s="317"/>
      <c r="V200" s="5"/>
    </row>
    <row r="201" spans="1:22" ht="15.6" x14ac:dyDescent="0.3">
      <c r="A201" s="352"/>
      <c r="B201" s="285" t="s">
        <v>260</v>
      </c>
      <c r="C201" s="353"/>
      <c r="D201" s="353"/>
      <c r="E201" s="353"/>
      <c r="F201" s="353"/>
      <c r="G201" s="329"/>
      <c r="H201" s="329"/>
      <c r="I201" s="329"/>
      <c r="J201" s="329"/>
      <c r="K201" s="329"/>
      <c r="L201" s="329"/>
      <c r="M201" s="329"/>
      <c r="N201" s="329"/>
      <c r="O201" s="329"/>
      <c r="P201" s="329"/>
      <c r="Q201" s="329"/>
      <c r="R201" s="320">
        <f>+T100/L71</f>
        <v>7.5170083412490598E-3</v>
      </c>
      <c r="S201" s="285"/>
      <c r="T201" s="285"/>
      <c r="U201" s="317"/>
      <c r="V201" s="5"/>
    </row>
    <row r="202" spans="1:22" ht="15.6" x14ac:dyDescent="0.3">
      <c r="A202" s="352"/>
      <c r="B202" s="285" t="s">
        <v>217</v>
      </c>
      <c r="C202" s="353"/>
      <c r="D202" s="353"/>
      <c r="E202" s="353"/>
      <c r="F202" s="353"/>
      <c r="G202" s="329"/>
      <c r="H202" s="329"/>
      <c r="I202" s="329"/>
      <c r="J202" s="329"/>
      <c r="K202" s="329"/>
      <c r="L202" s="329"/>
      <c r="M202" s="329"/>
      <c r="N202" s="329"/>
      <c r="O202" s="329"/>
      <c r="P202" s="329"/>
      <c r="Q202" s="329"/>
      <c r="R202" s="354">
        <v>15250</v>
      </c>
      <c r="S202" s="285"/>
      <c r="T202" s="285"/>
      <c r="U202" s="317"/>
      <c r="V202" s="5"/>
    </row>
    <row r="203" spans="1:22" ht="15.6" x14ac:dyDescent="0.3">
      <c r="A203" s="352"/>
      <c r="B203" s="285" t="s">
        <v>218</v>
      </c>
      <c r="C203" s="353"/>
      <c r="D203" s="353"/>
      <c r="E203" s="353"/>
      <c r="F203" s="353"/>
      <c r="G203" s="329"/>
      <c r="H203" s="329"/>
      <c r="I203" s="329"/>
      <c r="J203" s="329"/>
      <c r="K203" s="329"/>
      <c r="L203" s="329"/>
      <c r="M203" s="329"/>
      <c r="N203" s="329"/>
      <c r="O203" s="329"/>
      <c r="P203" s="329"/>
      <c r="Q203" s="329"/>
      <c r="R203" s="354">
        <v>15250</v>
      </c>
      <c r="S203" s="285"/>
      <c r="T203" s="285"/>
      <c r="U203" s="317"/>
      <c r="V203" s="5"/>
    </row>
    <row r="204" spans="1:22" ht="15.6" x14ac:dyDescent="0.3">
      <c r="A204" s="352"/>
      <c r="B204" s="285" t="s">
        <v>219</v>
      </c>
      <c r="C204" s="353"/>
      <c r="D204" s="353"/>
      <c r="E204" s="353"/>
      <c r="F204" s="353"/>
      <c r="G204" s="329"/>
      <c r="H204" s="329"/>
      <c r="I204" s="329"/>
      <c r="J204" s="329"/>
      <c r="K204" s="329"/>
      <c r="L204" s="329"/>
      <c r="M204" s="329"/>
      <c r="N204" s="329"/>
      <c r="O204" s="329"/>
      <c r="P204" s="329"/>
      <c r="Q204" s="329"/>
      <c r="R204" s="354">
        <v>15250</v>
      </c>
      <c r="S204" s="285"/>
      <c r="T204" s="285"/>
      <c r="U204" s="317"/>
      <c r="V204" s="5"/>
    </row>
    <row r="205" spans="1:22" ht="15.6" x14ac:dyDescent="0.3">
      <c r="A205" s="352"/>
      <c r="B205" s="285" t="s">
        <v>76</v>
      </c>
      <c r="C205" s="353"/>
      <c r="D205" s="353"/>
      <c r="E205" s="353"/>
      <c r="F205" s="353"/>
      <c r="G205" s="329"/>
      <c r="H205" s="329"/>
      <c r="I205" s="329"/>
      <c r="J205" s="329"/>
      <c r="K205" s="329"/>
      <c r="L205" s="329"/>
      <c r="M205" s="329"/>
      <c r="N205" s="329"/>
      <c r="O205" s="329"/>
      <c r="P205" s="329"/>
      <c r="Q205" s="329"/>
      <c r="R205" s="326">
        <v>21.18</v>
      </c>
      <c r="S205" s="285" t="s">
        <v>116</v>
      </c>
      <c r="T205" s="285"/>
      <c r="U205" s="317"/>
      <c r="V205" s="5"/>
    </row>
    <row r="206" spans="1:22" ht="15.6" x14ac:dyDescent="0.3">
      <c r="A206" s="352"/>
      <c r="B206" s="285" t="s">
        <v>77</v>
      </c>
      <c r="C206" s="353"/>
      <c r="D206" s="353"/>
      <c r="E206" s="353"/>
      <c r="F206" s="353"/>
      <c r="G206" s="329"/>
      <c r="H206" s="329"/>
      <c r="I206" s="329"/>
      <c r="J206" s="329"/>
      <c r="K206" s="329"/>
      <c r="L206" s="329"/>
      <c r="M206" s="329"/>
      <c r="N206" s="329"/>
      <c r="O206" s="329"/>
      <c r="P206" s="329"/>
      <c r="Q206" s="329"/>
      <c r="R206" s="326">
        <v>16.760000000000002</v>
      </c>
      <c r="S206" s="285" t="s">
        <v>116</v>
      </c>
      <c r="T206" s="285"/>
      <c r="U206" s="317"/>
      <c r="V206" s="5"/>
    </row>
    <row r="207" spans="1:22" ht="15.6" x14ac:dyDescent="0.3">
      <c r="A207" s="352"/>
      <c r="B207" s="285" t="s">
        <v>78</v>
      </c>
      <c r="C207" s="353"/>
      <c r="D207" s="353"/>
      <c r="E207" s="353"/>
      <c r="F207" s="353"/>
      <c r="G207" s="329"/>
      <c r="H207" s="329"/>
      <c r="I207" s="329"/>
      <c r="J207" s="329"/>
      <c r="K207" s="329"/>
      <c r="L207" s="329"/>
      <c r="M207" s="329"/>
      <c r="N207" s="329"/>
      <c r="O207" s="329"/>
      <c r="P207" s="329"/>
      <c r="Q207" s="329"/>
      <c r="R207" s="320">
        <f>N68/L68</f>
        <v>1.2774055850685109E-2</v>
      </c>
      <c r="S207" s="285"/>
      <c r="T207" s="285"/>
      <c r="U207" s="317"/>
      <c r="V207" s="5"/>
    </row>
    <row r="208" spans="1:22" ht="15.6" x14ac:dyDescent="0.3">
      <c r="A208" s="352"/>
      <c r="B208" s="285" t="s">
        <v>79</v>
      </c>
      <c r="C208" s="353"/>
      <c r="D208" s="353"/>
      <c r="E208" s="353"/>
      <c r="F208" s="353"/>
      <c r="G208" s="329"/>
      <c r="H208" s="329"/>
      <c r="I208" s="329"/>
      <c r="J208" s="329"/>
      <c r="K208" s="329"/>
      <c r="L208" s="329"/>
      <c r="M208" s="329"/>
      <c r="N208" s="329"/>
      <c r="O208" s="329"/>
      <c r="P208" s="329"/>
      <c r="Q208" s="329"/>
      <c r="R208" s="320">
        <v>0.1193</v>
      </c>
      <c r="S208" s="285"/>
      <c r="T208" s="285"/>
      <c r="U208" s="317"/>
      <c r="V208" s="5"/>
    </row>
    <row r="209" spans="1:22" ht="15.6" x14ac:dyDescent="0.3">
      <c r="A209" s="209"/>
      <c r="B209" s="350"/>
      <c r="C209" s="350"/>
      <c r="D209" s="350"/>
      <c r="E209" s="350"/>
      <c r="F209" s="350"/>
      <c r="G209" s="334"/>
      <c r="H209" s="334"/>
      <c r="I209" s="334"/>
      <c r="J209" s="334"/>
      <c r="K209" s="334"/>
      <c r="L209" s="334"/>
      <c r="M209" s="334"/>
      <c r="N209" s="334"/>
      <c r="O209" s="334"/>
      <c r="P209" s="334"/>
      <c r="Q209" s="334"/>
      <c r="R209" s="347"/>
      <c r="S209" s="334"/>
      <c r="T209" s="351"/>
      <c r="U209" s="334"/>
      <c r="V209" s="5"/>
    </row>
    <row r="210" spans="1:22" ht="15.6" x14ac:dyDescent="0.3">
      <c r="A210" s="266"/>
      <c r="B210" s="252" t="s">
        <v>80</v>
      </c>
      <c r="C210" s="253"/>
      <c r="D210" s="253"/>
      <c r="E210" s="253"/>
      <c r="F210" s="267"/>
      <c r="G210" s="253"/>
      <c r="H210" s="253"/>
      <c r="I210" s="253"/>
      <c r="J210" s="253"/>
      <c r="K210" s="253"/>
      <c r="L210" s="253"/>
      <c r="M210" s="253"/>
      <c r="N210" s="253"/>
      <c r="O210" s="253"/>
      <c r="P210" s="253"/>
      <c r="Q210" s="253" t="s">
        <v>105</v>
      </c>
      <c r="R210" s="267" t="s">
        <v>112</v>
      </c>
      <c r="S210" s="223"/>
      <c r="T210" s="223"/>
      <c r="U210" s="223"/>
      <c r="V210" s="5"/>
    </row>
    <row r="211" spans="1:22" ht="15.6" x14ac:dyDescent="0.3">
      <c r="A211" s="214"/>
      <c r="B211" s="239" t="s">
        <v>81</v>
      </c>
      <c r="C211" s="243"/>
      <c r="D211" s="243"/>
      <c r="E211" s="243"/>
      <c r="F211" s="239"/>
      <c r="G211" s="239"/>
      <c r="H211" s="242"/>
      <c r="I211" s="242"/>
      <c r="J211" s="242"/>
      <c r="K211" s="242"/>
      <c r="L211" s="242"/>
      <c r="M211" s="242"/>
      <c r="N211" s="242"/>
      <c r="O211" s="242"/>
      <c r="P211" s="242"/>
      <c r="Q211" s="242">
        <v>1</v>
      </c>
      <c r="R211" s="272">
        <v>88</v>
      </c>
      <c r="S211" s="239"/>
      <c r="T211" s="273"/>
      <c r="U211" s="215"/>
      <c r="V211" s="5"/>
    </row>
    <row r="212" spans="1:22" ht="15.6" x14ac:dyDescent="0.3">
      <c r="A212" s="360"/>
      <c r="B212" s="285" t="s">
        <v>151</v>
      </c>
      <c r="C212" s="338"/>
      <c r="D212" s="338"/>
      <c r="E212" s="338"/>
      <c r="F212" s="285"/>
      <c r="G212" s="285"/>
      <c r="H212" s="293"/>
      <c r="I212" s="293"/>
      <c r="J212" s="293"/>
      <c r="K212" s="293"/>
      <c r="L212" s="293"/>
      <c r="M212" s="293"/>
      <c r="N212" s="293"/>
      <c r="O212" s="293"/>
      <c r="P212" s="293"/>
      <c r="Q212" s="361">
        <f>+P264</f>
        <v>123</v>
      </c>
      <c r="R212" s="362">
        <f>+R264</f>
        <v>17809</v>
      </c>
      <c r="S212" s="285"/>
      <c r="T212" s="363"/>
      <c r="U212" s="364"/>
      <c r="V212" s="5"/>
    </row>
    <row r="213" spans="1:22" ht="15.6" x14ac:dyDescent="0.3">
      <c r="A213" s="360"/>
      <c r="B213" s="285" t="s">
        <v>82</v>
      </c>
      <c r="C213" s="338"/>
      <c r="D213" s="338"/>
      <c r="E213" s="338"/>
      <c r="F213" s="285"/>
      <c r="G213" s="285"/>
      <c r="H213" s="293"/>
      <c r="I213" s="293"/>
      <c r="J213" s="293"/>
      <c r="K213" s="293"/>
      <c r="L213" s="293"/>
      <c r="M213" s="293"/>
      <c r="N213" s="293"/>
      <c r="O213" s="293"/>
      <c r="P213" s="293"/>
      <c r="Q213" s="361">
        <f>+P276</f>
        <v>0</v>
      </c>
      <c r="R213" s="362">
        <f>+R276</f>
        <v>0</v>
      </c>
      <c r="S213" s="285"/>
      <c r="T213" s="363"/>
      <c r="U213" s="364"/>
      <c r="V213" s="5"/>
    </row>
    <row r="214" spans="1:22" ht="15.6" x14ac:dyDescent="0.3">
      <c r="A214" s="360"/>
      <c r="B214" s="310" t="s">
        <v>83</v>
      </c>
      <c r="C214" s="365"/>
      <c r="D214" s="365"/>
      <c r="E214" s="365"/>
      <c r="F214" s="311"/>
      <c r="G214" s="311"/>
      <c r="H214" s="311"/>
      <c r="I214" s="311"/>
      <c r="J214" s="311"/>
      <c r="K214" s="311"/>
      <c r="L214" s="311"/>
      <c r="M214" s="311"/>
      <c r="N214" s="311"/>
      <c r="O214" s="311"/>
      <c r="P214" s="311"/>
      <c r="Q214" s="285"/>
      <c r="R214" s="362">
        <v>0</v>
      </c>
      <c r="S214" s="311"/>
      <c r="T214" s="366"/>
      <c r="U214" s="364"/>
      <c r="V214" s="5"/>
    </row>
    <row r="215" spans="1:22" ht="15.6" x14ac:dyDescent="0.3">
      <c r="A215" s="360"/>
      <c r="B215" s="310" t="s">
        <v>84</v>
      </c>
      <c r="C215" s="365"/>
      <c r="D215" s="365"/>
      <c r="E215" s="365"/>
      <c r="F215" s="311"/>
      <c r="G215" s="311"/>
      <c r="H215" s="311"/>
      <c r="I215" s="311"/>
      <c r="J215" s="311"/>
      <c r="K215" s="311"/>
      <c r="L215" s="311"/>
      <c r="M215" s="311"/>
      <c r="N215" s="311"/>
      <c r="O215" s="311"/>
      <c r="P215" s="311"/>
      <c r="Q215" s="285"/>
      <c r="R215" s="367" t="s">
        <v>113</v>
      </c>
      <c r="S215" s="311"/>
      <c r="T215" s="366"/>
      <c r="U215" s="364"/>
      <c r="V215" s="5"/>
    </row>
    <row r="216" spans="1:22" ht="15.6" x14ac:dyDescent="0.3">
      <c r="A216" s="368"/>
      <c r="B216" s="310" t="s">
        <v>85</v>
      </c>
      <c r="C216" s="369"/>
      <c r="D216" s="369"/>
      <c r="E216" s="369"/>
      <c r="F216" s="369"/>
      <c r="G216" s="311"/>
      <c r="H216" s="311"/>
      <c r="I216" s="311"/>
      <c r="J216" s="311"/>
      <c r="K216" s="311"/>
      <c r="L216" s="311"/>
      <c r="M216" s="311"/>
      <c r="N216" s="311"/>
      <c r="O216" s="311"/>
      <c r="P216" s="311"/>
      <c r="Q216" s="285"/>
      <c r="R216" s="362"/>
      <c r="S216" s="311"/>
      <c r="T216" s="366"/>
      <c r="U216" s="370"/>
      <c r="V216" s="5"/>
    </row>
    <row r="217" spans="1:22" ht="15.6" x14ac:dyDescent="0.3">
      <c r="A217" s="368"/>
      <c r="B217" s="290" t="s">
        <v>86</v>
      </c>
      <c r="C217" s="290"/>
      <c r="D217" s="290"/>
      <c r="E217" s="290"/>
      <c r="F217" s="290"/>
      <c r="G217" s="290"/>
      <c r="H217" s="290"/>
      <c r="I217" s="290"/>
      <c r="J217" s="290"/>
      <c r="K217" s="290"/>
      <c r="L217" s="290"/>
      <c r="M217" s="290"/>
      <c r="N217" s="290"/>
      <c r="O217" s="290"/>
      <c r="P217" s="290"/>
      <c r="Q217" s="293"/>
      <c r="R217" s="362">
        <f>T161</f>
        <v>219</v>
      </c>
      <c r="S217" s="290"/>
      <c r="T217" s="371"/>
      <c r="U217" s="370"/>
      <c r="V217" s="5"/>
    </row>
    <row r="218" spans="1:22" ht="15.6" x14ac:dyDescent="0.3">
      <c r="A218" s="360"/>
      <c r="B218" s="290" t="s">
        <v>87</v>
      </c>
      <c r="C218" s="372"/>
      <c r="D218" s="372"/>
      <c r="E218" s="372"/>
      <c r="F218" s="372"/>
      <c r="G218" s="290"/>
      <c r="H218" s="290"/>
      <c r="I218" s="290"/>
      <c r="J218" s="290"/>
      <c r="K218" s="290"/>
      <c r="L218" s="290"/>
      <c r="M218" s="290"/>
      <c r="N218" s="290"/>
      <c r="O218" s="290"/>
      <c r="P218" s="290"/>
      <c r="Q218" s="293"/>
      <c r="R218" s="362">
        <f>'June 10'!R218+R217</f>
        <v>2654</v>
      </c>
      <c r="S218" s="290"/>
      <c r="T218" s="371"/>
      <c r="U218" s="370"/>
      <c r="V218" s="5"/>
    </row>
    <row r="219" spans="1:22" ht="15.6" x14ac:dyDescent="0.3">
      <c r="A219" s="368"/>
      <c r="B219" s="310" t="s">
        <v>282</v>
      </c>
      <c r="C219" s="369"/>
      <c r="D219" s="369"/>
      <c r="E219" s="369"/>
      <c r="F219" s="369"/>
      <c r="G219" s="311"/>
      <c r="H219" s="311"/>
      <c r="I219" s="311"/>
      <c r="J219" s="311"/>
      <c r="K219" s="311"/>
      <c r="L219" s="311"/>
      <c r="M219" s="311"/>
      <c r="N219" s="311"/>
      <c r="O219" s="311"/>
      <c r="P219" s="311"/>
      <c r="Q219" s="293"/>
      <c r="R219" s="362"/>
      <c r="S219" s="311"/>
      <c r="T219" s="366"/>
      <c r="U219" s="370"/>
      <c r="V219" s="5"/>
    </row>
    <row r="220" spans="1:22" ht="15.6" x14ac:dyDescent="0.3">
      <c r="A220" s="368"/>
      <c r="B220" s="285" t="s">
        <v>280</v>
      </c>
      <c r="C220" s="369"/>
      <c r="D220" s="369"/>
      <c r="E220" s="369"/>
      <c r="F220" s="369"/>
      <c r="G220" s="311"/>
      <c r="H220" s="311"/>
      <c r="I220" s="311"/>
      <c r="J220" s="311"/>
      <c r="K220" s="311"/>
      <c r="L220" s="311"/>
      <c r="M220" s="311"/>
      <c r="N220" s="311"/>
      <c r="O220" s="311"/>
      <c r="P220" s="311"/>
      <c r="Q220" s="293">
        <v>0</v>
      </c>
      <c r="R220" s="362">
        <v>0</v>
      </c>
      <c r="S220" s="311"/>
      <c r="T220" s="366"/>
      <c r="U220" s="370"/>
      <c r="V220" s="5"/>
    </row>
    <row r="221" spans="1:22" ht="15.6" x14ac:dyDescent="0.3">
      <c r="A221" s="360"/>
      <c r="B221" s="285" t="s">
        <v>89</v>
      </c>
      <c r="C221" s="373"/>
      <c r="D221" s="373"/>
      <c r="E221" s="373"/>
      <c r="F221" s="374"/>
      <c r="G221" s="311"/>
      <c r="H221" s="311"/>
      <c r="I221" s="311"/>
      <c r="J221" s="311"/>
      <c r="K221" s="311"/>
      <c r="L221" s="311"/>
      <c r="M221" s="311"/>
      <c r="N221" s="311"/>
      <c r="O221" s="311"/>
      <c r="P221" s="311"/>
      <c r="Q221" s="285"/>
      <c r="R221" s="367">
        <v>0</v>
      </c>
      <c r="S221" s="311"/>
      <c r="T221" s="366"/>
      <c r="U221" s="370"/>
      <c r="V221" s="5"/>
    </row>
    <row r="222" spans="1:22" ht="15.6" x14ac:dyDescent="0.3">
      <c r="A222" s="360"/>
      <c r="B222" s="285" t="s">
        <v>90</v>
      </c>
      <c r="C222" s="373"/>
      <c r="D222" s="373"/>
      <c r="E222" s="373"/>
      <c r="F222" s="374"/>
      <c r="G222" s="311"/>
      <c r="H222" s="311"/>
      <c r="I222" s="311"/>
      <c r="J222" s="311"/>
      <c r="K222" s="311"/>
      <c r="L222" s="311"/>
      <c r="M222" s="311"/>
      <c r="N222" s="311"/>
      <c r="O222" s="311"/>
      <c r="P222" s="311"/>
      <c r="Q222" s="285"/>
      <c r="R222" s="367">
        <v>0</v>
      </c>
      <c r="S222" s="311"/>
      <c r="T222" s="366"/>
      <c r="U222" s="370"/>
      <c r="V222" s="5"/>
    </row>
    <row r="223" spans="1:22" ht="15.6" x14ac:dyDescent="0.3">
      <c r="A223" s="360"/>
      <c r="B223" s="310" t="s">
        <v>226</v>
      </c>
      <c r="C223" s="373"/>
      <c r="D223" s="373"/>
      <c r="E223" s="373"/>
      <c r="F223" s="374"/>
      <c r="G223" s="311"/>
      <c r="H223" s="311"/>
      <c r="I223" s="311"/>
      <c r="J223" s="311"/>
      <c r="K223" s="311"/>
      <c r="L223" s="311"/>
      <c r="M223" s="311"/>
      <c r="N223" s="311"/>
      <c r="O223" s="311"/>
      <c r="P223" s="311"/>
      <c r="Q223" s="293"/>
      <c r="R223" s="375"/>
      <c r="S223" s="311"/>
      <c r="T223" s="366"/>
      <c r="U223" s="370"/>
      <c r="V223" s="5"/>
    </row>
    <row r="224" spans="1:22" ht="15.6" x14ac:dyDescent="0.3">
      <c r="A224" s="360"/>
      <c r="B224" s="285" t="s">
        <v>280</v>
      </c>
      <c r="C224" s="373"/>
      <c r="D224" s="373"/>
      <c r="E224" s="373"/>
      <c r="F224" s="374"/>
      <c r="G224" s="311"/>
      <c r="H224" s="311"/>
      <c r="I224" s="311"/>
      <c r="J224" s="311"/>
      <c r="K224" s="311"/>
      <c r="L224" s="311"/>
      <c r="M224" s="311"/>
      <c r="N224" s="311"/>
      <c r="O224" s="311"/>
      <c r="P224" s="311"/>
      <c r="Q224" s="293">
        <v>9</v>
      </c>
      <c r="R224" s="362">
        <v>1263</v>
      </c>
      <c r="S224" s="311"/>
      <c r="T224" s="366"/>
      <c r="U224" s="370"/>
      <c r="V224" s="5"/>
    </row>
    <row r="225" spans="1:23" ht="15.6" x14ac:dyDescent="0.3">
      <c r="A225" s="360"/>
      <c r="B225" s="285" t="s">
        <v>227</v>
      </c>
      <c r="C225" s="373"/>
      <c r="D225" s="373"/>
      <c r="E225" s="373"/>
      <c r="F225" s="374"/>
      <c r="G225" s="311"/>
      <c r="H225" s="311"/>
      <c r="I225" s="311"/>
      <c r="J225" s="311"/>
      <c r="K225" s="311"/>
      <c r="L225" s="311"/>
      <c r="M225" s="311"/>
      <c r="N225" s="311"/>
      <c r="O225" s="311"/>
      <c r="P225" s="311"/>
      <c r="Q225" s="293"/>
      <c r="R225" s="367">
        <v>10.23</v>
      </c>
      <c r="S225" s="311"/>
      <c r="T225" s="366"/>
      <c r="U225" s="370"/>
      <c r="V225" s="5"/>
    </row>
    <row r="226" spans="1:23" ht="15.6" x14ac:dyDescent="0.3">
      <c r="A226" s="360"/>
      <c r="B226" s="369"/>
      <c r="C226" s="373"/>
      <c r="D226" s="373"/>
      <c r="E226" s="373"/>
      <c r="F226" s="374"/>
      <c r="G226" s="311"/>
      <c r="H226" s="311"/>
      <c r="I226" s="311"/>
      <c r="J226" s="311"/>
      <c r="K226" s="311"/>
      <c r="L226" s="311"/>
      <c r="M226" s="311"/>
      <c r="N226" s="311"/>
      <c r="O226" s="311"/>
      <c r="P226" s="311"/>
      <c r="Q226" s="311"/>
      <c r="R226" s="376"/>
      <c r="S226" s="311"/>
      <c r="T226" s="366"/>
      <c r="U226" s="370"/>
      <c r="V226" s="5"/>
    </row>
    <row r="227" spans="1:23" ht="15.6" x14ac:dyDescent="0.3">
      <c r="A227" s="360"/>
      <c r="B227" s="369"/>
      <c r="C227" s="373"/>
      <c r="D227" s="373"/>
      <c r="E227" s="373"/>
      <c r="F227" s="374"/>
      <c r="G227" s="311"/>
      <c r="H227" s="311"/>
      <c r="I227" s="311"/>
      <c r="J227" s="311"/>
      <c r="K227" s="311"/>
      <c r="L227" s="311"/>
      <c r="M227" s="311"/>
      <c r="N227" s="311"/>
      <c r="O227" s="311"/>
      <c r="P227" s="311"/>
      <c r="Q227" s="311"/>
      <c r="R227" s="376"/>
      <c r="S227" s="311"/>
      <c r="T227" s="366"/>
      <c r="U227" s="370"/>
      <c r="V227" s="5"/>
    </row>
    <row r="228" spans="1:23" ht="17.399999999999999" x14ac:dyDescent="0.3">
      <c r="A228" s="360"/>
      <c r="B228" s="377" t="s">
        <v>175</v>
      </c>
      <c r="C228" s="373"/>
      <c r="D228" s="373"/>
      <c r="E228" s="373"/>
      <c r="F228" s="374"/>
      <c r="G228" s="311"/>
      <c r="H228" s="311"/>
      <c r="I228" s="311"/>
      <c r="J228" s="311"/>
      <c r="K228" s="311"/>
      <c r="L228" s="311"/>
      <c r="M228" s="311"/>
      <c r="N228" s="378" t="s">
        <v>174</v>
      </c>
      <c r="O228" s="311"/>
      <c r="P228" s="311"/>
      <c r="Q228" s="311"/>
      <c r="R228" s="376"/>
      <c r="S228" s="311"/>
      <c r="T228" s="366"/>
      <c r="U228" s="370"/>
      <c r="V228" s="5"/>
    </row>
    <row r="229" spans="1:23" ht="15.6" x14ac:dyDescent="0.3">
      <c r="A229" s="355"/>
      <c r="B229" s="350"/>
      <c r="C229" s="356"/>
      <c r="D229" s="356"/>
      <c r="E229" s="356"/>
      <c r="F229" s="357"/>
      <c r="G229" s="334"/>
      <c r="H229" s="334"/>
      <c r="I229" s="334"/>
      <c r="J229" s="334"/>
      <c r="K229" s="334"/>
      <c r="L229" s="334"/>
      <c r="M229" s="334"/>
      <c r="N229" s="334"/>
      <c r="O229" s="334"/>
      <c r="P229" s="334"/>
      <c r="Q229" s="334"/>
      <c r="R229" s="358"/>
      <c r="S229" s="334"/>
      <c r="T229" s="351"/>
      <c r="U229" s="359"/>
      <c r="V229" s="5"/>
    </row>
    <row r="230" spans="1:23" ht="15.6" x14ac:dyDescent="0.3">
      <c r="A230" s="222"/>
      <c r="B230" s="252" t="s">
        <v>295</v>
      </c>
      <c r="C230" s="253"/>
      <c r="D230" s="253"/>
      <c r="E230" s="253"/>
      <c r="F230" s="267"/>
      <c r="G230" s="253"/>
      <c r="H230" s="253"/>
      <c r="I230" s="253"/>
      <c r="J230" s="253"/>
      <c r="K230" s="253"/>
      <c r="L230" s="253"/>
      <c r="M230" s="253"/>
      <c r="N230" s="253"/>
      <c r="O230" s="253"/>
      <c r="P230" s="267" t="s">
        <v>105</v>
      </c>
      <c r="Q230" s="253" t="s">
        <v>106</v>
      </c>
      <c r="R230" s="267" t="s">
        <v>114</v>
      </c>
      <c r="S230" s="253" t="s">
        <v>106</v>
      </c>
      <c r="T230" s="223"/>
      <c r="U230" s="252"/>
      <c r="V230" s="5"/>
    </row>
    <row r="231" spans="1:23" ht="15.6" x14ac:dyDescent="0.3">
      <c r="A231" s="190"/>
      <c r="B231" s="243" t="s">
        <v>91</v>
      </c>
      <c r="C231" s="217"/>
      <c r="D231" s="217"/>
      <c r="E231" s="217"/>
      <c r="F231" s="191"/>
      <c r="G231" s="217"/>
      <c r="H231" s="217"/>
      <c r="I231" s="217"/>
      <c r="J231" s="217"/>
      <c r="K231" s="217"/>
      <c r="L231" s="217"/>
      <c r="M231" s="217"/>
      <c r="N231" s="217"/>
      <c r="O231" s="217"/>
      <c r="P231" s="338">
        <f t="shared" ref="P231:P238" si="1">+P243+P255+P267</f>
        <v>4337</v>
      </c>
      <c r="Q231" s="384">
        <f>P231/$P$240</f>
        <v>0.98011299435028254</v>
      </c>
      <c r="R231" s="339">
        <f t="shared" ref="R231:R238" si="2">+R243+R255+R267</f>
        <v>574452</v>
      </c>
      <c r="S231" s="384">
        <f>R231/$R$240</f>
        <v>0.97435427734017221</v>
      </c>
      <c r="T231" s="213"/>
      <c r="U231" s="216"/>
      <c r="V231" s="5"/>
    </row>
    <row r="232" spans="1:23" ht="15.6" x14ac:dyDescent="0.3">
      <c r="A232" s="284"/>
      <c r="B232" s="338" t="s">
        <v>92</v>
      </c>
      <c r="C232" s="382"/>
      <c r="D232" s="382"/>
      <c r="E232" s="382"/>
      <c r="F232" s="311"/>
      <c r="G232" s="383"/>
      <c r="H232" s="382"/>
      <c r="I232" s="382"/>
      <c r="J232" s="382"/>
      <c r="K232" s="382"/>
      <c r="L232" s="382"/>
      <c r="M232" s="382"/>
      <c r="N232" s="382"/>
      <c r="O232" s="382"/>
      <c r="P232" s="338">
        <f t="shared" si="1"/>
        <v>43</v>
      </c>
      <c r="Q232" s="384">
        <f t="shared" ref="Q232:Q238" si="3">P232/$P$240</f>
        <v>9.7175141242937853E-3</v>
      </c>
      <c r="R232" s="339">
        <f t="shared" si="2"/>
        <v>8107</v>
      </c>
      <c r="S232" s="384">
        <f t="shared" ref="S232:S238" si="4">R232/$R$240</f>
        <v>1.3750653016086245E-2</v>
      </c>
      <c r="T232" s="366"/>
      <c r="U232" s="370"/>
      <c r="V232" s="5"/>
      <c r="W232" s="109"/>
    </row>
    <row r="233" spans="1:23" ht="15.6" x14ac:dyDescent="0.3">
      <c r="A233" s="284"/>
      <c r="B233" s="338" t="s">
        <v>93</v>
      </c>
      <c r="C233" s="382"/>
      <c r="D233" s="382"/>
      <c r="E233" s="382"/>
      <c r="F233" s="311"/>
      <c r="G233" s="383"/>
      <c r="H233" s="382"/>
      <c r="I233" s="382"/>
      <c r="J233" s="382"/>
      <c r="K233" s="382"/>
      <c r="L233" s="382"/>
      <c r="M233" s="382"/>
      <c r="N233" s="382"/>
      <c r="O233" s="382"/>
      <c r="P233" s="338">
        <f t="shared" si="1"/>
        <v>6</v>
      </c>
      <c r="Q233" s="384">
        <f t="shared" si="3"/>
        <v>1.3559322033898306E-3</v>
      </c>
      <c r="R233" s="339">
        <f t="shared" si="2"/>
        <v>630</v>
      </c>
      <c r="S233" s="384">
        <f t="shared" si="4"/>
        <v>1.0685717774928253E-3</v>
      </c>
      <c r="T233" s="366"/>
      <c r="U233" s="370"/>
      <c r="V233" s="5"/>
    </row>
    <row r="234" spans="1:23" ht="15.6" x14ac:dyDescent="0.3">
      <c r="A234" s="284"/>
      <c r="B234" s="338" t="s">
        <v>163</v>
      </c>
      <c r="C234" s="382"/>
      <c r="D234" s="382"/>
      <c r="E234" s="382"/>
      <c r="F234" s="311"/>
      <c r="G234" s="383"/>
      <c r="H234" s="382"/>
      <c r="I234" s="382"/>
      <c r="J234" s="382"/>
      <c r="K234" s="382"/>
      <c r="L234" s="382"/>
      <c r="M234" s="382"/>
      <c r="N234" s="382"/>
      <c r="O234" s="382"/>
      <c r="P234" s="338">
        <f t="shared" si="1"/>
        <v>3</v>
      </c>
      <c r="Q234" s="384">
        <f t="shared" si="3"/>
        <v>6.779661016949153E-4</v>
      </c>
      <c r="R234" s="339">
        <f t="shared" si="2"/>
        <v>385</v>
      </c>
      <c r="S234" s="384">
        <f t="shared" si="4"/>
        <v>6.5301608624561544E-4</v>
      </c>
      <c r="T234" s="366"/>
      <c r="U234" s="370"/>
      <c r="V234" s="5"/>
      <c r="W234" s="109"/>
    </row>
    <row r="235" spans="1:23" ht="15.6" x14ac:dyDescent="0.3">
      <c r="A235" s="284"/>
      <c r="B235" s="338" t="s">
        <v>164</v>
      </c>
      <c r="C235" s="382"/>
      <c r="D235" s="382"/>
      <c r="E235" s="382"/>
      <c r="F235" s="311"/>
      <c r="G235" s="383"/>
      <c r="H235" s="382"/>
      <c r="I235" s="382"/>
      <c r="J235" s="382"/>
      <c r="K235" s="382"/>
      <c r="L235" s="382"/>
      <c r="M235" s="382"/>
      <c r="N235" s="382"/>
      <c r="O235" s="382"/>
      <c r="P235" s="338">
        <f t="shared" si="1"/>
        <v>3</v>
      </c>
      <c r="Q235" s="384">
        <f t="shared" si="3"/>
        <v>6.779661016949153E-4</v>
      </c>
      <c r="R235" s="339">
        <f t="shared" si="2"/>
        <v>639</v>
      </c>
      <c r="S235" s="384">
        <f t="shared" si="4"/>
        <v>1.0838370885998658E-3</v>
      </c>
      <c r="T235" s="366"/>
      <c r="U235" s="370"/>
      <c r="V235" s="5"/>
    </row>
    <row r="236" spans="1:23" ht="15.6" x14ac:dyDescent="0.3">
      <c r="A236" s="284"/>
      <c r="B236" s="338" t="s">
        <v>165</v>
      </c>
      <c r="C236" s="382"/>
      <c r="D236" s="382"/>
      <c r="E236" s="382"/>
      <c r="F236" s="311"/>
      <c r="G236" s="383"/>
      <c r="H236" s="382"/>
      <c r="I236" s="382"/>
      <c r="J236" s="382"/>
      <c r="K236" s="382"/>
      <c r="L236" s="382"/>
      <c r="M236" s="382"/>
      <c r="N236" s="382"/>
      <c r="O236" s="382"/>
      <c r="P236" s="338">
        <f t="shared" si="1"/>
        <v>2</v>
      </c>
      <c r="Q236" s="384">
        <f t="shared" si="3"/>
        <v>4.519774011299435E-4</v>
      </c>
      <c r="R236" s="339">
        <f t="shared" si="2"/>
        <v>209</v>
      </c>
      <c r="S236" s="384">
        <f t="shared" si="4"/>
        <v>3.5449444681904841E-4</v>
      </c>
      <c r="T236" s="366"/>
      <c r="U236" s="370"/>
      <c r="V236" s="5"/>
      <c r="W236" s="109"/>
    </row>
    <row r="237" spans="1:23" ht="15.6" x14ac:dyDescent="0.3">
      <c r="A237" s="284"/>
      <c r="B237" s="338" t="s">
        <v>166</v>
      </c>
      <c r="C237" s="382"/>
      <c r="D237" s="382"/>
      <c r="E237" s="382"/>
      <c r="F237" s="311"/>
      <c r="G237" s="383"/>
      <c r="H237" s="382"/>
      <c r="I237" s="382"/>
      <c r="J237" s="382"/>
      <c r="K237" s="382"/>
      <c r="L237" s="382"/>
      <c r="M237" s="382"/>
      <c r="N237" s="382"/>
      <c r="O237" s="382"/>
      <c r="P237" s="338">
        <f t="shared" si="1"/>
        <v>16</v>
      </c>
      <c r="Q237" s="384">
        <f t="shared" si="3"/>
        <v>3.615819209039548E-3</v>
      </c>
      <c r="R237" s="339">
        <f t="shared" si="2"/>
        <v>2942</v>
      </c>
      <c r="S237" s="384">
        <f t="shared" si="4"/>
        <v>4.9900605863236382E-3</v>
      </c>
      <c r="T237" s="366"/>
      <c r="U237" s="370"/>
      <c r="V237" s="5"/>
    </row>
    <row r="238" spans="1:23" ht="15.6" x14ac:dyDescent="0.3">
      <c r="A238" s="284"/>
      <c r="B238" s="338" t="s">
        <v>167</v>
      </c>
      <c r="C238" s="382"/>
      <c r="D238" s="382"/>
      <c r="E238" s="382"/>
      <c r="F238" s="311"/>
      <c r="G238" s="383"/>
      <c r="H238" s="382"/>
      <c r="I238" s="382"/>
      <c r="J238" s="382"/>
      <c r="K238" s="382"/>
      <c r="L238" s="382"/>
      <c r="M238" s="382"/>
      <c r="N238" s="382"/>
      <c r="O238" s="382"/>
      <c r="P238" s="338">
        <f t="shared" si="1"/>
        <v>15</v>
      </c>
      <c r="Q238" s="384">
        <f t="shared" si="3"/>
        <v>3.3898305084745762E-3</v>
      </c>
      <c r="R238" s="339">
        <f t="shared" si="2"/>
        <v>2208</v>
      </c>
      <c r="S238" s="384">
        <f t="shared" si="4"/>
        <v>3.7450896582605685E-3</v>
      </c>
      <c r="T238" s="366"/>
      <c r="U238" s="370"/>
      <c r="V238" s="5"/>
      <c r="W238" s="109"/>
    </row>
    <row r="239" spans="1:23" ht="15.6" x14ac:dyDescent="0.3">
      <c r="A239" s="284"/>
      <c r="B239" s="338"/>
      <c r="C239" s="382"/>
      <c r="D239" s="382"/>
      <c r="E239" s="382"/>
      <c r="F239" s="311"/>
      <c r="G239" s="383"/>
      <c r="H239" s="382"/>
      <c r="I239" s="382"/>
      <c r="J239" s="382"/>
      <c r="K239" s="382"/>
      <c r="L239" s="382"/>
      <c r="M239" s="382"/>
      <c r="N239" s="382"/>
      <c r="O239" s="382"/>
      <c r="P239" s="338"/>
      <c r="Q239" s="384"/>
      <c r="R239" s="339"/>
      <c r="S239" s="384"/>
      <c r="T239" s="366"/>
      <c r="U239" s="370"/>
      <c r="V239" s="5"/>
    </row>
    <row r="240" spans="1:23" ht="15.6" x14ac:dyDescent="0.3">
      <c r="A240" s="284"/>
      <c r="B240" s="285" t="s">
        <v>120</v>
      </c>
      <c r="C240" s="311"/>
      <c r="D240" s="311"/>
      <c r="E240" s="311"/>
      <c r="F240" s="311"/>
      <c r="G240" s="311"/>
      <c r="H240" s="385"/>
      <c r="I240" s="385"/>
      <c r="J240" s="385"/>
      <c r="K240" s="385"/>
      <c r="L240" s="385"/>
      <c r="M240" s="385"/>
      <c r="N240" s="385"/>
      <c r="O240" s="385"/>
      <c r="P240" s="338">
        <f>SUM(P231:P239)</f>
        <v>4425</v>
      </c>
      <c r="Q240" s="384">
        <f>SUM(Q231:Q239)</f>
        <v>0.99999999999999989</v>
      </c>
      <c r="R240" s="339">
        <f>SUM(R231:R239)</f>
        <v>589572</v>
      </c>
      <c r="S240" s="384">
        <f>SUM(S231:S239)</f>
        <v>1</v>
      </c>
      <c r="T240" s="311"/>
      <c r="U240" s="317"/>
      <c r="V240" s="5"/>
    </row>
    <row r="241" spans="1:23" ht="15.6" x14ac:dyDescent="0.3">
      <c r="A241" s="355"/>
      <c r="B241" s="350"/>
      <c r="C241" s="356"/>
      <c r="D241" s="356"/>
      <c r="E241" s="356"/>
      <c r="F241" s="357"/>
      <c r="G241" s="334"/>
      <c r="H241" s="334"/>
      <c r="I241" s="334"/>
      <c r="J241" s="334"/>
      <c r="K241" s="334"/>
      <c r="L241" s="334"/>
      <c r="M241" s="334"/>
      <c r="N241" s="334"/>
      <c r="O241" s="334"/>
      <c r="P241" s="334"/>
      <c r="Q241" s="334"/>
      <c r="R241" s="358"/>
      <c r="S241" s="334"/>
      <c r="T241" s="351"/>
      <c r="U241" s="359"/>
      <c r="V241" s="5"/>
    </row>
    <row r="242" spans="1:23" ht="15.6" x14ac:dyDescent="0.3">
      <c r="A242" s="222"/>
      <c r="B242" s="252" t="s">
        <v>169</v>
      </c>
      <c r="C242" s="253"/>
      <c r="D242" s="253"/>
      <c r="E242" s="253"/>
      <c r="F242" s="267"/>
      <c r="G242" s="253"/>
      <c r="H242" s="253"/>
      <c r="I242" s="253"/>
      <c r="J242" s="253"/>
      <c r="K242" s="253"/>
      <c r="L242" s="253"/>
      <c r="M242" s="253"/>
      <c r="N242" s="253"/>
      <c r="O242" s="253"/>
      <c r="P242" s="267" t="s">
        <v>105</v>
      </c>
      <c r="Q242" s="253" t="s">
        <v>106</v>
      </c>
      <c r="R242" s="267" t="s">
        <v>114</v>
      </c>
      <c r="S242" s="253" t="s">
        <v>106</v>
      </c>
      <c r="T242" s="223"/>
      <c r="U242" s="252"/>
      <c r="V242" s="5"/>
    </row>
    <row r="243" spans="1:23" ht="15.6" x14ac:dyDescent="0.3">
      <c r="A243" s="190"/>
      <c r="B243" s="243" t="s">
        <v>91</v>
      </c>
      <c r="C243" s="217"/>
      <c r="D243" s="217"/>
      <c r="E243" s="217"/>
      <c r="F243" s="191"/>
      <c r="G243" s="217"/>
      <c r="H243" s="217"/>
      <c r="I243" s="217"/>
      <c r="J243" s="217"/>
      <c r="K243" s="217"/>
      <c r="L243" s="217"/>
      <c r="M243" s="217"/>
      <c r="N243" s="217"/>
      <c r="O243" s="217"/>
      <c r="P243" s="243">
        <v>4259</v>
      </c>
      <c r="Q243" s="274">
        <f t="shared" ref="Q243:Q250" si="5">P243/$P$252</f>
        <v>0.99000464900046492</v>
      </c>
      <c r="R243" s="251">
        <v>563657</v>
      </c>
      <c r="S243" s="274">
        <f t="shared" ref="S243:S250" si="6">R243/$R$252</f>
        <v>0.98582279720793409</v>
      </c>
      <c r="T243" s="213"/>
      <c r="U243" s="216"/>
      <c r="V243" s="5"/>
    </row>
    <row r="244" spans="1:23" ht="15.6" x14ac:dyDescent="0.3">
      <c r="A244" s="284"/>
      <c r="B244" s="338" t="s">
        <v>92</v>
      </c>
      <c r="C244" s="382"/>
      <c r="D244" s="382"/>
      <c r="E244" s="382"/>
      <c r="F244" s="311"/>
      <c r="G244" s="383"/>
      <c r="H244" s="382"/>
      <c r="I244" s="382"/>
      <c r="J244" s="382"/>
      <c r="K244" s="382"/>
      <c r="L244" s="382"/>
      <c r="M244" s="382"/>
      <c r="N244" s="382"/>
      <c r="O244" s="382"/>
      <c r="P244" s="338">
        <v>38</v>
      </c>
      <c r="Q244" s="384">
        <f t="shared" si="5"/>
        <v>8.8331008833100882E-3</v>
      </c>
      <c r="R244" s="339">
        <v>7531</v>
      </c>
      <c r="S244" s="384">
        <f t="shared" si="6"/>
        <v>1.3171541355421739E-2</v>
      </c>
      <c r="T244" s="366"/>
      <c r="U244" s="370"/>
      <c r="V244" s="5"/>
      <c r="W244" s="109"/>
    </row>
    <row r="245" spans="1:23" ht="15.6" x14ac:dyDescent="0.3">
      <c r="A245" s="284"/>
      <c r="B245" s="338" t="s">
        <v>93</v>
      </c>
      <c r="C245" s="382"/>
      <c r="D245" s="382"/>
      <c r="E245" s="382"/>
      <c r="F245" s="311"/>
      <c r="G245" s="383"/>
      <c r="H245" s="382"/>
      <c r="I245" s="382"/>
      <c r="J245" s="382"/>
      <c r="K245" s="382"/>
      <c r="L245" s="382"/>
      <c r="M245" s="382"/>
      <c r="N245" s="382"/>
      <c r="O245" s="382"/>
      <c r="P245" s="338">
        <v>2</v>
      </c>
      <c r="Q245" s="384">
        <f t="shared" si="5"/>
        <v>4.6490004649000463E-4</v>
      </c>
      <c r="R245" s="339">
        <v>181</v>
      </c>
      <c r="S245" s="384">
        <f t="shared" si="6"/>
        <v>3.1656473049147989E-4</v>
      </c>
      <c r="T245" s="366"/>
      <c r="U245" s="370"/>
      <c r="V245" s="5"/>
    </row>
    <row r="246" spans="1:23" ht="15.6" x14ac:dyDescent="0.3">
      <c r="A246" s="284"/>
      <c r="B246" s="338" t="s">
        <v>163</v>
      </c>
      <c r="C246" s="382"/>
      <c r="D246" s="382"/>
      <c r="E246" s="382"/>
      <c r="F246" s="311"/>
      <c r="G246" s="383"/>
      <c r="H246" s="382"/>
      <c r="I246" s="382"/>
      <c r="J246" s="382"/>
      <c r="K246" s="382"/>
      <c r="L246" s="382"/>
      <c r="M246" s="382"/>
      <c r="N246" s="382"/>
      <c r="O246" s="382"/>
      <c r="P246" s="338">
        <v>1</v>
      </c>
      <c r="Q246" s="384">
        <f t="shared" si="5"/>
        <v>2.3245002324500232E-4</v>
      </c>
      <c r="R246" s="339">
        <v>92</v>
      </c>
      <c r="S246" s="384">
        <f t="shared" si="6"/>
        <v>1.6090582986307263E-4</v>
      </c>
      <c r="T246" s="366"/>
      <c r="U246" s="370"/>
      <c r="V246" s="5"/>
      <c r="W246" s="109"/>
    </row>
    <row r="247" spans="1:23" ht="15.6" x14ac:dyDescent="0.3">
      <c r="A247" s="284"/>
      <c r="B247" s="338" t="s">
        <v>164</v>
      </c>
      <c r="C247" s="382"/>
      <c r="D247" s="382"/>
      <c r="E247" s="382"/>
      <c r="F247" s="311"/>
      <c r="G247" s="383"/>
      <c r="H247" s="382"/>
      <c r="I247" s="382"/>
      <c r="J247" s="382"/>
      <c r="K247" s="382"/>
      <c r="L247" s="382"/>
      <c r="M247" s="382"/>
      <c r="N247" s="382"/>
      <c r="O247" s="382"/>
      <c r="P247" s="338">
        <v>1</v>
      </c>
      <c r="Q247" s="384">
        <f t="shared" si="5"/>
        <v>2.3245002324500232E-4</v>
      </c>
      <c r="R247" s="339">
        <v>125</v>
      </c>
      <c r="S247" s="384">
        <f t="shared" si="6"/>
        <v>2.1862205144439217E-4</v>
      </c>
      <c r="T247" s="366"/>
      <c r="U247" s="370"/>
      <c r="V247" s="5"/>
    </row>
    <row r="248" spans="1:23" ht="15.6" x14ac:dyDescent="0.3">
      <c r="A248" s="284"/>
      <c r="B248" s="338" t="s">
        <v>165</v>
      </c>
      <c r="C248" s="382"/>
      <c r="D248" s="382"/>
      <c r="E248" s="382"/>
      <c r="F248" s="311"/>
      <c r="G248" s="383"/>
      <c r="H248" s="382"/>
      <c r="I248" s="382"/>
      <c r="J248" s="382"/>
      <c r="K248" s="382"/>
      <c r="L248" s="382"/>
      <c r="M248" s="382"/>
      <c r="N248" s="382"/>
      <c r="O248" s="382"/>
      <c r="P248" s="338">
        <v>0</v>
      </c>
      <c r="Q248" s="384">
        <f t="shared" si="5"/>
        <v>0</v>
      </c>
      <c r="R248" s="339">
        <v>0</v>
      </c>
      <c r="S248" s="384">
        <f t="shared" si="6"/>
        <v>0</v>
      </c>
      <c r="T248" s="366"/>
      <c r="U248" s="370"/>
      <c r="V248" s="5"/>
      <c r="W248" s="109"/>
    </row>
    <row r="249" spans="1:23" ht="15.6" x14ac:dyDescent="0.3">
      <c r="A249" s="284"/>
      <c r="B249" s="338" t="s">
        <v>166</v>
      </c>
      <c r="C249" s="382"/>
      <c r="D249" s="382"/>
      <c r="E249" s="382"/>
      <c r="F249" s="311"/>
      <c r="G249" s="383"/>
      <c r="H249" s="382"/>
      <c r="I249" s="382"/>
      <c r="J249" s="382"/>
      <c r="K249" s="382"/>
      <c r="L249" s="382"/>
      <c r="M249" s="382"/>
      <c r="N249" s="382"/>
      <c r="O249" s="382"/>
      <c r="P249" s="338">
        <v>1</v>
      </c>
      <c r="Q249" s="384">
        <f t="shared" si="5"/>
        <v>2.3245002324500232E-4</v>
      </c>
      <c r="R249" s="339">
        <v>177</v>
      </c>
      <c r="S249" s="384">
        <f t="shared" si="6"/>
        <v>3.0956882484525929E-4</v>
      </c>
      <c r="T249" s="366"/>
      <c r="U249" s="370"/>
      <c r="V249" s="5"/>
    </row>
    <row r="250" spans="1:23" ht="15.6" x14ac:dyDescent="0.3">
      <c r="A250" s="284"/>
      <c r="B250" s="338" t="s">
        <v>167</v>
      </c>
      <c r="C250" s="382"/>
      <c r="D250" s="382"/>
      <c r="E250" s="382"/>
      <c r="F250" s="311"/>
      <c r="G250" s="383"/>
      <c r="H250" s="382"/>
      <c r="I250" s="382"/>
      <c r="J250" s="382"/>
      <c r="K250" s="382"/>
      <c r="L250" s="382"/>
      <c r="M250" s="382"/>
      <c r="N250" s="382"/>
      <c r="O250" s="382"/>
      <c r="P250" s="338">
        <v>0</v>
      </c>
      <c r="Q250" s="384">
        <f t="shared" si="5"/>
        <v>0</v>
      </c>
      <c r="R250" s="339">
        <v>0</v>
      </c>
      <c r="S250" s="384">
        <f t="shared" si="6"/>
        <v>0</v>
      </c>
      <c r="T250" s="366"/>
      <c r="U250" s="370"/>
      <c r="V250" s="5"/>
      <c r="W250" s="109"/>
    </row>
    <row r="251" spans="1:23" ht="15.6" x14ac:dyDescent="0.3">
      <c r="A251" s="284"/>
      <c r="B251" s="338"/>
      <c r="C251" s="382"/>
      <c r="D251" s="382"/>
      <c r="E251" s="382"/>
      <c r="F251" s="311"/>
      <c r="G251" s="383"/>
      <c r="H251" s="382"/>
      <c r="I251" s="382"/>
      <c r="J251" s="382"/>
      <c r="K251" s="382"/>
      <c r="L251" s="382"/>
      <c r="M251" s="382"/>
      <c r="N251" s="382"/>
      <c r="O251" s="382"/>
      <c r="P251" s="338"/>
      <c r="Q251" s="384"/>
      <c r="R251" s="339"/>
      <c r="S251" s="384"/>
      <c r="T251" s="366"/>
      <c r="U251" s="370"/>
      <c r="V251" s="5"/>
    </row>
    <row r="252" spans="1:23" ht="15.6" x14ac:dyDescent="0.3">
      <c r="A252" s="284"/>
      <c r="B252" s="285" t="s">
        <v>120</v>
      </c>
      <c r="C252" s="311"/>
      <c r="D252" s="311"/>
      <c r="E252" s="311"/>
      <c r="F252" s="311"/>
      <c r="G252" s="311"/>
      <c r="H252" s="385"/>
      <c r="I252" s="385"/>
      <c r="J252" s="385"/>
      <c r="K252" s="385"/>
      <c r="L252" s="385"/>
      <c r="M252" s="385"/>
      <c r="N252" s="385"/>
      <c r="O252" s="385"/>
      <c r="P252" s="338">
        <f>SUM(P243:P251)</f>
        <v>4302</v>
      </c>
      <c r="Q252" s="384">
        <f>SUM(Q243:Q251)</f>
        <v>1</v>
      </c>
      <c r="R252" s="339">
        <f>SUM(R243:R251)</f>
        <v>571763</v>
      </c>
      <c r="S252" s="384">
        <f>SUM(S243:S251)</f>
        <v>1</v>
      </c>
      <c r="T252" s="311"/>
      <c r="U252" s="317"/>
      <c r="V252" s="5"/>
    </row>
    <row r="253" spans="1:23" ht="15.6" x14ac:dyDescent="0.3">
      <c r="A253" s="175"/>
      <c r="B253" s="334"/>
      <c r="C253" s="334"/>
      <c r="D253" s="334"/>
      <c r="E253" s="334"/>
      <c r="F253" s="334"/>
      <c r="G253" s="334"/>
      <c r="H253" s="379"/>
      <c r="I253" s="379"/>
      <c r="J253" s="379"/>
      <c r="K253" s="379"/>
      <c r="L253" s="379"/>
      <c r="M253" s="379"/>
      <c r="N253" s="379"/>
      <c r="O253" s="379"/>
      <c r="P253" s="335"/>
      <c r="Q253" s="380"/>
      <c r="R253" s="381"/>
      <c r="S253" s="380"/>
      <c r="T253" s="334"/>
      <c r="U253" s="334"/>
      <c r="V253" s="5"/>
    </row>
    <row r="254" spans="1:23" ht="15.6" x14ac:dyDescent="0.3">
      <c r="A254" s="268"/>
      <c r="B254" s="252" t="s">
        <v>267</v>
      </c>
      <c r="C254" s="253"/>
      <c r="D254" s="253"/>
      <c r="E254" s="253"/>
      <c r="F254" s="267"/>
      <c r="G254" s="253"/>
      <c r="H254" s="253"/>
      <c r="I254" s="253"/>
      <c r="J254" s="253"/>
      <c r="K254" s="253"/>
      <c r="L254" s="253"/>
      <c r="M254" s="253"/>
      <c r="N254" s="253"/>
      <c r="O254" s="253"/>
      <c r="P254" s="267" t="s">
        <v>105</v>
      </c>
      <c r="Q254" s="253" t="s">
        <v>106</v>
      </c>
      <c r="R254" s="267" t="s">
        <v>114</v>
      </c>
      <c r="S254" s="253" t="s">
        <v>106</v>
      </c>
      <c r="T254" s="269"/>
      <c r="U254" s="270"/>
      <c r="V254" s="5"/>
    </row>
    <row r="255" spans="1:23" ht="15.6" x14ac:dyDescent="0.3">
      <c r="A255" s="190"/>
      <c r="B255" s="243" t="s">
        <v>91</v>
      </c>
      <c r="C255" s="217"/>
      <c r="D255" s="217"/>
      <c r="E255" s="217"/>
      <c r="F255" s="191"/>
      <c r="G255" s="217"/>
      <c r="H255" s="217"/>
      <c r="I255" s="217"/>
      <c r="J255" s="217"/>
      <c r="K255" s="217"/>
      <c r="L255" s="217"/>
      <c r="M255" s="217"/>
      <c r="N255" s="217"/>
      <c r="O255" s="217"/>
      <c r="P255" s="243">
        <v>78</v>
      </c>
      <c r="Q255" s="274">
        <f t="shared" ref="Q255:Q262" si="7">P255/$P$264</f>
        <v>0.63414634146341464</v>
      </c>
      <c r="R255" s="251">
        <v>10795</v>
      </c>
      <c r="S255" s="274">
        <f t="shared" ref="S255:S262" si="8">R255/$R$264</f>
        <v>0.60615419170082541</v>
      </c>
      <c r="T255" s="191"/>
      <c r="U255" s="191"/>
      <c r="V255" s="5"/>
    </row>
    <row r="256" spans="1:23" ht="15.6" x14ac:dyDescent="0.3">
      <c r="A256" s="284"/>
      <c r="B256" s="338" t="s">
        <v>92</v>
      </c>
      <c r="C256" s="382"/>
      <c r="D256" s="382"/>
      <c r="E256" s="382"/>
      <c r="F256" s="311"/>
      <c r="G256" s="383"/>
      <c r="H256" s="382"/>
      <c r="I256" s="382"/>
      <c r="J256" s="382"/>
      <c r="K256" s="382"/>
      <c r="L256" s="382"/>
      <c r="M256" s="382"/>
      <c r="N256" s="382"/>
      <c r="O256" s="382"/>
      <c r="P256" s="338">
        <v>5</v>
      </c>
      <c r="Q256" s="384">
        <f t="shared" si="7"/>
        <v>4.065040650406504E-2</v>
      </c>
      <c r="R256" s="339">
        <v>576</v>
      </c>
      <c r="S256" s="384">
        <f t="shared" si="8"/>
        <v>3.2343197259812453E-2</v>
      </c>
      <c r="T256" s="311"/>
      <c r="U256" s="317"/>
      <c r="V256" s="5"/>
    </row>
    <row r="257" spans="1:22" ht="15.6" x14ac:dyDescent="0.3">
      <c r="A257" s="284"/>
      <c r="B257" s="338" t="s">
        <v>93</v>
      </c>
      <c r="C257" s="382"/>
      <c r="D257" s="382"/>
      <c r="E257" s="382"/>
      <c r="F257" s="311"/>
      <c r="G257" s="383"/>
      <c r="H257" s="382"/>
      <c r="I257" s="382"/>
      <c r="J257" s="382"/>
      <c r="K257" s="382"/>
      <c r="L257" s="382"/>
      <c r="M257" s="382"/>
      <c r="N257" s="382"/>
      <c r="O257" s="382"/>
      <c r="P257" s="338">
        <v>4</v>
      </c>
      <c r="Q257" s="384">
        <f t="shared" si="7"/>
        <v>3.2520325203252036E-2</v>
      </c>
      <c r="R257" s="339">
        <v>449</v>
      </c>
      <c r="S257" s="384">
        <f t="shared" si="8"/>
        <v>2.5211971475096861E-2</v>
      </c>
      <c r="T257" s="311"/>
      <c r="U257" s="317"/>
      <c r="V257" s="5"/>
    </row>
    <row r="258" spans="1:22" ht="15.6" x14ac:dyDescent="0.3">
      <c r="A258" s="284"/>
      <c r="B258" s="338" t="s">
        <v>163</v>
      </c>
      <c r="C258" s="382"/>
      <c r="D258" s="382"/>
      <c r="E258" s="382"/>
      <c r="F258" s="311"/>
      <c r="G258" s="383"/>
      <c r="H258" s="382"/>
      <c r="I258" s="382"/>
      <c r="J258" s="382"/>
      <c r="K258" s="382"/>
      <c r="L258" s="382"/>
      <c r="M258" s="382"/>
      <c r="N258" s="382"/>
      <c r="O258" s="382"/>
      <c r="P258" s="338">
        <v>2</v>
      </c>
      <c r="Q258" s="384">
        <f t="shared" si="7"/>
        <v>1.6260162601626018E-2</v>
      </c>
      <c r="R258" s="339">
        <v>293</v>
      </c>
      <c r="S258" s="384">
        <f t="shared" si="8"/>
        <v>1.6452355550564322E-2</v>
      </c>
      <c r="T258" s="311"/>
      <c r="U258" s="317"/>
      <c r="V258" s="5"/>
    </row>
    <row r="259" spans="1:22" ht="15.6" x14ac:dyDescent="0.3">
      <c r="A259" s="284"/>
      <c r="B259" s="338" t="s">
        <v>164</v>
      </c>
      <c r="C259" s="382"/>
      <c r="D259" s="382"/>
      <c r="E259" s="382"/>
      <c r="F259" s="311"/>
      <c r="G259" s="383"/>
      <c r="H259" s="382"/>
      <c r="I259" s="382"/>
      <c r="J259" s="382"/>
      <c r="K259" s="382"/>
      <c r="L259" s="382"/>
      <c r="M259" s="382"/>
      <c r="N259" s="382"/>
      <c r="O259" s="382"/>
      <c r="P259" s="338">
        <v>2</v>
      </c>
      <c r="Q259" s="384">
        <f t="shared" si="7"/>
        <v>1.6260162601626018E-2</v>
      </c>
      <c r="R259" s="339">
        <v>514</v>
      </c>
      <c r="S259" s="384">
        <f t="shared" si="8"/>
        <v>2.8861811443652085E-2</v>
      </c>
      <c r="T259" s="311"/>
      <c r="U259" s="317"/>
      <c r="V259" s="5"/>
    </row>
    <row r="260" spans="1:22" ht="15.6" x14ac:dyDescent="0.3">
      <c r="A260" s="284"/>
      <c r="B260" s="338" t="s">
        <v>165</v>
      </c>
      <c r="C260" s="382"/>
      <c r="D260" s="382"/>
      <c r="E260" s="382"/>
      <c r="F260" s="311"/>
      <c r="G260" s="383"/>
      <c r="H260" s="382"/>
      <c r="I260" s="382"/>
      <c r="J260" s="382"/>
      <c r="K260" s="382"/>
      <c r="L260" s="382"/>
      <c r="M260" s="382"/>
      <c r="N260" s="382"/>
      <c r="O260" s="382"/>
      <c r="P260" s="338">
        <v>2</v>
      </c>
      <c r="Q260" s="384">
        <f t="shared" si="7"/>
        <v>1.6260162601626018E-2</v>
      </c>
      <c r="R260" s="339">
        <v>209</v>
      </c>
      <c r="S260" s="384">
        <f t="shared" si="8"/>
        <v>1.1735639283508339E-2</v>
      </c>
      <c r="T260" s="311"/>
      <c r="U260" s="317"/>
      <c r="V260" s="5"/>
    </row>
    <row r="261" spans="1:22" ht="15.6" x14ac:dyDescent="0.3">
      <c r="A261" s="284"/>
      <c r="B261" s="338" t="s">
        <v>166</v>
      </c>
      <c r="C261" s="382"/>
      <c r="D261" s="382"/>
      <c r="E261" s="382"/>
      <c r="F261" s="311"/>
      <c r="G261" s="383"/>
      <c r="H261" s="382"/>
      <c r="I261" s="382"/>
      <c r="J261" s="382"/>
      <c r="K261" s="382"/>
      <c r="L261" s="382"/>
      <c r="M261" s="382"/>
      <c r="N261" s="382"/>
      <c r="O261" s="382"/>
      <c r="P261" s="338">
        <v>15</v>
      </c>
      <c r="Q261" s="384">
        <f t="shared" si="7"/>
        <v>0.12195121951219512</v>
      </c>
      <c r="R261" s="339">
        <v>2765</v>
      </c>
      <c r="S261" s="384">
        <f t="shared" si="8"/>
        <v>0.1552585771239261</v>
      </c>
      <c r="T261" s="311"/>
      <c r="U261" s="317"/>
      <c r="V261" s="5"/>
    </row>
    <row r="262" spans="1:22" ht="15.6" x14ac:dyDescent="0.3">
      <c r="A262" s="284"/>
      <c r="B262" s="338" t="s">
        <v>167</v>
      </c>
      <c r="C262" s="382"/>
      <c r="D262" s="382"/>
      <c r="E262" s="382"/>
      <c r="F262" s="311"/>
      <c r="G262" s="383"/>
      <c r="H262" s="382"/>
      <c r="I262" s="382"/>
      <c r="J262" s="382"/>
      <c r="K262" s="382"/>
      <c r="L262" s="382"/>
      <c r="M262" s="382"/>
      <c r="N262" s="382"/>
      <c r="O262" s="382"/>
      <c r="P262" s="338">
        <v>15</v>
      </c>
      <c r="Q262" s="384">
        <f t="shared" si="7"/>
        <v>0.12195121951219512</v>
      </c>
      <c r="R262" s="339">
        <v>2208</v>
      </c>
      <c r="S262" s="384">
        <f t="shared" si="8"/>
        <v>0.12398225616261441</v>
      </c>
      <c r="T262" s="311"/>
      <c r="U262" s="317"/>
      <c r="V262" s="5"/>
    </row>
    <row r="263" spans="1:22" ht="15.6" x14ac:dyDescent="0.3">
      <c r="A263" s="284"/>
      <c r="B263" s="338"/>
      <c r="C263" s="382"/>
      <c r="D263" s="382"/>
      <c r="E263" s="382"/>
      <c r="F263" s="311"/>
      <c r="G263" s="383"/>
      <c r="H263" s="382"/>
      <c r="I263" s="382"/>
      <c r="J263" s="382"/>
      <c r="K263" s="382"/>
      <c r="L263" s="382"/>
      <c r="M263" s="382"/>
      <c r="N263" s="382"/>
      <c r="O263" s="382"/>
      <c r="P263" s="338"/>
      <c r="Q263" s="384"/>
      <c r="R263" s="339"/>
      <c r="S263" s="384"/>
      <c r="T263" s="311"/>
      <c r="U263" s="317"/>
      <c r="V263" s="5"/>
    </row>
    <row r="264" spans="1:22" ht="15.6" x14ac:dyDescent="0.3">
      <c r="A264" s="284"/>
      <c r="B264" s="285" t="s">
        <v>120</v>
      </c>
      <c r="C264" s="311"/>
      <c r="D264" s="311"/>
      <c r="E264" s="311"/>
      <c r="F264" s="311"/>
      <c r="G264" s="311"/>
      <c r="H264" s="385"/>
      <c r="I264" s="385"/>
      <c r="J264" s="385"/>
      <c r="K264" s="385"/>
      <c r="L264" s="385"/>
      <c r="M264" s="385"/>
      <c r="N264" s="385"/>
      <c r="O264" s="385"/>
      <c r="P264" s="338">
        <f>SUM(P255:P263)</f>
        <v>123</v>
      </c>
      <c r="Q264" s="384">
        <f>SUM(Q255:Q263)</f>
        <v>0.99999999999999989</v>
      </c>
      <c r="R264" s="339">
        <f>SUM(R255:R263)</f>
        <v>17809</v>
      </c>
      <c r="S264" s="384">
        <f>SUM(S255:S263)</f>
        <v>1</v>
      </c>
      <c r="T264" s="311"/>
      <c r="U264" s="317"/>
      <c r="V264" s="5"/>
    </row>
    <row r="265" spans="1:22" ht="15.6" x14ac:dyDescent="0.3">
      <c r="A265" s="175"/>
      <c r="B265" s="334"/>
      <c r="C265" s="334"/>
      <c r="D265" s="334"/>
      <c r="E265" s="334"/>
      <c r="F265" s="334"/>
      <c r="G265" s="334"/>
      <c r="H265" s="379"/>
      <c r="I265" s="379"/>
      <c r="J265" s="379"/>
      <c r="K265" s="379"/>
      <c r="L265" s="379"/>
      <c r="M265" s="379"/>
      <c r="N265" s="379"/>
      <c r="O265" s="379"/>
      <c r="P265" s="335"/>
      <c r="Q265" s="380"/>
      <c r="R265" s="381"/>
      <c r="S265" s="380"/>
      <c r="T265" s="334"/>
      <c r="U265" s="334"/>
      <c r="V265" s="5"/>
    </row>
    <row r="266" spans="1:22" ht="15.6" x14ac:dyDescent="0.3">
      <c r="A266" s="268"/>
      <c r="B266" s="252" t="s">
        <v>170</v>
      </c>
      <c r="C266" s="269"/>
      <c r="D266" s="269"/>
      <c r="E266" s="269"/>
      <c r="F266" s="269"/>
      <c r="G266" s="269"/>
      <c r="H266" s="271"/>
      <c r="I266" s="271"/>
      <c r="J266" s="271"/>
      <c r="K266" s="271"/>
      <c r="L266" s="271"/>
      <c r="M266" s="271"/>
      <c r="N266" s="271"/>
      <c r="O266" s="271"/>
      <c r="P266" s="267" t="s">
        <v>105</v>
      </c>
      <c r="Q266" s="253" t="s">
        <v>106</v>
      </c>
      <c r="R266" s="267" t="s">
        <v>114</v>
      </c>
      <c r="S266" s="253" t="s">
        <v>106</v>
      </c>
      <c r="T266" s="269"/>
      <c r="U266" s="270"/>
      <c r="V266" s="5"/>
    </row>
    <row r="267" spans="1:22" ht="15.6" x14ac:dyDescent="0.3">
      <c r="A267" s="190"/>
      <c r="B267" s="243" t="s">
        <v>91</v>
      </c>
      <c r="C267" s="239"/>
      <c r="D267" s="239"/>
      <c r="E267" s="239"/>
      <c r="F267" s="239"/>
      <c r="G267" s="239"/>
      <c r="H267" s="275"/>
      <c r="I267" s="275"/>
      <c r="J267" s="275"/>
      <c r="K267" s="275"/>
      <c r="L267" s="218"/>
      <c r="M267" s="218"/>
      <c r="N267" s="218"/>
      <c r="O267" s="218"/>
      <c r="P267" s="243">
        <v>0</v>
      </c>
      <c r="Q267" s="274">
        <v>0</v>
      </c>
      <c r="R267" s="251">
        <v>0</v>
      </c>
      <c r="S267" s="274">
        <v>0</v>
      </c>
      <c r="T267" s="239"/>
      <c r="U267" s="191"/>
      <c r="V267" s="5"/>
    </row>
    <row r="268" spans="1:22" ht="15.6" x14ac:dyDescent="0.3">
      <c r="A268" s="284"/>
      <c r="B268" s="338" t="s">
        <v>92</v>
      </c>
      <c r="C268" s="285"/>
      <c r="D268" s="285"/>
      <c r="E268" s="285"/>
      <c r="F268" s="285"/>
      <c r="G268" s="285"/>
      <c r="H268" s="387"/>
      <c r="I268" s="387"/>
      <c r="J268" s="387"/>
      <c r="K268" s="387"/>
      <c r="L268" s="385"/>
      <c r="M268" s="385"/>
      <c r="N268" s="385"/>
      <c r="O268" s="385"/>
      <c r="P268" s="338">
        <v>0</v>
      </c>
      <c r="Q268" s="384">
        <v>0</v>
      </c>
      <c r="R268" s="339">
        <v>0</v>
      </c>
      <c r="S268" s="384">
        <v>0</v>
      </c>
      <c r="T268" s="285"/>
      <c r="U268" s="317"/>
      <c r="V268" s="5"/>
    </row>
    <row r="269" spans="1:22" ht="15.6" x14ac:dyDescent="0.3">
      <c r="A269" s="284"/>
      <c r="B269" s="338" t="s">
        <v>93</v>
      </c>
      <c r="C269" s="285"/>
      <c r="D269" s="285"/>
      <c r="E269" s="285"/>
      <c r="F269" s="285"/>
      <c r="G269" s="285"/>
      <c r="H269" s="387"/>
      <c r="I269" s="387"/>
      <c r="J269" s="387"/>
      <c r="K269" s="387"/>
      <c r="L269" s="385"/>
      <c r="M269" s="385"/>
      <c r="N269" s="385"/>
      <c r="O269" s="385"/>
      <c r="P269" s="338">
        <v>0</v>
      </c>
      <c r="Q269" s="384">
        <v>0</v>
      </c>
      <c r="R269" s="339">
        <v>0</v>
      </c>
      <c r="S269" s="384">
        <v>0</v>
      </c>
      <c r="T269" s="285"/>
      <c r="U269" s="317"/>
      <c r="V269" s="5"/>
    </row>
    <row r="270" spans="1:22" ht="15.6" x14ac:dyDescent="0.3">
      <c r="A270" s="284"/>
      <c r="B270" s="338" t="s">
        <v>163</v>
      </c>
      <c r="C270" s="285"/>
      <c r="D270" s="285"/>
      <c r="E270" s="285"/>
      <c r="F270" s="285"/>
      <c r="G270" s="285"/>
      <c r="H270" s="387"/>
      <c r="I270" s="387"/>
      <c r="J270" s="387"/>
      <c r="K270" s="387"/>
      <c r="L270" s="385"/>
      <c r="M270" s="385"/>
      <c r="N270" s="385"/>
      <c r="O270" s="385"/>
      <c r="P270" s="338">
        <v>0</v>
      </c>
      <c r="Q270" s="384">
        <v>0</v>
      </c>
      <c r="R270" s="339">
        <v>0</v>
      </c>
      <c r="S270" s="384">
        <v>0</v>
      </c>
      <c r="T270" s="285"/>
      <c r="U270" s="317"/>
      <c r="V270" s="5"/>
    </row>
    <row r="271" spans="1:22" ht="15.6" x14ac:dyDescent="0.3">
      <c r="A271" s="284"/>
      <c r="B271" s="338" t="s">
        <v>164</v>
      </c>
      <c r="C271" s="285"/>
      <c r="D271" s="285"/>
      <c r="E271" s="285"/>
      <c r="F271" s="285"/>
      <c r="G271" s="285"/>
      <c r="H271" s="387"/>
      <c r="I271" s="387"/>
      <c r="J271" s="387"/>
      <c r="K271" s="387"/>
      <c r="L271" s="385"/>
      <c r="M271" s="385"/>
      <c r="N271" s="385"/>
      <c r="O271" s="385"/>
      <c r="P271" s="338">
        <v>0</v>
      </c>
      <c r="Q271" s="384">
        <v>0</v>
      </c>
      <c r="R271" s="339">
        <v>0</v>
      </c>
      <c r="S271" s="384">
        <v>0</v>
      </c>
      <c r="T271" s="285"/>
      <c r="U271" s="317"/>
      <c r="V271" s="5"/>
    </row>
    <row r="272" spans="1:22" ht="15.6" x14ac:dyDescent="0.3">
      <c r="A272" s="284"/>
      <c r="B272" s="338" t="s">
        <v>165</v>
      </c>
      <c r="C272" s="285"/>
      <c r="D272" s="285"/>
      <c r="E272" s="285"/>
      <c r="F272" s="285"/>
      <c r="G272" s="285"/>
      <c r="H272" s="387"/>
      <c r="I272" s="387"/>
      <c r="J272" s="387"/>
      <c r="K272" s="387"/>
      <c r="L272" s="385"/>
      <c r="M272" s="385"/>
      <c r="N272" s="385"/>
      <c r="O272" s="385"/>
      <c r="P272" s="338">
        <v>0</v>
      </c>
      <c r="Q272" s="384">
        <v>0</v>
      </c>
      <c r="R272" s="339">
        <v>0</v>
      </c>
      <c r="S272" s="384">
        <v>0</v>
      </c>
      <c r="T272" s="285"/>
      <c r="U272" s="317"/>
      <c r="V272" s="5"/>
    </row>
    <row r="273" spans="1:22" ht="15.6" x14ac:dyDescent="0.3">
      <c r="A273" s="284"/>
      <c r="B273" s="338" t="s">
        <v>166</v>
      </c>
      <c r="C273" s="285"/>
      <c r="D273" s="285"/>
      <c r="E273" s="285"/>
      <c r="F273" s="285"/>
      <c r="G273" s="285"/>
      <c r="H273" s="387"/>
      <c r="I273" s="387"/>
      <c r="J273" s="387"/>
      <c r="K273" s="387"/>
      <c r="L273" s="385"/>
      <c r="M273" s="385"/>
      <c r="N273" s="385"/>
      <c r="O273" s="385"/>
      <c r="P273" s="338">
        <v>0</v>
      </c>
      <c r="Q273" s="384">
        <v>0</v>
      </c>
      <c r="R273" s="339">
        <v>0</v>
      </c>
      <c r="S273" s="384">
        <v>0</v>
      </c>
      <c r="T273" s="285"/>
      <c r="U273" s="317"/>
      <c r="V273" s="5"/>
    </row>
    <row r="274" spans="1:22" ht="15.6" x14ac:dyDescent="0.3">
      <c r="A274" s="284"/>
      <c r="B274" s="338" t="s">
        <v>167</v>
      </c>
      <c r="C274" s="285"/>
      <c r="D274" s="285"/>
      <c r="E274" s="285"/>
      <c r="F274" s="285"/>
      <c r="G274" s="285"/>
      <c r="H274" s="387"/>
      <c r="I274" s="387"/>
      <c r="J274" s="387"/>
      <c r="K274" s="387"/>
      <c r="L274" s="385"/>
      <c r="M274" s="385"/>
      <c r="N274" s="385"/>
      <c r="O274" s="385"/>
      <c r="P274" s="338">
        <v>0</v>
      </c>
      <c r="Q274" s="384">
        <v>0</v>
      </c>
      <c r="R274" s="339">
        <v>0</v>
      </c>
      <c r="S274" s="384">
        <v>0</v>
      </c>
      <c r="T274" s="285"/>
      <c r="U274" s="317"/>
      <c r="V274" s="5"/>
    </row>
    <row r="275" spans="1:22" ht="15.6" x14ac:dyDescent="0.3">
      <c r="A275" s="284"/>
      <c r="B275" s="338"/>
      <c r="C275" s="285"/>
      <c r="D275" s="285"/>
      <c r="E275" s="285"/>
      <c r="F275" s="285"/>
      <c r="G275" s="285"/>
      <c r="H275" s="387"/>
      <c r="I275" s="387"/>
      <c r="J275" s="387"/>
      <c r="K275" s="387"/>
      <c r="L275" s="385"/>
      <c r="M275" s="385"/>
      <c r="N275" s="385"/>
      <c r="O275" s="385"/>
      <c r="P275" s="338"/>
      <c r="Q275" s="384"/>
      <c r="R275" s="339"/>
      <c r="S275" s="384"/>
      <c r="T275" s="285"/>
      <c r="U275" s="317"/>
      <c r="V275" s="5"/>
    </row>
    <row r="276" spans="1:22" ht="15.6" x14ac:dyDescent="0.3">
      <c r="A276" s="284"/>
      <c r="B276" s="285" t="s">
        <v>120</v>
      </c>
      <c r="C276" s="285"/>
      <c r="D276" s="285"/>
      <c r="E276" s="285"/>
      <c r="F276" s="285"/>
      <c r="G276" s="285"/>
      <c r="H276" s="387"/>
      <c r="I276" s="387"/>
      <c r="J276" s="387"/>
      <c r="K276" s="387"/>
      <c r="L276" s="385"/>
      <c r="M276" s="385"/>
      <c r="N276" s="385"/>
      <c r="O276" s="385"/>
      <c r="P276" s="338">
        <f>SUM(P267:P274)</f>
        <v>0</v>
      </c>
      <c r="Q276" s="384">
        <f>SUM(Q267:Q275)</f>
        <v>0</v>
      </c>
      <c r="R276" s="339">
        <f>SUM(R267:R274)</f>
        <v>0</v>
      </c>
      <c r="S276" s="384">
        <f>SUM(S267:S275)</f>
        <v>0</v>
      </c>
      <c r="T276" s="285"/>
      <c r="U276" s="317"/>
      <c r="V276" s="5"/>
    </row>
    <row r="277" spans="1:22" ht="15.6" x14ac:dyDescent="0.3">
      <c r="A277" s="284"/>
      <c r="B277" s="285"/>
      <c r="C277" s="285"/>
      <c r="D277" s="285"/>
      <c r="E277" s="285"/>
      <c r="F277" s="285"/>
      <c r="G277" s="285"/>
      <c r="H277" s="387"/>
      <c r="I277" s="387"/>
      <c r="J277" s="387"/>
      <c r="K277" s="387"/>
      <c r="L277" s="385"/>
      <c r="M277" s="385"/>
      <c r="N277" s="385"/>
      <c r="O277" s="385"/>
      <c r="P277" s="344"/>
      <c r="Q277" s="388"/>
      <c r="R277" s="345"/>
      <c r="S277" s="388"/>
      <c r="T277" s="311"/>
      <c r="U277" s="317"/>
      <c r="V277" s="5"/>
    </row>
    <row r="278" spans="1:22" ht="15.6" x14ac:dyDescent="0.3">
      <c r="A278" s="284"/>
      <c r="B278" s="294" t="s">
        <v>171</v>
      </c>
      <c r="C278" s="285"/>
      <c r="D278" s="285"/>
      <c r="E278" s="285"/>
      <c r="F278" s="285"/>
      <c r="G278" s="285"/>
      <c r="H278" s="387"/>
      <c r="I278" s="387"/>
      <c r="J278" s="387"/>
      <c r="K278" s="387"/>
      <c r="L278" s="385"/>
      <c r="M278" s="385"/>
      <c r="N278" s="385"/>
      <c r="O278" s="385"/>
      <c r="P278" s="389">
        <f>P276+P264+P252</f>
        <v>4425</v>
      </c>
      <c r="Q278" s="390"/>
      <c r="R278" s="391">
        <f>+R276+R264+R252</f>
        <v>589572</v>
      </c>
      <c r="S278" s="390"/>
      <c r="T278" s="311"/>
      <c r="U278" s="317"/>
      <c r="V278" s="5"/>
    </row>
    <row r="279" spans="1:22" ht="15.6" x14ac:dyDescent="0.3">
      <c r="A279" s="175"/>
      <c r="B279" s="281"/>
      <c r="C279" s="281"/>
      <c r="D279" s="281"/>
      <c r="E279" s="281"/>
      <c r="F279" s="281"/>
      <c r="G279" s="281"/>
      <c r="H279" s="386"/>
      <c r="I279" s="386"/>
      <c r="J279" s="386"/>
      <c r="K279" s="386"/>
      <c r="L279" s="379"/>
      <c r="M279" s="379"/>
      <c r="N279" s="379"/>
      <c r="O279" s="379"/>
      <c r="P279" s="379"/>
      <c r="Q279" s="379"/>
      <c r="R279" s="381"/>
      <c r="S279" s="379"/>
      <c r="T279" s="334"/>
      <c r="U279" s="334"/>
      <c r="V279" s="5"/>
    </row>
    <row r="280" spans="1:22" ht="15.6" x14ac:dyDescent="0.3">
      <c r="A280" s="175"/>
      <c r="B280" s="231"/>
      <c r="C280" s="231"/>
      <c r="D280" s="231"/>
      <c r="E280" s="231"/>
      <c r="F280" s="231"/>
      <c r="G280" s="231"/>
      <c r="H280" s="276"/>
      <c r="I280" s="276"/>
      <c r="J280" s="276"/>
      <c r="K280" s="276"/>
      <c r="L280" s="219"/>
      <c r="M280" s="219"/>
      <c r="N280" s="219"/>
      <c r="O280" s="219"/>
      <c r="P280" s="219"/>
      <c r="Q280" s="219"/>
      <c r="R280" s="220"/>
      <c r="S280" s="219"/>
      <c r="T280" s="177"/>
      <c r="U280" s="177"/>
      <c r="V280" s="5"/>
    </row>
    <row r="281" spans="1:22" ht="15.6" x14ac:dyDescent="0.3">
      <c r="A281" s="221"/>
      <c r="B281" s="230" t="s">
        <v>94</v>
      </c>
      <c r="C281" s="231"/>
      <c r="D281" s="231"/>
      <c r="E281" s="231"/>
      <c r="F281" s="236" t="s">
        <v>100</v>
      </c>
      <c r="G281" s="231"/>
      <c r="H281" s="230" t="s">
        <v>102</v>
      </c>
      <c r="I281" s="277"/>
      <c r="J281" s="277"/>
      <c r="K281" s="277"/>
      <c r="L281" s="188"/>
      <c r="M281" s="188"/>
      <c r="N281" s="188"/>
      <c r="O281" s="188"/>
      <c r="P281" s="188"/>
      <c r="Q281" s="188"/>
      <c r="R281" s="188"/>
      <c r="S281" s="188"/>
      <c r="T281" s="188"/>
      <c r="U281" s="188"/>
      <c r="V281" s="5"/>
    </row>
    <row r="282" spans="1:22" ht="15.6" x14ac:dyDescent="0.3">
      <c r="A282" s="221"/>
      <c r="B282" s="230" t="s">
        <v>95</v>
      </c>
      <c r="C282" s="230"/>
      <c r="D282" s="230"/>
      <c r="E282" s="230"/>
      <c r="F282" s="278" t="s">
        <v>154</v>
      </c>
      <c r="G282" s="230"/>
      <c r="H282" s="230" t="s">
        <v>158</v>
      </c>
      <c r="I282" s="277"/>
      <c r="J282" s="277"/>
      <c r="K282" s="277"/>
      <c r="L282" s="188"/>
      <c r="M282" s="188"/>
      <c r="N282" s="188"/>
      <c r="O282" s="188"/>
      <c r="P282" s="188"/>
      <c r="Q282" s="188"/>
      <c r="R282" s="188"/>
      <c r="S282" s="188"/>
      <c r="T282" s="188"/>
      <c r="U282" s="188"/>
      <c r="V282" s="5"/>
    </row>
    <row r="283" spans="1:22" ht="15.6" x14ac:dyDescent="0.3">
      <c r="A283" s="221"/>
      <c r="B283" s="230" t="s">
        <v>268</v>
      </c>
      <c r="C283" s="230"/>
      <c r="D283" s="230"/>
      <c r="E283" s="230"/>
      <c r="F283" s="278" t="s">
        <v>269</v>
      </c>
      <c r="G283" s="230"/>
      <c r="H283" s="230" t="s">
        <v>270</v>
      </c>
      <c r="I283" s="277"/>
      <c r="J283" s="277"/>
      <c r="K283" s="277"/>
      <c r="L283" s="188"/>
      <c r="M283" s="188"/>
      <c r="N283" s="188"/>
      <c r="O283" s="188"/>
      <c r="P283" s="188"/>
      <c r="Q283" s="188"/>
      <c r="R283" s="188"/>
      <c r="S283" s="188"/>
      <c r="T283" s="188"/>
      <c r="U283" s="188"/>
      <c r="V283" s="5"/>
    </row>
    <row r="284" spans="1:22" ht="15.6" x14ac:dyDescent="0.3">
      <c r="A284" s="221"/>
      <c r="B284" s="230" t="s">
        <v>96</v>
      </c>
      <c r="C284" s="230"/>
      <c r="D284" s="230"/>
      <c r="E284" s="230"/>
      <c r="F284" s="278" t="s">
        <v>153</v>
      </c>
      <c r="G284" s="230"/>
      <c r="H284" s="230" t="s">
        <v>159</v>
      </c>
      <c r="I284" s="277"/>
      <c r="J284" s="277"/>
      <c r="K284" s="277"/>
      <c r="L284" s="188"/>
      <c r="M284" s="188"/>
      <c r="N284" s="188"/>
      <c r="O284" s="188"/>
      <c r="P284" s="188"/>
      <c r="Q284" s="188"/>
      <c r="R284" s="188"/>
      <c r="S284" s="188"/>
      <c r="T284" s="188"/>
      <c r="U284" s="188"/>
      <c r="V284" s="5"/>
    </row>
    <row r="285" spans="1:22" ht="15.6" x14ac:dyDescent="0.3">
      <c r="A285" s="221"/>
      <c r="B285" s="230"/>
      <c r="C285" s="230"/>
      <c r="D285" s="230"/>
      <c r="E285" s="230"/>
      <c r="F285" s="230"/>
      <c r="G285" s="279"/>
      <c r="H285" s="277"/>
      <c r="I285" s="277"/>
      <c r="J285" s="277"/>
      <c r="K285" s="277"/>
      <c r="L285" s="188"/>
      <c r="M285" s="188"/>
      <c r="N285" s="188"/>
      <c r="O285" s="188"/>
      <c r="P285" s="188"/>
      <c r="Q285" s="188"/>
      <c r="R285" s="188"/>
      <c r="S285" s="188"/>
      <c r="T285" s="188"/>
      <c r="U285" s="188"/>
      <c r="V285" s="5"/>
    </row>
    <row r="286" spans="1:22" ht="15.6" x14ac:dyDescent="0.3">
      <c r="A286" s="221"/>
      <c r="B286" s="230"/>
      <c r="C286" s="230"/>
      <c r="D286" s="230"/>
      <c r="E286" s="230"/>
      <c r="F286" s="230"/>
      <c r="G286" s="279"/>
      <c r="H286" s="277"/>
      <c r="I286" s="277"/>
      <c r="J286" s="277"/>
      <c r="K286" s="277"/>
      <c r="L286" s="188"/>
      <c r="M286" s="188"/>
      <c r="N286" s="188"/>
      <c r="O286" s="188"/>
      <c r="P286" s="188"/>
      <c r="Q286" s="188"/>
      <c r="R286" s="188"/>
      <c r="S286" s="188"/>
      <c r="T286" s="188"/>
      <c r="U286" s="188"/>
      <c r="V286" s="5"/>
    </row>
    <row r="287" spans="1:22" ht="18" thickBot="1" x14ac:dyDescent="0.35">
      <c r="A287" s="221"/>
      <c r="B287" s="280" t="str">
        <f>B192</f>
        <v>PM11 INVESTOR REPORT QUARTER ENDING SEPTEMBER 2010</v>
      </c>
      <c r="C287" s="230"/>
      <c r="D287" s="230"/>
      <c r="E287" s="230"/>
      <c r="F287" s="230"/>
      <c r="G287" s="279"/>
      <c r="H287" s="277"/>
      <c r="I287" s="277"/>
      <c r="J287" s="277"/>
      <c r="K287" s="277"/>
      <c r="L287" s="188"/>
      <c r="M287" s="188"/>
      <c r="N287" s="188"/>
      <c r="O287" s="188"/>
      <c r="P287" s="188"/>
      <c r="Q287" s="188"/>
      <c r="R287" s="188"/>
      <c r="S287" s="188"/>
      <c r="T287" s="188"/>
      <c r="U287" s="188"/>
      <c r="V287" s="5"/>
    </row>
    <row r="288" spans="1:22" x14ac:dyDescent="0.25">
      <c r="A288" s="100"/>
      <c r="B288" s="100"/>
      <c r="C288" s="100"/>
      <c r="D288" s="100"/>
      <c r="E288" s="100"/>
      <c r="F288" s="100"/>
      <c r="G288" s="100"/>
      <c r="H288" s="100"/>
      <c r="I288" s="100"/>
      <c r="J288" s="100"/>
      <c r="K288" s="100"/>
      <c r="L288" s="100"/>
      <c r="M288" s="100"/>
      <c r="N288" s="100"/>
      <c r="O288" s="100"/>
      <c r="P288" s="100"/>
      <c r="Q288" s="100"/>
      <c r="R288" s="100"/>
      <c r="S288" s="100"/>
      <c r="T288" s="100"/>
      <c r="U288" s="100"/>
    </row>
  </sheetData>
  <phoneticPr fontId="0" type="noConversion"/>
  <hyperlinks>
    <hyperlink ref="N228" r:id="rId1" xr:uid="{00000000-0004-0000-1100-000000000000}"/>
    <hyperlink ref="J9" r:id="rId2" xr:uid="{00000000-0004-0000-11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4" max="21" man="1"/>
    <brk id="132" max="14" man="1"/>
    <brk id="192" max="14" man="1"/>
  </rowBreaks>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89CB31"/>
  </sheetPr>
  <dimension ref="A1:X288"/>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08984375" style="1" customWidth="1"/>
    <col min="10" max="10" width="17.81640625" style="1" customWidth="1"/>
    <col min="11" max="11" width="2.1796875" style="1" customWidth="1"/>
    <col min="12" max="12" width="14.81640625" style="1" customWidth="1"/>
    <col min="13" max="13" width="2.1796875" style="1" customWidth="1"/>
    <col min="14" max="14" width="15.54296875" style="1" customWidth="1"/>
    <col min="15" max="15" width="2.08984375" style="1" customWidth="1"/>
    <col min="16" max="16" width="15.54296875" style="1" customWidth="1"/>
    <col min="17" max="18" width="12.81640625" style="1" customWidth="1"/>
    <col min="19" max="19" width="7.81640625" style="1" customWidth="1"/>
    <col min="20" max="20" width="14.81640625" style="1" customWidth="1"/>
    <col min="21" max="21" width="11.81640625" style="1" customWidth="1"/>
    <col min="22" max="16384" width="9.81640625" style="1"/>
  </cols>
  <sheetData>
    <row r="1" spans="1:22" ht="20.399999999999999" x14ac:dyDescent="0.35">
      <c r="A1" s="173"/>
      <c r="B1" s="228" t="s">
        <v>228</v>
      </c>
      <c r="C1" s="174"/>
      <c r="D1" s="174"/>
      <c r="E1" s="174"/>
      <c r="F1" s="174"/>
      <c r="G1" s="174"/>
      <c r="H1" s="174"/>
      <c r="I1" s="174"/>
      <c r="J1" s="174"/>
      <c r="K1" s="174"/>
      <c r="L1" s="174"/>
      <c r="M1" s="174"/>
      <c r="N1" s="174"/>
      <c r="O1" s="174"/>
      <c r="P1" s="174"/>
      <c r="Q1" s="174"/>
      <c r="R1" s="174"/>
      <c r="S1" s="174"/>
      <c r="T1" s="174"/>
      <c r="U1" s="174"/>
      <c r="V1" s="5"/>
    </row>
    <row r="2" spans="1:22" ht="15.6" x14ac:dyDescent="0.3">
      <c r="A2" s="175"/>
      <c r="B2" s="176"/>
      <c r="C2" s="177"/>
      <c r="D2" s="177"/>
      <c r="E2" s="177"/>
      <c r="F2" s="177"/>
      <c r="G2" s="177"/>
      <c r="H2" s="177"/>
      <c r="I2" s="177"/>
      <c r="J2" s="177"/>
      <c r="K2" s="177"/>
      <c r="L2" s="177"/>
      <c r="M2" s="177"/>
      <c r="N2" s="177"/>
      <c r="O2" s="177"/>
      <c r="P2" s="177"/>
      <c r="Q2" s="177"/>
      <c r="R2" s="177"/>
      <c r="S2" s="177"/>
      <c r="T2" s="177"/>
      <c r="U2" s="177"/>
      <c r="V2" s="5"/>
    </row>
    <row r="3" spans="1:22" ht="15.6" x14ac:dyDescent="0.3">
      <c r="A3" s="178"/>
      <c r="B3" s="179" t="s">
        <v>229</v>
      </c>
      <c r="C3" s="177"/>
      <c r="D3" s="177"/>
      <c r="E3" s="177"/>
      <c r="F3" s="177"/>
      <c r="G3" s="177"/>
      <c r="H3" s="177"/>
      <c r="I3" s="177"/>
      <c r="J3" s="177"/>
      <c r="K3" s="177"/>
      <c r="L3" s="177"/>
      <c r="M3" s="177"/>
      <c r="N3" s="177"/>
      <c r="O3" s="177"/>
      <c r="P3" s="177"/>
      <c r="Q3" s="177"/>
      <c r="R3" s="177"/>
      <c r="S3" s="177"/>
      <c r="T3" s="177"/>
      <c r="U3" s="177"/>
      <c r="V3" s="5"/>
    </row>
    <row r="4" spans="1:22" ht="15.6" x14ac:dyDescent="0.3">
      <c r="A4" s="175"/>
      <c r="B4" s="176"/>
      <c r="C4" s="177"/>
      <c r="D4" s="177"/>
      <c r="E4" s="177"/>
      <c r="F4" s="177"/>
      <c r="G4" s="177"/>
      <c r="H4" s="177"/>
      <c r="I4" s="177"/>
      <c r="J4" s="177"/>
      <c r="K4" s="177"/>
      <c r="L4" s="177"/>
      <c r="M4" s="177"/>
      <c r="N4" s="177"/>
      <c r="O4" s="177"/>
      <c r="P4" s="177"/>
      <c r="Q4" s="177"/>
      <c r="R4" s="177"/>
      <c r="S4" s="177"/>
      <c r="T4" s="177"/>
      <c r="U4" s="177"/>
      <c r="V4" s="5"/>
    </row>
    <row r="5" spans="1:22" ht="15.6" x14ac:dyDescent="0.3">
      <c r="A5" s="175"/>
      <c r="B5" s="229" t="s">
        <v>143</v>
      </c>
      <c r="C5" s="177"/>
      <c r="D5" s="177"/>
      <c r="E5" s="177"/>
      <c r="F5" s="177"/>
      <c r="G5" s="177"/>
      <c r="H5" s="177"/>
      <c r="I5" s="177"/>
      <c r="J5" s="177"/>
      <c r="K5" s="177"/>
      <c r="L5" s="177"/>
      <c r="M5" s="177"/>
      <c r="N5" s="177"/>
      <c r="O5" s="177"/>
      <c r="P5" s="177"/>
      <c r="Q5" s="177"/>
      <c r="R5" s="177"/>
      <c r="S5" s="177"/>
      <c r="T5" s="177"/>
      <c r="U5" s="177"/>
      <c r="V5" s="5"/>
    </row>
    <row r="6" spans="1:22" ht="15.6" x14ac:dyDescent="0.3">
      <c r="A6" s="175"/>
      <c r="B6" s="229" t="s">
        <v>145</v>
      </c>
      <c r="C6" s="177"/>
      <c r="D6" s="177"/>
      <c r="E6" s="177"/>
      <c r="F6" s="177"/>
      <c r="G6" s="177"/>
      <c r="H6" s="177"/>
      <c r="I6" s="177"/>
      <c r="J6" s="177"/>
      <c r="K6" s="177"/>
      <c r="L6" s="177"/>
      <c r="M6" s="177"/>
      <c r="N6" s="177"/>
      <c r="O6" s="177"/>
      <c r="P6" s="177"/>
      <c r="Q6" s="177"/>
      <c r="R6" s="177"/>
      <c r="S6" s="177"/>
      <c r="T6" s="177"/>
      <c r="U6" s="177"/>
      <c r="V6" s="5"/>
    </row>
    <row r="7" spans="1:22" ht="15.6" x14ac:dyDescent="0.3">
      <c r="A7" s="175"/>
      <c r="B7" s="229" t="s">
        <v>144</v>
      </c>
      <c r="C7" s="177"/>
      <c r="D7" s="177"/>
      <c r="E7" s="177"/>
      <c r="F7" s="177"/>
      <c r="G7" s="177"/>
      <c r="H7" s="177"/>
      <c r="I7" s="177"/>
      <c r="J7" s="177"/>
      <c r="K7" s="177"/>
      <c r="L7" s="177"/>
      <c r="M7" s="177"/>
      <c r="N7" s="177"/>
      <c r="O7" s="177"/>
      <c r="P7" s="177"/>
      <c r="Q7" s="177"/>
      <c r="R7" s="177"/>
      <c r="S7" s="177"/>
      <c r="T7" s="177"/>
      <c r="U7" s="177"/>
      <c r="V7" s="5"/>
    </row>
    <row r="8" spans="1:22" ht="15.6" x14ac:dyDescent="0.3">
      <c r="A8" s="175"/>
      <c r="B8" s="180"/>
      <c r="C8" s="177"/>
      <c r="D8" s="177"/>
      <c r="E8" s="177"/>
      <c r="F8" s="177"/>
      <c r="G8" s="177"/>
      <c r="H8" s="177"/>
      <c r="I8" s="177"/>
      <c r="J8" s="177"/>
      <c r="K8" s="177"/>
      <c r="L8" s="177"/>
      <c r="M8" s="177"/>
      <c r="N8" s="177"/>
      <c r="O8" s="177"/>
      <c r="P8" s="177"/>
      <c r="Q8" s="177"/>
      <c r="R8" s="177"/>
      <c r="S8" s="177"/>
      <c r="T8" s="177"/>
      <c r="U8" s="177"/>
      <c r="V8" s="5"/>
    </row>
    <row r="9" spans="1:22" ht="17.399999999999999" x14ac:dyDescent="0.3">
      <c r="A9" s="175"/>
      <c r="B9" s="181" t="s">
        <v>173</v>
      </c>
      <c r="C9" s="177"/>
      <c r="D9" s="177"/>
      <c r="E9" s="177"/>
      <c r="F9" s="177"/>
      <c r="G9" s="177"/>
      <c r="H9" s="177"/>
      <c r="I9" s="177"/>
      <c r="J9" s="182" t="s">
        <v>174</v>
      </c>
      <c r="K9" s="177"/>
      <c r="L9" s="182"/>
      <c r="M9" s="177"/>
      <c r="N9" s="177"/>
      <c r="O9" s="177"/>
      <c r="P9" s="177"/>
      <c r="Q9" s="177"/>
      <c r="R9" s="177"/>
      <c r="S9" s="177"/>
      <c r="T9" s="177"/>
      <c r="U9" s="177"/>
      <c r="V9" s="5"/>
    </row>
    <row r="10" spans="1:22" ht="15.6" x14ac:dyDescent="0.3">
      <c r="A10" s="175"/>
      <c r="B10" s="180"/>
      <c r="C10" s="183"/>
      <c r="D10" s="183"/>
      <c r="E10" s="183"/>
      <c r="F10" s="177"/>
      <c r="G10" s="177"/>
      <c r="H10" s="177"/>
      <c r="I10" s="177"/>
      <c r="J10" s="177"/>
      <c r="K10" s="177"/>
      <c r="L10" s="177"/>
      <c r="M10" s="177"/>
      <c r="N10" s="177"/>
      <c r="O10" s="177"/>
      <c r="P10" s="177"/>
      <c r="Q10" s="177"/>
      <c r="R10" s="177"/>
      <c r="S10" s="177"/>
      <c r="T10" s="177"/>
      <c r="U10" s="177"/>
      <c r="V10" s="5"/>
    </row>
    <row r="11" spans="1:22" ht="15.6" x14ac:dyDescent="0.3">
      <c r="A11" s="175"/>
      <c r="B11" s="230" t="s">
        <v>0</v>
      </c>
      <c r="C11" s="177"/>
      <c r="D11" s="177"/>
      <c r="E11" s="177"/>
      <c r="F11" s="177"/>
      <c r="G11" s="177"/>
      <c r="H11" s="177"/>
      <c r="I11" s="177"/>
      <c r="J11" s="177"/>
      <c r="K11" s="177"/>
      <c r="L11" s="177"/>
      <c r="M11" s="177"/>
      <c r="N11" s="177"/>
      <c r="O11" s="177"/>
      <c r="P11" s="177"/>
      <c r="Q11" s="177"/>
      <c r="R11" s="177"/>
      <c r="S11" s="177"/>
      <c r="T11" s="177"/>
      <c r="U11" s="177"/>
      <c r="V11" s="5"/>
    </row>
    <row r="12" spans="1:22" ht="16.2" thickBot="1" x14ac:dyDescent="0.35">
      <c r="A12" s="175"/>
      <c r="B12" s="183"/>
      <c r="C12" s="177"/>
      <c r="D12" s="177"/>
      <c r="E12" s="177"/>
      <c r="F12" s="177"/>
      <c r="G12" s="177"/>
      <c r="H12" s="177"/>
      <c r="I12" s="177"/>
      <c r="J12" s="177"/>
      <c r="K12" s="177"/>
      <c r="L12" s="177"/>
      <c r="M12" s="177"/>
      <c r="N12" s="177"/>
      <c r="O12" s="177"/>
      <c r="P12" s="177"/>
      <c r="Q12" s="177"/>
      <c r="R12" s="177"/>
      <c r="S12" s="177"/>
      <c r="T12" s="177"/>
      <c r="U12" s="177"/>
      <c r="V12" s="5"/>
    </row>
    <row r="13" spans="1:22" ht="15.6" x14ac:dyDescent="0.3">
      <c r="A13" s="173"/>
      <c r="B13" s="174"/>
      <c r="C13" s="174"/>
      <c r="D13" s="174"/>
      <c r="E13" s="174"/>
      <c r="F13" s="174"/>
      <c r="G13" s="174"/>
      <c r="H13" s="174"/>
      <c r="I13" s="174"/>
      <c r="J13" s="174"/>
      <c r="K13" s="174"/>
      <c r="L13" s="174"/>
      <c r="M13" s="174"/>
      <c r="N13" s="174"/>
      <c r="O13" s="174"/>
      <c r="P13" s="174"/>
      <c r="Q13" s="174"/>
      <c r="R13" s="174"/>
      <c r="S13" s="174"/>
      <c r="T13" s="174"/>
      <c r="U13" s="174"/>
      <c r="V13" s="5"/>
    </row>
    <row r="14" spans="1:22" ht="15.6" x14ac:dyDescent="0.3">
      <c r="A14" s="175"/>
      <c r="B14" s="230" t="s">
        <v>1</v>
      </c>
      <c r="C14" s="184"/>
      <c r="D14" s="184"/>
      <c r="E14" s="184"/>
      <c r="F14" s="184"/>
      <c r="G14" s="184"/>
      <c r="H14" s="184"/>
      <c r="I14" s="184"/>
      <c r="J14" s="184"/>
      <c r="K14" s="184"/>
      <c r="L14" s="184"/>
      <c r="M14" s="184"/>
      <c r="N14" s="184"/>
      <c r="O14" s="184"/>
      <c r="P14" s="231"/>
      <c r="Q14" s="231"/>
      <c r="R14" s="231"/>
      <c r="S14" s="231"/>
      <c r="T14" s="233" t="s">
        <v>230</v>
      </c>
      <c r="U14" s="184"/>
      <c r="V14" s="5"/>
    </row>
    <row r="15" spans="1:22" ht="15.6" x14ac:dyDescent="0.3">
      <c r="A15" s="175"/>
      <c r="B15" s="230" t="s">
        <v>2</v>
      </c>
      <c r="C15" s="184"/>
      <c r="D15" s="184"/>
      <c r="E15" s="184"/>
      <c r="F15" s="184"/>
      <c r="G15" s="184"/>
      <c r="H15" s="185"/>
      <c r="I15" s="185"/>
      <c r="J15" s="185"/>
      <c r="K15" s="185"/>
      <c r="L15" s="185"/>
      <c r="M15" s="185"/>
      <c r="N15" s="185"/>
      <c r="O15" s="185"/>
      <c r="P15" s="234" t="s">
        <v>107</v>
      </c>
      <c r="Q15" s="235">
        <v>0.40749999999999997</v>
      </c>
      <c r="R15" s="236" t="s">
        <v>146</v>
      </c>
      <c r="S15" s="235">
        <v>0.59250000000000003</v>
      </c>
      <c r="T15" s="233"/>
      <c r="U15" s="184"/>
      <c r="V15" s="5"/>
    </row>
    <row r="16" spans="1:22" ht="15.6" x14ac:dyDescent="0.3">
      <c r="A16" s="175"/>
      <c r="B16" s="230" t="s">
        <v>3</v>
      </c>
      <c r="C16" s="184"/>
      <c r="D16" s="184"/>
      <c r="E16" s="184"/>
      <c r="F16" s="184"/>
      <c r="G16" s="184"/>
      <c r="H16" s="185"/>
      <c r="I16" s="185"/>
      <c r="J16" s="185"/>
      <c r="K16" s="185"/>
      <c r="L16" s="185"/>
      <c r="M16" s="185"/>
      <c r="N16" s="185"/>
      <c r="O16" s="185"/>
      <c r="P16" s="234" t="s">
        <v>107</v>
      </c>
      <c r="Q16" s="235">
        <v>0.45</v>
      </c>
      <c r="R16" s="236" t="s">
        <v>146</v>
      </c>
      <c r="S16" s="235">
        <v>0.55000000000000004</v>
      </c>
      <c r="T16" s="233"/>
      <c r="U16" s="184"/>
      <c r="V16" s="5"/>
    </row>
    <row r="17" spans="1:22" ht="15.6" x14ac:dyDescent="0.3">
      <c r="A17" s="175"/>
      <c r="B17" s="230" t="s">
        <v>4</v>
      </c>
      <c r="C17" s="184"/>
      <c r="D17" s="184"/>
      <c r="E17" s="184"/>
      <c r="F17" s="184"/>
      <c r="G17" s="184"/>
      <c r="H17" s="184"/>
      <c r="I17" s="184"/>
      <c r="J17" s="184"/>
      <c r="K17" s="184"/>
      <c r="L17" s="184"/>
      <c r="M17" s="184"/>
      <c r="N17" s="184"/>
      <c r="O17" s="184"/>
      <c r="P17" s="231"/>
      <c r="Q17" s="231"/>
      <c r="R17" s="231"/>
      <c r="S17" s="231"/>
      <c r="T17" s="237">
        <v>38799</v>
      </c>
      <c r="U17" s="184"/>
      <c r="V17" s="5"/>
    </row>
    <row r="18" spans="1:22" ht="15.6" x14ac:dyDescent="0.3">
      <c r="A18" s="175"/>
      <c r="B18" s="230" t="s">
        <v>5</v>
      </c>
      <c r="C18" s="184"/>
      <c r="D18" s="184"/>
      <c r="E18" s="184"/>
      <c r="F18" s="184"/>
      <c r="G18" s="184"/>
      <c r="H18" s="184"/>
      <c r="I18" s="184"/>
      <c r="J18" s="184"/>
      <c r="K18" s="184"/>
      <c r="L18" s="184"/>
      <c r="M18" s="184"/>
      <c r="N18" s="184"/>
      <c r="O18" s="184"/>
      <c r="P18" s="231"/>
      <c r="Q18" s="231"/>
      <c r="R18" s="231"/>
      <c r="S18" s="231"/>
      <c r="T18" s="237">
        <v>40564</v>
      </c>
      <c r="U18" s="184"/>
      <c r="V18" s="5"/>
    </row>
    <row r="19" spans="1:22" ht="15.6" x14ac:dyDescent="0.3">
      <c r="A19" s="175"/>
      <c r="B19" s="177"/>
      <c r="C19" s="177"/>
      <c r="D19" s="177"/>
      <c r="E19" s="177"/>
      <c r="F19" s="177"/>
      <c r="G19" s="177"/>
      <c r="H19" s="177"/>
      <c r="I19" s="177"/>
      <c r="J19" s="177"/>
      <c r="K19" s="177"/>
      <c r="L19" s="177"/>
      <c r="M19" s="177"/>
      <c r="N19" s="177"/>
      <c r="O19" s="177"/>
      <c r="P19" s="177"/>
      <c r="Q19" s="177"/>
      <c r="R19" s="177"/>
      <c r="S19" s="177"/>
      <c r="T19" s="186"/>
      <c r="U19" s="177"/>
      <c r="V19" s="5"/>
    </row>
    <row r="20" spans="1:22" ht="15.6" x14ac:dyDescent="0.3">
      <c r="A20" s="175"/>
      <c r="B20" s="232" t="s">
        <v>6</v>
      </c>
      <c r="C20" s="177"/>
      <c r="D20" s="177"/>
      <c r="E20" s="177"/>
      <c r="F20" s="177"/>
      <c r="G20" s="177"/>
      <c r="H20" s="177"/>
      <c r="I20" s="177"/>
      <c r="J20" s="177"/>
      <c r="K20" s="177"/>
      <c r="L20" s="177"/>
      <c r="M20" s="177"/>
      <c r="N20" s="177"/>
      <c r="O20" s="177"/>
      <c r="P20" s="177"/>
      <c r="Q20" s="177"/>
      <c r="R20" s="238" t="s">
        <v>108</v>
      </c>
      <c r="S20" s="177"/>
      <c r="T20" s="188"/>
      <c r="U20" s="177"/>
      <c r="V20" s="5"/>
    </row>
    <row r="21" spans="1:22" ht="15.6" x14ac:dyDescent="0.3">
      <c r="A21" s="175"/>
      <c r="B21" s="177"/>
      <c r="C21" s="177"/>
      <c r="D21" s="177"/>
      <c r="E21" s="177"/>
      <c r="F21" s="177"/>
      <c r="G21" s="177"/>
      <c r="H21" s="177"/>
      <c r="I21" s="177"/>
      <c r="J21" s="177"/>
      <c r="K21" s="177"/>
      <c r="L21" s="177"/>
      <c r="M21" s="177"/>
      <c r="N21" s="177"/>
      <c r="O21" s="177"/>
      <c r="P21" s="177"/>
      <c r="Q21" s="177"/>
      <c r="R21" s="177"/>
      <c r="S21" s="177"/>
      <c r="T21" s="189"/>
      <c r="U21" s="177"/>
      <c r="V21" s="5"/>
    </row>
    <row r="22" spans="1:22" ht="15.6" x14ac:dyDescent="0.3">
      <c r="A22" s="222"/>
      <c r="B22" s="223"/>
      <c r="C22" s="224"/>
      <c r="D22" s="224" t="s">
        <v>184</v>
      </c>
      <c r="E22" s="224"/>
      <c r="F22" s="224" t="s">
        <v>185</v>
      </c>
      <c r="G22" s="224"/>
      <c r="H22" s="224" t="s">
        <v>186</v>
      </c>
      <c r="I22" s="224"/>
      <c r="J22" s="224" t="s">
        <v>187</v>
      </c>
      <c r="K22" s="224"/>
      <c r="L22" s="224" t="s">
        <v>188</v>
      </c>
      <c r="M22" s="224"/>
      <c r="N22" s="224" t="s">
        <v>189</v>
      </c>
      <c r="O22" s="224"/>
      <c r="P22" s="224"/>
      <c r="Q22" s="225"/>
      <c r="R22" s="226"/>
      <c r="S22" s="227"/>
      <c r="T22" s="227"/>
      <c r="U22" s="223"/>
      <c r="V22" s="5"/>
    </row>
    <row r="23" spans="1:22" ht="15.6" x14ac:dyDescent="0.3">
      <c r="A23" s="190"/>
      <c r="B23" s="239" t="s">
        <v>7</v>
      </c>
      <c r="C23" s="240"/>
      <c r="D23" s="240" t="s">
        <v>222</v>
      </c>
      <c r="E23" s="240"/>
      <c r="F23" s="240" t="s">
        <v>147</v>
      </c>
      <c r="G23" s="240"/>
      <c r="H23" s="240" t="s">
        <v>147</v>
      </c>
      <c r="I23" s="240"/>
      <c r="J23" s="240" t="s">
        <v>190</v>
      </c>
      <c r="K23" s="240"/>
      <c r="L23" s="240" t="s">
        <v>190</v>
      </c>
      <c r="M23" s="240"/>
      <c r="N23" s="240" t="s">
        <v>148</v>
      </c>
      <c r="O23" s="240"/>
      <c r="P23" s="240"/>
      <c r="Q23" s="240"/>
      <c r="R23" s="240"/>
      <c r="S23" s="241"/>
      <c r="T23" s="241"/>
      <c r="U23" s="239"/>
      <c r="V23" s="5"/>
    </row>
    <row r="24" spans="1:22" ht="15.6" x14ac:dyDescent="0.3">
      <c r="A24" s="284"/>
      <c r="B24" s="285" t="s">
        <v>8</v>
      </c>
      <c r="C24" s="286"/>
      <c r="D24" s="286" t="s">
        <v>223</v>
      </c>
      <c r="E24" s="286"/>
      <c r="F24" s="286" t="s">
        <v>149</v>
      </c>
      <c r="G24" s="286"/>
      <c r="H24" s="286" t="s">
        <v>149</v>
      </c>
      <c r="I24" s="286"/>
      <c r="J24" s="286" t="s">
        <v>172</v>
      </c>
      <c r="K24" s="286"/>
      <c r="L24" s="286" t="s">
        <v>172</v>
      </c>
      <c r="M24" s="286"/>
      <c r="N24" s="286" t="s">
        <v>150</v>
      </c>
      <c r="O24" s="286"/>
      <c r="P24" s="286"/>
      <c r="Q24" s="286"/>
      <c r="R24" s="286"/>
      <c r="S24" s="287"/>
      <c r="T24" s="287"/>
      <c r="U24" s="288"/>
      <c r="V24" s="5"/>
    </row>
    <row r="25" spans="1:22" ht="15.6" x14ac:dyDescent="0.3">
      <c r="A25" s="289"/>
      <c r="B25" s="290" t="s">
        <v>198</v>
      </c>
      <c r="C25" s="291"/>
      <c r="D25" s="286" t="s">
        <v>224</v>
      </c>
      <c r="E25" s="286"/>
      <c r="F25" s="286" t="s">
        <v>149</v>
      </c>
      <c r="G25" s="286"/>
      <c r="H25" s="286" t="s">
        <v>149</v>
      </c>
      <c r="I25" s="286"/>
      <c r="J25" s="286" t="s">
        <v>172</v>
      </c>
      <c r="K25" s="286"/>
      <c r="L25" s="286" t="s">
        <v>172</v>
      </c>
      <c r="M25" s="286"/>
      <c r="N25" s="286" t="s">
        <v>150</v>
      </c>
      <c r="O25" s="286"/>
      <c r="P25" s="286"/>
      <c r="Q25" s="291"/>
      <c r="R25" s="286"/>
      <c r="S25" s="287"/>
      <c r="T25" s="287"/>
      <c r="U25" s="288"/>
      <c r="V25" s="5"/>
    </row>
    <row r="26" spans="1:22" ht="15.6" x14ac:dyDescent="0.3">
      <c r="A26" s="289"/>
      <c r="B26" s="292" t="s">
        <v>9</v>
      </c>
      <c r="C26" s="291"/>
      <c r="D26" s="291" t="s">
        <v>222</v>
      </c>
      <c r="E26" s="291"/>
      <c r="F26" s="291" t="s">
        <v>147</v>
      </c>
      <c r="G26" s="291"/>
      <c r="H26" s="291" t="s">
        <v>147</v>
      </c>
      <c r="I26" s="291"/>
      <c r="J26" s="291" t="s">
        <v>190</v>
      </c>
      <c r="K26" s="291"/>
      <c r="L26" s="291" t="s">
        <v>190</v>
      </c>
      <c r="M26" s="291"/>
      <c r="N26" s="291" t="s">
        <v>148</v>
      </c>
      <c r="O26" s="291"/>
      <c r="P26" s="291"/>
      <c r="Q26" s="291"/>
      <c r="R26" s="286"/>
      <c r="S26" s="287"/>
      <c r="T26" s="287"/>
      <c r="U26" s="288"/>
      <c r="V26" s="5"/>
    </row>
    <row r="27" spans="1:22" ht="15.6" x14ac:dyDescent="0.3">
      <c r="A27" s="284"/>
      <c r="B27" s="292" t="s">
        <v>199</v>
      </c>
      <c r="C27" s="286"/>
      <c r="D27" s="291" t="s">
        <v>223</v>
      </c>
      <c r="E27" s="291"/>
      <c r="F27" s="291" t="s">
        <v>149</v>
      </c>
      <c r="G27" s="291"/>
      <c r="H27" s="291" t="s">
        <v>149</v>
      </c>
      <c r="I27" s="291"/>
      <c r="J27" s="291" t="s">
        <v>172</v>
      </c>
      <c r="K27" s="291"/>
      <c r="L27" s="291" t="s">
        <v>172</v>
      </c>
      <c r="M27" s="291"/>
      <c r="N27" s="291" t="s">
        <v>150</v>
      </c>
      <c r="O27" s="291"/>
      <c r="P27" s="291"/>
      <c r="Q27" s="286"/>
      <c r="R27" s="293"/>
      <c r="S27" s="287"/>
      <c r="T27" s="287"/>
      <c r="U27" s="288"/>
      <c r="V27" s="5"/>
    </row>
    <row r="28" spans="1:22" ht="15.6" x14ac:dyDescent="0.3">
      <c r="A28" s="284"/>
      <c r="B28" s="294" t="s">
        <v>200</v>
      </c>
      <c r="C28" s="286"/>
      <c r="D28" s="291" t="s">
        <v>224</v>
      </c>
      <c r="E28" s="291"/>
      <c r="F28" s="291" t="s">
        <v>149</v>
      </c>
      <c r="G28" s="291"/>
      <c r="H28" s="291" t="s">
        <v>149</v>
      </c>
      <c r="I28" s="291"/>
      <c r="J28" s="291" t="s">
        <v>172</v>
      </c>
      <c r="K28" s="291"/>
      <c r="L28" s="291" t="s">
        <v>172</v>
      </c>
      <c r="M28" s="291"/>
      <c r="N28" s="291" t="s">
        <v>150</v>
      </c>
      <c r="O28" s="291"/>
      <c r="P28" s="291"/>
      <c r="Q28" s="286"/>
      <c r="R28" s="293"/>
      <c r="S28" s="287"/>
      <c r="T28" s="287"/>
      <c r="U28" s="288"/>
      <c r="V28" s="5"/>
    </row>
    <row r="29" spans="1:22" ht="15.6" x14ac:dyDescent="0.3">
      <c r="A29" s="284"/>
      <c r="B29" s="285" t="s">
        <v>10</v>
      </c>
      <c r="C29" s="295"/>
      <c r="D29" s="286" t="s">
        <v>237</v>
      </c>
      <c r="E29" s="286"/>
      <c r="F29" s="293" t="s">
        <v>238</v>
      </c>
      <c r="G29" s="286"/>
      <c r="H29" s="286" t="s">
        <v>239</v>
      </c>
      <c r="I29" s="286"/>
      <c r="J29" s="286" t="s">
        <v>240</v>
      </c>
      <c r="K29" s="286"/>
      <c r="L29" s="286" t="s">
        <v>241</v>
      </c>
      <c r="M29" s="286"/>
      <c r="N29" s="286" t="s">
        <v>242</v>
      </c>
      <c r="O29" s="286"/>
      <c r="P29" s="286"/>
      <c r="Q29" s="296"/>
      <c r="R29" s="296"/>
      <c r="S29" s="297"/>
      <c r="T29" s="296"/>
      <c r="U29" s="298"/>
      <c r="V29" s="5"/>
    </row>
    <row r="30" spans="1:22" ht="15.6" x14ac:dyDescent="0.3">
      <c r="A30" s="284"/>
      <c r="B30" s="285" t="s">
        <v>10</v>
      </c>
      <c r="C30" s="295"/>
      <c r="D30" s="286" t="s">
        <v>236</v>
      </c>
      <c r="E30" s="286"/>
      <c r="F30" s="293" t="s">
        <v>124</v>
      </c>
      <c r="G30" s="286"/>
      <c r="H30" s="286" t="s">
        <v>124</v>
      </c>
      <c r="I30" s="286"/>
      <c r="J30" s="286" t="s">
        <v>124</v>
      </c>
      <c r="K30" s="286"/>
      <c r="L30" s="286" t="s">
        <v>124</v>
      </c>
      <c r="M30" s="286"/>
      <c r="N30" s="286" t="s">
        <v>124</v>
      </c>
      <c r="O30" s="286"/>
      <c r="P30" s="286"/>
      <c r="Q30" s="296"/>
      <c r="R30" s="296"/>
      <c r="S30" s="297"/>
      <c r="T30" s="296"/>
      <c r="U30" s="298"/>
      <c r="V30" s="5"/>
    </row>
    <row r="31" spans="1:22" ht="15.6" x14ac:dyDescent="0.3">
      <c r="A31" s="289"/>
      <c r="B31" s="285" t="s">
        <v>139</v>
      </c>
      <c r="C31" s="299"/>
      <c r="D31" s="300">
        <v>985000</v>
      </c>
      <c r="E31" s="295"/>
      <c r="F31" s="296">
        <v>149500</v>
      </c>
      <c r="G31" s="296"/>
      <c r="H31" s="301">
        <v>219700</v>
      </c>
      <c r="I31" s="296"/>
      <c r="J31" s="296">
        <v>16000</v>
      </c>
      <c r="K31" s="296"/>
      <c r="L31" s="301">
        <v>82400</v>
      </c>
      <c r="M31" s="296"/>
      <c r="N31" s="301">
        <v>87500</v>
      </c>
      <c r="O31" s="296"/>
      <c r="P31" s="301"/>
      <c r="Q31" s="302"/>
      <c r="R31" s="302"/>
      <c r="S31" s="303"/>
      <c r="T31" s="302"/>
      <c r="U31" s="298"/>
      <c r="V31" s="5"/>
    </row>
    <row r="32" spans="1:22" ht="15.6" x14ac:dyDescent="0.3">
      <c r="A32" s="284"/>
      <c r="B32" s="285" t="s">
        <v>138</v>
      </c>
      <c r="C32" s="295"/>
      <c r="D32" s="300">
        <f>D38*D31</f>
        <v>518921.44299999997</v>
      </c>
      <c r="E32" s="295"/>
      <c r="F32" s="296">
        <f>F38*F31</f>
        <v>78760.247799999997</v>
      </c>
      <c r="G32" s="296"/>
      <c r="H32" s="301">
        <f>H38*H31</f>
        <v>115743.32067999999</v>
      </c>
      <c r="I32" s="296"/>
      <c r="J32" s="296">
        <f>+J31</f>
        <v>16000</v>
      </c>
      <c r="K32" s="296"/>
      <c r="L32" s="301">
        <f>+L31</f>
        <v>82400</v>
      </c>
      <c r="M32" s="296"/>
      <c r="N32" s="301">
        <f>+N31</f>
        <v>87500</v>
      </c>
      <c r="O32" s="296"/>
      <c r="P32" s="301"/>
      <c r="Q32" s="296"/>
      <c r="R32" s="296"/>
      <c r="S32" s="297"/>
      <c r="T32" s="296"/>
      <c r="U32" s="298"/>
      <c r="V32" s="5"/>
    </row>
    <row r="33" spans="1:22" ht="15.6" x14ac:dyDescent="0.3">
      <c r="A33" s="284"/>
      <c r="B33" s="292" t="s">
        <v>140</v>
      </c>
      <c r="C33" s="295"/>
      <c r="D33" s="304">
        <f>D37*D31</f>
        <v>513970.34049999999</v>
      </c>
      <c r="E33" s="299"/>
      <c r="F33" s="302">
        <f>F37*F31</f>
        <v>78008.800999999992</v>
      </c>
      <c r="G33" s="302"/>
      <c r="H33" s="305">
        <f>H31*H37</f>
        <v>114639.0206</v>
      </c>
      <c r="I33" s="302"/>
      <c r="J33" s="302">
        <f>J31*J37</f>
        <v>16000</v>
      </c>
      <c r="K33" s="302"/>
      <c r="L33" s="305">
        <f>L31*L37</f>
        <v>82400</v>
      </c>
      <c r="M33" s="302"/>
      <c r="N33" s="305">
        <f>N31*N37</f>
        <v>87500</v>
      </c>
      <c r="O33" s="302"/>
      <c r="P33" s="305"/>
      <c r="Q33" s="296"/>
      <c r="R33" s="296"/>
      <c r="S33" s="297"/>
      <c r="T33" s="296"/>
      <c r="U33" s="298"/>
      <c r="V33" s="5"/>
    </row>
    <row r="34" spans="1:22" ht="15.6" x14ac:dyDescent="0.3">
      <c r="A34" s="289"/>
      <c r="B34" s="285" t="s">
        <v>283</v>
      </c>
      <c r="C34" s="299"/>
      <c r="D34" s="296">
        <v>567282</v>
      </c>
      <c r="E34" s="295"/>
      <c r="F34" s="296">
        <v>149500</v>
      </c>
      <c r="G34" s="296"/>
      <c r="H34" s="296">
        <v>150716</v>
      </c>
      <c r="I34" s="296"/>
      <c r="J34" s="296">
        <v>16000</v>
      </c>
      <c r="K34" s="296"/>
      <c r="L34" s="296">
        <v>56527</v>
      </c>
      <c r="M34" s="296"/>
      <c r="N34" s="296">
        <v>60025</v>
      </c>
      <c r="O34" s="296"/>
      <c r="P34" s="296"/>
      <c r="Q34" s="302"/>
      <c r="R34" s="302"/>
      <c r="S34" s="303"/>
      <c r="T34" s="306">
        <f>SUM(C34:P34)</f>
        <v>1000050</v>
      </c>
      <c r="U34" s="298"/>
      <c r="V34" s="5"/>
    </row>
    <row r="35" spans="1:22" ht="15.6" x14ac:dyDescent="0.3">
      <c r="A35" s="289"/>
      <c r="B35" s="285" t="s">
        <v>284</v>
      </c>
      <c r="C35" s="307"/>
      <c r="D35" s="296">
        <f>D38*D34</f>
        <v>298857.65891159995</v>
      </c>
      <c r="E35" s="295"/>
      <c r="F35" s="296">
        <f>F38*F34</f>
        <v>78760.247799999997</v>
      </c>
      <c r="G35" s="296"/>
      <c r="H35" s="296">
        <f>H38*H34</f>
        <v>79400.866270400002</v>
      </c>
      <c r="I35" s="296"/>
      <c r="J35" s="296">
        <f>+J34</f>
        <v>16000</v>
      </c>
      <c r="K35" s="296"/>
      <c r="L35" s="296">
        <f>+L34</f>
        <v>56527</v>
      </c>
      <c r="M35" s="296"/>
      <c r="N35" s="296">
        <f>+N34</f>
        <v>60025</v>
      </c>
      <c r="O35" s="296"/>
      <c r="P35" s="296"/>
      <c r="Q35" s="296"/>
      <c r="R35" s="296"/>
      <c r="S35" s="297"/>
      <c r="T35" s="306">
        <f>SUM(C35:P35)+1</f>
        <v>589571.77298199991</v>
      </c>
      <c r="U35" s="298"/>
      <c r="V35" s="5"/>
    </row>
    <row r="36" spans="1:22" ht="15.6" x14ac:dyDescent="0.3">
      <c r="A36" s="289"/>
      <c r="B36" s="292" t="s">
        <v>285</v>
      </c>
      <c r="C36" s="307"/>
      <c r="D36" s="302">
        <f>D37*D34</f>
        <v>296006.21593860001</v>
      </c>
      <c r="E36" s="299"/>
      <c r="F36" s="302">
        <f>F37*F34</f>
        <v>78008.800999999992</v>
      </c>
      <c r="G36" s="302"/>
      <c r="H36" s="302">
        <f>H37*H34</f>
        <v>78643.307367999994</v>
      </c>
      <c r="I36" s="302"/>
      <c r="J36" s="302">
        <f>+J34</f>
        <v>16000</v>
      </c>
      <c r="K36" s="302"/>
      <c r="L36" s="302">
        <f>+L34</f>
        <v>56527</v>
      </c>
      <c r="M36" s="302"/>
      <c r="N36" s="302">
        <f>+N34</f>
        <v>60025</v>
      </c>
      <c r="O36" s="302"/>
      <c r="P36" s="302"/>
      <c r="Q36" s="308"/>
      <c r="R36" s="308"/>
      <c r="S36" s="297"/>
      <c r="T36" s="309">
        <f>SUM(C36:P36)+1</f>
        <v>585211.32430660003</v>
      </c>
      <c r="U36" s="298"/>
      <c r="V36" s="5"/>
    </row>
    <row r="37" spans="1:22" ht="15.6" x14ac:dyDescent="0.3">
      <c r="A37" s="284"/>
      <c r="B37" s="310" t="s">
        <v>136</v>
      </c>
      <c r="C37" s="311"/>
      <c r="D37" s="312">
        <v>0.52179730000000002</v>
      </c>
      <c r="E37" s="313"/>
      <c r="F37" s="312">
        <v>0.52179799999999998</v>
      </c>
      <c r="G37" s="314"/>
      <c r="H37" s="312">
        <v>0.52179799999999998</v>
      </c>
      <c r="I37" s="314"/>
      <c r="J37" s="312">
        <v>1</v>
      </c>
      <c r="K37" s="314"/>
      <c r="L37" s="312">
        <v>1</v>
      </c>
      <c r="M37" s="314"/>
      <c r="N37" s="312">
        <v>1</v>
      </c>
      <c r="O37" s="314"/>
      <c r="P37" s="314"/>
      <c r="Q37" s="315"/>
      <c r="R37" s="315"/>
      <c r="S37" s="316"/>
      <c r="T37" s="316"/>
      <c r="U37" s="317"/>
      <c r="V37" s="5"/>
    </row>
    <row r="38" spans="1:22" ht="15.6" x14ac:dyDescent="0.3">
      <c r="A38" s="284"/>
      <c r="B38" s="310" t="s">
        <v>137</v>
      </c>
      <c r="C38" s="311"/>
      <c r="D38" s="312">
        <v>0.52682379999999995</v>
      </c>
      <c r="E38" s="313"/>
      <c r="F38" s="312">
        <v>0.52682439999999997</v>
      </c>
      <c r="G38" s="314"/>
      <c r="H38" s="312">
        <v>0.52682439999999997</v>
      </c>
      <c r="I38" s="314"/>
      <c r="J38" s="312">
        <v>1</v>
      </c>
      <c r="K38" s="314"/>
      <c r="L38" s="312">
        <v>1</v>
      </c>
      <c r="M38" s="314"/>
      <c r="N38" s="312">
        <v>1</v>
      </c>
      <c r="O38" s="314"/>
      <c r="P38" s="314"/>
      <c r="Q38" s="318"/>
      <c r="R38" s="319"/>
      <c r="S38" s="316"/>
      <c r="T38" s="318"/>
      <c r="U38" s="317"/>
      <c r="V38" s="5"/>
    </row>
    <row r="39" spans="1:22" ht="15.6" x14ac:dyDescent="0.3">
      <c r="A39" s="284"/>
      <c r="B39" s="285" t="s">
        <v>11</v>
      </c>
      <c r="C39" s="285"/>
      <c r="D39" s="293" t="s">
        <v>275</v>
      </c>
      <c r="E39" s="285"/>
      <c r="F39" s="293" t="s">
        <v>231</v>
      </c>
      <c r="G39" s="293"/>
      <c r="H39" s="293" t="s">
        <v>231</v>
      </c>
      <c r="I39" s="293"/>
      <c r="J39" s="293" t="s">
        <v>232</v>
      </c>
      <c r="K39" s="293"/>
      <c r="L39" s="293" t="s">
        <v>232</v>
      </c>
      <c r="M39" s="293"/>
      <c r="N39" s="293" t="s">
        <v>233</v>
      </c>
      <c r="O39" s="293"/>
      <c r="P39" s="293"/>
      <c r="Q39" s="320"/>
      <c r="R39" s="321"/>
      <c r="S39" s="287"/>
      <c r="T39" s="287"/>
      <c r="U39" s="288"/>
      <c r="V39" s="5"/>
    </row>
    <row r="40" spans="1:22" ht="15.6" x14ac:dyDescent="0.3">
      <c r="A40" s="284"/>
      <c r="B40" s="285" t="s">
        <v>12</v>
      </c>
      <c r="C40" s="285"/>
      <c r="D40" s="321">
        <v>3.6031000000000001E-3</v>
      </c>
      <c r="E40" s="285"/>
      <c r="F40" s="321">
        <v>8.5974999999999992E-3</v>
      </c>
      <c r="G40" s="320"/>
      <c r="H40" s="321">
        <v>1.1050000000000001E-2</v>
      </c>
      <c r="I40" s="320"/>
      <c r="J40" s="321">
        <v>9.7975000000000007E-3</v>
      </c>
      <c r="K40" s="320"/>
      <c r="L40" s="321">
        <v>1.225E-2</v>
      </c>
      <c r="M40" s="320"/>
      <c r="N40" s="321">
        <v>1.435E-2</v>
      </c>
      <c r="O40" s="320"/>
      <c r="P40" s="321"/>
      <c r="Q40" s="320"/>
      <c r="R40" s="321"/>
      <c r="S40" s="287"/>
      <c r="T40" s="293"/>
      <c r="U40" s="288"/>
      <c r="V40" s="5"/>
    </row>
    <row r="41" spans="1:22" ht="15.6" x14ac:dyDescent="0.3">
      <c r="A41" s="284"/>
      <c r="B41" s="285" t="s">
        <v>13</v>
      </c>
      <c r="C41" s="285"/>
      <c r="D41" s="321">
        <v>3.5734E-3</v>
      </c>
      <c r="E41" s="285"/>
      <c r="F41" s="321">
        <v>8.5359000000000008E-3</v>
      </c>
      <c r="G41" s="320"/>
      <c r="H41" s="321">
        <v>9.5499999999999995E-3</v>
      </c>
      <c r="I41" s="320"/>
      <c r="J41" s="321">
        <v>9.7359000000000005E-3</v>
      </c>
      <c r="K41" s="320"/>
      <c r="L41" s="321">
        <v>1.0749999999999999E-2</v>
      </c>
      <c r="M41" s="320"/>
      <c r="N41" s="321">
        <v>1.285E-2</v>
      </c>
      <c r="O41" s="320"/>
      <c r="P41" s="321"/>
      <c r="Q41" s="320"/>
      <c r="R41" s="321"/>
      <c r="S41" s="287"/>
      <c r="T41" s="320" t="s">
        <v>201</v>
      </c>
      <c r="U41" s="288"/>
      <c r="V41" s="5"/>
    </row>
    <row r="42" spans="1:22" ht="15.6" x14ac:dyDescent="0.3">
      <c r="A42" s="284"/>
      <c r="B42" s="285" t="s">
        <v>286</v>
      </c>
      <c r="C42" s="285"/>
      <c r="D42" s="293" t="s">
        <v>231</v>
      </c>
      <c r="E42" s="285"/>
      <c r="F42" s="293" t="s">
        <v>231</v>
      </c>
      <c r="G42" s="293"/>
      <c r="H42" s="293" t="s">
        <v>243</v>
      </c>
      <c r="I42" s="293"/>
      <c r="J42" s="293" t="s">
        <v>232</v>
      </c>
      <c r="K42" s="293"/>
      <c r="L42" s="293" t="s">
        <v>244</v>
      </c>
      <c r="M42" s="293"/>
      <c r="N42" s="293" t="s">
        <v>246</v>
      </c>
      <c r="O42" s="293"/>
      <c r="P42" s="293"/>
      <c r="Q42" s="320"/>
      <c r="R42" s="321"/>
      <c r="S42" s="287"/>
      <c r="T42" s="287"/>
      <c r="U42" s="288"/>
      <c r="V42" s="5"/>
    </row>
    <row r="43" spans="1:22" ht="15.6" x14ac:dyDescent="0.3">
      <c r="A43" s="284"/>
      <c r="B43" s="285" t="s">
        <v>287</v>
      </c>
      <c r="C43" s="322"/>
      <c r="D43" s="321">
        <v>8.6336999999999994E-3</v>
      </c>
      <c r="E43" s="321"/>
      <c r="F43" s="321">
        <f>+F40</f>
        <v>8.5974999999999992E-3</v>
      </c>
      <c r="G43" s="321"/>
      <c r="H43" s="321">
        <v>8.5955000000000007E-3</v>
      </c>
      <c r="I43" s="321"/>
      <c r="J43" s="321">
        <f>+J40</f>
        <v>9.7975000000000007E-3</v>
      </c>
      <c r="K43" s="321"/>
      <c r="L43" s="321">
        <v>9.9504999999999993E-3</v>
      </c>
      <c r="M43" s="321"/>
      <c r="N43" s="321">
        <v>1.2302499999999999E-2</v>
      </c>
      <c r="O43" s="320"/>
      <c r="P43" s="321"/>
      <c r="Q43" s="293"/>
      <c r="R43" s="293"/>
      <c r="S43" s="287"/>
      <c r="T43" s="320">
        <f>SUMPRODUCT(D43:N43,D35:N35)/T35</f>
        <v>9.1550655400824202E-3</v>
      </c>
      <c r="U43" s="288"/>
      <c r="V43" s="5"/>
    </row>
    <row r="44" spans="1:22" ht="15.6" x14ac:dyDescent="0.3">
      <c r="A44" s="284"/>
      <c r="B44" s="285" t="s">
        <v>288</v>
      </c>
      <c r="C44" s="322"/>
      <c r="D44" s="321">
        <v>8.5720999999999992E-3</v>
      </c>
      <c r="E44" s="321"/>
      <c r="F44" s="321">
        <f>+F41</f>
        <v>8.5359000000000008E-3</v>
      </c>
      <c r="G44" s="321"/>
      <c r="H44" s="321">
        <v>8.5339000000000005E-3</v>
      </c>
      <c r="I44" s="321"/>
      <c r="J44" s="321">
        <f>+J41</f>
        <v>9.7359000000000005E-3</v>
      </c>
      <c r="K44" s="321"/>
      <c r="L44" s="321">
        <v>9.8889000000000008E-3</v>
      </c>
      <c r="M44" s="321"/>
      <c r="N44" s="321">
        <v>1.2240900000000001E-2</v>
      </c>
      <c r="O44" s="320"/>
      <c r="P44" s="321"/>
      <c r="Q44" s="293"/>
      <c r="R44" s="293"/>
      <c r="S44" s="287"/>
      <c r="T44" s="287"/>
      <c r="U44" s="288"/>
      <c r="V44" s="5"/>
    </row>
    <row r="45" spans="1:22" ht="15.6" x14ac:dyDescent="0.3">
      <c r="A45" s="284"/>
      <c r="B45" s="285" t="s">
        <v>14</v>
      </c>
      <c r="C45" s="285"/>
      <c r="D45" s="322">
        <v>40283</v>
      </c>
      <c r="E45" s="322"/>
      <c r="F45" s="322">
        <v>40283</v>
      </c>
      <c r="G45" s="322"/>
      <c r="H45" s="322">
        <v>40283</v>
      </c>
      <c r="I45" s="322"/>
      <c r="J45" s="322">
        <v>40283</v>
      </c>
      <c r="K45" s="322"/>
      <c r="L45" s="322">
        <v>40283</v>
      </c>
      <c r="M45" s="322"/>
      <c r="N45" s="322">
        <v>40283</v>
      </c>
      <c r="O45" s="322"/>
      <c r="P45" s="322"/>
      <c r="Q45" s="293"/>
      <c r="R45" s="293"/>
      <c r="S45" s="287"/>
      <c r="T45" s="287"/>
      <c r="U45" s="288"/>
      <c r="V45" s="5"/>
    </row>
    <row r="46" spans="1:22" ht="15.6" x14ac:dyDescent="0.3">
      <c r="A46" s="284"/>
      <c r="B46" s="285" t="s">
        <v>15</v>
      </c>
      <c r="C46" s="285"/>
      <c r="D46" s="322">
        <v>40648</v>
      </c>
      <c r="E46" s="322"/>
      <c r="F46" s="322">
        <v>40648</v>
      </c>
      <c r="G46" s="322"/>
      <c r="H46" s="322">
        <v>40648</v>
      </c>
      <c r="I46" s="293"/>
      <c r="J46" s="322">
        <v>40648</v>
      </c>
      <c r="K46" s="293"/>
      <c r="L46" s="322">
        <v>40648</v>
      </c>
      <c r="M46" s="293"/>
      <c r="N46" s="322">
        <v>40648</v>
      </c>
      <c r="O46" s="293"/>
      <c r="P46" s="322"/>
      <c r="Q46" s="293"/>
      <c r="R46" s="293"/>
      <c r="S46" s="287"/>
      <c r="T46" s="287"/>
      <c r="U46" s="288"/>
      <c r="V46" s="5"/>
    </row>
    <row r="47" spans="1:22" ht="15.6" x14ac:dyDescent="0.3">
      <c r="A47" s="284"/>
      <c r="B47" s="285" t="s">
        <v>125</v>
      </c>
      <c r="C47" s="285"/>
      <c r="D47" s="323" t="s">
        <v>124</v>
      </c>
      <c r="E47" s="285"/>
      <c r="F47" s="293" t="s">
        <v>232</v>
      </c>
      <c r="G47" s="293"/>
      <c r="H47" s="293" t="s">
        <v>232</v>
      </c>
      <c r="I47" s="293"/>
      <c r="J47" s="293" t="s">
        <v>234</v>
      </c>
      <c r="K47" s="293"/>
      <c r="L47" s="293" t="s">
        <v>234</v>
      </c>
      <c r="M47" s="293"/>
      <c r="N47" s="293" t="s">
        <v>235</v>
      </c>
      <c r="O47" s="293"/>
      <c r="P47" s="293"/>
      <c r="Q47" s="324"/>
      <c r="R47" s="324"/>
      <c r="S47" s="324"/>
      <c r="T47" s="324"/>
      <c r="U47" s="288"/>
      <c r="V47" s="5"/>
    </row>
    <row r="48" spans="1:22" ht="15.6" x14ac:dyDescent="0.3">
      <c r="A48" s="284"/>
      <c r="B48" s="285" t="s">
        <v>289</v>
      </c>
      <c r="C48" s="285"/>
      <c r="D48" s="293" t="s">
        <v>208</v>
      </c>
      <c r="E48" s="285"/>
      <c r="F48" s="293" t="s">
        <v>232</v>
      </c>
      <c r="G48" s="293"/>
      <c r="H48" s="293" t="s">
        <v>232</v>
      </c>
      <c r="I48" s="293"/>
      <c r="J48" s="293" t="s">
        <v>234</v>
      </c>
      <c r="K48" s="293"/>
      <c r="L48" s="293" t="s">
        <v>245</v>
      </c>
      <c r="M48" s="293"/>
      <c r="N48" s="293" t="s">
        <v>247</v>
      </c>
      <c r="O48" s="293"/>
      <c r="P48" s="293"/>
      <c r="Q48" s="285"/>
      <c r="R48" s="285"/>
      <c r="S48" s="285"/>
      <c r="T48" s="320"/>
      <c r="U48" s="288"/>
      <c r="V48" s="5"/>
    </row>
    <row r="49" spans="1:23" ht="15.6" x14ac:dyDescent="0.3">
      <c r="A49" s="284"/>
      <c r="B49" s="285"/>
      <c r="C49" s="285"/>
      <c r="D49" s="293"/>
      <c r="E49" s="285"/>
      <c r="F49" s="293"/>
      <c r="G49" s="293"/>
      <c r="H49" s="293"/>
      <c r="I49" s="293"/>
      <c r="J49" s="293"/>
      <c r="K49" s="293"/>
      <c r="L49" s="293"/>
      <c r="M49" s="293"/>
      <c r="N49" s="293"/>
      <c r="O49" s="293"/>
      <c r="P49" s="293"/>
      <c r="Q49" s="285"/>
      <c r="R49" s="285"/>
      <c r="S49" s="285"/>
      <c r="T49" s="320" t="s">
        <v>201</v>
      </c>
      <c r="U49" s="288"/>
      <c r="V49" s="5"/>
    </row>
    <row r="50" spans="1:23" ht="15.6" x14ac:dyDescent="0.3">
      <c r="A50" s="284"/>
      <c r="B50" s="285" t="s">
        <v>176</v>
      </c>
      <c r="C50" s="285"/>
      <c r="D50" s="293"/>
      <c r="E50" s="285"/>
      <c r="F50" s="293"/>
      <c r="G50" s="293"/>
      <c r="H50" s="293"/>
      <c r="I50" s="293"/>
      <c r="J50" s="293"/>
      <c r="K50" s="293"/>
      <c r="L50" s="293"/>
      <c r="M50" s="293"/>
      <c r="N50" s="293"/>
      <c r="O50" s="293"/>
      <c r="P50" s="293"/>
      <c r="Q50" s="285"/>
      <c r="R50" s="285"/>
      <c r="S50" s="285"/>
      <c r="T50" s="320">
        <f>SUM(J34:P34)/SUM(D34:H34)</f>
        <v>0.15279804679664968</v>
      </c>
      <c r="U50" s="288"/>
      <c r="V50" s="5"/>
    </row>
    <row r="51" spans="1:23" ht="15.6" x14ac:dyDescent="0.3">
      <c r="A51" s="284"/>
      <c r="B51" s="285" t="s">
        <v>177</v>
      </c>
      <c r="C51" s="285"/>
      <c r="D51" s="285"/>
      <c r="E51" s="285"/>
      <c r="F51" s="325"/>
      <c r="G51" s="285"/>
      <c r="H51" s="285"/>
      <c r="I51" s="285"/>
      <c r="J51" s="285"/>
      <c r="K51" s="285"/>
      <c r="L51" s="285"/>
      <c r="M51" s="285"/>
      <c r="N51" s="285"/>
      <c r="O51" s="285"/>
      <c r="P51" s="285"/>
      <c r="Q51" s="285"/>
      <c r="R51" s="285"/>
      <c r="S51" s="285"/>
      <c r="T51" s="320">
        <f>SUM(J36:P36)/SUM(D36:H36)</f>
        <v>0.29283013894210036</v>
      </c>
      <c r="U51" s="288"/>
      <c r="V51" s="5"/>
    </row>
    <row r="52" spans="1:23" ht="15.6" x14ac:dyDescent="0.3">
      <c r="A52" s="284"/>
      <c r="B52" s="285" t="s">
        <v>178</v>
      </c>
      <c r="C52" s="285"/>
      <c r="D52" s="285"/>
      <c r="E52" s="285"/>
      <c r="F52" s="285"/>
      <c r="G52" s="285"/>
      <c r="H52" s="285"/>
      <c r="I52" s="285"/>
      <c r="J52" s="285"/>
      <c r="K52" s="285"/>
      <c r="L52" s="285"/>
      <c r="M52" s="285"/>
      <c r="N52" s="285"/>
      <c r="O52" s="285"/>
      <c r="P52" s="285"/>
      <c r="Q52" s="285"/>
      <c r="R52" s="293" t="s">
        <v>109</v>
      </c>
      <c r="S52" s="293" t="s">
        <v>115</v>
      </c>
      <c r="T52" s="296">
        <f>+T34/2-SUM(J34:P34)</f>
        <v>367473</v>
      </c>
      <c r="U52" s="288"/>
      <c r="V52" s="5"/>
    </row>
    <row r="53" spans="1:23" ht="15.6" x14ac:dyDescent="0.3">
      <c r="A53" s="284"/>
      <c r="B53" s="285"/>
      <c r="C53" s="285"/>
      <c r="D53" s="285"/>
      <c r="E53" s="285"/>
      <c r="F53" s="285"/>
      <c r="G53" s="285"/>
      <c r="H53" s="285"/>
      <c r="I53" s="285"/>
      <c r="J53" s="285"/>
      <c r="K53" s="285"/>
      <c r="L53" s="285"/>
      <c r="M53" s="285"/>
      <c r="N53" s="285"/>
      <c r="O53" s="285"/>
      <c r="P53" s="285"/>
      <c r="Q53" s="285"/>
      <c r="R53" s="285"/>
      <c r="S53" s="285"/>
      <c r="T53" s="326"/>
      <c r="U53" s="288"/>
      <c r="V53" s="5"/>
    </row>
    <row r="54" spans="1:23" ht="15.6" x14ac:dyDescent="0.3">
      <c r="A54" s="284"/>
      <c r="B54" s="285" t="s">
        <v>211</v>
      </c>
      <c r="C54" s="285"/>
      <c r="D54" s="285"/>
      <c r="E54" s="285"/>
      <c r="F54" s="285"/>
      <c r="G54" s="285"/>
      <c r="H54" s="285"/>
      <c r="I54" s="285"/>
      <c r="J54" s="285"/>
      <c r="K54" s="285"/>
      <c r="L54" s="285"/>
      <c r="M54" s="285"/>
      <c r="N54" s="285"/>
      <c r="O54" s="285"/>
      <c r="P54" s="285"/>
      <c r="Q54" s="285"/>
      <c r="R54" s="285"/>
      <c r="S54" s="285"/>
      <c r="T54" s="327" t="s">
        <v>212</v>
      </c>
      <c r="U54" s="288"/>
      <c r="V54" s="5"/>
    </row>
    <row r="55" spans="1:23" ht="15.6" x14ac:dyDescent="0.3">
      <c r="A55" s="284"/>
      <c r="B55" s="285" t="s">
        <v>253</v>
      </c>
      <c r="C55" s="285"/>
      <c r="D55" s="285"/>
      <c r="E55" s="285"/>
      <c r="F55" s="285"/>
      <c r="G55" s="285"/>
      <c r="H55" s="285"/>
      <c r="I55" s="285"/>
      <c r="J55" s="285"/>
      <c r="K55" s="285"/>
      <c r="L55" s="285"/>
      <c r="M55" s="285"/>
      <c r="N55" s="285"/>
      <c r="O55" s="285"/>
      <c r="P55" s="285"/>
      <c r="Q55" s="285"/>
      <c r="R55" s="293"/>
      <c r="S55" s="293"/>
      <c r="T55" s="328" t="s">
        <v>117</v>
      </c>
      <c r="U55" s="288"/>
      <c r="V55" s="5"/>
    </row>
    <row r="56" spans="1:23" ht="15.6" x14ac:dyDescent="0.3">
      <c r="A56" s="284"/>
      <c r="B56" s="292" t="s">
        <v>210</v>
      </c>
      <c r="C56" s="292"/>
      <c r="D56" s="292"/>
      <c r="E56" s="292"/>
      <c r="F56" s="292"/>
      <c r="G56" s="292"/>
      <c r="H56" s="292"/>
      <c r="I56" s="292"/>
      <c r="J56" s="292"/>
      <c r="K56" s="292"/>
      <c r="L56" s="292"/>
      <c r="M56" s="292"/>
      <c r="N56" s="292"/>
      <c r="O56" s="292"/>
      <c r="P56" s="292"/>
      <c r="Q56" s="292"/>
      <c r="R56" s="329"/>
      <c r="S56" s="329"/>
      <c r="T56" s="330">
        <v>40561</v>
      </c>
      <c r="U56" s="288"/>
      <c r="V56" s="5"/>
    </row>
    <row r="57" spans="1:23" ht="15.6" x14ac:dyDescent="0.3">
      <c r="A57" s="284"/>
      <c r="B57" s="285" t="s">
        <v>127</v>
      </c>
      <c r="C57" s="285"/>
      <c r="D57" s="285"/>
      <c r="E57" s="285"/>
      <c r="F57" s="285"/>
      <c r="G57" s="285"/>
      <c r="H57" s="331"/>
      <c r="I57" s="331"/>
      <c r="J57" s="331"/>
      <c r="K57" s="331"/>
      <c r="L57" s="331"/>
      <c r="M57" s="331"/>
      <c r="N57" s="331"/>
      <c r="O57" s="331"/>
      <c r="P57" s="285">
        <f>+T57-R57+1</f>
        <v>92</v>
      </c>
      <c r="Q57" s="331"/>
      <c r="R57" s="332">
        <v>40374</v>
      </c>
      <c r="S57" s="333"/>
      <c r="T57" s="332">
        <v>40465</v>
      </c>
      <c r="U57" s="288"/>
      <c r="V57" s="5"/>
    </row>
    <row r="58" spans="1:23" ht="15.6" x14ac:dyDescent="0.3">
      <c r="A58" s="284"/>
      <c r="B58" s="285" t="s">
        <v>128</v>
      </c>
      <c r="C58" s="285"/>
      <c r="D58" s="285"/>
      <c r="E58" s="285"/>
      <c r="F58" s="285"/>
      <c r="G58" s="285"/>
      <c r="H58" s="285"/>
      <c r="I58" s="285"/>
      <c r="J58" s="285"/>
      <c r="K58" s="285"/>
      <c r="L58" s="285"/>
      <c r="M58" s="285"/>
      <c r="N58" s="285"/>
      <c r="O58" s="285"/>
      <c r="P58" s="285">
        <f>+T58-R58+1</f>
        <v>95</v>
      </c>
      <c r="Q58" s="285"/>
      <c r="R58" s="332">
        <v>40466</v>
      </c>
      <c r="S58" s="333"/>
      <c r="T58" s="332">
        <v>40560</v>
      </c>
      <c r="U58" s="288"/>
      <c r="V58" s="5"/>
    </row>
    <row r="59" spans="1:23" ht="15.6" x14ac:dyDescent="0.3">
      <c r="A59" s="284"/>
      <c r="B59" s="285" t="s">
        <v>209</v>
      </c>
      <c r="C59" s="285"/>
      <c r="D59" s="285"/>
      <c r="E59" s="285"/>
      <c r="F59" s="285"/>
      <c r="G59" s="285"/>
      <c r="H59" s="285"/>
      <c r="I59" s="285"/>
      <c r="J59" s="285"/>
      <c r="K59" s="285"/>
      <c r="L59" s="285"/>
      <c r="M59" s="285"/>
      <c r="N59" s="285"/>
      <c r="O59" s="285"/>
      <c r="P59" s="285"/>
      <c r="Q59" s="285"/>
      <c r="R59" s="332"/>
      <c r="S59" s="333"/>
      <c r="T59" s="332" t="s">
        <v>126</v>
      </c>
      <c r="U59" s="288"/>
      <c r="V59" s="5"/>
    </row>
    <row r="60" spans="1:23" ht="15.6" x14ac:dyDescent="0.3">
      <c r="A60" s="284"/>
      <c r="B60" s="285" t="s">
        <v>249</v>
      </c>
      <c r="C60" s="285"/>
      <c r="D60" s="285"/>
      <c r="E60" s="285"/>
      <c r="F60" s="285"/>
      <c r="G60" s="285"/>
      <c r="H60" s="285"/>
      <c r="I60" s="285"/>
      <c r="J60" s="285"/>
      <c r="K60" s="285"/>
      <c r="L60" s="285"/>
      <c r="M60" s="285"/>
      <c r="N60" s="285"/>
      <c r="O60" s="285"/>
      <c r="P60" s="285"/>
      <c r="Q60" s="285"/>
      <c r="R60" s="332"/>
      <c r="S60" s="333"/>
      <c r="T60" s="332" t="s">
        <v>160</v>
      </c>
      <c r="U60" s="288"/>
      <c r="V60" s="5"/>
      <c r="W60" s="134"/>
    </row>
    <row r="61" spans="1:23" ht="15.6" x14ac:dyDescent="0.3">
      <c r="A61" s="284"/>
      <c r="B61" s="285" t="s">
        <v>16</v>
      </c>
      <c r="C61" s="285"/>
      <c r="D61" s="285"/>
      <c r="E61" s="285"/>
      <c r="F61" s="285"/>
      <c r="G61" s="285"/>
      <c r="H61" s="285"/>
      <c r="I61" s="285"/>
      <c r="J61" s="285"/>
      <c r="K61" s="285"/>
      <c r="L61" s="285"/>
      <c r="M61" s="285"/>
      <c r="N61" s="285"/>
      <c r="O61" s="285"/>
      <c r="P61" s="285"/>
      <c r="Q61" s="285"/>
      <c r="R61" s="332"/>
      <c r="S61" s="333"/>
      <c r="T61" s="332">
        <v>40547</v>
      </c>
      <c r="U61" s="288"/>
      <c r="V61" s="5"/>
    </row>
    <row r="62" spans="1:23" ht="15.6" x14ac:dyDescent="0.3">
      <c r="A62" s="175"/>
      <c r="B62" s="281"/>
      <c r="C62" s="281"/>
      <c r="D62" s="281"/>
      <c r="E62" s="281"/>
      <c r="F62" s="281"/>
      <c r="G62" s="281"/>
      <c r="H62" s="281"/>
      <c r="I62" s="281"/>
      <c r="J62" s="281"/>
      <c r="K62" s="281"/>
      <c r="L62" s="281"/>
      <c r="M62" s="281"/>
      <c r="N62" s="281"/>
      <c r="O62" s="281"/>
      <c r="P62" s="281"/>
      <c r="Q62" s="281"/>
      <c r="R62" s="282"/>
      <c r="S62" s="283"/>
      <c r="T62" s="282"/>
      <c r="U62" s="281"/>
      <c r="V62" s="5"/>
    </row>
    <row r="63" spans="1:23" ht="15.6" x14ac:dyDescent="0.3">
      <c r="A63" s="175"/>
      <c r="B63" s="231"/>
      <c r="C63" s="231"/>
      <c r="D63" s="231"/>
      <c r="E63" s="231"/>
      <c r="F63" s="231"/>
      <c r="G63" s="231"/>
      <c r="H63" s="231"/>
      <c r="I63" s="231"/>
      <c r="J63" s="231"/>
      <c r="K63" s="231"/>
      <c r="L63" s="231"/>
      <c r="M63" s="231"/>
      <c r="N63" s="231"/>
      <c r="O63" s="231"/>
      <c r="P63" s="231"/>
      <c r="Q63" s="231"/>
      <c r="R63" s="244"/>
      <c r="S63" s="245"/>
      <c r="T63" s="244"/>
      <c r="U63" s="231"/>
      <c r="V63" s="5"/>
    </row>
    <row r="64" spans="1:23" ht="18" thickBot="1" x14ac:dyDescent="0.35">
      <c r="A64" s="192"/>
      <c r="B64" s="246" t="s">
        <v>296</v>
      </c>
      <c r="C64" s="247"/>
      <c r="D64" s="247"/>
      <c r="E64" s="247"/>
      <c r="F64" s="247"/>
      <c r="G64" s="247"/>
      <c r="H64" s="247"/>
      <c r="I64" s="247"/>
      <c r="J64" s="247"/>
      <c r="K64" s="247"/>
      <c r="L64" s="247"/>
      <c r="M64" s="247"/>
      <c r="N64" s="247"/>
      <c r="O64" s="247"/>
      <c r="P64" s="247"/>
      <c r="Q64" s="247"/>
      <c r="R64" s="247"/>
      <c r="S64" s="247"/>
      <c r="T64" s="248"/>
      <c r="U64" s="249"/>
      <c r="V64" s="5"/>
    </row>
    <row r="65" spans="1:22" ht="15.6" x14ac:dyDescent="0.3">
      <c r="A65" s="222"/>
      <c r="B65" s="252" t="s">
        <v>17</v>
      </c>
      <c r="C65" s="223"/>
      <c r="D65" s="223"/>
      <c r="E65" s="223"/>
      <c r="F65" s="223"/>
      <c r="G65" s="223"/>
      <c r="H65" s="223"/>
      <c r="I65" s="223"/>
      <c r="J65" s="223"/>
      <c r="K65" s="223"/>
      <c r="L65" s="223"/>
      <c r="M65" s="223"/>
      <c r="N65" s="223"/>
      <c r="O65" s="223"/>
      <c r="P65" s="223"/>
      <c r="Q65" s="223"/>
      <c r="R65" s="223"/>
      <c r="S65" s="223"/>
      <c r="T65" s="250"/>
      <c r="U65" s="223"/>
      <c r="V65" s="5"/>
    </row>
    <row r="66" spans="1:22" ht="15.6" x14ac:dyDescent="0.3">
      <c r="A66" s="175"/>
      <c r="B66" s="183"/>
      <c r="C66" s="177"/>
      <c r="D66" s="177"/>
      <c r="E66" s="177"/>
      <c r="F66" s="177"/>
      <c r="G66" s="177"/>
      <c r="H66" s="177"/>
      <c r="I66" s="177"/>
      <c r="J66" s="177"/>
      <c r="K66" s="177"/>
      <c r="L66" s="177"/>
      <c r="M66" s="177"/>
      <c r="N66" s="177"/>
      <c r="O66" s="177"/>
      <c r="P66" s="177"/>
      <c r="Q66" s="177"/>
      <c r="R66" s="177"/>
      <c r="S66" s="177"/>
      <c r="T66" s="194"/>
      <c r="U66" s="177"/>
      <c r="V66" s="5"/>
    </row>
    <row r="67" spans="1:22" ht="46.8" x14ac:dyDescent="0.3">
      <c r="A67" s="175"/>
      <c r="B67" s="195" t="s">
        <v>18</v>
      </c>
      <c r="C67" s="196"/>
      <c r="D67" s="196"/>
      <c r="E67" s="196"/>
      <c r="F67" s="196"/>
      <c r="G67" s="196"/>
      <c r="H67" s="196"/>
      <c r="I67" s="196"/>
      <c r="J67" s="196" t="s">
        <v>97</v>
      </c>
      <c r="K67" s="196"/>
      <c r="L67" s="196" t="s">
        <v>99</v>
      </c>
      <c r="M67" s="196"/>
      <c r="N67" s="196" t="s">
        <v>101</v>
      </c>
      <c r="O67" s="196"/>
      <c r="P67" s="196" t="s">
        <v>103</v>
      </c>
      <c r="Q67" s="196"/>
      <c r="R67" s="196" t="s">
        <v>110</v>
      </c>
      <c r="S67" s="196"/>
      <c r="T67" s="197" t="s">
        <v>118</v>
      </c>
      <c r="U67" s="198"/>
      <c r="V67" s="5"/>
    </row>
    <row r="68" spans="1:22" ht="15.6" x14ac:dyDescent="0.3">
      <c r="A68" s="337"/>
      <c r="B68" s="285" t="s">
        <v>19</v>
      </c>
      <c r="C68" s="338"/>
      <c r="D68" s="338"/>
      <c r="E68" s="338"/>
      <c r="F68" s="338"/>
      <c r="G68" s="338"/>
      <c r="H68" s="338"/>
      <c r="I68" s="338"/>
      <c r="J68" s="338">
        <v>1000039</v>
      </c>
      <c r="K68" s="338"/>
      <c r="L68" s="339">
        <v>589572</v>
      </c>
      <c r="M68" s="338"/>
      <c r="N68" s="338">
        <f>4360+104+43+1</f>
        <v>4508</v>
      </c>
      <c r="O68" s="338"/>
      <c r="P68" s="338">
        <f>104+43</f>
        <v>147</v>
      </c>
      <c r="Q68" s="338"/>
      <c r="R68" s="338">
        <v>0</v>
      </c>
      <c r="S68" s="338"/>
      <c r="T68" s="339">
        <f>+L68-N68+P68-R68</f>
        <v>585211</v>
      </c>
      <c r="U68" s="288"/>
      <c r="V68" s="5"/>
    </row>
    <row r="69" spans="1:22" ht="15.6" x14ac:dyDescent="0.3">
      <c r="A69" s="337"/>
      <c r="B69" s="285" t="s">
        <v>20</v>
      </c>
      <c r="C69" s="338"/>
      <c r="D69" s="338"/>
      <c r="E69" s="338"/>
      <c r="F69" s="338"/>
      <c r="G69" s="338"/>
      <c r="H69" s="338"/>
      <c r="I69" s="338"/>
      <c r="J69" s="338">
        <v>10</v>
      </c>
      <c r="K69" s="338"/>
      <c r="L69" s="339">
        <v>0</v>
      </c>
      <c r="M69" s="338"/>
      <c r="N69" s="338">
        <v>0</v>
      </c>
      <c r="O69" s="338"/>
      <c r="P69" s="338">
        <v>0</v>
      </c>
      <c r="Q69" s="338"/>
      <c r="R69" s="338">
        <v>0</v>
      </c>
      <c r="S69" s="338"/>
      <c r="T69" s="339">
        <v>0</v>
      </c>
      <c r="U69" s="288"/>
      <c r="V69" s="5"/>
    </row>
    <row r="70" spans="1:22" ht="15.6" x14ac:dyDescent="0.3">
      <c r="A70" s="337"/>
      <c r="B70" s="285"/>
      <c r="C70" s="338"/>
      <c r="D70" s="338"/>
      <c r="E70" s="338"/>
      <c r="F70" s="338"/>
      <c r="G70" s="338"/>
      <c r="H70" s="338"/>
      <c r="I70" s="338"/>
      <c r="J70" s="338"/>
      <c r="K70" s="338"/>
      <c r="L70" s="339"/>
      <c r="M70" s="338"/>
      <c r="N70" s="338"/>
      <c r="O70" s="338"/>
      <c r="P70" s="338"/>
      <c r="Q70" s="338"/>
      <c r="R70" s="338"/>
      <c r="S70" s="338"/>
      <c r="T70" s="339"/>
      <c r="U70" s="288"/>
      <c r="V70" s="5"/>
    </row>
    <row r="71" spans="1:22" ht="15.6" x14ac:dyDescent="0.3">
      <c r="A71" s="337"/>
      <c r="B71" s="285" t="s">
        <v>21</v>
      </c>
      <c r="C71" s="338"/>
      <c r="D71" s="338"/>
      <c r="E71" s="338"/>
      <c r="F71" s="338"/>
      <c r="G71" s="338"/>
      <c r="H71" s="338"/>
      <c r="I71" s="338"/>
      <c r="J71" s="338">
        <f>SUM(J68:J70)</f>
        <v>1000049</v>
      </c>
      <c r="K71" s="338"/>
      <c r="L71" s="338">
        <f>L68+L69</f>
        <v>589572</v>
      </c>
      <c r="M71" s="338"/>
      <c r="N71" s="338">
        <f>SUM(N68:N70)</f>
        <v>4508</v>
      </c>
      <c r="O71" s="338"/>
      <c r="P71" s="338">
        <f>SUM(P68:P70)</f>
        <v>147</v>
      </c>
      <c r="Q71" s="338"/>
      <c r="R71" s="338">
        <f>SUM(R68:R70)</f>
        <v>0</v>
      </c>
      <c r="S71" s="338"/>
      <c r="T71" s="338">
        <f>SUM(T68:T70)</f>
        <v>585211</v>
      </c>
      <c r="U71" s="288"/>
      <c r="V71" s="5"/>
    </row>
    <row r="72" spans="1:22" ht="15.6" x14ac:dyDescent="0.3">
      <c r="A72" s="175"/>
      <c r="B72" s="334"/>
      <c r="C72" s="335"/>
      <c r="D72" s="335"/>
      <c r="E72" s="335"/>
      <c r="F72" s="335"/>
      <c r="G72" s="335"/>
      <c r="H72" s="335"/>
      <c r="I72" s="335"/>
      <c r="J72" s="335"/>
      <c r="K72" s="335"/>
      <c r="L72" s="335"/>
      <c r="M72" s="335"/>
      <c r="N72" s="335"/>
      <c r="O72" s="335"/>
      <c r="P72" s="335"/>
      <c r="Q72" s="335"/>
      <c r="R72" s="335"/>
      <c r="S72" s="335"/>
      <c r="T72" s="336"/>
      <c r="U72" s="334"/>
      <c r="V72" s="5"/>
    </row>
    <row r="73" spans="1:22" ht="15.6" x14ac:dyDescent="0.3">
      <c r="A73" s="175"/>
      <c r="B73" s="179" t="s">
        <v>22</v>
      </c>
      <c r="C73" s="199"/>
      <c r="D73" s="199"/>
      <c r="E73" s="199"/>
      <c r="F73" s="199"/>
      <c r="G73" s="199"/>
      <c r="H73" s="199"/>
      <c r="I73" s="199"/>
      <c r="J73" s="199"/>
      <c r="K73" s="199"/>
      <c r="L73" s="199"/>
      <c r="M73" s="199"/>
      <c r="N73" s="199"/>
      <c r="O73" s="199"/>
      <c r="P73" s="199"/>
      <c r="Q73" s="199"/>
      <c r="R73" s="199"/>
      <c r="S73" s="199"/>
      <c r="T73" s="200"/>
      <c r="U73" s="177"/>
      <c r="V73" s="5"/>
    </row>
    <row r="74" spans="1:22" ht="15.6" x14ac:dyDescent="0.3">
      <c r="A74" s="175"/>
      <c r="B74" s="177"/>
      <c r="C74" s="199"/>
      <c r="D74" s="199"/>
      <c r="E74" s="199"/>
      <c r="F74" s="199"/>
      <c r="G74" s="199"/>
      <c r="H74" s="199"/>
      <c r="I74" s="199"/>
      <c r="J74" s="199"/>
      <c r="K74" s="199"/>
      <c r="L74" s="199"/>
      <c r="M74" s="199"/>
      <c r="N74" s="199"/>
      <c r="O74" s="199"/>
      <c r="P74" s="199"/>
      <c r="Q74" s="199"/>
      <c r="R74" s="199"/>
      <c r="S74" s="199"/>
      <c r="T74" s="200"/>
      <c r="U74" s="177"/>
      <c r="V74" s="5"/>
    </row>
    <row r="75" spans="1:22" ht="15.6" x14ac:dyDescent="0.3">
      <c r="A75" s="284"/>
      <c r="B75" s="285" t="s">
        <v>19</v>
      </c>
      <c r="C75" s="338"/>
      <c r="D75" s="338"/>
      <c r="E75" s="338"/>
      <c r="F75" s="338"/>
      <c r="G75" s="338"/>
      <c r="H75" s="338"/>
      <c r="I75" s="338"/>
      <c r="J75" s="338"/>
      <c r="K75" s="338"/>
      <c r="L75" s="338"/>
      <c r="M75" s="338"/>
      <c r="N75" s="338"/>
      <c r="O75" s="338"/>
      <c r="P75" s="338"/>
      <c r="Q75" s="338"/>
      <c r="R75" s="338"/>
      <c r="S75" s="338"/>
      <c r="T75" s="338"/>
      <c r="U75" s="288"/>
      <c r="V75" s="5"/>
    </row>
    <row r="76" spans="1:22" ht="15.6" x14ac:dyDescent="0.3">
      <c r="A76" s="284"/>
      <c r="B76" s="285" t="s">
        <v>20</v>
      </c>
      <c r="C76" s="338"/>
      <c r="D76" s="338"/>
      <c r="E76" s="338"/>
      <c r="F76" s="338"/>
      <c r="G76" s="338"/>
      <c r="H76" s="338"/>
      <c r="I76" s="338"/>
      <c r="J76" s="338"/>
      <c r="K76" s="338"/>
      <c r="L76" s="338"/>
      <c r="M76" s="338"/>
      <c r="N76" s="338"/>
      <c r="O76" s="338"/>
      <c r="P76" s="338"/>
      <c r="Q76" s="338"/>
      <c r="R76" s="338"/>
      <c r="S76" s="338"/>
      <c r="T76" s="338"/>
      <c r="U76" s="288"/>
      <c r="V76" s="5"/>
    </row>
    <row r="77" spans="1:22" ht="15.6" x14ac:dyDescent="0.3">
      <c r="A77" s="284"/>
      <c r="B77" s="285"/>
      <c r="C77" s="338"/>
      <c r="D77" s="338"/>
      <c r="E77" s="338"/>
      <c r="F77" s="338"/>
      <c r="G77" s="338"/>
      <c r="H77" s="338"/>
      <c r="I77" s="338"/>
      <c r="J77" s="338"/>
      <c r="K77" s="338"/>
      <c r="L77" s="338"/>
      <c r="M77" s="338"/>
      <c r="N77" s="338"/>
      <c r="O77" s="338"/>
      <c r="P77" s="338"/>
      <c r="Q77" s="338"/>
      <c r="R77" s="338"/>
      <c r="S77" s="338"/>
      <c r="T77" s="338"/>
      <c r="U77" s="288"/>
      <c r="V77" s="5"/>
    </row>
    <row r="78" spans="1:22" ht="15.6" x14ac:dyDescent="0.3">
      <c r="A78" s="284"/>
      <c r="B78" s="285" t="s">
        <v>21</v>
      </c>
      <c r="C78" s="338"/>
      <c r="D78" s="338"/>
      <c r="E78" s="338"/>
      <c r="F78" s="338"/>
      <c r="G78" s="338"/>
      <c r="H78" s="338"/>
      <c r="I78" s="338"/>
      <c r="J78" s="338"/>
      <c r="K78" s="338"/>
      <c r="L78" s="338"/>
      <c r="M78" s="338"/>
      <c r="N78" s="338"/>
      <c r="O78" s="338"/>
      <c r="P78" s="338"/>
      <c r="Q78" s="338"/>
      <c r="R78" s="338"/>
      <c r="S78" s="338"/>
      <c r="T78" s="338"/>
      <c r="U78" s="288"/>
      <c r="V78" s="5"/>
    </row>
    <row r="79" spans="1:22" ht="15.6" x14ac:dyDescent="0.3">
      <c r="A79" s="284"/>
      <c r="B79" s="285"/>
      <c r="C79" s="338"/>
      <c r="D79" s="338"/>
      <c r="E79" s="338"/>
      <c r="F79" s="338"/>
      <c r="G79" s="338"/>
      <c r="H79" s="338"/>
      <c r="I79" s="338"/>
      <c r="J79" s="338"/>
      <c r="K79" s="338"/>
      <c r="L79" s="338"/>
      <c r="M79" s="338"/>
      <c r="N79" s="338"/>
      <c r="O79" s="338"/>
      <c r="P79" s="338"/>
      <c r="Q79" s="338"/>
      <c r="R79" s="338"/>
      <c r="S79" s="338"/>
      <c r="T79" s="338"/>
      <c r="U79" s="288"/>
      <c r="V79" s="5"/>
    </row>
    <row r="80" spans="1:22" ht="15.6" x14ac:dyDescent="0.3">
      <c r="A80" s="284"/>
      <c r="B80" s="285" t="s">
        <v>23</v>
      </c>
      <c r="C80" s="338"/>
      <c r="D80" s="338"/>
      <c r="E80" s="338"/>
      <c r="F80" s="338"/>
      <c r="G80" s="338"/>
      <c r="H80" s="338"/>
      <c r="I80" s="338"/>
      <c r="J80" s="338">
        <v>0</v>
      </c>
      <c r="K80" s="338"/>
      <c r="L80" s="338">
        <v>0</v>
      </c>
      <c r="M80" s="338"/>
      <c r="N80" s="338"/>
      <c r="O80" s="338"/>
      <c r="P80" s="338"/>
      <c r="Q80" s="338"/>
      <c r="R80" s="338"/>
      <c r="S80" s="338"/>
      <c r="T80" s="339">
        <v>0</v>
      </c>
      <c r="U80" s="288"/>
      <c r="V80" s="5"/>
    </row>
    <row r="81" spans="1:22" ht="15.6" x14ac:dyDescent="0.3">
      <c r="A81" s="284"/>
      <c r="B81" s="285" t="s">
        <v>123</v>
      </c>
      <c r="C81" s="338"/>
      <c r="D81" s="338"/>
      <c r="E81" s="338"/>
      <c r="F81" s="338"/>
      <c r="G81" s="338"/>
      <c r="H81" s="338"/>
      <c r="I81" s="338"/>
      <c r="J81" s="338">
        <v>0</v>
      </c>
      <c r="K81" s="338"/>
      <c r="L81" s="338">
        <v>0</v>
      </c>
      <c r="M81" s="338"/>
      <c r="N81" s="338"/>
      <c r="O81" s="338"/>
      <c r="P81" s="338"/>
      <c r="Q81" s="338"/>
      <c r="R81" s="338"/>
      <c r="S81" s="338"/>
      <c r="T81" s="338">
        <f>SUM(J81:P81)</f>
        <v>0</v>
      </c>
      <c r="U81" s="288"/>
      <c r="V81" s="5"/>
    </row>
    <row r="82" spans="1:22" ht="15.6" x14ac:dyDescent="0.3">
      <c r="A82" s="284"/>
      <c r="B82" s="285" t="s">
        <v>152</v>
      </c>
      <c r="C82" s="338"/>
      <c r="D82" s="338"/>
      <c r="E82" s="338"/>
      <c r="F82" s="338"/>
      <c r="G82" s="338"/>
      <c r="H82" s="338"/>
      <c r="I82" s="338"/>
      <c r="J82" s="338">
        <v>1</v>
      </c>
      <c r="K82" s="338"/>
      <c r="L82" s="338">
        <v>0</v>
      </c>
      <c r="M82" s="338"/>
      <c r="N82" s="338">
        <v>0</v>
      </c>
      <c r="O82" s="338"/>
      <c r="P82" s="338"/>
      <c r="Q82" s="338"/>
      <c r="R82" s="338"/>
      <c r="S82" s="338"/>
      <c r="T82" s="338">
        <f>+L82+N82</f>
        <v>0</v>
      </c>
      <c r="U82" s="288"/>
      <c r="V82" s="5"/>
    </row>
    <row r="83" spans="1:22" ht="15.6" x14ac:dyDescent="0.3">
      <c r="A83" s="284"/>
      <c r="B83" s="285" t="s">
        <v>25</v>
      </c>
      <c r="C83" s="338"/>
      <c r="D83" s="338"/>
      <c r="E83" s="338"/>
      <c r="F83" s="338"/>
      <c r="G83" s="338"/>
      <c r="H83" s="338"/>
      <c r="I83" s="338"/>
      <c r="J83" s="338">
        <v>0</v>
      </c>
      <c r="K83" s="338"/>
      <c r="L83" s="338">
        <v>0</v>
      </c>
      <c r="M83" s="338"/>
      <c r="N83" s="338"/>
      <c r="O83" s="338"/>
      <c r="P83" s="338"/>
      <c r="Q83" s="338"/>
      <c r="R83" s="338"/>
      <c r="S83" s="338"/>
      <c r="T83" s="338">
        <v>0</v>
      </c>
      <c r="U83" s="288"/>
      <c r="V83" s="5"/>
    </row>
    <row r="84" spans="1:22" ht="15.6" x14ac:dyDescent="0.3">
      <c r="A84" s="284"/>
      <c r="B84" s="285" t="s">
        <v>26</v>
      </c>
      <c r="C84" s="338"/>
      <c r="D84" s="338"/>
      <c r="E84" s="338"/>
      <c r="F84" s="338"/>
      <c r="G84" s="338"/>
      <c r="H84" s="338"/>
      <c r="I84" s="338"/>
      <c r="J84" s="338">
        <f>SUM(J71:J83)</f>
        <v>1000050</v>
      </c>
      <c r="K84" s="338"/>
      <c r="L84" s="338">
        <f>SUM(L71:L83)</f>
        <v>589572</v>
      </c>
      <c r="M84" s="338"/>
      <c r="N84" s="338"/>
      <c r="O84" s="338"/>
      <c r="P84" s="338"/>
      <c r="Q84" s="338"/>
      <c r="R84" s="338"/>
      <c r="S84" s="338"/>
      <c r="T84" s="338">
        <f>SUM(T71:T83)</f>
        <v>585211</v>
      </c>
      <c r="U84" s="288"/>
      <c r="V84" s="5"/>
    </row>
    <row r="85" spans="1:22" ht="15.6" x14ac:dyDescent="0.3">
      <c r="A85" s="175"/>
      <c r="B85" s="334"/>
      <c r="C85" s="335"/>
      <c r="D85" s="335"/>
      <c r="E85" s="335"/>
      <c r="F85" s="335"/>
      <c r="G85" s="335"/>
      <c r="H85" s="335"/>
      <c r="I85" s="335"/>
      <c r="J85" s="335"/>
      <c r="K85" s="335"/>
      <c r="L85" s="335"/>
      <c r="M85" s="335"/>
      <c r="N85" s="335"/>
      <c r="O85" s="335"/>
      <c r="P85" s="335"/>
      <c r="Q85" s="335"/>
      <c r="R85" s="335"/>
      <c r="S85" s="335"/>
      <c r="T85" s="336"/>
      <c r="U85" s="334"/>
      <c r="V85" s="5"/>
    </row>
    <row r="86" spans="1:22" ht="15.6" x14ac:dyDescent="0.3">
      <c r="A86" s="175"/>
      <c r="B86" s="177"/>
      <c r="C86" s="177"/>
      <c r="D86" s="177"/>
      <c r="E86" s="177"/>
      <c r="F86" s="177"/>
      <c r="G86" s="177"/>
      <c r="H86" s="177"/>
      <c r="I86" s="177"/>
      <c r="J86" s="177"/>
      <c r="K86" s="177"/>
      <c r="L86" s="177"/>
      <c r="M86" s="177"/>
      <c r="N86" s="177"/>
      <c r="O86" s="177"/>
      <c r="P86" s="177"/>
      <c r="Q86" s="177"/>
      <c r="R86" s="177"/>
      <c r="S86" s="177"/>
      <c r="T86" s="177"/>
      <c r="U86" s="177"/>
      <c r="V86" s="5"/>
    </row>
    <row r="87" spans="1:22" ht="15.6" x14ac:dyDescent="0.3">
      <c r="A87" s="222"/>
      <c r="B87" s="252" t="s">
        <v>27</v>
      </c>
      <c r="C87" s="252"/>
      <c r="D87" s="252"/>
      <c r="E87" s="252"/>
      <c r="F87" s="252"/>
      <c r="G87" s="252"/>
      <c r="H87" s="253"/>
      <c r="I87" s="253"/>
      <c r="J87" s="254" t="s">
        <v>98</v>
      </c>
      <c r="K87" s="253"/>
      <c r="L87" s="255">
        <f>+R193</f>
        <v>40543</v>
      </c>
      <c r="M87" s="253"/>
      <c r="N87" s="253"/>
      <c r="O87" s="253"/>
      <c r="P87" s="253"/>
      <c r="Q87" s="253"/>
      <c r="R87" s="253" t="s">
        <v>111</v>
      </c>
      <c r="S87" s="253"/>
      <c r="T87" s="253" t="s">
        <v>119</v>
      </c>
      <c r="U87" s="223"/>
      <c r="V87" s="5"/>
    </row>
    <row r="88" spans="1:22" ht="15.6" x14ac:dyDescent="0.3">
      <c r="A88" s="190"/>
      <c r="B88" s="239" t="s">
        <v>28</v>
      </c>
      <c r="C88" s="239"/>
      <c r="D88" s="239"/>
      <c r="E88" s="239"/>
      <c r="F88" s="239"/>
      <c r="G88" s="239"/>
      <c r="H88" s="239"/>
      <c r="I88" s="239"/>
      <c r="J88" s="239"/>
      <c r="K88" s="239"/>
      <c r="L88" s="239"/>
      <c r="M88" s="239"/>
      <c r="N88" s="239"/>
      <c r="O88" s="239"/>
      <c r="P88" s="239"/>
      <c r="Q88" s="239"/>
      <c r="R88" s="243">
        <v>0</v>
      </c>
      <c r="S88" s="239"/>
      <c r="T88" s="251">
        <v>0</v>
      </c>
      <c r="U88" s="239"/>
      <c r="V88" s="5"/>
    </row>
    <row r="89" spans="1:22" ht="15.6" x14ac:dyDescent="0.3">
      <c r="A89" s="284"/>
      <c r="B89" s="285" t="s">
        <v>29</v>
      </c>
      <c r="C89" s="285"/>
      <c r="D89" s="285"/>
      <c r="E89" s="285"/>
      <c r="F89" s="285"/>
      <c r="G89" s="285"/>
      <c r="H89" s="324"/>
      <c r="I89" s="341"/>
      <c r="J89" s="324"/>
      <c r="K89" s="285"/>
      <c r="L89" s="342"/>
      <c r="M89" s="285"/>
      <c r="N89" s="285"/>
      <c r="O89" s="285"/>
      <c r="P89" s="285"/>
      <c r="Q89" s="285"/>
      <c r="R89" s="338">
        <f>4508-115</f>
        <v>4393</v>
      </c>
      <c r="S89" s="285"/>
      <c r="T89" s="339"/>
      <c r="U89" s="288"/>
      <c r="V89" s="5"/>
    </row>
    <row r="90" spans="1:22" ht="15.6" x14ac:dyDescent="0.3">
      <c r="A90" s="284"/>
      <c r="B90" s="285" t="s">
        <v>225</v>
      </c>
      <c r="C90" s="285"/>
      <c r="D90" s="285"/>
      <c r="E90" s="285"/>
      <c r="F90" s="285"/>
      <c r="G90" s="285"/>
      <c r="H90" s="324"/>
      <c r="I90" s="341"/>
      <c r="J90" s="324"/>
      <c r="K90" s="285"/>
      <c r="L90" s="342"/>
      <c r="M90" s="285"/>
      <c r="N90" s="285"/>
      <c r="O90" s="285"/>
      <c r="P90" s="285"/>
      <c r="Q90" s="285"/>
      <c r="R90" s="338"/>
      <c r="S90" s="285"/>
      <c r="T90" s="339">
        <f>2123+2548-334-317+26</f>
        <v>4046</v>
      </c>
      <c r="U90" s="288"/>
      <c r="V90" s="5"/>
    </row>
    <row r="91" spans="1:22" ht="15.6" x14ac:dyDescent="0.3">
      <c r="A91" s="284"/>
      <c r="B91" s="285" t="s">
        <v>220</v>
      </c>
      <c r="C91" s="285"/>
      <c r="D91" s="285"/>
      <c r="E91" s="285"/>
      <c r="F91" s="285"/>
      <c r="G91" s="285"/>
      <c r="H91" s="324"/>
      <c r="I91" s="341"/>
      <c r="J91" s="324"/>
      <c r="K91" s="285"/>
      <c r="L91" s="342"/>
      <c r="M91" s="285"/>
      <c r="N91" s="285"/>
      <c r="O91" s="285"/>
      <c r="P91" s="285"/>
      <c r="Q91" s="285"/>
      <c r="R91" s="338"/>
      <c r="S91" s="285"/>
      <c r="T91" s="339">
        <f>29+39</f>
        <v>68</v>
      </c>
      <c r="U91" s="288"/>
      <c r="V91" s="5"/>
    </row>
    <row r="92" spans="1:22" ht="15.6" x14ac:dyDescent="0.3">
      <c r="A92" s="284"/>
      <c r="B92" s="285" t="s">
        <v>221</v>
      </c>
      <c r="C92" s="285"/>
      <c r="D92" s="285"/>
      <c r="E92" s="285"/>
      <c r="F92" s="285"/>
      <c r="G92" s="285"/>
      <c r="H92" s="324"/>
      <c r="I92" s="341"/>
      <c r="J92" s="324"/>
      <c r="K92" s="285"/>
      <c r="L92" s="342"/>
      <c r="M92" s="285"/>
      <c r="N92" s="285"/>
      <c r="O92" s="285"/>
      <c r="P92" s="285"/>
      <c r="Q92" s="285"/>
      <c r="R92" s="338"/>
      <c r="S92" s="285"/>
      <c r="T92" s="339">
        <v>40</v>
      </c>
      <c r="U92" s="288"/>
      <c r="V92" s="5"/>
    </row>
    <row r="93" spans="1:22" ht="15.6" x14ac:dyDescent="0.3">
      <c r="A93" s="284"/>
      <c r="B93" s="285" t="s">
        <v>261</v>
      </c>
      <c r="C93" s="285"/>
      <c r="D93" s="285"/>
      <c r="E93" s="285"/>
      <c r="F93" s="285"/>
      <c r="G93" s="285"/>
      <c r="H93" s="324"/>
      <c r="I93" s="341"/>
      <c r="J93" s="324"/>
      <c r="K93" s="285"/>
      <c r="L93" s="342"/>
      <c r="M93" s="285"/>
      <c r="N93" s="285"/>
      <c r="O93" s="285"/>
      <c r="P93" s="285"/>
      <c r="Q93" s="285"/>
      <c r="R93" s="338"/>
      <c r="S93" s="285"/>
      <c r="T93" s="339">
        <v>0</v>
      </c>
      <c r="U93" s="288"/>
      <c r="V93" s="5"/>
    </row>
    <row r="94" spans="1:22" ht="15.6" x14ac:dyDescent="0.3">
      <c r="A94" s="284"/>
      <c r="B94" s="285" t="s">
        <v>141</v>
      </c>
      <c r="C94" s="285"/>
      <c r="D94" s="285"/>
      <c r="E94" s="285"/>
      <c r="F94" s="285"/>
      <c r="G94" s="285"/>
      <c r="H94" s="285"/>
      <c r="I94" s="285"/>
      <c r="J94" s="285"/>
      <c r="K94" s="285"/>
      <c r="L94" s="285"/>
      <c r="M94" s="285"/>
      <c r="N94" s="285"/>
      <c r="O94" s="285"/>
      <c r="P94" s="285"/>
      <c r="Q94" s="285"/>
      <c r="R94" s="338"/>
      <c r="S94" s="285"/>
      <c r="T94" s="339">
        <v>0</v>
      </c>
      <c r="U94" s="288"/>
      <c r="V94" s="5"/>
    </row>
    <row r="95" spans="1:22" ht="15.6" x14ac:dyDescent="0.3">
      <c r="A95" s="284"/>
      <c r="B95" s="285" t="s">
        <v>250</v>
      </c>
      <c r="C95" s="285"/>
      <c r="D95" s="285"/>
      <c r="E95" s="285"/>
      <c r="F95" s="285"/>
      <c r="G95" s="285"/>
      <c r="H95" s="285"/>
      <c r="I95" s="285"/>
      <c r="J95" s="285"/>
      <c r="K95" s="285"/>
      <c r="L95" s="285"/>
      <c r="M95" s="285"/>
      <c r="N95" s="285"/>
      <c r="O95" s="285"/>
      <c r="P95" s="285"/>
      <c r="Q95" s="285"/>
      <c r="R95" s="338"/>
      <c r="S95" s="285"/>
      <c r="T95" s="339">
        <v>0</v>
      </c>
      <c r="U95" s="288"/>
      <c r="V95" s="5"/>
    </row>
    <row r="96" spans="1:22" ht="15.6" x14ac:dyDescent="0.3">
      <c r="A96" s="284"/>
      <c r="B96" s="285" t="s">
        <v>30</v>
      </c>
      <c r="C96" s="285"/>
      <c r="D96" s="285"/>
      <c r="E96" s="285"/>
      <c r="F96" s="285"/>
      <c r="G96" s="285"/>
      <c r="H96" s="285"/>
      <c r="I96" s="285"/>
      <c r="J96" s="285"/>
      <c r="K96" s="285"/>
      <c r="L96" s="285"/>
      <c r="M96" s="285"/>
      <c r="N96" s="285"/>
      <c r="O96" s="285"/>
      <c r="P96" s="285"/>
      <c r="Q96" s="285"/>
      <c r="R96" s="338">
        <f>SUM(R88:R95)</f>
        <v>4393</v>
      </c>
      <c r="S96" s="285"/>
      <c r="T96" s="338">
        <f>SUM(T88:T95)</f>
        <v>4154</v>
      </c>
      <c r="U96" s="288"/>
      <c r="V96" s="5"/>
    </row>
    <row r="97" spans="1:24" ht="15.6" x14ac:dyDescent="0.3">
      <c r="A97" s="284"/>
      <c r="B97" s="285" t="s">
        <v>168</v>
      </c>
      <c r="C97" s="285"/>
      <c r="D97" s="285"/>
      <c r="E97" s="285"/>
      <c r="F97" s="285"/>
      <c r="G97" s="285"/>
      <c r="H97" s="285"/>
      <c r="I97" s="285"/>
      <c r="J97" s="285"/>
      <c r="K97" s="285"/>
      <c r="L97" s="285"/>
      <c r="M97" s="285"/>
      <c r="N97" s="285"/>
      <c r="O97" s="285"/>
      <c r="P97" s="285"/>
      <c r="Q97" s="285"/>
      <c r="R97" s="338">
        <v>-39</v>
      </c>
      <c r="S97" s="285"/>
      <c r="T97" s="338">
        <f>-R97</f>
        <v>39</v>
      </c>
      <c r="U97" s="288"/>
      <c r="V97" s="5"/>
    </row>
    <row r="98" spans="1:24" ht="15.6" x14ac:dyDescent="0.3">
      <c r="A98" s="284"/>
      <c r="B98" s="285" t="s">
        <v>31</v>
      </c>
      <c r="C98" s="285"/>
      <c r="D98" s="285"/>
      <c r="E98" s="285"/>
      <c r="F98" s="285"/>
      <c r="G98" s="285"/>
      <c r="H98" s="285"/>
      <c r="I98" s="285"/>
      <c r="J98" s="285"/>
      <c r="K98" s="285"/>
      <c r="L98" s="285"/>
      <c r="M98" s="285"/>
      <c r="N98" s="285"/>
      <c r="O98" s="285"/>
      <c r="P98" s="285"/>
      <c r="Q98" s="285"/>
      <c r="R98" s="338">
        <f>-T98</f>
        <v>0</v>
      </c>
      <c r="S98" s="285"/>
      <c r="T98" s="339">
        <v>0</v>
      </c>
      <c r="U98" s="288"/>
      <c r="V98" s="5"/>
    </row>
    <row r="99" spans="1:24" ht="15.6" x14ac:dyDescent="0.3">
      <c r="A99" s="284"/>
      <c r="B99" s="285" t="s">
        <v>273</v>
      </c>
      <c r="C99" s="285"/>
      <c r="D99" s="285"/>
      <c r="E99" s="285"/>
      <c r="F99" s="285"/>
      <c r="G99" s="285"/>
      <c r="H99" s="285"/>
      <c r="I99" s="285"/>
      <c r="J99" s="285"/>
      <c r="K99" s="285"/>
      <c r="L99" s="285"/>
      <c r="M99" s="285"/>
      <c r="N99" s="285"/>
      <c r="O99" s="285"/>
      <c r="P99" s="285"/>
      <c r="Q99" s="285"/>
      <c r="R99" s="338"/>
      <c r="S99" s="285"/>
      <c r="T99" s="339">
        <v>22</v>
      </c>
      <c r="U99" s="288"/>
      <c r="V99" s="5"/>
    </row>
    <row r="100" spans="1:24" ht="15.6" x14ac:dyDescent="0.3">
      <c r="A100" s="284"/>
      <c r="B100" s="285" t="s">
        <v>32</v>
      </c>
      <c r="C100" s="285"/>
      <c r="D100" s="285"/>
      <c r="E100" s="285"/>
      <c r="F100" s="285"/>
      <c r="G100" s="285"/>
      <c r="H100" s="285"/>
      <c r="I100" s="285"/>
      <c r="J100" s="285"/>
      <c r="K100" s="285"/>
      <c r="L100" s="285"/>
      <c r="M100" s="285"/>
      <c r="N100" s="285"/>
      <c r="O100" s="285"/>
      <c r="P100" s="285"/>
      <c r="Q100" s="285"/>
      <c r="R100" s="338">
        <f>R96+R98+R97</f>
        <v>4354</v>
      </c>
      <c r="S100" s="285"/>
      <c r="T100" s="338">
        <f>T96+T98+T97+T99</f>
        <v>4215</v>
      </c>
      <c r="U100" s="288"/>
      <c r="V100" s="5"/>
    </row>
    <row r="101" spans="1:24" ht="15.6" x14ac:dyDescent="0.3">
      <c r="A101" s="284"/>
      <c r="B101" s="343" t="s">
        <v>33</v>
      </c>
      <c r="C101" s="311"/>
      <c r="D101" s="311"/>
      <c r="E101" s="311"/>
      <c r="F101" s="311"/>
      <c r="G101" s="311"/>
      <c r="H101" s="311"/>
      <c r="I101" s="311"/>
      <c r="J101" s="311"/>
      <c r="K101" s="311"/>
      <c r="L101" s="311"/>
      <c r="M101" s="311"/>
      <c r="N101" s="311"/>
      <c r="O101" s="311"/>
      <c r="P101" s="311"/>
      <c r="Q101" s="311"/>
      <c r="R101" s="344"/>
      <c r="S101" s="311"/>
      <c r="T101" s="345"/>
      <c r="U101" s="317"/>
      <c r="V101" s="5"/>
    </row>
    <row r="102" spans="1:24" ht="15.6" x14ac:dyDescent="0.3">
      <c r="A102" s="337">
        <v>1</v>
      </c>
      <c r="B102" s="285" t="s">
        <v>34</v>
      </c>
      <c r="C102" s="285"/>
      <c r="D102" s="285"/>
      <c r="E102" s="285"/>
      <c r="F102" s="285"/>
      <c r="G102" s="285"/>
      <c r="H102" s="285"/>
      <c r="I102" s="285"/>
      <c r="J102" s="285"/>
      <c r="K102" s="285"/>
      <c r="L102" s="285"/>
      <c r="M102" s="285"/>
      <c r="N102" s="285"/>
      <c r="O102" s="285"/>
      <c r="P102" s="285"/>
      <c r="Q102" s="285"/>
      <c r="R102" s="285"/>
      <c r="S102" s="285"/>
      <c r="T102" s="339">
        <v>0</v>
      </c>
      <c r="U102" s="288"/>
      <c r="V102" s="5"/>
    </row>
    <row r="103" spans="1:24" ht="15.6" x14ac:dyDescent="0.3">
      <c r="A103" s="337">
        <f>+A102+1</f>
        <v>2</v>
      </c>
      <c r="B103" s="285" t="s">
        <v>255</v>
      </c>
      <c r="C103" s="285"/>
      <c r="D103" s="285"/>
      <c r="E103" s="285"/>
      <c r="F103" s="285"/>
      <c r="G103" s="285"/>
      <c r="H103" s="285"/>
      <c r="I103" s="285"/>
      <c r="J103" s="285"/>
      <c r="K103" s="285"/>
      <c r="L103" s="285"/>
      <c r="M103" s="285"/>
      <c r="N103" s="285"/>
      <c r="O103" s="285"/>
      <c r="P103" s="285"/>
      <c r="Q103" s="285"/>
      <c r="R103" s="285"/>
      <c r="S103" s="285"/>
      <c r="T103" s="339">
        <v>-2</v>
      </c>
      <c r="U103" s="288"/>
      <c r="V103" s="5"/>
    </row>
    <row r="104" spans="1:24" ht="15.6" x14ac:dyDescent="0.3">
      <c r="A104" s="337">
        <f>+A103+1</f>
        <v>3</v>
      </c>
      <c r="B104" s="285" t="s">
        <v>213</v>
      </c>
      <c r="C104" s="285"/>
      <c r="D104" s="285"/>
      <c r="E104" s="285"/>
      <c r="F104" s="285"/>
      <c r="G104" s="285"/>
      <c r="H104" s="285"/>
      <c r="I104" s="285"/>
      <c r="J104" s="285"/>
      <c r="K104" s="285"/>
      <c r="L104" s="285"/>
      <c r="M104" s="285"/>
      <c r="N104" s="285"/>
      <c r="O104" s="285"/>
      <c r="P104" s="285"/>
      <c r="Q104" s="285"/>
      <c r="R104" s="285"/>
      <c r="S104" s="285"/>
      <c r="T104" s="339">
        <f>-225-95-7</f>
        <v>-327</v>
      </c>
      <c r="U104" s="288"/>
      <c r="V104" s="5"/>
    </row>
    <row r="105" spans="1:24" ht="15.6" x14ac:dyDescent="0.3">
      <c r="A105" s="337" t="s">
        <v>133</v>
      </c>
      <c r="B105" s="285" t="s">
        <v>122</v>
      </c>
      <c r="C105" s="285"/>
      <c r="D105" s="285"/>
      <c r="E105" s="285"/>
      <c r="F105" s="285"/>
      <c r="G105" s="285"/>
      <c r="H105" s="285"/>
      <c r="I105" s="285"/>
      <c r="J105" s="285"/>
      <c r="K105" s="285"/>
      <c r="L105" s="285"/>
      <c r="M105" s="285"/>
      <c r="N105" s="285"/>
      <c r="O105" s="285"/>
      <c r="P105" s="285"/>
      <c r="Q105" s="285"/>
      <c r="R105" s="285"/>
      <c r="S105" s="285"/>
      <c r="T105" s="339">
        <v>-235</v>
      </c>
      <c r="U105" s="288"/>
      <c r="V105" s="5"/>
    </row>
    <row r="106" spans="1:24" ht="15.6" x14ac:dyDescent="0.3">
      <c r="A106" s="337" t="s">
        <v>134</v>
      </c>
      <c r="B106" s="285" t="s">
        <v>194</v>
      </c>
      <c r="C106" s="285"/>
      <c r="D106" s="285"/>
      <c r="E106" s="285"/>
      <c r="F106" s="285"/>
      <c r="G106" s="285"/>
      <c r="H106" s="285"/>
      <c r="I106" s="285"/>
      <c r="J106" s="285"/>
      <c r="K106" s="285"/>
      <c r="L106" s="285"/>
      <c r="M106" s="285"/>
      <c r="N106" s="285"/>
      <c r="O106" s="285"/>
      <c r="P106" s="285"/>
      <c r="Q106" s="285"/>
      <c r="R106" s="285"/>
      <c r="S106" s="285"/>
      <c r="T106" s="339">
        <f>-1026+176</f>
        <v>-850</v>
      </c>
      <c r="U106" s="288"/>
      <c r="V106" s="5"/>
      <c r="W106" s="109"/>
    </row>
    <row r="107" spans="1:24" ht="15.6" x14ac:dyDescent="0.3">
      <c r="A107" s="337" t="s">
        <v>156</v>
      </c>
      <c r="B107" s="285" t="s">
        <v>191</v>
      </c>
      <c r="C107" s="285"/>
      <c r="D107" s="285"/>
      <c r="E107" s="285"/>
      <c r="F107" s="285"/>
      <c r="G107" s="285"/>
      <c r="H107" s="285"/>
      <c r="I107" s="285"/>
      <c r="J107" s="285"/>
      <c r="K107" s="285"/>
      <c r="L107" s="285"/>
      <c r="M107" s="285"/>
      <c r="N107" s="285"/>
      <c r="O107" s="285"/>
      <c r="P107" s="285"/>
      <c r="Q107" s="285"/>
      <c r="R107" s="285"/>
      <c r="S107" s="285"/>
      <c r="T107" s="339">
        <v>-176</v>
      </c>
      <c r="U107" s="288"/>
      <c r="V107" s="5"/>
      <c r="W107" s="109"/>
    </row>
    <row r="108" spans="1:24" ht="15.6" x14ac:dyDescent="0.3">
      <c r="A108" s="337" t="s">
        <v>214</v>
      </c>
      <c r="B108" s="285" t="s">
        <v>192</v>
      </c>
      <c r="C108" s="285"/>
      <c r="D108" s="285"/>
      <c r="E108" s="285"/>
      <c r="F108" s="285"/>
      <c r="G108" s="285"/>
      <c r="H108" s="285"/>
      <c r="I108" s="285"/>
      <c r="J108" s="285"/>
      <c r="K108" s="285"/>
      <c r="L108" s="285"/>
      <c r="M108" s="285"/>
      <c r="N108" s="285"/>
      <c r="O108" s="285"/>
      <c r="P108" s="285"/>
      <c r="Q108" s="285"/>
      <c r="R108" s="285"/>
      <c r="S108" s="285"/>
      <c r="T108" s="339">
        <v>-146</v>
      </c>
      <c r="U108" s="288"/>
      <c r="V108" s="5"/>
      <c r="W108" s="109"/>
      <c r="X108" s="109"/>
    </row>
    <row r="109" spans="1:24" ht="15.6" x14ac:dyDescent="0.3">
      <c r="A109" s="337" t="s">
        <v>215</v>
      </c>
      <c r="B109" s="285" t="s">
        <v>193</v>
      </c>
      <c r="C109" s="285"/>
      <c r="D109" s="285"/>
      <c r="E109" s="285"/>
      <c r="F109" s="285"/>
      <c r="G109" s="285"/>
      <c r="H109" s="285"/>
      <c r="I109" s="285"/>
      <c r="J109" s="285"/>
      <c r="K109" s="285"/>
      <c r="L109" s="285"/>
      <c r="M109" s="285"/>
      <c r="N109" s="285"/>
      <c r="O109" s="285"/>
      <c r="P109" s="285"/>
      <c r="Q109" s="285"/>
      <c r="R109" s="285"/>
      <c r="S109" s="285"/>
      <c r="T109" s="339">
        <v>-41</v>
      </c>
      <c r="U109" s="288"/>
      <c r="V109" s="169"/>
      <c r="W109" s="109"/>
    </row>
    <row r="110" spans="1:24" ht="15.6" x14ac:dyDescent="0.3">
      <c r="A110" s="337" t="s">
        <v>216</v>
      </c>
      <c r="B110" s="285" t="s">
        <v>204</v>
      </c>
      <c r="C110" s="285"/>
      <c r="D110" s="285"/>
      <c r="E110" s="285"/>
      <c r="F110" s="285"/>
      <c r="G110" s="285"/>
      <c r="H110" s="285"/>
      <c r="I110" s="285"/>
      <c r="J110" s="285"/>
      <c r="K110" s="285"/>
      <c r="L110" s="285"/>
      <c r="M110" s="285"/>
      <c r="N110" s="285"/>
      <c r="O110" s="285"/>
      <c r="P110" s="285"/>
      <c r="Q110" s="285"/>
      <c r="R110" s="285"/>
      <c r="S110" s="285"/>
      <c r="T110" s="339">
        <v>-192</v>
      </c>
      <c r="U110" s="288"/>
      <c r="V110" s="5"/>
      <c r="W110" s="109"/>
    </row>
    <row r="111" spans="1:24" ht="15.6" x14ac:dyDescent="0.3">
      <c r="A111" s="337">
        <v>7</v>
      </c>
      <c r="B111" s="285" t="s">
        <v>35</v>
      </c>
      <c r="C111" s="285"/>
      <c r="D111" s="285"/>
      <c r="E111" s="285"/>
      <c r="F111" s="285"/>
      <c r="G111" s="285"/>
      <c r="H111" s="285"/>
      <c r="I111" s="285"/>
      <c r="J111" s="285"/>
      <c r="K111" s="285"/>
      <c r="L111" s="285"/>
      <c r="M111" s="285"/>
      <c r="N111" s="285"/>
      <c r="O111" s="285"/>
      <c r="P111" s="285"/>
      <c r="Q111" s="285"/>
      <c r="R111" s="285"/>
      <c r="S111" s="285"/>
      <c r="T111" s="339">
        <v>-10</v>
      </c>
      <c r="U111" s="288"/>
      <c r="V111" s="5"/>
    </row>
    <row r="112" spans="1:24" ht="15.6" x14ac:dyDescent="0.3">
      <c r="A112" s="337">
        <f t="shared" ref="A112:A117" si="0">+A111+1</f>
        <v>8</v>
      </c>
      <c r="B112" s="285" t="s">
        <v>46</v>
      </c>
      <c r="C112" s="285"/>
      <c r="D112" s="285"/>
      <c r="E112" s="285"/>
      <c r="F112" s="285"/>
      <c r="G112" s="285"/>
      <c r="H112" s="285"/>
      <c r="I112" s="285"/>
      <c r="J112" s="285"/>
      <c r="K112" s="285"/>
      <c r="L112" s="285"/>
      <c r="M112" s="285"/>
      <c r="N112" s="285"/>
      <c r="O112" s="285"/>
      <c r="P112" s="285"/>
      <c r="Q112" s="285"/>
      <c r="R112" s="338">
        <f>-T112</f>
        <v>115</v>
      </c>
      <c r="S112" s="285"/>
      <c r="T112" s="339">
        <v>-115</v>
      </c>
      <c r="U112" s="288"/>
      <c r="V112" s="5"/>
    </row>
    <row r="113" spans="1:22" ht="15.6" x14ac:dyDescent="0.3">
      <c r="A113" s="337">
        <f t="shared" si="0"/>
        <v>9</v>
      </c>
      <c r="B113" s="285" t="s">
        <v>131</v>
      </c>
      <c r="C113" s="285"/>
      <c r="D113" s="285"/>
      <c r="E113" s="285"/>
      <c r="F113" s="285"/>
      <c r="G113" s="285"/>
      <c r="H113" s="285"/>
      <c r="I113" s="285"/>
      <c r="J113" s="285"/>
      <c r="K113" s="285"/>
      <c r="L113" s="285"/>
      <c r="M113" s="285"/>
      <c r="N113" s="285"/>
      <c r="O113" s="285"/>
      <c r="P113" s="285"/>
      <c r="Q113" s="285"/>
      <c r="R113" s="285"/>
      <c r="S113" s="285"/>
      <c r="T113" s="339">
        <v>0</v>
      </c>
      <c r="U113" s="288"/>
      <c r="V113" s="5"/>
    </row>
    <row r="114" spans="1:22" ht="15.6" x14ac:dyDescent="0.3">
      <c r="A114" s="337">
        <f t="shared" si="0"/>
        <v>10</v>
      </c>
      <c r="B114" s="285" t="s">
        <v>36</v>
      </c>
      <c r="C114" s="285"/>
      <c r="D114" s="285"/>
      <c r="E114" s="285"/>
      <c r="F114" s="285"/>
      <c r="G114" s="285"/>
      <c r="H114" s="285"/>
      <c r="I114" s="285"/>
      <c r="J114" s="285"/>
      <c r="K114" s="285"/>
      <c r="L114" s="285"/>
      <c r="M114" s="285"/>
      <c r="N114" s="285"/>
      <c r="O114" s="285"/>
      <c r="P114" s="285"/>
      <c r="Q114" s="285"/>
      <c r="R114" s="285"/>
      <c r="S114" s="285"/>
      <c r="T114" s="339">
        <v>0</v>
      </c>
      <c r="U114" s="288"/>
      <c r="V114" s="5"/>
    </row>
    <row r="115" spans="1:22" ht="15.6" x14ac:dyDescent="0.3">
      <c r="A115" s="337">
        <f t="shared" si="0"/>
        <v>11</v>
      </c>
      <c r="B115" s="285" t="s">
        <v>37</v>
      </c>
      <c r="C115" s="285"/>
      <c r="D115" s="285"/>
      <c r="E115" s="285"/>
      <c r="F115" s="285"/>
      <c r="G115" s="285"/>
      <c r="H115" s="285"/>
      <c r="I115" s="285"/>
      <c r="J115" s="285"/>
      <c r="K115" s="285"/>
      <c r="L115" s="285"/>
      <c r="M115" s="285"/>
      <c r="N115" s="285"/>
      <c r="O115" s="285"/>
      <c r="P115" s="285"/>
      <c r="Q115" s="285"/>
      <c r="R115" s="285"/>
      <c r="S115" s="285"/>
      <c r="T115" s="339">
        <v>0</v>
      </c>
      <c r="U115" s="288"/>
      <c r="V115" s="5"/>
    </row>
    <row r="116" spans="1:22" ht="15.6" x14ac:dyDescent="0.3">
      <c r="A116" s="337">
        <f t="shared" si="0"/>
        <v>12</v>
      </c>
      <c r="B116" s="285" t="s">
        <v>155</v>
      </c>
      <c r="C116" s="285"/>
      <c r="D116" s="285"/>
      <c r="E116" s="285"/>
      <c r="F116" s="285"/>
      <c r="G116" s="285"/>
      <c r="H116" s="285"/>
      <c r="I116" s="285"/>
      <c r="J116" s="285"/>
      <c r="K116" s="285"/>
      <c r="L116" s="285"/>
      <c r="M116" s="285"/>
      <c r="N116" s="285"/>
      <c r="O116" s="285"/>
      <c r="P116" s="285"/>
      <c r="Q116" s="285"/>
      <c r="R116" s="285"/>
      <c r="S116" s="285"/>
      <c r="T116" s="339">
        <v>-224</v>
      </c>
      <c r="U116" s="288"/>
      <c r="V116" s="5"/>
    </row>
    <row r="117" spans="1:22" ht="15.6" x14ac:dyDescent="0.3">
      <c r="A117" s="337">
        <f t="shared" si="0"/>
        <v>13</v>
      </c>
      <c r="B117" s="285" t="s">
        <v>132</v>
      </c>
      <c r="C117" s="285"/>
      <c r="D117" s="285"/>
      <c r="E117" s="285"/>
      <c r="F117" s="285"/>
      <c r="G117" s="285"/>
      <c r="H117" s="285"/>
      <c r="I117" s="285"/>
      <c r="J117" s="285"/>
      <c r="K117" s="285"/>
      <c r="L117" s="285"/>
      <c r="M117" s="285"/>
      <c r="N117" s="285"/>
      <c r="O117" s="285"/>
      <c r="P117" s="285"/>
      <c r="Q117" s="285"/>
      <c r="R117" s="285"/>
      <c r="S117" s="285"/>
      <c r="T117" s="339">
        <f>-T100-SUM(T102:T116)</f>
        <v>-1897</v>
      </c>
      <c r="U117" s="288"/>
      <c r="V117" s="5"/>
    </row>
    <row r="118" spans="1:22" ht="15.6" x14ac:dyDescent="0.3">
      <c r="A118" s="284"/>
      <c r="B118" s="343" t="s">
        <v>38</v>
      </c>
      <c r="C118" s="311"/>
      <c r="D118" s="311"/>
      <c r="E118" s="311"/>
      <c r="F118" s="311"/>
      <c r="G118" s="311"/>
      <c r="H118" s="311"/>
      <c r="I118" s="311"/>
      <c r="J118" s="311"/>
      <c r="K118" s="311"/>
      <c r="L118" s="311"/>
      <c r="M118" s="311"/>
      <c r="N118" s="311"/>
      <c r="O118" s="311"/>
      <c r="P118" s="311"/>
      <c r="Q118" s="311"/>
      <c r="R118" s="311"/>
      <c r="S118" s="311"/>
      <c r="T118" s="346"/>
      <c r="U118" s="317"/>
      <c r="V118" s="5"/>
    </row>
    <row r="119" spans="1:22" ht="15.6" x14ac:dyDescent="0.3">
      <c r="A119" s="337"/>
      <c r="B119" s="285" t="s">
        <v>180</v>
      </c>
      <c r="C119" s="285"/>
      <c r="D119" s="285"/>
      <c r="E119" s="285"/>
      <c r="F119" s="285"/>
      <c r="G119" s="285"/>
      <c r="H119" s="285"/>
      <c r="I119" s="285"/>
      <c r="J119" s="285"/>
      <c r="K119" s="285"/>
      <c r="L119" s="285"/>
      <c r="M119" s="285"/>
      <c r="N119" s="285"/>
      <c r="O119" s="285"/>
      <c r="P119" s="285"/>
      <c r="Q119" s="285"/>
      <c r="R119" s="338">
        <f>-R177</f>
        <v>0</v>
      </c>
      <c r="S119" s="338"/>
      <c r="T119" s="339"/>
      <c r="U119" s="288"/>
      <c r="V119" s="5"/>
    </row>
    <row r="120" spans="1:22" ht="15.6" x14ac:dyDescent="0.3">
      <c r="A120" s="337"/>
      <c r="B120" s="285" t="s">
        <v>181</v>
      </c>
      <c r="C120" s="285"/>
      <c r="D120" s="285"/>
      <c r="E120" s="285"/>
      <c r="F120" s="285"/>
      <c r="G120" s="285"/>
      <c r="H120" s="285"/>
      <c r="I120" s="285"/>
      <c r="J120" s="285"/>
      <c r="K120" s="285"/>
      <c r="L120" s="285"/>
      <c r="M120" s="285"/>
      <c r="N120" s="285"/>
      <c r="O120" s="285"/>
      <c r="P120" s="285"/>
      <c r="Q120" s="285"/>
      <c r="R120" s="338">
        <v>-4</v>
      </c>
      <c r="S120" s="338"/>
      <c r="T120" s="339"/>
      <c r="U120" s="288"/>
      <c r="V120" s="5"/>
    </row>
    <row r="121" spans="1:22" ht="15.6" x14ac:dyDescent="0.3">
      <c r="A121" s="337"/>
      <c r="B121" s="285" t="s">
        <v>39</v>
      </c>
      <c r="C121" s="285"/>
      <c r="D121" s="285"/>
      <c r="E121" s="285"/>
      <c r="F121" s="285"/>
      <c r="G121" s="285"/>
      <c r="H121" s="285"/>
      <c r="I121" s="285"/>
      <c r="J121" s="285"/>
      <c r="K121" s="285"/>
      <c r="L121" s="285"/>
      <c r="M121" s="285"/>
      <c r="N121" s="285"/>
      <c r="O121" s="285"/>
      <c r="P121" s="285"/>
      <c r="Q121" s="285"/>
      <c r="R121" s="338">
        <f>-Q177</f>
        <v>-104</v>
      </c>
      <c r="S121" s="338"/>
      <c r="T121" s="339"/>
      <c r="U121" s="288"/>
      <c r="V121" s="5"/>
    </row>
    <row r="122" spans="1:22" ht="15.6" x14ac:dyDescent="0.3">
      <c r="A122" s="337"/>
      <c r="B122" s="285" t="s">
        <v>205</v>
      </c>
      <c r="C122" s="285"/>
      <c r="D122" s="285"/>
      <c r="E122" s="285"/>
      <c r="F122" s="285"/>
      <c r="G122" s="285"/>
      <c r="H122" s="285"/>
      <c r="I122" s="285"/>
      <c r="J122" s="285"/>
      <c r="K122" s="285"/>
      <c r="L122" s="285"/>
      <c r="M122" s="285"/>
      <c r="N122" s="285"/>
      <c r="O122" s="285"/>
      <c r="P122" s="285"/>
      <c r="Q122" s="285"/>
      <c r="R122" s="338">
        <v>-2852</v>
      </c>
      <c r="S122" s="338"/>
      <c r="T122" s="339"/>
      <c r="U122" s="288"/>
      <c r="V122" s="5"/>
    </row>
    <row r="123" spans="1:22" ht="15.6" x14ac:dyDescent="0.3">
      <c r="A123" s="337"/>
      <c r="B123" s="285" t="s">
        <v>203</v>
      </c>
      <c r="C123" s="285"/>
      <c r="D123" s="285"/>
      <c r="E123" s="285"/>
      <c r="F123" s="285"/>
      <c r="G123" s="285"/>
      <c r="H123" s="285"/>
      <c r="I123" s="285"/>
      <c r="J123" s="285"/>
      <c r="K123" s="285"/>
      <c r="L123" s="285"/>
      <c r="M123" s="285"/>
      <c r="N123" s="285"/>
      <c r="O123" s="285"/>
      <c r="P123" s="285"/>
      <c r="Q123" s="285"/>
      <c r="R123" s="338">
        <v>-751</v>
      </c>
      <c r="S123" s="338"/>
      <c r="T123" s="339"/>
      <c r="U123" s="288"/>
      <c r="V123" s="5"/>
    </row>
    <row r="124" spans="1:22" ht="15.6" x14ac:dyDescent="0.3">
      <c r="A124" s="337"/>
      <c r="B124" s="285" t="s">
        <v>202</v>
      </c>
      <c r="C124" s="285"/>
      <c r="D124" s="285"/>
      <c r="E124" s="285"/>
      <c r="F124" s="285"/>
      <c r="G124" s="285"/>
      <c r="H124" s="285"/>
      <c r="I124" s="285"/>
      <c r="J124" s="285"/>
      <c r="K124" s="285"/>
      <c r="L124" s="285"/>
      <c r="M124" s="285"/>
      <c r="N124" s="285"/>
      <c r="O124" s="285"/>
      <c r="P124" s="285"/>
      <c r="Q124" s="285"/>
      <c r="R124" s="338">
        <v>-758</v>
      </c>
      <c r="S124" s="338"/>
      <c r="T124" s="339"/>
      <c r="U124" s="288"/>
      <c r="V124" s="5"/>
    </row>
    <row r="125" spans="1:22" ht="15.6" x14ac:dyDescent="0.3">
      <c r="A125" s="337"/>
      <c r="B125" s="285" t="s">
        <v>197</v>
      </c>
      <c r="C125" s="285"/>
      <c r="D125" s="285"/>
      <c r="E125" s="285"/>
      <c r="F125" s="285"/>
      <c r="G125" s="285"/>
      <c r="H125" s="285"/>
      <c r="I125" s="285"/>
      <c r="J125" s="285"/>
      <c r="K125" s="285"/>
      <c r="L125" s="285"/>
      <c r="M125" s="285"/>
      <c r="N125" s="285"/>
      <c r="O125" s="285"/>
      <c r="P125" s="285"/>
      <c r="Q125" s="285"/>
      <c r="R125" s="338">
        <v>0</v>
      </c>
      <c r="S125" s="338"/>
      <c r="T125" s="339"/>
      <c r="U125" s="288"/>
      <c r="V125" s="5"/>
    </row>
    <row r="126" spans="1:22" ht="15.6" x14ac:dyDescent="0.3">
      <c r="A126" s="337"/>
      <c r="B126" s="285" t="s">
        <v>196</v>
      </c>
      <c r="C126" s="285"/>
      <c r="D126" s="285"/>
      <c r="E126" s="285"/>
      <c r="F126" s="285"/>
      <c r="G126" s="285"/>
      <c r="H126" s="285"/>
      <c r="I126" s="285"/>
      <c r="J126" s="285"/>
      <c r="K126" s="285"/>
      <c r="L126" s="285"/>
      <c r="M126" s="285"/>
      <c r="N126" s="285"/>
      <c r="O126" s="285"/>
      <c r="P126" s="285"/>
      <c r="Q126" s="285"/>
      <c r="R126" s="338">
        <v>0</v>
      </c>
      <c r="S126" s="338"/>
      <c r="T126" s="339"/>
      <c r="U126" s="288"/>
      <c r="V126" s="5"/>
    </row>
    <row r="127" spans="1:22" ht="15.6" x14ac:dyDescent="0.3">
      <c r="A127" s="337"/>
      <c r="B127" s="285" t="s">
        <v>195</v>
      </c>
      <c r="C127" s="285"/>
      <c r="D127" s="285"/>
      <c r="E127" s="285"/>
      <c r="F127" s="285"/>
      <c r="G127" s="285"/>
      <c r="H127" s="285"/>
      <c r="I127" s="285"/>
      <c r="J127" s="285"/>
      <c r="K127" s="285"/>
      <c r="L127" s="285"/>
      <c r="M127" s="285"/>
      <c r="N127" s="285"/>
      <c r="O127" s="285"/>
      <c r="P127" s="285"/>
      <c r="Q127" s="285"/>
      <c r="R127" s="338">
        <v>0</v>
      </c>
      <c r="S127" s="338"/>
      <c r="T127" s="339"/>
      <c r="U127" s="288"/>
      <c r="V127" s="5"/>
    </row>
    <row r="128" spans="1:22" ht="15.6" x14ac:dyDescent="0.3">
      <c r="A128" s="337"/>
      <c r="B128" s="285" t="s">
        <v>40</v>
      </c>
      <c r="C128" s="285"/>
      <c r="D128" s="285"/>
      <c r="E128" s="285"/>
      <c r="F128" s="285"/>
      <c r="G128" s="285"/>
      <c r="H128" s="285"/>
      <c r="I128" s="285"/>
      <c r="J128" s="285"/>
      <c r="K128" s="285"/>
      <c r="L128" s="285"/>
      <c r="M128" s="285"/>
      <c r="N128" s="285"/>
      <c r="O128" s="285"/>
      <c r="P128" s="285"/>
      <c r="Q128" s="285"/>
      <c r="R128" s="338">
        <f>SUM(R119:R127)</f>
        <v>-4469</v>
      </c>
      <c r="S128" s="338"/>
      <c r="T128" s="338">
        <f>SUM(T101:T126)</f>
        <v>-4215</v>
      </c>
      <c r="U128" s="288"/>
      <c r="V128" s="5"/>
    </row>
    <row r="129" spans="1:23" ht="15.6" x14ac:dyDescent="0.3">
      <c r="A129" s="337"/>
      <c r="B129" s="285" t="s">
        <v>41</v>
      </c>
      <c r="C129" s="285"/>
      <c r="D129" s="285"/>
      <c r="E129" s="285"/>
      <c r="F129" s="285"/>
      <c r="G129" s="285"/>
      <c r="H129" s="285"/>
      <c r="I129" s="285"/>
      <c r="J129" s="285"/>
      <c r="K129" s="285"/>
      <c r="L129" s="285"/>
      <c r="M129" s="285"/>
      <c r="N129" s="285"/>
      <c r="O129" s="285"/>
      <c r="P129" s="285"/>
      <c r="Q129" s="285"/>
      <c r="R129" s="338">
        <f>R100+R128+R112</f>
        <v>0</v>
      </c>
      <c r="S129" s="338"/>
      <c r="T129" s="338">
        <f>T100+T128</f>
        <v>0</v>
      </c>
      <c r="U129" s="288"/>
      <c r="V129" s="5"/>
    </row>
    <row r="130" spans="1:23" ht="15.6" x14ac:dyDescent="0.3">
      <c r="A130" s="256"/>
      <c r="B130" s="281"/>
      <c r="C130" s="281"/>
      <c r="D130" s="281"/>
      <c r="E130" s="281"/>
      <c r="F130" s="281"/>
      <c r="G130" s="281"/>
      <c r="H130" s="281"/>
      <c r="I130" s="281"/>
      <c r="J130" s="281"/>
      <c r="K130" s="281"/>
      <c r="L130" s="281"/>
      <c r="M130" s="281"/>
      <c r="N130" s="281"/>
      <c r="O130" s="281"/>
      <c r="P130" s="281"/>
      <c r="Q130" s="281"/>
      <c r="R130" s="340"/>
      <c r="S130" s="340"/>
      <c r="T130" s="340"/>
      <c r="U130" s="281"/>
      <c r="V130" s="5"/>
    </row>
    <row r="131" spans="1:23" ht="15.6" x14ac:dyDescent="0.3">
      <c r="A131" s="256"/>
      <c r="B131" s="231"/>
      <c r="C131" s="231"/>
      <c r="D131" s="231"/>
      <c r="E131" s="231"/>
      <c r="F131" s="231"/>
      <c r="G131" s="231"/>
      <c r="H131" s="231"/>
      <c r="I131" s="231"/>
      <c r="J131" s="231"/>
      <c r="K131" s="231"/>
      <c r="L131" s="231"/>
      <c r="M131" s="231"/>
      <c r="N131" s="231"/>
      <c r="O131" s="231"/>
      <c r="P131" s="231"/>
      <c r="Q131" s="231"/>
      <c r="R131" s="231"/>
      <c r="S131" s="231"/>
      <c r="T131" s="257"/>
      <c r="U131" s="231"/>
      <c r="V131" s="5"/>
    </row>
    <row r="132" spans="1:23" ht="18" thickBot="1" x14ac:dyDescent="0.35">
      <c r="A132" s="258"/>
      <c r="B132" s="246" t="str">
        <f>B64</f>
        <v>PM11 INVESTOR REPORT QUARTER ENDING DECEMBER 2010</v>
      </c>
      <c r="C132" s="247"/>
      <c r="D132" s="247"/>
      <c r="E132" s="247"/>
      <c r="F132" s="247"/>
      <c r="G132" s="247"/>
      <c r="H132" s="247"/>
      <c r="I132" s="247"/>
      <c r="J132" s="247"/>
      <c r="K132" s="247"/>
      <c r="L132" s="247"/>
      <c r="M132" s="247"/>
      <c r="N132" s="247"/>
      <c r="O132" s="247"/>
      <c r="P132" s="247"/>
      <c r="Q132" s="247"/>
      <c r="R132" s="247"/>
      <c r="S132" s="247"/>
      <c r="T132" s="259"/>
      <c r="U132" s="249"/>
      <c r="V132" s="5"/>
    </row>
    <row r="133" spans="1:23" ht="15.6" x14ac:dyDescent="0.3">
      <c r="A133" s="260"/>
      <c r="B133" s="263" t="s">
        <v>42</v>
      </c>
      <c r="C133" s="261"/>
      <c r="D133" s="261"/>
      <c r="E133" s="261"/>
      <c r="F133" s="261"/>
      <c r="G133" s="261"/>
      <c r="H133" s="261"/>
      <c r="I133" s="261"/>
      <c r="J133" s="261"/>
      <c r="K133" s="261"/>
      <c r="L133" s="261"/>
      <c r="M133" s="261"/>
      <c r="N133" s="261"/>
      <c r="O133" s="261"/>
      <c r="P133" s="261"/>
      <c r="Q133" s="261"/>
      <c r="R133" s="261"/>
      <c r="S133" s="261"/>
      <c r="T133" s="262"/>
      <c r="U133" s="261"/>
      <c r="V133" s="5"/>
    </row>
    <row r="134" spans="1:23" ht="15.6" x14ac:dyDescent="0.3">
      <c r="A134" s="175"/>
      <c r="B134" s="187"/>
      <c r="C134" s="177"/>
      <c r="D134" s="177"/>
      <c r="E134" s="177"/>
      <c r="F134" s="177"/>
      <c r="G134" s="177"/>
      <c r="H134" s="177"/>
      <c r="I134" s="177"/>
      <c r="J134" s="177"/>
      <c r="K134" s="177"/>
      <c r="L134" s="177"/>
      <c r="M134" s="177"/>
      <c r="N134" s="177"/>
      <c r="O134" s="177"/>
      <c r="P134" s="177"/>
      <c r="Q134" s="177"/>
      <c r="R134" s="177"/>
      <c r="S134" s="177"/>
      <c r="T134" s="194"/>
      <c r="U134" s="177"/>
      <c r="V134" s="5"/>
    </row>
    <row r="135" spans="1:23" ht="15.6" x14ac:dyDescent="0.3">
      <c r="A135" s="175"/>
      <c r="B135" s="201" t="s">
        <v>43</v>
      </c>
      <c r="C135" s="177"/>
      <c r="D135" s="177"/>
      <c r="E135" s="177"/>
      <c r="F135" s="177"/>
      <c r="G135" s="177"/>
      <c r="H135" s="177"/>
      <c r="I135" s="177"/>
      <c r="J135" s="177"/>
      <c r="K135" s="177"/>
      <c r="L135" s="177"/>
      <c r="M135" s="177"/>
      <c r="N135" s="177"/>
      <c r="O135" s="177"/>
      <c r="P135" s="177"/>
      <c r="Q135" s="177"/>
      <c r="R135" s="177"/>
      <c r="S135" s="177"/>
      <c r="T135" s="194"/>
      <c r="U135" s="177"/>
      <c r="V135" s="5"/>
    </row>
    <row r="136" spans="1:23" ht="15.6" x14ac:dyDescent="0.3">
      <c r="A136" s="284"/>
      <c r="B136" s="285" t="s">
        <v>44</v>
      </c>
      <c r="C136" s="285"/>
      <c r="D136" s="285"/>
      <c r="E136" s="285"/>
      <c r="F136" s="285"/>
      <c r="G136" s="285"/>
      <c r="H136" s="285"/>
      <c r="I136" s="285"/>
      <c r="J136" s="285"/>
      <c r="K136" s="285"/>
      <c r="L136" s="285"/>
      <c r="M136" s="285"/>
      <c r="N136" s="285"/>
      <c r="O136" s="285"/>
      <c r="P136" s="285"/>
      <c r="Q136" s="285"/>
      <c r="R136" s="285"/>
      <c r="S136" s="285"/>
      <c r="T136" s="339">
        <f>+T34*0.019</f>
        <v>19000.95</v>
      </c>
      <c r="U136" s="288"/>
      <c r="V136" s="5"/>
    </row>
    <row r="137" spans="1:23" ht="15.6" x14ac:dyDescent="0.3">
      <c r="A137" s="284"/>
      <c r="B137" s="285" t="s">
        <v>45</v>
      </c>
      <c r="C137" s="285"/>
      <c r="D137" s="285"/>
      <c r="E137" s="285"/>
      <c r="F137" s="285"/>
      <c r="G137" s="285"/>
      <c r="H137" s="285"/>
      <c r="I137" s="285"/>
      <c r="J137" s="285"/>
      <c r="K137" s="285"/>
      <c r="L137" s="285"/>
      <c r="M137" s="285"/>
      <c r="N137" s="285"/>
      <c r="O137" s="285"/>
      <c r="P137" s="285"/>
      <c r="Q137" s="285"/>
      <c r="R137" s="285"/>
      <c r="S137" s="285"/>
      <c r="T137" s="339">
        <v>19001</v>
      </c>
      <c r="U137" s="288"/>
      <c r="V137" s="5"/>
    </row>
    <row r="138" spans="1:23" ht="15.6" x14ac:dyDescent="0.3">
      <c r="A138" s="284"/>
      <c r="B138" s="285" t="s">
        <v>142</v>
      </c>
      <c r="C138" s="285"/>
      <c r="D138" s="285"/>
      <c r="E138" s="285"/>
      <c r="F138" s="285"/>
      <c r="G138" s="285"/>
      <c r="H138" s="285"/>
      <c r="I138" s="285"/>
      <c r="J138" s="285"/>
      <c r="K138" s="285"/>
      <c r="L138" s="285"/>
      <c r="M138" s="285"/>
      <c r="N138" s="285"/>
      <c r="O138" s="285"/>
      <c r="P138" s="285"/>
      <c r="Q138" s="285"/>
      <c r="R138" s="285"/>
      <c r="S138" s="285"/>
      <c r="T138" s="339">
        <v>0</v>
      </c>
      <c r="U138" s="288"/>
      <c r="V138" s="5"/>
    </row>
    <row r="139" spans="1:23" ht="15.6" x14ac:dyDescent="0.3">
      <c r="A139" s="284"/>
      <c r="B139" s="285" t="s">
        <v>129</v>
      </c>
      <c r="C139" s="285"/>
      <c r="D139" s="285"/>
      <c r="E139" s="285"/>
      <c r="F139" s="285"/>
      <c r="G139" s="285"/>
      <c r="H139" s="285"/>
      <c r="I139" s="285"/>
      <c r="J139" s="285"/>
      <c r="K139" s="285"/>
      <c r="L139" s="285"/>
      <c r="M139" s="285"/>
      <c r="N139" s="285"/>
      <c r="O139" s="285"/>
      <c r="P139" s="285"/>
      <c r="Q139" s="285"/>
      <c r="R139" s="285"/>
      <c r="S139" s="285"/>
      <c r="T139" s="339">
        <v>0</v>
      </c>
      <c r="U139" s="288"/>
      <c r="V139" s="5"/>
    </row>
    <row r="140" spans="1:23" ht="15.6" x14ac:dyDescent="0.3">
      <c r="A140" s="284"/>
      <c r="B140" s="285" t="s">
        <v>130</v>
      </c>
      <c r="C140" s="285"/>
      <c r="D140" s="285"/>
      <c r="E140" s="285"/>
      <c r="F140" s="285"/>
      <c r="G140" s="285"/>
      <c r="H140" s="285"/>
      <c r="I140" s="285"/>
      <c r="J140" s="285"/>
      <c r="K140" s="285"/>
      <c r="L140" s="285"/>
      <c r="M140" s="285"/>
      <c r="N140" s="285"/>
      <c r="O140" s="285"/>
      <c r="P140" s="285"/>
      <c r="Q140" s="285"/>
      <c r="R140" s="285"/>
      <c r="S140" s="285"/>
      <c r="T140" s="339">
        <v>0</v>
      </c>
      <c r="U140" s="288"/>
      <c r="V140" s="5"/>
    </row>
    <row r="141" spans="1:23" ht="15.6" x14ac:dyDescent="0.3">
      <c r="A141" s="284"/>
      <c r="B141" s="285" t="s">
        <v>182</v>
      </c>
      <c r="C141" s="285"/>
      <c r="D141" s="285"/>
      <c r="E141" s="285"/>
      <c r="F141" s="285"/>
      <c r="G141" s="285"/>
      <c r="H141" s="285"/>
      <c r="I141" s="285"/>
      <c r="J141" s="285"/>
      <c r="K141" s="285"/>
      <c r="L141" s="285"/>
      <c r="M141" s="285"/>
      <c r="N141" s="285"/>
      <c r="O141" s="285"/>
      <c r="P141" s="285"/>
      <c r="Q141" s="285"/>
      <c r="R141" s="285"/>
      <c r="S141" s="285"/>
      <c r="T141" s="339">
        <v>0</v>
      </c>
      <c r="U141" s="288"/>
      <c r="V141" s="5"/>
    </row>
    <row r="142" spans="1:23" ht="15.6" x14ac:dyDescent="0.3">
      <c r="A142" s="284"/>
      <c r="B142" s="285" t="s">
        <v>46</v>
      </c>
      <c r="C142" s="285"/>
      <c r="D142" s="285"/>
      <c r="E142" s="285"/>
      <c r="F142" s="285"/>
      <c r="G142" s="285"/>
      <c r="H142" s="285"/>
      <c r="I142" s="285"/>
      <c r="J142" s="285"/>
      <c r="K142" s="285"/>
      <c r="L142" s="285"/>
      <c r="M142" s="285"/>
      <c r="N142" s="285"/>
      <c r="O142" s="285"/>
      <c r="P142" s="285"/>
      <c r="Q142" s="285"/>
      <c r="R142" s="285"/>
      <c r="S142" s="285"/>
      <c r="T142" s="339">
        <v>0</v>
      </c>
      <c r="U142" s="288"/>
      <c r="V142" s="5"/>
    </row>
    <row r="143" spans="1:23" ht="15.6" x14ac:dyDescent="0.3">
      <c r="A143" s="284"/>
      <c r="B143" s="285" t="s">
        <v>135</v>
      </c>
      <c r="C143" s="285"/>
      <c r="D143" s="285"/>
      <c r="E143" s="285"/>
      <c r="F143" s="285"/>
      <c r="G143" s="285"/>
      <c r="H143" s="285"/>
      <c r="I143" s="285"/>
      <c r="J143" s="285"/>
      <c r="K143" s="285"/>
      <c r="L143" s="285"/>
      <c r="M143" s="285"/>
      <c r="N143" s="285"/>
      <c r="O143" s="285"/>
      <c r="P143" s="285"/>
      <c r="Q143" s="285"/>
      <c r="R143" s="285"/>
      <c r="S143" s="285"/>
      <c r="T143" s="339">
        <v>0</v>
      </c>
      <c r="U143" s="288"/>
      <c r="V143" s="5"/>
    </row>
    <row r="144" spans="1:23" ht="15.6" x14ac:dyDescent="0.3">
      <c r="A144" s="284"/>
      <c r="B144" s="285" t="s">
        <v>251</v>
      </c>
      <c r="C144" s="285"/>
      <c r="D144" s="285"/>
      <c r="E144" s="285"/>
      <c r="F144" s="285"/>
      <c r="G144" s="285"/>
      <c r="H144" s="285"/>
      <c r="I144" s="285"/>
      <c r="J144" s="285"/>
      <c r="K144" s="285"/>
      <c r="L144" s="285"/>
      <c r="M144" s="285"/>
      <c r="N144" s="285"/>
      <c r="O144" s="285"/>
      <c r="P144" s="285"/>
      <c r="Q144" s="285"/>
      <c r="R144" s="285"/>
      <c r="S144" s="285"/>
      <c r="T144" s="339">
        <v>0</v>
      </c>
      <c r="U144" s="288"/>
      <c r="V144" s="5"/>
      <c r="W144" s="109"/>
    </row>
    <row r="145" spans="1:22" ht="15.6" x14ac:dyDescent="0.3">
      <c r="A145" s="284"/>
      <c r="B145" s="285" t="s">
        <v>47</v>
      </c>
      <c r="C145" s="285"/>
      <c r="D145" s="285"/>
      <c r="E145" s="285"/>
      <c r="F145" s="285"/>
      <c r="G145" s="285"/>
      <c r="H145" s="285"/>
      <c r="I145" s="285"/>
      <c r="J145" s="285"/>
      <c r="K145" s="285"/>
      <c r="L145" s="285"/>
      <c r="M145" s="285"/>
      <c r="N145" s="285"/>
      <c r="O145" s="285"/>
      <c r="P145" s="285"/>
      <c r="Q145" s="285"/>
      <c r="R145" s="285"/>
      <c r="S145" s="285"/>
      <c r="T145" s="339">
        <f>SUM(T137:T144)</f>
        <v>19001</v>
      </c>
      <c r="U145" s="288"/>
      <c r="V145" s="5"/>
    </row>
    <row r="146" spans="1:22" ht="15.6" x14ac:dyDescent="0.3">
      <c r="A146" s="284"/>
      <c r="B146" s="311"/>
      <c r="C146" s="311"/>
      <c r="D146" s="311"/>
      <c r="E146" s="311"/>
      <c r="F146" s="311"/>
      <c r="G146" s="311"/>
      <c r="H146" s="311"/>
      <c r="I146" s="311"/>
      <c r="J146" s="311"/>
      <c r="K146" s="311"/>
      <c r="L146" s="311"/>
      <c r="M146" s="311"/>
      <c r="N146" s="311"/>
      <c r="O146" s="311"/>
      <c r="P146" s="311"/>
      <c r="Q146" s="311"/>
      <c r="R146" s="311"/>
      <c r="S146" s="311"/>
      <c r="T146" s="345"/>
      <c r="U146" s="317"/>
      <c r="V146" s="5"/>
    </row>
    <row r="147" spans="1:22" ht="15.6" x14ac:dyDescent="0.3">
      <c r="A147" s="284"/>
      <c r="B147" s="343" t="s">
        <v>262</v>
      </c>
      <c r="C147" s="311"/>
      <c r="D147" s="311"/>
      <c r="E147" s="311"/>
      <c r="F147" s="311"/>
      <c r="G147" s="311"/>
      <c r="H147" s="311"/>
      <c r="I147" s="311"/>
      <c r="J147" s="311"/>
      <c r="K147" s="311"/>
      <c r="L147" s="311"/>
      <c r="M147" s="311"/>
      <c r="N147" s="311"/>
      <c r="O147" s="311"/>
      <c r="P147" s="311"/>
      <c r="Q147" s="311"/>
      <c r="R147" s="311"/>
      <c r="S147" s="311"/>
      <c r="T147" s="345"/>
      <c r="U147" s="317"/>
      <c r="V147" s="5"/>
    </row>
    <row r="148" spans="1:22" ht="15.6" x14ac:dyDescent="0.3">
      <c r="A148" s="284"/>
      <c r="B148" s="285" t="s">
        <v>263</v>
      </c>
      <c r="C148" s="285"/>
      <c r="D148" s="285"/>
      <c r="E148" s="285"/>
      <c r="F148" s="285"/>
      <c r="G148" s="285"/>
      <c r="H148" s="285"/>
      <c r="I148" s="285"/>
      <c r="J148" s="285"/>
      <c r="K148" s="285"/>
      <c r="L148" s="285"/>
      <c r="M148" s="285"/>
      <c r="N148" s="285"/>
      <c r="O148" s="285"/>
      <c r="P148" s="285"/>
      <c r="Q148" s="285"/>
      <c r="R148" s="285"/>
      <c r="S148" s="285"/>
      <c r="T148" s="339">
        <v>0</v>
      </c>
      <c r="U148" s="288"/>
      <c r="V148" s="5"/>
    </row>
    <row r="149" spans="1:22" ht="15.6" x14ac:dyDescent="0.3">
      <c r="A149" s="284"/>
      <c r="B149" s="285" t="s">
        <v>179</v>
      </c>
      <c r="C149" s="285"/>
      <c r="D149" s="285"/>
      <c r="E149" s="285"/>
      <c r="F149" s="285"/>
      <c r="G149" s="285"/>
      <c r="H149" s="285"/>
      <c r="I149" s="285"/>
      <c r="J149" s="285"/>
      <c r="K149" s="285"/>
      <c r="L149" s="285"/>
      <c r="M149" s="285"/>
      <c r="N149" s="285"/>
      <c r="O149" s="285"/>
      <c r="P149" s="285"/>
      <c r="Q149" s="285"/>
      <c r="R149" s="285"/>
      <c r="S149" s="285"/>
      <c r="T149" s="339">
        <v>0</v>
      </c>
      <c r="U149" s="288"/>
      <c r="V149" s="5"/>
    </row>
    <row r="150" spans="1:22" ht="15.6" x14ac:dyDescent="0.3">
      <c r="A150" s="284"/>
      <c r="B150" s="285" t="s">
        <v>264</v>
      </c>
      <c r="C150" s="285"/>
      <c r="D150" s="285"/>
      <c r="E150" s="285"/>
      <c r="F150" s="285"/>
      <c r="G150" s="285"/>
      <c r="H150" s="285"/>
      <c r="I150" s="285"/>
      <c r="J150" s="285"/>
      <c r="K150" s="285"/>
      <c r="L150" s="285"/>
      <c r="M150" s="285"/>
      <c r="N150" s="285"/>
      <c r="O150" s="285"/>
      <c r="P150" s="285"/>
      <c r="Q150" s="285"/>
      <c r="R150" s="285"/>
      <c r="S150" s="285"/>
      <c r="T150" s="339">
        <v>0</v>
      </c>
      <c r="U150" s="288"/>
      <c r="V150" s="5"/>
    </row>
    <row r="151" spans="1:22" ht="15.6" x14ac:dyDescent="0.3">
      <c r="A151" s="284"/>
      <c r="B151" s="285"/>
      <c r="C151" s="285"/>
      <c r="D151" s="285"/>
      <c r="E151" s="285"/>
      <c r="F151" s="285"/>
      <c r="G151" s="285"/>
      <c r="H151" s="285"/>
      <c r="I151" s="285"/>
      <c r="J151" s="285"/>
      <c r="K151" s="285"/>
      <c r="L151" s="285"/>
      <c r="M151" s="285"/>
      <c r="N151" s="285"/>
      <c r="O151" s="285"/>
      <c r="P151" s="285"/>
      <c r="Q151" s="285"/>
      <c r="R151" s="285"/>
      <c r="S151" s="285"/>
      <c r="T151" s="339"/>
      <c r="U151" s="288"/>
      <c r="V151" s="5"/>
    </row>
    <row r="152" spans="1:22" ht="15.6" x14ac:dyDescent="0.3">
      <c r="A152" s="175"/>
      <c r="B152" s="334"/>
      <c r="C152" s="334"/>
      <c r="D152" s="334"/>
      <c r="E152" s="334"/>
      <c r="F152" s="334"/>
      <c r="G152" s="334"/>
      <c r="H152" s="334"/>
      <c r="I152" s="334"/>
      <c r="J152" s="334"/>
      <c r="K152" s="334"/>
      <c r="L152" s="334"/>
      <c r="M152" s="334"/>
      <c r="N152" s="334"/>
      <c r="O152" s="334"/>
      <c r="P152" s="334"/>
      <c r="Q152" s="334"/>
      <c r="R152" s="334"/>
      <c r="S152" s="334"/>
      <c r="T152" s="347"/>
      <c r="U152" s="334"/>
      <c r="V152" s="5"/>
    </row>
    <row r="153" spans="1:22" ht="15.6" x14ac:dyDescent="0.3">
      <c r="A153" s="175"/>
      <c r="B153" s="201" t="s">
        <v>24</v>
      </c>
      <c r="C153" s="177"/>
      <c r="D153" s="177"/>
      <c r="E153" s="177"/>
      <c r="F153" s="177"/>
      <c r="G153" s="177"/>
      <c r="H153" s="177"/>
      <c r="I153" s="177"/>
      <c r="J153" s="177"/>
      <c r="K153" s="177"/>
      <c r="L153" s="177"/>
      <c r="M153" s="177"/>
      <c r="N153" s="177"/>
      <c r="O153" s="177"/>
      <c r="P153" s="177"/>
      <c r="Q153" s="177"/>
      <c r="R153" s="177"/>
      <c r="S153" s="177"/>
      <c r="T153" s="194"/>
      <c r="U153" s="177"/>
      <c r="V153" s="5"/>
    </row>
    <row r="154" spans="1:22" ht="15.6" x14ac:dyDescent="0.3">
      <c r="A154" s="284"/>
      <c r="B154" s="285" t="s">
        <v>48</v>
      </c>
      <c r="C154" s="285"/>
      <c r="D154" s="285"/>
      <c r="E154" s="285"/>
      <c r="F154" s="285"/>
      <c r="G154" s="285"/>
      <c r="H154" s="285"/>
      <c r="I154" s="285"/>
      <c r="J154" s="285"/>
      <c r="K154" s="285"/>
      <c r="L154" s="285"/>
      <c r="M154" s="285"/>
      <c r="N154" s="285"/>
      <c r="O154" s="285"/>
      <c r="P154" s="285"/>
      <c r="Q154" s="285"/>
      <c r="R154" s="285"/>
      <c r="S154" s="285"/>
      <c r="T154" s="348" t="s">
        <v>124</v>
      </c>
      <c r="U154" s="288"/>
      <c r="V154" s="5"/>
    </row>
    <row r="155" spans="1:22" ht="15.6" x14ac:dyDescent="0.3">
      <c r="A155" s="284"/>
      <c r="B155" s="285" t="s">
        <v>49</v>
      </c>
      <c r="C155" s="287"/>
      <c r="D155" s="287"/>
      <c r="E155" s="287"/>
      <c r="F155" s="287"/>
      <c r="G155" s="287"/>
      <c r="H155" s="287"/>
      <c r="I155" s="287"/>
      <c r="J155" s="287"/>
      <c r="K155" s="287"/>
      <c r="L155" s="287"/>
      <c r="M155" s="287"/>
      <c r="N155" s="287"/>
      <c r="O155" s="287"/>
      <c r="P155" s="287"/>
      <c r="Q155" s="287"/>
      <c r="R155" s="287"/>
      <c r="S155" s="287"/>
      <c r="T155" s="348" t="s">
        <v>124</v>
      </c>
      <c r="U155" s="288"/>
      <c r="V155" s="5"/>
    </row>
    <row r="156" spans="1:22" ht="15.6" x14ac:dyDescent="0.3">
      <c r="A156" s="284"/>
      <c r="B156" s="285" t="s">
        <v>50</v>
      </c>
      <c r="C156" s="285"/>
      <c r="D156" s="285"/>
      <c r="E156" s="285"/>
      <c r="F156" s="285"/>
      <c r="G156" s="285"/>
      <c r="H156" s="285"/>
      <c r="I156" s="285"/>
      <c r="J156" s="285"/>
      <c r="K156" s="285"/>
      <c r="L156" s="285"/>
      <c r="M156" s="285"/>
      <c r="N156" s="285"/>
      <c r="O156" s="285"/>
      <c r="P156" s="285"/>
      <c r="Q156" s="285"/>
      <c r="R156" s="285"/>
      <c r="S156" s="285"/>
      <c r="T156" s="348" t="s">
        <v>124</v>
      </c>
      <c r="U156" s="288"/>
      <c r="V156" s="5"/>
    </row>
    <row r="157" spans="1:22" ht="15.6" x14ac:dyDescent="0.3">
      <c r="A157" s="284"/>
      <c r="B157" s="285" t="s">
        <v>51</v>
      </c>
      <c r="C157" s="285"/>
      <c r="D157" s="285"/>
      <c r="E157" s="285"/>
      <c r="F157" s="285"/>
      <c r="G157" s="285"/>
      <c r="H157" s="285"/>
      <c r="I157" s="285"/>
      <c r="J157" s="285"/>
      <c r="K157" s="285"/>
      <c r="L157" s="285"/>
      <c r="M157" s="285"/>
      <c r="N157" s="285"/>
      <c r="O157" s="285"/>
      <c r="P157" s="285"/>
      <c r="Q157" s="285"/>
      <c r="R157" s="285"/>
      <c r="S157" s="285"/>
      <c r="T157" s="348" t="s">
        <v>124</v>
      </c>
      <c r="U157" s="288"/>
      <c r="V157" s="5"/>
    </row>
    <row r="158" spans="1:22" ht="15.6" x14ac:dyDescent="0.3">
      <c r="A158" s="175"/>
      <c r="B158" s="334"/>
      <c r="C158" s="334"/>
      <c r="D158" s="334"/>
      <c r="E158" s="334"/>
      <c r="F158" s="334"/>
      <c r="G158" s="334"/>
      <c r="H158" s="334"/>
      <c r="I158" s="334"/>
      <c r="J158" s="334"/>
      <c r="K158" s="334"/>
      <c r="L158" s="334"/>
      <c r="M158" s="334"/>
      <c r="N158" s="334"/>
      <c r="O158" s="334"/>
      <c r="P158" s="334"/>
      <c r="Q158" s="334"/>
      <c r="R158" s="334"/>
      <c r="S158" s="334"/>
      <c r="T158" s="347"/>
      <c r="U158" s="334"/>
      <c r="V158" s="5"/>
    </row>
    <row r="159" spans="1:22" ht="15.6" x14ac:dyDescent="0.3">
      <c r="A159" s="175"/>
      <c r="B159" s="201" t="s">
        <v>52</v>
      </c>
      <c r="C159" s="177"/>
      <c r="D159" s="177"/>
      <c r="E159" s="177"/>
      <c r="F159" s="177"/>
      <c r="G159" s="177"/>
      <c r="H159" s="177"/>
      <c r="I159" s="177"/>
      <c r="J159" s="177"/>
      <c r="K159" s="177"/>
      <c r="L159" s="177"/>
      <c r="M159" s="177"/>
      <c r="N159" s="177"/>
      <c r="O159" s="177"/>
      <c r="P159" s="177"/>
      <c r="Q159" s="177"/>
      <c r="R159" s="177"/>
      <c r="S159" s="177"/>
      <c r="T159" s="202"/>
      <c r="U159" s="177"/>
      <c r="V159" s="5"/>
    </row>
    <row r="160" spans="1:22" ht="15.6" x14ac:dyDescent="0.3">
      <c r="A160" s="284"/>
      <c r="B160" s="285" t="s">
        <v>53</v>
      </c>
      <c r="C160" s="285"/>
      <c r="D160" s="285"/>
      <c r="E160" s="285"/>
      <c r="F160" s="285"/>
      <c r="G160" s="285"/>
      <c r="H160" s="285"/>
      <c r="I160" s="285"/>
      <c r="J160" s="285"/>
      <c r="K160" s="285"/>
      <c r="L160" s="285"/>
      <c r="M160" s="285"/>
      <c r="N160" s="285"/>
      <c r="O160" s="285"/>
      <c r="P160" s="285"/>
      <c r="Q160" s="285"/>
      <c r="R160" s="285"/>
      <c r="S160" s="285"/>
      <c r="T160" s="339">
        <v>0</v>
      </c>
      <c r="U160" s="288"/>
      <c r="V160" s="5"/>
    </row>
    <row r="161" spans="1:22" ht="15.6" x14ac:dyDescent="0.3">
      <c r="A161" s="284"/>
      <c r="B161" s="285" t="s">
        <v>54</v>
      </c>
      <c r="C161" s="285"/>
      <c r="D161" s="285"/>
      <c r="E161" s="285"/>
      <c r="F161" s="285"/>
      <c r="G161" s="285"/>
      <c r="H161" s="285"/>
      <c r="I161" s="285"/>
      <c r="J161" s="285"/>
      <c r="K161" s="285"/>
      <c r="L161" s="285"/>
      <c r="M161" s="285"/>
      <c r="N161" s="285"/>
      <c r="O161" s="285"/>
      <c r="P161" s="285"/>
      <c r="Q161" s="285"/>
      <c r="R161" s="285"/>
      <c r="S161" s="285"/>
      <c r="T161" s="339">
        <f>R112</f>
        <v>115</v>
      </c>
      <c r="U161" s="288"/>
      <c r="V161" s="5"/>
    </row>
    <row r="162" spans="1:22" ht="15.6" x14ac:dyDescent="0.3">
      <c r="A162" s="284"/>
      <c r="B162" s="285" t="s">
        <v>55</v>
      </c>
      <c r="C162" s="285"/>
      <c r="D162" s="285"/>
      <c r="E162" s="285"/>
      <c r="F162" s="285"/>
      <c r="G162" s="285"/>
      <c r="H162" s="285"/>
      <c r="I162" s="285"/>
      <c r="J162" s="285"/>
      <c r="K162" s="285"/>
      <c r="L162" s="285"/>
      <c r="M162" s="285"/>
      <c r="N162" s="285"/>
      <c r="O162" s="285"/>
      <c r="P162" s="285"/>
      <c r="Q162" s="285"/>
      <c r="R162" s="285"/>
      <c r="S162" s="285"/>
      <c r="T162" s="339">
        <f>T161+T160</f>
        <v>115</v>
      </c>
      <c r="U162" s="288"/>
      <c r="V162" s="5"/>
    </row>
    <row r="163" spans="1:22" ht="15.6" x14ac:dyDescent="0.3">
      <c r="A163" s="284"/>
      <c r="B163" s="285" t="s">
        <v>301</v>
      </c>
      <c r="C163" s="285"/>
      <c r="D163" s="285"/>
      <c r="E163" s="285"/>
      <c r="F163" s="285"/>
      <c r="G163" s="285"/>
      <c r="H163" s="285"/>
      <c r="I163" s="285"/>
      <c r="J163" s="285"/>
      <c r="K163" s="285"/>
      <c r="L163" s="285"/>
      <c r="M163" s="285"/>
      <c r="N163" s="285"/>
      <c r="O163" s="285"/>
      <c r="P163" s="285"/>
      <c r="Q163" s="285"/>
      <c r="R163" s="285"/>
      <c r="S163" s="285"/>
      <c r="T163" s="339">
        <f>T112</f>
        <v>-115</v>
      </c>
      <c r="U163" s="288"/>
      <c r="V163" s="5"/>
    </row>
    <row r="164" spans="1:22" ht="15.6" x14ac:dyDescent="0.3">
      <c r="A164" s="284"/>
      <c r="B164" s="285" t="s">
        <v>56</v>
      </c>
      <c r="C164" s="285"/>
      <c r="D164" s="285"/>
      <c r="E164" s="285"/>
      <c r="F164" s="285"/>
      <c r="G164" s="285"/>
      <c r="H164" s="285"/>
      <c r="I164" s="285"/>
      <c r="J164" s="285"/>
      <c r="K164" s="285"/>
      <c r="L164" s="285"/>
      <c r="M164" s="285"/>
      <c r="N164" s="285"/>
      <c r="O164" s="285"/>
      <c r="P164" s="285"/>
      <c r="Q164" s="285"/>
      <c r="R164" s="285"/>
      <c r="S164" s="285"/>
      <c r="T164" s="339">
        <f>T162+T163</f>
        <v>0</v>
      </c>
      <c r="U164" s="288"/>
      <c r="V164" s="5"/>
    </row>
    <row r="165" spans="1:22" ht="15.6" x14ac:dyDescent="0.3">
      <c r="A165" s="284"/>
      <c r="B165" s="285" t="s">
        <v>273</v>
      </c>
      <c r="C165" s="285"/>
      <c r="D165" s="285"/>
      <c r="E165" s="285"/>
      <c r="F165" s="285"/>
      <c r="G165" s="285"/>
      <c r="H165" s="285"/>
      <c r="I165" s="285"/>
      <c r="J165" s="285"/>
      <c r="K165" s="285"/>
      <c r="L165" s="285"/>
      <c r="M165" s="285"/>
      <c r="N165" s="285"/>
      <c r="O165" s="285"/>
      <c r="P165" s="285"/>
      <c r="Q165" s="285"/>
      <c r="R165" s="285"/>
      <c r="S165" s="285"/>
      <c r="T165" s="339">
        <v>0</v>
      </c>
      <c r="U165" s="288"/>
      <c r="V165" s="5"/>
    </row>
    <row r="166" spans="1:22" ht="16.2" thickBot="1" x14ac:dyDescent="0.35">
      <c r="A166" s="175"/>
      <c r="B166" s="334"/>
      <c r="C166" s="334"/>
      <c r="D166" s="334"/>
      <c r="E166" s="334"/>
      <c r="F166" s="334"/>
      <c r="G166" s="334"/>
      <c r="H166" s="334"/>
      <c r="I166" s="334"/>
      <c r="J166" s="334"/>
      <c r="K166" s="334"/>
      <c r="L166" s="334"/>
      <c r="M166" s="334"/>
      <c r="N166" s="334"/>
      <c r="O166" s="334"/>
      <c r="P166" s="334"/>
      <c r="Q166" s="334"/>
      <c r="R166" s="334"/>
      <c r="S166" s="334"/>
      <c r="T166" s="347"/>
      <c r="U166" s="334"/>
      <c r="V166" s="5"/>
    </row>
    <row r="167" spans="1:22" ht="15.6" x14ac:dyDescent="0.3">
      <c r="A167" s="173"/>
      <c r="B167" s="174"/>
      <c r="C167" s="174"/>
      <c r="D167" s="174"/>
      <c r="E167" s="174"/>
      <c r="F167" s="174"/>
      <c r="G167" s="174"/>
      <c r="H167" s="174"/>
      <c r="I167" s="174"/>
      <c r="J167" s="174"/>
      <c r="K167" s="174"/>
      <c r="L167" s="174"/>
      <c r="M167" s="174"/>
      <c r="N167" s="174"/>
      <c r="O167" s="174"/>
      <c r="P167" s="174"/>
      <c r="Q167" s="174"/>
      <c r="R167" s="174"/>
      <c r="S167" s="174"/>
      <c r="T167" s="193"/>
      <c r="U167" s="174"/>
      <c r="V167" s="5"/>
    </row>
    <row r="168" spans="1:22" ht="15.6" x14ac:dyDescent="0.3">
      <c r="A168" s="175"/>
      <c r="B168" s="201" t="s">
        <v>57</v>
      </c>
      <c r="C168" s="177"/>
      <c r="D168" s="177"/>
      <c r="E168" s="177"/>
      <c r="F168" s="177"/>
      <c r="G168" s="177"/>
      <c r="H168" s="177"/>
      <c r="I168" s="177"/>
      <c r="J168" s="177"/>
      <c r="K168" s="177"/>
      <c r="L168" s="177"/>
      <c r="M168" s="177"/>
      <c r="N168" s="177"/>
      <c r="O168" s="177"/>
      <c r="P168" s="177"/>
      <c r="Q168" s="177"/>
      <c r="R168" s="177"/>
      <c r="S168" s="177"/>
      <c r="T168" s="194"/>
      <c r="U168" s="177"/>
      <c r="V168" s="5"/>
    </row>
    <row r="169" spans="1:22" ht="15.6" x14ac:dyDescent="0.3">
      <c r="A169" s="175"/>
      <c r="B169" s="187"/>
      <c r="C169" s="177"/>
      <c r="D169" s="177"/>
      <c r="E169" s="177"/>
      <c r="F169" s="177"/>
      <c r="G169" s="177"/>
      <c r="H169" s="177"/>
      <c r="I169" s="177"/>
      <c r="J169" s="177"/>
      <c r="K169" s="177"/>
      <c r="L169" s="177"/>
      <c r="M169" s="177"/>
      <c r="N169" s="177"/>
      <c r="O169" s="177"/>
      <c r="P169" s="177"/>
      <c r="Q169" s="177"/>
      <c r="R169" s="177"/>
      <c r="S169" s="177"/>
      <c r="T169" s="194"/>
      <c r="U169" s="177"/>
      <c r="V169" s="5"/>
    </row>
    <row r="170" spans="1:22" ht="15.6" x14ac:dyDescent="0.3">
      <c r="A170" s="284"/>
      <c r="B170" s="285" t="s">
        <v>58</v>
      </c>
      <c r="C170" s="285"/>
      <c r="D170" s="285"/>
      <c r="E170" s="285"/>
      <c r="F170" s="285"/>
      <c r="G170" s="285"/>
      <c r="H170" s="285"/>
      <c r="I170" s="285"/>
      <c r="J170" s="285"/>
      <c r="K170" s="285"/>
      <c r="L170" s="285"/>
      <c r="M170" s="285"/>
      <c r="N170" s="285"/>
      <c r="O170" s="285"/>
      <c r="P170" s="285"/>
      <c r="Q170" s="285"/>
      <c r="R170" s="285"/>
      <c r="S170" s="285"/>
      <c r="T170" s="339">
        <f>T71</f>
        <v>585211</v>
      </c>
      <c r="U170" s="288"/>
      <c r="V170" s="5"/>
    </row>
    <row r="171" spans="1:22" ht="15.6" x14ac:dyDescent="0.3">
      <c r="A171" s="284"/>
      <c r="B171" s="285" t="s">
        <v>59</v>
      </c>
      <c r="C171" s="285"/>
      <c r="D171" s="285"/>
      <c r="E171" s="285"/>
      <c r="F171" s="285"/>
      <c r="G171" s="285"/>
      <c r="H171" s="285"/>
      <c r="I171" s="285"/>
      <c r="J171" s="285"/>
      <c r="K171" s="285"/>
      <c r="L171" s="285"/>
      <c r="M171" s="285"/>
      <c r="N171" s="285"/>
      <c r="O171" s="285"/>
      <c r="P171" s="285"/>
      <c r="Q171" s="285"/>
      <c r="R171" s="285"/>
      <c r="S171" s="285"/>
      <c r="T171" s="339">
        <f>T84</f>
        <v>585211</v>
      </c>
      <c r="U171" s="288"/>
      <c r="V171" s="5"/>
    </row>
    <row r="172" spans="1:22" ht="16.2" thickBot="1" x14ac:dyDescent="0.35">
      <c r="A172" s="175"/>
      <c r="B172" s="334"/>
      <c r="C172" s="334"/>
      <c r="D172" s="334"/>
      <c r="E172" s="334"/>
      <c r="F172" s="334"/>
      <c r="G172" s="334"/>
      <c r="H172" s="334"/>
      <c r="I172" s="334"/>
      <c r="J172" s="334"/>
      <c r="K172" s="334"/>
      <c r="L172" s="334"/>
      <c r="M172" s="334"/>
      <c r="N172" s="334"/>
      <c r="O172" s="334"/>
      <c r="P172" s="334"/>
      <c r="Q172" s="334"/>
      <c r="R172" s="334"/>
      <c r="S172" s="334"/>
      <c r="T172" s="347"/>
      <c r="U172" s="334"/>
      <c r="V172" s="5"/>
    </row>
    <row r="173" spans="1:22" ht="15.6" x14ac:dyDescent="0.3">
      <c r="A173" s="173"/>
      <c r="B173" s="174"/>
      <c r="C173" s="174"/>
      <c r="D173" s="174"/>
      <c r="E173" s="174"/>
      <c r="F173" s="174"/>
      <c r="G173" s="174"/>
      <c r="H173" s="174"/>
      <c r="I173" s="174"/>
      <c r="J173" s="174"/>
      <c r="K173" s="174"/>
      <c r="L173" s="174"/>
      <c r="M173" s="174"/>
      <c r="N173" s="174"/>
      <c r="O173" s="174"/>
      <c r="P173" s="174"/>
      <c r="Q173" s="174"/>
      <c r="R173" s="174"/>
      <c r="S173" s="174"/>
      <c r="T173" s="193"/>
      <c r="U173" s="174"/>
      <c r="V173" s="5"/>
    </row>
    <row r="174" spans="1:22" ht="15.6" x14ac:dyDescent="0.3">
      <c r="A174" s="175"/>
      <c r="B174" s="201" t="s">
        <v>60</v>
      </c>
      <c r="C174" s="198"/>
      <c r="D174" s="198"/>
      <c r="E174" s="198"/>
      <c r="F174" s="198"/>
      <c r="G174" s="198"/>
      <c r="H174" s="203"/>
      <c r="I174" s="203"/>
      <c r="J174" s="203"/>
      <c r="K174" s="203"/>
      <c r="L174" s="203"/>
      <c r="M174" s="203"/>
      <c r="N174" s="203"/>
      <c r="O174" s="203"/>
      <c r="P174" s="203"/>
      <c r="Q174" s="203" t="s">
        <v>104</v>
      </c>
      <c r="R174" s="203" t="s">
        <v>183</v>
      </c>
      <c r="S174" s="179"/>
      <c r="T174" s="204" t="s">
        <v>120</v>
      </c>
      <c r="U174" s="205"/>
      <c r="V174" s="5"/>
    </row>
    <row r="175" spans="1:22" ht="15.6" x14ac:dyDescent="0.3">
      <c r="A175" s="284"/>
      <c r="B175" s="285" t="s">
        <v>61</v>
      </c>
      <c r="C175" s="285"/>
      <c r="D175" s="285"/>
      <c r="E175" s="285"/>
      <c r="F175" s="285"/>
      <c r="G175" s="285"/>
      <c r="H175" s="285"/>
      <c r="I175" s="285"/>
      <c r="J175" s="285"/>
      <c r="K175" s="285"/>
      <c r="L175" s="285"/>
      <c r="M175" s="285"/>
      <c r="N175" s="285"/>
      <c r="O175" s="285"/>
      <c r="P175" s="285"/>
      <c r="Q175" s="339">
        <v>160008</v>
      </c>
      <c r="R175" s="324"/>
      <c r="S175" s="285"/>
      <c r="T175" s="339"/>
      <c r="U175" s="288"/>
      <c r="V175" s="5"/>
    </row>
    <row r="176" spans="1:22" ht="15.6" x14ac:dyDescent="0.3">
      <c r="A176" s="284"/>
      <c r="B176" s="285" t="s">
        <v>62</v>
      </c>
      <c r="C176" s="285"/>
      <c r="D176" s="285"/>
      <c r="E176" s="285"/>
      <c r="F176" s="285"/>
      <c r="G176" s="285"/>
      <c r="H176" s="285"/>
      <c r="I176" s="285"/>
      <c r="J176" s="285"/>
      <c r="K176" s="285"/>
      <c r="L176" s="285"/>
      <c r="M176" s="285"/>
      <c r="N176" s="285"/>
      <c r="O176" s="285"/>
      <c r="P176" s="285"/>
      <c r="Q176" s="339">
        <f>+'September 10'!Q178</f>
        <v>36154</v>
      </c>
      <c r="R176" s="339">
        <f>+'September 10'!R178</f>
        <v>3447</v>
      </c>
      <c r="S176" s="285"/>
      <c r="T176" s="339">
        <f>Q176+R176</f>
        <v>39601</v>
      </c>
      <c r="U176" s="288"/>
      <c r="V176" s="5"/>
    </row>
    <row r="177" spans="1:22" ht="15.6" x14ac:dyDescent="0.3">
      <c r="A177" s="284"/>
      <c r="B177" s="285" t="s">
        <v>63</v>
      </c>
      <c r="C177" s="285"/>
      <c r="D177" s="285"/>
      <c r="E177" s="285"/>
      <c r="F177" s="285"/>
      <c r="G177" s="285"/>
      <c r="H177" s="285"/>
      <c r="I177" s="285"/>
      <c r="J177" s="285"/>
      <c r="K177" s="285"/>
      <c r="L177" s="285"/>
      <c r="M177" s="285"/>
      <c r="N177" s="285"/>
      <c r="O177" s="285"/>
      <c r="P177" s="285"/>
      <c r="Q177" s="338">
        <f>104</f>
        <v>104</v>
      </c>
      <c r="R177" s="338">
        <v>0</v>
      </c>
      <c r="S177" s="285"/>
      <c r="T177" s="339">
        <f>Q177+R177</f>
        <v>104</v>
      </c>
      <c r="U177" s="288"/>
      <c r="V177" s="5"/>
    </row>
    <row r="178" spans="1:22" ht="15.6" x14ac:dyDescent="0.3">
      <c r="A178" s="284"/>
      <c r="B178" s="285" t="s">
        <v>64</v>
      </c>
      <c r="C178" s="285"/>
      <c r="D178" s="285"/>
      <c r="E178" s="285"/>
      <c r="F178" s="285"/>
      <c r="G178" s="285"/>
      <c r="H178" s="285"/>
      <c r="I178" s="285"/>
      <c r="J178" s="285"/>
      <c r="K178" s="285"/>
      <c r="L178" s="285"/>
      <c r="M178" s="285"/>
      <c r="N178" s="285"/>
      <c r="O178" s="285"/>
      <c r="P178" s="285"/>
      <c r="Q178" s="339">
        <f>Q176+Q177</f>
        <v>36258</v>
      </c>
      <c r="R178" s="339">
        <f>R177+R176</f>
        <v>3447</v>
      </c>
      <c r="S178" s="285"/>
      <c r="T178" s="339">
        <f>Q178+R178</f>
        <v>39705</v>
      </c>
      <c r="U178" s="288"/>
      <c r="V178" s="5"/>
    </row>
    <row r="179" spans="1:22" ht="15.6" x14ac:dyDescent="0.3">
      <c r="A179" s="284"/>
      <c r="B179" s="285" t="s">
        <v>65</v>
      </c>
      <c r="C179" s="285"/>
      <c r="D179" s="285"/>
      <c r="E179" s="285"/>
      <c r="F179" s="285"/>
      <c r="G179" s="285"/>
      <c r="H179" s="285"/>
      <c r="I179" s="285"/>
      <c r="J179" s="285"/>
      <c r="K179" s="285"/>
      <c r="L179" s="285"/>
      <c r="M179" s="285"/>
      <c r="N179" s="285"/>
      <c r="O179" s="285"/>
      <c r="P179" s="285"/>
      <c r="Q179" s="339">
        <f>Q175-Q178-R178</f>
        <v>120303</v>
      </c>
      <c r="R179" s="324"/>
      <c r="S179" s="285"/>
      <c r="T179" s="339"/>
      <c r="U179" s="288"/>
      <c r="V179" s="5"/>
    </row>
    <row r="180" spans="1:22" ht="16.2" thickBot="1" x14ac:dyDescent="0.35">
      <c r="A180" s="175"/>
      <c r="B180" s="334"/>
      <c r="C180" s="334"/>
      <c r="D180" s="334"/>
      <c r="E180" s="334"/>
      <c r="F180" s="334"/>
      <c r="G180" s="334"/>
      <c r="H180" s="334"/>
      <c r="I180" s="334"/>
      <c r="J180" s="334"/>
      <c r="K180" s="334"/>
      <c r="L180" s="334"/>
      <c r="M180" s="334"/>
      <c r="N180" s="334"/>
      <c r="O180" s="334"/>
      <c r="P180" s="334"/>
      <c r="Q180" s="334"/>
      <c r="R180" s="334"/>
      <c r="S180" s="334"/>
      <c r="T180" s="347"/>
      <c r="U180" s="334"/>
      <c r="V180" s="5"/>
    </row>
    <row r="181" spans="1:22" ht="15.6" x14ac:dyDescent="0.3">
      <c r="A181" s="173"/>
      <c r="B181" s="174"/>
      <c r="C181" s="174"/>
      <c r="D181" s="174"/>
      <c r="E181" s="174"/>
      <c r="F181" s="174"/>
      <c r="G181" s="174"/>
      <c r="H181" s="174"/>
      <c r="I181" s="174"/>
      <c r="J181" s="174"/>
      <c r="K181" s="174"/>
      <c r="L181" s="174"/>
      <c r="M181" s="174"/>
      <c r="N181" s="174"/>
      <c r="O181" s="174"/>
      <c r="P181" s="174"/>
      <c r="Q181" s="174"/>
      <c r="R181" s="174"/>
      <c r="S181" s="174"/>
      <c r="T181" s="193"/>
      <c r="U181" s="174"/>
      <c r="V181" s="5"/>
    </row>
    <row r="182" spans="1:22" ht="15.6" x14ac:dyDescent="0.3">
      <c r="A182" s="175"/>
      <c r="B182" s="201" t="s">
        <v>66</v>
      </c>
      <c r="C182" s="177"/>
      <c r="D182" s="177"/>
      <c r="E182" s="177"/>
      <c r="F182" s="177"/>
      <c r="G182" s="177"/>
      <c r="H182" s="177"/>
      <c r="I182" s="177"/>
      <c r="J182" s="177"/>
      <c r="K182" s="177"/>
      <c r="L182" s="177"/>
      <c r="M182" s="177"/>
      <c r="N182" s="177"/>
      <c r="O182" s="177"/>
      <c r="P182" s="177"/>
      <c r="Q182" s="177"/>
      <c r="R182" s="177"/>
      <c r="S182" s="177"/>
      <c r="T182" s="206"/>
      <c r="U182" s="177"/>
      <c r="V182" s="5"/>
    </row>
    <row r="183" spans="1:22" ht="15.6" x14ac:dyDescent="0.3">
      <c r="A183" s="284"/>
      <c r="B183" s="285" t="s">
        <v>67</v>
      </c>
      <c r="C183" s="285"/>
      <c r="D183" s="285"/>
      <c r="E183" s="285"/>
      <c r="F183" s="285"/>
      <c r="G183" s="285"/>
      <c r="H183" s="285"/>
      <c r="I183" s="285"/>
      <c r="J183" s="285"/>
      <c r="K183" s="285"/>
      <c r="L183" s="285"/>
      <c r="M183" s="285"/>
      <c r="N183" s="285"/>
      <c r="O183" s="285"/>
      <c r="P183" s="285"/>
      <c r="Q183" s="285"/>
      <c r="R183" s="285"/>
      <c r="S183" s="285"/>
      <c r="T183" s="348">
        <f>(T100+T102+T103+T104+T105)/-(T106+T107)</f>
        <v>3.5584795321637426</v>
      </c>
      <c r="U183" s="288" t="s">
        <v>121</v>
      </c>
      <c r="V183" s="5"/>
    </row>
    <row r="184" spans="1:22" ht="15.6" x14ac:dyDescent="0.3">
      <c r="A184" s="284"/>
      <c r="B184" s="285" t="s">
        <v>68</v>
      </c>
      <c r="C184" s="285"/>
      <c r="D184" s="285"/>
      <c r="E184" s="285"/>
      <c r="F184" s="285"/>
      <c r="G184" s="285"/>
      <c r="H184" s="285"/>
      <c r="I184" s="285"/>
      <c r="J184" s="285"/>
      <c r="K184" s="285"/>
      <c r="L184" s="285"/>
      <c r="M184" s="285"/>
      <c r="N184" s="285"/>
      <c r="O184" s="285"/>
      <c r="P184" s="285"/>
      <c r="Q184" s="285"/>
      <c r="R184" s="285"/>
      <c r="S184" s="285"/>
      <c r="T184" s="349">
        <v>1.55</v>
      </c>
      <c r="U184" s="288" t="s">
        <v>121</v>
      </c>
      <c r="V184" s="5"/>
    </row>
    <row r="185" spans="1:22" ht="15.6" x14ac:dyDescent="0.3">
      <c r="A185" s="284"/>
      <c r="B185" s="285" t="s">
        <v>69</v>
      </c>
      <c r="C185" s="285"/>
      <c r="D185" s="285"/>
      <c r="E185" s="285"/>
      <c r="F185" s="285"/>
      <c r="G185" s="285"/>
      <c r="H185" s="285"/>
      <c r="I185" s="285"/>
      <c r="J185" s="285"/>
      <c r="K185" s="285"/>
      <c r="L185" s="285"/>
      <c r="M185" s="285"/>
      <c r="N185" s="285"/>
      <c r="O185" s="285"/>
      <c r="P185" s="285"/>
      <c r="Q185" s="285"/>
      <c r="R185" s="285"/>
      <c r="S185" s="285"/>
      <c r="T185" s="348">
        <f>(T100+T102+T103+T104+T105+T106+T107)/-(T108+T109)</f>
        <v>14.037433155080214</v>
      </c>
      <c r="U185" s="288" t="s">
        <v>121</v>
      </c>
      <c r="V185" s="5"/>
    </row>
    <row r="186" spans="1:22" ht="15.6" x14ac:dyDescent="0.3">
      <c r="A186" s="284"/>
      <c r="B186" s="285" t="s">
        <v>70</v>
      </c>
      <c r="C186" s="285"/>
      <c r="D186" s="285"/>
      <c r="E186" s="285"/>
      <c r="F186" s="285"/>
      <c r="G186" s="285"/>
      <c r="H186" s="285"/>
      <c r="I186" s="285"/>
      <c r="J186" s="285"/>
      <c r="K186" s="285"/>
      <c r="L186" s="285"/>
      <c r="M186" s="285"/>
      <c r="N186" s="285"/>
      <c r="O186" s="285"/>
      <c r="P186" s="285"/>
      <c r="Q186" s="285"/>
      <c r="R186" s="285"/>
      <c r="S186" s="285"/>
      <c r="T186" s="349">
        <v>5.0999999999999996</v>
      </c>
      <c r="U186" s="288" t="s">
        <v>121</v>
      </c>
      <c r="V186" s="5"/>
    </row>
    <row r="187" spans="1:22" ht="15.6" x14ac:dyDescent="0.3">
      <c r="A187" s="284"/>
      <c r="B187" s="285" t="s">
        <v>206</v>
      </c>
      <c r="C187" s="285"/>
      <c r="D187" s="285"/>
      <c r="E187" s="285"/>
      <c r="F187" s="285"/>
      <c r="G187" s="285"/>
      <c r="H187" s="285"/>
      <c r="I187" s="285"/>
      <c r="J187" s="285"/>
      <c r="K187" s="285"/>
      <c r="L187" s="285"/>
      <c r="M187" s="285"/>
      <c r="N187" s="285"/>
      <c r="O187" s="285"/>
      <c r="P187" s="285"/>
      <c r="Q187" s="285"/>
      <c r="R187" s="285"/>
      <c r="S187" s="285"/>
      <c r="T187" s="348">
        <f>(T100+T102+T103+T104+T105+T106+T107+T108+T109)/-(T110)</f>
        <v>12.697916666666666</v>
      </c>
      <c r="U187" s="288" t="s">
        <v>121</v>
      </c>
      <c r="V187" s="5"/>
    </row>
    <row r="188" spans="1:22" ht="15.6" x14ac:dyDescent="0.3">
      <c r="A188" s="284"/>
      <c r="B188" s="285" t="s">
        <v>207</v>
      </c>
      <c r="C188" s="285"/>
      <c r="D188" s="285"/>
      <c r="E188" s="285"/>
      <c r="F188" s="285"/>
      <c r="G188" s="285"/>
      <c r="H188" s="285"/>
      <c r="I188" s="285"/>
      <c r="J188" s="285"/>
      <c r="K188" s="285"/>
      <c r="L188" s="285"/>
      <c r="M188" s="285"/>
      <c r="N188" s="285"/>
      <c r="O188" s="285"/>
      <c r="P188" s="285"/>
      <c r="Q188" s="285"/>
      <c r="R188" s="285"/>
      <c r="S188" s="285"/>
      <c r="T188" s="349">
        <v>4.66</v>
      </c>
      <c r="U188" s="288" t="s">
        <v>121</v>
      </c>
      <c r="V188" s="5"/>
    </row>
    <row r="189" spans="1:22" ht="15.6" x14ac:dyDescent="0.3">
      <c r="A189" s="284"/>
      <c r="B189" s="311"/>
      <c r="C189" s="311"/>
      <c r="D189" s="311"/>
      <c r="E189" s="311"/>
      <c r="F189" s="311"/>
      <c r="G189" s="311"/>
      <c r="H189" s="311"/>
      <c r="I189" s="311"/>
      <c r="J189" s="311"/>
      <c r="K189" s="311"/>
      <c r="L189" s="311"/>
      <c r="M189" s="311"/>
      <c r="N189" s="311"/>
      <c r="O189" s="311"/>
      <c r="P189" s="311"/>
      <c r="Q189" s="311"/>
      <c r="R189" s="311"/>
      <c r="S189" s="311"/>
      <c r="T189" s="311"/>
      <c r="U189" s="317"/>
      <c r="V189" s="5"/>
    </row>
    <row r="190" spans="1:22" ht="15.6" x14ac:dyDescent="0.3">
      <c r="A190" s="175"/>
      <c r="B190" s="334"/>
      <c r="C190" s="334"/>
      <c r="D190" s="334"/>
      <c r="E190" s="334"/>
      <c r="F190" s="334"/>
      <c r="G190" s="334"/>
      <c r="H190" s="334"/>
      <c r="I190" s="334"/>
      <c r="J190" s="334"/>
      <c r="K190" s="334"/>
      <c r="L190" s="334"/>
      <c r="M190" s="334"/>
      <c r="N190" s="334"/>
      <c r="O190" s="334"/>
      <c r="P190" s="334"/>
      <c r="Q190" s="334"/>
      <c r="R190" s="334"/>
      <c r="S190" s="334"/>
      <c r="T190" s="334"/>
      <c r="U190" s="334"/>
      <c r="V190" s="5"/>
    </row>
    <row r="191" spans="1:22" ht="15.6" x14ac:dyDescent="0.3">
      <c r="A191" s="175"/>
      <c r="B191" s="177"/>
      <c r="C191" s="177"/>
      <c r="D191" s="177"/>
      <c r="E191" s="177"/>
      <c r="F191" s="177"/>
      <c r="G191" s="177"/>
      <c r="H191" s="177"/>
      <c r="I191" s="177"/>
      <c r="J191" s="177"/>
      <c r="K191" s="177"/>
      <c r="L191" s="177"/>
      <c r="M191" s="177"/>
      <c r="N191" s="177"/>
      <c r="O191" s="177"/>
      <c r="P191" s="177"/>
      <c r="Q191" s="177"/>
      <c r="R191" s="177"/>
      <c r="S191" s="177"/>
      <c r="T191" s="177"/>
      <c r="U191" s="177"/>
      <c r="V191" s="5"/>
    </row>
    <row r="192" spans="1:22" ht="18" thickBot="1" x14ac:dyDescent="0.35">
      <c r="A192" s="192"/>
      <c r="B192" s="246" t="str">
        <f>B132</f>
        <v>PM11 INVESTOR REPORT QUARTER ENDING DECEMBER 2010</v>
      </c>
      <c r="C192" s="207"/>
      <c r="D192" s="207"/>
      <c r="E192" s="207"/>
      <c r="F192" s="207"/>
      <c r="G192" s="207"/>
      <c r="H192" s="207"/>
      <c r="I192" s="207"/>
      <c r="J192" s="207"/>
      <c r="K192" s="207"/>
      <c r="L192" s="207"/>
      <c r="M192" s="207"/>
      <c r="N192" s="207"/>
      <c r="O192" s="207"/>
      <c r="P192" s="207"/>
      <c r="Q192" s="207"/>
      <c r="R192" s="207"/>
      <c r="S192" s="207"/>
      <c r="T192" s="207"/>
      <c r="U192" s="208"/>
      <c r="V192" s="5"/>
    </row>
    <row r="193" spans="1:22" ht="15.6" x14ac:dyDescent="0.3">
      <c r="A193" s="260"/>
      <c r="B193" s="263" t="s">
        <v>71</v>
      </c>
      <c r="C193" s="264"/>
      <c r="D193" s="264"/>
      <c r="E193" s="264"/>
      <c r="F193" s="264"/>
      <c r="G193" s="265"/>
      <c r="H193" s="265"/>
      <c r="I193" s="265"/>
      <c r="J193" s="265"/>
      <c r="K193" s="265"/>
      <c r="L193" s="265"/>
      <c r="M193" s="265"/>
      <c r="N193" s="265"/>
      <c r="O193" s="265"/>
      <c r="P193" s="265"/>
      <c r="Q193" s="265"/>
      <c r="R193" s="265">
        <v>40543</v>
      </c>
      <c r="S193" s="261"/>
      <c r="T193" s="261"/>
      <c r="U193" s="261"/>
      <c r="V193" s="5"/>
    </row>
    <row r="194" spans="1:22" ht="15.6" x14ac:dyDescent="0.3">
      <c r="A194" s="209"/>
      <c r="B194" s="210"/>
      <c r="C194" s="211"/>
      <c r="D194" s="211"/>
      <c r="E194" s="211"/>
      <c r="F194" s="211"/>
      <c r="G194" s="212"/>
      <c r="H194" s="212"/>
      <c r="I194" s="212"/>
      <c r="J194" s="212"/>
      <c r="K194" s="212"/>
      <c r="L194" s="212"/>
      <c r="M194" s="212"/>
      <c r="N194" s="212"/>
      <c r="O194" s="212"/>
      <c r="P194" s="212"/>
      <c r="Q194" s="212"/>
      <c r="R194" s="212"/>
      <c r="S194" s="177"/>
      <c r="T194" s="177"/>
      <c r="U194" s="177"/>
      <c r="V194" s="5"/>
    </row>
    <row r="195" spans="1:22" ht="15.6" x14ac:dyDescent="0.3">
      <c r="A195" s="352"/>
      <c r="B195" s="285" t="s">
        <v>72</v>
      </c>
      <c r="C195" s="353"/>
      <c r="D195" s="353"/>
      <c r="E195" s="353"/>
      <c r="F195" s="353"/>
      <c r="G195" s="329"/>
      <c r="H195" s="329"/>
      <c r="I195" s="329"/>
      <c r="J195" s="329"/>
      <c r="K195" s="329"/>
      <c r="L195" s="329"/>
      <c r="M195" s="329"/>
      <c r="N195" s="329"/>
      <c r="O195" s="329"/>
      <c r="P195" s="329"/>
      <c r="Q195" s="329"/>
      <c r="R195" s="320">
        <v>5.1569999999999998E-2</v>
      </c>
      <c r="S195" s="285"/>
      <c r="T195" s="285"/>
      <c r="U195" s="317"/>
      <c r="V195" s="5"/>
    </row>
    <row r="196" spans="1:22" ht="15.6" x14ac:dyDescent="0.3">
      <c r="A196" s="352"/>
      <c r="B196" s="285" t="s">
        <v>157</v>
      </c>
      <c r="C196" s="353"/>
      <c r="D196" s="353"/>
      <c r="E196" s="353"/>
      <c r="F196" s="353"/>
      <c r="G196" s="329"/>
      <c r="H196" s="329"/>
      <c r="I196" s="329"/>
      <c r="J196" s="329"/>
      <c r="K196" s="329"/>
      <c r="L196" s="329"/>
      <c r="M196" s="329"/>
      <c r="N196" s="329"/>
      <c r="O196" s="329"/>
      <c r="P196" s="329"/>
      <c r="Q196" s="329"/>
      <c r="R196" s="320">
        <v>4.6899999999999997E-2</v>
      </c>
      <c r="S196" s="285"/>
      <c r="T196" s="285"/>
      <c r="U196" s="317"/>
      <c r="V196" s="5"/>
    </row>
    <row r="197" spans="1:22" ht="15.6" x14ac:dyDescent="0.3">
      <c r="A197" s="352"/>
      <c r="B197" s="285" t="s">
        <v>73</v>
      </c>
      <c r="C197" s="353"/>
      <c r="D197" s="353"/>
      <c r="E197" s="353"/>
      <c r="F197" s="353"/>
      <c r="G197" s="329"/>
      <c r="H197" s="329"/>
      <c r="I197" s="329"/>
      <c r="J197" s="329"/>
      <c r="K197" s="329"/>
      <c r="L197" s="329"/>
      <c r="M197" s="329"/>
      <c r="N197" s="329"/>
      <c r="O197" s="329"/>
      <c r="P197" s="329"/>
      <c r="Q197" s="329"/>
      <c r="R197" s="320">
        <f>R195-R196</f>
        <v>4.6700000000000005E-3</v>
      </c>
      <c r="S197" s="285"/>
      <c r="T197" s="285"/>
      <c r="U197" s="317"/>
      <c r="V197" s="5"/>
    </row>
    <row r="198" spans="1:22" ht="15.6" x14ac:dyDescent="0.3">
      <c r="A198" s="352"/>
      <c r="B198" s="285" t="s">
        <v>74</v>
      </c>
      <c r="C198" s="353"/>
      <c r="D198" s="353"/>
      <c r="E198" s="353"/>
      <c r="F198" s="353"/>
      <c r="G198" s="329"/>
      <c r="H198" s="329"/>
      <c r="I198" s="329"/>
      <c r="J198" s="329"/>
      <c r="K198" s="329"/>
      <c r="L198" s="329"/>
      <c r="M198" s="329"/>
      <c r="N198" s="329"/>
      <c r="O198" s="329"/>
      <c r="P198" s="329"/>
      <c r="Q198" s="329"/>
      <c r="R198" s="320">
        <v>2.6409999999999999E-2</v>
      </c>
      <c r="S198" s="285"/>
      <c r="T198" s="285"/>
      <c r="U198" s="317"/>
      <c r="V198" s="5"/>
    </row>
    <row r="199" spans="1:22" ht="15.6" x14ac:dyDescent="0.3">
      <c r="A199" s="352"/>
      <c r="B199" s="285" t="s">
        <v>257</v>
      </c>
      <c r="C199" s="353"/>
      <c r="D199" s="353"/>
      <c r="E199" s="353"/>
      <c r="F199" s="353"/>
      <c r="G199" s="329"/>
      <c r="H199" s="329"/>
      <c r="I199" s="329"/>
      <c r="J199" s="329"/>
      <c r="K199" s="329"/>
      <c r="L199" s="329"/>
      <c r="M199" s="329"/>
      <c r="N199" s="329"/>
      <c r="O199" s="329"/>
      <c r="P199" s="329"/>
      <c r="Q199" s="329"/>
      <c r="R199" s="320">
        <f>T43</f>
        <v>9.1550655400824202E-3</v>
      </c>
      <c r="S199" s="285"/>
      <c r="T199" s="285"/>
      <c r="U199" s="317"/>
      <c r="V199" s="5"/>
    </row>
    <row r="200" spans="1:22" ht="15.6" x14ac:dyDescent="0.3">
      <c r="A200" s="352"/>
      <c r="B200" s="285" t="s">
        <v>75</v>
      </c>
      <c r="C200" s="353"/>
      <c r="D200" s="353"/>
      <c r="E200" s="353"/>
      <c r="F200" s="353"/>
      <c r="G200" s="329"/>
      <c r="H200" s="329"/>
      <c r="I200" s="329"/>
      <c r="J200" s="329"/>
      <c r="K200" s="329"/>
      <c r="L200" s="329"/>
      <c r="M200" s="329"/>
      <c r="N200" s="329"/>
      <c r="O200" s="329"/>
      <c r="P200" s="329"/>
      <c r="Q200" s="329"/>
      <c r="R200" s="320">
        <f>R198-R199</f>
        <v>1.7254934459917579E-2</v>
      </c>
      <c r="S200" s="285"/>
      <c r="T200" s="285"/>
      <c r="U200" s="317"/>
      <c r="V200" s="5"/>
    </row>
    <row r="201" spans="1:22" ht="15.6" x14ac:dyDescent="0.3">
      <c r="A201" s="352"/>
      <c r="B201" s="285" t="s">
        <v>260</v>
      </c>
      <c r="C201" s="353"/>
      <c r="D201" s="353"/>
      <c r="E201" s="353"/>
      <c r="F201" s="353"/>
      <c r="G201" s="329"/>
      <c r="H201" s="329"/>
      <c r="I201" s="329"/>
      <c r="J201" s="329"/>
      <c r="K201" s="329"/>
      <c r="L201" s="329"/>
      <c r="M201" s="329"/>
      <c r="N201" s="329"/>
      <c r="O201" s="329"/>
      <c r="P201" s="329"/>
      <c r="Q201" s="329"/>
      <c r="R201" s="320">
        <f>+T100/L71</f>
        <v>7.1492540351305693E-3</v>
      </c>
      <c r="S201" s="285"/>
      <c r="T201" s="285"/>
      <c r="U201" s="317"/>
      <c r="V201" s="5"/>
    </row>
    <row r="202" spans="1:22" ht="15.6" x14ac:dyDescent="0.3">
      <c r="A202" s="352"/>
      <c r="B202" s="285" t="s">
        <v>217</v>
      </c>
      <c r="C202" s="353"/>
      <c r="D202" s="353"/>
      <c r="E202" s="353"/>
      <c r="F202" s="353"/>
      <c r="G202" s="329"/>
      <c r="H202" s="329"/>
      <c r="I202" s="329"/>
      <c r="J202" s="329"/>
      <c r="K202" s="329"/>
      <c r="L202" s="329"/>
      <c r="M202" s="329"/>
      <c r="N202" s="329"/>
      <c r="O202" s="329"/>
      <c r="P202" s="329"/>
      <c r="Q202" s="329"/>
      <c r="R202" s="354">
        <v>15250</v>
      </c>
      <c r="S202" s="285"/>
      <c r="T202" s="285"/>
      <c r="U202" s="317"/>
      <c r="V202" s="5"/>
    </row>
    <row r="203" spans="1:22" ht="15.6" x14ac:dyDescent="0.3">
      <c r="A203" s="352"/>
      <c r="B203" s="285" t="s">
        <v>218</v>
      </c>
      <c r="C203" s="353"/>
      <c r="D203" s="353"/>
      <c r="E203" s="353"/>
      <c r="F203" s="353"/>
      <c r="G203" s="329"/>
      <c r="H203" s="329"/>
      <c r="I203" s="329"/>
      <c r="J203" s="329"/>
      <c r="K203" s="329"/>
      <c r="L203" s="329"/>
      <c r="M203" s="329"/>
      <c r="N203" s="329"/>
      <c r="O203" s="329"/>
      <c r="P203" s="329"/>
      <c r="Q203" s="329"/>
      <c r="R203" s="354">
        <v>15250</v>
      </c>
      <c r="S203" s="285"/>
      <c r="T203" s="285"/>
      <c r="U203" s="317"/>
      <c r="V203" s="5"/>
    </row>
    <row r="204" spans="1:22" ht="15.6" x14ac:dyDescent="0.3">
      <c r="A204" s="352"/>
      <c r="B204" s="285" t="s">
        <v>219</v>
      </c>
      <c r="C204" s="353"/>
      <c r="D204" s="353"/>
      <c r="E204" s="353"/>
      <c r="F204" s="353"/>
      <c r="G204" s="329"/>
      <c r="H204" s="329"/>
      <c r="I204" s="329"/>
      <c r="J204" s="329"/>
      <c r="K204" s="329"/>
      <c r="L204" s="329"/>
      <c r="M204" s="329"/>
      <c r="N204" s="329"/>
      <c r="O204" s="329"/>
      <c r="P204" s="329"/>
      <c r="Q204" s="329"/>
      <c r="R204" s="354">
        <v>15250</v>
      </c>
      <c r="S204" s="285"/>
      <c r="T204" s="285"/>
      <c r="U204" s="317"/>
      <c r="V204" s="5"/>
    </row>
    <row r="205" spans="1:22" ht="15.6" x14ac:dyDescent="0.3">
      <c r="A205" s="352"/>
      <c r="B205" s="285" t="s">
        <v>76</v>
      </c>
      <c r="C205" s="353"/>
      <c r="D205" s="353"/>
      <c r="E205" s="353"/>
      <c r="F205" s="353"/>
      <c r="G205" s="329"/>
      <c r="H205" s="329"/>
      <c r="I205" s="329"/>
      <c r="J205" s="329"/>
      <c r="K205" s="329"/>
      <c r="L205" s="329"/>
      <c r="M205" s="329"/>
      <c r="N205" s="329"/>
      <c r="O205" s="329"/>
      <c r="P205" s="329"/>
      <c r="Q205" s="329"/>
      <c r="R205" s="326">
        <v>21.18</v>
      </c>
      <c r="S205" s="285" t="s">
        <v>116</v>
      </c>
      <c r="T205" s="285"/>
      <c r="U205" s="317"/>
      <c r="V205" s="5"/>
    </row>
    <row r="206" spans="1:22" ht="15.6" x14ac:dyDescent="0.3">
      <c r="A206" s="352"/>
      <c r="B206" s="285" t="s">
        <v>77</v>
      </c>
      <c r="C206" s="353"/>
      <c r="D206" s="353"/>
      <c r="E206" s="353"/>
      <c r="F206" s="353"/>
      <c r="G206" s="329"/>
      <c r="H206" s="329"/>
      <c r="I206" s="329"/>
      <c r="J206" s="329"/>
      <c r="K206" s="329"/>
      <c r="L206" s="329"/>
      <c r="M206" s="329"/>
      <c r="N206" s="329"/>
      <c r="O206" s="329"/>
      <c r="P206" s="329"/>
      <c r="Q206" s="329"/>
      <c r="R206" s="326">
        <v>16.52</v>
      </c>
      <c r="S206" s="285" t="s">
        <v>116</v>
      </c>
      <c r="T206" s="285"/>
      <c r="U206" s="317"/>
      <c r="V206" s="5"/>
    </row>
    <row r="207" spans="1:22" ht="15.6" x14ac:dyDescent="0.3">
      <c r="A207" s="352"/>
      <c r="B207" s="285" t="s">
        <v>78</v>
      </c>
      <c r="C207" s="353"/>
      <c r="D207" s="353"/>
      <c r="E207" s="353"/>
      <c r="F207" s="353"/>
      <c r="G207" s="329"/>
      <c r="H207" s="329"/>
      <c r="I207" s="329"/>
      <c r="J207" s="329"/>
      <c r="K207" s="329"/>
      <c r="L207" s="329"/>
      <c r="M207" s="329"/>
      <c r="N207" s="329"/>
      <c r="O207" s="329"/>
      <c r="P207" s="329"/>
      <c r="Q207" s="329"/>
      <c r="R207" s="320">
        <f>N68/L68</f>
        <v>7.6462247189486611E-3</v>
      </c>
      <c r="S207" s="285"/>
      <c r="T207" s="285"/>
      <c r="U207" s="317"/>
      <c r="V207" s="5"/>
    </row>
    <row r="208" spans="1:22" ht="15.6" x14ac:dyDescent="0.3">
      <c r="A208" s="352"/>
      <c r="B208" s="285" t="s">
        <v>79</v>
      </c>
      <c r="C208" s="353"/>
      <c r="D208" s="353"/>
      <c r="E208" s="353"/>
      <c r="F208" s="353"/>
      <c r="G208" s="329"/>
      <c r="H208" s="329"/>
      <c r="I208" s="329"/>
      <c r="J208" s="329"/>
      <c r="K208" s="329"/>
      <c r="L208" s="329"/>
      <c r="M208" s="329"/>
      <c r="N208" s="329"/>
      <c r="O208" s="329"/>
      <c r="P208" s="329"/>
      <c r="Q208" s="329"/>
      <c r="R208" s="320">
        <v>0.1148</v>
      </c>
      <c r="S208" s="285"/>
      <c r="T208" s="285"/>
      <c r="U208" s="317"/>
      <c r="V208" s="5"/>
    </row>
    <row r="209" spans="1:22" ht="15.6" x14ac:dyDescent="0.3">
      <c r="A209" s="209"/>
      <c r="B209" s="350"/>
      <c r="C209" s="350"/>
      <c r="D209" s="350"/>
      <c r="E209" s="350"/>
      <c r="F209" s="350"/>
      <c r="G209" s="334"/>
      <c r="H209" s="334"/>
      <c r="I209" s="334"/>
      <c r="J209" s="334"/>
      <c r="K209" s="334"/>
      <c r="L209" s="334"/>
      <c r="M209" s="334"/>
      <c r="N209" s="334"/>
      <c r="O209" s="334"/>
      <c r="P209" s="334"/>
      <c r="Q209" s="334"/>
      <c r="R209" s="347"/>
      <c r="S209" s="334"/>
      <c r="T209" s="351"/>
      <c r="U209" s="334"/>
      <c r="V209" s="5"/>
    </row>
    <row r="210" spans="1:22" ht="15.6" x14ac:dyDescent="0.3">
      <c r="A210" s="266"/>
      <c r="B210" s="252" t="s">
        <v>80</v>
      </c>
      <c r="C210" s="253"/>
      <c r="D210" s="253"/>
      <c r="E210" s="253"/>
      <c r="F210" s="267"/>
      <c r="G210" s="253"/>
      <c r="H210" s="253"/>
      <c r="I210" s="253"/>
      <c r="J210" s="253"/>
      <c r="K210" s="253"/>
      <c r="L210" s="253"/>
      <c r="M210" s="253"/>
      <c r="N210" s="253"/>
      <c r="O210" s="253"/>
      <c r="P210" s="253"/>
      <c r="Q210" s="253" t="s">
        <v>105</v>
      </c>
      <c r="R210" s="267" t="s">
        <v>112</v>
      </c>
      <c r="S210" s="223"/>
      <c r="T210" s="223"/>
      <c r="U210" s="223"/>
      <c r="V210" s="5"/>
    </row>
    <row r="211" spans="1:22" ht="15.6" x14ac:dyDescent="0.3">
      <c r="A211" s="214"/>
      <c r="B211" s="239" t="s">
        <v>81</v>
      </c>
      <c r="C211" s="243"/>
      <c r="D211" s="243"/>
      <c r="E211" s="243"/>
      <c r="F211" s="239"/>
      <c r="G211" s="239"/>
      <c r="H211" s="242"/>
      <c r="I211" s="242"/>
      <c r="J211" s="242"/>
      <c r="K211" s="242"/>
      <c r="L211" s="242"/>
      <c r="M211" s="242"/>
      <c r="N211" s="242"/>
      <c r="O211" s="242"/>
      <c r="P211" s="242"/>
      <c r="Q211" s="242">
        <v>0</v>
      </c>
      <c r="R211" s="272">
        <v>0</v>
      </c>
      <c r="S211" s="239"/>
      <c r="T211" s="273"/>
      <c r="U211" s="215"/>
      <c r="V211" s="5"/>
    </row>
    <row r="212" spans="1:22" ht="15.6" x14ac:dyDescent="0.3">
      <c r="A212" s="360"/>
      <c r="B212" s="285" t="s">
        <v>151</v>
      </c>
      <c r="C212" s="338"/>
      <c r="D212" s="338"/>
      <c r="E212" s="338"/>
      <c r="F212" s="285"/>
      <c r="G212" s="285"/>
      <c r="H212" s="293"/>
      <c r="I212" s="293"/>
      <c r="J212" s="293"/>
      <c r="K212" s="293"/>
      <c r="L212" s="293"/>
      <c r="M212" s="293"/>
      <c r="N212" s="293"/>
      <c r="O212" s="293"/>
      <c r="P212" s="293"/>
      <c r="Q212" s="361">
        <f>+P264</f>
        <v>118</v>
      </c>
      <c r="R212" s="362">
        <f>+R264</f>
        <v>17282</v>
      </c>
      <c r="S212" s="285"/>
      <c r="T212" s="363"/>
      <c r="U212" s="364"/>
      <c r="V212" s="5"/>
    </row>
    <row r="213" spans="1:22" ht="15.6" x14ac:dyDescent="0.3">
      <c r="A213" s="360"/>
      <c r="B213" s="285" t="s">
        <v>82</v>
      </c>
      <c r="C213" s="338"/>
      <c r="D213" s="338"/>
      <c r="E213" s="338"/>
      <c r="F213" s="285"/>
      <c r="G213" s="285"/>
      <c r="H213" s="293"/>
      <c r="I213" s="293"/>
      <c r="J213" s="293"/>
      <c r="K213" s="293"/>
      <c r="L213" s="293"/>
      <c r="M213" s="293"/>
      <c r="N213" s="293"/>
      <c r="O213" s="293"/>
      <c r="P213" s="293"/>
      <c r="Q213" s="361">
        <f>+P276</f>
        <v>0</v>
      </c>
      <c r="R213" s="362">
        <f>+R276</f>
        <v>0</v>
      </c>
      <c r="S213" s="285"/>
      <c r="T213" s="363"/>
      <c r="U213" s="364"/>
      <c r="V213" s="5"/>
    </row>
    <row r="214" spans="1:22" ht="15.6" x14ac:dyDescent="0.3">
      <c r="A214" s="360"/>
      <c r="B214" s="310" t="s">
        <v>83</v>
      </c>
      <c r="C214" s="365"/>
      <c r="D214" s="365"/>
      <c r="E214" s="365"/>
      <c r="F214" s="311"/>
      <c r="G214" s="311"/>
      <c r="H214" s="311"/>
      <c r="I214" s="311"/>
      <c r="J214" s="311"/>
      <c r="K214" s="311"/>
      <c r="L214" s="311"/>
      <c r="M214" s="311"/>
      <c r="N214" s="311"/>
      <c r="O214" s="311"/>
      <c r="P214" s="311"/>
      <c r="Q214" s="285"/>
      <c r="R214" s="362">
        <v>0</v>
      </c>
      <c r="S214" s="311"/>
      <c r="T214" s="366"/>
      <c r="U214" s="364"/>
      <c r="V214" s="5"/>
    </row>
    <row r="215" spans="1:22" ht="15.6" x14ac:dyDescent="0.3">
      <c r="A215" s="360"/>
      <c r="B215" s="310" t="s">
        <v>84</v>
      </c>
      <c r="C215" s="365"/>
      <c r="D215" s="365"/>
      <c r="E215" s="365"/>
      <c r="F215" s="311"/>
      <c r="G215" s="311"/>
      <c r="H215" s="311"/>
      <c r="I215" s="311"/>
      <c r="J215" s="311"/>
      <c r="K215" s="311"/>
      <c r="L215" s="311"/>
      <c r="M215" s="311"/>
      <c r="N215" s="311"/>
      <c r="O215" s="311"/>
      <c r="P215" s="311"/>
      <c r="Q215" s="285"/>
      <c r="R215" s="367" t="s">
        <v>113</v>
      </c>
      <c r="S215" s="311"/>
      <c r="T215" s="366"/>
      <c r="U215" s="364"/>
      <c r="V215" s="5"/>
    </row>
    <row r="216" spans="1:22" ht="15.6" x14ac:dyDescent="0.3">
      <c r="A216" s="368"/>
      <c r="B216" s="310" t="s">
        <v>85</v>
      </c>
      <c r="C216" s="369"/>
      <c r="D216" s="369"/>
      <c r="E216" s="369"/>
      <c r="F216" s="369"/>
      <c r="G216" s="311"/>
      <c r="H216" s="311"/>
      <c r="I216" s="311"/>
      <c r="J216" s="311"/>
      <c r="K216" s="311"/>
      <c r="L216" s="311"/>
      <c r="M216" s="311"/>
      <c r="N216" s="311"/>
      <c r="O216" s="311"/>
      <c r="P216" s="311"/>
      <c r="Q216" s="285"/>
      <c r="R216" s="362"/>
      <c r="S216" s="311"/>
      <c r="T216" s="366"/>
      <c r="U216" s="370"/>
      <c r="V216" s="5"/>
    </row>
    <row r="217" spans="1:22" ht="15.6" x14ac:dyDescent="0.3">
      <c r="A217" s="368"/>
      <c r="B217" s="290" t="s">
        <v>86</v>
      </c>
      <c r="C217" s="290"/>
      <c r="D217" s="290"/>
      <c r="E217" s="290"/>
      <c r="F217" s="290"/>
      <c r="G217" s="290"/>
      <c r="H217" s="290"/>
      <c r="I217" s="290"/>
      <c r="J217" s="290"/>
      <c r="K217" s="290"/>
      <c r="L217" s="290"/>
      <c r="M217" s="290"/>
      <c r="N217" s="290"/>
      <c r="O217" s="290"/>
      <c r="P217" s="290"/>
      <c r="Q217" s="293"/>
      <c r="R217" s="362">
        <f>T161</f>
        <v>115</v>
      </c>
      <c r="S217" s="290"/>
      <c r="T217" s="371"/>
      <c r="U217" s="370"/>
      <c r="V217" s="5"/>
    </row>
    <row r="218" spans="1:22" ht="15.6" x14ac:dyDescent="0.3">
      <c r="A218" s="360"/>
      <c r="B218" s="290" t="s">
        <v>87</v>
      </c>
      <c r="C218" s="372"/>
      <c r="D218" s="372"/>
      <c r="E218" s="372"/>
      <c r="F218" s="372"/>
      <c r="G218" s="290"/>
      <c r="H218" s="290"/>
      <c r="I218" s="290"/>
      <c r="J218" s="290"/>
      <c r="K218" s="290"/>
      <c r="L218" s="290"/>
      <c r="M218" s="290"/>
      <c r="N218" s="290"/>
      <c r="O218" s="290"/>
      <c r="P218" s="290"/>
      <c r="Q218" s="293"/>
      <c r="R218" s="362">
        <f>'September 10'!R218+R217</f>
        <v>2769</v>
      </c>
      <c r="S218" s="290"/>
      <c r="T218" s="371"/>
      <c r="U218" s="370"/>
      <c r="V218" s="5"/>
    </row>
    <row r="219" spans="1:22" ht="15.6" x14ac:dyDescent="0.3">
      <c r="A219" s="368"/>
      <c r="B219" s="310" t="s">
        <v>282</v>
      </c>
      <c r="C219" s="369"/>
      <c r="D219" s="369"/>
      <c r="E219" s="369"/>
      <c r="F219" s="369"/>
      <c r="G219" s="311"/>
      <c r="H219" s="311"/>
      <c r="I219" s="311"/>
      <c r="J219" s="311"/>
      <c r="K219" s="311"/>
      <c r="L219" s="311"/>
      <c r="M219" s="311"/>
      <c r="N219" s="311"/>
      <c r="O219" s="311"/>
      <c r="P219" s="311"/>
      <c r="Q219" s="293"/>
      <c r="R219" s="362"/>
      <c r="S219" s="311"/>
      <c r="T219" s="366"/>
      <c r="U219" s="370"/>
      <c r="V219" s="5"/>
    </row>
    <row r="220" spans="1:22" ht="15.6" x14ac:dyDescent="0.3">
      <c r="A220" s="368"/>
      <c r="B220" s="285" t="s">
        <v>280</v>
      </c>
      <c r="C220" s="369"/>
      <c r="D220" s="369"/>
      <c r="E220" s="369"/>
      <c r="F220" s="369"/>
      <c r="G220" s="311"/>
      <c r="H220" s="311"/>
      <c r="I220" s="311"/>
      <c r="J220" s="311"/>
      <c r="K220" s="311"/>
      <c r="L220" s="311"/>
      <c r="M220" s="311"/>
      <c r="N220" s="311"/>
      <c r="O220" s="311"/>
      <c r="P220" s="311"/>
      <c r="Q220" s="293">
        <v>0</v>
      </c>
      <c r="R220" s="362">
        <v>0</v>
      </c>
      <c r="S220" s="311"/>
      <c r="T220" s="366"/>
      <c r="U220" s="370"/>
      <c r="V220" s="5"/>
    </row>
    <row r="221" spans="1:22" ht="15.6" x14ac:dyDescent="0.3">
      <c r="A221" s="360"/>
      <c r="B221" s="285" t="s">
        <v>89</v>
      </c>
      <c r="C221" s="373"/>
      <c r="D221" s="373"/>
      <c r="E221" s="373"/>
      <c r="F221" s="374"/>
      <c r="G221" s="311"/>
      <c r="H221" s="311"/>
      <c r="I221" s="311"/>
      <c r="J221" s="311"/>
      <c r="K221" s="311"/>
      <c r="L221" s="311"/>
      <c r="M221" s="311"/>
      <c r="N221" s="311"/>
      <c r="O221" s="311"/>
      <c r="P221" s="311"/>
      <c r="Q221" s="285"/>
      <c r="R221" s="367">
        <v>0</v>
      </c>
      <c r="S221" s="311"/>
      <c r="T221" s="366"/>
      <c r="U221" s="370"/>
      <c r="V221" s="5"/>
    </row>
    <row r="222" spans="1:22" ht="15.6" x14ac:dyDescent="0.3">
      <c r="A222" s="360"/>
      <c r="B222" s="285" t="s">
        <v>90</v>
      </c>
      <c r="C222" s="373"/>
      <c r="D222" s="373"/>
      <c r="E222" s="373"/>
      <c r="F222" s="374"/>
      <c r="G222" s="311"/>
      <c r="H222" s="311"/>
      <c r="I222" s="311"/>
      <c r="J222" s="311"/>
      <c r="K222" s="311"/>
      <c r="L222" s="311"/>
      <c r="M222" s="311"/>
      <c r="N222" s="311"/>
      <c r="O222" s="311"/>
      <c r="P222" s="311"/>
      <c r="Q222" s="285"/>
      <c r="R222" s="367">
        <v>0</v>
      </c>
      <c r="S222" s="311"/>
      <c r="T222" s="366"/>
      <c r="U222" s="370"/>
      <c r="V222" s="5"/>
    </row>
    <row r="223" spans="1:22" ht="15.6" x14ac:dyDescent="0.3">
      <c r="A223" s="360"/>
      <c r="B223" s="310" t="s">
        <v>226</v>
      </c>
      <c r="C223" s="373"/>
      <c r="D223" s="373"/>
      <c r="E223" s="373"/>
      <c r="F223" s="374"/>
      <c r="G223" s="311"/>
      <c r="H223" s="311"/>
      <c r="I223" s="311"/>
      <c r="J223" s="311"/>
      <c r="K223" s="311"/>
      <c r="L223" s="311"/>
      <c r="M223" s="311"/>
      <c r="N223" s="311"/>
      <c r="O223" s="311"/>
      <c r="P223" s="311"/>
      <c r="Q223" s="293"/>
      <c r="R223" s="375"/>
      <c r="S223" s="311"/>
      <c r="T223" s="366"/>
      <c r="U223" s="370"/>
      <c r="V223" s="5"/>
    </row>
    <row r="224" spans="1:22" ht="15.6" x14ac:dyDescent="0.3">
      <c r="A224" s="360"/>
      <c r="B224" s="285" t="s">
        <v>280</v>
      </c>
      <c r="C224" s="373"/>
      <c r="D224" s="373"/>
      <c r="E224" s="373"/>
      <c r="F224" s="374"/>
      <c r="G224" s="311"/>
      <c r="H224" s="311"/>
      <c r="I224" s="311"/>
      <c r="J224" s="311"/>
      <c r="K224" s="311"/>
      <c r="L224" s="311"/>
      <c r="M224" s="311"/>
      <c r="N224" s="311"/>
      <c r="O224" s="311"/>
      <c r="P224" s="311"/>
      <c r="Q224" s="293">
        <v>4</v>
      </c>
      <c r="R224" s="362">
        <v>387</v>
      </c>
      <c r="S224" s="311"/>
      <c r="T224" s="366"/>
      <c r="U224" s="370"/>
      <c r="V224" s="5"/>
    </row>
    <row r="225" spans="1:23" ht="15.6" x14ac:dyDescent="0.3">
      <c r="A225" s="360"/>
      <c r="B225" s="285" t="s">
        <v>227</v>
      </c>
      <c r="C225" s="373"/>
      <c r="D225" s="373"/>
      <c r="E225" s="373"/>
      <c r="F225" s="374"/>
      <c r="G225" s="311"/>
      <c r="H225" s="311"/>
      <c r="I225" s="311"/>
      <c r="J225" s="311"/>
      <c r="K225" s="311"/>
      <c r="L225" s="311"/>
      <c r="M225" s="311"/>
      <c r="N225" s="311"/>
      <c r="O225" s="311"/>
      <c r="P225" s="311"/>
      <c r="Q225" s="293"/>
      <c r="R225" s="367">
        <v>2.89</v>
      </c>
      <c r="S225" s="311"/>
      <c r="T225" s="366"/>
      <c r="U225" s="370"/>
      <c r="V225" s="5"/>
    </row>
    <row r="226" spans="1:23" ht="15.6" x14ac:dyDescent="0.3">
      <c r="A226" s="360"/>
      <c r="B226" s="369"/>
      <c r="C226" s="373"/>
      <c r="D226" s="373"/>
      <c r="E226" s="373"/>
      <c r="F226" s="374"/>
      <c r="G226" s="311"/>
      <c r="H226" s="311"/>
      <c r="I226" s="311"/>
      <c r="J226" s="311"/>
      <c r="K226" s="311"/>
      <c r="L226" s="311"/>
      <c r="M226" s="311"/>
      <c r="N226" s="311"/>
      <c r="O226" s="311"/>
      <c r="P226" s="311"/>
      <c r="Q226" s="311"/>
      <c r="R226" s="376"/>
      <c r="S226" s="311"/>
      <c r="T226" s="366"/>
      <c r="U226" s="370"/>
      <c r="V226" s="5"/>
    </row>
    <row r="227" spans="1:23" ht="15.6" x14ac:dyDescent="0.3">
      <c r="A227" s="360"/>
      <c r="B227" s="369"/>
      <c r="C227" s="373"/>
      <c r="D227" s="373"/>
      <c r="E227" s="373"/>
      <c r="F227" s="374"/>
      <c r="G227" s="311"/>
      <c r="H227" s="311"/>
      <c r="I227" s="311"/>
      <c r="J227" s="311"/>
      <c r="K227" s="311"/>
      <c r="L227" s="311"/>
      <c r="M227" s="311"/>
      <c r="N227" s="311"/>
      <c r="O227" s="311"/>
      <c r="P227" s="311"/>
      <c r="Q227" s="311"/>
      <c r="R227" s="376"/>
      <c r="S227" s="311"/>
      <c r="T227" s="366"/>
      <c r="U227" s="370"/>
      <c r="V227" s="5"/>
    </row>
    <row r="228" spans="1:23" ht="17.399999999999999" x14ac:dyDescent="0.3">
      <c r="A228" s="360"/>
      <c r="B228" s="377" t="s">
        <v>175</v>
      </c>
      <c r="C228" s="373"/>
      <c r="D228" s="373"/>
      <c r="E228" s="373"/>
      <c r="F228" s="374"/>
      <c r="G228" s="311"/>
      <c r="H228" s="311"/>
      <c r="I228" s="311"/>
      <c r="J228" s="311"/>
      <c r="K228" s="311"/>
      <c r="L228" s="311"/>
      <c r="M228" s="311"/>
      <c r="N228" s="378" t="s">
        <v>174</v>
      </c>
      <c r="O228" s="311"/>
      <c r="P228" s="311"/>
      <c r="Q228" s="311"/>
      <c r="R228" s="376"/>
      <c r="S228" s="311"/>
      <c r="T228" s="366"/>
      <c r="U228" s="370"/>
      <c r="V228" s="5"/>
    </row>
    <row r="229" spans="1:23" ht="15.6" x14ac:dyDescent="0.3">
      <c r="A229" s="355"/>
      <c r="B229" s="350"/>
      <c r="C229" s="356"/>
      <c r="D229" s="356"/>
      <c r="E229" s="356"/>
      <c r="F229" s="357"/>
      <c r="G229" s="334"/>
      <c r="H229" s="334"/>
      <c r="I229" s="334"/>
      <c r="J229" s="334"/>
      <c r="K229" s="334"/>
      <c r="L229" s="334"/>
      <c r="M229" s="334"/>
      <c r="N229" s="334"/>
      <c r="O229" s="334"/>
      <c r="P229" s="334"/>
      <c r="Q229" s="334"/>
      <c r="R229" s="358"/>
      <c r="S229" s="334"/>
      <c r="T229" s="351"/>
      <c r="U229" s="359"/>
      <c r="V229" s="5"/>
    </row>
    <row r="230" spans="1:23" ht="15.6" x14ac:dyDescent="0.3">
      <c r="A230" s="222"/>
      <c r="B230" s="252" t="s">
        <v>295</v>
      </c>
      <c r="C230" s="253"/>
      <c r="D230" s="253"/>
      <c r="E230" s="253"/>
      <c r="F230" s="267"/>
      <c r="G230" s="253"/>
      <c r="H230" s="253"/>
      <c r="I230" s="253"/>
      <c r="J230" s="253"/>
      <c r="K230" s="253"/>
      <c r="L230" s="253"/>
      <c r="M230" s="253"/>
      <c r="N230" s="253"/>
      <c r="O230" s="253"/>
      <c r="P230" s="267" t="s">
        <v>105</v>
      </c>
      <c r="Q230" s="253" t="s">
        <v>106</v>
      </c>
      <c r="R230" s="267" t="s">
        <v>114</v>
      </c>
      <c r="S230" s="253" t="s">
        <v>106</v>
      </c>
      <c r="T230" s="223"/>
      <c r="U230" s="252"/>
      <c r="V230" s="5"/>
    </row>
    <row r="231" spans="1:23" ht="15.6" x14ac:dyDescent="0.3">
      <c r="A231" s="190"/>
      <c r="B231" s="243" t="s">
        <v>91</v>
      </c>
      <c r="C231" s="217"/>
      <c r="D231" s="217"/>
      <c r="E231" s="217"/>
      <c r="F231" s="191"/>
      <c r="G231" s="217"/>
      <c r="H231" s="217"/>
      <c r="I231" s="217"/>
      <c r="J231" s="217"/>
      <c r="K231" s="217"/>
      <c r="L231" s="217"/>
      <c r="M231" s="217"/>
      <c r="N231" s="217"/>
      <c r="O231" s="217"/>
      <c r="P231" s="338">
        <f t="shared" ref="P231:P238" si="1">+P243+P255+P267</f>
        <v>4323</v>
      </c>
      <c r="Q231" s="384">
        <f t="shared" ref="Q231:Q238" si="2">P231/$P$240</f>
        <v>0.98339399454049137</v>
      </c>
      <c r="R231" s="339">
        <f t="shared" ref="R231:R238" si="3">+R243+R255+R267</f>
        <v>572327</v>
      </c>
      <c r="S231" s="384">
        <f t="shared" ref="S231:S238" si="4">R231/$R$240</f>
        <v>0.97798400918643025</v>
      </c>
      <c r="T231" s="213"/>
      <c r="U231" s="216"/>
      <c r="V231" s="5"/>
    </row>
    <row r="232" spans="1:23" ht="15.6" x14ac:dyDescent="0.3">
      <c r="A232" s="284"/>
      <c r="B232" s="338" t="s">
        <v>92</v>
      </c>
      <c r="C232" s="382"/>
      <c r="D232" s="382"/>
      <c r="E232" s="382"/>
      <c r="F232" s="311"/>
      <c r="G232" s="383"/>
      <c r="H232" s="382"/>
      <c r="I232" s="382"/>
      <c r="J232" s="382"/>
      <c r="K232" s="382"/>
      <c r="L232" s="382"/>
      <c r="M232" s="382"/>
      <c r="N232" s="382"/>
      <c r="O232" s="382"/>
      <c r="P232" s="338">
        <f t="shared" si="1"/>
        <v>34</v>
      </c>
      <c r="Q232" s="384">
        <f t="shared" si="2"/>
        <v>7.7343039126478615E-3</v>
      </c>
      <c r="R232" s="339">
        <f t="shared" si="3"/>
        <v>5901</v>
      </c>
      <c r="S232" s="384">
        <f t="shared" si="4"/>
        <v>1.008354251714339E-2</v>
      </c>
      <c r="T232" s="366"/>
      <c r="U232" s="370"/>
      <c r="V232" s="5"/>
      <c r="W232" s="109"/>
    </row>
    <row r="233" spans="1:23" ht="15.6" x14ac:dyDescent="0.3">
      <c r="A233" s="284"/>
      <c r="B233" s="338" t="s">
        <v>93</v>
      </c>
      <c r="C233" s="382"/>
      <c r="D233" s="382"/>
      <c r="E233" s="382"/>
      <c r="F233" s="311"/>
      <c r="G233" s="383"/>
      <c r="H233" s="382"/>
      <c r="I233" s="382"/>
      <c r="J233" s="382"/>
      <c r="K233" s="382"/>
      <c r="L233" s="382"/>
      <c r="M233" s="382"/>
      <c r="N233" s="382"/>
      <c r="O233" s="382"/>
      <c r="P233" s="338">
        <f t="shared" si="1"/>
        <v>2</v>
      </c>
      <c r="Q233" s="384">
        <f t="shared" si="2"/>
        <v>4.5495905368516835E-4</v>
      </c>
      <c r="R233" s="339">
        <f t="shared" si="3"/>
        <v>542</v>
      </c>
      <c r="S233" s="384">
        <f t="shared" si="4"/>
        <v>9.2616167501977922E-4</v>
      </c>
      <c r="T233" s="366"/>
      <c r="U233" s="370"/>
      <c r="V233" s="5"/>
    </row>
    <row r="234" spans="1:23" ht="15.6" x14ac:dyDescent="0.3">
      <c r="A234" s="284"/>
      <c r="B234" s="338" t="s">
        <v>163</v>
      </c>
      <c r="C234" s="382"/>
      <c r="D234" s="382"/>
      <c r="E234" s="382"/>
      <c r="F234" s="311"/>
      <c r="G234" s="383"/>
      <c r="H234" s="382"/>
      <c r="I234" s="382"/>
      <c r="J234" s="382"/>
      <c r="K234" s="382"/>
      <c r="L234" s="382"/>
      <c r="M234" s="382"/>
      <c r="N234" s="382"/>
      <c r="O234" s="382"/>
      <c r="P234" s="338">
        <f t="shared" si="1"/>
        <v>1</v>
      </c>
      <c r="Q234" s="384">
        <f t="shared" si="2"/>
        <v>2.2747952684258417E-4</v>
      </c>
      <c r="R234" s="339">
        <f t="shared" si="3"/>
        <v>204</v>
      </c>
      <c r="S234" s="384">
        <f t="shared" si="4"/>
        <v>3.4859221716611614E-4</v>
      </c>
      <c r="T234" s="366"/>
      <c r="U234" s="370"/>
      <c r="V234" s="5"/>
      <c r="W234" s="109"/>
    </row>
    <row r="235" spans="1:23" ht="15.6" x14ac:dyDescent="0.3">
      <c r="A235" s="284"/>
      <c r="B235" s="338" t="s">
        <v>164</v>
      </c>
      <c r="C235" s="382"/>
      <c r="D235" s="382"/>
      <c r="E235" s="382"/>
      <c r="F235" s="311"/>
      <c r="G235" s="383"/>
      <c r="H235" s="382"/>
      <c r="I235" s="382"/>
      <c r="J235" s="382"/>
      <c r="K235" s="382"/>
      <c r="L235" s="382"/>
      <c r="M235" s="382"/>
      <c r="N235" s="382"/>
      <c r="O235" s="382"/>
      <c r="P235" s="338">
        <f t="shared" si="1"/>
        <v>4</v>
      </c>
      <c r="Q235" s="384">
        <f t="shared" si="2"/>
        <v>9.099181073703367E-4</v>
      </c>
      <c r="R235" s="339">
        <f t="shared" si="3"/>
        <v>942</v>
      </c>
      <c r="S235" s="384">
        <f t="shared" si="4"/>
        <v>1.6096758263258893E-3</v>
      </c>
      <c r="T235" s="366"/>
      <c r="U235" s="370"/>
      <c r="V235" s="5"/>
    </row>
    <row r="236" spans="1:23" ht="15.6" x14ac:dyDescent="0.3">
      <c r="A236" s="284"/>
      <c r="B236" s="338" t="s">
        <v>165</v>
      </c>
      <c r="C236" s="382"/>
      <c r="D236" s="382"/>
      <c r="E236" s="382"/>
      <c r="F236" s="311"/>
      <c r="G236" s="383"/>
      <c r="H236" s="382"/>
      <c r="I236" s="382"/>
      <c r="J236" s="382"/>
      <c r="K236" s="382"/>
      <c r="L236" s="382"/>
      <c r="M236" s="382"/>
      <c r="N236" s="382"/>
      <c r="O236" s="382"/>
      <c r="P236" s="338">
        <f t="shared" si="1"/>
        <v>1</v>
      </c>
      <c r="Q236" s="384">
        <f t="shared" si="2"/>
        <v>2.2747952684258417E-4</v>
      </c>
      <c r="R236" s="339">
        <f t="shared" si="3"/>
        <v>112</v>
      </c>
      <c r="S236" s="384">
        <f t="shared" si="4"/>
        <v>1.9138396236571082E-4</v>
      </c>
      <c r="T236" s="366"/>
      <c r="U236" s="370"/>
      <c r="V236" s="5"/>
      <c r="W236" s="109"/>
    </row>
    <row r="237" spans="1:23" ht="15.6" x14ac:dyDescent="0.3">
      <c r="A237" s="284"/>
      <c r="B237" s="338" t="s">
        <v>166</v>
      </c>
      <c r="C237" s="382"/>
      <c r="D237" s="382"/>
      <c r="E237" s="382"/>
      <c r="F237" s="311"/>
      <c r="G237" s="383"/>
      <c r="H237" s="382"/>
      <c r="I237" s="382"/>
      <c r="J237" s="382"/>
      <c r="K237" s="382"/>
      <c r="L237" s="382"/>
      <c r="M237" s="382"/>
      <c r="N237" s="382"/>
      <c r="O237" s="382"/>
      <c r="P237" s="338">
        <f t="shared" si="1"/>
        <v>16</v>
      </c>
      <c r="Q237" s="384">
        <f t="shared" si="2"/>
        <v>3.6396724294813468E-3</v>
      </c>
      <c r="R237" s="339">
        <f t="shared" si="3"/>
        <v>3013</v>
      </c>
      <c r="S237" s="384">
        <f t="shared" si="4"/>
        <v>5.1485703447132743E-3</v>
      </c>
      <c r="T237" s="366"/>
      <c r="U237" s="370"/>
      <c r="V237" s="5"/>
    </row>
    <row r="238" spans="1:23" ht="15.6" x14ac:dyDescent="0.3">
      <c r="A238" s="284"/>
      <c r="B238" s="338" t="s">
        <v>167</v>
      </c>
      <c r="C238" s="382"/>
      <c r="D238" s="382"/>
      <c r="E238" s="382"/>
      <c r="F238" s="311"/>
      <c r="G238" s="383"/>
      <c r="H238" s="382"/>
      <c r="I238" s="382"/>
      <c r="J238" s="382"/>
      <c r="K238" s="382"/>
      <c r="L238" s="382"/>
      <c r="M238" s="382"/>
      <c r="N238" s="382"/>
      <c r="O238" s="382"/>
      <c r="P238" s="338">
        <f t="shared" si="1"/>
        <v>15</v>
      </c>
      <c r="Q238" s="384">
        <f t="shared" si="2"/>
        <v>3.4121929026387624E-3</v>
      </c>
      <c r="R238" s="339">
        <f t="shared" si="3"/>
        <v>2170</v>
      </c>
      <c r="S238" s="384">
        <f t="shared" si="4"/>
        <v>3.7080642708356474E-3</v>
      </c>
      <c r="T238" s="366"/>
      <c r="U238" s="370"/>
      <c r="V238" s="5"/>
      <c r="W238" s="109"/>
    </row>
    <row r="239" spans="1:23" ht="15.6" x14ac:dyDescent="0.3">
      <c r="A239" s="284"/>
      <c r="B239" s="338"/>
      <c r="C239" s="382"/>
      <c r="D239" s="382"/>
      <c r="E239" s="382"/>
      <c r="F239" s="311"/>
      <c r="G239" s="383"/>
      <c r="H239" s="382"/>
      <c r="I239" s="382"/>
      <c r="J239" s="382"/>
      <c r="K239" s="382"/>
      <c r="L239" s="382"/>
      <c r="M239" s="382"/>
      <c r="N239" s="382"/>
      <c r="O239" s="382"/>
      <c r="P239" s="338"/>
      <c r="Q239" s="384"/>
      <c r="R239" s="339"/>
      <c r="S239" s="384"/>
      <c r="T239" s="366"/>
      <c r="U239" s="370"/>
      <c r="V239" s="5"/>
    </row>
    <row r="240" spans="1:23" ht="15.6" x14ac:dyDescent="0.3">
      <c r="A240" s="284"/>
      <c r="B240" s="285" t="s">
        <v>120</v>
      </c>
      <c r="C240" s="311"/>
      <c r="D240" s="311"/>
      <c r="E240" s="311"/>
      <c r="F240" s="311"/>
      <c r="G240" s="311"/>
      <c r="H240" s="385"/>
      <c r="I240" s="385"/>
      <c r="J240" s="385"/>
      <c r="K240" s="385"/>
      <c r="L240" s="385"/>
      <c r="M240" s="385"/>
      <c r="N240" s="385"/>
      <c r="O240" s="385"/>
      <c r="P240" s="338">
        <f>SUM(P231:P239)</f>
        <v>4396</v>
      </c>
      <c r="Q240" s="384">
        <f>SUM(Q231:Q239)</f>
        <v>0.99999999999999989</v>
      </c>
      <c r="R240" s="339">
        <f>SUM(R231:R239)</f>
        <v>585211</v>
      </c>
      <c r="S240" s="384">
        <f>SUM(S231:S239)</f>
        <v>1</v>
      </c>
      <c r="T240" s="311"/>
      <c r="U240" s="317"/>
      <c r="V240" s="5"/>
    </row>
    <row r="241" spans="1:23" ht="15.6" x14ac:dyDescent="0.3">
      <c r="A241" s="355"/>
      <c r="B241" s="350"/>
      <c r="C241" s="356"/>
      <c r="D241" s="356"/>
      <c r="E241" s="356"/>
      <c r="F241" s="357"/>
      <c r="G241" s="334"/>
      <c r="H241" s="334"/>
      <c r="I241" s="334"/>
      <c r="J241" s="334"/>
      <c r="K241" s="334"/>
      <c r="L241" s="334"/>
      <c r="M241" s="334"/>
      <c r="N241" s="334"/>
      <c r="O241" s="334"/>
      <c r="P241" s="334"/>
      <c r="Q241" s="334"/>
      <c r="R241" s="358"/>
      <c r="S241" s="334"/>
      <c r="T241" s="351"/>
      <c r="U241" s="359"/>
      <c r="V241" s="5"/>
    </row>
    <row r="242" spans="1:23" ht="15.6" x14ac:dyDescent="0.3">
      <c r="A242" s="222"/>
      <c r="B242" s="252" t="s">
        <v>169</v>
      </c>
      <c r="C242" s="253"/>
      <c r="D242" s="253"/>
      <c r="E242" s="253"/>
      <c r="F242" s="267"/>
      <c r="G242" s="253"/>
      <c r="H242" s="253"/>
      <c r="I242" s="253"/>
      <c r="J242" s="253"/>
      <c r="K242" s="253"/>
      <c r="L242" s="253"/>
      <c r="M242" s="253"/>
      <c r="N242" s="253"/>
      <c r="O242" s="253"/>
      <c r="P242" s="267" t="s">
        <v>105</v>
      </c>
      <c r="Q242" s="253" t="s">
        <v>106</v>
      </c>
      <c r="R242" s="267" t="s">
        <v>114</v>
      </c>
      <c r="S242" s="253" t="s">
        <v>106</v>
      </c>
      <c r="T242" s="223"/>
      <c r="U242" s="252"/>
      <c r="V242" s="5"/>
    </row>
    <row r="243" spans="1:23" ht="15.6" x14ac:dyDescent="0.3">
      <c r="A243" s="190"/>
      <c r="B243" s="243" t="s">
        <v>91</v>
      </c>
      <c r="C243" s="217"/>
      <c r="D243" s="217"/>
      <c r="E243" s="217"/>
      <c r="F243" s="191"/>
      <c r="G243" s="217"/>
      <c r="H243" s="217"/>
      <c r="I243" s="217"/>
      <c r="J243" s="217"/>
      <c r="K243" s="217"/>
      <c r="L243" s="217"/>
      <c r="M243" s="217"/>
      <c r="N243" s="217"/>
      <c r="O243" s="217"/>
      <c r="P243" s="243">
        <v>4244</v>
      </c>
      <c r="Q243" s="274">
        <f t="shared" ref="Q243:Q250" si="5">P243/$P$252</f>
        <v>0.99205236091631599</v>
      </c>
      <c r="R243" s="251">
        <v>561518</v>
      </c>
      <c r="S243" s="274">
        <f t="shared" ref="S243:S250" si="6">R243/$R$252</f>
        <v>0.98871161712115418</v>
      </c>
      <c r="T243" s="213"/>
      <c r="U243" s="216"/>
      <c r="V243" s="5"/>
    </row>
    <row r="244" spans="1:23" ht="15.6" x14ac:dyDescent="0.3">
      <c r="A244" s="284"/>
      <c r="B244" s="338" t="s">
        <v>92</v>
      </c>
      <c r="C244" s="382"/>
      <c r="D244" s="382"/>
      <c r="E244" s="382"/>
      <c r="F244" s="311"/>
      <c r="G244" s="383"/>
      <c r="H244" s="382"/>
      <c r="I244" s="382"/>
      <c r="J244" s="382"/>
      <c r="K244" s="382"/>
      <c r="L244" s="382"/>
      <c r="M244" s="382"/>
      <c r="N244" s="382"/>
      <c r="O244" s="382"/>
      <c r="P244" s="338">
        <v>31</v>
      </c>
      <c r="Q244" s="384">
        <f t="shared" si="5"/>
        <v>7.246376811594203E-3</v>
      </c>
      <c r="R244" s="339">
        <v>5570</v>
      </c>
      <c r="S244" s="384">
        <f t="shared" si="6"/>
        <v>9.8075639736657227E-3</v>
      </c>
      <c r="T244" s="366"/>
      <c r="U244" s="370"/>
      <c r="V244" s="5"/>
      <c r="W244" s="109"/>
    </row>
    <row r="245" spans="1:23" ht="15.6" x14ac:dyDescent="0.3">
      <c r="A245" s="284"/>
      <c r="B245" s="338" t="s">
        <v>93</v>
      </c>
      <c r="C245" s="382"/>
      <c r="D245" s="382"/>
      <c r="E245" s="382"/>
      <c r="F245" s="311"/>
      <c r="G245" s="383"/>
      <c r="H245" s="382"/>
      <c r="I245" s="382"/>
      <c r="J245" s="382"/>
      <c r="K245" s="382"/>
      <c r="L245" s="382"/>
      <c r="M245" s="382"/>
      <c r="N245" s="382"/>
      <c r="O245" s="382"/>
      <c r="P245" s="338">
        <v>2</v>
      </c>
      <c r="Q245" s="384">
        <f t="shared" si="5"/>
        <v>4.675081813931744E-4</v>
      </c>
      <c r="R245" s="339">
        <v>542</v>
      </c>
      <c r="S245" s="384">
        <f t="shared" si="6"/>
        <v>9.5434464519332518E-4</v>
      </c>
      <c r="T245" s="366"/>
      <c r="U245" s="370"/>
      <c r="V245" s="5"/>
    </row>
    <row r="246" spans="1:23" ht="15.6" x14ac:dyDescent="0.3">
      <c r="A246" s="284"/>
      <c r="B246" s="338" t="s">
        <v>163</v>
      </c>
      <c r="C246" s="382"/>
      <c r="D246" s="382"/>
      <c r="E246" s="382"/>
      <c r="F246" s="311"/>
      <c r="G246" s="383"/>
      <c r="H246" s="382"/>
      <c r="I246" s="382"/>
      <c r="J246" s="382"/>
      <c r="K246" s="382"/>
      <c r="L246" s="382"/>
      <c r="M246" s="382"/>
      <c r="N246" s="382"/>
      <c r="O246" s="382"/>
      <c r="P246" s="338">
        <v>0</v>
      </c>
      <c r="Q246" s="384">
        <f t="shared" si="5"/>
        <v>0</v>
      </c>
      <c r="R246" s="339">
        <v>0</v>
      </c>
      <c r="S246" s="384">
        <f t="shared" si="6"/>
        <v>0</v>
      </c>
      <c r="T246" s="366"/>
      <c r="U246" s="370"/>
      <c r="V246" s="5"/>
      <c r="W246" s="109"/>
    </row>
    <row r="247" spans="1:23" ht="15.6" x14ac:dyDescent="0.3">
      <c r="A247" s="284"/>
      <c r="B247" s="338" t="s">
        <v>164</v>
      </c>
      <c r="C247" s="382"/>
      <c r="D247" s="382"/>
      <c r="E247" s="382"/>
      <c r="F247" s="311"/>
      <c r="G247" s="383"/>
      <c r="H247" s="382"/>
      <c r="I247" s="382"/>
      <c r="J247" s="382"/>
      <c r="K247" s="382"/>
      <c r="L247" s="382"/>
      <c r="M247" s="382"/>
      <c r="N247" s="382"/>
      <c r="O247" s="382"/>
      <c r="P247" s="338">
        <v>0</v>
      </c>
      <c r="Q247" s="384">
        <f t="shared" si="5"/>
        <v>0</v>
      </c>
      <c r="R247" s="339">
        <v>0</v>
      </c>
      <c r="S247" s="384">
        <f t="shared" si="6"/>
        <v>0</v>
      </c>
      <c r="T247" s="366"/>
      <c r="U247" s="370"/>
      <c r="V247" s="5"/>
    </row>
    <row r="248" spans="1:23" ht="15.6" x14ac:dyDescent="0.3">
      <c r="A248" s="284"/>
      <c r="B248" s="338" t="s">
        <v>165</v>
      </c>
      <c r="C248" s="382"/>
      <c r="D248" s="382"/>
      <c r="E248" s="382"/>
      <c r="F248" s="311"/>
      <c r="G248" s="383"/>
      <c r="H248" s="382"/>
      <c r="I248" s="382"/>
      <c r="J248" s="382"/>
      <c r="K248" s="382"/>
      <c r="L248" s="382"/>
      <c r="M248" s="382"/>
      <c r="N248" s="382"/>
      <c r="O248" s="382"/>
      <c r="P248" s="338">
        <v>0</v>
      </c>
      <c r="Q248" s="384">
        <f t="shared" si="5"/>
        <v>0</v>
      </c>
      <c r="R248" s="339">
        <v>0</v>
      </c>
      <c r="S248" s="384">
        <f t="shared" si="6"/>
        <v>0</v>
      </c>
      <c r="T248" s="366"/>
      <c r="U248" s="370"/>
      <c r="V248" s="5"/>
      <c r="W248" s="109"/>
    </row>
    <row r="249" spans="1:23" ht="15.6" x14ac:dyDescent="0.3">
      <c r="A249" s="284"/>
      <c r="B249" s="338" t="s">
        <v>166</v>
      </c>
      <c r="C249" s="382"/>
      <c r="D249" s="382"/>
      <c r="E249" s="382"/>
      <c r="F249" s="311"/>
      <c r="G249" s="383"/>
      <c r="H249" s="382"/>
      <c r="I249" s="382"/>
      <c r="J249" s="382"/>
      <c r="K249" s="382"/>
      <c r="L249" s="382"/>
      <c r="M249" s="382"/>
      <c r="N249" s="382"/>
      <c r="O249" s="382"/>
      <c r="P249" s="338">
        <v>1</v>
      </c>
      <c r="Q249" s="384">
        <f t="shared" si="5"/>
        <v>2.337540906965872E-4</v>
      </c>
      <c r="R249" s="339">
        <v>299</v>
      </c>
      <c r="S249" s="384">
        <f t="shared" si="6"/>
        <v>5.2647425998672364E-4</v>
      </c>
      <c r="T249" s="366"/>
      <c r="U249" s="370"/>
      <c r="V249" s="5"/>
    </row>
    <row r="250" spans="1:23" ht="15.6" x14ac:dyDescent="0.3">
      <c r="A250" s="284"/>
      <c r="B250" s="338" t="s">
        <v>167</v>
      </c>
      <c r="C250" s="382"/>
      <c r="D250" s="382"/>
      <c r="E250" s="382"/>
      <c r="F250" s="311"/>
      <c r="G250" s="383"/>
      <c r="H250" s="382"/>
      <c r="I250" s="382"/>
      <c r="J250" s="382"/>
      <c r="K250" s="382"/>
      <c r="L250" s="382"/>
      <c r="M250" s="382"/>
      <c r="N250" s="382"/>
      <c r="O250" s="382"/>
      <c r="P250" s="338">
        <v>0</v>
      </c>
      <c r="Q250" s="384">
        <f t="shared" si="5"/>
        <v>0</v>
      </c>
      <c r="R250" s="339">
        <v>0</v>
      </c>
      <c r="S250" s="384">
        <f t="shared" si="6"/>
        <v>0</v>
      </c>
      <c r="T250" s="366"/>
      <c r="U250" s="370"/>
      <c r="V250" s="5"/>
      <c r="W250" s="109"/>
    </row>
    <row r="251" spans="1:23" ht="15.6" x14ac:dyDescent="0.3">
      <c r="A251" s="284"/>
      <c r="B251" s="338"/>
      <c r="C251" s="382"/>
      <c r="D251" s="382"/>
      <c r="E251" s="382"/>
      <c r="F251" s="311"/>
      <c r="G251" s="383"/>
      <c r="H251" s="382"/>
      <c r="I251" s="382"/>
      <c r="J251" s="382"/>
      <c r="K251" s="382"/>
      <c r="L251" s="382"/>
      <c r="M251" s="382"/>
      <c r="N251" s="382"/>
      <c r="O251" s="382"/>
      <c r="P251" s="338"/>
      <c r="Q251" s="384"/>
      <c r="R251" s="339"/>
      <c r="S251" s="384"/>
      <c r="T251" s="366"/>
      <c r="U251" s="370"/>
      <c r="V251" s="5"/>
    </row>
    <row r="252" spans="1:23" ht="15.6" x14ac:dyDescent="0.3">
      <c r="A252" s="284"/>
      <c r="B252" s="285" t="s">
        <v>120</v>
      </c>
      <c r="C252" s="311"/>
      <c r="D252" s="311"/>
      <c r="E252" s="311"/>
      <c r="F252" s="311"/>
      <c r="G252" s="311"/>
      <c r="H252" s="385"/>
      <c r="I252" s="385"/>
      <c r="J252" s="385"/>
      <c r="K252" s="385"/>
      <c r="L252" s="385"/>
      <c r="M252" s="385"/>
      <c r="N252" s="385"/>
      <c r="O252" s="385"/>
      <c r="P252" s="338">
        <f>SUM(P243:P251)</f>
        <v>4278</v>
      </c>
      <c r="Q252" s="384">
        <f>SUM(Q243:Q251)</f>
        <v>1</v>
      </c>
      <c r="R252" s="339">
        <f>SUM(R243:R251)</f>
        <v>567929</v>
      </c>
      <c r="S252" s="384">
        <f>SUM(S243:S251)</f>
        <v>1</v>
      </c>
      <c r="T252" s="311"/>
      <c r="U252" s="317"/>
      <c r="V252" s="5"/>
    </row>
    <row r="253" spans="1:23" ht="15.6" x14ac:dyDescent="0.3">
      <c r="A253" s="175"/>
      <c r="B253" s="334"/>
      <c r="C253" s="334"/>
      <c r="D253" s="334"/>
      <c r="E253" s="334"/>
      <c r="F253" s="334"/>
      <c r="G253" s="334"/>
      <c r="H253" s="379"/>
      <c r="I253" s="379"/>
      <c r="J253" s="379"/>
      <c r="K253" s="379"/>
      <c r="L253" s="379"/>
      <c r="M253" s="379"/>
      <c r="N253" s="379"/>
      <c r="O253" s="379"/>
      <c r="P253" s="335"/>
      <c r="Q253" s="380"/>
      <c r="R253" s="381"/>
      <c r="S253" s="380"/>
      <c r="T253" s="334"/>
      <c r="U253" s="334"/>
      <c r="V253" s="5"/>
    </row>
    <row r="254" spans="1:23" ht="15.6" x14ac:dyDescent="0.3">
      <c r="A254" s="268"/>
      <c r="B254" s="252" t="s">
        <v>267</v>
      </c>
      <c r="C254" s="253"/>
      <c r="D254" s="253"/>
      <c r="E254" s="253"/>
      <c r="F254" s="267"/>
      <c r="G254" s="253"/>
      <c r="H254" s="253"/>
      <c r="I254" s="253"/>
      <c r="J254" s="253"/>
      <c r="K254" s="253"/>
      <c r="L254" s="253"/>
      <c r="M254" s="253"/>
      <c r="N254" s="253"/>
      <c r="O254" s="253"/>
      <c r="P254" s="267" t="s">
        <v>105</v>
      </c>
      <c r="Q254" s="253" t="s">
        <v>106</v>
      </c>
      <c r="R254" s="267" t="s">
        <v>114</v>
      </c>
      <c r="S254" s="253" t="s">
        <v>106</v>
      </c>
      <c r="T254" s="269"/>
      <c r="U254" s="270"/>
      <c r="V254" s="5"/>
    </row>
    <row r="255" spans="1:23" ht="15.6" x14ac:dyDescent="0.3">
      <c r="A255" s="190"/>
      <c r="B255" s="243" t="s">
        <v>91</v>
      </c>
      <c r="C255" s="217"/>
      <c r="D255" s="217"/>
      <c r="E255" s="217"/>
      <c r="F255" s="191"/>
      <c r="G255" s="217"/>
      <c r="H255" s="217"/>
      <c r="I255" s="217"/>
      <c r="J255" s="217"/>
      <c r="K255" s="217"/>
      <c r="L255" s="217"/>
      <c r="M255" s="217"/>
      <c r="N255" s="217"/>
      <c r="O255" s="217"/>
      <c r="P255" s="243">
        <v>79</v>
      </c>
      <c r="Q255" s="274">
        <f t="shared" ref="Q255:Q262" si="7">P255/$P$264</f>
        <v>0.66949152542372881</v>
      </c>
      <c r="R255" s="251">
        <v>10809</v>
      </c>
      <c r="S255" s="274">
        <f t="shared" ref="S255:S262" si="8">R255/$R$264</f>
        <v>0.62544844346719131</v>
      </c>
      <c r="T255" s="191"/>
      <c r="U255" s="191"/>
      <c r="V255" s="5"/>
    </row>
    <row r="256" spans="1:23" ht="15.6" x14ac:dyDescent="0.3">
      <c r="A256" s="284"/>
      <c r="B256" s="338" t="s">
        <v>92</v>
      </c>
      <c r="C256" s="382"/>
      <c r="D256" s="382"/>
      <c r="E256" s="382"/>
      <c r="F256" s="311"/>
      <c r="G256" s="383"/>
      <c r="H256" s="382"/>
      <c r="I256" s="382"/>
      <c r="J256" s="382"/>
      <c r="K256" s="382"/>
      <c r="L256" s="382"/>
      <c r="M256" s="382"/>
      <c r="N256" s="382"/>
      <c r="O256" s="382"/>
      <c r="P256" s="338">
        <v>3</v>
      </c>
      <c r="Q256" s="384">
        <f t="shared" si="7"/>
        <v>2.5423728813559324E-2</v>
      </c>
      <c r="R256" s="339">
        <v>331</v>
      </c>
      <c r="S256" s="384">
        <f t="shared" si="8"/>
        <v>1.9152875824557342E-2</v>
      </c>
      <c r="T256" s="311"/>
      <c r="U256" s="317"/>
      <c r="V256" s="5"/>
    </row>
    <row r="257" spans="1:22" ht="15.6" x14ac:dyDescent="0.3">
      <c r="A257" s="284"/>
      <c r="B257" s="338" t="s">
        <v>93</v>
      </c>
      <c r="C257" s="382"/>
      <c r="D257" s="382"/>
      <c r="E257" s="382"/>
      <c r="F257" s="311"/>
      <c r="G257" s="383"/>
      <c r="H257" s="382"/>
      <c r="I257" s="382"/>
      <c r="J257" s="382"/>
      <c r="K257" s="382"/>
      <c r="L257" s="382"/>
      <c r="M257" s="382"/>
      <c r="N257" s="382"/>
      <c r="O257" s="382"/>
      <c r="P257" s="338">
        <v>0</v>
      </c>
      <c r="Q257" s="384">
        <f t="shared" si="7"/>
        <v>0</v>
      </c>
      <c r="R257" s="339">
        <v>0</v>
      </c>
      <c r="S257" s="384">
        <f t="shared" si="8"/>
        <v>0</v>
      </c>
      <c r="T257" s="311"/>
      <c r="U257" s="317"/>
      <c r="V257" s="5"/>
    </row>
    <row r="258" spans="1:22" ht="15.6" x14ac:dyDescent="0.3">
      <c r="A258" s="284"/>
      <c r="B258" s="338" t="s">
        <v>163</v>
      </c>
      <c r="C258" s="382"/>
      <c r="D258" s="382"/>
      <c r="E258" s="382"/>
      <c r="F258" s="311"/>
      <c r="G258" s="383"/>
      <c r="H258" s="382"/>
      <c r="I258" s="382"/>
      <c r="J258" s="382"/>
      <c r="K258" s="382"/>
      <c r="L258" s="382"/>
      <c r="M258" s="382"/>
      <c r="N258" s="382"/>
      <c r="O258" s="382"/>
      <c r="P258" s="338">
        <v>1</v>
      </c>
      <c r="Q258" s="384">
        <f t="shared" si="7"/>
        <v>8.4745762711864406E-3</v>
      </c>
      <c r="R258" s="339">
        <v>204</v>
      </c>
      <c r="S258" s="384">
        <f t="shared" si="8"/>
        <v>1.1804189329938665E-2</v>
      </c>
      <c r="T258" s="311"/>
      <c r="U258" s="317"/>
      <c r="V258" s="5"/>
    </row>
    <row r="259" spans="1:22" ht="15.6" x14ac:dyDescent="0.3">
      <c r="A259" s="284"/>
      <c r="B259" s="338" t="s">
        <v>164</v>
      </c>
      <c r="C259" s="382"/>
      <c r="D259" s="382"/>
      <c r="E259" s="382"/>
      <c r="F259" s="311"/>
      <c r="G259" s="383"/>
      <c r="H259" s="382"/>
      <c r="I259" s="382"/>
      <c r="J259" s="382"/>
      <c r="K259" s="382"/>
      <c r="L259" s="382"/>
      <c r="M259" s="382"/>
      <c r="N259" s="382"/>
      <c r="O259" s="382"/>
      <c r="P259" s="338">
        <v>4</v>
      </c>
      <c r="Q259" s="384">
        <f t="shared" si="7"/>
        <v>3.3898305084745763E-2</v>
      </c>
      <c r="R259" s="339">
        <v>942</v>
      </c>
      <c r="S259" s="384">
        <f t="shared" si="8"/>
        <v>5.450758014118736E-2</v>
      </c>
      <c r="T259" s="311"/>
      <c r="U259" s="317"/>
      <c r="V259" s="5"/>
    </row>
    <row r="260" spans="1:22" ht="15.6" x14ac:dyDescent="0.3">
      <c r="A260" s="284"/>
      <c r="B260" s="338" t="s">
        <v>165</v>
      </c>
      <c r="C260" s="382"/>
      <c r="D260" s="382"/>
      <c r="E260" s="382"/>
      <c r="F260" s="311"/>
      <c r="G260" s="383"/>
      <c r="H260" s="382"/>
      <c r="I260" s="382"/>
      <c r="J260" s="382"/>
      <c r="K260" s="382"/>
      <c r="L260" s="382"/>
      <c r="M260" s="382"/>
      <c r="N260" s="382"/>
      <c r="O260" s="382"/>
      <c r="P260" s="338">
        <v>1</v>
      </c>
      <c r="Q260" s="384">
        <f t="shared" si="7"/>
        <v>8.4745762711864406E-3</v>
      </c>
      <c r="R260" s="339">
        <v>112</v>
      </c>
      <c r="S260" s="384">
        <f t="shared" si="8"/>
        <v>6.4807313968290705E-3</v>
      </c>
      <c r="T260" s="311"/>
      <c r="U260" s="317"/>
      <c r="V260" s="5"/>
    </row>
    <row r="261" spans="1:22" ht="15.6" x14ac:dyDescent="0.3">
      <c r="A261" s="284"/>
      <c r="B261" s="338" t="s">
        <v>166</v>
      </c>
      <c r="C261" s="382"/>
      <c r="D261" s="382"/>
      <c r="E261" s="382"/>
      <c r="F261" s="311"/>
      <c r="G261" s="383"/>
      <c r="H261" s="382"/>
      <c r="I261" s="382"/>
      <c r="J261" s="382"/>
      <c r="K261" s="382"/>
      <c r="L261" s="382"/>
      <c r="M261" s="382"/>
      <c r="N261" s="382"/>
      <c r="O261" s="382"/>
      <c r="P261" s="338">
        <v>15</v>
      </c>
      <c r="Q261" s="384">
        <f t="shared" si="7"/>
        <v>0.1271186440677966</v>
      </c>
      <c r="R261" s="339">
        <v>2714</v>
      </c>
      <c r="S261" s="384">
        <f t="shared" si="8"/>
        <v>0.15704200902673301</v>
      </c>
      <c r="T261" s="311"/>
      <c r="U261" s="317"/>
      <c r="V261" s="5"/>
    </row>
    <row r="262" spans="1:22" ht="15.6" x14ac:dyDescent="0.3">
      <c r="A262" s="284"/>
      <c r="B262" s="338" t="s">
        <v>167</v>
      </c>
      <c r="C262" s="382"/>
      <c r="D262" s="382"/>
      <c r="E262" s="382"/>
      <c r="F262" s="311"/>
      <c r="G262" s="383"/>
      <c r="H262" s="382"/>
      <c r="I262" s="382"/>
      <c r="J262" s="382"/>
      <c r="K262" s="382"/>
      <c r="L262" s="382"/>
      <c r="M262" s="382"/>
      <c r="N262" s="382"/>
      <c r="O262" s="382"/>
      <c r="P262" s="338">
        <v>15</v>
      </c>
      <c r="Q262" s="384">
        <f t="shared" si="7"/>
        <v>0.1271186440677966</v>
      </c>
      <c r="R262" s="339">
        <v>2170</v>
      </c>
      <c r="S262" s="384">
        <f t="shared" si="8"/>
        <v>0.12556417081356325</v>
      </c>
      <c r="T262" s="311"/>
      <c r="U262" s="317"/>
      <c r="V262" s="5"/>
    </row>
    <row r="263" spans="1:22" ht="15.6" x14ac:dyDescent="0.3">
      <c r="A263" s="284"/>
      <c r="B263" s="338"/>
      <c r="C263" s="382"/>
      <c r="D263" s="382"/>
      <c r="E263" s="382"/>
      <c r="F263" s="311"/>
      <c r="G263" s="383"/>
      <c r="H263" s="382"/>
      <c r="I263" s="382"/>
      <c r="J263" s="382"/>
      <c r="K263" s="382"/>
      <c r="L263" s="382"/>
      <c r="M263" s="382"/>
      <c r="N263" s="382"/>
      <c r="O263" s="382"/>
      <c r="P263" s="338"/>
      <c r="Q263" s="384"/>
      <c r="R263" s="339"/>
      <c r="S263" s="384"/>
      <c r="T263" s="311"/>
      <c r="U263" s="317"/>
      <c r="V263" s="5"/>
    </row>
    <row r="264" spans="1:22" ht="15.6" x14ac:dyDescent="0.3">
      <c r="A264" s="284"/>
      <c r="B264" s="285" t="s">
        <v>120</v>
      </c>
      <c r="C264" s="311"/>
      <c r="D264" s="311"/>
      <c r="E264" s="311"/>
      <c r="F264" s="311"/>
      <c r="G264" s="311"/>
      <c r="H264" s="385"/>
      <c r="I264" s="385"/>
      <c r="J264" s="385"/>
      <c r="K264" s="385"/>
      <c r="L264" s="385"/>
      <c r="M264" s="385"/>
      <c r="N264" s="385"/>
      <c r="O264" s="385"/>
      <c r="P264" s="338">
        <f>SUM(P255:P263)</f>
        <v>118</v>
      </c>
      <c r="Q264" s="384">
        <f>SUM(Q255:Q263)</f>
        <v>1</v>
      </c>
      <c r="R264" s="339">
        <f>SUM(R255:R263)</f>
        <v>17282</v>
      </c>
      <c r="S264" s="384">
        <f>SUM(S255:S263)</f>
        <v>1</v>
      </c>
      <c r="T264" s="311"/>
      <c r="U264" s="317"/>
      <c r="V264" s="5"/>
    </row>
    <row r="265" spans="1:22" ht="15.6" x14ac:dyDescent="0.3">
      <c r="A265" s="175"/>
      <c r="B265" s="334"/>
      <c r="C265" s="334"/>
      <c r="D265" s="334"/>
      <c r="E265" s="334"/>
      <c r="F265" s="334"/>
      <c r="G265" s="334"/>
      <c r="H265" s="379"/>
      <c r="I265" s="379"/>
      <c r="J265" s="379"/>
      <c r="K265" s="379"/>
      <c r="L265" s="379"/>
      <c r="M265" s="379"/>
      <c r="N265" s="379"/>
      <c r="O265" s="379"/>
      <c r="P265" s="335"/>
      <c r="Q265" s="380"/>
      <c r="R265" s="381"/>
      <c r="S265" s="380"/>
      <c r="T265" s="334"/>
      <c r="U265" s="334"/>
      <c r="V265" s="5"/>
    </row>
    <row r="266" spans="1:22" ht="15.6" x14ac:dyDescent="0.3">
      <c r="A266" s="268"/>
      <c r="B266" s="252" t="s">
        <v>170</v>
      </c>
      <c r="C266" s="269"/>
      <c r="D266" s="269"/>
      <c r="E266" s="269"/>
      <c r="F266" s="269"/>
      <c r="G266" s="269"/>
      <c r="H266" s="271"/>
      <c r="I266" s="271"/>
      <c r="J266" s="271"/>
      <c r="K266" s="271"/>
      <c r="L266" s="271"/>
      <c r="M266" s="271"/>
      <c r="N266" s="271"/>
      <c r="O266" s="271"/>
      <c r="P266" s="267" t="s">
        <v>105</v>
      </c>
      <c r="Q266" s="253" t="s">
        <v>106</v>
      </c>
      <c r="R266" s="267" t="s">
        <v>114</v>
      </c>
      <c r="S266" s="253" t="s">
        <v>106</v>
      </c>
      <c r="T266" s="269"/>
      <c r="U266" s="270"/>
      <c r="V266" s="5"/>
    </row>
    <row r="267" spans="1:22" ht="15.6" x14ac:dyDescent="0.3">
      <c r="A267" s="190"/>
      <c r="B267" s="243" t="s">
        <v>91</v>
      </c>
      <c r="C267" s="239"/>
      <c r="D267" s="239"/>
      <c r="E267" s="239"/>
      <c r="F267" s="239"/>
      <c r="G267" s="239"/>
      <c r="H267" s="275"/>
      <c r="I267" s="275"/>
      <c r="J267" s="275"/>
      <c r="K267" s="275"/>
      <c r="L267" s="218"/>
      <c r="M267" s="218"/>
      <c r="N267" s="218"/>
      <c r="O267" s="218"/>
      <c r="P267" s="243">
        <v>0</v>
      </c>
      <c r="Q267" s="274">
        <v>0</v>
      </c>
      <c r="R267" s="251">
        <v>0</v>
      </c>
      <c r="S267" s="274">
        <v>0</v>
      </c>
      <c r="T267" s="239"/>
      <c r="U267" s="191"/>
      <c r="V267" s="5"/>
    </row>
    <row r="268" spans="1:22" ht="15.6" x14ac:dyDescent="0.3">
      <c r="A268" s="284"/>
      <c r="B268" s="338" t="s">
        <v>92</v>
      </c>
      <c r="C268" s="285"/>
      <c r="D268" s="285"/>
      <c r="E268" s="285"/>
      <c r="F268" s="285"/>
      <c r="G268" s="285"/>
      <c r="H268" s="387"/>
      <c r="I268" s="387"/>
      <c r="J268" s="387"/>
      <c r="K268" s="387"/>
      <c r="L268" s="385"/>
      <c r="M268" s="385"/>
      <c r="N268" s="385"/>
      <c r="O268" s="385"/>
      <c r="P268" s="338">
        <v>0</v>
      </c>
      <c r="Q268" s="384">
        <v>0</v>
      </c>
      <c r="R268" s="339">
        <v>0</v>
      </c>
      <c r="S268" s="384">
        <v>0</v>
      </c>
      <c r="T268" s="285"/>
      <c r="U268" s="317"/>
      <c r="V268" s="5"/>
    </row>
    <row r="269" spans="1:22" ht="15.6" x14ac:dyDescent="0.3">
      <c r="A269" s="284"/>
      <c r="B269" s="338" t="s">
        <v>93</v>
      </c>
      <c r="C269" s="285"/>
      <c r="D269" s="285"/>
      <c r="E269" s="285"/>
      <c r="F269" s="285"/>
      <c r="G269" s="285"/>
      <c r="H269" s="387"/>
      <c r="I269" s="387"/>
      <c r="J269" s="387"/>
      <c r="K269" s="387"/>
      <c r="L269" s="385"/>
      <c r="M269" s="385"/>
      <c r="N269" s="385"/>
      <c r="O269" s="385"/>
      <c r="P269" s="338">
        <v>0</v>
      </c>
      <c r="Q269" s="384">
        <v>0</v>
      </c>
      <c r="R269" s="339">
        <v>0</v>
      </c>
      <c r="S269" s="384">
        <v>0</v>
      </c>
      <c r="T269" s="285"/>
      <c r="U269" s="317"/>
      <c r="V269" s="5"/>
    </row>
    <row r="270" spans="1:22" ht="15.6" x14ac:dyDescent="0.3">
      <c r="A270" s="284"/>
      <c r="B270" s="338" t="s">
        <v>163</v>
      </c>
      <c r="C270" s="285"/>
      <c r="D270" s="285"/>
      <c r="E270" s="285"/>
      <c r="F270" s="285"/>
      <c r="G270" s="285"/>
      <c r="H270" s="387"/>
      <c r="I270" s="387"/>
      <c r="J270" s="387"/>
      <c r="K270" s="387"/>
      <c r="L270" s="385"/>
      <c r="M270" s="385"/>
      <c r="N270" s="385"/>
      <c r="O270" s="385"/>
      <c r="P270" s="338">
        <v>0</v>
      </c>
      <c r="Q270" s="384">
        <v>0</v>
      </c>
      <c r="R270" s="339">
        <v>0</v>
      </c>
      <c r="S270" s="384">
        <v>0</v>
      </c>
      <c r="T270" s="285"/>
      <c r="U270" s="317"/>
      <c r="V270" s="5"/>
    </row>
    <row r="271" spans="1:22" ht="15.6" x14ac:dyDescent="0.3">
      <c r="A271" s="284"/>
      <c r="B271" s="338" t="s">
        <v>164</v>
      </c>
      <c r="C271" s="285"/>
      <c r="D271" s="285"/>
      <c r="E271" s="285"/>
      <c r="F271" s="285"/>
      <c r="G271" s="285"/>
      <c r="H271" s="387"/>
      <c r="I271" s="387"/>
      <c r="J271" s="387"/>
      <c r="K271" s="387"/>
      <c r="L271" s="385"/>
      <c r="M271" s="385"/>
      <c r="N271" s="385"/>
      <c r="O271" s="385"/>
      <c r="P271" s="338">
        <v>0</v>
      </c>
      <c r="Q271" s="384">
        <v>0</v>
      </c>
      <c r="R271" s="339">
        <v>0</v>
      </c>
      <c r="S271" s="384">
        <v>0</v>
      </c>
      <c r="T271" s="285"/>
      <c r="U271" s="317"/>
      <c r="V271" s="5"/>
    </row>
    <row r="272" spans="1:22" ht="15.6" x14ac:dyDescent="0.3">
      <c r="A272" s="284"/>
      <c r="B272" s="338" t="s">
        <v>165</v>
      </c>
      <c r="C272" s="285"/>
      <c r="D272" s="285"/>
      <c r="E272" s="285"/>
      <c r="F272" s="285"/>
      <c r="G272" s="285"/>
      <c r="H272" s="387"/>
      <c r="I272" s="387"/>
      <c r="J272" s="387"/>
      <c r="K272" s="387"/>
      <c r="L272" s="385"/>
      <c r="M272" s="385"/>
      <c r="N272" s="385"/>
      <c r="O272" s="385"/>
      <c r="P272" s="338">
        <v>0</v>
      </c>
      <c r="Q272" s="384">
        <v>0</v>
      </c>
      <c r="R272" s="339">
        <v>0</v>
      </c>
      <c r="S272" s="384">
        <v>0</v>
      </c>
      <c r="T272" s="285"/>
      <c r="U272" s="317"/>
      <c r="V272" s="5"/>
    </row>
    <row r="273" spans="1:22" ht="15.6" x14ac:dyDescent="0.3">
      <c r="A273" s="284"/>
      <c r="B273" s="338" t="s">
        <v>166</v>
      </c>
      <c r="C273" s="285"/>
      <c r="D273" s="285"/>
      <c r="E273" s="285"/>
      <c r="F273" s="285"/>
      <c r="G273" s="285"/>
      <c r="H273" s="387"/>
      <c r="I273" s="387"/>
      <c r="J273" s="387"/>
      <c r="K273" s="387"/>
      <c r="L273" s="385"/>
      <c r="M273" s="385"/>
      <c r="N273" s="385"/>
      <c r="O273" s="385"/>
      <c r="P273" s="338">
        <v>0</v>
      </c>
      <c r="Q273" s="384">
        <v>0</v>
      </c>
      <c r="R273" s="339">
        <v>0</v>
      </c>
      <c r="S273" s="384">
        <v>0</v>
      </c>
      <c r="T273" s="285"/>
      <c r="U273" s="317"/>
      <c r="V273" s="5"/>
    </row>
    <row r="274" spans="1:22" ht="15.6" x14ac:dyDescent="0.3">
      <c r="A274" s="284"/>
      <c r="B274" s="338" t="s">
        <v>167</v>
      </c>
      <c r="C274" s="285"/>
      <c r="D274" s="285"/>
      <c r="E274" s="285"/>
      <c r="F274" s="285"/>
      <c r="G274" s="285"/>
      <c r="H274" s="387"/>
      <c r="I274" s="387"/>
      <c r="J274" s="387"/>
      <c r="K274" s="387"/>
      <c r="L274" s="385"/>
      <c r="M274" s="385"/>
      <c r="N274" s="385"/>
      <c r="O274" s="385"/>
      <c r="P274" s="338">
        <v>0</v>
      </c>
      <c r="Q274" s="384">
        <v>0</v>
      </c>
      <c r="R274" s="339">
        <v>0</v>
      </c>
      <c r="S274" s="384">
        <v>0</v>
      </c>
      <c r="T274" s="285"/>
      <c r="U274" s="317"/>
      <c r="V274" s="5"/>
    </row>
    <row r="275" spans="1:22" ht="15.6" x14ac:dyDescent="0.3">
      <c r="A275" s="284"/>
      <c r="B275" s="338"/>
      <c r="C275" s="285"/>
      <c r="D275" s="285"/>
      <c r="E275" s="285"/>
      <c r="F275" s="285"/>
      <c r="G275" s="285"/>
      <c r="H275" s="387"/>
      <c r="I275" s="387"/>
      <c r="J275" s="387"/>
      <c r="K275" s="387"/>
      <c r="L275" s="385"/>
      <c r="M275" s="385"/>
      <c r="N275" s="385"/>
      <c r="O275" s="385"/>
      <c r="P275" s="338"/>
      <c r="Q275" s="384"/>
      <c r="R275" s="339"/>
      <c r="S275" s="384"/>
      <c r="T275" s="285"/>
      <c r="U275" s="317"/>
      <c r="V275" s="5"/>
    </row>
    <row r="276" spans="1:22" ht="15.6" x14ac:dyDescent="0.3">
      <c r="A276" s="284"/>
      <c r="B276" s="285" t="s">
        <v>120</v>
      </c>
      <c r="C276" s="285"/>
      <c r="D276" s="285"/>
      <c r="E276" s="285"/>
      <c r="F276" s="285"/>
      <c r="G276" s="285"/>
      <c r="H276" s="387"/>
      <c r="I276" s="387"/>
      <c r="J276" s="387"/>
      <c r="K276" s="387"/>
      <c r="L276" s="385"/>
      <c r="M276" s="385"/>
      <c r="N276" s="385"/>
      <c r="O276" s="385"/>
      <c r="P276" s="338">
        <f>SUM(P267:P274)</f>
        <v>0</v>
      </c>
      <c r="Q276" s="384">
        <f>SUM(Q267:Q275)</f>
        <v>0</v>
      </c>
      <c r="R276" s="339">
        <f>SUM(R267:R274)</f>
        <v>0</v>
      </c>
      <c r="S276" s="384">
        <f>SUM(S267:S275)</f>
        <v>0</v>
      </c>
      <c r="T276" s="285"/>
      <c r="U276" s="317"/>
      <c r="V276" s="5"/>
    </row>
    <row r="277" spans="1:22" ht="15.6" x14ac:dyDescent="0.3">
      <c r="A277" s="284"/>
      <c r="B277" s="285"/>
      <c r="C277" s="285"/>
      <c r="D277" s="285"/>
      <c r="E277" s="285"/>
      <c r="F277" s="285"/>
      <c r="G277" s="285"/>
      <c r="H277" s="387"/>
      <c r="I277" s="387"/>
      <c r="J277" s="387"/>
      <c r="K277" s="387"/>
      <c r="L277" s="385"/>
      <c r="M277" s="385"/>
      <c r="N277" s="385"/>
      <c r="O277" s="385"/>
      <c r="P277" s="344"/>
      <c r="Q277" s="388"/>
      <c r="R277" s="345"/>
      <c r="S277" s="388"/>
      <c r="T277" s="311"/>
      <c r="U277" s="317"/>
      <c r="V277" s="5"/>
    </row>
    <row r="278" spans="1:22" ht="15.6" x14ac:dyDescent="0.3">
      <c r="A278" s="284"/>
      <c r="B278" s="294" t="s">
        <v>171</v>
      </c>
      <c r="C278" s="285"/>
      <c r="D278" s="285"/>
      <c r="E278" s="285"/>
      <c r="F278" s="285"/>
      <c r="G278" s="285"/>
      <c r="H278" s="387"/>
      <c r="I278" s="387"/>
      <c r="J278" s="387"/>
      <c r="K278" s="387"/>
      <c r="L278" s="385"/>
      <c r="M278" s="385"/>
      <c r="N278" s="385"/>
      <c r="O278" s="385"/>
      <c r="P278" s="389">
        <f>P276+P264+P252</f>
        <v>4396</v>
      </c>
      <c r="Q278" s="390"/>
      <c r="R278" s="391">
        <f>+R276+R264+R252</f>
        <v>585211</v>
      </c>
      <c r="S278" s="390"/>
      <c r="T278" s="311"/>
      <c r="U278" s="317"/>
      <c r="V278" s="5"/>
    </row>
    <row r="279" spans="1:22" ht="15.6" x14ac:dyDescent="0.3">
      <c r="A279" s="175"/>
      <c r="B279" s="281"/>
      <c r="C279" s="281"/>
      <c r="D279" s="281"/>
      <c r="E279" s="281"/>
      <c r="F279" s="281"/>
      <c r="G279" s="281"/>
      <c r="H279" s="386"/>
      <c r="I279" s="386"/>
      <c r="J279" s="386"/>
      <c r="K279" s="386"/>
      <c r="L279" s="379"/>
      <c r="M279" s="379"/>
      <c r="N279" s="379"/>
      <c r="O279" s="379"/>
      <c r="P279" s="379"/>
      <c r="Q279" s="379"/>
      <c r="R279" s="381"/>
      <c r="S279" s="379"/>
      <c r="T279" s="334"/>
      <c r="U279" s="334"/>
      <c r="V279" s="5"/>
    </row>
    <row r="280" spans="1:22" ht="15.6" x14ac:dyDescent="0.3">
      <c r="A280" s="175"/>
      <c r="B280" s="231"/>
      <c r="C280" s="231"/>
      <c r="D280" s="231"/>
      <c r="E280" s="231"/>
      <c r="F280" s="231"/>
      <c r="G280" s="231"/>
      <c r="H280" s="276"/>
      <c r="I280" s="276"/>
      <c r="J280" s="276"/>
      <c r="K280" s="276"/>
      <c r="L280" s="219"/>
      <c r="M280" s="219"/>
      <c r="N280" s="219"/>
      <c r="O280" s="219"/>
      <c r="P280" s="219"/>
      <c r="Q280" s="219"/>
      <c r="R280" s="220"/>
      <c r="S280" s="219"/>
      <c r="T280" s="177"/>
      <c r="U280" s="177"/>
      <c r="V280" s="5"/>
    </row>
    <row r="281" spans="1:22" ht="15.6" x14ac:dyDescent="0.3">
      <c r="A281" s="221"/>
      <c r="B281" s="230" t="s">
        <v>94</v>
      </c>
      <c r="C281" s="231"/>
      <c r="D281" s="231"/>
      <c r="E281" s="231"/>
      <c r="F281" s="236" t="s">
        <v>100</v>
      </c>
      <c r="G281" s="231"/>
      <c r="H281" s="230" t="s">
        <v>102</v>
      </c>
      <c r="I281" s="277"/>
      <c r="J281" s="277"/>
      <c r="K281" s="277"/>
      <c r="L281" s="188"/>
      <c r="M281" s="188"/>
      <c r="N281" s="188"/>
      <c r="O281" s="188"/>
      <c r="P281" s="188"/>
      <c r="Q281" s="188"/>
      <c r="R281" s="188"/>
      <c r="S281" s="188"/>
      <c r="T281" s="188"/>
      <c r="U281" s="188"/>
      <c r="V281" s="5"/>
    </row>
    <row r="282" spans="1:22" ht="15.6" x14ac:dyDescent="0.3">
      <c r="A282" s="221"/>
      <c r="B282" s="230" t="s">
        <v>95</v>
      </c>
      <c r="C282" s="230"/>
      <c r="D282" s="230"/>
      <c r="E282" s="230"/>
      <c r="F282" s="278" t="s">
        <v>154</v>
      </c>
      <c r="G282" s="230"/>
      <c r="H282" s="230" t="s">
        <v>158</v>
      </c>
      <c r="I282" s="277"/>
      <c r="J282" s="277"/>
      <c r="K282" s="277"/>
      <c r="L282" s="188"/>
      <c r="M282" s="188"/>
      <c r="N282" s="188"/>
      <c r="O282" s="188"/>
      <c r="P282" s="188"/>
      <c r="Q282" s="188"/>
      <c r="R282" s="188"/>
      <c r="S282" s="188"/>
      <c r="T282" s="188"/>
      <c r="U282" s="188"/>
      <c r="V282" s="5"/>
    </row>
    <row r="283" spans="1:22" ht="15.6" x14ac:dyDescent="0.3">
      <c r="A283" s="221"/>
      <c r="B283" s="230" t="s">
        <v>268</v>
      </c>
      <c r="C283" s="230"/>
      <c r="D283" s="230"/>
      <c r="E283" s="230"/>
      <c r="F283" s="278" t="s">
        <v>269</v>
      </c>
      <c r="G283" s="230"/>
      <c r="H283" s="230" t="s">
        <v>270</v>
      </c>
      <c r="I283" s="277"/>
      <c r="J283" s="277"/>
      <c r="K283" s="277"/>
      <c r="L283" s="188"/>
      <c r="M283" s="188"/>
      <c r="N283" s="188"/>
      <c r="O283" s="188"/>
      <c r="P283" s="188"/>
      <c r="Q283" s="188"/>
      <c r="R283" s="188"/>
      <c r="S283" s="188"/>
      <c r="T283" s="188"/>
      <c r="U283" s="188"/>
      <c r="V283" s="5"/>
    </row>
    <row r="284" spans="1:22" ht="15.6" x14ac:dyDescent="0.3">
      <c r="A284" s="221"/>
      <c r="B284" s="230" t="s">
        <v>96</v>
      </c>
      <c r="C284" s="230"/>
      <c r="D284" s="230"/>
      <c r="E284" s="230"/>
      <c r="F284" s="278" t="s">
        <v>153</v>
      </c>
      <c r="G284" s="230"/>
      <c r="H284" s="230" t="s">
        <v>159</v>
      </c>
      <c r="I284" s="277"/>
      <c r="J284" s="277"/>
      <c r="K284" s="277"/>
      <c r="L284" s="188"/>
      <c r="M284" s="188"/>
      <c r="N284" s="188"/>
      <c r="O284" s="188"/>
      <c r="P284" s="188"/>
      <c r="Q284" s="188"/>
      <c r="R284" s="188"/>
      <c r="S284" s="188"/>
      <c r="T284" s="188"/>
      <c r="U284" s="188"/>
      <c r="V284" s="5"/>
    </row>
    <row r="285" spans="1:22" ht="15.6" x14ac:dyDescent="0.3">
      <c r="A285" s="221"/>
      <c r="B285" s="230"/>
      <c r="C285" s="230"/>
      <c r="D285" s="230"/>
      <c r="E285" s="230"/>
      <c r="F285" s="230"/>
      <c r="G285" s="279"/>
      <c r="H285" s="277"/>
      <c r="I285" s="277"/>
      <c r="J285" s="277"/>
      <c r="K285" s="277"/>
      <c r="L285" s="188"/>
      <c r="M285" s="188"/>
      <c r="N285" s="188"/>
      <c r="O285" s="188"/>
      <c r="P285" s="188"/>
      <c r="Q285" s="188"/>
      <c r="R285" s="188"/>
      <c r="S285" s="188"/>
      <c r="T285" s="188"/>
      <c r="U285" s="188"/>
      <c r="V285" s="5"/>
    </row>
    <row r="286" spans="1:22" ht="15.6" x14ac:dyDescent="0.3">
      <c r="A286" s="221"/>
      <c r="B286" s="230"/>
      <c r="C286" s="230"/>
      <c r="D286" s="230"/>
      <c r="E286" s="230"/>
      <c r="F286" s="230"/>
      <c r="G286" s="279"/>
      <c r="H286" s="277"/>
      <c r="I286" s="277"/>
      <c r="J286" s="277"/>
      <c r="K286" s="277"/>
      <c r="L286" s="188"/>
      <c r="M286" s="188"/>
      <c r="N286" s="188"/>
      <c r="O286" s="188"/>
      <c r="P286" s="188"/>
      <c r="Q286" s="188"/>
      <c r="R286" s="188"/>
      <c r="S286" s="188"/>
      <c r="T286" s="188"/>
      <c r="U286" s="188"/>
      <c r="V286" s="5"/>
    </row>
    <row r="287" spans="1:22" ht="18" thickBot="1" x14ac:dyDescent="0.35">
      <c r="A287" s="221"/>
      <c r="B287" s="280" t="str">
        <f>B192</f>
        <v>PM11 INVESTOR REPORT QUARTER ENDING DECEMBER 2010</v>
      </c>
      <c r="C287" s="230"/>
      <c r="D287" s="230"/>
      <c r="E287" s="230"/>
      <c r="F287" s="230"/>
      <c r="G287" s="279"/>
      <c r="H287" s="277"/>
      <c r="I287" s="277"/>
      <c r="J287" s="277"/>
      <c r="K287" s="277"/>
      <c r="L287" s="188"/>
      <c r="M287" s="188"/>
      <c r="N287" s="188"/>
      <c r="O287" s="188"/>
      <c r="P287" s="188"/>
      <c r="Q287" s="188"/>
      <c r="R287" s="188"/>
      <c r="S287" s="188"/>
      <c r="T287" s="188"/>
      <c r="U287" s="188"/>
      <c r="V287" s="5"/>
    </row>
    <row r="288" spans="1:22" x14ac:dyDescent="0.25">
      <c r="A288" s="100"/>
      <c r="B288" s="100"/>
      <c r="C288" s="100"/>
      <c r="D288" s="100"/>
      <c r="E288" s="100"/>
      <c r="F288" s="100"/>
      <c r="G288" s="100"/>
      <c r="H288" s="100"/>
      <c r="I288" s="100"/>
      <c r="J288" s="100"/>
      <c r="K288" s="100"/>
      <c r="L288" s="100"/>
      <c r="M288" s="100"/>
      <c r="N288" s="100"/>
      <c r="O288" s="100"/>
      <c r="P288" s="100"/>
      <c r="Q288" s="100"/>
      <c r="R288" s="100"/>
      <c r="S288" s="100"/>
      <c r="T288" s="100"/>
      <c r="U288" s="100"/>
    </row>
  </sheetData>
  <phoneticPr fontId="0" type="noConversion"/>
  <hyperlinks>
    <hyperlink ref="N228" r:id="rId1" xr:uid="{00000000-0004-0000-1200-000000000000}"/>
    <hyperlink ref="J9" r:id="rId2" xr:uid="{00000000-0004-0000-12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4" max="21" man="1"/>
    <brk id="132" max="14" man="1"/>
    <brk id="192" max="14" man="1"/>
  </rowBreak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2D2926"/>
  </sheetPr>
  <dimension ref="A1:X275"/>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08984375" style="1" customWidth="1"/>
    <col min="10" max="10" width="17.81640625" style="1" customWidth="1"/>
    <col min="11" max="11" width="2.1796875" style="1" customWidth="1"/>
    <col min="12" max="12" width="14.81640625" style="1" customWidth="1"/>
    <col min="13" max="13" width="2.1796875" style="1" customWidth="1"/>
    <col min="14" max="14" width="15.54296875" style="1" customWidth="1"/>
    <col min="15" max="15" width="2.08984375" style="1" customWidth="1"/>
    <col min="16" max="16" width="15.54296875" style="1" customWidth="1"/>
    <col min="17" max="18" width="12.81640625" style="1" customWidth="1"/>
    <col min="19" max="19" width="7.81640625" style="1" customWidth="1"/>
    <col min="20" max="20" width="14.81640625" style="1" customWidth="1"/>
    <col min="21" max="21" width="11.81640625" style="1" customWidth="1"/>
    <col min="22" max="16384" width="9.81640625" style="1"/>
  </cols>
  <sheetData>
    <row r="1" spans="1:22" ht="20.399999999999999" x14ac:dyDescent="0.35">
      <c r="A1" s="2"/>
      <c r="B1" s="3" t="s">
        <v>228</v>
      </c>
      <c r="C1" s="4"/>
      <c r="D1" s="4"/>
      <c r="E1" s="4"/>
      <c r="F1" s="4"/>
      <c r="G1" s="4"/>
      <c r="H1" s="4"/>
      <c r="I1" s="4"/>
      <c r="J1" s="4"/>
      <c r="K1" s="4"/>
      <c r="L1" s="4"/>
      <c r="M1" s="4"/>
      <c r="N1" s="4"/>
      <c r="O1" s="4"/>
      <c r="P1" s="4"/>
      <c r="Q1" s="4"/>
      <c r="R1" s="4"/>
      <c r="S1" s="4"/>
      <c r="T1" s="4"/>
      <c r="U1" s="4"/>
      <c r="V1" s="5"/>
    </row>
    <row r="2" spans="1:22" ht="15.6" x14ac:dyDescent="0.3">
      <c r="A2" s="6"/>
      <c r="B2" s="7"/>
      <c r="C2" s="8"/>
      <c r="D2" s="8"/>
      <c r="E2" s="8"/>
      <c r="F2" s="8"/>
      <c r="G2" s="8"/>
      <c r="H2" s="8"/>
      <c r="I2" s="8"/>
      <c r="J2" s="8"/>
      <c r="K2" s="8"/>
      <c r="L2" s="8"/>
      <c r="M2" s="8"/>
      <c r="N2" s="8"/>
      <c r="O2" s="8"/>
      <c r="P2" s="8"/>
      <c r="Q2" s="8"/>
      <c r="R2" s="8"/>
      <c r="S2" s="8"/>
      <c r="T2" s="8"/>
      <c r="U2" s="8"/>
      <c r="V2" s="5"/>
    </row>
    <row r="3" spans="1:22" ht="15.6" x14ac:dyDescent="0.3">
      <c r="A3" s="9"/>
      <c r="B3" s="111" t="s">
        <v>229</v>
      </c>
      <c r="C3" s="8"/>
      <c r="D3" s="8"/>
      <c r="E3" s="8"/>
      <c r="F3" s="8"/>
      <c r="G3" s="8"/>
      <c r="H3" s="8"/>
      <c r="I3" s="8"/>
      <c r="J3" s="8"/>
      <c r="K3" s="8"/>
      <c r="L3" s="8"/>
      <c r="M3" s="8"/>
      <c r="N3" s="8"/>
      <c r="O3" s="8"/>
      <c r="P3" s="8"/>
      <c r="Q3" s="8"/>
      <c r="R3" s="8"/>
      <c r="S3" s="8"/>
      <c r="T3" s="8"/>
      <c r="U3" s="8"/>
      <c r="V3" s="5"/>
    </row>
    <row r="4" spans="1:22" ht="15.6" x14ac:dyDescent="0.3">
      <c r="A4" s="6"/>
      <c r="B4" s="7"/>
      <c r="C4" s="8"/>
      <c r="D4" s="8"/>
      <c r="E4" s="8"/>
      <c r="F4" s="8"/>
      <c r="G4" s="8"/>
      <c r="H4" s="8"/>
      <c r="I4" s="8"/>
      <c r="J4" s="8"/>
      <c r="K4" s="8"/>
      <c r="L4" s="8"/>
      <c r="M4" s="8"/>
      <c r="N4" s="8"/>
      <c r="O4" s="8"/>
      <c r="P4" s="8"/>
      <c r="Q4" s="8"/>
      <c r="R4" s="8"/>
      <c r="S4" s="8"/>
      <c r="T4" s="8"/>
      <c r="U4" s="8"/>
      <c r="V4" s="5"/>
    </row>
    <row r="5" spans="1:22" ht="15.6" x14ac:dyDescent="0.3">
      <c r="A5" s="6"/>
      <c r="B5" s="11" t="s">
        <v>143</v>
      </c>
      <c r="C5" s="8"/>
      <c r="D5" s="8"/>
      <c r="E5" s="8"/>
      <c r="F5" s="8"/>
      <c r="G5" s="8"/>
      <c r="H5" s="8"/>
      <c r="I5" s="8"/>
      <c r="J5" s="8"/>
      <c r="K5" s="8"/>
      <c r="L5" s="8"/>
      <c r="M5" s="8"/>
      <c r="N5" s="8"/>
      <c r="O5" s="8"/>
      <c r="P5" s="8"/>
      <c r="Q5" s="8"/>
      <c r="R5" s="8"/>
      <c r="S5" s="8"/>
      <c r="T5" s="8"/>
      <c r="U5" s="8"/>
      <c r="V5" s="5"/>
    </row>
    <row r="6" spans="1:22" ht="15.6" x14ac:dyDescent="0.3">
      <c r="A6" s="6"/>
      <c r="B6" s="11" t="s">
        <v>145</v>
      </c>
      <c r="C6" s="8"/>
      <c r="D6" s="8"/>
      <c r="E6" s="8"/>
      <c r="F6" s="8"/>
      <c r="G6" s="8"/>
      <c r="H6" s="8"/>
      <c r="I6" s="8"/>
      <c r="J6" s="8"/>
      <c r="K6" s="8"/>
      <c r="L6" s="8"/>
      <c r="M6" s="8"/>
      <c r="N6" s="8"/>
      <c r="O6" s="8"/>
      <c r="P6" s="8"/>
      <c r="Q6" s="8"/>
      <c r="R6" s="8"/>
      <c r="S6" s="8"/>
      <c r="T6" s="8"/>
      <c r="U6" s="8"/>
      <c r="V6" s="5"/>
    </row>
    <row r="7" spans="1:22" ht="15.6" x14ac:dyDescent="0.3">
      <c r="A7" s="6"/>
      <c r="B7" s="11" t="s">
        <v>144</v>
      </c>
      <c r="C7" s="8"/>
      <c r="D7" s="8"/>
      <c r="E7" s="8"/>
      <c r="F7" s="8"/>
      <c r="G7" s="8"/>
      <c r="H7" s="8"/>
      <c r="I7" s="8"/>
      <c r="J7" s="8"/>
      <c r="K7" s="8"/>
      <c r="L7" s="8"/>
      <c r="M7" s="8"/>
      <c r="N7" s="8"/>
      <c r="O7" s="8"/>
      <c r="P7" s="8"/>
      <c r="Q7" s="8"/>
      <c r="R7" s="8"/>
      <c r="S7" s="8"/>
      <c r="T7" s="8"/>
      <c r="U7" s="8"/>
      <c r="V7" s="5"/>
    </row>
    <row r="8" spans="1:22" ht="15.6" x14ac:dyDescent="0.3">
      <c r="A8" s="6"/>
      <c r="B8" s="11"/>
      <c r="C8" s="8"/>
      <c r="D8" s="8"/>
      <c r="E8" s="8"/>
      <c r="F8" s="8"/>
      <c r="G8" s="8"/>
      <c r="H8" s="8"/>
      <c r="I8" s="8"/>
      <c r="J8" s="8"/>
      <c r="K8" s="8"/>
      <c r="L8" s="8"/>
      <c r="M8" s="8"/>
      <c r="N8" s="8"/>
      <c r="O8" s="8"/>
      <c r="P8" s="8"/>
      <c r="Q8" s="8"/>
      <c r="R8" s="8"/>
      <c r="S8" s="8"/>
      <c r="T8" s="8"/>
      <c r="U8" s="8"/>
      <c r="V8" s="5"/>
    </row>
    <row r="9" spans="1:22" ht="17.399999999999999" x14ac:dyDescent="0.3">
      <c r="A9" s="6"/>
      <c r="B9" s="147" t="s">
        <v>173</v>
      </c>
      <c r="C9" s="8"/>
      <c r="D9" s="8"/>
      <c r="E9" s="8"/>
      <c r="F9" s="8"/>
      <c r="G9" s="8"/>
      <c r="H9" s="8"/>
      <c r="I9" s="8"/>
      <c r="J9" s="148" t="s">
        <v>174</v>
      </c>
      <c r="K9" s="8"/>
      <c r="L9" s="148"/>
      <c r="M9" s="8"/>
      <c r="N9" s="8"/>
      <c r="O9" s="8"/>
      <c r="P9" s="8"/>
      <c r="Q9" s="8"/>
      <c r="R9" s="8"/>
      <c r="S9" s="8"/>
      <c r="T9" s="8"/>
      <c r="U9" s="8"/>
      <c r="V9" s="5"/>
    </row>
    <row r="10" spans="1:22" ht="15.6" x14ac:dyDescent="0.3">
      <c r="A10" s="6"/>
      <c r="B10" s="11"/>
      <c r="C10" s="13"/>
      <c r="D10" s="13"/>
      <c r="E10" s="13"/>
      <c r="F10" s="8"/>
      <c r="G10" s="8"/>
      <c r="H10" s="8"/>
      <c r="I10" s="8"/>
      <c r="J10" s="8"/>
      <c r="K10" s="8"/>
      <c r="L10" s="8"/>
      <c r="M10" s="8"/>
      <c r="N10" s="8"/>
      <c r="O10" s="8"/>
      <c r="P10" s="8"/>
      <c r="Q10" s="8"/>
      <c r="R10" s="8"/>
      <c r="S10" s="8"/>
      <c r="T10" s="8"/>
      <c r="U10" s="8"/>
      <c r="V10" s="5"/>
    </row>
    <row r="11" spans="1:22" ht="15.6" x14ac:dyDescent="0.3">
      <c r="A11" s="6"/>
      <c r="B11" s="14" t="s">
        <v>0</v>
      </c>
      <c r="C11" s="8"/>
      <c r="D11" s="8"/>
      <c r="E11" s="8"/>
      <c r="F11" s="8"/>
      <c r="G11" s="8"/>
      <c r="H11" s="8"/>
      <c r="I11" s="8"/>
      <c r="J11" s="8"/>
      <c r="K11" s="8"/>
      <c r="L11" s="8"/>
      <c r="M11" s="8"/>
      <c r="N11" s="8"/>
      <c r="O11" s="8"/>
      <c r="P11" s="8"/>
      <c r="Q11" s="8"/>
      <c r="R11" s="8"/>
      <c r="S11" s="8"/>
      <c r="T11" s="8"/>
      <c r="U11" s="8"/>
      <c r="V11" s="5"/>
    </row>
    <row r="12" spans="1:22" ht="16.2" thickBot="1" x14ac:dyDescent="0.35">
      <c r="A12" s="6"/>
      <c r="B12" s="13"/>
      <c r="C12" s="8"/>
      <c r="D12" s="8"/>
      <c r="E12" s="8"/>
      <c r="F12" s="8"/>
      <c r="G12" s="8"/>
      <c r="H12" s="8"/>
      <c r="I12" s="8"/>
      <c r="J12" s="8"/>
      <c r="K12" s="8"/>
      <c r="L12" s="8"/>
      <c r="M12" s="8"/>
      <c r="N12" s="8"/>
      <c r="O12" s="8"/>
      <c r="P12" s="8"/>
      <c r="Q12" s="8"/>
      <c r="R12" s="8"/>
      <c r="S12" s="8"/>
      <c r="T12" s="8"/>
      <c r="U12" s="8"/>
      <c r="V12" s="5"/>
    </row>
    <row r="13" spans="1:22" ht="15.6" x14ac:dyDescent="0.3">
      <c r="A13" s="2"/>
      <c r="B13" s="4"/>
      <c r="C13" s="4"/>
      <c r="D13" s="4"/>
      <c r="E13" s="4"/>
      <c r="F13" s="4"/>
      <c r="G13" s="4"/>
      <c r="H13" s="4"/>
      <c r="I13" s="4"/>
      <c r="J13" s="4"/>
      <c r="K13" s="4"/>
      <c r="L13" s="4"/>
      <c r="M13" s="4"/>
      <c r="N13" s="4"/>
      <c r="O13" s="4"/>
      <c r="P13" s="4"/>
      <c r="Q13" s="4"/>
      <c r="R13" s="4"/>
      <c r="S13" s="4"/>
      <c r="T13" s="4"/>
      <c r="U13" s="4"/>
      <c r="V13" s="5"/>
    </row>
    <row r="14" spans="1:22" ht="15.6" x14ac:dyDescent="0.3">
      <c r="A14" s="6"/>
      <c r="B14" s="14" t="s">
        <v>1</v>
      </c>
      <c r="C14" s="15"/>
      <c r="D14" s="15"/>
      <c r="E14" s="15"/>
      <c r="F14" s="15"/>
      <c r="G14" s="15"/>
      <c r="H14" s="15"/>
      <c r="I14" s="15"/>
      <c r="J14" s="15"/>
      <c r="K14" s="15"/>
      <c r="L14" s="15"/>
      <c r="M14" s="15"/>
      <c r="N14" s="15"/>
      <c r="O14" s="15"/>
      <c r="P14" s="15"/>
      <c r="Q14" s="15"/>
      <c r="R14" s="15"/>
      <c r="S14" s="15"/>
      <c r="T14" s="16" t="s">
        <v>230</v>
      </c>
      <c r="U14" s="15"/>
      <c r="V14" s="5"/>
    </row>
    <row r="15" spans="1:22" ht="15.6" x14ac:dyDescent="0.3">
      <c r="A15" s="6"/>
      <c r="B15" s="14" t="s">
        <v>2</v>
      </c>
      <c r="C15" s="15"/>
      <c r="D15" s="15"/>
      <c r="E15" s="15"/>
      <c r="F15" s="15"/>
      <c r="G15" s="15"/>
      <c r="H15" s="18"/>
      <c r="I15" s="18"/>
      <c r="J15" s="18"/>
      <c r="K15" s="18"/>
      <c r="L15" s="18"/>
      <c r="M15" s="18"/>
      <c r="N15" s="18"/>
      <c r="O15" s="18"/>
      <c r="P15" s="18" t="s">
        <v>107</v>
      </c>
      <c r="Q15" s="137">
        <v>0.40749999999999997</v>
      </c>
      <c r="R15" s="17" t="s">
        <v>146</v>
      </c>
      <c r="S15" s="137">
        <v>0.59250000000000003</v>
      </c>
      <c r="T15" s="16"/>
      <c r="U15" s="15"/>
      <c r="V15" s="5"/>
    </row>
    <row r="16" spans="1:22" ht="15.6" x14ac:dyDescent="0.3">
      <c r="A16" s="6"/>
      <c r="B16" s="14" t="s">
        <v>3</v>
      </c>
      <c r="C16" s="15"/>
      <c r="D16" s="15"/>
      <c r="E16" s="15"/>
      <c r="F16" s="15"/>
      <c r="G16" s="15"/>
      <c r="H16" s="18"/>
      <c r="I16" s="18"/>
      <c r="J16" s="18"/>
      <c r="K16" s="18"/>
      <c r="L16" s="18"/>
      <c r="M16" s="18"/>
      <c r="N16" s="18"/>
      <c r="O16" s="18"/>
      <c r="P16" s="18" t="s">
        <v>107</v>
      </c>
      <c r="Q16" s="137">
        <v>0.39340000000000003</v>
      </c>
      <c r="R16" s="17" t="s">
        <v>146</v>
      </c>
      <c r="S16" s="137">
        <v>0.60660000000000003</v>
      </c>
      <c r="T16" s="16"/>
      <c r="U16" s="15"/>
      <c r="V16" s="5"/>
    </row>
    <row r="17" spans="1:22" ht="15.6" x14ac:dyDescent="0.3">
      <c r="A17" s="6"/>
      <c r="B17" s="14" t="s">
        <v>4</v>
      </c>
      <c r="C17" s="15"/>
      <c r="D17" s="15"/>
      <c r="E17" s="15"/>
      <c r="F17" s="15"/>
      <c r="G17" s="15"/>
      <c r="H17" s="15"/>
      <c r="I17" s="15"/>
      <c r="J17" s="15"/>
      <c r="K17" s="15"/>
      <c r="L17" s="15"/>
      <c r="M17" s="15"/>
      <c r="N17" s="15"/>
      <c r="O17" s="15"/>
      <c r="P17" s="15"/>
      <c r="Q17" s="15"/>
      <c r="R17" s="15"/>
      <c r="S17" s="15"/>
      <c r="T17" s="19">
        <v>38799</v>
      </c>
      <c r="U17" s="15"/>
      <c r="V17" s="5"/>
    </row>
    <row r="18" spans="1:22" ht="15.6" x14ac:dyDescent="0.3">
      <c r="A18" s="6"/>
      <c r="B18" s="14" t="s">
        <v>5</v>
      </c>
      <c r="C18" s="15"/>
      <c r="D18" s="15"/>
      <c r="E18" s="15"/>
      <c r="F18" s="15"/>
      <c r="G18" s="15"/>
      <c r="H18" s="15"/>
      <c r="I18" s="15"/>
      <c r="J18" s="15"/>
      <c r="K18" s="15"/>
      <c r="L18" s="15"/>
      <c r="M18" s="15"/>
      <c r="N18" s="15"/>
      <c r="O18" s="15"/>
      <c r="P18" s="15"/>
      <c r="Q18" s="15"/>
      <c r="R18" s="15"/>
      <c r="S18" s="15"/>
      <c r="T18" s="19">
        <v>39017</v>
      </c>
      <c r="U18" s="15"/>
      <c r="V18" s="5"/>
    </row>
    <row r="19" spans="1:22" ht="15.6" x14ac:dyDescent="0.3">
      <c r="A19" s="6"/>
      <c r="B19" s="8"/>
      <c r="C19" s="8"/>
      <c r="D19" s="8"/>
      <c r="E19" s="8"/>
      <c r="F19" s="8"/>
      <c r="G19" s="8"/>
      <c r="H19" s="8"/>
      <c r="I19" s="8"/>
      <c r="J19" s="8"/>
      <c r="K19" s="8"/>
      <c r="L19" s="8"/>
      <c r="M19" s="8"/>
      <c r="N19" s="8"/>
      <c r="O19" s="8"/>
      <c r="P19" s="8"/>
      <c r="Q19" s="8"/>
      <c r="R19" s="8"/>
      <c r="S19" s="8"/>
      <c r="T19" s="20"/>
      <c r="U19" s="8"/>
      <c r="V19" s="5"/>
    </row>
    <row r="20" spans="1:22" ht="15.6" x14ac:dyDescent="0.3">
      <c r="A20" s="6"/>
      <c r="B20" s="21" t="s">
        <v>6</v>
      </c>
      <c r="C20" s="8"/>
      <c r="D20" s="8"/>
      <c r="E20" s="8"/>
      <c r="F20" s="8"/>
      <c r="G20" s="8"/>
      <c r="H20" s="8"/>
      <c r="I20" s="8"/>
      <c r="J20" s="8"/>
      <c r="K20" s="8"/>
      <c r="L20" s="8"/>
      <c r="M20" s="8"/>
      <c r="N20" s="8"/>
      <c r="O20" s="8"/>
      <c r="P20" s="8"/>
      <c r="Q20" s="8"/>
      <c r="R20" s="20" t="s">
        <v>108</v>
      </c>
      <c r="S20" s="8"/>
      <c r="T20" s="162"/>
      <c r="U20" s="8"/>
      <c r="V20" s="5"/>
    </row>
    <row r="21" spans="1:22" ht="15.6" x14ac:dyDescent="0.3">
      <c r="A21" s="6"/>
      <c r="B21" s="8"/>
      <c r="C21" s="8"/>
      <c r="D21" s="8"/>
      <c r="E21" s="8"/>
      <c r="F21" s="8"/>
      <c r="G21" s="8"/>
      <c r="H21" s="8"/>
      <c r="I21" s="8"/>
      <c r="J21" s="8"/>
      <c r="K21" s="8"/>
      <c r="L21" s="8"/>
      <c r="M21" s="8"/>
      <c r="N21" s="8"/>
      <c r="O21" s="8"/>
      <c r="P21" s="8"/>
      <c r="Q21" s="8"/>
      <c r="R21" s="8"/>
      <c r="S21" s="8"/>
      <c r="T21" s="22"/>
      <c r="U21" s="8"/>
      <c r="V21" s="5"/>
    </row>
    <row r="22" spans="1:22" ht="15.6" x14ac:dyDescent="0.3">
      <c r="A22" s="6"/>
      <c r="B22" s="8"/>
      <c r="C22" s="112"/>
      <c r="D22" s="112" t="s">
        <v>184</v>
      </c>
      <c r="E22" s="112"/>
      <c r="F22" s="112" t="s">
        <v>185</v>
      </c>
      <c r="G22" s="112"/>
      <c r="H22" s="112" t="s">
        <v>186</v>
      </c>
      <c r="I22" s="112"/>
      <c r="J22" s="112" t="s">
        <v>187</v>
      </c>
      <c r="K22" s="112"/>
      <c r="L22" s="112" t="s">
        <v>188</v>
      </c>
      <c r="M22" s="112"/>
      <c r="N22" s="112" t="s">
        <v>189</v>
      </c>
      <c r="O22" s="112"/>
      <c r="P22" s="112"/>
      <c r="Q22" s="113"/>
      <c r="R22" s="23"/>
      <c r="S22" s="162"/>
      <c r="T22" s="162"/>
      <c r="U22" s="8"/>
      <c r="V22" s="5"/>
    </row>
    <row r="23" spans="1:22" ht="15.6" x14ac:dyDescent="0.3">
      <c r="A23" s="24"/>
      <c r="B23" s="25" t="s">
        <v>7</v>
      </c>
      <c r="C23" s="26"/>
      <c r="D23" s="26" t="s">
        <v>222</v>
      </c>
      <c r="E23" s="26"/>
      <c r="F23" s="26" t="s">
        <v>147</v>
      </c>
      <c r="G23" s="26"/>
      <c r="H23" s="26" t="s">
        <v>147</v>
      </c>
      <c r="I23" s="26"/>
      <c r="J23" s="26" t="s">
        <v>190</v>
      </c>
      <c r="K23" s="26"/>
      <c r="L23" s="26" t="s">
        <v>190</v>
      </c>
      <c r="M23" s="26"/>
      <c r="N23" s="26" t="s">
        <v>148</v>
      </c>
      <c r="O23" s="26"/>
      <c r="P23" s="26"/>
      <c r="Q23" s="26"/>
      <c r="R23" s="26"/>
      <c r="S23" s="163"/>
      <c r="T23" s="163"/>
      <c r="U23" s="25"/>
      <c r="V23" s="5"/>
    </row>
    <row r="24" spans="1:22" ht="15.6" x14ac:dyDescent="0.3">
      <c r="A24" s="24"/>
      <c r="B24" s="25" t="s">
        <v>8</v>
      </c>
      <c r="C24" s="26"/>
      <c r="D24" s="26" t="s">
        <v>223</v>
      </c>
      <c r="E24" s="26"/>
      <c r="F24" s="26" t="s">
        <v>149</v>
      </c>
      <c r="G24" s="26"/>
      <c r="H24" s="26" t="s">
        <v>149</v>
      </c>
      <c r="I24" s="26"/>
      <c r="J24" s="26" t="s">
        <v>172</v>
      </c>
      <c r="K24" s="26"/>
      <c r="L24" s="26" t="s">
        <v>172</v>
      </c>
      <c r="M24" s="26"/>
      <c r="N24" s="26" t="s">
        <v>150</v>
      </c>
      <c r="O24" s="26"/>
      <c r="P24" s="26"/>
      <c r="Q24" s="26"/>
      <c r="R24" s="26"/>
      <c r="S24" s="163"/>
      <c r="T24" s="163"/>
      <c r="U24" s="25"/>
      <c r="V24" s="5"/>
    </row>
    <row r="25" spans="1:22" ht="15.6" x14ac:dyDescent="0.3">
      <c r="A25" s="28"/>
      <c r="B25" s="131" t="s">
        <v>198</v>
      </c>
      <c r="C25" s="123"/>
      <c r="D25" s="26" t="s">
        <v>224</v>
      </c>
      <c r="E25" s="26"/>
      <c r="F25" s="26" t="s">
        <v>149</v>
      </c>
      <c r="G25" s="26"/>
      <c r="H25" s="26" t="s">
        <v>149</v>
      </c>
      <c r="I25" s="26"/>
      <c r="J25" s="26" t="s">
        <v>172</v>
      </c>
      <c r="K25" s="26"/>
      <c r="L25" s="26" t="s">
        <v>172</v>
      </c>
      <c r="M25" s="26"/>
      <c r="N25" s="26" t="s">
        <v>150</v>
      </c>
      <c r="O25" s="26"/>
      <c r="P25" s="26"/>
      <c r="Q25" s="123"/>
      <c r="R25" s="26"/>
      <c r="S25" s="163"/>
      <c r="T25" s="163"/>
      <c r="U25" s="25"/>
      <c r="V25" s="5"/>
    </row>
    <row r="26" spans="1:22" ht="15.6" x14ac:dyDescent="0.3">
      <c r="A26" s="28"/>
      <c r="B26" s="29" t="s">
        <v>9</v>
      </c>
      <c r="C26" s="123"/>
      <c r="D26" s="123" t="s">
        <v>222</v>
      </c>
      <c r="E26" s="123"/>
      <c r="F26" s="123" t="s">
        <v>147</v>
      </c>
      <c r="G26" s="123"/>
      <c r="H26" s="123" t="s">
        <v>147</v>
      </c>
      <c r="I26" s="123"/>
      <c r="J26" s="123" t="s">
        <v>190</v>
      </c>
      <c r="K26" s="123"/>
      <c r="L26" s="123" t="s">
        <v>190</v>
      </c>
      <c r="M26" s="123"/>
      <c r="N26" s="123" t="s">
        <v>148</v>
      </c>
      <c r="O26" s="123"/>
      <c r="P26" s="123"/>
      <c r="Q26" s="123"/>
      <c r="R26" s="26"/>
      <c r="S26" s="163"/>
      <c r="T26" s="163"/>
      <c r="U26" s="25"/>
      <c r="V26" s="5"/>
    </row>
    <row r="27" spans="1:22" ht="15.6" x14ac:dyDescent="0.3">
      <c r="A27" s="24"/>
      <c r="B27" s="29" t="s">
        <v>199</v>
      </c>
      <c r="C27" s="26"/>
      <c r="D27" s="123" t="s">
        <v>223</v>
      </c>
      <c r="E27" s="123"/>
      <c r="F27" s="123" t="s">
        <v>149</v>
      </c>
      <c r="G27" s="123"/>
      <c r="H27" s="123" t="s">
        <v>149</v>
      </c>
      <c r="I27" s="123"/>
      <c r="J27" s="123" t="s">
        <v>172</v>
      </c>
      <c r="K27" s="123"/>
      <c r="L27" s="123" t="s">
        <v>172</v>
      </c>
      <c r="M27" s="123"/>
      <c r="N27" s="123" t="s">
        <v>150</v>
      </c>
      <c r="O27" s="123"/>
      <c r="P27" s="123"/>
      <c r="Q27" s="26"/>
      <c r="R27" s="30"/>
      <c r="S27" s="163"/>
      <c r="T27" s="163"/>
      <c r="U27" s="25"/>
      <c r="V27" s="5"/>
    </row>
    <row r="28" spans="1:22" ht="15.6" x14ac:dyDescent="0.3">
      <c r="A28" s="24"/>
      <c r="B28" s="153" t="s">
        <v>200</v>
      </c>
      <c r="C28" s="26"/>
      <c r="D28" s="123" t="s">
        <v>224</v>
      </c>
      <c r="E28" s="123"/>
      <c r="F28" s="123" t="s">
        <v>149</v>
      </c>
      <c r="G28" s="123"/>
      <c r="H28" s="123" t="s">
        <v>149</v>
      </c>
      <c r="I28" s="123"/>
      <c r="J28" s="123" t="s">
        <v>172</v>
      </c>
      <c r="K28" s="123"/>
      <c r="L28" s="123" t="s">
        <v>172</v>
      </c>
      <c r="M28" s="123"/>
      <c r="N28" s="123" t="s">
        <v>150</v>
      </c>
      <c r="O28" s="123"/>
      <c r="P28" s="123"/>
      <c r="Q28" s="26"/>
      <c r="R28" s="30"/>
      <c r="S28" s="163"/>
      <c r="T28" s="163"/>
      <c r="U28" s="25"/>
      <c r="V28" s="5"/>
    </row>
    <row r="29" spans="1:22" ht="15.6" x14ac:dyDescent="0.3">
      <c r="A29" s="24"/>
      <c r="B29" s="25" t="s">
        <v>10</v>
      </c>
      <c r="C29" s="32"/>
      <c r="D29" s="26" t="s">
        <v>237</v>
      </c>
      <c r="E29" s="26"/>
      <c r="F29" s="30" t="s">
        <v>238</v>
      </c>
      <c r="G29" s="26"/>
      <c r="H29" s="26" t="s">
        <v>239</v>
      </c>
      <c r="I29" s="26"/>
      <c r="J29" s="26" t="s">
        <v>240</v>
      </c>
      <c r="K29" s="26"/>
      <c r="L29" s="26" t="s">
        <v>241</v>
      </c>
      <c r="M29" s="26"/>
      <c r="N29" s="26" t="s">
        <v>242</v>
      </c>
      <c r="O29" s="26"/>
      <c r="P29" s="26"/>
      <c r="Q29" s="31"/>
      <c r="R29" s="31"/>
      <c r="S29" s="164"/>
      <c r="T29" s="31"/>
      <c r="U29" s="34"/>
      <c r="V29" s="5"/>
    </row>
    <row r="30" spans="1:22" ht="15.6" x14ac:dyDescent="0.3">
      <c r="A30" s="24"/>
      <c r="B30" s="25" t="s">
        <v>10</v>
      </c>
      <c r="C30" s="32"/>
      <c r="D30" s="26" t="s">
        <v>236</v>
      </c>
      <c r="E30" s="26"/>
      <c r="F30" s="30" t="s">
        <v>124</v>
      </c>
      <c r="G30" s="26"/>
      <c r="H30" s="26" t="s">
        <v>124</v>
      </c>
      <c r="I30" s="26"/>
      <c r="J30" s="26" t="s">
        <v>124</v>
      </c>
      <c r="K30" s="26"/>
      <c r="L30" s="26" t="s">
        <v>124</v>
      </c>
      <c r="M30" s="26"/>
      <c r="N30" s="26" t="s">
        <v>124</v>
      </c>
      <c r="O30" s="26"/>
      <c r="P30" s="26"/>
      <c r="Q30" s="31"/>
      <c r="R30" s="31"/>
      <c r="S30" s="164"/>
      <c r="T30" s="31"/>
      <c r="U30" s="34"/>
      <c r="V30" s="5"/>
    </row>
    <row r="31" spans="1:22" ht="15.6" x14ac:dyDescent="0.3">
      <c r="A31" s="28"/>
      <c r="B31" s="25" t="s">
        <v>139</v>
      </c>
      <c r="C31" s="36"/>
      <c r="D31" s="146">
        <v>985000</v>
      </c>
      <c r="E31" s="32"/>
      <c r="F31" s="31">
        <v>149500</v>
      </c>
      <c r="G31" s="31"/>
      <c r="H31" s="124">
        <v>219700</v>
      </c>
      <c r="I31" s="31"/>
      <c r="J31" s="31">
        <v>16000</v>
      </c>
      <c r="K31" s="31"/>
      <c r="L31" s="124">
        <v>82400</v>
      </c>
      <c r="M31" s="31"/>
      <c r="N31" s="124">
        <v>87500</v>
      </c>
      <c r="O31" s="31"/>
      <c r="P31" s="124"/>
      <c r="Q31" s="35"/>
      <c r="R31" s="35"/>
      <c r="S31" s="37"/>
      <c r="T31" s="35"/>
      <c r="U31" s="34"/>
      <c r="V31" s="5"/>
    </row>
    <row r="32" spans="1:22" ht="15.6" x14ac:dyDescent="0.3">
      <c r="A32" s="24"/>
      <c r="B32" s="25" t="s">
        <v>138</v>
      </c>
      <c r="C32" s="32"/>
      <c r="D32" s="146">
        <f>D38*D31</f>
        <v>963645.2</v>
      </c>
      <c r="E32" s="32"/>
      <c r="F32" s="31">
        <f>F38*F31</f>
        <v>146258.84</v>
      </c>
      <c r="G32" s="31"/>
      <c r="H32" s="124">
        <f>H38*H31</f>
        <v>214936.90399999998</v>
      </c>
      <c r="I32" s="31"/>
      <c r="J32" s="31">
        <f>+J31</f>
        <v>16000</v>
      </c>
      <c r="K32" s="31"/>
      <c r="L32" s="124">
        <f>+L31</f>
        <v>82400</v>
      </c>
      <c r="M32" s="31"/>
      <c r="N32" s="124">
        <f>+N31</f>
        <v>87500</v>
      </c>
      <c r="O32" s="31"/>
      <c r="P32" s="124"/>
      <c r="Q32" s="31"/>
      <c r="R32" s="31"/>
      <c r="S32" s="164"/>
      <c r="T32" s="31"/>
      <c r="U32" s="34"/>
      <c r="V32" s="5"/>
    </row>
    <row r="33" spans="1:22" ht="15.6" x14ac:dyDescent="0.3">
      <c r="A33" s="24"/>
      <c r="B33" s="29" t="s">
        <v>140</v>
      </c>
      <c r="C33" s="32"/>
      <c r="D33" s="151">
        <f>D37*D31</f>
        <v>944328.36499999999</v>
      </c>
      <c r="E33" s="36"/>
      <c r="F33" s="35">
        <f>F37*F31</f>
        <v>143326.99550000002</v>
      </c>
      <c r="G33" s="35"/>
      <c r="H33" s="125">
        <f>H31*H37</f>
        <v>210628.36730000001</v>
      </c>
      <c r="I33" s="35"/>
      <c r="J33" s="35">
        <f>J31*J37</f>
        <v>16000</v>
      </c>
      <c r="K33" s="35"/>
      <c r="L33" s="125">
        <f>L31*L37</f>
        <v>82400</v>
      </c>
      <c r="M33" s="35"/>
      <c r="N33" s="125">
        <f>N31*N37</f>
        <v>87500</v>
      </c>
      <c r="O33" s="35"/>
      <c r="P33" s="125"/>
      <c r="Q33" s="31"/>
      <c r="R33" s="31"/>
      <c r="S33" s="164"/>
      <c r="T33" s="31"/>
      <c r="U33" s="34"/>
      <c r="V33" s="5"/>
    </row>
    <row r="34" spans="1:22" ht="15.6" x14ac:dyDescent="0.3">
      <c r="A34" s="28"/>
      <c r="B34" s="25" t="s">
        <v>283</v>
      </c>
      <c r="C34" s="36"/>
      <c r="D34" s="31">
        <v>567282</v>
      </c>
      <c r="E34" s="32"/>
      <c r="F34" s="31">
        <v>149500</v>
      </c>
      <c r="G34" s="31"/>
      <c r="H34" s="31">
        <v>150716</v>
      </c>
      <c r="I34" s="31"/>
      <c r="J34" s="31">
        <v>16000</v>
      </c>
      <c r="K34" s="31"/>
      <c r="L34" s="31">
        <v>56527</v>
      </c>
      <c r="M34" s="31"/>
      <c r="N34" s="31">
        <v>60025</v>
      </c>
      <c r="O34" s="31"/>
      <c r="P34" s="31"/>
      <c r="Q34" s="35"/>
      <c r="R34" s="35"/>
      <c r="S34" s="37"/>
      <c r="T34" s="154">
        <f>SUM(C34:P34)</f>
        <v>1000050</v>
      </c>
      <c r="U34" s="34"/>
      <c r="V34" s="5"/>
    </row>
    <row r="35" spans="1:22" ht="15.6" x14ac:dyDescent="0.3">
      <c r="A35" s="28"/>
      <c r="B35" s="25" t="s">
        <v>284</v>
      </c>
      <c r="C35" s="126"/>
      <c r="D35" s="31">
        <f>D38*D34</f>
        <v>554983.32623999997</v>
      </c>
      <c r="E35" s="32"/>
      <c r="F35" s="31">
        <f>F38*F34</f>
        <v>146258.84</v>
      </c>
      <c r="G35" s="31"/>
      <c r="H35" s="31">
        <f>H38*H34</f>
        <v>147448.47712</v>
      </c>
      <c r="I35" s="31"/>
      <c r="J35" s="31">
        <f>+J34</f>
        <v>16000</v>
      </c>
      <c r="K35" s="31"/>
      <c r="L35" s="31">
        <f>+L34</f>
        <v>56527</v>
      </c>
      <c r="M35" s="31"/>
      <c r="N35" s="31">
        <f>+N34</f>
        <v>60025</v>
      </c>
      <c r="O35" s="31"/>
      <c r="P35" s="31"/>
      <c r="Q35" s="31"/>
      <c r="R35" s="31"/>
      <c r="S35" s="164"/>
      <c r="T35" s="154">
        <f>SUM(C35:P35)</f>
        <v>981242.64335999987</v>
      </c>
      <c r="U35" s="34"/>
      <c r="V35" s="5"/>
    </row>
    <row r="36" spans="1:22" ht="15.6" x14ac:dyDescent="0.3">
      <c r="A36" s="28"/>
      <c r="B36" s="29" t="s">
        <v>285</v>
      </c>
      <c r="C36" s="126"/>
      <c r="D36" s="35">
        <f>D37*D34</f>
        <v>543858.35893800005</v>
      </c>
      <c r="E36" s="36"/>
      <c r="F36" s="35">
        <f>F37*F34</f>
        <v>143326.99550000002</v>
      </c>
      <c r="G36" s="35"/>
      <c r="H36" s="35">
        <f>H37*H34</f>
        <v>144492.78564400002</v>
      </c>
      <c r="I36" s="35"/>
      <c r="J36" s="35">
        <f>+J34</f>
        <v>16000</v>
      </c>
      <c r="K36" s="35"/>
      <c r="L36" s="35">
        <f>+L34</f>
        <v>56527</v>
      </c>
      <c r="M36" s="35"/>
      <c r="N36" s="35">
        <f>+N34</f>
        <v>60025</v>
      </c>
      <c r="O36" s="35"/>
      <c r="P36" s="35"/>
      <c r="Q36" s="128"/>
      <c r="R36" s="128"/>
      <c r="S36" s="164"/>
      <c r="T36" s="155">
        <f>SUM(C36:P36)</f>
        <v>964230.14008200017</v>
      </c>
      <c r="U36" s="34"/>
      <c r="V36" s="5"/>
    </row>
    <row r="37" spans="1:22" ht="15.6" x14ac:dyDescent="0.3">
      <c r="A37" s="24"/>
      <c r="B37" s="122" t="s">
        <v>136</v>
      </c>
      <c r="C37" s="25"/>
      <c r="D37" s="135">
        <v>0.95870900000000003</v>
      </c>
      <c r="E37" s="136"/>
      <c r="F37" s="135">
        <v>0.95870900000000003</v>
      </c>
      <c r="G37" s="135"/>
      <c r="H37" s="135">
        <v>0.95870900000000003</v>
      </c>
      <c r="I37" s="135"/>
      <c r="J37" s="135">
        <v>1</v>
      </c>
      <c r="K37" s="135"/>
      <c r="L37" s="135">
        <v>1</v>
      </c>
      <c r="M37" s="135"/>
      <c r="N37" s="135">
        <v>1</v>
      </c>
      <c r="O37" s="135"/>
      <c r="P37" s="135"/>
      <c r="Q37" s="30"/>
      <c r="R37" s="30"/>
      <c r="S37" s="163"/>
      <c r="T37" s="163"/>
      <c r="U37" s="25"/>
      <c r="V37" s="5"/>
    </row>
    <row r="38" spans="1:22" ht="15.6" x14ac:dyDescent="0.3">
      <c r="A38" s="24"/>
      <c r="B38" s="122" t="s">
        <v>137</v>
      </c>
      <c r="C38" s="25"/>
      <c r="D38" s="135">
        <v>0.97831999999999997</v>
      </c>
      <c r="E38" s="136"/>
      <c r="F38" s="135">
        <v>0.97831999999999997</v>
      </c>
      <c r="G38" s="135"/>
      <c r="H38" s="135">
        <v>0.97831999999999997</v>
      </c>
      <c r="I38" s="135"/>
      <c r="J38" s="135">
        <v>1</v>
      </c>
      <c r="K38" s="135"/>
      <c r="L38" s="135">
        <v>1</v>
      </c>
      <c r="M38" s="135"/>
      <c r="N38" s="135">
        <v>1</v>
      </c>
      <c r="O38" s="135"/>
      <c r="P38" s="135"/>
      <c r="Q38" s="39"/>
      <c r="R38" s="38"/>
      <c r="S38" s="163"/>
      <c r="T38" s="39"/>
      <c r="U38" s="25"/>
      <c r="V38" s="5"/>
    </row>
    <row r="39" spans="1:22" ht="15.6" x14ac:dyDescent="0.3">
      <c r="A39" s="24"/>
      <c r="B39" s="25" t="s">
        <v>11</v>
      </c>
      <c r="C39" s="25"/>
      <c r="D39" s="30" t="s">
        <v>252</v>
      </c>
      <c r="E39" s="25"/>
      <c r="F39" s="30" t="s">
        <v>231</v>
      </c>
      <c r="G39" s="30"/>
      <c r="H39" s="30" t="s">
        <v>231</v>
      </c>
      <c r="I39" s="30"/>
      <c r="J39" s="30" t="s">
        <v>232</v>
      </c>
      <c r="K39" s="30"/>
      <c r="L39" s="30" t="s">
        <v>232</v>
      </c>
      <c r="M39" s="30"/>
      <c r="N39" s="30" t="s">
        <v>233</v>
      </c>
      <c r="O39" s="30"/>
      <c r="P39" s="30"/>
      <c r="Q39" s="39"/>
      <c r="R39" s="38"/>
      <c r="S39" s="163"/>
      <c r="T39" s="163"/>
      <c r="U39" s="25"/>
      <c r="V39" s="5"/>
    </row>
    <row r="40" spans="1:22" ht="15.6" x14ac:dyDescent="0.3">
      <c r="A40" s="24"/>
      <c r="B40" s="25" t="s">
        <v>12</v>
      </c>
      <c r="C40" s="25"/>
      <c r="D40" s="38">
        <v>5.3199999999999997E-2</v>
      </c>
      <c r="E40" s="25"/>
      <c r="F40" s="38">
        <v>4.8103100000000003E-2</v>
      </c>
      <c r="G40" s="39"/>
      <c r="H40" s="38">
        <v>3.2099999999999997E-2</v>
      </c>
      <c r="I40" s="39"/>
      <c r="J40" s="38">
        <v>4.9303100000000002E-2</v>
      </c>
      <c r="K40" s="39"/>
      <c r="L40" s="38">
        <v>3.3300000000000003E-2</v>
      </c>
      <c r="M40" s="39"/>
      <c r="N40" s="38">
        <v>3.5400000000000001E-2</v>
      </c>
      <c r="O40" s="39"/>
      <c r="P40" s="38"/>
      <c r="Q40" s="39"/>
      <c r="R40" s="38"/>
      <c r="S40" s="163"/>
      <c r="T40" s="30"/>
      <c r="U40" s="25"/>
      <c r="V40" s="5"/>
    </row>
    <row r="41" spans="1:22" ht="15.6" x14ac:dyDescent="0.3">
      <c r="A41" s="24"/>
      <c r="B41" s="25" t="s">
        <v>13</v>
      </c>
      <c r="C41" s="25"/>
      <c r="D41" s="38">
        <v>5.1887500000000003E-2</v>
      </c>
      <c r="E41" s="25"/>
      <c r="F41" s="38">
        <v>4.7183000000000003E-2</v>
      </c>
      <c r="G41" s="39"/>
      <c r="H41" s="38">
        <v>2.896E-2</v>
      </c>
      <c r="I41" s="39"/>
      <c r="J41" s="38">
        <v>4.8383000000000002E-2</v>
      </c>
      <c r="K41" s="39"/>
      <c r="L41" s="38">
        <v>3.0159999999999999E-2</v>
      </c>
      <c r="M41" s="39"/>
      <c r="N41" s="38">
        <v>3.2259999999999997E-2</v>
      </c>
      <c r="O41" s="38"/>
      <c r="P41" s="38"/>
      <c r="Q41" s="39"/>
      <c r="R41" s="38"/>
      <c r="S41" s="163"/>
      <c r="T41" s="39" t="s">
        <v>201</v>
      </c>
      <c r="U41" s="25"/>
      <c r="V41" s="5"/>
    </row>
    <row r="42" spans="1:22" ht="15.6" x14ac:dyDescent="0.3">
      <c r="A42" s="24"/>
      <c r="B42" s="25" t="s">
        <v>286</v>
      </c>
      <c r="C42" s="25"/>
      <c r="D42" s="30" t="s">
        <v>256</v>
      </c>
      <c r="E42" s="25"/>
      <c r="F42" s="30" t="s">
        <v>231</v>
      </c>
      <c r="G42" s="30"/>
      <c r="H42" s="30" t="s">
        <v>243</v>
      </c>
      <c r="I42" s="30"/>
      <c r="J42" s="30" t="s">
        <v>232</v>
      </c>
      <c r="K42" s="30"/>
      <c r="L42" s="30" t="s">
        <v>244</v>
      </c>
      <c r="M42" s="30"/>
      <c r="N42" s="30" t="s">
        <v>246</v>
      </c>
      <c r="O42" s="30"/>
      <c r="P42" s="30"/>
      <c r="Q42" s="39"/>
      <c r="R42" s="38"/>
      <c r="S42" s="163"/>
      <c r="T42" s="163"/>
      <c r="U42" s="25"/>
      <c r="V42" s="5"/>
    </row>
    <row r="43" spans="1:22" ht="15.6" x14ac:dyDescent="0.3">
      <c r="A43" s="24"/>
      <c r="B43" s="25" t="s">
        <v>287</v>
      </c>
      <c r="C43" s="110"/>
      <c r="D43" s="38">
        <v>4.7030099999999998E-2</v>
      </c>
      <c r="E43" s="38"/>
      <c r="F43" s="38">
        <f>+F40</f>
        <v>4.8103100000000003E-2</v>
      </c>
      <c r="G43" s="38"/>
      <c r="H43" s="38">
        <v>4.8101100000000001E-2</v>
      </c>
      <c r="I43" s="38"/>
      <c r="J43" s="38">
        <f>+J40</f>
        <v>4.9303100000000002E-2</v>
      </c>
      <c r="K43" s="38"/>
      <c r="L43" s="38">
        <v>4.9456100000000003E-2</v>
      </c>
      <c r="M43" s="38"/>
      <c r="N43" s="38">
        <v>5.1808100000000003E-2</v>
      </c>
      <c r="O43" s="39"/>
      <c r="P43" s="38"/>
      <c r="Q43" s="30"/>
      <c r="R43" s="30"/>
      <c r="S43" s="163"/>
      <c r="T43" s="39">
        <f>SUMPRODUCT(D43:P43,D35:P35)/T35</f>
        <v>4.7820072808011295E-2</v>
      </c>
      <c r="U43" s="25"/>
      <c r="V43" s="5"/>
    </row>
    <row r="44" spans="1:22" ht="15.6" x14ac:dyDescent="0.3">
      <c r="A44" s="24"/>
      <c r="B44" s="25" t="s">
        <v>288</v>
      </c>
      <c r="C44" s="110"/>
      <c r="D44" s="38">
        <v>4.6109999999999998E-2</v>
      </c>
      <c r="E44" s="38"/>
      <c r="F44" s="38">
        <v>4.7183000000000003E-2</v>
      </c>
      <c r="G44" s="38"/>
      <c r="H44" s="38">
        <v>4.7181000000000001E-2</v>
      </c>
      <c r="I44" s="38"/>
      <c r="J44" s="38">
        <v>4.838303E-2</v>
      </c>
      <c r="K44" s="38"/>
      <c r="L44" s="38">
        <v>4.8536000000000003E-2</v>
      </c>
      <c r="M44" s="38"/>
      <c r="N44" s="38">
        <v>5.0880000000000002E-2</v>
      </c>
      <c r="O44" s="39"/>
      <c r="P44" s="38"/>
      <c r="Q44" s="30"/>
      <c r="R44" s="30"/>
      <c r="S44" s="163"/>
      <c r="T44" s="163"/>
      <c r="U44" s="25"/>
      <c r="V44" s="5"/>
    </row>
    <row r="45" spans="1:22" ht="15.6" x14ac:dyDescent="0.3">
      <c r="A45" s="24"/>
      <c r="B45" s="25" t="s">
        <v>14</v>
      </c>
      <c r="C45" s="25"/>
      <c r="D45" s="110">
        <v>40283</v>
      </c>
      <c r="E45" s="110"/>
      <c r="F45" s="110">
        <v>40283</v>
      </c>
      <c r="G45" s="110"/>
      <c r="H45" s="110">
        <v>40283</v>
      </c>
      <c r="I45" s="110"/>
      <c r="J45" s="110">
        <v>40283</v>
      </c>
      <c r="K45" s="110"/>
      <c r="L45" s="110">
        <v>40283</v>
      </c>
      <c r="M45" s="110"/>
      <c r="N45" s="110">
        <v>40283</v>
      </c>
      <c r="O45" s="110"/>
      <c r="P45" s="110"/>
      <c r="Q45" s="30"/>
      <c r="R45" s="30"/>
      <c r="S45" s="163"/>
      <c r="T45" s="163"/>
      <c r="U45" s="25"/>
      <c r="V45" s="5"/>
    </row>
    <row r="46" spans="1:22" ht="15.6" x14ac:dyDescent="0.3">
      <c r="A46" s="24"/>
      <c r="B46" s="25" t="s">
        <v>15</v>
      </c>
      <c r="C46" s="25"/>
      <c r="D46" s="110">
        <v>40648</v>
      </c>
      <c r="E46" s="110"/>
      <c r="F46" s="110">
        <v>40648</v>
      </c>
      <c r="G46" s="110"/>
      <c r="H46" s="110">
        <v>40648</v>
      </c>
      <c r="I46" s="30"/>
      <c r="J46" s="110">
        <v>40648</v>
      </c>
      <c r="K46" s="30"/>
      <c r="L46" s="110">
        <v>40648</v>
      </c>
      <c r="M46" s="30"/>
      <c r="N46" s="110">
        <v>40648</v>
      </c>
      <c r="O46" s="30"/>
      <c r="P46" s="110"/>
      <c r="Q46" s="30"/>
      <c r="R46" s="30"/>
      <c r="S46" s="163"/>
      <c r="T46" s="163"/>
      <c r="U46" s="25"/>
      <c r="V46" s="5"/>
    </row>
    <row r="47" spans="1:22" ht="15.6" x14ac:dyDescent="0.3">
      <c r="A47" s="24"/>
      <c r="B47" s="25" t="s">
        <v>125</v>
      </c>
      <c r="C47" s="25"/>
      <c r="D47" s="160" t="s">
        <v>124</v>
      </c>
      <c r="E47" s="25"/>
      <c r="F47" s="30" t="s">
        <v>232</v>
      </c>
      <c r="G47" s="30"/>
      <c r="H47" s="30" t="s">
        <v>232</v>
      </c>
      <c r="I47" s="30"/>
      <c r="J47" s="30" t="s">
        <v>234</v>
      </c>
      <c r="K47" s="30"/>
      <c r="L47" s="30" t="s">
        <v>234</v>
      </c>
      <c r="M47" s="30"/>
      <c r="N47" s="30" t="s">
        <v>235</v>
      </c>
      <c r="O47" s="30"/>
      <c r="P47" s="30"/>
      <c r="Q47" s="40"/>
      <c r="R47" s="40"/>
      <c r="S47" s="40"/>
      <c r="T47" s="40"/>
      <c r="U47" s="25"/>
      <c r="V47" s="5"/>
    </row>
    <row r="48" spans="1:22" ht="15.6" x14ac:dyDescent="0.3">
      <c r="A48" s="24"/>
      <c r="B48" s="25" t="s">
        <v>289</v>
      </c>
      <c r="C48" s="25"/>
      <c r="D48" s="30" t="s">
        <v>208</v>
      </c>
      <c r="E48" s="25"/>
      <c r="F48" s="30" t="s">
        <v>232</v>
      </c>
      <c r="G48" s="30"/>
      <c r="H48" s="30" t="s">
        <v>232</v>
      </c>
      <c r="I48" s="30"/>
      <c r="J48" s="30" t="s">
        <v>234</v>
      </c>
      <c r="K48" s="30"/>
      <c r="L48" s="30" t="s">
        <v>245</v>
      </c>
      <c r="M48" s="30"/>
      <c r="N48" s="30" t="s">
        <v>247</v>
      </c>
      <c r="O48" s="30"/>
      <c r="P48" s="30"/>
      <c r="Q48" s="25"/>
      <c r="R48" s="25"/>
      <c r="S48" s="25"/>
      <c r="T48" s="39"/>
      <c r="U48" s="25"/>
      <c r="V48" s="5"/>
    </row>
    <row r="49" spans="1:23" ht="15.6" x14ac:dyDescent="0.3">
      <c r="A49" s="24"/>
      <c r="B49" s="25"/>
      <c r="C49" s="25"/>
      <c r="D49" s="30"/>
      <c r="E49" s="25"/>
      <c r="F49" s="30"/>
      <c r="G49" s="30"/>
      <c r="H49" s="30"/>
      <c r="I49" s="30"/>
      <c r="J49" s="30"/>
      <c r="K49" s="30"/>
      <c r="L49" s="30"/>
      <c r="M49" s="30"/>
      <c r="N49" s="30"/>
      <c r="O49" s="30"/>
      <c r="P49" s="30"/>
      <c r="Q49" s="25"/>
      <c r="R49" s="25"/>
      <c r="S49" s="25"/>
      <c r="T49" s="39" t="s">
        <v>201</v>
      </c>
      <c r="U49" s="25"/>
      <c r="V49" s="5"/>
    </row>
    <row r="50" spans="1:23" ht="15.6" x14ac:dyDescent="0.3">
      <c r="A50" s="24"/>
      <c r="B50" s="25" t="s">
        <v>176</v>
      </c>
      <c r="C50" s="25"/>
      <c r="D50" s="30"/>
      <c r="E50" s="25"/>
      <c r="F50" s="30"/>
      <c r="G50" s="30"/>
      <c r="H50" s="30"/>
      <c r="I50" s="30"/>
      <c r="J50" s="30"/>
      <c r="K50" s="30"/>
      <c r="L50" s="30"/>
      <c r="M50" s="30"/>
      <c r="N50" s="30"/>
      <c r="O50" s="30"/>
      <c r="P50" s="30"/>
      <c r="Q50" s="25"/>
      <c r="R50" s="25"/>
      <c r="S50" s="25"/>
      <c r="T50" s="39">
        <f>SUM(J34:P34)/SUM(D34:H34)</f>
        <v>0.15279804679664968</v>
      </c>
      <c r="U50" s="25"/>
      <c r="V50" s="5"/>
    </row>
    <row r="51" spans="1:23" ht="15.6" x14ac:dyDescent="0.3">
      <c r="A51" s="24"/>
      <c r="B51" s="25" t="s">
        <v>177</v>
      </c>
      <c r="C51" s="25"/>
      <c r="D51" s="25"/>
      <c r="E51" s="25"/>
      <c r="F51" s="41"/>
      <c r="G51" s="25"/>
      <c r="H51" s="25"/>
      <c r="I51" s="25"/>
      <c r="J51" s="25"/>
      <c r="K51" s="25"/>
      <c r="L51" s="25"/>
      <c r="M51" s="25"/>
      <c r="N51" s="25"/>
      <c r="O51" s="25"/>
      <c r="P51" s="25"/>
      <c r="Q51" s="25"/>
      <c r="R51" s="25"/>
      <c r="S51" s="25"/>
      <c r="T51" s="39">
        <f>SUM(J36:P36)/SUM(D36:H36)</f>
        <v>0.15937896358191031</v>
      </c>
      <c r="U51" s="25"/>
      <c r="V51" s="5"/>
    </row>
    <row r="52" spans="1:23" ht="15.6" x14ac:dyDescent="0.3">
      <c r="A52" s="24"/>
      <c r="B52" s="25" t="s">
        <v>178</v>
      </c>
      <c r="C52" s="25"/>
      <c r="D52" s="25"/>
      <c r="E52" s="25"/>
      <c r="F52" s="25"/>
      <c r="G52" s="25"/>
      <c r="H52" s="25"/>
      <c r="I52" s="25"/>
      <c r="J52" s="25"/>
      <c r="K52" s="25"/>
      <c r="L52" s="25"/>
      <c r="M52" s="25"/>
      <c r="N52" s="25"/>
      <c r="O52" s="25"/>
      <c r="P52" s="25"/>
      <c r="Q52" s="25"/>
      <c r="R52" s="30" t="s">
        <v>109</v>
      </c>
      <c r="S52" s="30" t="s">
        <v>115</v>
      </c>
      <c r="T52" s="31">
        <f>+T34/2-SUM(J34:P34)</f>
        <v>367473</v>
      </c>
      <c r="U52" s="25"/>
      <c r="V52" s="5"/>
    </row>
    <row r="53" spans="1:23" ht="15.6" x14ac:dyDescent="0.3">
      <c r="A53" s="24"/>
      <c r="B53" s="25"/>
      <c r="C53" s="25"/>
      <c r="D53" s="25"/>
      <c r="E53" s="25"/>
      <c r="F53" s="25"/>
      <c r="G53" s="25"/>
      <c r="H53" s="25"/>
      <c r="I53" s="25"/>
      <c r="J53" s="25"/>
      <c r="K53" s="25"/>
      <c r="L53" s="25"/>
      <c r="M53" s="25"/>
      <c r="N53" s="25"/>
      <c r="O53" s="25"/>
      <c r="P53" s="25"/>
      <c r="Q53" s="25"/>
      <c r="R53" s="25"/>
      <c r="S53" s="25"/>
      <c r="T53" s="42"/>
      <c r="U53" s="25"/>
      <c r="V53" s="5"/>
    </row>
    <row r="54" spans="1:23" ht="15.6" x14ac:dyDescent="0.3">
      <c r="A54" s="24"/>
      <c r="B54" s="25" t="s">
        <v>211</v>
      </c>
      <c r="C54" s="25"/>
      <c r="D54" s="25"/>
      <c r="E54" s="25"/>
      <c r="F54" s="25"/>
      <c r="G54" s="25"/>
      <c r="H54" s="25"/>
      <c r="I54" s="25"/>
      <c r="J54" s="25"/>
      <c r="K54" s="25"/>
      <c r="L54" s="25"/>
      <c r="M54" s="25"/>
      <c r="N54" s="25"/>
      <c r="O54" s="25"/>
      <c r="P54" s="25"/>
      <c r="Q54" s="25"/>
      <c r="R54" s="25"/>
      <c r="S54" s="25"/>
      <c r="T54" s="156" t="s">
        <v>212</v>
      </c>
      <c r="U54" s="25"/>
      <c r="V54" s="5"/>
    </row>
    <row r="55" spans="1:23" ht="15.6" x14ac:dyDescent="0.3">
      <c r="A55" s="24"/>
      <c r="B55" s="25" t="s">
        <v>253</v>
      </c>
      <c r="C55" s="25"/>
      <c r="D55" s="25"/>
      <c r="E55" s="25"/>
      <c r="F55" s="25"/>
      <c r="G55" s="25"/>
      <c r="H55" s="25"/>
      <c r="I55" s="25"/>
      <c r="J55" s="25"/>
      <c r="K55" s="25"/>
      <c r="L55" s="25"/>
      <c r="M55" s="25"/>
      <c r="N55" s="25"/>
      <c r="O55" s="25"/>
      <c r="P55" s="25"/>
      <c r="Q55" s="25"/>
      <c r="R55" s="30"/>
      <c r="S55" s="30"/>
      <c r="T55" s="157" t="s">
        <v>117</v>
      </c>
      <c r="U55" s="25"/>
      <c r="V55" s="5"/>
    </row>
    <row r="56" spans="1:23" ht="15.6" x14ac:dyDescent="0.3">
      <c r="A56" s="24"/>
      <c r="B56" s="29" t="s">
        <v>210</v>
      </c>
      <c r="C56" s="29"/>
      <c r="D56" s="29"/>
      <c r="E56" s="29"/>
      <c r="F56" s="29"/>
      <c r="G56" s="29"/>
      <c r="H56" s="29"/>
      <c r="I56" s="29"/>
      <c r="J56" s="29"/>
      <c r="K56" s="29"/>
      <c r="L56" s="29"/>
      <c r="M56" s="29"/>
      <c r="N56" s="29"/>
      <c r="O56" s="29"/>
      <c r="P56" s="29"/>
      <c r="Q56" s="29"/>
      <c r="R56" s="43"/>
      <c r="S56" s="43"/>
      <c r="T56" s="44">
        <v>39006</v>
      </c>
      <c r="U56" s="25"/>
      <c r="V56" s="5"/>
    </row>
    <row r="57" spans="1:23" ht="15.6" x14ac:dyDescent="0.3">
      <c r="A57" s="24"/>
      <c r="B57" s="25" t="s">
        <v>127</v>
      </c>
      <c r="C57" s="25"/>
      <c r="D57" s="25"/>
      <c r="E57" s="25"/>
      <c r="F57" s="25"/>
      <c r="G57" s="25"/>
      <c r="H57" s="58"/>
      <c r="I57" s="58"/>
      <c r="J57" s="58"/>
      <c r="K57" s="58"/>
      <c r="L57" s="58"/>
      <c r="M57" s="58"/>
      <c r="N57" s="58"/>
      <c r="O57" s="58"/>
      <c r="P57" s="25">
        <f>+T57-R57+1</f>
        <v>116</v>
      </c>
      <c r="Q57" s="58"/>
      <c r="R57" s="45">
        <v>38799</v>
      </c>
      <c r="S57" s="46"/>
      <c r="T57" s="45">
        <v>38914</v>
      </c>
      <c r="U57" s="25"/>
      <c r="V57" s="5"/>
    </row>
    <row r="58" spans="1:23" ht="15.6" x14ac:dyDescent="0.3">
      <c r="A58" s="24"/>
      <c r="B58" s="25" t="s">
        <v>128</v>
      </c>
      <c r="C58" s="25"/>
      <c r="D58" s="25"/>
      <c r="E58" s="25"/>
      <c r="F58" s="25"/>
      <c r="G58" s="25"/>
      <c r="H58" s="25"/>
      <c r="I58" s="25"/>
      <c r="J58" s="25"/>
      <c r="K58" s="25"/>
      <c r="L58" s="25"/>
      <c r="M58" s="25"/>
      <c r="N58" s="25"/>
      <c r="O58" s="25"/>
      <c r="P58" s="25">
        <f>+T58-R58+1</f>
        <v>91</v>
      </c>
      <c r="Q58" s="25"/>
      <c r="R58" s="45">
        <v>38915</v>
      </c>
      <c r="S58" s="46"/>
      <c r="T58" s="45">
        <v>39005</v>
      </c>
      <c r="U58" s="25"/>
      <c r="V58" s="5"/>
    </row>
    <row r="59" spans="1:23" ht="15.6" x14ac:dyDescent="0.3">
      <c r="A59" s="24"/>
      <c r="B59" s="25" t="s">
        <v>209</v>
      </c>
      <c r="C59" s="25"/>
      <c r="D59" s="25"/>
      <c r="E59" s="25"/>
      <c r="F59" s="25"/>
      <c r="G59" s="25"/>
      <c r="H59" s="25"/>
      <c r="I59" s="25"/>
      <c r="J59" s="25"/>
      <c r="K59" s="25"/>
      <c r="L59" s="25"/>
      <c r="M59" s="25"/>
      <c r="N59" s="25"/>
      <c r="O59" s="25"/>
      <c r="P59" s="25"/>
      <c r="Q59" s="25"/>
      <c r="R59" s="45"/>
      <c r="S59" s="46"/>
      <c r="T59" s="45" t="s">
        <v>126</v>
      </c>
      <c r="U59" s="25"/>
      <c r="V59" s="5"/>
    </row>
    <row r="60" spans="1:23" ht="15.6" x14ac:dyDescent="0.3">
      <c r="A60" s="24"/>
      <c r="B60" s="25" t="s">
        <v>249</v>
      </c>
      <c r="C60" s="25"/>
      <c r="D60" s="25"/>
      <c r="E60" s="25"/>
      <c r="F60" s="25"/>
      <c r="G60" s="25"/>
      <c r="H60" s="25"/>
      <c r="I60" s="25"/>
      <c r="J60" s="25"/>
      <c r="K60" s="25"/>
      <c r="L60" s="25"/>
      <c r="M60" s="25"/>
      <c r="N60" s="25"/>
      <c r="O60" s="25"/>
      <c r="P60" s="25"/>
      <c r="Q60" s="25"/>
      <c r="R60" s="45"/>
      <c r="S60" s="46"/>
      <c r="T60" s="45" t="s">
        <v>160</v>
      </c>
      <c r="U60" s="25"/>
      <c r="V60" s="5"/>
      <c r="W60" s="134"/>
    </row>
    <row r="61" spans="1:23" ht="15.6" x14ac:dyDescent="0.3">
      <c r="A61" s="24"/>
      <c r="B61" s="25" t="s">
        <v>16</v>
      </c>
      <c r="C61" s="25"/>
      <c r="D61" s="25"/>
      <c r="E61" s="25"/>
      <c r="F61" s="25"/>
      <c r="G61" s="25"/>
      <c r="H61" s="25"/>
      <c r="I61" s="25"/>
      <c r="J61" s="25"/>
      <c r="K61" s="25"/>
      <c r="L61" s="25"/>
      <c r="M61" s="25"/>
      <c r="N61" s="25"/>
      <c r="O61" s="25"/>
      <c r="P61" s="25"/>
      <c r="Q61" s="25"/>
      <c r="R61" s="45"/>
      <c r="S61" s="46"/>
      <c r="T61" s="45">
        <v>38992</v>
      </c>
      <c r="U61" s="25"/>
      <c r="V61" s="5"/>
    </row>
    <row r="62" spans="1:23" ht="15.6" x14ac:dyDescent="0.3">
      <c r="A62" s="24"/>
      <c r="B62" s="25"/>
      <c r="C62" s="25"/>
      <c r="D62" s="25"/>
      <c r="E62" s="25"/>
      <c r="F62" s="25"/>
      <c r="G62" s="25"/>
      <c r="H62" s="25"/>
      <c r="I62" s="25"/>
      <c r="J62" s="25"/>
      <c r="K62" s="25"/>
      <c r="L62" s="25"/>
      <c r="M62" s="25"/>
      <c r="N62" s="25"/>
      <c r="O62" s="25"/>
      <c r="P62" s="25"/>
      <c r="Q62" s="25"/>
      <c r="R62" s="45"/>
      <c r="S62" s="46"/>
      <c r="T62" s="45"/>
      <c r="U62" s="25"/>
      <c r="V62" s="5"/>
    </row>
    <row r="63" spans="1:23" ht="15.6" x14ac:dyDescent="0.3">
      <c r="A63" s="6"/>
      <c r="B63" s="8"/>
      <c r="C63" s="8"/>
      <c r="D63" s="8"/>
      <c r="E63" s="8"/>
      <c r="F63" s="8"/>
      <c r="G63" s="8"/>
      <c r="H63" s="8"/>
      <c r="I63" s="8"/>
      <c r="J63" s="8"/>
      <c r="K63" s="8"/>
      <c r="L63" s="8"/>
      <c r="M63" s="8"/>
      <c r="N63" s="8"/>
      <c r="O63" s="8"/>
      <c r="P63" s="8"/>
      <c r="Q63" s="8"/>
      <c r="R63" s="47"/>
      <c r="S63" s="48"/>
      <c r="T63" s="47"/>
      <c r="U63" s="8"/>
      <c r="V63" s="5"/>
    </row>
    <row r="64" spans="1:23" ht="18" thickBot="1" x14ac:dyDescent="0.35">
      <c r="A64" s="101"/>
      <c r="B64" s="102" t="s">
        <v>258</v>
      </c>
      <c r="C64" s="103"/>
      <c r="D64" s="103"/>
      <c r="E64" s="103"/>
      <c r="F64" s="103"/>
      <c r="G64" s="103"/>
      <c r="H64" s="103"/>
      <c r="I64" s="103"/>
      <c r="J64" s="103"/>
      <c r="K64" s="103"/>
      <c r="L64" s="103"/>
      <c r="M64" s="103"/>
      <c r="N64" s="103"/>
      <c r="O64" s="103"/>
      <c r="P64" s="103"/>
      <c r="Q64" s="103"/>
      <c r="R64" s="103"/>
      <c r="S64" s="103"/>
      <c r="T64" s="104"/>
      <c r="U64" s="105"/>
      <c r="V64" s="5"/>
    </row>
    <row r="65" spans="1:22" ht="15.6" x14ac:dyDescent="0.3">
      <c r="A65" s="2"/>
      <c r="B65" s="4"/>
      <c r="C65" s="4"/>
      <c r="D65" s="4"/>
      <c r="E65" s="4"/>
      <c r="F65" s="4"/>
      <c r="G65" s="4"/>
      <c r="H65" s="4"/>
      <c r="I65" s="4"/>
      <c r="J65" s="4"/>
      <c r="K65" s="4"/>
      <c r="L65" s="4"/>
      <c r="M65" s="4"/>
      <c r="N65" s="4"/>
      <c r="O65" s="4"/>
      <c r="P65" s="4"/>
      <c r="Q65" s="4"/>
      <c r="R65" s="4"/>
      <c r="S65" s="4"/>
      <c r="T65" s="50"/>
      <c r="U65" s="4"/>
      <c r="V65" s="5"/>
    </row>
    <row r="66" spans="1:22" ht="15.6" x14ac:dyDescent="0.3">
      <c r="A66" s="6"/>
      <c r="B66" s="51" t="s">
        <v>17</v>
      </c>
      <c r="C66" s="8"/>
      <c r="D66" s="8"/>
      <c r="E66" s="8"/>
      <c r="F66" s="8"/>
      <c r="G66" s="8"/>
      <c r="H66" s="8"/>
      <c r="I66" s="8"/>
      <c r="J66" s="8"/>
      <c r="K66" s="8"/>
      <c r="L66" s="8"/>
      <c r="M66" s="8"/>
      <c r="N66" s="8"/>
      <c r="O66" s="8"/>
      <c r="P66" s="8"/>
      <c r="Q66" s="8"/>
      <c r="R66" s="8"/>
      <c r="S66" s="8"/>
      <c r="T66" s="52"/>
      <c r="U66" s="8"/>
      <c r="V66" s="5"/>
    </row>
    <row r="67" spans="1:22" ht="15.6" x14ac:dyDescent="0.3">
      <c r="A67" s="6"/>
      <c r="B67" s="13"/>
      <c r="C67" s="8"/>
      <c r="D67" s="8"/>
      <c r="E67" s="8"/>
      <c r="F67" s="8"/>
      <c r="G67" s="8"/>
      <c r="H67" s="8"/>
      <c r="I67" s="8"/>
      <c r="J67" s="8"/>
      <c r="K67" s="8"/>
      <c r="L67" s="8"/>
      <c r="M67" s="8"/>
      <c r="N67" s="8"/>
      <c r="O67" s="8"/>
      <c r="P67" s="8"/>
      <c r="Q67" s="8"/>
      <c r="R67" s="8"/>
      <c r="S67" s="8"/>
      <c r="T67" s="52"/>
      <c r="U67" s="8"/>
      <c r="V67" s="5"/>
    </row>
    <row r="68" spans="1:22" ht="46.8" x14ac:dyDescent="0.3">
      <c r="A68" s="6"/>
      <c r="B68" s="114" t="s">
        <v>18</v>
      </c>
      <c r="C68" s="115"/>
      <c r="D68" s="115"/>
      <c r="E68" s="115"/>
      <c r="F68" s="115"/>
      <c r="G68" s="115"/>
      <c r="H68" s="115"/>
      <c r="I68" s="115"/>
      <c r="J68" s="115" t="s">
        <v>97</v>
      </c>
      <c r="K68" s="115"/>
      <c r="L68" s="115" t="s">
        <v>99</v>
      </c>
      <c r="M68" s="115"/>
      <c r="N68" s="115" t="s">
        <v>101</v>
      </c>
      <c r="O68" s="115"/>
      <c r="P68" s="115" t="s">
        <v>103</v>
      </c>
      <c r="Q68" s="115"/>
      <c r="R68" s="115" t="s">
        <v>110</v>
      </c>
      <c r="S68" s="115"/>
      <c r="T68" s="116" t="s">
        <v>118</v>
      </c>
      <c r="U68" s="117"/>
      <c r="V68" s="5"/>
    </row>
    <row r="69" spans="1:22" ht="15.6" x14ac:dyDescent="0.3">
      <c r="A69" s="24"/>
      <c r="B69" s="25" t="s">
        <v>19</v>
      </c>
      <c r="C69" s="34"/>
      <c r="D69" s="34"/>
      <c r="E69" s="34"/>
      <c r="F69" s="34"/>
      <c r="G69" s="34"/>
      <c r="H69" s="34"/>
      <c r="I69" s="34"/>
      <c r="J69" s="34">
        <v>1000039</v>
      </c>
      <c r="K69" s="34"/>
      <c r="L69" s="53">
        <v>981243</v>
      </c>
      <c r="M69" s="34"/>
      <c r="N69" s="34">
        <f>17012+5023+1299+1</f>
        <v>23335</v>
      </c>
      <c r="O69" s="34"/>
      <c r="P69" s="34">
        <f>5023+1299</f>
        <v>6322</v>
      </c>
      <c r="Q69" s="34"/>
      <c r="R69" s="34">
        <v>0</v>
      </c>
      <c r="S69" s="34"/>
      <c r="T69" s="53">
        <f>+L69-N69+P69-R69</f>
        <v>964230</v>
      </c>
      <c r="U69" s="25"/>
      <c r="V69" s="5"/>
    </row>
    <row r="70" spans="1:22" ht="15.6" x14ac:dyDescent="0.3">
      <c r="A70" s="24"/>
      <c r="B70" s="25" t="s">
        <v>20</v>
      </c>
      <c r="C70" s="34"/>
      <c r="D70" s="34"/>
      <c r="E70" s="34"/>
      <c r="F70" s="34"/>
      <c r="G70" s="34"/>
      <c r="H70" s="34"/>
      <c r="I70" s="34"/>
      <c r="J70" s="34">
        <v>10</v>
      </c>
      <c r="K70" s="34"/>
      <c r="L70" s="53">
        <v>0</v>
      </c>
      <c r="M70" s="34"/>
      <c r="N70" s="34">
        <v>0</v>
      </c>
      <c r="O70" s="34"/>
      <c r="P70" s="34">
        <v>0</v>
      </c>
      <c r="Q70" s="34"/>
      <c r="R70" s="34">
        <v>0</v>
      </c>
      <c r="S70" s="34"/>
      <c r="T70" s="53">
        <v>0</v>
      </c>
      <c r="U70" s="25"/>
      <c r="V70" s="5"/>
    </row>
    <row r="71" spans="1:22" ht="15.6" x14ac:dyDescent="0.3">
      <c r="A71" s="24"/>
      <c r="B71" s="25"/>
      <c r="C71" s="34"/>
      <c r="D71" s="34"/>
      <c r="E71" s="34"/>
      <c r="F71" s="34"/>
      <c r="G71" s="34"/>
      <c r="H71" s="34"/>
      <c r="I71" s="34"/>
      <c r="J71" s="34"/>
      <c r="K71" s="34"/>
      <c r="L71" s="53"/>
      <c r="M71" s="34"/>
      <c r="N71" s="34"/>
      <c r="O71" s="34"/>
      <c r="P71" s="34"/>
      <c r="Q71" s="34"/>
      <c r="R71" s="34"/>
      <c r="S71" s="34"/>
      <c r="T71" s="53"/>
      <c r="U71" s="25"/>
      <c r="V71" s="5"/>
    </row>
    <row r="72" spans="1:22" ht="15.6" x14ac:dyDescent="0.3">
      <c r="A72" s="24"/>
      <c r="B72" s="25" t="s">
        <v>21</v>
      </c>
      <c r="C72" s="34"/>
      <c r="D72" s="34"/>
      <c r="E72" s="34"/>
      <c r="F72" s="34"/>
      <c r="G72" s="34"/>
      <c r="H72" s="34"/>
      <c r="I72" s="34"/>
      <c r="J72" s="34">
        <f>SUM(J69:J71)</f>
        <v>1000049</v>
      </c>
      <c r="K72" s="34"/>
      <c r="L72" s="54">
        <f>L69+L70</f>
        <v>981243</v>
      </c>
      <c r="M72" s="34"/>
      <c r="N72" s="34">
        <f>SUM(N69:N71)</f>
        <v>23335</v>
      </c>
      <c r="O72" s="34"/>
      <c r="P72" s="34">
        <f>SUM(P69:P71)</f>
        <v>6322</v>
      </c>
      <c r="Q72" s="34"/>
      <c r="R72" s="34">
        <f>SUM(R69:R71)</f>
        <v>0</v>
      </c>
      <c r="S72" s="34"/>
      <c r="T72" s="54">
        <f>SUM(T69:T71)</f>
        <v>964230</v>
      </c>
      <c r="U72" s="25"/>
      <c r="V72" s="5"/>
    </row>
    <row r="73" spans="1:22" ht="15.6" x14ac:dyDescent="0.3">
      <c r="A73" s="24"/>
      <c r="B73" s="25"/>
      <c r="C73" s="34"/>
      <c r="D73" s="34"/>
      <c r="E73" s="34"/>
      <c r="F73" s="34"/>
      <c r="G73" s="34"/>
      <c r="H73" s="34"/>
      <c r="I73" s="34"/>
      <c r="J73" s="34"/>
      <c r="K73" s="34"/>
      <c r="L73" s="34"/>
      <c r="M73" s="34"/>
      <c r="N73" s="34"/>
      <c r="O73" s="34"/>
      <c r="P73" s="34"/>
      <c r="Q73" s="34"/>
      <c r="R73" s="34"/>
      <c r="S73" s="34"/>
      <c r="T73" s="54"/>
      <c r="U73" s="25"/>
      <c r="V73" s="5"/>
    </row>
    <row r="74" spans="1:22" ht="15.6" x14ac:dyDescent="0.3">
      <c r="A74" s="6"/>
      <c r="B74" s="111" t="s">
        <v>22</v>
      </c>
      <c r="C74" s="55"/>
      <c r="D74" s="55"/>
      <c r="E74" s="55"/>
      <c r="F74" s="55"/>
      <c r="G74" s="55"/>
      <c r="H74" s="55"/>
      <c r="I74" s="55"/>
      <c r="J74" s="55"/>
      <c r="K74" s="55"/>
      <c r="L74" s="55"/>
      <c r="M74" s="55"/>
      <c r="N74" s="55"/>
      <c r="O74" s="55"/>
      <c r="P74" s="55"/>
      <c r="Q74" s="55"/>
      <c r="R74" s="55"/>
      <c r="S74" s="55"/>
      <c r="T74" s="56"/>
      <c r="U74" s="8"/>
      <c r="V74" s="5"/>
    </row>
    <row r="75" spans="1:22" ht="15.6" x14ac:dyDescent="0.3">
      <c r="A75" s="6"/>
      <c r="B75" s="8"/>
      <c r="C75" s="55"/>
      <c r="D75" s="55"/>
      <c r="E75" s="55"/>
      <c r="F75" s="55"/>
      <c r="G75" s="55"/>
      <c r="H75" s="55"/>
      <c r="I75" s="55"/>
      <c r="J75" s="55"/>
      <c r="K75" s="55"/>
      <c r="L75" s="55"/>
      <c r="M75" s="55"/>
      <c r="N75" s="55"/>
      <c r="O75" s="55"/>
      <c r="P75" s="55"/>
      <c r="Q75" s="55"/>
      <c r="R75" s="55"/>
      <c r="S75" s="55"/>
      <c r="T75" s="56"/>
      <c r="U75" s="8"/>
      <c r="V75" s="5"/>
    </row>
    <row r="76" spans="1:22" ht="15.6" x14ac:dyDescent="0.3">
      <c r="A76" s="24"/>
      <c r="B76" s="25" t="s">
        <v>19</v>
      </c>
      <c r="C76" s="34"/>
      <c r="D76" s="34"/>
      <c r="E76" s="34"/>
      <c r="F76" s="34"/>
      <c r="G76" s="34"/>
      <c r="H76" s="34"/>
      <c r="I76" s="34"/>
      <c r="J76" s="34"/>
      <c r="K76" s="34"/>
      <c r="L76" s="34"/>
      <c r="M76" s="34"/>
      <c r="N76" s="34"/>
      <c r="O76" s="34"/>
      <c r="P76" s="34"/>
      <c r="Q76" s="34"/>
      <c r="R76" s="34"/>
      <c r="S76" s="34"/>
      <c r="T76" s="54"/>
      <c r="U76" s="25"/>
      <c r="V76" s="5"/>
    </row>
    <row r="77" spans="1:22" ht="15.6" x14ac:dyDescent="0.3">
      <c r="A77" s="24"/>
      <c r="B77" s="25" t="s">
        <v>20</v>
      </c>
      <c r="C77" s="34"/>
      <c r="D77" s="34"/>
      <c r="E77" s="34"/>
      <c r="F77" s="34"/>
      <c r="G77" s="34"/>
      <c r="H77" s="34"/>
      <c r="I77" s="34"/>
      <c r="J77" s="34"/>
      <c r="K77" s="34"/>
      <c r="L77" s="34"/>
      <c r="M77" s="34"/>
      <c r="N77" s="34"/>
      <c r="O77" s="34"/>
      <c r="P77" s="34"/>
      <c r="Q77" s="34"/>
      <c r="R77" s="34"/>
      <c r="S77" s="34"/>
      <c r="T77" s="54"/>
      <c r="U77" s="25"/>
      <c r="V77" s="5"/>
    </row>
    <row r="78" spans="1:22" ht="15.6" x14ac:dyDescent="0.3">
      <c r="A78" s="24"/>
      <c r="B78" s="25"/>
      <c r="C78" s="34"/>
      <c r="D78" s="34"/>
      <c r="E78" s="34"/>
      <c r="F78" s="34"/>
      <c r="G78" s="34"/>
      <c r="H78" s="34"/>
      <c r="I78" s="34"/>
      <c r="J78" s="34"/>
      <c r="K78" s="34"/>
      <c r="L78" s="34"/>
      <c r="M78" s="34"/>
      <c r="N78" s="34"/>
      <c r="O78" s="34"/>
      <c r="P78" s="34"/>
      <c r="Q78" s="34"/>
      <c r="R78" s="34"/>
      <c r="S78" s="34"/>
      <c r="T78" s="54"/>
      <c r="U78" s="25"/>
      <c r="V78" s="5"/>
    </row>
    <row r="79" spans="1:22" ht="15.6" x14ac:dyDescent="0.3">
      <c r="A79" s="24"/>
      <c r="B79" s="25" t="s">
        <v>21</v>
      </c>
      <c r="C79" s="34"/>
      <c r="D79" s="34"/>
      <c r="E79" s="34"/>
      <c r="F79" s="34"/>
      <c r="G79" s="34"/>
      <c r="H79" s="34"/>
      <c r="I79" s="34"/>
      <c r="J79" s="34"/>
      <c r="K79" s="34"/>
      <c r="L79" s="34"/>
      <c r="M79" s="34"/>
      <c r="N79" s="34"/>
      <c r="O79" s="34"/>
      <c r="P79" s="34"/>
      <c r="Q79" s="34"/>
      <c r="R79" s="34"/>
      <c r="S79" s="34"/>
      <c r="T79" s="34"/>
      <c r="U79" s="25"/>
      <c r="V79" s="5"/>
    </row>
    <row r="80" spans="1:22" ht="15.6" x14ac:dyDescent="0.3">
      <c r="A80" s="24"/>
      <c r="B80" s="25"/>
      <c r="C80" s="34"/>
      <c r="D80" s="34"/>
      <c r="E80" s="34"/>
      <c r="F80" s="34"/>
      <c r="G80" s="34"/>
      <c r="H80" s="34"/>
      <c r="I80" s="34"/>
      <c r="J80" s="34"/>
      <c r="K80" s="34"/>
      <c r="L80" s="34"/>
      <c r="M80" s="34"/>
      <c r="N80" s="34"/>
      <c r="O80" s="34"/>
      <c r="P80" s="34"/>
      <c r="Q80" s="34"/>
      <c r="R80" s="34"/>
      <c r="S80" s="34"/>
      <c r="T80" s="34"/>
      <c r="U80" s="25"/>
      <c r="V80" s="5"/>
    </row>
    <row r="81" spans="1:22" ht="15.6" x14ac:dyDescent="0.3">
      <c r="A81" s="24"/>
      <c r="B81" s="25" t="s">
        <v>23</v>
      </c>
      <c r="C81" s="34"/>
      <c r="D81" s="34"/>
      <c r="E81" s="34"/>
      <c r="F81" s="34"/>
      <c r="G81" s="34"/>
      <c r="H81" s="34"/>
      <c r="I81" s="34"/>
      <c r="J81" s="34">
        <v>0</v>
      </c>
      <c r="K81" s="34"/>
      <c r="L81" s="34">
        <v>0</v>
      </c>
      <c r="M81" s="34"/>
      <c r="N81" s="34"/>
      <c r="O81" s="34"/>
      <c r="P81" s="34"/>
      <c r="Q81" s="34"/>
      <c r="R81" s="34"/>
      <c r="S81" s="34"/>
      <c r="T81" s="53">
        <v>0</v>
      </c>
      <c r="U81" s="25"/>
      <c r="V81" s="5"/>
    </row>
    <row r="82" spans="1:22" ht="15.6" x14ac:dyDescent="0.3">
      <c r="A82" s="24"/>
      <c r="B82" s="25" t="s">
        <v>123</v>
      </c>
      <c r="C82" s="34"/>
      <c r="D82" s="34"/>
      <c r="E82" s="34"/>
      <c r="F82" s="34"/>
      <c r="G82" s="34"/>
      <c r="H82" s="34"/>
      <c r="I82" s="34"/>
      <c r="J82" s="34">
        <v>0</v>
      </c>
      <c r="K82" s="34"/>
      <c r="L82" s="34">
        <v>0</v>
      </c>
      <c r="M82" s="34"/>
      <c r="N82" s="34"/>
      <c r="O82" s="34"/>
      <c r="P82" s="34"/>
      <c r="Q82" s="34"/>
      <c r="R82" s="34"/>
      <c r="S82" s="34"/>
      <c r="T82" s="54">
        <f>SUM(J82:P82)</f>
        <v>0</v>
      </c>
      <c r="U82" s="25"/>
      <c r="V82" s="5"/>
    </row>
    <row r="83" spans="1:22" ht="15.6" x14ac:dyDescent="0.3">
      <c r="A83" s="24"/>
      <c r="B83" s="25" t="s">
        <v>152</v>
      </c>
      <c r="C83" s="34"/>
      <c r="D83" s="34"/>
      <c r="E83" s="34"/>
      <c r="F83" s="34"/>
      <c r="G83" s="34"/>
      <c r="H83" s="34"/>
      <c r="I83" s="34"/>
      <c r="J83" s="34">
        <v>1</v>
      </c>
      <c r="K83" s="34"/>
      <c r="L83" s="34">
        <v>0</v>
      </c>
      <c r="M83" s="34"/>
      <c r="N83" s="34">
        <v>0</v>
      </c>
      <c r="O83" s="34"/>
      <c r="P83" s="34"/>
      <c r="Q83" s="34"/>
      <c r="R83" s="34"/>
      <c r="S83" s="34"/>
      <c r="T83" s="54">
        <f>+L83+N83</f>
        <v>0</v>
      </c>
      <c r="U83" s="25"/>
      <c r="V83" s="5"/>
    </row>
    <row r="84" spans="1:22" ht="15.6" x14ac:dyDescent="0.3">
      <c r="A84" s="24"/>
      <c r="B84" s="25" t="s">
        <v>25</v>
      </c>
      <c r="C84" s="34"/>
      <c r="D84" s="34"/>
      <c r="E84" s="34"/>
      <c r="F84" s="34"/>
      <c r="G84" s="34"/>
      <c r="H84" s="34"/>
      <c r="I84" s="34"/>
      <c r="J84" s="34">
        <v>0</v>
      </c>
      <c r="K84" s="34"/>
      <c r="L84" s="34">
        <v>0</v>
      </c>
      <c r="M84" s="34"/>
      <c r="N84" s="34"/>
      <c r="O84" s="34"/>
      <c r="P84" s="34"/>
      <c r="Q84" s="34"/>
      <c r="R84" s="34"/>
      <c r="S84" s="34"/>
      <c r="T84" s="54">
        <v>0</v>
      </c>
      <c r="U84" s="25"/>
      <c r="V84" s="5"/>
    </row>
    <row r="85" spans="1:22" ht="15.6" x14ac:dyDescent="0.3">
      <c r="A85" s="24"/>
      <c r="B85" s="25" t="s">
        <v>26</v>
      </c>
      <c r="C85" s="34"/>
      <c r="D85" s="34"/>
      <c r="E85" s="34"/>
      <c r="F85" s="54"/>
      <c r="G85" s="34"/>
      <c r="H85" s="54"/>
      <c r="I85" s="54"/>
      <c r="J85" s="54">
        <f>SUM(J72:J84)</f>
        <v>1000050</v>
      </c>
      <c r="K85" s="34"/>
      <c r="L85" s="54">
        <f>SUM(L72:L84)</f>
        <v>981243</v>
      </c>
      <c r="M85" s="34"/>
      <c r="N85" s="34"/>
      <c r="O85" s="34"/>
      <c r="P85" s="34"/>
      <c r="Q85" s="34"/>
      <c r="R85" s="54"/>
      <c r="S85" s="34"/>
      <c r="T85" s="54">
        <f>SUM(T72:T84)</f>
        <v>964230</v>
      </c>
      <c r="U85" s="25"/>
      <c r="V85" s="5"/>
    </row>
    <row r="86" spans="1:22" ht="15.6" x14ac:dyDescent="0.3">
      <c r="A86" s="24"/>
      <c r="B86" s="25"/>
      <c r="C86" s="34"/>
      <c r="D86" s="34"/>
      <c r="E86" s="34"/>
      <c r="F86" s="34"/>
      <c r="G86" s="34"/>
      <c r="H86" s="34"/>
      <c r="I86" s="34"/>
      <c r="J86" s="34"/>
      <c r="K86" s="34"/>
      <c r="L86" s="34"/>
      <c r="M86" s="34"/>
      <c r="N86" s="34"/>
      <c r="O86" s="34"/>
      <c r="P86" s="34"/>
      <c r="Q86" s="34"/>
      <c r="R86" s="34"/>
      <c r="S86" s="34"/>
      <c r="T86" s="54"/>
      <c r="U86" s="25"/>
      <c r="V86" s="5"/>
    </row>
    <row r="87" spans="1:22" ht="15.6" x14ac:dyDescent="0.3">
      <c r="A87" s="6"/>
      <c r="B87" s="8"/>
      <c r="C87" s="8"/>
      <c r="D87" s="8"/>
      <c r="E87" s="8"/>
      <c r="F87" s="8"/>
      <c r="G87" s="8"/>
      <c r="H87" s="8"/>
      <c r="I87" s="8"/>
      <c r="J87" s="8"/>
      <c r="K87" s="8"/>
      <c r="L87" s="8"/>
      <c r="M87" s="8"/>
      <c r="N87" s="8"/>
      <c r="O87" s="8"/>
      <c r="P87" s="8"/>
      <c r="Q87" s="8"/>
      <c r="R87" s="8"/>
      <c r="S87" s="8"/>
      <c r="T87" s="8"/>
      <c r="U87" s="8"/>
      <c r="V87" s="5"/>
    </row>
    <row r="88" spans="1:22" ht="15.6" x14ac:dyDescent="0.3">
      <c r="A88" s="6"/>
      <c r="B88" s="51" t="s">
        <v>27</v>
      </c>
      <c r="C88" s="14"/>
      <c r="D88" s="14"/>
      <c r="E88" s="14"/>
      <c r="F88" s="14"/>
      <c r="G88" s="14"/>
      <c r="H88" s="17"/>
      <c r="I88" s="17"/>
      <c r="J88" s="159" t="s">
        <v>98</v>
      </c>
      <c r="K88" s="17"/>
      <c r="L88" s="158">
        <f>+R191</f>
        <v>38989</v>
      </c>
      <c r="M88" s="17"/>
      <c r="N88" s="17"/>
      <c r="O88" s="17"/>
      <c r="P88" s="17"/>
      <c r="Q88" s="17"/>
      <c r="R88" s="17" t="s">
        <v>111</v>
      </c>
      <c r="S88" s="17"/>
      <c r="T88" s="17" t="s">
        <v>119</v>
      </c>
      <c r="U88" s="8"/>
      <c r="V88" s="5"/>
    </row>
    <row r="89" spans="1:22" ht="15.6" x14ac:dyDescent="0.3">
      <c r="A89" s="24"/>
      <c r="B89" s="25" t="s">
        <v>28</v>
      </c>
      <c r="C89" s="25"/>
      <c r="D89" s="25"/>
      <c r="E89" s="25"/>
      <c r="F89" s="25"/>
      <c r="G89" s="25"/>
      <c r="H89" s="25"/>
      <c r="I89" s="25"/>
      <c r="J89" s="25"/>
      <c r="K89" s="25"/>
      <c r="L89" s="25"/>
      <c r="M89" s="25"/>
      <c r="N89" s="25"/>
      <c r="O89" s="25"/>
      <c r="P89" s="25"/>
      <c r="Q89" s="25"/>
      <c r="R89" s="34">
        <v>0</v>
      </c>
      <c r="S89" s="25"/>
      <c r="T89" s="53">
        <v>0</v>
      </c>
      <c r="U89" s="25"/>
      <c r="V89" s="5"/>
    </row>
    <row r="90" spans="1:22" ht="15.6" x14ac:dyDescent="0.3">
      <c r="A90" s="24"/>
      <c r="B90" s="25" t="s">
        <v>29</v>
      </c>
      <c r="C90" s="25"/>
      <c r="D90" s="25"/>
      <c r="E90" s="25"/>
      <c r="F90" s="25"/>
      <c r="G90" s="25"/>
      <c r="H90" s="40"/>
      <c r="I90" s="57"/>
      <c r="J90" s="40"/>
      <c r="K90" s="25"/>
      <c r="L90" s="127"/>
      <c r="M90" s="25"/>
      <c r="N90" s="25"/>
      <c r="O90" s="25"/>
      <c r="P90" s="25"/>
      <c r="Q90" s="25"/>
      <c r="R90" s="34">
        <v>23335</v>
      </c>
      <c r="S90" s="25"/>
      <c r="T90" s="53"/>
      <c r="U90" s="25"/>
      <c r="V90" s="5"/>
    </row>
    <row r="91" spans="1:22" ht="15.6" x14ac:dyDescent="0.3">
      <c r="A91" s="24"/>
      <c r="B91" s="25" t="s">
        <v>225</v>
      </c>
      <c r="C91" s="25"/>
      <c r="D91" s="25"/>
      <c r="E91" s="25"/>
      <c r="F91" s="25"/>
      <c r="G91" s="25"/>
      <c r="H91" s="40"/>
      <c r="I91" s="57"/>
      <c r="J91" s="40"/>
      <c r="K91" s="25"/>
      <c r="L91" s="127"/>
      <c r="M91" s="25"/>
      <c r="N91" s="25"/>
      <c r="O91" s="25"/>
      <c r="P91" s="25"/>
      <c r="Q91" s="25"/>
      <c r="R91" s="34"/>
      <c r="S91" s="25"/>
      <c r="T91" s="53">
        <f>6843+7841-1513-379</f>
        <v>12792</v>
      </c>
      <c r="U91" s="25"/>
      <c r="V91" s="5"/>
    </row>
    <row r="92" spans="1:22" ht="15.6" x14ac:dyDescent="0.3">
      <c r="A92" s="24"/>
      <c r="B92" s="25" t="s">
        <v>220</v>
      </c>
      <c r="C92" s="25"/>
      <c r="D92" s="25"/>
      <c r="E92" s="25"/>
      <c r="F92" s="25"/>
      <c r="G92" s="25"/>
      <c r="H92" s="40"/>
      <c r="I92" s="57"/>
      <c r="J92" s="40"/>
      <c r="K92" s="25"/>
      <c r="L92" s="127"/>
      <c r="M92" s="25"/>
      <c r="N92" s="25"/>
      <c r="O92" s="25"/>
      <c r="P92" s="25"/>
      <c r="Q92" s="25"/>
      <c r="R92" s="34"/>
      <c r="S92" s="25"/>
      <c r="T92" s="53">
        <f>234+168</f>
        <v>402</v>
      </c>
      <c r="U92" s="25"/>
      <c r="V92" s="5"/>
    </row>
    <row r="93" spans="1:22" ht="15.6" x14ac:dyDescent="0.3">
      <c r="A93" s="24"/>
      <c r="B93" s="25" t="s">
        <v>221</v>
      </c>
      <c r="C93" s="25"/>
      <c r="D93" s="25"/>
      <c r="E93" s="25"/>
      <c r="F93" s="25"/>
      <c r="G93" s="25"/>
      <c r="H93" s="40"/>
      <c r="I93" s="57"/>
      <c r="J93" s="40"/>
      <c r="K93" s="25"/>
      <c r="L93" s="127"/>
      <c r="M93" s="25"/>
      <c r="N93" s="25"/>
      <c r="O93" s="25"/>
      <c r="P93" s="25"/>
      <c r="Q93" s="25"/>
      <c r="R93" s="34"/>
      <c r="S93" s="25"/>
      <c r="T93" s="53">
        <v>635</v>
      </c>
      <c r="U93" s="25"/>
      <c r="V93" s="5"/>
    </row>
    <row r="94" spans="1:22" ht="15.6" x14ac:dyDescent="0.3">
      <c r="A94" s="24"/>
      <c r="B94" s="25" t="s">
        <v>141</v>
      </c>
      <c r="C94" s="25"/>
      <c r="D94" s="25"/>
      <c r="E94" s="25"/>
      <c r="F94" s="25"/>
      <c r="G94" s="25"/>
      <c r="H94" s="25"/>
      <c r="I94" s="25"/>
      <c r="J94" s="25"/>
      <c r="K94" s="25"/>
      <c r="L94" s="25"/>
      <c r="M94" s="25"/>
      <c r="N94" s="25"/>
      <c r="O94" s="25"/>
      <c r="P94" s="25"/>
      <c r="Q94" s="25"/>
      <c r="R94" s="34"/>
      <c r="S94" s="25"/>
      <c r="T94" s="53">
        <v>0</v>
      </c>
      <c r="U94" s="25"/>
      <c r="V94" s="5"/>
    </row>
    <row r="95" spans="1:22" ht="15.6" x14ac:dyDescent="0.3">
      <c r="A95" s="24"/>
      <c r="B95" s="25" t="s">
        <v>250</v>
      </c>
      <c r="C95" s="25"/>
      <c r="D95" s="25"/>
      <c r="E95" s="25"/>
      <c r="F95" s="25"/>
      <c r="G95" s="25"/>
      <c r="H95" s="25"/>
      <c r="I95" s="25"/>
      <c r="J95" s="25"/>
      <c r="K95" s="25"/>
      <c r="L95" s="25"/>
      <c r="M95" s="25"/>
      <c r="N95" s="25"/>
      <c r="O95" s="25"/>
      <c r="P95" s="25"/>
      <c r="Q95" s="25"/>
      <c r="R95" s="34"/>
      <c r="S95" s="25"/>
      <c r="T95" s="53">
        <v>1915</v>
      </c>
      <c r="U95" s="25"/>
      <c r="V95" s="5"/>
    </row>
    <row r="96" spans="1:22" ht="15.6" x14ac:dyDescent="0.3">
      <c r="A96" s="24"/>
      <c r="B96" s="25" t="s">
        <v>30</v>
      </c>
      <c r="C96" s="25"/>
      <c r="D96" s="25"/>
      <c r="E96" s="25"/>
      <c r="F96" s="25"/>
      <c r="G96" s="25"/>
      <c r="H96" s="25"/>
      <c r="I96" s="25"/>
      <c r="J96" s="25"/>
      <c r="K96" s="25"/>
      <c r="L96" s="25"/>
      <c r="M96" s="25"/>
      <c r="N96" s="25"/>
      <c r="O96" s="25"/>
      <c r="P96" s="25"/>
      <c r="Q96" s="25"/>
      <c r="R96" s="34">
        <f>SUM(R89:R95)</f>
        <v>23335</v>
      </c>
      <c r="S96" s="25"/>
      <c r="T96" s="54">
        <f>SUM(T89:T95)</f>
        <v>15744</v>
      </c>
      <c r="U96" s="25"/>
      <c r="V96" s="5"/>
    </row>
    <row r="97" spans="1:24" ht="15.6" x14ac:dyDescent="0.3">
      <c r="A97" s="24"/>
      <c r="B97" s="25" t="s">
        <v>168</v>
      </c>
      <c r="C97" s="25"/>
      <c r="D97" s="25"/>
      <c r="E97" s="25"/>
      <c r="F97" s="25"/>
      <c r="G97" s="25"/>
      <c r="H97" s="25"/>
      <c r="I97" s="25"/>
      <c r="J97" s="25"/>
      <c r="K97" s="25"/>
      <c r="L97" s="25"/>
      <c r="M97" s="25"/>
      <c r="N97" s="25"/>
      <c r="O97" s="25"/>
      <c r="P97" s="25"/>
      <c r="Q97" s="25"/>
      <c r="R97" s="34">
        <f>-T97</f>
        <v>-28</v>
      </c>
      <c r="S97" s="25"/>
      <c r="T97" s="54">
        <v>28</v>
      </c>
      <c r="U97" s="25"/>
      <c r="V97" s="5"/>
    </row>
    <row r="98" spans="1:24" ht="15.6" x14ac:dyDescent="0.3">
      <c r="A98" s="24"/>
      <c r="B98" s="25" t="s">
        <v>31</v>
      </c>
      <c r="C98" s="25"/>
      <c r="D98" s="25"/>
      <c r="E98" s="25"/>
      <c r="F98" s="25"/>
      <c r="G98" s="25"/>
      <c r="H98" s="25"/>
      <c r="I98" s="25"/>
      <c r="J98" s="25"/>
      <c r="K98" s="25"/>
      <c r="L98" s="25"/>
      <c r="M98" s="25"/>
      <c r="N98" s="25"/>
      <c r="O98" s="25"/>
      <c r="P98" s="25"/>
      <c r="Q98" s="25"/>
      <c r="R98" s="34">
        <f>-T98</f>
        <v>0</v>
      </c>
      <c r="S98" s="25"/>
      <c r="T98" s="53">
        <v>0</v>
      </c>
      <c r="U98" s="25"/>
      <c r="V98" s="5"/>
    </row>
    <row r="99" spans="1:24" ht="15.6" x14ac:dyDescent="0.3">
      <c r="A99" s="24"/>
      <c r="B99" s="25" t="s">
        <v>32</v>
      </c>
      <c r="C99" s="25"/>
      <c r="D99" s="25"/>
      <c r="E99" s="25"/>
      <c r="F99" s="25"/>
      <c r="G99" s="25"/>
      <c r="H99" s="25"/>
      <c r="I99" s="25"/>
      <c r="J99" s="25"/>
      <c r="K99" s="25"/>
      <c r="L99" s="25"/>
      <c r="M99" s="25"/>
      <c r="N99" s="25"/>
      <c r="O99" s="25"/>
      <c r="P99" s="25"/>
      <c r="Q99" s="25"/>
      <c r="R99" s="34">
        <f>R96+R98+R97</f>
        <v>23307</v>
      </c>
      <c r="S99" s="25"/>
      <c r="T99" s="54">
        <f>T96+T98+T97</f>
        <v>15772</v>
      </c>
      <c r="U99" s="25"/>
      <c r="V99" s="5"/>
    </row>
    <row r="100" spans="1:24" ht="15.6" x14ac:dyDescent="0.3">
      <c r="A100" s="24"/>
      <c r="B100" s="118" t="s">
        <v>33</v>
      </c>
      <c r="C100" s="25"/>
      <c r="D100" s="25"/>
      <c r="E100" s="25"/>
      <c r="F100" s="25"/>
      <c r="G100" s="25"/>
      <c r="H100" s="25"/>
      <c r="I100" s="25"/>
      <c r="J100" s="25"/>
      <c r="K100" s="25"/>
      <c r="L100" s="25"/>
      <c r="M100" s="25"/>
      <c r="N100" s="25"/>
      <c r="O100" s="25"/>
      <c r="P100" s="25"/>
      <c r="Q100" s="25"/>
      <c r="R100" s="34"/>
      <c r="S100" s="25"/>
      <c r="T100" s="53"/>
      <c r="U100" s="25"/>
      <c r="V100" s="5"/>
    </row>
    <row r="101" spans="1:24" ht="15.6" x14ac:dyDescent="0.3">
      <c r="A101" s="24">
        <v>1</v>
      </c>
      <c r="B101" s="25" t="s">
        <v>34</v>
      </c>
      <c r="C101" s="25"/>
      <c r="D101" s="25"/>
      <c r="E101" s="25"/>
      <c r="F101" s="25"/>
      <c r="G101" s="25"/>
      <c r="H101" s="25"/>
      <c r="I101" s="25"/>
      <c r="J101" s="25"/>
      <c r="K101" s="25"/>
      <c r="L101" s="25"/>
      <c r="M101" s="25"/>
      <c r="N101" s="25"/>
      <c r="O101" s="25"/>
      <c r="P101" s="25"/>
      <c r="Q101" s="25"/>
      <c r="R101" s="25"/>
      <c r="S101" s="25"/>
      <c r="T101" s="53">
        <v>0</v>
      </c>
      <c r="U101" s="25"/>
      <c r="V101" s="5"/>
    </row>
    <row r="102" spans="1:24" ht="15.6" x14ac:dyDescent="0.3">
      <c r="A102" s="24">
        <f>+A101+1</f>
        <v>2</v>
      </c>
      <c r="B102" s="25" t="s">
        <v>255</v>
      </c>
      <c r="C102" s="25"/>
      <c r="D102" s="25"/>
      <c r="E102" s="25"/>
      <c r="F102" s="25"/>
      <c r="G102" s="25"/>
      <c r="H102" s="25"/>
      <c r="I102" s="25"/>
      <c r="J102" s="25"/>
      <c r="K102" s="25"/>
      <c r="L102" s="25"/>
      <c r="M102" s="25"/>
      <c r="N102" s="25"/>
      <c r="O102" s="25"/>
      <c r="P102" s="25"/>
      <c r="Q102" s="25"/>
      <c r="R102" s="25"/>
      <c r="S102" s="25"/>
      <c r="T102" s="53">
        <v>-2</v>
      </c>
      <c r="U102" s="25"/>
      <c r="V102" s="5"/>
    </row>
    <row r="103" spans="1:24" ht="15.6" x14ac:dyDescent="0.3">
      <c r="A103" s="24">
        <f>+A102+1</f>
        <v>3</v>
      </c>
      <c r="B103" s="25" t="s">
        <v>213</v>
      </c>
      <c r="C103" s="25"/>
      <c r="D103" s="25"/>
      <c r="E103" s="25"/>
      <c r="F103" s="25"/>
      <c r="G103" s="25"/>
      <c r="H103" s="25"/>
      <c r="I103" s="25"/>
      <c r="J103" s="25"/>
      <c r="K103" s="25"/>
      <c r="L103" s="25"/>
      <c r="M103" s="25"/>
      <c r="N103" s="25"/>
      <c r="O103" s="25"/>
      <c r="P103" s="25"/>
      <c r="Q103" s="25"/>
      <c r="R103" s="25"/>
      <c r="S103" s="25"/>
      <c r="T103" s="53">
        <f>-371-8-12</f>
        <v>-391</v>
      </c>
      <c r="U103" s="25"/>
      <c r="V103" s="5"/>
    </row>
    <row r="104" spans="1:24" ht="15.6" x14ac:dyDescent="0.3">
      <c r="A104" s="24" t="s">
        <v>133</v>
      </c>
      <c r="B104" s="25" t="s">
        <v>122</v>
      </c>
      <c r="C104" s="25"/>
      <c r="D104" s="25"/>
      <c r="E104" s="25"/>
      <c r="F104" s="25"/>
      <c r="G104" s="25"/>
      <c r="H104" s="25"/>
      <c r="I104" s="25"/>
      <c r="J104" s="25"/>
      <c r="K104" s="25"/>
      <c r="L104" s="25"/>
      <c r="M104" s="25"/>
      <c r="N104" s="25"/>
      <c r="O104" s="25"/>
      <c r="P104" s="25"/>
      <c r="Q104" s="25"/>
      <c r="R104" s="25"/>
      <c r="S104" s="25"/>
      <c r="T104" s="53">
        <v>85</v>
      </c>
      <c r="U104" s="25"/>
      <c r="V104" s="5"/>
    </row>
    <row r="105" spans="1:24" ht="15.6" x14ac:dyDescent="0.3">
      <c r="A105" s="24" t="s">
        <v>134</v>
      </c>
      <c r="B105" s="25" t="s">
        <v>194</v>
      </c>
      <c r="C105" s="25"/>
      <c r="D105" s="25"/>
      <c r="E105" s="25"/>
      <c r="F105" s="25"/>
      <c r="G105" s="25"/>
      <c r="H105" s="25"/>
      <c r="I105" s="25"/>
      <c r="J105" s="25"/>
      <c r="K105" s="25"/>
      <c r="L105" s="25"/>
      <c r="M105" s="25"/>
      <c r="N105" s="25"/>
      <c r="O105" s="25"/>
      <c r="P105" s="25"/>
      <c r="Q105" s="25"/>
      <c r="R105" s="25"/>
      <c r="S105" s="25"/>
      <c r="T105" s="53">
        <f>-6507-1768</f>
        <v>-8275</v>
      </c>
      <c r="U105" s="25"/>
      <c r="V105" s="5"/>
      <c r="W105" s="109"/>
    </row>
    <row r="106" spans="1:24" ht="15.6" x14ac:dyDescent="0.3">
      <c r="A106" s="24" t="s">
        <v>156</v>
      </c>
      <c r="B106" s="25" t="s">
        <v>191</v>
      </c>
      <c r="C106" s="25"/>
      <c r="D106" s="25"/>
      <c r="E106" s="25"/>
      <c r="F106" s="25"/>
      <c r="G106" s="25"/>
      <c r="H106" s="25"/>
      <c r="I106" s="25"/>
      <c r="J106" s="25"/>
      <c r="K106" s="25"/>
      <c r="L106" s="25"/>
      <c r="M106" s="25"/>
      <c r="N106" s="25"/>
      <c r="O106" s="25"/>
      <c r="P106" s="25"/>
      <c r="Q106" s="25"/>
      <c r="R106" s="25"/>
      <c r="S106" s="25"/>
      <c r="T106" s="53">
        <v>-1754</v>
      </c>
      <c r="U106" s="25"/>
      <c r="V106" s="5"/>
    </row>
    <row r="107" spans="1:24" ht="15.6" x14ac:dyDescent="0.3">
      <c r="A107" s="24" t="s">
        <v>214</v>
      </c>
      <c r="B107" s="25" t="s">
        <v>192</v>
      </c>
      <c r="C107" s="25"/>
      <c r="D107" s="25"/>
      <c r="E107" s="25"/>
      <c r="F107" s="25"/>
      <c r="G107" s="25"/>
      <c r="H107" s="25"/>
      <c r="I107" s="25"/>
      <c r="J107" s="25"/>
      <c r="K107" s="25"/>
      <c r="L107" s="25"/>
      <c r="M107" s="25"/>
      <c r="N107" s="25"/>
      <c r="O107" s="25"/>
      <c r="P107" s="25"/>
      <c r="Q107" s="25"/>
      <c r="R107" s="25"/>
      <c r="S107" s="25"/>
      <c r="T107" s="53">
        <v>-697</v>
      </c>
      <c r="U107" s="25"/>
      <c r="V107" s="5"/>
      <c r="W107" s="109"/>
      <c r="X107" s="109"/>
    </row>
    <row r="108" spans="1:24" ht="15.6" x14ac:dyDescent="0.3">
      <c r="A108" s="24" t="s">
        <v>215</v>
      </c>
      <c r="B108" s="25" t="s">
        <v>193</v>
      </c>
      <c r="C108" s="25"/>
      <c r="D108" s="25"/>
      <c r="E108" s="25"/>
      <c r="F108" s="25"/>
      <c r="G108" s="25"/>
      <c r="H108" s="25"/>
      <c r="I108" s="25"/>
      <c r="J108" s="25"/>
      <c r="K108" s="25"/>
      <c r="L108" s="25"/>
      <c r="M108" s="25"/>
      <c r="N108" s="25"/>
      <c r="O108" s="25"/>
      <c r="P108" s="25"/>
      <c r="Q108" s="25"/>
      <c r="R108" s="25"/>
      <c r="S108" s="25"/>
      <c r="T108" s="53">
        <v>-197</v>
      </c>
      <c r="U108" s="25"/>
      <c r="V108" s="5"/>
      <c r="W108" s="109"/>
    </row>
    <row r="109" spans="1:24" ht="15.6" x14ac:dyDescent="0.3">
      <c r="A109" s="24" t="s">
        <v>216</v>
      </c>
      <c r="B109" s="25" t="s">
        <v>204</v>
      </c>
      <c r="C109" s="25"/>
      <c r="D109" s="25"/>
      <c r="E109" s="25"/>
      <c r="F109" s="25"/>
      <c r="G109" s="25"/>
      <c r="H109" s="25"/>
      <c r="I109" s="25"/>
      <c r="J109" s="25"/>
      <c r="K109" s="25"/>
      <c r="L109" s="25"/>
      <c r="M109" s="25"/>
      <c r="N109" s="25"/>
      <c r="O109" s="25"/>
      <c r="P109" s="25"/>
      <c r="Q109" s="25"/>
      <c r="R109" s="25"/>
      <c r="S109" s="25"/>
      <c r="T109" s="53">
        <v>-775</v>
      </c>
      <c r="U109" s="25"/>
      <c r="V109" s="5"/>
      <c r="W109" s="109"/>
    </row>
    <row r="110" spans="1:24" ht="15.6" x14ac:dyDescent="0.3">
      <c r="A110" s="24">
        <v>7</v>
      </c>
      <c r="B110" s="25" t="s">
        <v>35</v>
      </c>
      <c r="C110" s="25"/>
      <c r="D110" s="25"/>
      <c r="E110" s="25"/>
      <c r="F110" s="25"/>
      <c r="G110" s="25"/>
      <c r="H110" s="25"/>
      <c r="I110" s="25"/>
      <c r="J110" s="25"/>
      <c r="K110" s="25"/>
      <c r="L110" s="25"/>
      <c r="M110" s="25"/>
      <c r="N110" s="25"/>
      <c r="O110" s="25"/>
      <c r="P110" s="25"/>
      <c r="Q110" s="25"/>
      <c r="R110" s="25"/>
      <c r="S110" s="25"/>
      <c r="T110" s="53">
        <v>-10</v>
      </c>
      <c r="U110" s="25"/>
      <c r="V110" s="5"/>
    </row>
    <row r="111" spans="1:24" ht="15.6" x14ac:dyDescent="0.3">
      <c r="A111" s="24">
        <f t="shared" ref="A111:A116" si="0">+A110+1</f>
        <v>8</v>
      </c>
      <c r="B111" s="25" t="s">
        <v>46</v>
      </c>
      <c r="C111" s="25"/>
      <c r="D111" s="25"/>
      <c r="E111" s="25"/>
      <c r="F111" s="25"/>
      <c r="G111" s="25"/>
      <c r="H111" s="25"/>
      <c r="I111" s="25"/>
      <c r="J111" s="25"/>
      <c r="K111" s="25"/>
      <c r="L111" s="25"/>
      <c r="M111" s="25"/>
      <c r="N111" s="25"/>
      <c r="O111" s="25"/>
      <c r="P111" s="25"/>
      <c r="Q111" s="25"/>
      <c r="R111" s="25"/>
      <c r="S111" s="25"/>
      <c r="T111" s="53">
        <v>0</v>
      </c>
      <c r="U111" s="25"/>
      <c r="V111" s="5"/>
    </row>
    <row r="112" spans="1:24" ht="15.6" x14ac:dyDescent="0.3">
      <c r="A112" s="24">
        <f t="shared" si="0"/>
        <v>9</v>
      </c>
      <c r="B112" s="25" t="s">
        <v>131</v>
      </c>
      <c r="C112" s="25"/>
      <c r="D112" s="25"/>
      <c r="E112" s="25"/>
      <c r="F112" s="25"/>
      <c r="G112" s="25"/>
      <c r="H112" s="25"/>
      <c r="I112" s="25"/>
      <c r="J112" s="25"/>
      <c r="K112" s="25"/>
      <c r="L112" s="25"/>
      <c r="M112" s="25"/>
      <c r="N112" s="25"/>
      <c r="O112" s="25"/>
      <c r="P112" s="25"/>
      <c r="Q112" s="25"/>
      <c r="R112" s="25"/>
      <c r="S112" s="25"/>
      <c r="T112" s="53">
        <v>0</v>
      </c>
      <c r="U112" s="25"/>
      <c r="V112" s="5"/>
    </row>
    <row r="113" spans="1:22" ht="15.6" x14ac:dyDescent="0.3">
      <c r="A113" s="24">
        <f t="shared" si="0"/>
        <v>10</v>
      </c>
      <c r="B113" s="25" t="s">
        <v>36</v>
      </c>
      <c r="C113" s="25"/>
      <c r="D113" s="25"/>
      <c r="E113" s="25"/>
      <c r="F113" s="25"/>
      <c r="G113" s="25"/>
      <c r="H113" s="25"/>
      <c r="I113" s="25"/>
      <c r="J113" s="25"/>
      <c r="K113" s="25"/>
      <c r="L113" s="25"/>
      <c r="M113" s="25"/>
      <c r="N113" s="25"/>
      <c r="O113" s="25"/>
      <c r="P113" s="25"/>
      <c r="Q113" s="25"/>
      <c r="R113" s="25"/>
      <c r="S113" s="25"/>
      <c r="T113" s="53">
        <v>0</v>
      </c>
      <c r="U113" s="25"/>
      <c r="V113" s="5"/>
    </row>
    <row r="114" spans="1:22" ht="15.6" x14ac:dyDescent="0.3">
      <c r="A114" s="24">
        <f t="shared" si="0"/>
        <v>11</v>
      </c>
      <c r="B114" s="25" t="s">
        <v>37</v>
      </c>
      <c r="C114" s="25"/>
      <c r="D114" s="25"/>
      <c r="E114" s="25"/>
      <c r="F114" s="25"/>
      <c r="G114" s="25"/>
      <c r="H114" s="25"/>
      <c r="I114" s="25"/>
      <c r="J114" s="25"/>
      <c r="K114" s="25"/>
      <c r="L114" s="25"/>
      <c r="M114" s="25"/>
      <c r="N114" s="25"/>
      <c r="O114" s="25"/>
      <c r="P114" s="25"/>
      <c r="Q114" s="25"/>
      <c r="R114" s="25"/>
      <c r="S114" s="25"/>
      <c r="T114" s="53">
        <v>0</v>
      </c>
      <c r="U114" s="25"/>
      <c r="V114" s="5"/>
    </row>
    <row r="115" spans="1:22" ht="15.6" x14ac:dyDescent="0.3">
      <c r="A115" s="24">
        <f t="shared" si="0"/>
        <v>12</v>
      </c>
      <c r="B115" s="25" t="s">
        <v>155</v>
      </c>
      <c r="C115" s="25"/>
      <c r="D115" s="25"/>
      <c r="E115" s="25"/>
      <c r="F115" s="25"/>
      <c r="G115" s="25"/>
      <c r="H115" s="25"/>
      <c r="I115" s="25"/>
      <c r="J115" s="25"/>
      <c r="K115" s="25"/>
      <c r="L115" s="25"/>
      <c r="M115" s="25"/>
      <c r="N115" s="25"/>
      <c r="O115" s="25"/>
      <c r="P115" s="25"/>
      <c r="Q115" s="25"/>
      <c r="R115" s="25"/>
      <c r="S115" s="25"/>
      <c r="T115" s="53">
        <v>-371</v>
      </c>
      <c r="U115" s="25"/>
      <c r="V115" s="5"/>
    </row>
    <row r="116" spans="1:22" ht="15.6" x14ac:dyDescent="0.3">
      <c r="A116" s="24">
        <f t="shared" si="0"/>
        <v>13</v>
      </c>
      <c r="B116" s="25" t="s">
        <v>132</v>
      </c>
      <c r="C116" s="25"/>
      <c r="D116" s="25"/>
      <c r="E116" s="25"/>
      <c r="F116" s="25"/>
      <c r="G116" s="25"/>
      <c r="H116" s="25"/>
      <c r="I116" s="25"/>
      <c r="J116" s="25"/>
      <c r="K116" s="25"/>
      <c r="L116" s="25"/>
      <c r="M116" s="25"/>
      <c r="N116" s="25"/>
      <c r="O116" s="25"/>
      <c r="P116" s="25"/>
      <c r="Q116" s="25"/>
      <c r="R116" s="25"/>
      <c r="S116" s="25"/>
      <c r="T116" s="53">
        <f>-T99-SUM(T101:T115)</f>
        <v>-3385</v>
      </c>
      <c r="U116" s="25"/>
      <c r="V116" s="5"/>
    </row>
    <row r="117" spans="1:22" ht="15.6" x14ac:dyDescent="0.3">
      <c r="A117" s="24"/>
      <c r="B117" s="118" t="s">
        <v>38</v>
      </c>
      <c r="C117" s="25"/>
      <c r="D117" s="25"/>
      <c r="E117" s="25"/>
      <c r="F117" s="25"/>
      <c r="G117" s="25"/>
      <c r="H117" s="25"/>
      <c r="I117" s="25"/>
      <c r="J117" s="25"/>
      <c r="K117" s="25"/>
      <c r="L117" s="25"/>
      <c r="M117" s="25"/>
      <c r="N117" s="25"/>
      <c r="O117" s="25"/>
      <c r="P117" s="25"/>
      <c r="Q117" s="25"/>
      <c r="R117" s="25"/>
      <c r="S117" s="25"/>
      <c r="T117" s="59"/>
      <c r="U117" s="25"/>
      <c r="V117" s="5"/>
    </row>
    <row r="118" spans="1:22" ht="15.6" x14ac:dyDescent="0.3">
      <c r="A118" s="24"/>
      <c r="B118" s="25" t="s">
        <v>180</v>
      </c>
      <c r="C118" s="25"/>
      <c r="D118" s="25"/>
      <c r="E118" s="25"/>
      <c r="F118" s="25"/>
      <c r="G118" s="25"/>
      <c r="H118" s="25"/>
      <c r="I118" s="25"/>
      <c r="J118" s="25"/>
      <c r="K118" s="25"/>
      <c r="L118" s="25"/>
      <c r="M118" s="25"/>
      <c r="N118" s="25"/>
      <c r="O118" s="25"/>
      <c r="P118" s="25"/>
      <c r="Q118" s="25"/>
      <c r="R118" s="34">
        <f>-R175</f>
        <v>-513</v>
      </c>
      <c r="S118" s="34"/>
      <c r="T118" s="53"/>
      <c r="U118" s="25"/>
      <c r="V118" s="5"/>
    </row>
    <row r="119" spans="1:22" ht="15.6" x14ac:dyDescent="0.3">
      <c r="A119" s="24"/>
      <c r="B119" s="25" t="s">
        <v>181</v>
      </c>
      <c r="C119" s="25"/>
      <c r="D119" s="25"/>
      <c r="E119" s="25"/>
      <c r="F119" s="25"/>
      <c r="G119" s="25"/>
      <c r="H119" s="25"/>
      <c r="I119" s="25"/>
      <c r="J119" s="25"/>
      <c r="K119" s="25"/>
      <c r="L119" s="25"/>
      <c r="M119" s="25"/>
      <c r="N119" s="25"/>
      <c r="O119" s="25"/>
      <c r="P119" s="25"/>
      <c r="Q119" s="25"/>
      <c r="R119" s="34">
        <v>-84</v>
      </c>
      <c r="S119" s="34"/>
      <c r="T119" s="53"/>
      <c r="U119" s="25"/>
      <c r="V119" s="5"/>
    </row>
    <row r="120" spans="1:22" ht="15.6" x14ac:dyDescent="0.3">
      <c r="A120" s="24"/>
      <c r="B120" s="25" t="s">
        <v>39</v>
      </c>
      <c r="C120" s="25"/>
      <c r="D120" s="25"/>
      <c r="E120" s="25"/>
      <c r="F120" s="25"/>
      <c r="G120" s="25"/>
      <c r="H120" s="25"/>
      <c r="I120" s="25"/>
      <c r="J120" s="25"/>
      <c r="K120" s="25"/>
      <c r="L120" s="25"/>
      <c r="M120" s="25"/>
      <c r="N120" s="25"/>
      <c r="O120" s="25"/>
      <c r="P120" s="25"/>
      <c r="Q120" s="25"/>
      <c r="R120" s="34">
        <f>-Q175</f>
        <v>-5697</v>
      </c>
      <c r="S120" s="34"/>
      <c r="T120" s="53"/>
      <c r="U120" s="25"/>
      <c r="V120" s="5"/>
    </row>
    <row r="121" spans="1:22" ht="15.6" x14ac:dyDescent="0.3">
      <c r="A121" s="24"/>
      <c r="B121" s="25" t="s">
        <v>205</v>
      </c>
      <c r="C121" s="25"/>
      <c r="D121" s="25"/>
      <c r="E121" s="25"/>
      <c r="F121" s="25"/>
      <c r="G121" s="25"/>
      <c r="H121" s="25"/>
      <c r="I121" s="25"/>
      <c r="J121" s="25"/>
      <c r="K121" s="25"/>
      <c r="L121" s="25"/>
      <c r="M121" s="25"/>
      <c r="N121" s="25"/>
      <c r="O121" s="25"/>
      <c r="P121" s="25"/>
      <c r="Q121" s="25"/>
      <c r="R121" s="34">
        <v>-11125</v>
      </c>
      <c r="S121" s="34"/>
      <c r="T121" s="53"/>
      <c r="U121" s="25"/>
      <c r="V121" s="5"/>
    </row>
    <row r="122" spans="1:22" ht="15.6" x14ac:dyDescent="0.3">
      <c r="A122" s="24"/>
      <c r="B122" s="25" t="s">
        <v>203</v>
      </c>
      <c r="C122" s="25"/>
      <c r="D122" s="25"/>
      <c r="E122" s="25"/>
      <c r="F122" s="25"/>
      <c r="G122" s="25"/>
      <c r="H122" s="25"/>
      <c r="I122" s="25"/>
      <c r="J122" s="25"/>
      <c r="K122" s="25"/>
      <c r="L122" s="25"/>
      <c r="M122" s="25"/>
      <c r="N122" s="25"/>
      <c r="O122" s="25"/>
      <c r="P122" s="25"/>
      <c r="Q122" s="25"/>
      <c r="R122" s="34">
        <v>-2932</v>
      </c>
      <c r="S122" s="34"/>
      <c r="T122" s="53"/>
      <c r="U122" s="25"/>
      <c r="V122" s="5"/>
    </row>
    <row r="123" spans="1:22" ht="15.6" x14ac:dyDescent="0.3">
      <c r="A123" s="24"/>
      <c r="B123" s="25" t="s">
        <v>202</v>
      </c>
      <c r="C123" s="25"/>
      <c r="D123" s="25"/>
      <c r="E123" s="25"/>
      <c r="F123" s="25"/>
      <c r="G123" s="25"/>
      <c r="H123" s="25"/>
      <c r="I123" s="25"/>
      <c r="J123" s="25"/>
      <c r="K123" s="25"/>
      <c r="L123" s="25"/>
      <c r="M123" s="25"/>
      <c r="N123" s="25"/>
      <c r="O123" s="25"/>
      <c r="P123" s="25"/>
      <c r="Q123" s="25"/>
      <c r="R123" s="34">
        <v>-2956</v>
      </c>
      <c r="S123" s="34"/>
      <c r="T123" s="53"/>
      <c r="U123" s="25"/>
      <c r="V123" s="5"/>
    </row>
    <row r="124" spans="1:22" ht="15.6" x14ac:dyDescent="0.3">
      <c r="A124" s="24"/>
      <c r="B124" s="25" t="s">
        <v>197</v>
      </c>
      <c r="C124" s="25"/>
      <c r="D124" s="25"/>
      <c r="E124" s="25"/>
      <c r="F124" s="25"/>
      <c r="G124" s="25"/>
      <c r="H124" s="25"/>
      <c r="I124" s="25"/>
      <c r="J124" s="25"/>
      <c r="K124" s="25"/>
      <c r="L124" s="25"/>
      <c r="M124" s="25"/>
      <c r="N124" s="25"/>
      <c r="O124" s="25"/>
      <c r="P124" s="25"/>
      <c r="Q124" s="25"/>
      <c r="R124" s="34">
        <v>0</v>
      </c>
      <c r="S124" s="34"/>
      <c r="T124" s="53"/>
      <c r="U124" s="25"/>
      <c r="V124" s="5"/>
    </row>
    <row r="125" spans="1:22" ht="15.6" x14ac:dyDescent="0.3">
      <c r="A125" s="24"/>
      <c r="B125" s="25" t="s">
        <v>196</v>
      </c>
      <c r="C125" s="25"/>
      <c r="D125" s="25"/>
      <c r="E125" s="25"/>
      <c r="F125" s="25"/>
      <c r="G125" s="25"/>
      <c r="H125" s="25"/>
      <c r="I125" s="25"/>
      <c r="J125" s="25"/>
      <c r="K125" s="25"/>
      <c r="L125" s="25"/>
      <c r="M125" s="25"/>
      <c r="N125" s="25"/>
      <c r="O125" s="25"/>
      <c r="P125" s="25"/>
      <c r="Q125" s="25"/>
      <c r="R125" s="34">
        <v>0</v>
      </c>
      <c r="S125" s="34"/>
      <c r="T125" s="53"/>
      <c r="U125" s="25"/>
      <c r="V125" s="5"/>
    </row>
    <row r="126" spans="1:22" ht="15.6" x14ac:dyDescent="0.3">
      <c r="A126" s="24"/>
      <c r="B126" s="25" t="s">
        <v>195</v>
      </c>
      <c r="C126" s="25"/>
      <c r="D126" s="25"/>
      <c r="E126" s="25"/>
      <c r="F126" s="25"/>
      <c r="G126" s="25"/>
      <c r="H126" s="25"/>
      <c r="I126" s="25"/>
      <c r="J126" s="25"/>
      <c r="K126" s="25"/>
      <c r="L126" s="25"/>
      <c r="M126" s="25"/>
      <c r="N126" s="25"/>
      <c r="O126" s="25"/>
      <c r="P126" s="25"/>
      <c r="Q126" s="25"/>
      <c r="R126" s="34">
        <v>0</v>
      </c>
      <c r="S126" s="34"/>
      <c r="T126" s="53"/>
      <c r="U126" s="25"/>
      <c r="V126" s="5"/>
    </row>
    <row r="127" spans="1:22" ht="15.6" x14ac:dyDescent="0.3">
      <c r="A127" s="24"/>
      <c r="B127" s="25" t="s">
        <v>40</v>
      </c>
      <c r="C127" s="25"/>
      <c r="D127" s="25"/>
      <c r="E127" s="25"/>
      <c r="F127" s="25"/>
      <c r="G127" s="25"/>
      <c r="H127" s="25"/>
      <c r="I127" s="25"/>
      <c r="J127" s="25"/>
      <c r="K127" s="25"/>
      <c r="L127" s="25"/>
      <c r="M127" s="25"/>
      <c r="N127" s="25"/>
      <c r="O127" s="25"/>
      <c r="P127" s="25"/>
      <c r="Q127" s="25"/>
      <c r="R127" s="34">
        <f>SUM(R118:R126)</f>
        <v>-23307</v>
      </c>
      <c r="S127" s="34"/>
      <c r="T127" s="34">
        <f>SUM(T100:T125)</f>
        <v>-15772</v>
      </c>
      <c r="U127" s="25"/>
      <c r="V127" s="5"/>
    </row>
    <row r="128" spans="1:22" ht="15.6" x14ac:dyDescent="0.3">
      <c r="A128" s="24"/>
      <c r="B128" s="25" t="s">
        <v>41</v>
      </c>
      <c r="C128" s="25"/>
      <c r="D128" s="25"/>
      <c r="E128" s="25"/>
      <c r="F128" s="25"/>
      <c r="G128" s="25"/>
      <c r="H128" s="25"/>
      <c r="I128" s="25"/>
      <c r="J128" s="25"/>
      <c r="K128" s="25"/>
      <c r="L128" s="25"/>
      <c r="M128" s="25"/>
      <c r="N128" s="25"/>
      <c r="O128" s="25"/>
      <c r="P128" s="25"/>
      <c r="Q128" s="25"/>
      <c r="R128" s="34">
        <f>R99+R127</f>
        <v>0</v>
      </c>
      <c r="S128" s="34"/>
      <c r="T128" s="34">
        <f>T99+T127</f>
        <v>0</v>
      </c>
      <c r="U128" s="25"/>
      <c r="V128" s="5"/>
    </row>
    <row r="129" spans="1:23" ht="15.6" x14ac:dyDescent="0.3">
      <c r="A129" s="24"/>
      <c r="B129" s="25"/>
      <c r="C129" s="25"/>
      <c r="D129" s="25"/>
      <c r="E129" s="25"/>
      <c r="F129" s="25"/>
      <c r="G129" s="25"/>
      <c r="H129" s="25"/>
      <c r="I129" s="25"/>
      <c r="J129" s="25"/>
      <c r="K129" s="25"/>
      <c r="L129" s="25"/>
      <c r="M129" s="25"/>
      <c r="N129" s="25"/>
      <c r="O129" s="25"/>
      <c r="P129" s="25"/>
      <c r="Q129" s="25"/>
      <c r="R129" s="34"/>
      <c r="S129" s="34"/>
      <c r="T129" s="34"/>
      <c r="U129" s="25"/>
      <c r="V129" s="5"/>
    </row>
    <row r="130" spans="1:23" ht="15.6" x14ac:dyDescent="0.3">
      <c r="A130" s="6"/>
      <c r="B130" s="8"/>
      <c r="C130" s="8"/>
      <c r="D130" s="8"/>
      <c r="E130" s="8"/>
      <c r="F130" s="8"/>
      <c r="G130" s="8"/>
      <c r="H130" s="8"/>
      <c r="I130" s="8"/>
      <c r="J130" s="8"/>
      <c r="K130" s="8"/>
      <c r="L130" s="8"/>
      <c r="M130" s="8"/>
      <c r="N130" s="8"/>
      <c r="O130" s="8"/>
      <c r="P130" s="8"/>
      <c r="Q130" s="8"/>
      <c r="R130" s="8"/>
      <c r="S130" s="8"/>
      <c r="T130" s="52"/>
      <c r="U130" s="8"/>
      <c r="V130" s="5"/>
    </row>
    <row r="131" spans="1:23" ht="18" thickBot="1" x14ac:dyDescent="0.35">
      <c r="A131" s="101"/>
      <c r="B131" s="102" t="str">
        <f>B64</f>
        <v>PM11 INVESTOR REPORT QUARTER ENDING SEPTEMBER 2006</v>
      </c>
      <c r="C131" s="103"/>
      <c r="D131" s="103"/>
      <c r="E131" s="103"/>
      <c r="F131" s="103"/>
      <c r="G131" s="103"/>
      <c r="H131" s="103"/>
      <c r="I131" s="103"/>
      <c r="J131" s="103"/>
      <c r="K131" s="103"/>
      <c r="L131" s="103"/>
      <c r="M131" s="103"/>
      <c r="N131" s="103"/>
      <c r="O131" s="103"/>
      <c r="P131" s="103"/>
      <c r="Q131" s="103"/>
      <c r="R131" s="103"/>
      <c r="S131" s="103"/>
      <c r="T131" s="106"/>
      <c r="U131" s="105"/>
      <c r="V131" s="5"/>
    </row>
    <row r="132" spans="1:23" ht="15.6" x14ac:dyDescent="0.3">
      <c r="A132" s="2"/>
      <c r="B132" s="60" t="s">
        <v>42</v>
      </c>
      <c r="C132" s="4"/>
      <c r="D132" s="4"/>
      <c r="E132" s="4"/>
      <c r="F132" s="4"/>
      <c r="G132" s="4"/>
      <c r="H132" s="4"/>
      <c r="I132" s="4"/>
      <c r="J132" s="4"/>
      <c r="K132" s="4"/>
      <c r="L132" s="4"/>
      <c r="M132" s="4"/>
      <c r="N132" s="4"/>
      <c r="O132" s="4"/>
      <c r="P132" s="4"/>
      <c r="Q132" s="4"/>
      <c r="R132" s="4"/>
      <c r="S132" s="4"/>
      <c r="T132" s="50"/>
      <c r="U132" s="4"/>
      <c r="V132" s="5"/>
    </row>
    <row r="133" spans="1:23" ht="15.6" x14ac:dyDescent="0.3">
      <c r="A133" s="6"/>
      <c r="B133" s="21"/>
      <c r="C133" s="8"/>
      <c r="D133" s="8"/>
      <c r="E133" s="8"/>
      <c r="F133" s="8"/>
      <c r="G133" s="8"/>
      <c r="H133" s="8"/>
      <c r="I133" s="8"/>
      <c r="J133" s="8"/>
      <c r="K133" s="8"/>
      <c r="L133" s="8"/>
      <c r="M133" s="8"/>
      <c r="N133" s="8"/>
      <c r="O133" s="8"/>
      <c r="P133" s="8"/>
      <c r="Q133" s="8"/>
      <c r="R133" s="8"/>
      <c r="S133" s="8"/>
      <c r="T133" s="52"/>
      <c r="U133" s="8"/>
      <c r="V133" s="5"/>
    </row>
    <row r="134" spans="1:23" ht="15.6" x14ac:dyDescent="0.3">
      <c r="A134" s="6"/>
      <c r="B134" s="119" t="s">
        <v>43</v>
      </c>
      <c r="C134" s="8"/>
      <c r="D134" s="8"/>
      <c r="E134" s="8"/>
      <c r="F134" s="8"/>
      <c r="G134" s="8"/>
      <c r="H134" s="8"/>
      <c r="I134" s="8"/>
      <c r="J134" s="8"/>
      <c r="K134" s="8"/>
      <c r="L134" s="8"/>
      <c r="M134" s="8"/>
      <c r="N134" s="8"/>
      <c r="O134" s="8"/>
      <c r="P134" s="8"/>
      <c r="Q134" s="8"/>
      <c r="R134" s="8"/>
      <c r="S134" s="8"/>
      <c r="T134" s="52"/>
      <c r="U134" s="8"/>
      <c r="V134" s="5"/>
    </row>
    <row r="135" spans="1:23" ht="15.6" x14ac:dyDescent="0.3">
      <c r="A135" s="24"/>
      <c r="B135" s="25" t="s">
        <v>44</v>
      </c>
      <c r="C135" s="25"/>
      <c r="D135" s="25"/>
      <c r="E135" s="25"/>
      <c r="F135" s="25"/>
      <c r="G135" s="25"/>
      <c r="H135" s="25"/>
      <c r="I135" s="25"/>
      <c r="J135" s="25"/>
      <c r="K135" s="25"/>
      <c r="L135" s="25"/>
      <c r="M135" s="25"/>
      <c r="N135" s="25"/>
      <c r="O135" s="25"/>
      <c r="P135" s="25"/>
      <c r="Q135" s="25"/>
      <c r="R135" s="25"/>
      <c r="S135" s="25"/>
      <c r="T135" s="53">
        <f>+T34*0.019</f>
        <v>19000.95</v>
      </c>
      <c r="U135" s="25"/>
      <c r="V135" s="5"/>
    </row>
    <row r="136" spans="1:23" ht="15.6" x14ac:dyDescent="0.3">
      <c r="A136" s="24"/>
      <c r="B136" s="25" t="s">
        <v>45</v>
      </c>
      <c r="C136" s="25"/>
      <c r="D136" s="25"/>
      <c r="E136" s="25"/>
      <c r="F136" s="25"/>
      <c r="G136" s="25"/>
      <c r="H136" s="25"/>
      <c r="I136" s="25"/>
      <c r="J136" s="25"/>
      <c r="K136" s="25"/>
      <c r="L136" s="25"/>
      <c r="M136" s="25"/>
      <c r="N136" s="25"/>
      <c r="O136" s="25"/>
      <c r="P136" s="25"/>
      <c r="Q136" s="25"/>
      <c r="R136" s="25"/>
      <c r="S136" s="25"/>
      <c r="T136" s="53">
        <v>19001</v>
      </c>
      <c r="U136" s="25"/>
      <c r="V136" s="5"/>
    </row>
    <row r="137" spans="1:23" ht="15.6" x14ac:dyDescent="0.3">
      <c r="A137" s="24"/>
      <c r="B137" s="25" t="s">
        <v>142</v>
      </c>
      <c r="C137" s="25"/>
      <c r="D137" s="25"/>
      <c r="E137" s="25"/>
      <c r="F137" s="25"/>
      <c r="G137" s="25"/>
      <c r="H137" s="25"/>
      <c r="I137" s="25"/>
      <c r="J137" s="25"/>
      <c r="K137" s="25"/>
      <c r="L137" s="25"/>
      <c r="M137" s="25"/>
      <c r="N137" s="25"/>
      <c r="O137" s="25"/>
      <c r="P137" s="25"/>
      <c r="Q137" s="25"/>
      <c r="R137" s="25"/>
      <c r="S137" s="25"/>
      <c r="T137" s="53">
        <v>0</v>
      </c>
      <c r="U137" s="25"/>
      <c r="V137" s="5"/>
    </row>
    <row r="138" spans="1:23" ht="15.6" x14ac:dyDescent="0.3">
      <c r="A138" s="24"/>
      <c r="B138" s="25" t="s">
        <v>129</v>
      </c>
      <c r="C138" s="25"/>
      <c r="D138" s="25"/>
      <c r="E138" s="25"/>
      <c r="F138" s="25"/>
      <c r="G138" s="25"/>
      <c r="H138" s="25"/>
      <c r="I138" s="25"/>
      <c r="J138" s="25"/>
      <c r="K138" s="25"/>
      <c r="L138" s="25"/>
      <c r="M138" s="25"/>
      <c r="N138" s="25"/>
      <c r="O138" s="25"/>
      <c r="P138" s="25"/>
      <c r="Q138" s="25"/>
      <c r="R138" s="25"/>
      <c r="S138" s="25"/>
      <c r="T138" s="53">
        <v>0</v>
      </c>
      <c r="U138" s="25"/>
      <c r="V138" s="5"/>
    </row>
    <row r="139" spans="1:23" ht="15.6" x14ac:dyDescent="0.3">
      <c r="A139" s="24"/>
      <c r="B139" s="25" t="s">
        <v>130</v>
      </c>
      <c r="C139" s="25"/>
      <c r="D139" s="25"/>
      <c r="E139" s="25"/>
      <c r="F139" s="25"/>
      <c r="G139" s="25"/>
      <c r="H139" s="25"/>
      <c r="I139" s="25"/>
      <c r="J139" s="25"/>
      <c r="K139" s="25"/>
      <c r="L139" s="25"/>
      <c r="M139" s="25"/>
      <c r="N139" s="25"/>
      <c r="O139" s="25"/>
      <c r="P139" s="25"/>
      <c r="Q139" s="25"/>
      <c r="R139" s="25"/>
      <c r="S139" s="25"/>
      <c r="T139" s="53">
        <v>0</v>
      </c>
      <c r="U139" s="25"/>
      <c r="V139" s="5"/>
    </row>
    <row r="140" spans="1:23" ht="15.6" x14ac:dyDescent="0.3">
      <c r="A140" s="24"/>
      <c r="B140" s="25" t="s">
        <v>182</v>
      </c>
      <c r="C140" s="25"/>
      <c r="D140" s="25"/>
      <c r="E140" s="25"/>
      <c r="F140" s="25"/>
      <c r="G140" s="25"/>
      <c r="H140" s="25"/>
      <c r="I140" s="25"/>
      <c r="J140" s="25"/>
      <c r="K140" s="25"/>
      <c r="L140" s="25"/>
      <c r="M140" s="25"/>
      <c r="N140" s="25"/>
      <c r="O140" s="25"/>
      <c r="P140" s="25"/>
      <c r="Q140" s="25"/>
      <c r="R140" s="25"/>
      <c r="S140" s="25"/>
      <c r="T140" s="53">
        <v>0</v>
      </c>
      <c r="U140" s="25"/>
      <c r="V140" s="5"/>
    </row>
    <row r="141" spans="1:23" ht="15.6" x14ac:dyDescent="0.3">
      <c r="A141" s="24"/>
      <c r="B141" s="25" t="s">
        <v>46</v>
      </c>
      <c r="C141" s="25"/>
      <c r="D141" s="25"/>
      <c r="E141" s="25"/>
      <c r="F141" s="25"/>
      <c r="G141" s="25"/>
      <c r="H141" s="25"/>
      <c r="I141" s="25"/>
      <c r="J141" s="25"/>
      <c r="K141" s="25"/>
      <c r="L141" s="25"/>
      <c r="M141" s="25"/>
      <c r="N141" s="25"/>
      <c r="O141" s="25"/>
      <c r="P141" s="25"/>
      <c r="Q141" s="25"/>
      <c r="R141" s="25"/>
      <c r="S141" s="25"/>
      <c r="T141" s="53">
        <v>0</v>
      </c>
      <c r="U141" s="25"/>
      <c r="V141" s="5"/>
    </row>
    <row r="142" spans="1:23" ht="15.6" x14ac:dyDescent="0.3">
      <c r="A142" s="24"/>
      <c r="B142" s="25" t="s">
        <v>135</v>
      </c>
      <c r="C142" s="25"/>
      <c r="D142" s="25"/>
      <c r="E142" s="25"/>
      <c r="F142" s="25"/>
      <c r="G142" s="25"/>
      <c r="H142" s="25"/>
      <c r="I142" s="25"/>
      <c r="J142" s="25"/>
      <c r="K142" s="25"/>
      <c r="L142" s="25"/>
      <c r="M142" s="25"/>
      <c r="N142" s="25"/>
      <c r="O142" s="25"/>
      <c r="P142" s="25"/>
      <c r="Q142" s="25"/>
      <c r="R142" s="25"/>
      <c r="S142" s="25"/>
      <c r="T142" s="53">
        <v>0</v>
      </c>
      <c r="U142" s="25"/>
      <c r="V142" s="5"/>
    </row>
    <row r="143" spans="1:23" ht="15.6" x14ac:dyDescent="0.3">
      <c r="A143" s="24"/>
      <c r="B143" s="25" t="s">
        <v>251</v>
      </c>
      <c r="C143" s="25"/>
      <c r="D143" s="25"/>
      <c r="E143" s="25"/>
      <c r="F143" s="25"/>
      <c r="G143" s="25"/>
      <c r="H143" s="25"/>
      <c r="I143" s="25"/>
      <c r="J143" s="25"/>
      <c r="K143" s="25"/>
      <c r="L143" s="25"/>
      <c r="M143" s="25"/>
      <c r="N143" s="25"/>
      <c r="O143" s="25"/>
      <c r="P143" s="25"/>
      <c r="Q143" s="25"/>
      <c r="R143" s="25"/>
      <c r="S143" s="25"/>
      <c r="T143" s="53">
        <v>0</v>
      </c>
      <c r="U143" s="25"/>
      <c r="V143" s="5"/>
      <c r="W143" s="109"/>
    </row>
    <row r="144" spans="1:23" ht="15.6" x14ac:dyDescent="0.3">
      <c r="A144" s="24"/>
      <c r="B144" s="25" t="s">
        <v>47</v>
      </c>
      <c r="C144" s="25"/>
      <c r="D144" s="25"/>
      <c r="E144" s="25"/>
      <c r="F144" s="25"/>
      <c r="G144" s="25"/>
      <c r="H144" s="25"/>
      <c r="I144" s="25"/>
      <c r="J144" s="25"/>
      <c r="K144" s="25"/>
      <c r="L144" s="25"/>
      <c r="M144" s="25"/>
      <c r="N144" s="25"/>
      <c r="O144" s="25"/>
      <c r="P144" s="25"/>
      <c r="Q144" s="25"/>
      <c r="R144" s="25"/>
      <c r="S144" s="25"/>
      <c r="T144" s="53">
        <f>SUM(T136:T143)</f>
        <v>19001</v>
      </c>
      <c r="U144" s="25"/>
      <c r="V144" s="5"/>
    </row>
    <row r="145" spans="1:22" ht="15.6" x14ac:dyDescent="0.3">
      <c r="A145" s="24"/>
      <c r="B145" s="25"/>
      <c r="C145" s="25"/>
      <c r="D145" s="25"/>
      <c r="E145" s="25"/>
      <c r="F145" s="25"/>
      <c r="G145" s="25"/>
      <c r="H145" s="25"/>
      <c r="I145" s="25"/>
      <c r="J145" s="25"/>
      <c r="K145" s="25"/>
      <c r="L145" s="25"/>
      <c r="M145" s="25"/>
      <c r="N145" s="25"/>
      <c r="O145" s="25"/>
      <c r="P145" s="25"/>
      <c r="Q145" s="25"/>
      <c r="R145" s="25"/>
      <c r="S145" s="25"/>
      <c r="T145" s="53"/>
      <c r="U145" s="25"/>
      <c r="V145" s="5"/>
    </row>
    <row r="146" spans="1:22" ht="15.6" x14ac:dyDescent="0.3">
      <c r="A146" s="24"/>
      <c r="B146" s="138" t="s">
        <v>254</v>
      </c>
      <c r="C146" s="25"/>
      <c r="D146" s="25"/>
      <c r="E146" s="25"/>
      <c r="F146" s="25"/>
      <c r="G146" s="25"/>
      <c r="H146" s="25"/>
      <c r="I146" s="25"/>
      <c r="J146" s="25"/>
      <c r="K146" s="25"/>
      <c r="L146" s="25"/>
      <c r="M146" s="25"/>
      <c r="N146" s="25"/>
      <c r="O146" s="25"/>
      <c r="P146" s="25"/>
      <c r="Q146" s="25"/>
      <c r="R146" s="25"/>
      <c r="S146" s="25"/>
      <c r="T146" s="53"/>
      <c r="U146" s="25"/>
      <c r="V146" s="5"/>
    </row>
    <row r="147" spans="1:22" ht="15.6" x14ac:dyDescent="0.3">
      <c r="A147" s="24"/>
      <c r="B147" s="25" t="s">
        <v>161</v>
      </c>
      <c r="C147" s="25"/>
      <c r="D147" s="25"/>
      <c r="E147" s="25"/>
      <c r="F147" s="25"/>
      <c r="G147" s="25"/>
      <c r="H147" s="25"/>
      <c r="I147" s="25"/>
      <c r="J147" s="25"/>
      <c r="K147" s="25"/>
      <c r="L147" s="25"/>
      <c r="M147" s="25"/>
      <c r="N147" s="25"/>
      <c r="O147" s="25"/>
      <c r="P147" s="25"/>
      <c r="Q147" s="25"/>
      <c r="R147" s="25"/>
      <c r="S147" s="25"/>
      <c r="T147" s="53">
        <v>0</v>
      </c>
      <c r="U147" s="25"/>
      <c r="V147" s="5"/>
    </row>
    <row r="148" spans="1:22" ht="15.6" x14ac:dyDescent="0.3">
      <c r="A148" s="24"/>
      <c r="B148" s="25" t="s">
        <v>179</v>
      </c>
      <c r="C148" s="25"/>
      <c r="D148" s="25"/>
      <c r="E148" s="25"/>
      <c r="F148" s="25"/>
      <c r="G148" s="25"/>
      <c r="H148" s="25"/>
      <c r="I148" s="25"/>
      <c r="J148" s="25"/>
      <c r="K148" s="25"/>
      <c r="L148" s="25"/>
      <c r="M148" s="25"/>
      <c r="N148" s="25"/>
      <c r="O148" s="25"/>
      <c r="P148" s="25"/>
      <c r="Q148" s="25"/>
      <c r="R148" s="25"/>
      <c r="S148" s="25"/>
      <c r="T148" s="53">
        <v>0</v>
      </c>
      <c r="U148" s="25"/>
      <c r="V148" s="5"/>
    </row>
    <row r="149" spans="1:22" ht="15.6" x14ac:dyDescent="0.3">
      <c r="A149" s="24"/>
      <c r="B149" s="25" t="s">
        <v>162</v>
      </c>
      <c r="C149" s="25"/>
      <c r="D149" s="25"/>
      <c r="E149" s="25"/>
      <c r="F149" s="25"/>
      <c r="G149" s="25"/>
      <c r="H149" s="25"/>
      <c r="I149" s="25"/>
      <c r="J149" s="25"/>
      <c r="K149" s="25"/>
      <c r="L149" s="25"/>
      <c r="M149" s="25"/>
      <c r="N149" s="25"/>
      <c r="O149" s="25"/>
      <c r="P149" s="25"/>
      <c r="Q149" s="25"/>
      <c r="R149" s="25"/>
      <c r="S149" s="25"/>
      <c r="T149" s="53">
        <v>0</v>
      </c>
      <c r="U149" s="25"/>
      <c r="V149" s="5"/>
    </row>
    <row r="150" spans="1:22" ht="15.6" x14ac:dyDescent="0.3">
      <c r="A150" s="24"/>
      <c r="B150" s="25"/>
      <c r="C150" s="25"/>
      <c r="D150" s="25"/>
      <c r="E150" s="25"/>
      <c r="F150" s="25"/>
      <c r="G150" s="25"/>
      <c r="H150" s="25"/>
      <c r="I150" s="25"/>
      <c r="J150" s="25"/>
      <c r="K150" s="25"/>
      <c r="L150" s="25"/>
      <c r="M150" s="25"/>
      <c r="N150" s="25"/>
      <c r="O150" s="25"/>
      <c r="P150" s="25"/>
      <c r="Q150" s="25"/>
      <c r="R150" s="25"/>
      <c r="S150" s="25"/>
      <c r="T150" s="53"/>
      <c r="U150" s="25"/>
      <c r="V150" s="5"/>
    </row>
    <row r="151" spans="1:22" ht="15.6" x14ac:dyDescent="0.3">
      <c r="A151" s="24"/>
      <c r="B151" s="25"/>
      <c r="C151" s="25"/>
      <c r="D151" s="25"/>
      <c r="E151" s="25"/>
      <c r="F151" s="25"/>
      <c r="G151" s="25"/>
      <c r="H151" s="25"/>
      <c r="I151" s="25"/>
      <c r="J151" s="25"/>
      <c r="K151" s="25"/>
      <c r="L151" s="25"/>
      <c r="M151" s="25"/>
      <c r="N151" s="25"/>
      <c r="O151" s="25"/>
      <c r="P151" s="25"/>
      <c r="Q151" s="25"/>
      <c r="R151" s="25"/>
      <c r="S151" s="25"/>
      <c r="T151" s="61"/>
      <c r="U151" s="25"/>
      <c r="V151" s="5"/>
    </row>
    <row r="152" spans="1:22" ht="15.6" x14ac:dyDescent="0.3">
      <c r="A152" s="6"/>
      <c r="B152" s="119" t="s">
        <v>24</v>
      </c>
      <c r="C152" s="8"/>
      <c r="D152" s="8"/>
      <c r="E152" s="8"/>
      <c r="F152" s="8"/>
      <c r="G152" s="8"/>
      <c r="H152" s="8"/>
      <c r="I152" s="8"/>
      <c r="J152" s="8"/>
      <c r="K152" s="8"/>
      <c r="L152" s="8"/>
      <c r="M152" s="8"/>
      <c r="N152" s="8"/>
      <c r="O152" s="8"/>
      <c r="P152" s="8"/>
      <c r="Q152" s="8"/>
      <c r="R152" s="8"/>
      <c r="S152" s="8"/>
      <c r="T152" s="52"/>
      <c r="U152" s="8"/>
      <c r="V152" s="5"/>
    </row>
    <row r="153" spans="1:22" ht="15.6" x14ac:dyDescent="0.3">
      <c r="A153" s="24"/>
      <c r="B153" s="25" t="s">
        <v>48</v>
      </c>
      <c r="C153" s="25"/>
      <c r="D153" s="25"/>
      <c r="E153" s="25"/>
      <c r="F153" s="25"/>
      <c r="G153" s="25"/>
      <c r="H153" s="25"/>
      <c r="I153" s="25"/>
      <c r="J153" s="25"/>
      <c r="K153" s="25"/>
      <c r="L153" s="25"/>
      <c r="M153" s="25"/>
      <c r="N153" s="25"/>
      <c r="O153" s="25"/>
      <c r="P153" s="25"/>
      <c r="Q153" s="25"/>
      <c r="R153" s="25"/>
      <c r="S153" s="25"/>
      <c r="T153" s="59" t="s">
        <v>124</v>
      </c>
      <c r="U153" s="25"/>
      <c r="V153" s="5"/>
    </row>
    <row r="154" spans="1:22" ht="15.6" x14ac:dyDescent="0.3">
      <c r="A154" s="24"/>
      <c r="B154" s="25" t="s">
        <v>49</v>
      </c>
      <c r="C154" s="163"/>
      <c r="D154" s="163"/>
      <c r="E154" s="163"/>
      <c r="F154" s="163"/>
      <c r="G154" s="163"/>
      <c r="H154" s="163"/>
      <c r="I154" s="163"/>
      <c r="J154" s="163"/>
      <c r="K154" s="163"/>
      <c r="L154" s="163"/>
      <c r="M154" s="163"/>
      <c r="N154" s="163"/>
      <c r="O154" s="163"/>
      <c r="P154" s="163"/>
      <c r="Q154" s="163"/>
      <c r="R154" s="163"/>
      <c r="S154" s="163"/>
      <c r="T154" s="59" t="s">
        <v>124</v>
      </c>
      <c r="U154" s="25"/>
      <c r="V154" s="5"/>
    </row>
    <row r="155" spans="1:22" ht="15.6" x14ac:dyDescent="0.3">
      <c r="A155" s="24"/>
      <c r="B155" s="25" t="s">
        <v>50</v>
      </c>
      <c r="C155" s="25"/>
      <c r="D155" s="25"/>
      <c r="E155" s="25"/>
      <c r="F155" s="25"/>
      <c r="G155" s="25"/>
      <c r="H155" s="25"/>
      <c r="I155" s="25"/>
      <c r="J155" s="25"/>
      <c r="K155" s="25"/>
      <c r="L155" s="25"/>
      <c r="M155" s="25"/>
      <c r="N155" s="25"/>
      <c r="O155" s="25"/>
      <c r="P155" s="25"/>
      <c r="Q155" s="25"/>
      <c r="R155" s="25"/>
      <c r="S155" s="25"/>
      <c r="T155" s="59" t="s">
        <v>124</v>
      </c>
      <c r="U155" s="25"/>
      <c r="V155" s="5"/>
    </row>
    <row r="156" spans="1:22" ht="15.6" x14ac:dyDescent="0.3">
      <c r="A156" s="24"/>
      <c r="B156" s="25" t="s">
        <v>51</v>
      </c>
      <c r="C156" s="25"/>
      <c r="D156" s="25"/>
      <c r="E156" s="25"/>
      <c r="F156" s="25"/>
      <c r="G156" s="25"/>
      <c r="H156" s="25"/>
      <c r="I156" s="25"/>
      <c r="J156" s="25"/>
      <c r="K156" s="25"/>
      <c r="L156" s="25"/>
      <c r="M156" s="25"/>
      <c r="N156" s="25"/>
      <c r="O156" s="25"/>
      <c r="P156" s="25"/>
      <c r="Q156" s="25"/>
      <c r="R156" s="25"/>
      <c r="S156" s="25"/>
      <c r="T156" s="59" t="s">
        <v>124</v>
      </c>
      <c r="U156" s="25"/>
      <c r="V156" s="5"/>
    </row>
    <row r="157" spans="1:22" ht="15.6" x14ac:dyDescent="0.3">
      <c r="A157" s="24"/>
      <c r="B157" s="25"/>
      <c r="C157" s="25"/>
      <c r="D157" s="25"/>
      <c r="E157" s="25"/>
      <c r="F157" s="25"/>
      <c r="G157" s="25"/>
      <c r="H157" s="25"/>
      <c r="I157" s="25"/>
      <c r="J157" s="25"/>
      <c r="K157" s="25"/>
      <c r="L157" s="25"/>
      <c r="M157" s="25"/>
      <c r="N157" s="25"/>
      <c r="O157" s="25"/>
      <c r="P157" s="25"/>
      <c r="Q157" s="25"/>
      <c r="R157" s="25"/>
      <c r="S157" s="25"/>
      <c r="T157" s="61"/>
      <c r="U157" s="25"/>
      <c r="V157" s="5"/>
    </row>
    <row r="158" spans="1:22" ht="15.6" x14ac:dyDescent="0.3">
      <c r="A158" s="6"/>
      <c r="B158" s="119" t="s">
        <v>52</v>
      </c>
      <c r="C158" s="8"/>
      <c r="D158" s="8"/>
      <c r="E158" s="8"/>
      <c r="F158" s="8"/>
      <c r="G158" s="8"/>
      <c r="H158" s="8"/>
      <c r="I158" s="8"/>
      <c r="J158" s="8"/>
      <c r="K158" s="8"/>
      <c r="L158" s="8"/>
      <c r="M158" s="8"/>
      <c r="N158" s="8"/>
      <c r="O158" s="8"/>
      <c r="P158" s="8"/>
      <c r="Q158" s="8"/>
      <c r="R158" s="8"/>
      <c r="S158" s="8"/>
      <c r="T158" s="63"/>
      <c r="U158" s="8"/>
      <c r="V158" s="5"/>
    </row>
    <row r="159" spans="1:22" ht="15.6" x14ac:dyDescent="0.3">
      <c r="A159" s="24"/>
      <c r="B159" s="25" t="s">
        <v>53</v>
      </c>
      <c r="C159" s="25"/>
      <c r="D159" s="25"/>
      <c r="E159" s="25"/>
      <c r="F159" s="25"/>
      <c r="G159" s="25"/>
      <c r="H159" s="25"/>
      <c r="I159" s="25"/>
      <c r="J159" s="25"/>
      <c r="K159" s="25"/>
      <c r="L159" s="25"/>
      <c r="M159" s="25"/>
      <c r="N159" s="25"/>
      <c r="O159" s="25"/>
      <c r="P159" s="25"/>
      <c r="Q159" s="25"/>
      <c r="R159" s="25"/>
      <c r="S159" s="25"/>
      <c r="T159" s="53">
        <v>0</v>
      </c>
      <c r="U159" s="25"/>
      <c r="V159" s="5"/>
    </row>
    <row r="160" spans="1:22" ht="15.6" x14ac:dyDescent="0.3">
      <c r="A160" s="24"/>
      <c r="B160" s="25" t="s">
        <v>54</v>
      </c>
      <c r="C160" s="25"/>
      <c r="D160" s="25"/>
      <c r="E160" s="25"/>
      <c r="F160" s="25"/>
      <c r="G160" s="25"/>
      <c r="H160" s="25"/>
      <c r="I160" s="25"/>
      <c r="J160" s="25"/>
      <c r="K160" s="25"/>
      <c r="L160" s="25"/>
      <c r="M160" s="25"/>
      <c r="N160" s="25"/>
      <c r="O160" s="25"/>
      <c r="P160" s="25"/>
      <c r="Q160" s="25"/>
      <c r="R160" s="25"/>
      <c r="S160" s="25"/>
      <c r="T160" s="53">
        <f>R111</f>
        <v>0</v>
      </c>
      <c r="U160" s="25"/>
      <c r="V160" s="5"/>
    </row>
    <row r="161" spans="1:22" ht="15.6" x14ac:dyDescent="0.3">
      <c r="A161" s="24"/>
      <c r="B161" s="25" t="s">
        <v>55</v>
      </c>
      <c r="C161" s="25"/>
      <c r="D161" s="25"/>
      <c r="E161" s="25"/>
      <c r="F161" s="25"/>
      <c r="G161" s="25"/>
      <c r="H161" s="25"/>
      <c r="I161" s="25"/>
      <c r="J161" s="25"/>
      <c r="K161" s="25"/>
      <c r="L161" s="25"/>
      <c r="M161" s="25"/>
      <c r="N161" s="25"/>
      <c r="O161" s="25"/>
      <c r="P161" s="25"/>
      <c r="Q161" s="25"/>
      <c r="R161" s="25"/>
      <c r="S161" s="25"/>
      <c r="T161" s="53">
        <f>T160+T159</f>
        <v>0</v>
      </c>
      <c r="U161" s="25"/>
      <c r="V161" s="5"/>
    </row>
    <row r="162" spans="1:22" ht="15.6" x14ac:dyDescent="0.3">
      <c r="A162" s="24"/>
      <c r="B162" s="405" t="s">
        <v>301</v>
      </c>
      <c r="C162" s="25"/>
      <c r="D162" s="25"/>
      <c r="E162" s="25"/>
      <c r="F162" s="25"/>
      <c r="G162" s="25"/>
      <c r="H162" s="25"/>
      <c r="I162" s="25"/>
      <c r="J162" s="25"/>
      <c r="K162" s="25"/>
      <c r="L162" s="25"/>
      <c r="M162" s="25"/>
      <c r="N162" s="25"/>
      <c r="O162" s="25"/>
      <c r="P162" s="25"/>
      <c r="Q162" s="25"/>
      <c r="R162" s="25"/>
      <c r="S162" s="25"/>
      <c r="T162" s="53">
        <f>T111</f>
        <v>0</v>
      </c>
      <c r="U162" s="25"/>
      <c r="V162" s="5"/>
    </row>
    <row r="163" spans="1:22" ht="15.6" x14ac:dyDescent="0.3">
      <c r="A163" s="24"/>
      <c r="B163" s="25" t="s">
        <v>56</v>
      </c>
      <c r="C163" s="25"/>
      <c r="D163" s="25"/>
      <c r="E163" s="25"/>
      <c r="F163" s="25"/>
      <c r="G163" s="25"/>
      <c r="H163" s="25"/>
      <c r="I163" s="25"/>
      <c r="J163" s="25"/>
      <c r="K163" s="25"/>
      <c r="L163" s="25"/>
      <c r="M163" s="25"/>
      <c r="N163" s="25"/>
      <c r="O163" s="25"/>
      <c r="P163" s="25"/>
      <c r="Q163" s="25"/>
      <c r="R163" s="25"/>
      <c r="S163" s="25"/>
      <c r="T163" s="53">
        <f>T161+T162</f>
        <v>0</v>
      </c>
      <c r="U163" s="25"/>
      <c r="V163" s="5"/>
    </row>
    <row r="164" spans="1:22" ht="16.2" thickBot="1" x14ac:dyDescent="0.35">
      <c r="A164" s="24"/>
      <c r="B164" s="25"/>
      <c r="C164" s="25"/>
      <c r="D164" s="25"/>
      <c r="E164" s="25"/>
      <c r="F164" s="25"/>
      <c r="G164" s="25"/>
      <c r="H164" s="25"/>
      <c r="I164" s="25"/>
      <c r="J164" s="25"/>
      <c r="K164" s="25"/>
      <c r="L164" s="25"/>
      <c r="M164" s="25"/>
      <c r="N164" s="25"/>
      <c r="O164" s="25"/>
      <c r="P164" s="25"/>
      <c r="Q164" s="25"/>
      <c r="R164" s="25"/>
      <c r="S164" s="25"/>
      <c r="T164" s="61"/>
      <c r="U164" s="25"/>
      <c r="V164" s="5"/>
    </row>
    <row r="165" spans="1:22" ht="15.6" x14ac:dyDescent="0.3">
      <c r="A165" s="2"/>
      <c r="B165" s="4"/>
      <c r="C165" s="4"/>
      <c r="D165" s="4"/>
      <c r="E165" s="4"/>
      <c r="F165" s="4"/>
      <c r="G165" s="4"/>
      <c r="H165" s="4"/>
      <c r="I165" s="4"/>
      <c r="J165" s="4"/>
      <c r="K165" s="4"/>
      <c r="L165" s="4"/>
      <c r="M165" s="4"/>
      <c r="N165" s="4"/>
      <c r="O165" s="4"/>
      <c r="P165" s="4"/>
      <c r="Q165" s="4"/>
      <c r="R165" s="4"/>
      <c r="S165" s="4"/>
      <c r="T165" s="50"/>
      <c r="U165" s="4"/>
      <c r="V165" s="5"/>
    </row>
    <row r="166" spans="1:22" ht="15.6" x14ac:dyDescent="0.3">
      <c r="A166" s="6"/>
      <c r="B166" s="119" t="s">
        <v>57</v>
      </c>
      <c r="C166" s="8"/>
      <c r="D166" s="8"/>
      <c r="E166" s="8"/>
      <c r="F166" s="8"/>
      <c r="G166" s="8"/>
      <c r="H166" s="8"/>
      <c r="I166" s="8"/>
      <c r="J166" s="8"/>
      <c r="K166" s="8"/>
      <c r="L166" s="8"/>
      <c r="M166" s="8"/>
      <c r="N166" s="8"/>
      <c r="O166" s="8"/>
      <c r="P166" s="8"/>
      <c r="Q166" s="8"/>
      <c r="R166" s="8"/>
      <c r="S166" s="8"/>
      <c r="T166" s="52"/>
      <c r="U166" s="8"/>
      <c r="V166" s="5"/>
    </row>
    <row r="167" spans="1:22" ht="15.6" x14ac:dyDescent="0.3">
      <c r="A167" s="6"/>
      <c r="B167" s="21"/>
      <c r="C167" s="8"/>
      <c r="D167" s="8"/>
      <c r="E167" s="8"/>
      <c r="F167" s="8"/>
      <c r="G167" s="8"/>
      <c r="H167" s="8"/>
      <c r="I167" s="8"/>
      <c r="J167" s="8"/>
      <c r="K167" s="8"/>
      <c r="L167" s="8"/>
      <c r="M167" s="8"/>
      <c r="N167" s="8"/>
      <c r="O167" s="8"/>
      <c r="P167" s="8"/>
      <c r="Q167" s="8"/>
      <c r="R167" s="8"/>
      <c r="S167" s="8"/>
      <c r="T167" s="52"/>
      <c r="U167" s="8"/>
      <c r="V167" s="5"/>
    </row>
    <row r="168" spans="1:22" ht="15.6" x14ac:dyDescent="0.3">
      <c r="A168" s="24"/>
      <c r="B168" s="25" t="s">
        <v>58</v>
      </c>
      <c r="C168" s="25"/>
      <c r="D168" s="25"/>
      <c r="E168" s="25"/>
      <c r="F168" s="25"/>
      <c r="G168" s="25"/>
      <c r="H168" s="25"/>
      <c r="I168" s="25"/>
      <c r="J168" s="25"/>
      <c r="K168" s="25"/>
      <c r="L168" s="25"/>
      <c r="M168" s="25"/>
      <c r="N168" s="25"/>
      <c r="O168" s="25"/>
      <c r="P168" s="25"/>
      <c r="Q168" s="25"/>
      <c r="R168" s="25"/>
      <c r="S168" s="25"/>
      <c r="T168" s="53">
        <f>T72</f>
        <v>964230</v>
      </c>
      <c r="U168" s="25"/>
      <c r="V168" s="5"/>
    </row>
    <row r="169" spans="1:22" ht="15.6" x14ac:dyDescent="0.3">
      <c r="A169" s="24"/>
      <c r="B169" s="25" t="s">
        <v>59</v>
      </c>
      <c r="C169" s="25"/>
      <c r="D169" s="25"/>
      <c r="E169" s="25"/>
      <c r="F169" s="25"/>
      <c r="G169" s="25"/>
      <c r="H169" s="25"/>
      <c r="I169" s="25"/>
      <c r="J169" s="25"/>
      <c r="K169" s="25"/>
      <c r="L169" s="25"/>
      <c r="M169" s="25"/>
      <c r="N169" s="25"/>
      <c r="O169" s="25"/>
      <c r="P169" s="25"/>
      <c r="Q169" s="25"/>
      <c r="R169" s="25"/>
      <c r="S169" s="25"/>
      <c r="T169" s="53">
        <f>T85</f>
        <v>964230</v>
      </c>
      <c r="U169" s="25"/>
      <c r="V169" s="5"/>
    </row>
    <row r="170" spans="1:22" ht="16.2" thickBot="1" x14ac:dyDescent="0.35">
      <c r="A170" s="24"/>
      <c r="B170" s="25"/>
      <c r="C170" s="25"/>
      <c r="D170" s="25"/>
      <c r="E170" s="25"/>
      <c r="F170" s="25"/>
      <c r="G170" s="25"/>
      <c r="H170" s="25"/>
      <c r="I170" s="25"/>
      <c r="J170" s="25"/>
      <c r="K170" s="25"/>
      <c r="L170" s="25"/>
      <c r="M170" s="25"/>
      <c r="N170" s="25"/>
      <c r="O170" s="25"/>
      <c r="P170" s="25"/>
      <c r="Q170" s="25"/>
      <c r="R170" s="25"/>
      <c r="S170" s="25"/>
      <c r="T170" s="61"/>
      <c r="U170" s="25"/>
      <c r="V170" s="5"/>
    </row>
    <row r="171" spans="1:22" ht="15.6" x14ac:dyDescent="0.3">
      <c r="A171" s="2"/>
      <c r="B171" s="4"/>
      <c r="C171" s="4"/>
      <c r="D171" s="4"/>
      <c r="E171" s="4"/>
      <c r="F171" s="4"/>
      <c r="G171" s="4"/>
      <c r="H171" s="4"/>
      <c r="I171" s="4"/>
      <c r="J171" s="4"/>
      <c r="K171" s="4"/>
      <c r="L171" s="4"/>
      <c r="M171" s="4"/>
      <c r="N171" s="4"/>
      <c r="O171" s="4"/>
      <c r="P171" s="4"/>
      <c r="Q171" s="4"/>
      <c r="R171" s="4"/>
      <c r="S171" s="4"/>
      <c r="T171" s="50"/>
      <c r="U171" s="4"/>
      <c r="V171" s="5"/>
    </row>
    <row r="172" spans="1:22" ht="15.6" x14ac:dyDescent="0.3">
      <c r="A172" s="6"/>
      <c r="B172" s="119" t="s">
        <v>60</v>
      </c>
      <c r="C172" s="117"/>
      <c r="D172" s="117"/>
      <c r="E172" s="117"/>
      <c r="F172" s="117"/>
      <c r="G172" s="117"/>
      <c r="H172" s="120"/>
      <c r="I172" s="120"/>
      <c r="J172" s="120"/>
      <c r="K172" s="120"/>
      <c r="L172" s="120"/>
      <c r="M172" s="120"/>
      <c r="N172" s="120"/>
      <c r="O172" s="120"/>
      <c r="P172" s="120"/>
      <c r="Q172" s="120" t="s">
        <v>104</v>
      </c>
      <c r="R172" s="120" t="s">
        <v>183</v>
      </c>
      <c r="S172" s="111"/>
      <c r="T172" s="121" t="s">
        <v>120</v>
      </c>
      <c r="U172" s="10"/>
      <c r="V172" s="5"/>
    </row>
    <row r="173" spans="1:22" ht="15.6" x14ac:dyDescent="0.3">
      <c r="A173" s="24"/>
      <c r="B173" s="25" t="s">
        <v>61</v>
      </c>
      <c r="C173" s="25"/>
      <c r="D173" s="25"/>
      <c r="E173" s="25"/>
      <c r="F173" s="25"/>
      <c r="G173" s="25"/>
      <c r="H173" s="25"/>
      <c r="I173" s="25"/>
      <c r="J173" s="25"/>
      <c r="K173" s="25"/>
      <c r="L173" s="25"/>
      <c r="M173" s="25"/>
      <c r="N173" s="25"/>
      <c r="O173" s="25"/>
      <c r="P173" s="25"/>
      <c r="Q173" s="53">
        <v>160008</v>
      </c>
      <c r="R173" s="40"/>
      <c r="S173" s="25"/>
      <c r="T173" s="53"/>
      <c r="U173" s="25"/>
      <c r="V173" s="5"/>
    </row>
    <row r="174" spans="1:22" ht="15.6" x14ac:dyDescent="0.3">
      <c r="A174" s="24"/>
      <c r="B174" s="25" t="s">
        <v>62</v>
      </c>
      <c r="C174" s="25"/>
      <c r="D174" s="25"/>
      <c r="E174" s="25"/>
      <c r="F174" s="25"/>
      <c r="G174" s="25"/>
      <c r="H174" s="25"/>
      <c r="I174" s="25"/>
      <c r="J174" s="25"/>
      <c r="K174" s="25"/>
      <c r="L174" s="25"/>
      <c r="M174" s="25"/>
      <c r="N174" s="25"/>
      <c r="O174" s="25"/>
      <c r="P174" s="25"/>
      <c r="Q174" s="53">
        <f>+'June 06'!Q176</f>
        <v>3639</v>
      </c>
      <c r="R174" s="53">
        <f>+'June 06'!R176</f>
        <v>2234</v>
      </c>
      <c r="S174" s="25"/>
      <c r="T174" s="53">
        <f>Q174+R174</f>
        <v>5873</v>
      </c>
      <c r="U174" s="25"/>
      <c r="V174" s="5"/>
    </row>
    <row r="175" spans="1:22" ht="15.6" x14ac:dyDescent="0.3">
      <c r="A175" s="24"/>
      <c r="B175" s="25" t="s">
        <v>63</v>
      </c>
      <c r="C175" s="25"/>
      <c r="D175" s="25"/>
      <c r="E175" s="25"/>
      <c r="F175" s="25"/>
      <c r="G175" s="25"/>
      <c r="H175" s="25"/>
      <c r="I175" s="25"/>
      <c r="J175" s="25"/>
      <c r="K175" s="25"/>
      <c r="L175" s="25"/>
      <c r="M175" s="25"/>
      <c r="N175" s="25"/>
      <c r="O175" s="25"/>
      <c r="P175" s="25"/>
      <c r="Q175" s="34">
        <v>5697</v>
      </c>
      <c r="R175" s="34">
        <v>513</v>
      </c>
      <c r="S175" s="25"/>
      <c r="T175" s="53">
        <f>Q175+R175</f>
        <v>6210</v>
      </c>
      <c r="U175" s="25"/>
      <c r="V175" s="5"/>
    </row>
    <row r="176" spans="1:22" ht="15.6" x14ac:dyDescent="0.3">
      <c r="A176" s="24"/>
      <c r="B176" s="25" t="s">
        <v>64</v>
      </c>
      <c r="C176" s="25"/>
      <c r="D176" s="25"/>
      <c r="E176" s="25"/>
      <c r="F176" s="25"/>
      <c r="G176" s="25"/>
      <c r="H176" s="25"/>
      <c r="I176" s="25"/>
      <c r="J176" s="25"/>
      <c r="K176" s="25"/>
      <c r="L176" s="25"/>
      <c r="M176" s="25"/>
      <c r="N176" s="25"/>
      <c r="O176" s="25"/>
      <c r="P176" s="25"/>
      <c r="Q176" s="53">
        <f>Q174+Q175</f>
        <v>9336</v>
      </c>
      <c r="R176" s="53">
        <f>R175+R174</f>
        <v>2747</v>
      </c>
      <c r="S176" s="25"/>
      <c r="T176" s="53">
        <f>Q176+R176</f>
        <v>12083</v>
      </c>
      <c r="U176" s="25"/>
      <c r="V176" s="5"/>
    </row>
    <row r="177" spans="1:22" ht="15.6" x14ac:dyDescent="0.3">
      <c r="A177" s="24"/>
      <c r="B177" s="25" t="s">
        <v>65</v>
      </c>
      <c r="C177" s="25"/>
      <c r="D177" s="25"/>
      <c r="E177" s="25"/>
      <c r="F177" s="25"/>
      <c r="G177" s="25"/>
      <c r="H177" s="25"/>
      <c r="I177" s="25"/>
      <c r="J177" s="25"/>
      <c r="K177" s="25"/>
      <c r="L177" s="25"/>
      <c r="M177" s="25"/>
      <c r="N177" s="25"/>
      <c r="O177" s="25"/>
      <c r="P177" s="25"/>
      <c r="Q177" s="53">
        <f>Q173-Q176-R176</f>
        <v>147925</v>
      </c>
      <c r="R177" s="40"/>
      <c r="S177" s="25"/>
      <c r="T177" s="53"/>
      <c r="U177" s="25"/>
      <c r="V177" s="5"/>
    </row>
    <row r="178" spans="1:22" ht="16.2" thickBot="1" x14ac:dyDescent="0.35">
      <c r="A178" s="24"/>
      <c r="B178" s="25"/>
      <c r="C178" s="25"/>
      <c r="D178" s="25"/>
      <c r="E178" s="25"/>
      <c r="F178" s="25"/>
      <c r="G178" s="25"/>
      <c r="H178" s="25"/>
      <c r="I178" s="25"/>
      <c r="J178" s="25"/>
      <c r="K178" s="25"/>
      <c r="L178" s="25"/>
      <c r="M178" s="25"/>
      <c r="N178" s="25"/>
      <c r="O178" s="25"/>
      <c r="P178" s="25"/>
      <c r="Q178" s="25"/>
      <c r="R178" s="25"/>
      <c r="S178" s="25"/>
      <c r="T178" s="61"/>
      <c r="U178" s="25"/>
      <c r="V178" s="5"/>
    </row>
    <row r="179" spans="1:22" ht="15.6" x14ac:dyDescent="0.3">
      <c r="A179" s="2"/>
      <c r="B179" s="4"/>
      <c r="C179" s="4"/>
      <c r="D179" s="4"/>
      <c r="E179" s="4"/>
      <c r="F179" s="4"/>
      <c r="G179" s="4"/>
      <c r="H179" s="4"/>
      <c r="I179" s="4"/>
      <c r="J179" s="4"/>
      <c r="K179" s="4"/>
      <c r="L179" s="4"/>
      <c r="M179" s="4"/>
      <c r="N179" s="4"/>
      <c r="O179" s="4"/>
      <c r="P179" s="4"/>
      <c r="Q179" s="4"/>
      <c r="R179" s="4"/>
      <c r="S179" s="4"/>
      <c r="T179" s="50"/>
      <c r="U179" s="4"/>
      <c r="V179" s="5"/>
    </row>
    <row r="180" spans="1:22" ht="15.6" x14ac:dyDescent="0.3">
      <c r="A180" s="6"/>
      <c r="B180" s="119" t="s">
        <v>66</v>
      </c>
      <c r="C180" s="8"/>
      <c r="D180" s="8"/>
      <c r="E180" s="8"/>
      <c r="F180" s="8"/>
      <c r="G180" s="8"/>
      <c r="H180" s="8"/>
      <c r="I180" s="8"/>
      <c r="J180" s="8"/>
      <c r="K180" s="8"/>
      <c r="L180" s="8"/>
      <c r="M180" s="8"/>
      <c r="N180" s="8"/>
      <c r="O180" s="8"/>
      <c r="P180" s="8"/>
      <c r="Q180" s="8"/>
      <c r="R180" s="8"/>
      <c r="S180" s="8"/>
      <c r="T180" s="65"/>
      <c r="U180" s="8"/>
      <c r="V180" s="5"/>
    </row>
    <row r="181" spans="1:22" ht="15.6" x14ac:dyDescent="0.3">
      <c r="A181" s="24"/>
      <c r="B181" s="25" t="s">
        <v>67</v>
      </c>
      <c r="C181" s="25"/>
      <c r="D181" s="25"/>
      <c r="E181" s="25"/>
      <c r="F181" s="25"/>
      <c r="G181" s="25"/>
      <c r="H181" s="25"/>
      <c r="I181" s="25"/>
      <c r="J181" s="25"/>
      <c r="K181" s="25"/>
      <c r="L181" s="25"/>
      <c r="M181" s="25"/>
      <c r="N181" s="25"/>
      <c r="O181" s="25"/>
      <c r="P181" s="25"/>
      <c r="Q181" s="25"/>
      <c r="R181" s="25"/>
      <c r="S181" s="25"/>
      <c r="T181" s="59">
        <f>(T99+T101+T102+T103+T104)/-(T105+T106)</f>
        <v>1.5419284076179081</v>
      </c>
      <c r="U181" s="25" t="s">
        <v>121</v>
      </c>
      <c r="V181" s="5"/>
    </row>
    <row r="182" spans="1:22" ht="15.6" x14ac:dyDescent="0.3">
      <c r="A182" s="24"/>
      <c r="B182" s="25" t="s">
        <v>68</v>
      </c>
      <c r="C182" s="25"/>
      <c r="D182" s="25"/>
      <c r="E182" s="25"/>
      <c r="F182" s="25"/>
      <c r="G182" s="25"/>
      <c r="H182" s="25"/>
      <c r="I182" s="25"/>
      <c r="J182" s="25"/>
      <c r="K182" s="25"/>
      <c r="L182" s="25"/>
      <c r="M182" s="25"/>
      <c r="N182" s="25"/>
      <c r="O182" s="25"/>
      <c r="P182" s="25"/>
      <c r="Q182" s="25"/>
      <c r="R182" s="25"/>
      <c r="S182" s="25"/>
      <c r="T182" s="66">
        <v>1.39</v>
      </c>
      <c r="U182" s="25" t="s">
        <v>121</v>
      </c>
      <c r="V182" s="5"/>
    </row>
    <row r="183" spans="1:22" ht="15.6" x14ac:dyDescent="0.3">
      <c r="A183" s="24"/>
      <c r="B183" s="25" t="s">
        <v>69</v>
      </c>
      <c r="C183" s="25"/>
      <c r="D183" s="25"/>
      <c r="E183" s="25"/>
      <c r="F183" s="25"/>
      <c r="G183" s="25"/>
      <c r="H183" s="25"/>
      <c r="I183" s="25"/>
      <c r="J183" s="25"/>
      <c r="K183" s="25"/>
      <c r="L183" s="25"/>
      <c r="M183" s="25"/>
      <c r="N183" s="25"/>
      <c r="O183" s="25"/>
      <c r="P183" s="25"/>
      <c r="Q183" s="25"/>
      <c r="R183" s="25"/>
      <c r="S183" s="25"/>
      <c r="T183" s="59">
        <f>(T99+T101+T102+T103+T104+T105+T106)/-(T107+T108)</f>
        <v>6.0794183445190155</v>
      </c>
      <c r="U183" s="25" t="s">
        <v>121</v>
      </c>
      <c r="V183" s="5"/>
    </row>
    <row r="184" spans="1:22" ht="15.6" x14ac:dyDescent="0.3">
      <c r="A184" s="24"/>
      <c r="B184" s="25" t="s">
        <v>70</v>
      </c>
      <c r="C184" s="25"/>
      <c r="D184" s="25"/>
      <c r="E184" s="25"/>
      <c r="F184" s="25"/>
      <c r="G184" s="25"/>
      <c r="H184" s="25"/>
      <c r="I184" s="25"/>
      <c r="J184" s="25"/>
      <c r="K184" s="25"/>
      <c r="L184" s="25"/>
      <c r="M184" s="25"/>
      <c r="N184" s="25"/>
      <c r="O184" s="25"/>
      <c r="P184" s="25"/>
      <c r="Q184" s="25"/>
      <c r="R184" s="25"/>
      <c r="S184" s="25"/>
      <c r="T184" s="66">
        <v>4.45</v>
      </c>
      <c r="U184" s="25" t="s">
        <v>121</v>
      </c>
      <c r="V184" s="5"/>
    </row>
    <row r="185" spans="1:22" ht="15.6" x14ac:dyDescent="0.3">
      <c r="A185" s="24"/>
      <c r="B185" s="25" t="s">
        <v>206</v>
      </c>
      <c r="C185" s="25"/>
      <c r="D185" s="25"/>
      <c r="E185" s="25"/>
      <c r="F185" s="25"/>
      <c r="G185" s="25"/>
      <c r="H185" s="25"/>
      <c r="I185" s="25"/>
      <c r="J185" s="25"/>
      <c r="K185" s="25"/>
      <c r="L185" s="25"/>
      <c r="M185" s="25"/>
      <c r="N185" s="25"/>
      <c r="O185" s="25"/>
      <c r="P185" s="25"/>
      <c r="Q185" s="25"/>
      <c r="R185" s="25"/>
      <c r="S185" s="25"/>
      <c r="T185" s="59">
        <f>(T99+T101+T102+T103+T104+T105+T106+T107+T108)/-(T109)</f>
        <v>5.8593548387096774</v>
      </c>
      <c r="U185" s="25" t="s">
        <v>121</v>
      </c>
      <c r="V185" s="5"/>
    </row>
    <row r="186" spans="1:22" ht="15.6" x14ac:dyDescent="0.3">
      <c r="A186" s="24"/>
      <c r="B186" s="25" t="s">
        <v>207</v>
      </c>
      <c r="C186" s="25"/>
      <c r="D186" s="25"/>
      <c r="E186" s="25"/>
      <c r="F186" s="25"/>
      <c r="G186" s="25"/>
      <c r="H186" s="25"/>
      <c r="I186" s="25"/>
      <c r="J186" s="25"/>
      <c r="K186" s="25"/>
      <c r="L186" s="25"/>
      <c r="M186" s="25"/>
      <c r="N186" s="25"/>
      <c r="O186" s="25"/>
      <c r="P186" s="25"/>
      <c r="Q186" s="25"/>
      <c r="R186" s="25"/>
      <c r="S186" s="25"/>
      <c r="T186" s="66">
        <v>3.97</v>
      </c>
      <c r="U186" s="25" t="s">
        <v>121</v>
      </c>
      <c r="V186" s="5"/>
    </row>
    <row r="187" spans="1:22" ht="15.6" x14ac:dyDescent="0.3">
      <c r="A187" s="24"/>
      <c r="B187" s="25"/>
      <c r="C187" s="25"/>
      <c r="D187" s="25"/>
      <c r="E187" s="25"/>
      <c r="F187" s="25"/>
      <c r="G187" s="25"/>
      <c r="H187" s="25"/>
      <c r="I187" s="25"/>
      <c r="J187" s="25"/>
      <c r="K187" s="25"/>
      <c r="L187" s="25"/>
      <c r="M187" s="25"/>
      <c r="N187" s="25"/>
      <c r="O187" s="25"/>
      <c r="P187" s="25"/>
      <c r="Q187" s="25"/>
      <c r="R187" s="25"/>
      <c r="S187" s="25"/>
      <c r="T187" s="25"/>
      <c r="U187" s="25"/>
      <c r="V187" s="5"/>
    </row>
    <row r="188" spans="1:22" ht="15.6" x14ac:dyDescent="0.3">
      <c r="A188" s="24"/>
      <c r="B188" s="25"/>
      <c r="C188" s="25"/>
      <c r="D188" s="25"/>
      <c r="E188" s="25"/>
      <c r="F188" s="25"/>
      <c r="G188" s="25"/>
      <c r="H188" s="25"/>
      <c r="I188" s="25"/>
      <c r="J188" s="25"/>
      <c r="K188" s="25"/>
      <c r="L188" s="25"/>
      <c r="M188" s="25"/>
      <c r="N188" s="25"/>
      <c r="O188" s="25"/>
      <c r="P188" s="25"/>
      <c r="Q188" s="25"/>
      <c r="R188" s="25"/>
      <c r="S188" s="25"/>
      <c r="T188" s="25"/>
      <c r="U188" s="25"/>
      <c r="V188" s="5"/>
    </row>
    <row r="189" spans="1:22" ht="15.6" x14ac:dyDescent="0.3">
      <c r="A189" s="6"/>
      <c r="B189" s="8"/>
      <c r="C189" s="8"/>
      <c r="D189" s="8"/>
      <c r="E189" s="8"/>
      <c r="F189" s="8"/>
      <c r="G189" s="8"/>
      <c r="H189" s="8"/>
      <c r="I189" s="8"/>
      <c r="J189" s="8"/>
      <c r="K189" s="8"/>
      <c r="L189" s="8"/>
      <c r="M189" s="8"/>
      <c r="N189" s="8"/>
      <c r="O189" s="8"/>
      <c r="P189" s="8"/>
      <c r="Q189" s="8"/>
      <c r="R189" s="8"/>
      <c r="S189" s="8"/>
      <c r="T189" s="8"/>
      <c r="U189" s="8"/>
      <c r="V189" s="5"/>
    </row>
    <row r="190" spans="1:22" ht="18" thickBot="1" x14ac:dyDescent="0.35">
      <c r="A190" s="101"/>
      <c r="B190" s="102" t="str">
        <f>B131</f>
        <v>PM11 INVESTOR REPORT QUARTER ENDING SEPTEMBER 2006</v>
      </c>
      <c r="C190" s="165"/>
      <c r="D190" s="165"/>
      <c r="E190" s="165"/>
      <c r="F190" s="165"/>
      <c r="G190" s="165"/>
      <c r="H190" s="165"/>
      <c r="I190" s="165"/>
      <c r="J190" s="165"/>
      <c r="K190" s="165"/>
      <c r="L190" s="165"/>
      <c r="M190" s="165"/>
      <c r="N190" s="165"/>
      <c r="O190" s="165"/>
      <c r="P190" s="165"/>
      <c r="Q190" s="165"/>
      <c r="R190" s="165"/>
      <c r="S190" s="165"/>
      <c r="T190" s="165"/>
      <c r="U190" s="166"/>
      <c r="V190" s="5"/>
    </row>
    <row r="191" spans="1:22" ht="15.6" x14ac:dyDescent="0.3">
      <c r="A191" s="67"/>
      <c r="B191" s="60" t="s">
        <v>71</v>
      </c>
      <c r="C191" s="68"/>
      <c r="D191" s="68"/>
      <c r="E191" s="68"/>
      <c r="F191" s="68"/>
      <c r="G191" s="69"/>
      <c r="H191" s="69"/>
      <c r="I191" s="69"/>
      <c r="J191" s="69"/>
      <c r="K191" s="69"/>
      <c r="L191" s="69"/>
      <c r="M191" s="69"/>
      <c r="N191" s="69"/>
      <c r="O191" s="69"/>
      <c r="P191" s="69"/>
      <c r="Q191" s="69"/>
      <c r="R191" s="70">
        <v>38989</v>
      </c>
      <c r="S191" s="4"/>
      <c r="T191" s="4"/>
      <c r="U191" s="4"/>
      <c r="V191" s="5"/>
    </row>
    <row r="192" spans="1:22" ht="15.6" x14ac:dyDescent="0.3">
      <c r="A192" s="71"/>
      <c r="B192" s="72"/>
      <c r="C192" s="73"/>
      <c r="D192" s="73"/>
      <c r="E192" s="73"/>
      <c r="F192" s="73"/>
      <c r="G192" s="74"/>
      <c r="H192" s="74"/>
      <c r="I192" s="74"/>
      <c r="J192" s="74"/>
      <c r="K192" s="74"/>
      <c r="L192" s="74"/>
      <c r="M192" s="74"/>
      <c r="N192" s="74"/>
      <c r="O192" s="74"/>
      <c r="P192" s="74"/>
      <c r="Q192" s="74"/>
      <c r="R192" s="74"/>
      <c r="S192" s="8"/>
      <c r="T192" s="8"/>
      <c r="U192" s="8"/>
      <c r="V192" s="5"/>
    </row>
    <row r="193" spans="1:22" ht="15.6" x14ac:dyDescent="0.3">
      <c r="A193" s="75"/>
      <c r="B193" s="76" t="s">
        <v>72</v>
      </c>
      <c r="C193" s="77"/>
      <c r="D193" s="77"/>
      <c r="E193" s="77"/>
      <c r="F193" s="77"/>
      <c r="G193" s="64"/>
      <c r="H193" s="64"/>
      <c r="I193" s="64"/>
      <c r="J193" s="64"/>
      <c r="K193" s="64"/>
      <c r="L193" s="64"/>
      <c r="M193" s="64"/>
      <c r="N193" s="64"/>
      <c r="O193" s="64"/>
      <c r="P193" s="64"/>
      <c r="Q193" s="64"/>
      <c r="R193" s="78">
        <v>5.1569999999999998E-2</v>
      </c>
      <c r="S193" s="25"/>
      <c r="T193" s="25"/>
      <c r="U193" s="25"/>
      <c r="V193" s="5"/>
    </row>
    <row r="194" spans="1:22" ht="15.6" x14ac:dyDescent="0.3">
      <c r="A194" s="75"/>
      <c r="B194" s="76" t="s">
        <v>157</v>
      </c>
      <c r="C194" s="77"/>
      <c r="D194" s="77"/>
      <c r="E194" s="77"/>
      <c r="F194" s="77"/>
      <c r="G194" s="64"/>
      <c r="H194" s="64"/>
      <c r="I194" s="64"/>
      <c r="J194" s="64"/>
      <c r="K194" s="64"/>
      <c r="L194" s="64"/>
      <c r="M194" s="64"/>
      <c r="N194" s="64"/>
      <c r="O194" s="64"/>
      <c r="P194" s="64"/>
      <c r="Q194" s="64"/>
      <c r="R194" s="39">
        <v>4.6899999999999997E-2</v>
      </c>
      <c r="S194" s="25"/>
      <c r="T194" s="25"/>
      <c r="U194" s="25"/>
      <c r="V194" s="5"/>
    </row>
    <row r="195" spans="1:22" ht="15.6" x14ac:dyDescent="0.3">
      <c r="A195" s="75"/>
      <c r="B195" s="76" t="s">
        <v>73</v>
      </c>
      <c r="C195" s="77"/>
      <c r="D195" s="77"/>
      <c r="E195" s="77"/>
      <c r="F195" s="77"/>
      <c r="G195" s="64"/>
      <c r="H195" s="64"/>
      <c r="I195" s="64"/>
      <c r="J195" s="64"/>
      <c r="K195" s="64"/>
      <c r="L195" s="64"/>
      <c r="M195" s="64"/>
      <c r="N195" s="64"/>
      <c r="O195" s="64"/>
      <c r="P195" s="64"/>
      <c r="Q195" s="64"/>
      <c r="R195" s="78">
        <f>R193-R194</f>
        <v>4.6700000000000005E-3</v>
      </c>
      <c r="S195" s="25"/>
      <c r="T195" s="25"/>
      <c r="U195" s="25"/>
      <c r="V195" s="5"/>
    </row>
    <row r="196" spans="1:22" ht="15.6" x14ac:dyDescent="0.3">
      <c r="A196" s="75"/>
      <c r="B196" s="76" t="s">
        <v>74</v>
      </c>
      <c r="C196" s="77"/>
      <c r="D196" s="77"/>
      <c r="E196" s="77"/>
      <c r="F196" s="77"/>
      <c r="G196" s="64"/>
      <c r="H196" s="64"/>
      <c r="I196" s="64"/>
      <c r="J196" s="64"/>
      <c r="K196" s="64"/>
      <c r="L196" s="64"/>
      <c r="M196" s="64"/>
      <c r="N196" s="64"/>
      <c r="O196" s="64"/>
      <c r="P196" s="64"/>
      <c r="Q196" s="64"/>
      <c r="R196" s="78">
        <v>5.1290000000000002E-2</v>
      </c>
      <c r="S196" s="25"/>
      <c r="T196" s="25"/>
      <c r="U196" s="25"/>
      <c r="V196" s="5"/>
    </row>
    <row r="197" spans="1:22" ht="15.6" x14ac:dyDescent="0.3">
      <c r="A197" s="75"/>
      <c r="B197" s="76" t="s">
        <v>257</v>
      </c>
      <c r="C197" s="77"/>
      <c r="D197" s="77"/>
      <c r="E197" s="77"/>
      <c r="F197" s="77"/>
      <c r="G197" s="64"/>
      <c r="H197" s="64"/>
      <c r="I197" s="64"/>
      <c r="J197" s="64"/>
      <c r="K197" s="64"/>
      <c r="L197" s="64"/>
      <c r="M197" s="64"/>
      <c r="N197" s="64"/>
      <c r="O197" s="64"/>
      <c r="P197" s="64"/>
      <c r="Q197" s="64"/>
      <c r="R197" s="78">
        <f>T43</f>
        <v>4.7820072808011295E-2</v>
      </c>
      <c r="S197" s="25"/>
      <c r="T197" s="25"/>
      <c r="U197" s="25"/>
      <c r="V197" s="5"/>
    </row>
    <row r="198" spans="1:22" ht="15.6" x14ac:dyDescent="0.3">
      <c r="A198" s="75"/>
      <c r="B198" s="76" t="s">
        <v>75</v>
      </c>
      <c r="C198" s="77"/>
      <c r="D198" s="77"/>
      <c r="E198" s="77"/>
      <c r="F198" s="77"/>
      <c r="G198" s="64"/>
      <c r="H198" s="64"/>
      <c r="I198" s="64"/>
      <c r="J198" s="64"/>
      <c r="K198" s="64"/>
      <c r="L198" s="64"/>
      <c r="M198" s="64"/>
      <c r="N198" s="64"/>
      <c r="O198" s="64"/>
      <c r="P198" s="64"/>
      <c r="Q198" s="64"/>
      <c r="R198" s="78">
        <f>R196-R197</f>
        <v>3.4699271919887073E-3</v>
      </c>
      <c r="S198" s="25"/>
      <c r="T198" s="25"/>
      <c r="U198" s="25"/>
      <c r="V198" s="5"/>
    </row>
    <row r="199" spans="1:22" ht="15.6" x14ac:dyDescent="0.3">
      <c r="A199" s="75"/>
      <c r="B199" s="76" t="s">
        <v>260</v>
      </c>
      <c r="C199" s="77"/>
      <c r="D199" s="77"/>
      <c r="E199" s="77"/>
      <c r="F199" s="77"/>
      <c r="G199" s="64"/>
      <c r="H199" s="64"/>
      <c r="I199" s="64"/>
      <c r="J199" s="64"/>
      <c r="K199" s="64"/>
      <c r="L199" s="64"/>
      <c r="M199" s="64"/>
      <c r="N199" s="64"/>
      <c r="O199" s="64"/>
      <c r="P199" s="64"/>
      <c r="Q199" s="64"/>
      <c r="R199" s="78">
        <f>(+T99+T101)/L72</f>
        <v>1.6073490460568891E-2</v>
      </c>
      <c r="S199" s="25"/>
      <c r="T199" s="25"/>
      <c r="U199" s="25"/>
      <c r="V199" s="5"/>
    </row>
    <row r="200" spans="1:22" ht="15.6" x14ac:dyDescent="0.3">
      <c r="A200" s="75"/>
      <c r="B200" s="76" t="s">
        <v>217</v>
      </c>
      <c r="C200" s="77"/>
      <c r="D200" s="77"/>
      <c r="E200" s="77"/>
      <c r="F200" s="77"/>
      <c r="G200" s="64"/>
      <c r="H200" s="64"/>
      <c r="I200" s="64"/>
      <c r="J200" s="64"/>
      <c r="K200" s="64"/>
      <c r="L200" s="64"/>
      <c r="M200" s="64"/>
      <c r="N200" s="64"/>
      <c r="O200" s="64"/>
      <c r="P200" s="64"/>
      <c r="Q200" s="64"/>
      <c r="R200" s="129">
        <v>15250</v>
      </c>
      <c r="S200" s="25"/>
      <c r="T200" s="25"/>
      <c r="U200" s="25"/>
      <c r="V200" s="5"/>
    </row>
    <row r="201" spans="1:22" ht="15.6" x14ac:dyDescent="0.3">
      <c r="A201" s="75"/>
      <c r="B201" s="76" t="s">
        <v>218</v>
      </c>
      <c r="C201" s="77"/>
      <c r="D201" s="77"/>
      <c r="E201" s="77"/>
      <c r="F201" s="77"/>
      <c r="G201" s="64"/>
      <c r="H201" s="64"/>
      <c r="I201" s="64"/>
      <c r="J201" s="64"/>
      <c r="K201" s="64"/>
      <c r="L201" s="64"/>
      <c r="M201" s="64"/>
      <c r="N201" s="64"/>
      <c r="O201" s="64"/>
      <c r="P201" s="64"/>
      <c r="Q201" s="64"/>
      <c r="R201" s="129">
        <v>15250</v>
      </c>
      <c r="S201" s="25"/>
      <c r="T201" s="25"/>
      <c r="U201" s="25"/>
      <c r="V201" s="5"/>
    </row>
    <row r="202" spans="1:22" ht="15.6" x14ac:dyDescent="0.3">
      <c r="A202" s="75"/>
      <c r="B202" s="76" t="s">
        <v>219</v>
      </c>
      <c r="C202" s="77"/>
      <c r="D202" s="77"/>
      <c r="E202" s="77"/>
      <c r="F202" s="77"/>
      <c r="G202" s="64"/>
      <c r="H202" s="64"/>
      <c r="I202" s="64"/>
      <c r="J202" s="64"/>
      <c r="K202" s="64"/>
      <c r="L202" s="64"/>
      <c r="M202" s="64"/>
      <c r="N202" s="64"/>
      <c r="O202" s="64"/>
      <c r="P202" s="64"/>
      <c r="Q202" s="64"/>
      <c r="R202" s="129">
        <v>15250</v>
      </c>
      <c r="S202" s="25"/>
      <c r="T202" s="25"/>
      <c r="U202" s="25"/>
      <c r="V202" s="5"/>
    </row>
    <row r="203" spans="1:22" ht="15.6" x14ac:dyDescent="0.3">
      <c r="A203" s="75"/>
      <c r="B203" s="76" t="s">
        <v>76</v>
      </c>
      <c r="C203" s="77"/>
      <c r="D203" s="77"/>
      <c r="E203" s="77"/>
      <c r="F203" s="77"/>
      <c r="G203" s="64"/>
      <c r="H203" s="64"/>
      <c r="I203" s="64"/>
      <c r="J203" s="64"/>
      <c r="K203" s="64"/>
      <c r="L203" s="64"/>
      <c r="M203" s="64"/>
      <c r="N203" s="64"/>
      <c r="O203" s="64"/>
      <c r="P203" s="64"/>
      <c r="Q203" s="64"/>
      <c r="R203" s="133">
        <v>21.18</v>
      </c>
      <c r="S203" s="25" t="s">
        <v>116</v>
      </c>
      <c r="T203" s="25"/>
      <c r="U203" s="25"/>
      <c r="V203" s="5"/>
    </row>
    <row r="204" spans="1:22" ht="15.6" x14ac:dyDescent="0.3">
      <c r="A204" s="75"/>
      <c r="B204" s="76" t="s">
        <v>77</v>
      </c>
      <c r="C204" s="77"/>
      <c r="D204" s="77"/>
      <c r="E204" s="77"/>
      <c r="F204" s="77"/>
      <c r="G204" s="64"/>
      <c r="H204" s="64"/>
      <c r="I204" s="64"/>
      <c r="J204" s="64"/>
      <c r="K204" s="64"/>
      <c r="L204" s="64"/>
      <c r="M204" s="64"/>
      <c r="N204" s="64"/>
      <c r="O204" s="64"/>
      <c r="P204" s="64"/>
      <c r="Q204" s="64"/>
      <c r="R204" s="133">
        <v>20.68</v>
      </c>
      <c r="S204" s="25" t="s">
        <v>116</v>
      </c>
      <c r="T204" s="25"/>
      <c r="U204" s="25"/>
      <c r="V204" s="5"/>
    </row>
    <row r="205" spans="1:22" ht="15.6" x14ac:dyDescent="0.3">
      <c r="A205" s="75"/>
      <c r="B205" s="76" t="s">
        <v>78</v>
      </c>
      <c r="C205" s="77"/>
      <c r="D205" s="77"/>
      <c r="E205" s="77"/>
      <c r="F205" s="77"/>
      <c r="G205" s="64"/>
      <c r="H205" s="64"/>
      <c r="I205" s="64"/>
      <c r="J205" s="64"/>
      <c r="K205" s="64"/>
      <c r="L205" s="64"/>
      <c r="M205" s="64"/>
      <c r="N205" s="64"/>
      <c r="O205" s="64"/>
      <c r="P205" s="64"/>
      <c r="Q205" s="64"/>
      <c r="R205" s="78">
        <f>+N69/L69</f>
        <v>2.3781061368081096E-2</v>
      </c>
      <c r="S205" s="25"/>
      <c r="T205" s="25"/>
      <c r="U205" s="25"/>
      <c r="V205" s="5"/>
    </row>
    <row r="206" spans="1:22" ht="15.6" x14ac:dyDescent="0.3">
      <c r="A206" s="75"/>
      <c r="B206" s="76" t="s">
        <v>79</v>
      </c>
      <c r="C206" s="77"/>
      <c r="D206" s="77"/>
      <c r="E206" s="77"/>
      <c r="F206" s="77"/>
      <c r="G206" s="64"/>
      <c r="H206" s="64"/>
      <c r="I206" s="64"/>
      <c r="J206" s="64"/>
      <c r="K206" s="64"/>
      <c r="L206" s="64"/>
      <c r="M206" s="64"/>
      <c r="N206" s="64"/>
      <c r="O206" s="64"/>
      <c r="P206" s="64"/>
      <c r="Q206" s="64"/>
      <c r="R206" s="78">
        <v>8.9099999999999999E-2</v>
      </c>
      <c r="S206" s="25"/>
      <c r="T206" s="25"/>
      <c r="U206" s="25"/>
      <c r="V206" s="5"/>
    </row>
    <row r="207" spans="1:22" ht="15.6" x14ac:dyDescent="0.3">
      <c r="A207" s="75"/>
      <c r="B207" s="76"/>
      <c r="C207" s="76"/>
      <c r="D207" s="76"/>
      <c r="E207" s="76"/>
      <c r="F207" s="76"/>
      <c r="G207" s="25"/>
      <c r="H207" s="25"/>
      <c r="I207" s="25"/>
      <c r="J207" s="25"/>
      <c r="K207" s="25"/>
      <c r="L207" s="25"/>
      <c r="M207" s="25"/>
      <c r="N207" s="25"/>
      <c r="O207" s="25"/>
      <c r="P207" s="25"/>
      <c r="Q207" s="25"/>
      <c r="R207" s="61"/>
      <c r="S207" s="25"/>
      <c r="T207" s="79"/>
      <c r="U207" s="25"/>
      <c r="V207" s="5"/>
    </row>
    <row r="208" spans="1:22" ht="15.6" x14ac:dyDescent="0.3">
      <c r="A208" s="80"/>
      <c r="B208" s="14" t="s">
        <v>80</v>
      </c>
      <c r="C208" s="81"/>
      <c r="D208" s="81"/>
      <c r="E208" s="81"/>
      <c r="F208" s="82"/>
      <c r="G208" s="81"/>
      <c r="H208" s="17"/>
      <c r="I208" s="17"/>
      <c r="J208" s="17"/>
      <c r="K208" s="17"/>
      <c r="L208" s="17"/>
      <c r="M208" s="17"/>
      <c r="N208" s="17"/>
      <c r="O208" s="17"/>
      <c r="P208" s="17"/>
      <c r="Q208" s="17" t="s">
        <v>105</v>
      </c>
      <c r="R208" s="83" t="s">
        <v>112</v>
      </c>
      <c r="S208" s="8"/>
      <c r="T208" s="8"/>
      <c r="U208" s="8"/>
      <c r="V208" s="5"/>
    </row>
    <row r="209" spans="1:22" ht="15.6" x14ac:dyDescent="0.3">
      <c r="A209" s="84"/>
      <c r="B209" s="76" t="s">
        <v>81</v>
      </c>
      <c r="C209" s="54"/>
      <c r="D209" s="54"/>
      <c r="E209" s="54"/>
      <c r="F209" s="25"/>
      <c r="G209" s="25"/>
      <c r="H209" s="30"/>
      <c r="I209" s="30"/>
      <c r="J209" s="30"/>
      <c r="K209" s="30"/>
      <c r="L209" s="30"/>
      <c r="M209" s="30"/>
      <c r="N209" s="30"/>
      <c r="O209" s="30"/>
      <c r="P209" s="30"/>
      <c r="Q209" s="30">
        <v>0</v>
      </c>
      <c r="R209" s="85">
        <v>0</v>
      </c>
      <c r="S209" s="25"/>
      <c r="T209" s="79"/>
      <c r="U209" s="86"/>
      <c r="V209" s="5"/>
    </row>
    <row r="210" spans="1:22" ht="15.6" x14ac:dyDescent="0.3">
      <c r="A210" s="84"/>
      <c r="B210" s="76" t="s">
        <v>151</v>
      </c>
      <c r="C210" s="54"/>
      <c r="D210" s="54"/>
      <c r="E210" s="54"/>
      <c r="F210" s="25"/>
      <c r="G210" s="25"/>
      <c r="H210" s="30"/>
      <c r="I210" s="30"/>
      <c r="J210" s="30"/>
      <c r="K210" s="30"/>
      <c r="L210" s="30"/>
      <c r="M210" s="30"/>
      <c r="N210" s="30"/>
      <c r="O210" s="30"/>
      <c r="P210" s="30"/>
      <c r="Q210" s="152">
        <f>+P251</f>
        <v>8</v>
      </c>
      <c r="R210" s="85">
        <f>+R251</f>
        <v>1333</v>
      </c>
      <c r="S210" s="25"/>
      <c r="T210" s="79"/>
      <c r="U210" s="86"/>
      <c r="V210" s="5"/>
    </row>
    <row r="211" spans="1:22" ht="15.6" x14ac:dyDescent="0.3">
      <c r="A211" s="84"/>
      <c r="B211" s="76" t="s">
        <v>82</v>
      </c>
      <c r="C211" s="54"/>
      <c r="D211" s="54"/>
      <c r="E211" s="54"/>
      <c r="F211" s="25"/>
      <c r="G211" s="25"/>
      <c r="H211" s="30"/>
      <c r="I211" s="30"/>
      <c r="J211" s="30"/>
      <c r="K211" s="30"/>
      <c r="L211" s="30"/>
      <c r="M211" s="30"/>
      <c r="N211" s="30"/>
      <c r="O211" s="30"/>
      <c r="P211" s="30"/>
      <c r="Q211" s="30">
        <v>0</v>
      </c>
      <c r="R211" s="85">
        <v>0</v>
      </c>
      <c r="S211" s="25"/>
      <c r="T211" s="79"/>
      <c r="U211" s="86"/>
      <c r="V211" s="5"/>
    </row>
    <row r="212" spans="1:22" ht="15.6" x14ac:dyDescent="0.3">
      <c r="A212" s="84"/>
      <c r="B212" s="122" t="s">
        <v>83</v>
      </c>
      <c r="C212" s="54"/>
      <c r="D212" s="54"/>
      <c r="E212" s="54"/>
      <c r="F212" s="25"/>
      <c r="G212" s="25"/>
      <c r="H212" s="25"/>
      <c r="I212" s="25"/>
      <c r="J212" s="25"/>
      <c r="K212" s="25"/>
      <c r="L212" s="25"/>
      <c r="M212" s="25"/>
      <c r="N212" s="25"/>
      <c r="O212" s="25"/>
      <c r="P212" s="25"/>
      <c r="Q212" s="25"/>
      <c r="R212" s="85">
        <v>0</v>
      </c>
      <c r="S212" s="25"/>
      <c r="T212" s="79"/>
      <c r="U212" s="86"/>
      <c r="V212" s="5"/>
    </row>
    <row r="213" spans="1:22" ht="15.6" x14ac:dyDescent="0.3">
      <c r="A213" s="84"/>
      <c r="B213" s="122" t="s">
        <v>84</v>
      </c>
      <c r="C213" s="54"/>
      <c r="D213" s="54"/>
      <c r="E213" s="54"/>
      <c r="F213" s="25"/>
      <c r="G213" s="25"/>
      <c r="H213" s="25"/>
      <c r="I213" s="25"/>
      <c r="J213" s="25"/>
      <c r="K213" s="25"/>
      <c r="L213" s="25"/>
      <c r="M213" s="25"/>
      <c r="N213" s="25"/>
      <c r="O213" s="25"/>
      <c r="P213" s="25"/>
      <c r="Q213" s="25"/>
      <c r="R213" s="62" t="s">
        <v>113</v>
      </c>
      <c r="S213" s="25"/>
      <c r="T213" s="79"/>
      <c r="U213" s="86"/>
      <c r="V213" s="5"/>
    </row>
    <row r="214" spans="1:22" ht="15.6" x14ac:dyDescent="0.3">
      <c r="A214" s="87"/>
      <c r="B214" s="122" t="s">
        <v>85</v>
      </c>
      <c r="C214" s="76"/>
      <c r="D214" s="76"/>
      <c r="E214" s="76"/>
      <c r="F214" s="76"/>
      <c r="G214" s="25"/>
      <c r="H214" s="25"/>
      <c r="I214" s="25"/>
      <c r="J214" s="25"/>
      <c r="K214" s="25"/>
      <c r="L214" s="25"/>
      <c r="M214" s="25"/>
      <c r="N214" s="25"/>
      <c r="O214" s="25"/>
      <c r="P214" s="25"/>
      <c r="Q214" s="25"/>
      <c r="R214" s="85"/>
      <c r="S214" s="25"/>
      <c r="T214" s="79"/>
      <c r="U214" s="88"/>
      <c r="V214" s="5"/>
    </row>
    <row r="215" spans="1:22" ht="15.6" x14ac:dyDescent="0.3">
      <c r="A215" s="87"/>
      <c r="B215" s="131" t="s">
        <v>86</v>
      </c>
      <c r="C215" s="76"/>
      <c r="D215" s="76"/>
      <c r="E215" s="76"/>
      <c r="F215" s="76"/>
      <c r="G215" s="25"/>
      <c r="H215" s="25"/>
      <c r="I215" s="25"/>
      <c r="J215" s="25"/>
      <c r="K215" s="25"/>
      <c r="L215" s="25"/>
      <c r="M215" s="25"/>
      <c r="N215" s="25"/>
      <c r="O215" s="25"/>
      <c r="P215" s="25"/>
      <c r="Q215" s="30">
        <v>0</v>
      </c>
      <c r="R215" s="85">
        <f>T160</f>
        <v>0</v>
      </c>
      <c r="S215" s="25"/>
      <c r="T215" s="79"/>
      <c r="U215" s="88"/>
      <c r="V215" s="5"/>
    </row>
    <row r="216" spans="1:22" ht="15.6" x14ac:dyDescent="0.3">
      <c r="A216" s="84"/>
      <c r="B216" s="76" t="s">
        <v>87</v>
      </c>
      <c r="C216" s="54"/>
      <c r="D216" s="54"/>
      <c r="E216" s="54"/>
      <c r="F216" s="54"/>
      <c r="G216" s="25"/>
      <c r="H216" s="25"/>
      <c r="I216" s="25"/>
      <c r="J216" s="25"/>
      <c r="K216" s="25"/>
      <c r="L216" s="25"/>
      <c r="M216" s="25"/>
      <c r="N216" s="25"/>
      <c r="O216" s="25"/>
      <c r="P216" s="25"/>
      <c r="Q216" s="30">
        <v>0</v>
      </c>
      <c r="R216" s="85">
        <f>+'June 06'!R216+R215</f>
        <v>0</v>
      </c>
      <c r="S216" s="25"/>
      <c r="T216" s="79"/>
      <c r="U216" s="88"/>
      <c r="V216" s="5"/>
    </row>
    <row r="217" spans="1:22" ht="15.6" x14ac:dyDescent="0.3">
      <c r="A217" s="84"/>
      <c r="B217" s="76" t="s">
        <v>88</v>
      </c>
      <c r="C217" s="54"/>
      <c r="D217" s="54"/>
      <c r="E217" s="54"/>
      <c r="F217" s="54"/>
      <c r="G217" s="25"/>
      <c r="H217" s="25"/>
      <c r="I217" s="25"/>
      <c r="J217" s="25"/>
      <c r="K217" s="25"/>
      <c r="L217" s="25"/>
      <c r="M217" s="25"/>
      <c r="N217" s="25"/>
      <c r="O217" s="25"/>
      <c r="P217" s="25"/>
      <c r="Q217" s="30"/>
      <c r="R217" s="85">
        <v>0</v>
      </c>
      <c r="S217" s="25"/>
      <c r="T217" s="79"/>
      <c r="U217" s="88"/>
      <c r="V217" s="5"/>
    </row>
    <row r="218" spans="1:22" ht="15.6" x14ac:dyDescent="0.3">
      <c r="A218" s="87"/>
      <c r="B218" s="122" t="s">
        <v>282</v>
      </c>
      <c r="C218" s="76"/>
      <c r="D218" s="76"/>
      <c r="E218" s="76"/>
      <c r="F218" s="76"/>
      <c r="G218" s="25"/>
      <c r="H218" s="25"/>
      <c r="I218" s="25"/>
      <c r="J218" s="25"/>
      <c r="K218" s="25"/>
      <c r="L218" s="25"/>
      <c r="M218" s="25"/>
      <c r="N218" s="25"/>
      <c r="O218" s="25"/>
      <c r="P218" s="25"/>
      <c r="Q218" s="30"/>
      <c r="R218" s="85"/>
      <c r="S218" s="25"/>
      <c r="T218" s="79"/>
      <c r="U218" s="88"/>
      <c r="V218" s="5"/>
    </row>
    <row r="219" spans="1:22" ht="15.6" x14ac:dyDescent="0.3">
      <c r="A219" s="87"/>
      <c r="B219" s="76" t="s">
        <v>280</v>
      </c>
      <c r="C219" s="76"/>
      <c r="D219" s="76"/>
      <c r="E219" s="76"/>
      <c r="F219" s="76"/>
      <c r="G219" s="25"/>
      <c r="H219" s="25"/>
      <c r="I219" s="25"/>
      <c r="J219" s="25"/>
      <c r="K219" s="25"/>
      <c r="L219" s="25"/>
      <c r="M219" s="25"/>
      <c r="N219" s="25"/>
      <c r="O219" s="25"/>
      <c r="P219" s="25"/>
      <c r="Q219" s="30">
        <v>0</v>
      </c>
      <c r="R219" s="85">
        <v>0</v>
      </c>
      <c r="S219" s="25"/>
      <c r="T219" s="79"/>
      <c r="U219" s="88"/>
      <c r="V219" s="5"/>
    </row>
    <row r="220" spans="1:22" ht="15.6" x14ac:dyDescent="0.3">
      <c r="A220" s="84"/>
      <c r="B220" s="76" t="s">
        <v>89</v>
      </c>
      <c r="C220" s="89"/>
      <c r="D220" s="89"/>
      <c r="E220" s="89"/>
      <c r="F220" s="90"/>
      <c r="G220" s="25"/>
      <c r="H220" s="25"/>
      <c r="I220" s="25"/>
      <c r="J220" s="25"/>
      <c r="K220" s="25"/>
      <c r="L220" s="25"/>
      <c r="M220" s="25"/>
      <c r="N220" s="25"/>
      <c r="O220" s="25"/>
      <c r="P220" s="25"/>
      <c r="Q220" s="25"/>
      <c r="R220" s="62">
        <v>0</v>
      </c>
      <c r="S220" s="25"/>
      <c r="T220" s="79"/>
      <c r="U220" s="88"/>
      <c r="V220" s="5"/>
    </row>
    <row r="221" spans="1:22" ht="15.6" x14ac:dyDescent="0.3">
      <c r="A221" s="84"/>
      <c r="B221" s="76" t="s">
        <v>90</v>
      </c>
      <c r="C221" s="89"/>
      <c r="D221" s="89"/>
      <c r="E221" s="89"/>
      <c r="F221" s="90"/>
      <c r="G221" s="25"/>
      <c r="H221" s="25"/>
      <c r="I221" s="25"/>
      <c r="J221" s="25"/>
      <c r="K221" s="25"/>
      <c r="L221" s="25"/>
      <c r="M221" s="25"/>
      <c r="N221" s="25"/>
      <c r="O221" s="25"/>
      <c r="P221" s="25"/>
      <c r="Q221" s="25"/>
      <c r="R221" s="62">
        <v>0</v>
      </c>
      <c r="S221" s="25"/>
      <c r="T221" s="79"/>
      <c r="U221" s="88"/>
      <c r="V221" s="5"/>
    </row>
    <row r="222" spans="1:22" ht="15.6" x14ac:dyDescent="0.3">
      <c r="A222" s="84"/>
      <c r="B222" s="122" t="s">
        <v>226</v>
      </c>
      <c r="C222" s="89"/>
      <c r="D222" s="89"/>
      <c r="E222" s="89"/>
      <c r="F222" s="90"/>
      <c r="G222" s="25"/>
      <c r="H222" s="25"/>
      <c r="I222" s="25"/>
      <c r="J222" s="25"/>
      <c r="K222" s="25"/>
      <c r="L222" s="25"/>
      <c r="M222" s="25"/>
      <c r="N222" s="25"/>
      <c r="O222" s="25"/>
      <c r="P222" s="25"/>
      <c r="Q222" s="25"/>
      <c r="R222" s="91"/>
      <c r="S222" s="25"/>
      <c r="T222" s="79"/>
      <c r="U222" s="88"/>
      <c r="V222" s="5"/>
    </row>
    <row r="223" spans="1:22" ht="15.6" x14ac:dyDescent="0.3">
      <c r="A223" s="84"/>
      <c r="B223" s="76" t="s">
        <v>280</v>
      </c>
      <c r="C223" s="89"/>
      <c r="D223" s="89"/>
      <c r="E223" s="89"/>
      <c r="F223" s="90"/>
      <c r="G223" s="25"/>
      <c r="H223" s="25"/>
      <c r="I223" s="25"/>
      <c r="J223" s="25"/>
      <c r="K223" s="25"/>
      <c r="L223" s="25"/>
      <c r="M223" s="25"/>
      <c r="N223" s="25"/>
      <c r="O223" s="25"/>
      <c r="P223" s="25"/>
      <c r="Q223" s="30">
        <v>0</v>
      </c>
      <c r="R223" s="85">
        <v>0</v>
      </c>
      <c r="S223" s="25"/>
      <c r="T223" s="79"/>
      <c r="U223" s="88"/>
      <c r="V223" s="5"/>
    </row>
    <row r="224" spans="1:22" ht="15.6" x14ac:dyDescent="0.3">
      <c r="A224" s="84"/>
      <c r="B224" s="76" t="s">
        <v>227</v>
      </c>
      <c r="C224" s="89"/>
      <c r="D224" s="89"/>
      <c r="E224" s="89"/>
      <c r="F224" s="90"/>
      <c r="G224" s="25"/>
      <c r="H224" s="25"/>
      <c r="I224" s="25"/>
      <c r="J224" s="25"/>
      <c r="K224" s="25"/>
      <c r="L224" s="25"/>
      <c r="M224" s="25"/>
      <c r="N224" s="25"/>
      <c r="O224" s="25"/>
      <c r="P224" s="25"/>
      <c r="Q224" s="25"/>
      <c r="R224" s="62">
        <v>0</v>
      </c>
      <c r="S224" s="25"/>
      <c r="T224" s="79"/>
      <c r="U224" s="88"/>
      <c r="V224" s="5"/>
    </row>
    <row r="225" spans="1:23" ht="15.6" x14ac:dyDescent="0.3">
      <c r="A225" s="84"/>
      <c r="B225" s="76"/>
      <c r="C225" s="89"/>
      <c r="D225" s="89"/>
      <c r="E225" s="89"/>
      <c r="F225" s="90"/>
      <c r="G225" s="25"/>
      <c r="H225" s="25"/>
      <c r="I225" s="25"/>
      <c r="J225" s="25"/>
      <c r="K225" s="25"/>
      <c r="L225" s="25"/>
      <c r="M225" s="25"/>
      <c r="N225" s="25"/>
      <c r="O225" s="25"/>
      <c r="P225" s="25"/>
      <c r="Q225" s="25"/>
      <c r="R225" s="91"/>
      <c r="S225" s="25"/>
      <c r="T225" s="79"/>
      <c r="U225" s="88"/>
      <c r="V225" s="5"/>
    </row>
    <row r="226" spans="1:23" ht="15.6" x14ac:dyDescent="0.3">
      <c r="A226" s="84"/>
      <c r="B226" s="76"/>
      <c r="C226" s="89"/>
      <c r="D226" s="89"/>
      <c r="E226" s="89"/>
      <c r="F226" s="90"/>
      <c r="G226" s="25"/>
      <c r="H226" s="25"/>
      <c r="I226" s="25"/>
      <c r="J226" s="25"/>
      <c r="K226" s="25"/>
      <c r="L226" s="25"/>
      <c r="M226" s="25"/>
      <c r="N226" s="25"/>
      <c r="O226" s="25"/>
      <c r="P226" s="25"/>
      <c r="Q226" s="25"/>
      <c r="R226" s="91"/>
      <c r="S226" s="25"/>
      <c r="T226" s="79"/>
      <c r="U226" s="88"/>
      <c r="V226" s="5"/>
    </row>
    <row r="227" spans="1:23" ht="17.399999999999999" x14ac:dyDescent="0.3">
      <c r="A227" s="84"/>
      <c r="B227" s="149" t="s">
        <v>175</v>
      </c>
      <c r="C227" s="89"/>
      <c r="D227" s="89"/>
      <c r="E227" s="89"/>
      <c r="F227" s="90"/>
      <c r="G227" s="25"/>
      <c r="H227" s="25"/>
      <c r="I227" s="25"/>
      <c r="J227" s="25"/>
      <c r="K227" s="25"/>
      <c r="L227" s="25"/>
      <c r="M227" s="25"/>
      <c r="N227" s="150" t="s">
        <v>174</v>
      </c>
      <c r="O227" s="25"/>
      <c r="P227" s="25"/>
      <c r="Q227" s="25"/>
      <c r="R227" s="91"/>
      <c r="S227" s="25"/>
      <c r="T227" s="79"/>
      <c r="U227" s="88"/>
      <c r="V227" s="5"/>
    </row>
    <row r="228" spans="1:23" ht="15.6" x14ac:dyDescent="0.3">
      <c r="A228" s="84"/>
      <c r="B228" s="76"/>
      <c r="C228" s="89"/>
      <c r="D228" s="89"/>
      <c r="E228" s="89"/>
      <c r="F228" s="90"/>
      <c r="G228" s="25"/>
      <c r="H228" s="25"/>
      <c r="I228" s="25"/>
      <c r="J228" s="25"/>
      <c r="K228" s="25"/>
      <c r="L228" s="25"/>
      <c r="M228" s="25"/>
      <c r="N228" s="25"/>
      <c r="O228" s="25"/>
      <c r="P228" s="25"/>
      <c r="Q228" s="25"/>
      <c r="R228" s="91"/>
      <c r="S228" s="25"/>
      <c r="T228" s="79"/>
      <c r="U228" s="88"/>
      <c r="V228" s="5"/>
    </row>
    <row r="229" spans="1:23" ht="15.6" x14ac:dyDescent="0.3">
      <c r="A229" s="6"/>
      <c r="B229" s="14" t="s">
        <v>169</v>
      </c>
      <c r="C229" s="81"/>
      <c r="D229" s="81"/>
      <c r="E229" s="81"/>
      <c r="F229" s="82"/>
      <c r="G229" s="81"/>
      <c r="H229" s="17"/>
      <c r="I229" s="17"/>
      <c r="J229" s="17"/>
      <c r="K229" s="17"/>
      <c r="L229" s="17"/>
      <c r="M229" s="17"/>
      <c r="N229" s="17"/>
      <c r="O229" s="17"/>
      <c r="P229" s="83" t="s">
        <v>105</v>
      </c>
      <c r="Q229" s="17" t="s">
        <v>106</v>
      </c>
      <c r="R229" s="83" t="s">
        <v>114</v>
      </c>
      <c r="S229" s="17" t="s">
        <v>106</v>
      </c>
      <c r="T229" s="8"/>
      <c r="U229" s="92"/>
      <c r="V229" s="5"/>
    </row>
    <row r="230" spans="1:23" ht="15.6" x14ac:dyDescent="0.3">
      <c r="A230" s="24"/>
      <c r="B230" s="54" t="s">
        <v>91</v>
      </c>
      <c r="C230" s="93"/>
      <c r="D230" s="93"/>
      <c r="E230" s="93"/>
      <c r="F230" s="25"/>
      <c r="G230" s="93"/>
      <c r="H230" s="93"/>
      <c r="I230" s="93"/>
      <c r="J230" s="93"/>
      <c r="K230" s="93"/>
      <c r="L230" s="93"/>
      <c r="M230" s="93"/>
      <c r="N230" s="93"/>
      <c r="O230" s="93"/>
      <c r="P230" s="54">
        <v>7351</v>
      </c>
      <c r="Q230" s="94">
        <f t="shared" ref="Q230:Q237" si="1">P230/$P$239</f>
        <v>0.99526130517194689</v>
      </c>
      <c r="R230" s="53">
        <v>957156</v>
      </c>
      <c r="S230" s="132">
        <f t="shared" ref="S230:S237" si="2">R230/$R$239</f>
        <v>0.99403778389588915</v>
      </c>
      <c r="T230" s="79"/>
      <c r="U230" s="88"/>
      <c r="V230" s="5"/>
    </row>
    <row r="231" spans="1:23" ht="15.6" x14ac:dyDescent="0.3">
      <c r="A231" s="24"/>
      <c r="B231" s="54" t="s">
        <v>92</v>
      </c>
      <c r="C231" s="93"/>
      <c r="D231" s="93"/>
      <c r="E231" s="93"/>
      <c r="F231" s="25"/>
      <c r="G231" s="94"/>
      <c r="H231" s="93"/>
      <c r="I231" s="93"/>
      <c r="J231" s="93"/>
      <c r="K231" s="93"/>
      <c r="L231" s="93"/>
      <c r="M231" s="93"/>
      <c r="N231" s="93"/>
      <c r="O231" s="93"/>
      <c r="P231" s="54">
        <v>20</v>
      </c>
      <c r="Q231" s="94">
        <f t="shared" si="1"/>
        <v>2.7078256160303275E-3</v>
      </c>
      <c r="R231" s="53">
        <v>3425</v>
      </c>
      <c r="S231" s="132">
        <f t="shared" si="2"/>
        <v>3.5569744219786747E-3</v>
      </c>
      <c r="T231" s="79"/>
      <c r="U231" s="88"/>
      <c r="V231" s="5"/>
      <c r="W231" s="109"/>
    </row>
    <row r="232" spans="1:23" ht="15.6" x14ac:dyDescent="0.3">
      <c r="A232" s="24"/>
      <c r="B232" s="54" t="s">
        <v>93</v>
      </c>
      <c r="C232" s="93"/>
      <c r="D232" s="93"/>
      <c r="E232" s="93"/>
      <c r="F232" s="25"/>
      <c r="G232" s="94"/>
      <c r="H232" s="93"/>
      <c r="I232" s="93"/>
      <c r="J232" s="93"/>
      <c r="K232" s="93"/>
      <c r="L232" s="93"/>
      <c r="M232" s="93"/>
      <c r="N232" s="93"/>
      <c r="O232" s="93"/>
      <c r="P232" s="54">
        <v>14</v>
      </c>
      <c r="Q232" s="94">
        <f t="shared" si="1"/>
        <v>1.8954779312212293E-3</v>
      </c>
      <c r="R232" s="53">
        <v>2166</v>
      </c>
      <c r="S232" s="132">
        <f t="shared" si="2"/>
        <v>2.2494617804396525E-3</v>
      </c>
      <c r="T232" s="79"/>
      <c r="U232" s="88"/>
      <c r="V232" s="5"/>
    </row>
    <row r="233" spans="1:23" ht="15.6" x14ac:dyDescent="0.3">
      <c r="A233" s="24"/>
      <c r="B233" s="54" t="s">
        <v>163</v>
      </c>
      <c r="C233" s="93"/>
      <c r="D233" s="93"/>
      <c r="E233" s="93"/>
      <c r="F233" s="25"/>
      <c r="G233" s="94"/>
      <c r="H233" s="93"/>
      <c r="I233" s="93"/>
      <c r="J233" s="93"/>
      <c r="K233" s="93"/>
      <c r="L233" s="93"/>
      <c r="M233" s="93"/>
      <c r="N233" s="93"/>
      <c r="O233" s="93"/>
      <c r="P233" s="54">
        <v>1</v>
      </c>
      <c r="Q233" s="94">
        <f t="shared" si="1"/>
        <v>1.3539128080151638E-4</v>
      </c>
      <c r="R233" s="53">
        <v>150</v>
      </c>
      <c r="S233" s="132">
        <f t="shared" si="2"/>
        <v>1.557799016924967E-4</v>
      </c>
      <c r="T233" s="79"/>
      <c r="U233" s="88"/>
      <c r="V233" s="5"/>
      <c r="W233" s="109"/>
    </row>
    <row r="234" spans="1:23" ht="15.6" x14ac:dyDescent="0.3">
      <c r="A234" s="24"/>
      <c r="B234" s="54" t="s">
        <v>164</v>
      </c>
      <c r="C234" s="93"/>
      <c r="D234" s="93"/>
      <c r="E234" s="93"/>
      <c r="F234" s="25"/>
      <c r="G234" s="94"/>
      <c r="H234" s="93"/>
      <c r="I234" s="93"/>
      <c r="J234" s="93"/>
      <c r="K234" s="93"/>
      <c r="L234" s="93"/>
      <c r="M234" s="93"/>
      <c r="N234" s="93"/>
      <c r="O234" s="93"/>
      <c r="P234" s="54">
        <v>0</v>
      </c>
      <c r="Q234" s="94">
        <f t="shared" si="1"/>
        <v>0</v>
      </c>
      <c r="R234" s="53">
        <v>0</v>
      </c>
      <c r="S234" s="132">
        <f t="shared" si="2"/>
        <v>0</v>
      </c>
      <c r="T234" s="79"/>
      <c r="U234" s="88"/>
      <c r="V234" s="5"/>
    </row>
    <row r="235" spans="1:23" ht="15.6" x14ac:dyDescent="0.3">
      <c r="A235" s="24"/>
      <c r="B235" s="54" t="s">
        <v>165</v>
      </c>
      <c r="C235" s="93"/>
      <c r="D235" s="93"/>
      <c r="E235" s="93"/>
      <c r="F235" s="25"/>
      <c r="G235" s="94"/>
      <c r="H235" s="93"/>
      <c r="I235" s="93"/>
      <c r="J235" s="93"/>
      <c r="K235" s="93"/>
      <c r="L235" s="93"/>
      <c r="M235" s="93"/>
      <c r="N235" s="93"/>
      <c r="O235" s="93"/>
      <c r="P235" s="54">
        <v>0</v>
      </c>
      <c r="Q235" s="94">
        <f t="shared" si="1"/>
        <v>0</v>
      </c>
      <c r="R235" s="53">
        <v>0</v>
      </c>
      <c r="S235" s="132">
        <f t="shared" si="2"/>
        <v>0</v>
      </c>
      <c r="T235" s="79"/>
      <c r="U235" s="88"/>
      <c r="V235" s="5"/>
      <c r="W235" s="109"/>
    </row>
    <row r="236" spans="1:23" ht="15.6" x14ac:dyDescent="0.3">
      <c r="A236" s="24"/>
      <c r="B236" s="54" t="s">
        <v>166</v>
      </c>
      <c r="C236" s="93"/>
      <c r="D236" s="93"/>
      <c r="E236" s="93"/>
      <c r="F236" s="25"/>
      <c r="G236" s="94"/>
      <c r="H236" s="93"/>
      <c r="I236" s="93"/>
      <c r="J236" s="93"/>
      <c r="K236" s="93"/>
      <c r="L236" s="93"/>
      <c r="M236" s="93"/>
      <c r="N236" s="93"/>
      <c r="O236" s="93"/>
      <c r="P236" s="54">
        <v>0</v>
      </c>
      <c r="Q236" s="94">
        <f t="shared" si="1"/>
        <v>0</v>
      </c>
      <c r="R236" s="53">
        <v>0</v>
      </c>
      <c r="S236" s="132">
        <f t="shared" si="2"/>
        <v>0</v>
      </c>
      <c r="T236" s="79"/>
      <c r="U236" s="88"/>
      <c r="V236" s="5"/>
    </row>
    <row r="237" spans="1:23" ht="15.6" x14ac:dyDescent="0.3">
      <c r="A237" s="24"/>
      <c r="B237" s="54" t="s">
        <v>167</v>
      </c>
      <c r="C237" s="93"/>
      <c r="D237" s="93"/>
      <c r="E237" s="93"/>
      <c r="F237" s="25"/>
      <c r="G237" s="94"/>
      <c r="H237" s="93"/>
      <c r="I237" s="93"/>
      <c r="J237" s="93"/>
      <c r="K237" s="93"/>
      <c r="L237" s="93"/>
      <c r="M237" s="93"/>
      <c r="N237" s="93"/>
      <c r="O237" s="93"/>
      <c r="P237" s="54">
        <v>0</v>
      </c>
      <c r="Q237" s="94">
        <f t="shared" si="1"/>
        <v>0</v>
      </c>
      <c r="R237" s="53">
        <v>0</v>
      </c>
      <c r="S237" s="132">
        <f t="shared" si="2"/>
        <v>0</v>
      </c>
      <c r="T237" s="79"/>
      <c r="U237" s="88"/>
      <c r="V237" s="5"/>
      <c r="W237" s="109"/>
    </row>
    <row r="238" spans="1:23" ht="15.6" x14ac:dyDescent="0.3">
      <c r="A238" s="24"/>
      <c r="B238" s="54"/>
      <c r="C238" s="93"/>
      <c r="D238" s="93"/>
      <c r="E238" s="93"/>
      <c r="F238" s="25"/>
      <c r="G238" s="94"/>
      <c r="H238" s="93"/>
      <c r="I238" s="93"/>
      <c r="J238" s="93"/>
      <c r="K238" s="93"/>
      <c r="L238" s="93"/>
      <c r="M238" s="93"/>
      <c r="N238" s="93"/>
      <c r="O238" s="93"/>
      <c r="P238" s="54"/>
      <c r="Q238" s="94"/>
      <c r="R238" s="53"/>
      <c r="S238" s="132"/>
      <c r="T238" s="79"/>
      <c r="U238" s="88"/>
      <c r="V238" s="5"/>
    </row>
    <row r="239" spans="1:23" ht="15.6" x14ac:dyDescent="0.3">
      <c r="A239" s="24"/>
      <c r="B239" s="25"/>
      <c r="C239" s="25"/>
      <c r="D239" s="25"/>
      <c r="E239" s="25"/>
      <c r="F239" s="25"/>
      <c r="G239" s="25"/>
      <c r="H239" s="95"/>
      <c r="I239" s="95"/>
      <c r="J239" s="95"/>
      <c r="K239" s="95"/>
      <c r="L239" s="95"/>
      <c r="M239" s="95"/>
      <c r="N239" s="95"/>
      <c r="O239" s="95"/>
      <c r="P239" s="34">
        <f>SUM(P230:P238)</f>
        <v>7386</v>
      </c>
      <c r="Q239" s="132">
        <f>SUM(Q230:Q238)</f>
        <v>1</v>
      </c>
      <c r="R239" s="53">
        <f>SUM(R230:R238)</f>
        <v>962897</v>
      </c>
      <c r="S239" s="132">
        <f>SUM(S230:S238)</f>
        <v>0.99999999999999989</v>
      </c>
      <c r="T239" s="25"/>
      <c r="U239" s="25"/>
      <c r="V239" s="5"/>
    </row>
    <row r="240" spans="1:23" ht="15.6" x14ac:dyDescent="0.3">
      <c r="A240" s="24"/>
      <c r="B240" s="25"/>
      <c r="C240" s="25"/>
      <c r="D240" s="25"/>
      <c r="E240" s="25"/>
      <c r="F240" s="25"/>
      <c r="G240" s="25"/>
      <c r="H240" s="95"/>
      <c r="I240" s="95"/>
      <c r="J240" s="95"/>
      <c r="K240" s="95"/>
      <c r="L240" s="95"/>
      <c r="M240" s="95"/>
      <c r="N240" s="95"/>
      <c r="O240" s="95"/>
      <c r="P240" s="34"/>
      <c r="Q240" s="132"/>
      <c r="R240" s="53"/>
      <c r="S240" s="132"/>
      <c r="T240" s="25"/>
      <c r="U240" s="25"/>
      <c r="V240" s="5"/>
    </row>
    <row r="241" spans="1:22" ht="15.6" x14ac:dyDescent="0.3">
      <c r="A241" s="141"/>
      <c r="B241" s="14" t="s">
        <v>267</v>
      </c>
      <c r="C241" s="81"/>
      <c r="D241" s="81"/>
      <c r="E241" s="81"/>
      <c r="F241" s="82"/>
      <c r="G241" s="81"/>
      <c r="H241" s="17"/>
      <c r="I241" s="17"/>
      <c r="J241" s="17"/>
      <c r="K241" s="17"/>
      <c r="L241" s="17"/>
      <c r="M241" s="17"/>
      <c r="N241" s="17"/>
      <c r="O241" s="17"/>
      <c r="P241" s="83" t="s">
        <v>105</v>
      </c>
      <c r="Q241" s="17" t="s">
        <v>106</v>
      </c>
      <c r="R241" s="83" t="s">
        <v>114</v>
      </c>
      <c r="S241" s="17" t="s">
        <v>106</v>
      </c>
      <c r="T241" s="139"/>
      <c r="U241" s="140"/>
      <c r="V241" s="5"/>
    </row>
    <row r="242" spans="1:22" ht="15.6" x14ac:dyDescent="0.3">
      <c r="A242" s="24"/>
      <c r="B242" s="54" t="s">
        <v>91</v>
      </c>
      <c r="C242" s="93"/>
      <c r="D242" s="93"/>
      <c r="E242" s="93"/>
      <c r="F242" s="25"/>
      <c r="G242" s="93"/>
      <c r="H242" s="93"/>
      <c r="I242" s="93"/>
      <c r="J242" s="93"/>
      <c r="K242" s="93"/>
      <c r="L242" s="93"/>
      <c r="M242" s="93"/>
      <c r="N242" s="93"/>
      <c r="O242" s="93"/>
      <c r="P242" s="54">
        <v>2</v>
      </c>
      <c r="Q242" s="94">
        <f t="shared" ref="Q242:Q249" si="3">P242/$P$251</f>
        <v>0.25</v>
      </c>
      <c r="R242" s="53">
        <v>197</v>
      </c>
      <c r="S242" s="132">
        <f t="shared" ref="S242:S249" si="4">R242/$R$251</f>
        <v>0.14778694673668416</v>
      </c>
      <c r="T242" s="25"/>
      <c r="U242" s="25"/>
      <c r="V242" s="5"/>
    </row>
    <row r="243" spans="1:22" ht="15.6" x14ac:dyDescent="0.3">
      <c r="A243" s="24"/>
      <c r="B243" s="54" t="s">
        <v>92</v>
      </c>
      <c r="C243" s="93"/>
      <c r="D243" s="93"/>
      <c r="E243" s="93"/>
      <c r="F243" s="25"/>
      <c r="G243" s="94"/>
      <c r="H243" s="93"/>
      <c r="I243" s="93"/>
      <c r="J243" s="93"/>
      <c r="K243" s="93"/>
      <c r="L243" s="93"/>
      <c r="M243" s="93"/>
      <c r="N243" s="93"/>
      <c r="O243" s="93"/>
      <c r="P243" s="54">
        <v>0</v>
      </c>
      <c r="Q243" s="94">
        <f t="shared" si="3"/>
        <v>0</v>
      </c>
      <c r="R243" s="53">
        <v>0</v>
      </c>
      <c r="S243" s="132">
        <f t="shared" si="4"/>
        <v>0</v>
      </c>
      <c r="T243" s="25"/>
      <c r="U243" s="25"/>
      <c r="V243" s="5"/>
    </row>
    <row r="244" spans="1:22" ht="15.6" x14ac:dyDescent="0.3">
      <c r="A244" s="24"/>
      <c r="B244" s="54" t="s">
        <v>93</v>
      </c>
      <c r="C244" s="93"/>
      <c r="D244" s="93"/>
      <c r="E244" s="93"/>
      <c r="F244" s="25"/>
      <c r="G244" s="94"/>
      <c r="H244" s="93"/>
      <c r="I244" s="93"/>
      <c r="J244" s="93"/>
      <c r="K244" s="93"/>
      <c r="L244" s="93"/>
      <c r="M244" s="93"/>
      <c r="N244" s="93"/>
      <c r="O244" s="93"/>
      <c r="P244" s="54">
        <v>0</v>
      </c>
      <c r="Q244" s="94">
        <f t="shared" si="3"/>
        <v>0</v>
      </c>
      <c r="R244" s="53">
        <v>0</v>
      </c>
      <c r="S244" s="132">
        <f t="shared" si="4"/>
        <v>0</v>
      </c>
      <c r="T244" s="25"/>
      <c r="U244" s="25"/>
      <c r="V244" s="5"/>
    </row>
    <row r="245" spans="1:22" ht="15.6" x14ac:dyDescent="0.3">
      <c r="A245" s="24"/>
      <c r="B245" s="54" t="s">
        <v>163</v>
      </c>
      <c r="C245" s="93"/>
      <c r="D245" s="93"/>
      <c r="E245" s="93"/>
      <c r="F245" s="25"/>
      <c r="G245" s="94"/>
      <c r="H245" s="93"/>
      <c r="I245" s="93"/>
      <c r="J245" s="93"/>
      <c r="K245" s="93"/>
      <c r="L245" s="93"/>
      <c r="M245" s="93"/>
      <c r="N245" s="93"/>
      <c r="O245" s="93"/>
      <c r="P245" s="54">
        <v>1</v>
      </c>
      <c r="Q245" s="94">
        <f t="shared" si="3"/>
        <v>0.125</v>
      </c>
      <c r="R245" s="53">
        <v>246</v>
      </c>
      <c r="S245" s="132">
        <f t="shared" si="4"/>
        <v>0.18454613653413354</v>
      </c>
      <c r="T245" s="25"/>
      <c r="U245" s="25"/>
      <c r="V245" s="5"/>
    </row>
    <row r="246" spans="1:22" ht="15.6" x14ac:dyDescent="0.3">
      <c r="A246" s="24"/>
      <c r="B246" s="54" t="s">
        <v>164</v>
      </c>
      <c r="C246" s="93"/>
      <c r="D246" s="93"/>
      <c r="E246" s="93"/>
      <c r="F246" s="25"/>
      <c r="G246" s="94"/>
      <c r="H246" s="93"/>
      <c r="I246" s="93"/>
      <c r="J246" s="93"/>
      <c r="K246" s="93"/>
      <c r="L246" s="93"/>
      <c r="M246" s="93"/>
      <c r="N246" s="93"/>
      <c r="O246" s="93"/>
      <c r="P246" s="54">
        <v>5</v>
      </c>
      <c r="Q246" s="94">
        <f t="shared" si="3"/>
        <v>0.625</v>
      </c>
      <c r="R246" s="53">
        <v>890</v>
      </c>
      <c r="S246" s="132">
        <f t="shared" si="4"/>
        <v>0.66766691672918232</v>
      </c>
      <c r="T246" s="25"/>
      <c r="U246" s="25"/>
      <c r="V246" s="5"/>
    </row>
    <row r="247" spans="1:22" ht="15.6" x14ac:dyDescent="0.3">
      <c r="A247" s="24"/>
      <c r="B247" s="54" t="s">
        <v>165</v>
      </c>
      <c r="C247" s="93"/>
      <c r="D247" s="93"/>
      <c r="E247" s="93"/>
      <c r="F247" s="25"/>
      <c r="G247" s="94"/>
      <c r="H247" s="93"/>
      <c r="I247" s="93"/>
      <c r="J247" s="93"/>
      <c r="K247" s="93"/>
      <c r="L247" s="93"/>
      <c r="M247" s="93"/>
      <c r="N247" s="93"/>
      <c r="O247" s="93"/>
      <c r="P247" s="54">
        <v>0</v>
      </c>
      <c r="Q247" s="94">
        <f t="shared" si="3"/>
        <v>0</v>
      </c>
      <c r="R247" s="53">
        <v>0</v>
      </c>
      <c r="S247" s="132">
        <f t="shared" si="4"/>
        <v>0</v>
      </c>
      <c r="T247" s="25"/>
      <c r="U247" s="25"/>
      <c r="V247" s="5"/>
    </row>
    <row r="248" spans="1:22" ht="15.6" x14ac:dyDescent="0.3">
      <c r="A248" s="24"/>
      <c r="B248" s="54" t="s">
        <v>166</v>
      </c>
      <c r="C248" s="93"/>
      <c r="D248" s="93"/>
      <c r="E248" s="93"/>
      <c r="F248" s="25"/>
      <c r="G248" s="94"/>
      <c r="H248" s="93"/>
      <c r="I248" s="93"/>
      <c r="J248" s="93"/>
      <c r="K248" s="93"/>
      <c r="L248" s="93"/>
      <c r="M248" s="93"/>
      <c r="N248" s="93"/>
      <c r="O248" s="93"/>
      <c r="P248" s="54">
        <v>0</v>
      </c>
      <c r="Q248" s="94">
        <f t="shared" si="3"/>
        <v>0</v>
      </c>
      <c r="R248" s="53">
        <v>0</v>
      </c>
      <c r="S248" s="132">
        <f t="shared" si="4"/>
        <v>0</v>
      </c>
      <c r="T248" s="25"/>
      <c r="U248" s="25"/>
      <c r="V248" s="5"/>
    </row>
    <row r="249" spans="1:22" ht="15.6" x14ac:dyDescent="0.3">
      <c r="A249" s="24"/>
      <c r="B249" s="54" t="s">
        <v>167</v>
      </c>
      <c r="C249" s="93"/>
      <c r="D249" s="93"/>
      <c r="E249" s="93"/>
      <c r="F249" s="25"/>
      <c r="G249" s="94"/>
      <c r="H249" s="93"/>
      <c r="I249" s="93"/>
      <c r="J249" s="93"/>
      <c r="K249" s="93"/>
      <c r="L249" s="93"/>
      <c r="M249" s="93"/>
      <c r="N249" s="93"/>
      <c r="O249" s="93"/>
      <c r="P249" s="54">
        <v>0</v>
      </c>
      <c r="Q249" s="94">
        <f t="shared" si="3"/>
        <v>0</v>
      </c>
      <c r="R249" s="53">
        <v>0</v>
      </c>
      <c r="S249" s="132">
        <f t="shared" si="4"/>
        <v>0</v>
      </c>
      <c r="T249" s="25"/>
      <c r="U249" s="25"/>
      <c r="V249" s="5"/>
    </row>
    <row r="250" spans="1:22" ht="15.6" x14ac:dyDescent="0.3">
      <c r="A250" s="24"/>
      <c r="B250" s="54"/>
      <c r="C250" s="93"/>
      <c r="D250" s="93"/>
      <c r="E250" s="93"/>
      <c r="F250" s="25"/>
      <c r="G250" s="94"/>
      <c r="H250" s="93"/>
      <c r="I250" s="93"/>
      <c r="J250" s="93"/>
      <c r="K250" s="93"/>
      <c r="L250" s="93"/>
      <c r="M250" s="93"/>
      <c r="N250" s="93"/>
      <c r="O250" s="93"/>
      <c r="P250" s="54"/>
      <c r="Q250" s="94"/>
      <c r="R250" s="53"/>
      <c r="S250" s="132"/>
      <c r="T250" s="25"/>
      <c r="U250" s="25"/>
      <c r="V250" s="5"/>
    </row>
    <row r="251" spans="1:22" ht="15.6" x14ac:dyDescent="0.3">
      <c r="A251" s="24"/>
      <c r="B251" s="25"/>
      <c r="C251" s="25"/>
      <c r="D251" s="25"/>
      <c r="E251" s="25"/>
      <c r="F251" s="25"/>
      <c r="G251" s="25"/>
      <c r="H251" s="95"/>
      <c r="I251" s="95"/>
      <c r="J251" s="95"/>
      <c r="K251" s="95"/>
      <c r="L251" s="95"/>
      <c r="M251" s="95"/>
      <c r="N251" s="95"/>
      <c r="O251" s="95"/>
      <c r="P251" s="34">
        <f>SUM(P242:P250)</f>
        <v>8</v>
      </c>
      <c r="Q251" s="132">
        <f>SUM(Q242:Q250)</f>
        <v>1</v>
      </c>
      <c r="R251" s="53">
        <f>SUM(R242:R250)</f>
        <v>1333</v>
      </c>
      <c r="S251" s="132">
        <f>SUM(S242:S250)</f>
        <v>1</v>
      </c>
      <c r="T251" s="25"/>
      <c r="U251" s="25"/>
      <c r="V251" s="5"/>
    </row>
    <row r="252" spans="1:22" ht="15.6" x14ac:dyDescent="0.3">
      <c r="A252" s="24"/>
      <c r="B252" s="25"/>
      <c r="C252" s="25"/>
      <c r="D252" s="25"/>
      <c r="E252" s="25"/>
      <c r="F252" s="25"/>
      <c r="G252" s="25"/>
      <c r="H252" s="95"/>
      <c r="I252" s="95"/>
      <c r="J252" s="95"/>
      <c r="K252" s="95"/>
      <c r="L252" s="95"/>
      <c r="M252" s="95"/>
      <c r="N252" s="95"/>
      <c r="O252" s="95"/>
      <c r="P252" s="34"/>
      <c r="Q252" s="132"/>
      <c r="R252" s="53"/>
      <c r="S252" s="132"/>
      <c r="T252" s="25"/>
      <c r="U252" s="25"/>
      <c r="V252" s="5"/>
    </row>
    <row r="253" spans="1:22" ht="15.6" x14ac:dyDescent="0.3">
      <c r="A253" s="141"/>
      <c r="B253" s="14" t="s">
        <v>170</v>
      </c>
      <c r="C253" s="139"/>
      <c r="D253" s="139"/>
      <c r="E253" s="139"/>
      <c r="F253" s="139"/>
      <c r="G253" s="139"/>
      <c r="H253" s="145"/>
      <c r="I253" s="145"/>
      <c r="J253" s="145"/>
      <c r="K253" s="145"/>
      <c r="L253" s="145"/>
      <c r="M253" s="145"/>
      <c r="N253" s="145"/>
      <c r="O253" s="145"/>
      <c r="P253" s="83" t="s">
        <v>105</v>
      </c>
      <c r="Q253" s="17" t="s">
        <v>106</v>
      </c>
      <c r="R253" s="83" t="s">
        <v>114</v>
      </c>
      <c r="S253" s="17" t="s">
        <v>106</v>
      </c>
      <c r="T253" s="139"/>
      <c r="U253" s="140"/>
      <c r="V253" s="5"/>
    </row>
    <row r="254" spans="1:22" ht="15.6" x14ac:dyDescent="0.3">
      <c r="A254" s="24"/>
      <c r="B254" s="54" t="s">
        <v>91</v>
      </c>
      <c r="C254" s="25"/>
      <c r="D254" s="25"/>
      <c r="E254" s="25"/>
      <c r="F254" s="25"/>
      <c r="G254" s="25"/>
      <c r="H254" s="95"/>
      <c r="I254" s="95"/>
      <c r="J254" s="95"/>
      <c r="K254" s="95"/>
      <c r="L254" s="95"/>
      <c r="M254" s="95"/>
      <c r="N254" s="95"/>
      <c r="O254" s="95"/>
      <c r="P254" s="54">
        <v>0</v>
      </c>
      <c r="Q254" s="94">
        <v>0</v>
      </c>
      <c r="R254" s="53">
        <v>0</v>
      </c>
      <c r="S254" s="132">
        <v>0</v>
      </c>
      <c r="T254" s="25"/>
      <c r="U254" s="25"/>
      <c r="V254" s="5"/>
    </row>
    <row r="255" spans="1:22" ht="15.6" x14ac:dyDescent="0.3">
      <c r="A255" s="24"/>
      <c r="B255" s="54" t="s">
        <v>92</v>
      </c>
      <c r="C255" s="25"/>
      <c r="D255" s="25"/>
      <c r="E255" s="25"/>
      <c r="F255" s="25"/>
      <c r="G255" s="25"/>
      <c r="H255" s="95"/>
      <c r="I255" s="95"/>
      <c r="J255" s="95"/>
      <c r="K255" s="95"/>
      <c r="L255" s="95"/>
      <c r="M255" s="95"/>
      <c r="N255" s="95"/>
      <c r="O255" s="95"/>
      <c r="P255" s="54">
        <v>0</v>
      </c>
      <c r="Q255" s="94">
        <v>0</v>
      </c>
      <c r="R255" s="53">
        <v>0</v>
      </c>
      <c r="S255" s="132">
        <v>0</v>
      </c>
      <c r="T255" s="25"/>
      <c r="U255" s="25"/>
      <c r="V255" s="5"/>
    </row>
    <row r="256" spans="1:22" ht="15.6" x14ac:dyDescent="0.3">
      <c r="A256" s="24"/>
      <c r="B256" s="54" t="s">
        <v>93</v>
      </c>
      <c r="C256" s="25"/>
      <c r="D256" s="25"/>
      <c r="E256" s="25"/>
      <c r="F256" s="25"/>
      <c r="G256" s="25"/>
      <c r="H256" s="95"/>
      <c r="I256" s="95"/>
      <c r="J256" s="95"/>
      <c r="K256" s="95"/>
      <c r="L256" s="95"/>
      <c r="M256" s="95"/>
      <c r="N256" s="95"/>
      <c r="O256" s="95"/>
      <c r="P256" s="54">
        <v>0</v>
      </c>
      <c r="Q256" s="94">
        <v>0</v>
      </c>
      <c r="R256" s="53">
        <v>0</v>
      </c>
      <c r="S256" s="132">
        <v>0</v>
      </c>
      <c r="T256" s="25"/>
      <c r="U256" s="25"/>
      <c r="V256" s="5"/>
    </row>
    <row r="257" spans="1:22" ht="15.6" x14ac:dyDescent="0.3">
      <c r="A257" s="24"/>
      <c r="B257" s="54" t="s">
        <v>163</v>
      </c>
      <c r="C257" s="25"/>
      <c r="D257" s="25"/>
      <c r="E257" s="25"/>
      <c r="F257" s="25"/>
      <c r="G257" s="25"/>
      <c r="H257" s="95"/>
      <c r="I257" s="95"/>
      <c r="J257" s="95"/>
      <c r="K257" s="95"/>
      <c r="L257" s="95"/>
      <c r="M257" s="95"/>
      <c r="N257" s="95"/>
      <c r="O257" s="95"/>
      <c r="P257" s="54">
        <v>0</v>
      </c>
      <c r="Q257" s="94">
        <v>0</v>
      </c>
      <c r="R257" s="53">
        <v>0</v>
      </c>
      <c r="S257" s="132">
        <v>0</v>
      </c>
      <c r="T257" s="25"/>
      <c r="U257" s="25"/>
      <c r="V257" s="5"/>
    </row>
    <row r="258" spans="1:22" ht="15.6" x14ac:dyDescent="0.3">
      <c r="A258" s="24"/>
      <c r="B258" s="54" t="s">
        <v>164</v>
      </c>
      <c r="C258" s="25"/>
      <c r="D258" s="25"/>
      <c r="E258" s="25"/>
      <c r="F258" s="25"/>
      <c r="G258" s="25"/>
      <c r="H258" s="95"/>
      <c r="I258" s="95"/>
      <c r="J258" s="95"/>
      <c r="K258" s="95"/>
      <c r="L258" s="95"/>
      <c r="M258" s="95"/>
      <c r="N258" s="95"/>
      <c r="O258" s="95"/>
      <c r="P258" s="54">
        <v>0</v>
      </c>
      <c r="Q258" s="94">
        <v>0</v>
      </c>
      <c r="R258" s="53">
        <v>0</v>
      </c>
      <c r="S258" s="132">
        <v>0</v>
      </c>
      <c r="T258" s="25"/>
      <c r="U258" s="25"/>
      <c r="V258" s="5"/>
    </row>
    <row r="259" spans="1:22" ht="15.6" x14ac:dyDescent="0.3">
      <c r="A259" s="24"/>
      <c r="B259" s="54" t="s">
        <v>165</v>
      </c>
      <c r="C259" s="25"/>
      <c r="D259" s="25"/>
      <c r="E259" s="25"/>
      <c r="F259" s="25"/>
      <c r="G259" s="25"/>
      <c r="H259" s="95"/>
      <c r="I259" s="95"/>
      <c r="J259" s="95"/>
      <c r="K259" s="95"/>
      <c r="L259" s="95"/>
      <c r="M259" s="95"/>
      <c r="N259" s="95"/>
      <c r="O259" s="95"/>
      <c r="P259" s="54">
        <v>0</v>
      </c>
      <c r="Q259" s="94">
        <v>0</v>
      </c>
      <c r="R259" s="53">
        <v>0</v>
      </c>
      <c r="S259" s="132">
        <v>0</v>
      </c>
      <c r="T259" s="25"/>
      <c r="U259" s="25"/>
      <c r="V259" s="5"/>
    </row>
    <row r="260" spans="1:22" ht="15.6" x14ac:dyDescent="0.3">
      <c r="A260" s="24"/>
      <c r="B260" s="54" t="s">
        <v>166</v>
      </c>
      <c r="C260" s="25"/>
      <c r="D260" s="25"/>
      <c r="E260" s="25"/>
      <c r="F260" s="25"/>
      <c r="G260" s="25"/>
      <c r="H260" s="95"/>
      <c r="I260" s="95"/>
      <c r="J260" s="95"/>
      <c r="K260" s="95"/>
      <c r="L260" s="95"/>
      <c r="M260" s="95"/>
      <c r="N260" s="95"/>
      <c r="O260" s="95"/>
      <c r="P260" s="54">
        <v>0</v>
      </c>
      <c r="Q260" s="94">
        <v>0</v>
      </c>
      <c r="R260" s="53">
        <v>0</v>
      </c>
      <c r="S260" s="132">
        <v>0</v>
      </c>
      <c r="T260" s="25"/>
      <c r="U260" s="25"/>
      <c r="V260" s="5"/>
    </row>
    <row r="261" spans="1:22" ht="15.6" x14ac:dyDescent="0.3">
      <c r="A261" s="24"/>
      <c r="B261" s="54" t="s">
        <v>167</v>
      </c>
      <c r="C261" s="25"/>
      <c r="D261" s="25"/>
      <c r="E261" s="25"/>
      <c r="F261" s="25"/>
      <c r="G261" s="25"/>
      <c r="H261" s="95"/>
      <c r="I261" s="95"/>
      <c r="J261" s="95"/>
      <c r="K261" s="95"/>
      <c r="L261" s="95"/>
      <c r="M261" s="95"/>
      <c r="N261" s="95"/>
      <c r="O261" s="95"/>
      <c r="P261" s="54">
        <v>0</v>
      </c>
      <c r="Q261" s="94">
        <v>0</v>
      </c>
      <c r="R261" s="53">
        <v>0</v>
      </c>
      <c r="S261" s="132">
        <v>0</v>
      </c>
      <c r="T261" s="25"/>
      <c r="U261" s="25"/>
      <c r="V261" s="5"/>
    </row>
    <row r="262" spans="1:22" ht="15.6" x14ac:dyDescent="0.3">
      <c r="A262" s="24"/>
      <c r="B262" s="54"/>
      <c r="C262" s="25"/>
      <c r="D262" s="25"/>
      <c r="E262" s="25"/>
      <c r="F262" s="25"/>
      <c r="G262" s="25"/>
      <c r="H262" s="95"/>
      <c r="I262" s="95"/>
      <c r="J262" s="95"/>
      <c r="K262" s="95"/>
      <c r="L262" s="95"/>
      <c r="M262" s="95"/>
      <c r="N262" s="95"/>
      <c r="O262" s="95"/>
      <c r="P262" s="54"/>
      <c r="Q262" s="94"/>
      <c r="R262" s="53"/>
      <c r="S262" s="132"/>
      <c r="T262" s="25"/>
      <c r="U262" s="25"/>
      <c r="V262" s="5"/>
    </row>
    <row r="263" spans="1:22" ht="15.6" x14ac:dyDescent="0.3">
      <c r="A263" s="24"/>
      <c r="B263" s="25" t="s">
        <v>120</v>
      </c>
      <c r="C263" s="25"/>
      <c r="D263" s="25"/>
      <c r="E263" s="25"/>
      <c r="F263" s="25"/>
      <c r="G263" s="25"/>
      <c r="H263" s="95"/>
      <c r="I263" s="95"/>
      <c r="J263" s="95"/>
      <c r="K263" s="95"/>
      <c r="L263" s="95"/>
      <c r="M263" s="95"/>
      <c r="N263" s="95"/>
      <c r="O263" s="95"/>
      <c r="P263" s="34">
        <f>SUM(P254:P261)</f>
        <v>0</v>
      </c>
      <c r="Q263" s="94">
        <f>SUM(Q254:Q261)</f>
        <v>0</v>
      </c>
      <c r="R263" s="53">
        <f>SUM(R254:R261)</f>
        <v>0</v>
      </c>
      <c r="S263" s="132">
        <f>SUM(S254:S261)</f>
        <v>0</v>
      </c>
      <c r="T263" s="25"/>
      <c r="U263" s="25"/>
      <c r="V263" s="5"/>
    </row>
    <row r="264" spans="1:22" ht="15.6" x14ac:dyDescent="0.3">
      <c r="A264" s="24"/>
      <c r="B264" s="25"/>
      <c r="C264" s="25"/>
      <c r="D264" s="25"/>
      <c r="E264" s="25"/>
      <c r="F264" s="25"/>
      <c r="G264" s="25"/>
      <c r="H264" s="95"/>
      <c r="I264" s="95"/>
      <c r="J264" s="95"/>
      <c r="K264" s="95"/>
      <c r="L264" s="95"/>
      <c r="M264" s="95"/>
      <c r="N264" s="95"/>
      <c r="O264" s="95"/>
      <c r="P264" s="34"/>
      <c r="Q264" s="132"/>
      <c r="R264" s="53"/>
      <c r="S264" s="132"/>
      <c r="T264" s="25"/>
      <c r="U264" s="25"/>
      <c r="V264" s="5"/>
    </row>
    <row r="265" spans="1:22" ht="15.6" x14ac:dyDescent="0.3">
      <c r="A265" s="24"/>
      <c r="B265" s="142" t="s">
        <v>171</v>
      </c>
      <c r="C265" s="25"/>
      <c r="D265" s="25"/>
      <c r="E265" s="25"/>
      <c r="F265" s="25"/>
      <c r="G265" s="25"/>
      <c r="H265" s="95"/>
      <c r="I265" s="95"/>
      <c r="J265" s="95"/>
      <c r="K265" s="95"/>
      <c r="L265" s="95"/>
      <c r="M265" s="95"/>
      <c r="N265" s="95"/>
      <c r="O265" s="95"/>
      <c r="P265" s="161">
        <f>P263+P251+P239</f>
        <v>7394</v>
      </c>
      <c r="Q265" s="143"/>
      <c r="R265" s="144">
        <f>+R263+R251+R239</f>
        <v>964230</v>
      </c>
      <c r="S265" s="143"/>
      <c r="T265" s="25"/>
      <c r="U265" s="25"/>
      <c r="V265" s="5"/>
    </row>
    <row r="266" spans="1:22" ht="15.6" x14ac:dyDescent="0.3">
      <c r="A266" s="24"/>
      <c r="B266" s="25"/>
      <c r="C266" s="25"/>
      <c r="D266" s="25"/>
      <c r="E266" s="25"/>
      <c r="F266" s="25"/>
      <c r="G266" s="25"/>
      <c r="H266" s="95"/>
      <c r="I266" s="95"/>
      <c r="J266" s="95"/>
      <c r="K266" s="95"/>
      <c r="L266" s="95"/>
      <c r="M266" s="95"/>
      <c r="N266" s="95"/>
      <c r="O266" s="95"/>
      <c r="P266" s="95"/>
      <c r="Q266" s="95"/>
      <c r="R266" s="53"/>
      <c r="S266" s="95"/>
      <c r="T266" s="25"/>
      <c r="U266" s="25"/>
      <c r="V266" s="5"/>
    </row>
    <row r="267" spans="1:22" ht="15.6" x14ac:dyDescent="0.3">
      <c r="A267" s="6"/>
      <c r="B267" s="8"/>
      <c r="C267" s="8"/>
      <c r="D267" s="8"/>
      <c r="E267" s="8"/>
      <c r="F267" s="8"/>
      <c r="G267" s="8"/>
      <c r="H267" s="96"/>
      <c r="I267" s="96"/>
      <c r="J267" s="96"/>
      <c r="K267" s="96"/>
      <c r="L267" s="96"/>
      <c r="M267" s="96"/>
      <c r="N267" s="96"/>
      <c r="O267" s="96"/>
      <c r="P267" s="96"/>
      <c r="Q267" s="96"/>
      <c r="R267" s="97"/>
      <c r="S267" s="96"/>
      <c r="T267" s="8"/>
      <c r="U267" s="8"/>
      <c r="V267" s="5"/>
    </row>
    <row r="268" spans="1:22" ht="15.6" x14ac:dyDescent="0.3">
      <c r="A268" s="167"/>
      <c r="B268" s="14" t="s">
        <v>94</v>
      </c>
      <c r="C268" s="15"/>
      <c r="D268" s="15"/>
      <c r="E268" s="15"/>
      <c r="F268" s="17" t="s">
        <v>100</v>
      </c>
      <c r="G268" s="15"/>
      <c r="H268" s="14" t="s">
        <v>102</v>
      </c>
      <c r="I268" s="162"/>
      <c r="J268" s="162"/>
      <c r="K268" s="162"/>
      <c r="L268" s="162"/>
      <c r="M268" s="162"/>
      <c r="N268" s="162"/>
      <c r="O268" s="162"/>
      <c r="P268" s="162"/>
      <c r="Q268" s="162"/>
      <c r="R268" s="162"/>
      <c r="S268" s="162"/>
      <c r="T268" s="162"/>
      <c r="U268" s="162"/>
      <c r="V268" s="5"/>
    </row>
    <row r="269" spans="1:22" ht="15.6" x14ac:dyDescent="0.3">
      <c r="A269" s="167"/>
      <c r="B269" s="13" t="s">
        <v>95</v>
      </c>
      <c r="C269" s="13"/>
      <c r="D269" s="13"/>
      <c r="E269" s="13"/>
      <c r="F269" s="130" t="s">
        <v>154</v>
      </c>
      <c r="G269" s="13"/>
      <c r="H269" s="13" t="s">
        <v>158</v>
      </c>
      <c r="I269" s="162"/>
      <c r="J269" s="162"/>
      <c r="K269" s="162"/>
      <c r="L269" s="162"/>
      <c r="M269" s="162"/>
      <c r="N269" s="162"/>
      <c r="O269" s="162"/>
      <c r="P269" s="162"/>
      <c r="Q269" s="162"/>
      <c r="R269" s="162"/>
      <c r="S269" s="162"/>
      <c r="T269" s="162"/>
      <c r="U269" s="162"/>
      <c r="V269" s="5"/>
    </row>
    <row r="270" spans="1:22" ht="15.6" x14ac:dyDescent="0.3">
      <c r="A270" s="167"/>
      <c r="B270" s="13" t="s">
        <v>268</v>
      </c>
      <c r="C270" s="13"/>
      <c r="D270" s="13"/>
      <c r="E270" s="13"/>
      <c r="F270" s="130" t="s">
        <v>269</v>
      </c>
      <c r="G270" s="13"/>
      <c r="H270" s="13" t="s">
        <v>270</v>
      </c>
      <c r="I270" s="162"/>
      <c r="J270" s="162"/>
      <c r="K270" s="162"/>
      <c r="L270" s="162"/>
      <c r="M270" s="162"/>
      <c r="N270" s="162"/>
      <c r="O270" s="162"/>
      <c r="P270" s="162"/>
      <c r="Q270" s="162"/>
      <c r="R270" s="162"/>
      <c r="S270" s="162"/>
      <c r="T270" s="162"/>
      <c r="U270" s="162"/>
      <c r="V270" s="5"/>
    </row>
    <row r="271" spans="1:22" ht="15.6" x14ac:dyDescent="0.3">
      <c r="A271" s="167"/>
      <c r="B271" s="13" t="s">
        <v>96</v>
      </c>
      <c r="C271" s="13"/>
      <c r="D271" s="13"/>
      <c r="E271" s="13"/>
      <c r="F271" s="130" t="s">
        <v>153</v>
      </c>
      <c r="G271" s="13"/>
      <c r="H271" s="13" t="s">
        <v>159</v>
      </c>
      <c r="I271" s="162"/>
      <c r="J271" s="162"/>
      <c r="K271" s="162"/>
      <c r="L271" s="162"/>
      <c r="M271" s="162"/>
      <c r="N271" s="162"/>
      <c r="O271" s="162"/>
      <c r="P271" s="162"/>
      <c r="Q271" s="162"/>
      <c r="R271" s="162"/>
      <c r="S271" s="162"/>
      <c r="T271" s="162"/>
      <c r="U271" s="162"/>
      <c r="V271" s="5"/>
    </row>
    <row r="272" spans="1:22" ht="15.6" x14ac:dyDescent="0.3">
      <c r="A272" s="167"/>
      <c r="B272" s="13"/>
      <c r="C272" s="13"/>
      <c r="D272" s="13"/>
      <c r="E272" s="13"/>
      <c r="F272" s="13"/>
      <c r="G272" s="99"/>
      <c r="H272" s="162"/>
      <c r="I272" s="162"/>
      <c r="J272" s="162"/>
      <c r="K272" s="162"/>
      <c r="L272" s="162"/>
      <c r="M272" s="162"/>
      <c r="N272" s="162"/>
      <c r="O272" s="162"/>
      <c r="P272" s="162"/>
      <c r="Q272" s="162"/>
      <c r="R272" s="162"/>
      <c r="S272" s="162"/>
      <c r="T272" s="162"/>
      <c r="U272" s="162"/>
      <c r="V272" s="5"/>
    </row>
    <row r="273" spans="1:22" ht="15.6" x14ac:dyDescent="0.3">
      <c r="A273" s="167"/>
      <c r="B273" s="13"/>
      <c r="C273" s="13"/>
      <c r="D273" s="13"/>
      <c r="E273" s="13"/>
      <c r="F273" s="13"/>
      <c r="G273" s="99"/>
      <c r="H273" s="162"/>
      <c r="I273" s="162"/>
      <c r="J273" s="162"/>
      <c r="K273" s="162"/>
      <c r="L273" s="162"/>
      <c r="M273" s="162"/>
      <c r="N273" s="162"/>
      <c r="O273" s="162"/>
      <c r="P273" s="162"/>
      <c r="Q273" s="162"/>
      <c r="R273" s="162"/>
      <c r="S273" s="162"/>
      <c r="T273" s="162"/>
      <c r="U273" s="162"/>
      <c r="V273" s="5"/>
    </row>
    <row r="274" spans="1:22" ht="18" thickBot="1" x14ac:dyDescent="0.35">
      <c r="A274" s="167"/>
      <c r="B274" s="49" t="str">
        <f>B190</f>
        <v>PM11 INVESTOR REPORT QUARTER ENDING SEPTEMBER 2006</v>
      </c>
      <c r="C274" s="13"/>
      <c r="D274" s="13"/>
      <c r="E274" s="13"/>
      <c r="F274" s="13"/>
      <c r="G274" s="99"/>
      <c r="H274" s="162"/>
      <c r="I274" s="162"/>
      <c r="J274" s="162"/>
      <c r="K274" s="162"/>
      <c r="L274" s="162"/>
      <c r="M274" s="162"/>
      <c r="N274" s="162"/>
      <c r="O274" s="162"/>
      <c r="P274" s="162"/>
      <c r="Q274" s="162"/>
      <c r="R274" s="162"/>
      <c r="S274" s="162"/>
      <c r="T274" s="162"/>
      <c r="U274" s="162"/>
      <c r="V274" s="5"/>
    </row>
    <row r="275" spans="1:22" x14ac:dyDescent="0.25">
      <c r="A275" s="100"/>
      <c r="B275" s="100"/>
      <c r="C275" s="100"/>
      <c r="D275" s="100"/>
      <c r="E275" s="100"/>
      <c r="F275" s="100"/>
      <c r="G275" s="100"/>
      <c r="H275" s="100"/>
      <c r="I275" s="100"/>
      <c r="J275" s="100"/>
      <c r="K275" s="100"/>
      <c r="L275" s="100"/>
      <c r="M275" s="100"/>
      <c r="N275" s="100"/>
      <c r="O275" s="100"/>
      <c r="P275" s="100"/>
      <c r="Q275" s="100"/>
      <c r="R275" s="100"/>
      <c r="S275" s="100"/>
      <c r="T275" s="100"/>
      <c r="U275" s="100"/>
    </row>
  </sheetData>
  <phoneticPr fontId="0" type="noConversion"/>
  <hyperlinks>
    <hyperlink ref="N227" r:id="rId1" xr:uid="{00000000-0004-0000-0100-000000000000}"/>
    <hyperlink ref="J9" r:id="rId2" xr:uid="{00000000-0004-0000-01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4" max="14" man="1"/>
    <brk id="131" max="14" man="1"/>
    <brk id="190" max="14" man="1"/>
  </rowBreaks>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2D2926"/>
  </sheetPr>
  <dimension ref="A1:X288"/>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08984375" style="1" customWidth="1"/>
    <col min="10" max="10" width="17.81640625" style="1" customWidth="1"/>
    <col min="11" max="11" width="2.1796875" style="1" customWidth="1"/>
    <col min="12" max="12" width="14.81640625" style="1" customWidth="1"/>
    <col min="13" max="13" width="2.1796875" style="1" customWidth="1"/>
    <col min="14" max="14" width="15.54296875" style="1" customWidth="1"/>
    <col min="15" max="15" width="2.08984375" style="1" customWidth="1"/>
    <col min="16" max="16" width="15.54296875" style="1" customWidth="1"/>
    <col min="17" max="18" width="12.81640625" style="1" customWidth="1"/>
    <col min="19" max="19" width="7.81640625" style="1" customWidth="1"/>
    <col min="20" max="20" width="14.81640625" style="1" customWidth="1"/>
    <col min="21" max="21" width="11.81640625" style="1" customWidth="1"/>
    <col min="22" max="16384" width="9.81640625" style="1"/>
  </cols>
  <sheetData>
    <row r="1" spans="1:22" ht="20.399999999999999" x14ac:dyDescent="0.35">
      <c r="A1" s="173"/>
      <c r="B1" s="228" t="s">
        <v>228</v>
      </c>
      <c r="C1" s="174"/>
      <c r="D1" s="174"/>
      <c r="E1" s="174"/>
      <c r="F1" s="174"/>
      <c r="G1" s="174"/>
      <c r="H1" s="174"/>
      <c r="I1" s="174"/>
      <c r="J1" s="174"/>
      <c r="K1" s="174"/>
      <c r="L1" s="174"/>
      <c r="M1" s="174"/>
      <c r="N1" s="174"/>
      <c r="O1" s="174"/>
      <c r="P1" s="174"/>
      <c r="Q1" s="174"/>
      <c r="R1" s="174"/>
      <c r="S1" s="174"/>
      <c r="T1" s="174"/>
      <c r="U1" s="174"/>
      <c r="V1" s="5"/>
    </row>
    <row r="2" spans="1:22" ht="15.6" x14ac:dyDescent="0.3">
      <c r="A2" s="175"/>
      <c r="B2" s="176"/>
      <c r="C2" s="177"/>
      <c r="D2" s="177"/>
      <c r="E2" s="177"/>
      <c r="F2" s="177"/>
      <c r="G2" s="177"/>
      <c r="H2" s="177"/>
      <c r="I2" s="177"/>
      <c r="J2" s="177"/>
      <c r="K2" s="177"/>
      <c r="L2" s="177"/>
      <c r="M2" s="177"/>
      <c r="N2" s="177"/>
      <c r="O2" s="177"/>
      <c r="P2" s="177"/>
      <c r="Q2" s="177"/>
      <c r="R2" s="177"/>
      <c r="S2" s="177"/>
      <c r="T2" s="177"/>
      <c r="U2" s="177"/>
      <c r="V2" s="5"/>
    </row>
    <row r="3" spans="1:22" ht="15.6" x14ac:dyDescent="0.3">
      <c r="A3" s="178"/>
      <c r="B3" s="179" t="s">
        <v>229</v>
      </c>
      <c r="C3" s="177"/>
      <c r="D3" s="177"/>
      <c r="E3" s="177"/>
      <c r="F3" s="177"/>
      <c r="G3" s="177"/>
      <c r="H3" s="177"/>
      <c r="I3" s="177"/>
      <c r="J3" s="177"/>
      <c r="K3" s="177"/>
      <c r="L3" s="177"/>
      <c r="M3" s="177"/>
      <c r="N3" s="177"/>
      <c r="O3" s="177"/>
      <c r="P3" s="177"/>
      <c r="Q3" s="177"/>
      <c r="R3" s="177"/>
      <c r="S3" s="177"/>
      <c r="T3" s="177"/>
      <c r="U3" s="177"/>
      <c r="V3" s="5"/>
    </row>
    <row r="4" spans="1:22" ht="15.6" x14ac:dyDescent="0.3">
      <c r="A4" s="175"/>
      <c r="B4" s="176"/>
      <c r="C4" s="177"/>
      <c r="D4" s="177"/>
      <c r="E4" s="177"/>
      <c r="F4" s="177"/>
      <c r="G4" s="177"/>
      <c r="H4" s="177"/>
      <c r="I4" s="177"/>
      <c r="J4" s="177"/>
      <c r="K4" s="177"/>
      <c r="L4" s="177"/>
      <c r="M4" s="177"/>
      <c r="N4" s="177"/>
      <c r="O4" s="177"/>
      <c r="P4" s="177"/>
      <c r="Q4" s="177"/>
      <c r="R4" s="177"/>
      <c r="S4" s="177"/>
      <c r="T4" s="177"/>
      <c r="U4" s="177"/>
      <c r="V4" s="5"/>
    </row>
    <row r="5" spans="1:22" ht="15.6" x14ac:dyDescent="0.3">
      <c r="A5" s="175"/>
      <c r="B5" s="229" t="s">
        <v>143</v>
      </c>
      <c r="C5" s="177"/>
      <c r="D5" s="177"/>
      <c r="E5" s="177"/>
      <c r="F5" s="177"/>
      <c r="G5" s="177"/>
      <c r="H5" s="177"/>
      <c r="I5" s="177"/>
      <c r="J5" s="177"/>
      <c r="K5" s="177"/>
      <c r="L5" s="177"/>
      <c r="M5" s="177"/>
      <c r="N5" s="177"/>
      <c r="O5" s="177"/>
      <c r="P5" s="177"/>
      <c r="Q5" s="177"/>
      <c r="R5" s="177"/>
      <c r="S5" s="177"/>
      <c r="T5" s="177"/>
      <c r="U5" s="177"/>
      <c r="V5" s="5"/>
    </row>
    <row r="6" spans="1:22" ht="15.6" x14ac:dyDescent="0.3">
      <c r="A6" s="175"/>
      <c r="B6" s="229" t="s">
        <v>145</v>
      </c>
      <c r="C6" s="177"/>
      <c r="D6" s="177"/>
      <c r="E6" s="177"/>
      <c r="F6" s="177"/>
      <c r="G6" s="177"/>
      <c r="H6" s="177"/>
      <c r="I6" s="177"/>
      <c r="J6" s="177"/>
      <c r="K6" s="177"/>
      <c r="L6" s="177"/>
      <c r="M6" s="177"/>
      <c r="N6" s="177"/>
      <c r="O6" s="177"/>
      <c r="P6" s="177"/>
      <c r="Q6" s="177"/>
      <c r="R6" s="177"/>
      <c r="S6" s="177"/>
      <c r="T6" s="177"/>
      <c r="U6" s="177"/>
      <c r="V6" s="5"/>
    </row>
    <row r="7" spans="1:22" ht="15.6" x14ac:dyDescent="0.3">
      <c r="A7" s="175"/>
      <c r="B7" s="229" t="s">
        <v>144</v>
      </c>
      <c r="C7" s="177"/>
      <c r="D7" s="177"/>
      <c r="E7" s="177"/>
      <c r="F7" s="177"/>
      <c r="G7" s="177"/>
      <c r="H7" s="177"/>
      <c r="I7" s="177"/>
      <c r="J7" s="177"/>
      <c r="K7" s="177"/>
      <c r="L7" s="177"/>
      <c r="M7" s="177"/>
      <c r="N7" s="177"/>
      <c r="O7" s="177"/>
      <c r="P7" s="177"/>
      <c r="Q7" s="177"/>
      <c r="R7" s="177"/>
      <c r="S7" s="177"/>
      <c r="T7" s="177"/>
      <c r="U7" s="177"/>
      <c r="V7" s="5"/>
    </row>
    <row r="8" spans="1:22" ht="15.6" x14ac:dyDescent="0.3">
      <c r="A8" s="175"/>
      <c r="B8" s="180"/>
      <c r="C8" s="177"/>
      <c r="D8" s="177"/>
      <c r="E8" s="177"/>
      <c r="F8" s="177"/>
      <c r="G8" s="177"/>
      <c r="H8" s="177"/>
      <c r="I8" s="177"/>
      <c r="J8" s="177"/>
      <c r="K8" s="177"/>
      <c r="L8" s="177"/>
      <c r="M8" s="177"/>
      <c r="N8" s="177"/>
      <c r="O8" s="177"/>
      <c r="P8" s="177"/>
      <c r="Q8" s="177"/>
      <c r="R8" s="177"/>
      <c r="S8" s="177"/>
      <c r="T8" s="177"/>
      <c r="U8" s="177"/>
      <c r="V8" s="5"/>
    </row>
    <row r="9" spans="1:22" ht="17.399999999999999" x14ac:dyDescent="0.3">
      <c r="A9" s="175"/>
      <c r="B9" s="181" t="s">
        <v>173</v>
      </c>
      <c r="C9" s="177"/>
      <c r="D9" s="177"/>
      <c r="E9" s="177"/>
      <c r="F9" s="177"/>
      <c r="G9" s="177"/>
      <c r="H9" s="177"/>
      <c r="I9" s="177"/>
      <c r="J9" s="182" t="s">
        <v>174</v>
      </c>
      <c r="K9" s="177"/>
      <c r="L9" s="182"/>
      <c r="M9" s="177"/>
      <c r="N9" s="177"/>
      <c r="O9" s="177"/>
      <c r="P9" s="177"/>
      <c r="Q9" s="177"/>
      <c r="R9" s="177"/>
      <c r="S9" s="177"/>
      <c r="T9" s="177"/>
      <c r="U9" s="177"/>
      <c r="V9" s="5"/>
    </row>
    <row r="10" spans="1:22" ht="15.6" x14ac:dyDescent="0.3">
      <c r="A10" s="175"/>
      <c r="B10" s="180"/>
      <c r="C10" s="183"/>
      <c r="D10" s="183"/>
      <c r="E10" s="183"/>
      <c r="F10" s="177"/>
      <c r="G10" s="177"/>
      <c r="H10" s="177"/>
      <c r="I10" s="177"/>
      <c r="J10" s="177"/>
      <c r="K10" s="177"/>
      <c r="L10" s="177"/>
      <c r="M10" s="177"/>
      <c r="N10" s="177"/>
      <c r="O10" s="177"/>
      <c r="P10" s="177"/>
      <c r="Q10" s="177"/>
      <c r="R10" s="177"/>
      <c r="S10" s="177"/>
      <c r="T10" s="177"/>
      <c r="U10" s="177"/>
      <c r="V10" s="5"/>
    </row>
    <row r="11" spans="1:22" ht="15.6" x14ac:dyDescent="0.3">
      <c r="A11" s="175"/>
      <c r="B11" s="230" t="s">
        <v>0</v>
      </c>
      <c r="C11" s="177"/>
      <c r="D11" s="177"/>
      <c r="E11" s="177"/>
      <c r="F11" s="177"/>
      <c r="G11" s="177"/>
      <c r="H11" s="177"/>
      <c r="I11" s="177"/>
      <c r="J11" s="177"/>
      <c r="K11" s="177"/>
      <c r="L11" s="177"/>
      <c r="M11" s="177"/>
      <c r="N11" s="177"/>
      <c r="O11" s="177"/>
      <c r="P11" s="177"/>
      <c r="Q11" s="177"/>
      <c r="R11" s="177"/>
      <c r="S11" s="177"/>
      <c r="T11" s="177"/>
      <c r="U11" s="177"/>
      <c r="V11" s="5"/>
    </row>
    <row r="12" spans="1:22" ht="16.2" thickBot="1" x14ac:dyDescent="0.35">
      <c r="A12" s="175"/>
      <c r="B12" s="183"/>
      <c r="C12" s="177"/>
      <c r="D12" s="177"/>
      <c r="E12" s="177"/>
      <c r="F12" s="177"/>
      <c r="G12" s="177"/>
      <c r="H12" s="177"/>
      <c r="I12" s="177"/>
      <c r="J12" s="177"/>
      <c r="K12" s="177"/>
      <c r="L12" s="177"/>
      <c r="M12" s="177"/>
      <c r="N12" s="177"/>
      <c r="O12" s="177"/>
      <c r="P12" s="177"/>
      <c r="Q12" s="177"/>
      <c r="R12" s="177"/>
      <c r="S12" s="177"/>
      <c r="T12" s="177"/>
      <c r="U12" s="177"/>
      <c r="V12" s="5"/>
    </row>
    <row r="13" spans="1:22" ht="15.6" x14ac:dyDescent="0.3">
      <c r="A13" s="173"/>
      <c r="B13" s="174"/>
      <c r="C13" s="174"/>
      <c r="D13" s="174"/>
      <c r="E13" s="174"/>
      <c r="F13" s="174"/>
      <c r="G13" s="174"/>
      <c r="H13" s="174"/>
      <c r="I13" s="174"/>
      <c r="J13" s="174"/>
      <c r="K13" s="174"/>
      <c r="L13" s="174"/>
      <c r="M13" s="174"/>
      <c r="N13" s="174"/>
      <c r="O13" s="174"/>
      <c r="P13" s="174"/>
      <c r="Q13" s="174"/>
      <c r="R13" s="174"/>
      <c r="S13" s="174"/>
      <c r="T13" s="174"/>
      <c r="U13" s="174"/>
      <c r="V13" s="5"/>
    </row>
    <row r="14" spans="1:22" ht="15.6" x14ac:dyDescent="0.3">
      <c r="A14" s="175"/>
      <c r="B14" s="230" t="s">
        <v>1</v>
      </c>
      <c r="C14" s="184"/>
      <c r="D14" s="184"/>
      <c r="E14" s="184"/>
      <c r="F14" s="184"/>
      <c r="G14" s="184"/>
      <c r="H14" s="184"/>
      <c r="I14" s="184"/>
      <c r="J14" s="184"/>
      <c r="K14" s="184"/>
      <c r="L14" s="184"/>
      <c r="M14" s="184"/>
      <c r="N14" s="184"/>
      <c r="O14" s="184"/>
      <c r="P14" s="231"/>
      <c r="Q14" s="231"/>
      <c r="R14" s="231"/>
      <c r="S14" s="231"/>
      <c r="T14" s="233" t="s">
        <v>230</v>
      </c>
      <c r="U14" s="184"/>
      <c r="V14" s="5"/>
    </row>
    <row r="15" spans="1:22" ht="15.6" x14ac:dyDescent="0.3">
      <c r="A15" s="175"/>
      <c r="B15" s="230" t="s">
        <v>2</v>
      </c>
      <c r="C15" s="184"/>
      <c r="D15" s="184"/>
      <c r="E15" s="184"/>
      <c r="F15" s="184"/>
      <c r="G15" s="184"/>
      <c r="H15" s="185"/>
      <c r="I15" s="185"/>
      <c r="J15" s="185"/>
      <c r="K15" s="185"/>
      <c r="L15" s="185"/>
      <c r="M15" s="185"/>
      <c r="N15" s="185"/>
      <c r="O15" s="185"/>
      <c r="P15" s="234" t="s">
        <v>107</v>
      </c>
      <c r="Q15" s="235">
        <v>0.40749999999999997</v>
      </c>
      <c r="R15" s="236" t="s">
        <v>146</v>
      </c>
      <c r="S15" s="235">
        <v>0.59250000000000003</v>
      </c>
      <c r="T15" s="233"/>
      <c r="U15" s="184"/>
      <c r="V15" s="5"/>
    </row>
    <row r="16" spans="1:22" ht="15.6" x14ac:dyDescent="0.3">
      <c r="A16" s="175"/>
      <c r="B16" s="230" t="s">
        <v>3</v>
      </c>
      <c r="C16" s="184"/>
      <c r="D16" s="184"/>
      <c r="E16" s="184"/>
      <c r="F16" s="184"/>
      <c r="G16" s="184"/>
      <c r="H16" s="185"/>
      <c r="I16" s="185"/>
      <c r="J16" s="185"/>
      <c r="K16" s="185"/>
      <c r="L16" s="185"/>
      <c r="M16" s="185"/>
      <c r="N16" s="185"/>
      <c r="O16" s="185"/>
      <c r="P16" s="234" t="s">
        <v>107</v>
      </c>
      <c r="Q16" s="235">
        <v>0.45029999999999998</v>
      </c>
      <c r="R16" s="236" t="s">
        <v>146</v>
      </c>
      <c r="S16" s="235">
        <v>0.54969999999999997</v>
      </c>
      <c r="T16" s="233"/>
      <c r="U16" s="184"/>
      <c r="V16" s="5"/>
    </row>
    <row r="17" spans="1:22" ht="15.6" x14ac:dyDescent="0.3">
      <c r="A17" s="175"/>
      <c r="B17" s="230" t="s">
        <v>4</v>
      </c>
      <c r="C17" s="184"/>
      <c r="D17" s="184"/>
      <c r="E17" s="184"/>
      <c r="F17" s="184"/>
      <c r="G17" s="184"/>
      <c r="H17" s="184"/>
      <c r="I17" s="184"/>
      <c r="J17" s="184"/>
      <c r="K17" s="184"/>
      <c r="L17" s="184"/>
      <c r="M17" s="184"/>
      <c r="N17" s="184"/>
      <c r="O17" s="184"/>
      <c r="P17" s="231"/>
      <c r="Q17" s="231"/>
      <c r="R17" s="231"/>
      <c r="S17" s="231"/>
      <c r="T17" s="237">
        <v>38799</v>
      </c>
      <c r="U17" s="184"/>
      <c r="V17" s="5"/>
    </row>
    <row r="18" spans="1:22" ht="15.6" x14ac:dyDescent="0.3">
      <c r="A18" s="175"/>
      <c r="B18" s="230" t="s">
        <v>5</v>
      </c>
      <c r="C18" s="184"/>
      <c r="D18" s="184"/>
      <c r="E18" s="184"/>
      <c r="F18" s="184"/>
      <c r="G18" s="184"/>
      <c r="H18" s="184"/>
      <c r="I18" s="184"/>
      <c r="J18" s="184"/>
      <c r="K18" s="184"/>
      <c r="L18" s="184"/>
      <c r="M18" s="184"/>
      <c r="N18" s="184"/>
      <c r="O18" s="184"/>
      <c r="P18" s="231"/>
      <c r="Q18" s="231"/>
      <c r="R18" s="231"/>
      <c r="S18" s="231"/>
      <c r="T18" s="237">
        <v>40651</v>
      </c>
      <c r="U18" s="184"/>
      <c r="V18" s="5"/>
    </row>
    <row r="19" spans="1:22" ht="15.6" x14ac:dyDescent="0.3">
      <c r="A19" s="175"/>
      <c r="B19" s="177"/>
      <c r="C19" s="177"/>
      <c r="D19" s="177"/>
      <c r="E19" s="177"/>
      <c r="F19" s="177"/>
      <c r="G19" s="177"/>
      <c r="H19" s="177"/>
      <c r="I19" s="177"/>
      <c r="J19" s="177"/>
      <c r="K19" s="177"/>
      <c r="L19" s="177"/>
      <c r="M19" s="177"/>
      <c r="N19" s="177"/>
      <c r="O19" s="177"/>
      <c r="P19" s="177"/>
      <c r="Q19" s="177"/>
      <c r="R19" s="177"/>
      <c r="S19" s="177"/>
      <c r="T19" s="186"/>
      <c r="U19" s="177"/>
      <c r="V19" s="5"/>
    </row>
    <row r="20" spans="1:22" ht="15.6" x14ac:dyDescent="0.3">
      <c r="A20" s="175"/>
      <c r="B20" s="232" t="s">
        <v>6</v>
      </c>
      <c r="C20" s="177"/>
      <c r="D20" s="177"/>
      <c r="E20" s="177"/>
      <c r="F20" s="177"/>
      <c r="G20" s="177"/>
      <c r="H20" s="177"/>
      <c r="I20" s="177"/>
      <c r="J20" s="177"/>
      <c r="K20" s="177"/>
      <c r="L20" s="177"/>
      <c r="M20" s="177"/>
      <c r="N20" s="177"/>
      <c r="O20" s="177"/>
      <c r="P20" s="177"/>
      <c r="Q20" s="177"/>
      <c r="R20" s="238" t="s">
        <v>108</v>
      </c>
      <c r="S20" s="177"/>
      <c r="T20" s="188"/>
      <c r="U20" s="177"/>
      <c r="V20" s="5"/>
    </row>
    <row r="21" spans="1:22" ht="15.6" x14ac:dyDescent="0.3">
      <c r="A21" s="175"/>
      <c r="B21" s="177"/>
      <c r="C21" s="177"/>
      <c r="D21" s="177"/>
      <c r="E21" s="177"/>
      <c r="F21" s="177"/>
      <c r="G21" s="177"/>
      <c r="H21" s="177"/>
      <c r="I21" s="177"/>
      <c r="J21" s="177"/>
      <c r="K21" s="177"/>
      <c r="L21" s="177"/>
      <c r="M21" s="177"/>
      <c r="N21" s="177"/>
      <c r="O21" s="177"/>
      <c r="P21" s="177"/>
      <c r="Q21" s="177"/>
      <c r="R21" s="177"/>
      <c r="S21" s="177"/>
      <c r="T21" s="189"/>
      <c r="U21" s="177"/>
      <c r="V21" s="5"/>
    </row>
    <row r="22" spans="1:22" ht="15.6" x14ac:dyDescent="0.3">
      <c r="A22" s="222"/>
      <c r="B22" s="223"/>
      <c r="C22" s="224"/>
      <c r="D22" s="224" t="s">
        <v>184</v>
      </c>
      <c r="E22" s="224"/>
      <c r="F22" s="224" t="s">
        <v>185</v>
      </c>
      <c r="G22" s="224"/>
      <c r="H22" s="224" t="s">
        <v>186</v>
      </c>
      <c r="I22" s="224"/>
      <c r="J22" s="224" t="s">
        <v>187</v>
      </c>
      <c r="K22" s="224"/>
      <c r="L22" s="224" t="s">
        <v>188</v>
      </c>
      <c r="M22" s="224"/>
      <c r="N22" s="224" t="s">
        <v>189</v>
      </c>
      <c r="O22" s="224"/>
      <c r="P22" s="224"/>
      <c r="Q22" s="225"/>
      <c r="R22" s="226"/>
      <c r="S22" s="227"/>
      <c r="T22" s="227"/>
      <c r="U22" s="223"/>
      <c r="V22" s="5"/>
    </row>
    <row r="23" spans="1:22" ht="15.6" x14ac:dyDescent="0.3">
      <c r="A23" s="190"/>
      <c r="B23" s="239" t="s">
        <v>7</v>
      </c>
      <c r="C23" s="240"/>
      <c r="D23" s="240" t="s">
        <v>222</v>
      </c>
      <c r="E23" s="240"/>
      <c r="F23" s="240" t="s">
        <v>147</v>
      </c>
      <c r="G23" s="240"/>
      <c r="H23" s="240" t="s">
        <v>147</v>
      </c>
      <c r="I23" s="240"/>
      <c r="J23" s="240" t="s">
        <v>190</v>
      </c>
      <c r="K23" s="240"/>
      <c r="L23" s="240" t="s">
        <v>190</v>
      </c>
      <c r="M23" s="240"/>
      <c r="N23" s="240" t="s">
        <v>148</v>
      </c>
      <c r="O23" s="240"/>
      <c r="P23" s="240"/>
      <c r="Q23" s="240"/>
      <c r="R23" s="240"/>
      <c r="S23" s="241"/>
      <c r="T23" s="241"/>
      <c r="U23" s="239"/>
      <c r="V23" s="5"/>
    </row>
    <row r="24" spans="1:22" ht="15.6" x14ac:dyDescent="0.3">
      <c r="A24" s="284"/>
      <c r="B24" s="285" t="s">
        <v>8</v>
      </c>
      <c r="C24" s="286"/>
      <c r="D24" s="286" t="s">
        <v>223</v>
      </c>
      <c r="E24" s="286"/>
      <c r="F24" s="286" t="s">
        <v>149</v>
      </c>
      <c r="G24" s="286"/>
      <c r="H24" s="286" t="s">
        <v>149</v>
      </c>
      <c r="I24" s="286"/>
      <c r="J24" s="286" t="s">
        <v>172</v>
      </c>
      <c r="K24" s="286"/>
      <c r="L24" s="286" t="s">
        <v>172</v>
      </c>
      <c r="M24" s="286"/>
      <c r="N24" s="286" t="s">
        <v>150</v>
      </c>
      <c r="O24" s="286"/>
      <c r="P24" s="286"/>
      <c r="Q24" s="286"/>
      <c r="R24" s="286"/>
      <c r="S24" s="287"/>
      <c r="T24" s="287"/>
      <c r="U24" s="288"/>
      <c r="V24" s="5"/>
    </row>
    <row r="25" spans="1:22" ht="15.6" x14ac:dyDescent="0.3">
      <c r="A25" s="289"/>
      <c r="B25" s="290" t="s">
        <v>198</v>
      </c>
      <c r="C25" s="291"/>
      <c r="D25" s="286" t="s">
        <v>224</v>
      </c>
      <c r="E25" s="286"/>
      <c r="F25" s="286" t="s">
        <v>149</v>
      </c>
      <c r="G25" s="286"/>
      <c r="H25" s="286" t="s">
        <v>149</v>
      </c>
      <c r="I25" s="286"/>
      <c r="J25" s="286" t="s">
        <v>172</v>
      </c>
      <c r="K25" s="286"/>
      <c r="L25" s="286" t="s">
        <v>172</v>
      </c>
      <c r="M25" s="286"/>
      <c r="N25" s="286" t="s">
        <v>150</v>
      </c>
      <c r="O25" s="286"/>
      <c r="P25" s="286"/>
      <c r="Q25" s="291"/>
      <c r="R25" s="286"/>
      <c r="S25" s="287"/>
      <c r="T25" s="287"/>
      <c r="U25" s="288"/>
      <c r="V25" s="5"/>
    </row>
    <row r="26" spans="1:22" ht="15.6" x14ac:dyDescent="0.3">
      <c r="A26" s="289"/>
      <c r="B26" s="292" t="s">
        <v>9</v>
      </c>
      <c r="C26" s="291"/>
      <c r="D26" s="291" t="s">
        <v>222</v>
      </c>
      <c r="E26" s="291"/>
      <c r="F26" s="291" t="s">
        <v>147</v>
      </c>
      <c r="G26" s="291"/>
      <c r="H26" s="291" t="s">
        <v>147</v>
      </c>
      <c r="I26" s="291"/>
      <c r="J26" s="291" t="s">
        <v>190</v>
      </c>
      <c r="K26" s="291"/>
      <c r="L26" s="291" t="s">
        <v>190</v>
      </c>
      <c r="M26" s="291"/>
      <c r="N26" s="291" t="s">
        <v>148</v>
      </c>
      <c r="O26" s="291"/>
      <c r="P26" s="291"/>
      <c r="Q26" s="291"/>
      <c r="R26" s="286"/>
      <c r="S26" s="287"/>
      <c r="T26" s="287"/>
      <c r="U26" s="288"/>
      <c r="V26" s="5"/>
    </row>
    <row r="27" spans="1:22" ht="15.6" x14ac:dyDescent="0.3">
      <c r="A27" s="284"/>
      <c r="B27" s="292" t="s">
        <v>199</v>
      </c>
      <c r="C27" s="286"/>
      <c r="D27" s="291" t="s">
        <v>223</v>
      </c>
      <c r="E27" s="291"/>
      <c r="F27" s="291" t="s">
        <v>149</v>
      </c>
      <c r="G27" s="291"/>
      <c r="H27" s="291" t="s">
        <v>149</v>
      </c>
      <c r="I27" s="291"/>
      <c r="J27" s="291" t="s">
        <v>172</v>
      </c>
      <c r="K27" s="291"/>
      <c r="L27" s="291" t="s">
        <v>172</v>
      </c>
      <c r="M27" s="291"/>
      <c r="N27" s="291" t="s">
        <v>150</v>
      </c>
      <c r="O27" s="291"/>
      <c r="P27" s="291"/>
      <c r="Q27" s="286"/>
      <c r="R27" s="293"/>
      <c r="S27" s="287"/>
      <c r="T27" s="287"/>
      <c r="U27" s="288"/>
      <c r="V27" s="5"/>
    </row>
    <row r="28" spans="1:22" ht="15.6" x14ac:dyDescent="0.3">
      <c r="A28" s="284"/>
      <c r="B28" s="294" t="s">
        <v>200</v>
      </c>
      <c r="C28" s="286"/>
      <c r="D28" s="291" t="s">
        <v>224</v>
      </c>
      <c r="E28" s="291"/>
      <c r="F28" s="291" t="s">
        <v>149</v>
      </c>
      <c r="G28" s="291"/>
      <c r="H28" s="291" t="s">
        <v>149</v>
      </c>
      <c r="I28" s="291"/>
      <c r="J28" s="291" t="s">
        <v>172</v>
      </c>
      <c r="K28" s="291"/>
      <c r="L28" s="291" t="s">
        <v>172</v>
      </c>
      <c r="M28" s="291"/>
      <c r="N28" s="291" t="s">
        <v>150</v>
      </c>
      <c r="O28" s="291"/>
      <c r="P28" s="291"/>
      <c r="Q28" s="286"/>
      <c r="R28" s="293"/>
      <c r="S28" s="287"/>
      <c r="T28" s="287"/>
      <c r="U28" s="288"/>
      <c r="V28" s="5"/>
    </row>
    <row r="29" spans="1:22" ht="15.6" x14ac:dyDescent="0.3">
      <c r="A29" s="284"/>
      <c r="B29" s="285" t="s">
        <v>10</v>
      </c>
      <c r="C29" s="295"/>
      <c r="D29" s="286" t="s">
        <v>237</v>
      </c>
      <c r="E29" s="286"/>
      <c r="F29" s="293" t="s">
        <v>238</v>
      </c>
      <c r="G29" s="286"/>
      <c r="H29" s="286" t="s">
        <v>239</v>
      </c>
      <c r="I29" s="286"/>
      <c r="J29" s="286" t="s">
        <v>240</v>
      </c>
      <c r="K29" s="286"/>
      <c r="L29" s="286" t="s">
        <v>241</v>
      </c>
      <c r="M29" s="286"/>
      <c r="N29" s="286" t="s">
        <v>242</v>
      </c>
      <c r="O29" s="286"/>
      <c r="P29" s="286"/>
      <c r="Q29" s="296"/>
      <c r="R29" s="296"/>
      <c r="S29" s="297"/>
      <c r="T29" s="296"/>
      <c r="U29" s="298"/>
      <c r="V29" s="5"/>
    </row>
    <row r="30" spans="1:22" ht="15.6" x14ac:dyDescent="0.3">
      <c r="A30" s="284"/>
      <c r="B30" s="285" t="s">
        <v>10</v>
      </c>
      <c r="C30" s="295"/>
      <c r="D30" s="286" t="s">
        <v>236</v>
      </c>
      <c r="E30" s="286"/>
      <c r="F30" s="293" t="s">
        <v>124</v>
      </c>
      <c r="G30" s="286"/>
      <c r="H30" s="286" t="s">
        <v>124</v>
      </c>
      <c r="I30" s="286"/>
      <c r="J30" s="286" t="s">
        <v>124</v>
      </c>
      <c r="K30" s="286"/>
      <c r="L30" s="286" t="s">
        <v>124</v>
      </c>
      <c r="M30" s="286"/>
      <c r="N30" s="286" t="s">
        <v>124</v>
      </c>
      <c r="O30" s="286"/>
      <c r="P30" s="286"/>
      <c r="Q30" s="296"/>
      <c r="R30" s="296"/>
      <c r="S30" s="297"/>
      <c r="T30" s="296"/>
      <c r="U30" s="298"/>
      <c r="V30" s="5"/>
    </row>
    <row r="31" spans="1:22" ht="15.6" x14ac:dyDescent="0.3">
      <c r="A31" s="289"/>
      <c r="B31" s="285" t="s">
        <v>139</v>
      </c>
      <c r="C31" s="299"/>
      <c r="D31" s="300">
        <v>985000</v>
      </c>
      <c r="E31" s="295"/>
      <c r="F31" s="296">
        <v>149500</v>
      </c>
      <c r="G31" s="296"/>
      <c r="H31" s="301">
        <v>219700</v>
      </c>
      <c r="I31" s="296"/>
      <c r="J31" s="296">
        <v>16000</v>
      </c>
      <c r="K31" s="296"/>
      <c r="L31" s="301">
        <v>82400</v>
      </c>
      <c r="M31" s="296"/>
      <c r="N31" s="301">
        <v>87500</v>
      </c>
      <c r="O31" s="296"/>
      <c r="P31" s="301"/>
      <c r="Q31" s="302"/>
      <c r="R31" s="302"/>
      <c r="S31" s="303"/>
      <c r="T31" s="302"/>
      <c r="U31" s="298"/>
      <c r="V31" s="5"/>
    </row>
    <row r="32" spans="1:22" ht="15.6" x14ac:dyDescent="0.3">
      <c r="A32" s="284"/>
      <c r="B32" s="285" t="s">
        <v>138</v>
      </c>
      <c r="C32" s="295"/>
      <c r="D32" s="300">
        <f>D38*D31</f>
        <v>513970.34049999999</v>
      </c>
      <c r="E32" s="295"/>
      <c r="F32" s="296">
        <f>F38*F31</f>
        <v>78008.800999999992</v>
      </c>
      <c r="G32" s="296"/>
      <c r="H32" s="301">
        <f>H38*H31</f>
        <v>114639.0206</v>
      </c>
      <c r="I32" s="296"/>
      <c r="J32" s="296">
        <f>+J31</f>
        <v>16000</v>
      </c>
      <c r="K32" s="296"/>
      <c r="L32" s="301">
        <f>+L31</f>
        <v>82400</v>
      </c>
      <c r="M32" s="296"/>
      <c r="N32" s="301">
        <f>+N31</f>
        <v>87500</v>
      </c>
      <c r="O32" s="296"/>
      <c r="P32" s="301"/>
      <c r="Q32" s="296"/>
      <c r="R32" s="296"/>
      <c r="S32" s="297"/>
      <c r="T32" s="296"/>
      <c r="U32" s="298"/>
      <c r="V32" s="5"/>
    </row>
    <row r="33" spans="1:22" ht="15.6" x14ac:dyDescent="0.3">
      <c r="A33" s="284"/>
      <c r="B33" s="292" t="s">
        <v>140</v>
      </c>
      <c r="C33" s="295"/>
      <c r="D33" s="304">
        <f>D37*D31</f>
        <v>509493.90950000001</v>
      </c>
      <c r="E33" s="299"/>
      <c r="F33" s="302">
        <f>F37*F31</f>
        <v>77329.383300000001</v>
      </c>
      <c r="G33" s="302"/>
      <c r="H33" s="305">
        <f>H31*H37</f>
        <v>113640.57197999999</v>
      </c>
      <c r="I33" s="302"/>
      <c r="J33" s="302">
        <f>J31*J37</f>
        <v>16000</v>
      </c>
      <c r="K33" s="302"/>
      <c r="L33" s="305">
        <f>L31*L37</f>
        <v>82400</v>
      </c>
      <c r="M33" s="302"/>
      <c r="N33" s="305">
        <f>N31*N37</f>
        <v>87500</v>
      </c>
      <c r="O33" s="302"/>
      <c r="P33" s="305"/>
      <c r="Q33" s="296"/>
      <c r="R33" s="296"/>
      <c r="S33" s="297"/>
      <c r="T33" s="296"/>
      <c r="U33" s="298"/>
      <c r="V33" s="5"/>
    </row>
    <row r="34" spans="1:22" ht="15.6" x14ac:dyDescent="0.3">
      <c r="A34" s="289"/>
      <c r="B34" s="285" t="s">
        <v>283</v>
      </c>
      <c r="C34" s="299"/>
      <c r="D34" s="296">
        <v>567282</v>
      </c>
      <c r="E34" s="295"/>
      <c r="F34" s="296">
        <v>149500</v>
      </c>
      <c r="G34" s="296"/>
      <c r="H34" s="296">
        <v>150716</v>
      </c>
      <c r="I34" s="296"/>
      <c r="J34" s="296">
        <v>16000</v>
      </c>
      <c r="K34" s="296"/>
      <c r="L34" s="296">
        <v>56527</v>
      </c>
      <c r="M34" s="296"/>
      <c r="N34" s="296">
        <v>60025</v>
      </c>
      <c r="O34" s="296"/>
      <c r="P34" s="296"/>
      <c r="Q34" s="302"/>
      <c r="R34" s="302"/>
      <c r="S34" s="303"/>
      <c r="T34" s="306">
        <f>SUM(C34:P34)</f>
        <v>1000050</v>
      </c>
      <c r="U34" s="298"/>
      <c r="V34" s="5"/>
    </row>
    <row r="35" spans="1:22" ht="15.6" x14ac:dyDescent="0.3">
      <c r="A35" s="289"/>
      <c r="B35" s="285" t="s">
        <v>284</v>
      </c>
      <c r="C35" s="307"/>
      <c r="D35" s="296">
        <f>D38*D34</f>
        <v>296006.21593860001</v>
      </c>
      <c r="E35" s="295"/>
      <c r="F35" s="296">
        <f>F38*F34</f>
        <v>78008.800999999992</v>
      </c>
      <c r="G35" s="296"/>
      <c r="H35" s="296">
        <f>H38*H34</f>
        <v>78643.307367999994</v>
      </c>
      <c r="I35" s="296"/>
      <c r="J35" s="296">
        <f>+J34</f>
        <v>16000</v>
      </c>
      <c r="K35" s="296"/>
      <c r="L35" s="296">
        <f>+L34</f>
        <v>56527</v>
      </c>
      <c r="M35" s="296"/>
      <c r="N35" s="296">
        <f>+N34</f>
        <v>60025</v>
      </c>
      <c r="O35" s="296"/>
      <c r="P35" s="296"/>
      <c r="Q35" s="296"/>
      <c r="R35" s="296"/>
      <c r="S35" s="297"/>
      <c r="T35" s="306">
        <f>SUM(C35:P35)+1</f>
        <v>585211.32430660003</v>
      </c>
      <c r="U35" s="298"/>
      <c r="V35" s="5"/>
    </row>
    <row r="36" spans="1:22" ht="15.6" x14ac:dyDescent="0.3">
      <c r="A36" s="289"/>
      <c r="B36" s="292" t="s">
        <v>285</v>
      </c>
      <c r="C36" s="307"/>
      <c r="D36" s="302">
        <f>D37*D34</f>
        <v>293428.14616140001</v>
      </c>
      <c r="E36" s="299"/>
      <c r="F36" s="302">
        <f>F37*F34</f>
        <v>77329.383300000001</v>
      </c>
      <c r="G36" s="302"/>
      <c r="H36" s="302">
        <f>H37*H34</f>
        <v>77958.363434400002</v>
      </c>
      <c r="I36" s="302"/>
      <c r="J36" s="302">
        <f>+J34</f>
        <v>16000</v>
      </c>
      <c r="K36" s="302"/>
      <c r="L36" s="302">
        <f>+L34</f>
        <v>56527</v>
      </c>
      <c r="M36" s="302"/>
      <c r="N36" s="302">
        <f>+N34</f>
        <v>60025</v>
      </c>
      <c r="O36" s="302"/>
      <c r="P36" s="302"/>
      <c r="Q36" s="308"/>
      <c r="R36" s="308"/>
      <c r="S36" s="297"/>
      <c r="T36" s="309">
        <f>SUM(C36:P36)+1</f>
        <v>581268.89289580006</v>
      </c>
      <c r="U36" s="298"/>
      <c r="V36" s="5"/>
    </row>
    <row r="37" spans="1:22" ht="15.6" x14ac:dyDescent="0.3">
      <c r="A37" s="284"/>
      <c r="B37" s="310" t="s">
        <v>136</v>
      </c>
      <c r="C37" s="311"/>
      <c r="D37" s="312">
        <v>0.51725270000000001</v>
      </c>
      <c r="E37" s="313"/>
      <c r="F37" s="312">
        <v>0.51725339999999997</v>
      </c>
      <c r="G37" s="314"/>
      <c r="H37" s="312">
        <v>0.51725339999999997</v>
      </c>
      <c r="I37" s="314"/>
      <c r="J37" s="312">
        <v>1</v>
      </c>
      <c r="K37" s="314"/>
      <c r="L37" s="312">
        <v>1</v>
      </c>
      <c r="M37" s="314"/>
      <c r="N37" s="312">
        <v>1</v>
      </c>
      <c r="O37" s="314"/>
      <c r="P37" s="314"/>
      <c r="Q37" s="315"/>
      <c r="R37" s="315"/>
      <c r="S37" s="316"/>
      <c r="T37" s="316"/>
      <c r="U37" s="317"/>
      <c r="V37" s="5"/>
    </row>
    <row r="38" spans="1:22" ht="15.6" x14ac:dyDescent="0.3">
      <c r="A38" s="284"/>
      <c r="B38" s="310" t="s">
        <v>137</v>
      </c>
      <c r="C38" s="311"/>
      <c r="D38" s="312">
        <v>0.52179730000000002</v>
      </c>
      <c r="E38" s="313"/>
      <c r="F38" s="312">
        <v>0.52179799999999998</v>
      </c>
      <c r="G38" s="314"/>
      <c r="H38" s="312">
        <v>0.52179799999999998</v>
      </c>
      <c r="I38" s="314"/>
      <c r="J38" s="312">
        <v>1</v>
      </c>
      <c r="K38" s="314"/>
      <c r="L38" s="312">
        <v>1</v>
      </c>
      <c r="M38" s="314"/>
      <c r="N38" s="312">
        <v>1</v>
      </c>
      <c r="O38" s="314"/>
      <c r="P38" s="314"/>
      <c r="Q38" s="318"/>
      <c r="R38" s="319"/>
      <c r="S38" s="316"/>
      <c r="T38" s="318"/>
      <c r="U38" s="317"/>
      <c r="V38" s="5"/>
    </row>
    <row r="39" spans="1:22" ht="15.6" x14ac:dyDescent="0.3">
      <c r="A39" s="284"/>
      <c r="B39" s="285" t="s">
        <v>11</v>
      </c>
      <c r="C39" s="285"/>
      <c r="D39" s="293" t="s">
        <v>275</v>
      </c>
      <c r="E39" s="285"/>
      <c r="F39" s="293" t="s">
        <v>231</v>
      </c>
      <c r="G39" s="293"/>
      <c r="H39" s="293" t="s">
        <v>231</v>
      </c>
      <c r="I39" s="293"/>
      <c r="J39" s="293" t="s">
        <v>232</v>
      </c>
      <c r="K39" s="293"/>
      <c r="L39" s="293" t="s">
        <v>232</v>
      </c>
      <c r="M39" s="293"/>
      <c r="N39" s="293" t="s">
        <v>233</v>
      </c>
      <c r="O39" s="293"/>
      <c r="P39" s="293"/>
      <c r="Q39" s="320"/>
      <c r="R39" s="321"/>
      <c r="S39" s="287"/>
      <c r="T39" s="287"/>
      <c r="U39" s="288"/>
      <c r="V39" s="5"/>
    </row>
    <row r="40" spans="1:22" ht="15.6" x14ac:dyDescent="0.3">
      <c r="A40" s="284"/>
      <c r="B40" s="285" t="s">
        <v>12</v>
      </c>
      <c r="C40" s="285"/>
      <c r="D40" s="321">
        <v>3.5500000000000002E-3</v>
      </c>
      <c r="E40" s="285"/>
      <c r="F40" s="321">
        <v>8.8999999999999999E-3</v>
      </c>
      <c r="G40" s="320"/>
      <c r="H40" s="321">
        <v>1.1259999999999999E-2</v>
      </c>
      <c r="I40" s="320"/>
      <c r="J40" s="321">
        <v>1.01E-2</v>
      </c>
      <c r="K40" s="320"/>
      <c r="L40" s="321">
        <v>1.2460000000000001E-2</v>
      </c>
      <c r="M40" s="320"/>
      <c r="N40" s="321">
        <v>1.456E-2</v>
      </c>
      <c r="O40" s="320"/>
      <c r="P40" s="321"/>
      <c r="Q40" s="320"/>
      <c r="R40" s="321"/>
      <c r="S40" s="287"/>
      <c r="T40" s="293"/>
      <c r="U40" s="288"/>
      <c r="V40" s="5"/>
    </row>
    <row r="41" spans="1:22" ht="15.6" x14ac:dyDescent="0.3">
      <c r="A41" s="284"/>
      <c r="B41" s="285" t="s">
        <v>13</v>
      </c>
      <c r="C41" s="285"/>
      <c r="D41" s="321">
        <v>3.6031000000000001E-3</v>
      </c>
      <c r="E41" s="285"/>
      <c r="F41" s="321">
        <v>8.5974999999999992E-3</v>
      </c>
      <c r="G41" s="320"/>
      <c r="H41" s="321">
        <v>1.1050000000000001E-2</v>
      </c>
      <c r="I41" s="320"/>
      <c r="J41" s="321">
        <v>9.7975000000000007E-3</v>
      </c>
      <c r="K41" s="320"/>
      <c r="L41" s="321">
        <v>1.225E-2</v>
      </c>
      <c r="M41" s="320"/>
      <c r="N41" s="321">
        <v>1.435E-2</v>
      </c>
      <c r="O41" s="320"/>
      <c r="P41" s="321"/>
      <c r="Q41" s="320"/>
      <c r="R41" s="321"/>
      <c r="S41" s="287"/>
      <c r="T41" s="320" t="s">
        <v>201</v>
      </c>
      <c r="U41" s="288"/>
      <c r="V41" s="5"/>
    </row>
    <row r="42" spans="1:22" ht="15.6" x14ac:dyDescent="0.3">
      <c r="A42" s="284"/>
      <c r="B42" s="285" t="s">
        <v>286</v>
      </c>
      <c r="C42" s="285"/>
      <c r="D42" s="293" t="s">
        <v>231</v>
      </c>
      <c r="E42" s="285"/>
      <c r="F42" s="293" t="s">
        <v>231</v>
      </c>
      <c r="G42" s="293"/>
      <c r="H42" s="293" t="s">
        <v>243</v>
      </c>
      <c r="I42" s="293"/>
      <c r="J42" s="293" t="s">
        <v>232</v>
      </c>
      <c r="K42" s="293"/>
      <c r="L42" s="293" t="s">
        <v>244</v>
      </c>
      <c r="M42" s="293"/>
      <c r="N42" s="293" t="s">
        <v>246</v>
      </c>
      <c r="O42" s="293"/>
      <c r="P42" s="293"/>
      <c r="Q42" s="320"/>
      <c r="R42" s="321"/>
      <c r="S42" s="287"/>
      <c r="T42" s="287"/>
      <c r="U42" s="288"/>
      <c r="V42" s="5"/>
    </row>
    <row r="43" spans="1:22" ht="15.6" x14ac:dyDescent="0.3">
      <c r="A43" s="284"/>
      <c r="B43" s="285" t="s">
        <v>287</v>
      </c>
      <c r="C43" s="322"/>
      <c r="D43" s="321">
        <v>8.9362E-3</v>
      </c>
      <c r="E43" s="321"/>
      <c r="F43" s="321">
        <f>+F40</f>
        <v>8.8999999999999999E-3</v>
      </c>
      <c r="G43" s="321"/>
      <c r="H43" s="321">
        <v>8.8979999999999997E-3</v>
      </c>
      <c r="I43" s="321"/>
      <c r="J43" s="321">
        <f>+J40</f>
        <v>1.01E-2</v>
      </c>
      <c r="K43" s="321"/>
      <c r="L43" s="321">
        <v>1.0253E-2</v>
      </c>
      <c r="M43" s="321"/>
      <c r="N43" s="321">
        <v>1.2605E-2</v>
      </c>
      <c r="O43" s="320"/>
      <c r="P43" s="321"/>
      <c r="Q43" s="293"/>
      <c r="R43" s="293"/>
      <c r="S43" s="287"/>
      <c r="T43" s="320">
        <f>SUMPRODUCT(D43:N43,D35:N35)/T35</f>
        <v>9.46154568572578E-3</v>
      </c>
      <c r="U43" s="288"/>
      <c r="V43" s="5"/>
    </row>
    <row r="44" spans="1:22" ht="15.6" x14ac:dyDescent="0.3">
      <c r="A44" s="284"/>
      <c r="B44" s="285" t="s">
        <v>288</v>
      </c>
      <c r="C44" s="322"/>
      <c r="D44" s="321">
        <v>8.6336999999999994E-3</v>
      </c>
      <c r="E44" s="321"/>
      <c r="F44" s="321">
        <f>+F41</f>
        <v>8.5974999999999992E-3</v>
      </c>
      <c r="G44" s="321"/>
      <c r="H44" s="321">
        <v>8.5955000000000007E-3</v>
      </c>
      <c r="I44" s="321"/>
      <c r="J44" s="321">
        <f>+J41</f>
        <v>9.7975000000000007E-3</v>
      </c>
      <c r="K44" s="321"/>
      <c r="L44" s="321">
        <v>9.9504999999999993E-3</v>
      </c>
      <c r="M44" s="321"/>
      <c r="N44" s="321">
        <v>1.2302499999999999E-2</v>
      </c>
      <c r="O44" s="320"/>
      <c r="P44" s="321"/>
      <c r="Q44" s="293"/>
      <c r="R44" s="293"/>
      <c r="S44" s="287"/>
      <c r="T44" s="287"/>
      <c r="U44" s="288"/>
      <c r="V44" s="5"/>
    </row>
    <row r="45" spans="1:22" ht="15.6" x14ac:dyDescent="0.3">
      <c r="A45" s="284"/>
      <c r="B45" s="285" t="s">
        <v>14</v>
      </c>
      <c r="C45" s="285"/>
      <c r="D45" s="322">
        <v>40283</v>
      </c>
      <c r="E45" s="322"/>
      <c r="F45" s="322">
        <v>40283</v>
      </c>
      <c r="G45" s="322"/>
      <c r="H45" s="322">
        <v>40283</v>
      </c>
      <c r="I45" s="322"/>
      <c r="J45" s="322">
        <v>40283</v>
      </c>
      <c r="K45" s="322"/>
      <c r="L45" s="322">
        <v>40283</v>
      </c>
      <c r="M45" s="322"/>
      <c r="N45" s="322">
        <v>40283</v>
      </c>
      <c r="O45" s="322"/>
      <c r="P45" s="322"/>
      <c r="Q45" s="293"/>
      <c r="R45" s="293"/>
      <c r="S45" s="287"/>
      <c r="T45" s="287"/>
      <c r="U45" s="288"/>
      <c r="V45" s="5"/>
    </row>
    <row r="46" spans="1:22" ht="15.6" x14ac:dyDescent="0.3">
      <c r="A46" s="284"/>
      <c r="B46" s="285" t="s">
        <v>15</v>
      </c>
      <c r="C46" s="285"/>
      <c r="D46" s="322">
        <v>40648</v>
      </c>
      <c r="E46" s="322"/>
      <c r="F46" s="322">
        <v>40648</v>
      </c>
      <c r="G46" s="322"/>
      <c r="H46" s="322">
        <v>40648</v>
      </c>
      <c r="I46" s="293"/>
      <c r="J46" s="322">
        <v>40648</v>
      </c>
      <c r="K46" s="293"/>
      <c r="L46" s="322">
        <v>40648</v>
      </c>
      <c r="M46" s="293"/>
      <c r="N46" s="322">
        <v>40648</v>
      </c>
      <c r="O46" s="293"/>
      <c r="P46" s="322"/>
      <c r="Q46" s="293"/>
      <c r="R46" s="293"/>
      <c r="S46" s="287"/>
      <c r="T46" s="287"/>
      <c r="U46" s="288"/>
      <c r="V46" s="5"/>
    </row>
    <row r="47" spans="1:22" ht="15.6" x14ac:dyDescent="0.3">
      <c r="A47" s="284"/>
      <c r="B47" s="285" t="s">
        <v>125</v>
      </c>
      <c r="C47" s="285"/>
      <c r="D47" s="323" t="s">
        <v>124</v>
      </c>
      <c r="E47" s="285"/>
      <c r="F47" s="293" t="s">
        <v>232</v>
      </c>
      <c r="G47" s="293"/>
      <c r="H47" s="293" t="s">
        <v>232</v>
      </c>
      <c r="I47" s="293"/>
      <c r="J47" s="293" t="s">
        <v>234</v>
      </c>
      <c r="K47" s="293"/>
      <c r="L47" s="293" t="s">
        <v>234</v>
      </c>
      <c r="M47" s="293"/>
      <c r="N47" s="293" t="s">
        <v>235</v>
      </c>
      <c r="O47" s="293"/>
      <c r="P47" s="293"/>
      <c r="Q47" s="324"/>
      <c r="R47" s="324"/>
      <c r="S47" s="324"/>
      <c r="T47" s="324"/>
      <c r="U47" s="288"/>
      <c r="V47" s="5"/>
    </row>
    <row r="48" spans="1:22" ht="15.6" x14ac:dyDescent="0.3">
      <c r="A48" s="284"/>
      <c r="B48" s="285" t="s">
        <v>289</v>
      </c>
      <c r="C48" s="285"/>
      <c r="D48" s="293" t="s">
        <v>208</v>
      </c>
      <c r="E48" s="285"/>
      <c r="F48" s="293" t="s">
        <v>232</v>
      </c>
      <c r="G48" s="293"/>
      <c r="H48" s="293" t="s">
        <v>232</v>
      </c>
      <c r="I48" s="293"/>
      <c r="J48" s="293" t="s">
        <v>234</v>
      </c>
      <c r="K48" s="293"/>
      <c r="L48" s="293" t="s">
        <v>245</v>
      </c>
      <c r="M48" s="293"/>
      <c r="N48" s="293" t="s">
        <v>247</v>
      </c>
      <c r="O48" s="293"/>
      <c r="P48" s="293"/>
      <c r="Q48" s="285"/>
      <c r="R48" s="285"/>
      <c r="S48" s="285"/>
      <c r="T48" s="320"/>
      <c r="U48" s="288"/>
      <c r="V48" s="5"/>
    </row>
    <row r="49" spans="1:23" ht="15.6" x14ac:dyDescent="0.3">
      <c r="A49" s="284"/>
      <c r="B49" s="285"/>
      <c r="C49" s="285"/>
      <c r="D49" s="293"/>
      <c r="E49" s="285"/>
      <c r="F49" s="293"/>
      <c r="G49" s="293"/>
      <c r="H49" s="293"/>
      <c r="I49" s="293"/>
      <c r="J49" s="293"/>
      <c r="K49" s="293"/>
      <c r="L49" s="293"/>
      <c r="M49" s="293"/>
      <c r="N49" s="293"/>
      <c r="O49" s="293"/>
      <c r="P49" s="293"/>
      <c r="Q49" s="285"/>
      <c r="R49" s="285"/>
      <c r="S49" s="285"/>
      <c r="T49" s="320" t="s">
        <v>201</v>
      </c>
      <c r="U49" s="288"/>
      <c r="V49" s="5"/>
    </row>
    <row r="50" spans="1:23" ht="15.6" x14ac:dyDescent="0.3">
      <c r="A50" s="284"/>
      <c r="B50" s="285" t="s">
        <v>176</v>
      </c>
      <c r="C50" s="285"/>
      <c r="D50" s="293"/>
      <c r="E50" s="285"/>
      <c r="F50" s="293"/>
      <c r="G50" s="293"/>
      <c r="H50" s="293"/>
      <c r="I50" s="293"/>
      <c r="J50" s="293"/>
      <c r="K50" s="293"/>
      <c r="L50" s="293"/>
      <c r="M50" s="293"/>
      <c r="N50" s="293"/>
      <c r="O50" s="293"/>
      <c r="P50" s="293"/>
      <c r="Q50" s="285"/>
      <c r="R50" s="285"/>
      <c r="S50" s="285"/>
      <c r="T50" s="320">
        <f>SUM(J34:P34)/SUM(D34:H34)</f>
        <v>0.15279804679664968</v>
      </c>
      <c r="U50" s="288"/>
      <c r="V50" s="5"/>
    </row>
    <row r="51" spans="1:23" ht="15.6" x14ac:dyDescent="0.3">
      <c r="A51" s="284"/>
      <c r="B51" s="285" t="s">
        <v>177</v>
      </c>
      <c r="C51" s="285"/>
      <c r="D51" s="285"/>
      <c r="E51" s="285"/>
      <c r="F51" s="325"/>
      <c r="G51" s="285"/>
      <c r="H51" s="285"/>
      <c r="I51" s="285"/>
      <c r="J51" s="285"/>
      <c r="K51" s="285"/>
      <c r="L51" s="285"/>
      <c r="M51" s="285"/>
      <c r="N51" s="285"/>
      <c r="O51" s="285"/>
      <c r="P51" s="285"/>
      <c r="Q51" s="285"/>
      <c r="R51" s="285"/>
      <c r="S51" s="285"/>
      <c r="T51" s="320">
        <f>SUM(J36:P36)/SUM(D36:H36)</f>
        <v>0.29540295340236811</v>
      </c>
      <c r="U51" s="288"/>
      <c r="V51" s="5"/>
    </row>
    <row r="52" spans="1:23" ht="15.6" x14ac:dyDescent="0.3">
      <c r="A52" s="284"/>
      <c r="B52" s="285" t="s">
        <v>178</v>
      </c>
      <c r="C52" s="285"/>
      <c r="D52" s="285"/>
      <c r="E52" s="285"/>
      <c r="F52" s="285"/>
      <c r="G52" s="285"/>
      <c r="H52" s="285"/>
      <c r="I52" s="285"/>
      <c r="J52" s="285"/>
      <c r="K52" s="285"/>
      <c r="L52" s="285"/>
      <c r="M52" s="285"/>
      <c r="N52" s="285"/>
      <c r="O52" s="285"/>
      <c r="P52" s="285"/>
      <c r="Q52" s="285"/>
      <c r="R52" s="293" t="s">
        <v>109</v>
      </c>
      <c r="S52" s="293" t="s">
        <v>115</v>
      </c>
      <c r="T52" s="296">
        <f>+T34/2-SUM(J34:P34)</f>
        <v>367473</v>
      </c>
      <c r="U52" s="288"/>
      <c r="V52" s="5"/>
    </row>
    <row r="53" spans="1:23" ht="15.6" x14ac:dyDescent="0.3">
      <c r="A53" s="284"/>
      <c r="B53" s="285"/>
      <c r="C53" s="285"/>
      <c r="D53" s="285"/>
      <c r="E53" s="285"/>
      <c r="F53" s="285"/>
      <c r="G53" s="285"/>
      <c r="H53" s="285"/>
      <c r="I53" s="285"/>
      <c r="J53" s="285"/>
      <c r="K53" s="285"/>
      <c r="L53" s="285"/>
      <c r="M53" s="285"/>
      <c r="N53" s="285"/>
      <c r="O53" s="285"/>
      <c r="P53" s="285"/>
      <c r="Q53" s="285"/>
      <c r="R53" s="285"/>
      <c r="S53" s="285"/>
      <c r="T53" s="326"/>
      <c r="U53" s="288"/>
      <c r="V53" s="5"/>
    </row>
    <row r="54" spans="1:23" ht="15.6" x14ac:dyDescent="0.3">
      <c r="A54" s="284"/>
      <c r="B54" s="285" t="s">
        <v>211</v>
      </c>
      <c r="C54" s="285"/>
      <c r="D54" s="285"/>
      <c r="E54" s="285"/>
      <c r="F54" s="285"/>
      <c r="G54" s="285"/>
      <c r="H54" s="285"/>
      <c r="I54" s="285"/>
      <c r="J54" s="285"/>
      <c r="K54" s="285"/>
      <c r="L54" s="285"/>
      <c r="M54" s="285"/>
      <c r="N54" s="285"/>
      <c r="O54" s="285"/>
      <c r="P54" s="285"/>
      <c r="Q54" s="285"/>
      <c r="R54" s="285"/>
      <c r="S54" s="285"/>
      <c r="T54" s="327" t="s">
        <v>212</v>
      </c>
      <c r="U54" s="288"/>
      <c r="V54" s="5"/>
    </row>
    <row r="55" spans="1:23" ht="15.6" x14ac:dyDescent="0.3">
      <c r="A55" s="284"/>
      <c r="B55" s="285" t="s">
        <v>253</v>
      </c>
      <c r="C55" s="285"/>
      <c r="D55" s="285"/>
      <c r="E55" s="285"/>
      <c r="F55" s="285"/>
      <c r="G55" s="285"/>
      <c r="H55" s="285"/>
      <c r="I55" s="285"/>
      <c r="J55" s="285"/>
      <c r="K55" s="285"/>
      <c r="L55" s="285"/>
      <c r="M55" s="285"/>
      <c r="N55" s="285"/>
      <c r="O55" s="285"/>
      <c r="P55" s="285"/>
      <c r="Q55" s="285"/>
      <c r="R55" s="293"/>
      <c r="S55" s="293"/>
      <c r="T55" s="328" t="s">
        <v>117</v>
      </c>
      <c r="U55" s="288"/>
      <c r="V55" s="5"/>
    </row>
    <row r="56" spans="1:23" ht="15.6" x14ac:dyDescent="0.3">
      <c r="A56" s="284"/>
      <c r="B56" s="292" t="s">
        <v>210</v>
      </c>
      <c r="C56" s="292"/>
      <c r="D56" s="292"/>
      <c r="E56" s="292"/>
      <c r="F56" s="292"/>
      <c r="G56" s="292"/>
      <c r="H56" s="292"/>
      <c r="I56" s="292"/>
      <c r="J56" s="292"/>
      <c r="K56" s="292"/>
      <c r="L56" s="292"/>
      <c r="M56" s="292"/>
      <c r="N56" s="292"/>
      <c r="O56" s="292"/>
      <c r="P56" s="292"/>
      <c r="Q56" s="292"/>
      <c r="R56" s="329"/>
      <c r="S56" s="329"/>
      <c r="T56" s="330">
        <v>40648</v>
      </c>
      <c r="U56" s="288"/>
      <c r="V56" s="5"/>
    </row>
    <row r="57" spans="1:23" ht="15.6" x14ac:dyDescent="0.3">
      <c r="A57" s="284"/>
      <c r="B57" s="285" t="s">
        <v>127</v>
      </c>
      <c r="C57" s="285"/>
      <c r="D57" s="285"/>
      <c r="E57" s="285"/>
      <c r="F57" s="285"/>
      <c r="G57" s="285"/>
      <c r="H57" s="331"/>
      <c r="I57" s="331"/>
      <c r="J57" s="331"/>
      <c r="K57" s="331"/>
      <c r="L57" s="331"/>
      <c r="M57" s="331"/>
      <c r="N57" s="331"/>
      <c r="O57" s="331"/>
      <c r="P57" s="285">
        <f>+T57-R57+1</f>
        <v>95</v>
      </c>
      <c r="Q57" s="331"/>
      <c r="R57" s="332">
        <v>40466</v>
      </c>
      <c r="S57" s="333"/>
      <c r="T57" s="332">
        <v>40560</v>
      </c>
      <c r="U57" s="288"/>
      <c r="V57" s="5"/>
    </row>
    <row r="58" spans="1:23" ht="15.6" x14ac:dyDescent="0.3">
      <c r="A58" s="284"/>
      <c r="B58" s="285" t="s">
        <v>128</v>
      </c>
      <c r="C58" s="285"/>
      <c r="D58" s="285"/>
      <c r="E58" s="285"/>
      <c r="F58" s="285"/>
      <c r="G58" s="285"/>
      <c r="H58" s="285"/>
      <c r="I58" s="285"/>
      <c r="J58" s="285"/>
      <c r="K58" s="285"/>
      <c r="L58" s="285"/>
      <c r="M58" s="285"/>
      <c r="N58" s="285"/>
      <c r="O58" s="285"/>
      <c r="P58" s="285">
        <f>+T58-R58+1</f>
        <v>87</v>
      </c>
      <c r="Q58" s="285"/>
      <c r="R58" s="332">
        <v>40561</v>
      </c>
      <c r="S58" s="333"/>
      <c r="T58" s="332">
        <v>40647</v>
      </c>
      <c r="U58" s="288"/>
      <c r="V58" s="5"/>
    </row>
    <row r="59" spans="1:23" ht="15.6" x14ac:dyDescent="0.3">
      <c r="A59" s="284"/>
      <c r="B59" s="285" t="s">
        <v>209</v>
      </c>
      <c r="C59" s="285"/>
      <c r="D59" s="285"/>
      <c r="E59" s="285"/>
      <c r="F59" s="285"/>
      <c r="G59" s="285"/>
      <c r="H59" s="285"/>
      <c r="I59" s="285"/>
      <c r="J59" s="285"/>
      <c r="K59" s="285"/>
      <c r="L59" s="285"/>
      <c r="M59" s="285"/>
      <c r="N59" s="285"/>
      <c r="O59" s="285"/>
      <c r="P59" s="285"/>
      <c r="Q59" s="285"/>
      <c r="R59" s="332"/>
      <c r="S59" s="333"/>
      <c r="T59" s="332" t="s">
        <v>126</v>
      </c>
      <c r="U59" s="288"/>
      <c r="V59" s="5"/>
    </row>
    <row r="60" spans="1:23" ht="15.6" x14ac:dyDescent="0.3">
      <c r="A60" s="284"/>
      <c r="B60" s="285" t="s">
        <v>249</v>
      </c>
      <c r="C60" s="285"/>
      <c r="D60" s="285"/>
      <c r="E60" s="285"/>
      <c r="F60" s="285"/>
      <c r="G60" s="285"/>
      <c r="H60" s="285"/>
      <c r="I60" s="285"/>
      <c r="J60" s="285"/>
      <c r="K60" s="285"/>
      <c r="L60" s="285"/>
      <c r="M60" s="285"/>
      <c r="N60" s="285"/>
      <c r="O60" s="285"/>
      <c r="P60" s="285"/>
      <c r="Q60" s="285"/>
      <c r="R60" s="332"/>
      <c r="S60" s="333"/>
      <c r="T60" s="332" t="s">
        <v>160</v>
      </c>
      <c r="U60" s="288"/>
      <c r="V60" s="5"/>
      <c r="W60" s="134"/>
    </row>
    <row r="61" spans="1:23" ht="15.6" x14ac:dyDescent="0.3">
      <c r="A61" s="284"/>
      <c r="B61" s="285" t="s">
        <v>16</v>
      </c>
      <c r="C61" s="285"/>
      <c r="D61" s="285"/>
      <c r="E61" s="285"/>
      <c r="F61" s="285"/>
      <c r="G61" s="285"/>
      <c r="H61" s="285"/>
      <c r="I61" s="285"/>
      <c r="J61" s="285"/>
      <c r="K61" s="285"/>
      <c r="L61" s="285"/>
      <c r="M61" s="285"/>
      <c r="N61" s="285"/>
      <c r="O61" s="285"/>
      <c r="P61" s="285"/>
      <c r="Q61" s="285"/>
      <c r="R61" s="332"/>
      <c r="S61" s="333"/>
      <c r="T61" s="332">
        <v>40634</v>
      </c>
      <c r="U61" s="288"/>
      <c r="V61" s="5"/>
    </row>
    <row r="62" spans="1:23" ht="15.6" x14ac:dyDescent="0.3">
      <c r="A62" s="175"/>
      <c r="B62" s="281"/>
      <c r="C62" s="281"/>
      <c r="D62" s="281"/>
      <c r="E62" s="281"/>
      <c r="F62" s="281"/>
      <c r="G62" s="281"/>
      <c r="H62" s="281"/>
      <c r="I62" s="281"/>
      <c r="J62" s="281"/>
      <c r="K62" s="281"/>
      <c r="L62" s="281"/>
      <c r="M62" s="281"/>
      <c r="N62" s="281"/>
      <c r="O62" s="281"/>
      <c r="P62" s="281"/>
      <c r="Q62" s="281"/>
      <c r="R62" s="282"/>
      <c r="S62" s="283"/>
      <c r="T62" s="282"/>
      <c r="U62" s="281"/>
      <c r="V62" s="5"/>
    </row>
    <row r="63" spans="1:23" ht="15.6" x14ac:dyDescent="0.3">
      <c r="A63" s="175"/>
      <c r="B63" s="231"/>
      <c r="C63" s="231"/>
      <c r="D63" s="231"/>
      <c r="E63" s="231"/>
      <c r="F63" s="231"/>
      <c r="G63" s="231"/>
      <c r="H63" s="231"/>
      <c r="I63" s="231"/>
      <c r="J63" s="231"/>
      <c r="K63" s="231"/>
      <c r="L63" s="231"/>
      <c r="M63" s="231"/>
      <c r="N63" s="231"/>
      <c r="O63" s="231"/>
      <c r="P63" s="231"/>
      <c r="Q63" s="231"/>
      <c r="R63" s="244"/>
      <c r="S63" s="245"/>
      <c r="T63" s="244"/>
      <c r="U63" s="231"/>
      <c r="V63" s="5"/>
    </row>
    <row r="64" spans="1:23" ht="18" thickBot="1" x14ac:dyDescent="0.35">
      <c r="A64" s="192"/>
      <c r="B64" s="246" t="s">
        <v>297</v>
      </c>
      <c r="C64" s="247"/>
      <c r="D64" s="247"/>
      <c r="E64" s="247"/>
      <c r="F64" s="247"/>
      <c r="G64" s="247"/>
      <c r="H64" s="247"/>
      <c r="I64" s="247"/>
      <c r="J64" s="247"/>
      <c r="K64" s="247"/>
      <c r="L64" s="247"/>
      <c r="M64" s="247"/>
      <c r="N64" s="247"/>
      <c r="O64" s="247"/>
      <c r="P64" s="247"/>
      <c r="Q64" s="247"/>
      <c r="R64" s="247"/>
      <c r="S64" s="247"/>
      <c r="T64" s="248"/>
      <c r="U64" s="249"/>
      <c r="V64" s="5"/>
    </row>
    <row r="65" spans="1:22" ht="15.6" x14ac:dyDescent="0.3">
      <c r="A65" s="222"/>
      <c r="B65" s="252" t="s">
        <v>17</v>
      </c>
      <c r="C65" s="223"/>
      <c r="D65" s="223"/>
      <c r="E65" s="223"/>
      <c r="F65" s="223"/>
      <c r="G65" s="223"/>
      <c r="H65" s="223"/>
      <c r="I65" s="223"/>
      <c r="J65" s="223"/>
      <c r="K65" s="223"/>
      <c r="L65" s="223"/>
      <c r="M65" s="223"/>
      <c r="N65" s="223"/>
      <c r="O65" s="223"/>
      <c r="P65" s="223"/>
      <c r="Q65" s="223"/>
      <c r="R65" s="223"/>
      <c r="S65" s="223"/>
      <c r="T65" s="250"/>
      <c r="U65" s="223"/>
      <c r="V65" s="5"/>
    </row>
    <row r="66" spans="1:22" ht="15.6" x14ac:dyDescent="0.3">
      <c r="A66" s="175"/>
      <c r="B66" s="183"/>
      <c r="C66" s="177"/>
      <c r="D66" s="177"/>
      <c r="E66" s="177"/>
      <c r="F66" s="177"/>
      <c r="G66" s="177"/>
      <c r="H66" s="177"/>
      <c r="I66" s="177"/>
      <c r="J66" s="177"/>
      <c r="K66" s="177"/>
      <c r="L66" s="177"/>
      <c r="M66" s="177"/>
      <c r="N66" s="177"/>
      <c r="O66" s="177"/>
      <c r="P66" s="177"/>
      <c r="Q66" s="177"/>
      <c r="R66" s="177"/>
      <c r="S66" s="177"/>
      <c r="T66" s="194"/>
      <c r="U66" s="177"/>
      <c r="V66" s="5"/>
    </row>
    <row r="67" spans="1:22" ht="46.8" x14ac:dyDescent="0.3">
      <c r="A67" s="175"/>
      <c r="B67" s="195" t="s">
        <v>18</v>
      </c>
      <c r="C67" s="196"/>
      <c r="D67" s="196"/>
      <c r="E67" s="196"/>
      <c r="F67" s="196"/>
      <c r="G67" s="196"/>
      <c r="H67" s="196"/>
      <c r="I67" s="196"/>
      <c r="J67" s="196" t="s">
        <v>97</v>
      </c>
      <c r="K67" s="196"/>
      <c r="L67" s="196" t="s">
        <v>99</v>
      </c>
      <c r="M67" s="196"/>
      <c r="N67" s="196" t="s">
        <v>101</v>
      </c>
      <c r="O67" s="196"/>
      <c r="P67" s="196" t="s">
        <v>103</v>
      </c>
      <c r="Q67" s="196"/>
      <c r="R67" s="196" t="s">
        <v>110</v>
      </c>
      <c r="S67" s="196"/>
      <c r="T67" s="197" t="s">
        <v>118</v>
      </c>
      <c r="U67" s="198"/>
      <c r="V67" s="5"/>
    </row>
    <row r="68" spans="1:22" ht="15.6" x14ac:dyDescent="0.3">
      <c r="A68" s="337"/>
      <c r="B68" s="285" t="s">
        <v>19</v>
      </c>
      <c r="C68" s="338"/>
      <c r="D68" s="338"/>
      <c r="E68" s="338"/>
      <c r="F68" s="338"/>
      <c r="G68" s="338"/>
      <c r="H68" s="338"/>
      <c r="I68" s="338"/>
      <c r="J68" s="338">
        <v>1000039</v>
      </c>
      <c r="K68" s="338"/>
      <c r="L68" s="339">
        <v>585211</v>
      </c>
      <c r="M68" s="338"/>
      <c r="N68" s="338">
        <f>3942+254+42</f>
        <v>4238</v>
      </c>
      <c r="O68" s="338"/>
      <c r="P68" s="338">
        <f>254+42</f>
        <v>296</v>
      </c>
      <c r="Q68" s="338"/>
      <c r="R68" s="338">
        <v>0</v>
      </c>
      <c r="S68" s="338"/>
      <c r="T68" s="339">
        <f>+L68-N68+P68-R68</f>
        <v>581269</v>
      </c>
      <c r="U68" s="288"/>
      <c r="V68" s="5"/>
    </row>
    <row r="69" spans="1:22" ht="15.6" x14ac:dyDescent="0.3">
      <c r="A69" s="337"/>
      <c r="B69" s="285" t="s">
        <v>20</v>
      </c>
      <c r="C69" s="338"/>
      <c r="D69" s="338"/>
      <c r="E69" s="338"/>
      <c r="F69" s="338"/>
      <c r="G69" s="338"/>
      <c r="H69" s="338"/>
      <c r="I69" s="338"/>
      <c r="J69" s="338">
        <v>10</v>
      </c>
      <c r="K69" s="338"/>
      <c r="L69" s="339">
        <v>0</v>
      </c>
      <c r="M69" s="338"/>
      <c r="N69" s="338">
        <v>0</v>
      </c>
      <c r="O69" s="338"/>
      <c r="P69" s="338">
        <v>0</v>
      </c>
      <c r="Q69" s="338"/>
      <c r="R69" s="338">
        <v>0</v>
      </c>
      <c r="S69" s="338"/>
      <c r="T69" s="339">
        <v>0</v>
      </c>
      <c r="U69" s="288"/>
      <c r="V69" s="5"/>
    </row>
    <row r="70" spans="1:22" ht="15.6" x14ac:dyDescent="0.3">
      <c r="A70" s="337"/>
      <c r="B70" s="285"/>
      <c r="C70" s="338"/>
      <c r="D70" s="338"/>
      <c r="E70" s="338"/>
      <c r="F70" s="338"/>
      <c r="G70" s="338"/>
      <c r="H70" s="338"/>
      <c r="I70" s="338"/>
      <c r="J70" s="338"/>
      <c r="K70" s="338"/>
      <c r="L70" s="339"/>
      <c r="M70" s="338"/>
      <c r="N70" s="338"/>
      <c r="O70" s="338"/>
      <c r="P70" s="338"/>
      <c r="Q70" s="338"/>
      <c r="R70" s="338"/>
      <c r="S70" s="338"/>
      <c r="T70" s="339"/>
      <c r="U70" s="288"/>
      <c r="V70" s="5"/>
    </row>
    <row r="71" spans="1:22" ht="15.6" x14ac:dyDescent="0.3">
      <c r="A71" s="337"/>
      <c r="B71" s="285" t="s">
        <v>21</v>
      </c>
      <c r="C71" s="338"/>
      <c r="D71" s="338"/>
      <c r="E71" s="338"/>
      <c r="F71" s="338"/>
      <c r="G71" s="338"/>
      <c r="H71" s="338"/>
      <c r="I71" s="338"/>
      <c r="J71" s="338">
        <f>SUM(J68:J70)</f>
        <v>1000049</v>
      </c>
      <c r="K71" s="338"/>
      <c r="L71" s="338">
        <f>L68+L69</f>
        <v>585211</v>
      </c>
      <c r="M71" s="338"/>
      <c r="N71" s="338">
        <f>SUM(N68:N70)</f>
        <v>4238</v>
      </c>
      <c r="O71" s="338"/>
      <c r="P71" s="338">
        <f>SUM(P68:P70)</f>
        <v>296</v>
      </c>
      <c r="Q71" s="338"/>
      <c r="R71" s="338">
        <f>SUM(R68:R70)</f>
        <v>0</v>
      </c>
      <c r="S71" s="338"/>
      <c r="T71" s="338">
        <f>SUM(T68:T70)</f>
        <v>581269</v>
      </c>
      <c r="U71" s="288"/>
      <c r="V71" s="5"/>
    </row>
    <row r="72" spans="1:22" ht="15.6" x14ac:dyDescent="0.3">
      <c r="A72" s="175"/>
      <c r="B72" s="334"/>
      <c r="C72" s="335"/>
      <c r="D72" s="335"/>
      <c r="E72" s="335"/>
      <c r="F72" s="335"/>
      <c r="G72" s="335"/>
      <c r="H72" s="335"/>
      <c r="I72" s="335"/>
      <c r="J72" s="335"/>
      <c r="K72" s="335"/>
      <c r="L72" s="335"/>
      <c r="M72" s="335"/>
      <c r="N72" s="335"/>
      <c r="O72" s="335"/>
      <c r="P72" s="335"/>
      <c r="Q72" s="335"/>
      <c r="R72" s="335"/>
      <c r="S72" s="335"/>
      <c r="T72" s="336"/>
      <c r="U72" s="334"/>
      <c r="V72" s="5"/>
    </row>
    <row r="73" spans="1:22" ht="15.6" x14ac:dyDescent="0.3">
      <c r="A73" s="175"/>
      <c r="B73" s="179" t="s">
        <v>22</v>
      </c>
      <c r="C73" s="199"/>
      <c r="D73" s="199"/>
      <c r="E73" s="199"/>
      <c r="F73" s="199"/>
      <c r="G73" s="199"/>
      <c r="H73" s="199"/>
      <c r="I73" s="199"/>
      <c r="J73" s="199"/>
      <c r="K73" s="199"/>
      <c r="L73" s="199"/>
      <c r="M73" s="199"/>
      <c r="N73" s="199"/>
      <c r="O73" s="199"/>
      <c r="P73" s="199"/>
      <c r="Q73" s="199"/>
      <c r="R73" s="199"/>
      <c r="S73" s="199"/>
      <c r="T73" s="200"/>
      <c r="U73" s="177"/>
      <c r="V73" s="5"/>
    </row>
    <row r="74" spans="1:22" ht="15.6" x14ac:dyDescent="0.3">
      <c r="A74" s="175"/>
      <c r="B74" s="177"/>
      <c r="C74" s="199"/>
      <c r="D74" s="199"/>
      <c r="E74" s="199"/>
      <c r="F74" s="199"/>
      <c r="G74" s="199"/>
      <c r="H74" s="199"/>
      <c r="I74" s="199"/>
      <c r="J74" s="199"/>
      <c r="K74" s="199"/>
      <c r="L74" s="199"/>
      <c r="M74" s="199"/>
      <c r="N74" s="199"/>
      <c r="O74" s="199"/>
      <c r="P74" s="199"/>
      <c r="Q74" s="199"/>
      <c r="R74" s="199"/>
      <c r="S74" s="199"/>
      <c r="T74" s="200"/>
      <c r="U74" s="177"/>
      <c r="V74" s="5"/>
    </row>
    <row r="75" spans="1:22" ht="15.6" x14ac:dyDescent="0.3">
      <c r="A75" s="284"/>
      <c r="B75" s="285" t="s">
        <v>19</v>
      </c>
      <c r="C75" s="338"/>
      <c r="D75" s="338"/>
      <c r="E75" s="338"/>
      <c r="F75" s="338"/>
      <c r="G75" s="338"/>
      <c r="H75" s="338"/>
      <c r="I75" s="338"/>
      <c r="J75" s="338"/>
      <c r="K75" s="338"/>
      <c r="L75" s="338"/>
      <c r="M75" s="338"/>
      <c r="N75" s="338"/>
      <c r="O75" s="338"/>
      <c r="P75" s="338"/>
      <c r="Q75" s="338"/>
      <c r="R75" s="338"/>
      <c r="S75" s="338"/>
      <c r="T75" s="338"/>
      <c r="U75" s="288"/>
      <c r="V75" s="5"/>
    </row>
    <row r="76" spans="1:22" ht="15.6" x14ac:dyDescent="0.3">
      <c r="A76" s="284"/>
      <c r="B76" s="285" t="s">
        <v>20</v>
      </c>
      <c r="C76" s="338"/>
      <c r="D76" s="338"/>
      <c r="E76" s="338"/>
      <c r="F76" s="338"/>
      <c r="G76" s="338"/>
      <c r="H76" s="338"/>
      <c r="I76" s="338"/>
      <c r="J76" s="338"/>
      <c r="K76" s="338"/>
      <c r="L76" s="338"/>
      <c r="M76" s="338"/>
      <c r="N76" s="338"/>
      <c r="O76" s="338"/>
      <c r="P76" s="338"/>
      <c r="Q76" s="338"/>
      <c r="R76" s="338"/>
      <c r="S76" s="338"/>
      <c r="T76" s="338"/>
      <c r="U76" s="288"/>
      <c r="V76" s="5"/>
    </row>
    <row r="77" spans="1:22" ht="15.6" x14ac:dyDescent="0.3">
      <c r="A77" s="284"/>
      <c r="B77" s="285"/>
      <c r="C77" s="338"/>
      <c r="D77" s="338"/>
      <c r="E77" s="338"/>
      <c r="F77" s="338"/>
      <c r="G77" s="338"/>
      <c r="H77" s="338"/>
      <c r="I77" s="338"/>
      <c r="J77" s="338"/>
      <c r="K77" s="338"/>
      <c r="L77" s="338"/>
      <c r="M77" s="338"/>
      <c r="N77" s="338"/>
      <c r="O77" s="338"/>
      <c r="P77" s="338"/>
      <c r="Q77" s="338"/>
      <c r="R77" s="338"/>
      <c r="S77" s="338"/>
      <c r="T77" s="338"/>
      <c r="U77" s="288"/>
      <c r="V77" s="5"/>
    </row>
    <row r="78" spans="1:22" ht="15.6" x14ac:dyDescent="0.3">
      <c r="A78" s="284"/>
      <c r="B78" s="285" t="s">
        <v>21</v>
      </c>
      <c r="C78" s="338"/>
      <c r="D78" s="338"/>
      <c r="E78" s="338"/>
      <c r="F78" s="338"/>
      <c r="G78" s="338"/>
      <c r="H78" s="338"/>
      <c r="I78" s="338"/>
      <c r="J78" s="338"/>
      <c r="K78" s="338"/>
      <c r="L78" s="338"/>
      <c r="M78" s="338"/>
      <c r="N78" s="338"/>
      <c r="O78" s="338"/>
      <c r="P78" s="338"/>
      <c r="Q78" s="338"/>
      <c r="R78" s="338"/>
      <c r="S78" s="338"/>
      <c r="T78" s="338"/>
      <c r="U78" s="288"/>
      <c r="V78" s="5"/>
    </row>
    <row r="79" spans="1:22" ht="15.6" x14ac:dyDescent="0.3">
      <c r="A79" s="284"/>
      <c r="B79" s="285"/>
      <c r="C79" s="338"/>
      <c r="D79" s="338"/>
      <c r="E79" s="338"/>
      <c r="F79" s="338"/>
      <c r="G79" s="338"/>
      <c r="H79" s="338"/>
      <c r="I79" s="338"/>
      <c r="J79" s="338"/>
      <c r="K79" s="338"/>
      <c r="L79" s="338"/>
      <c r="M79" s="338"/>
      <c r="N79" s="338"/>
      <c r="O79" s="338"/>
      <c r="P79" s="338"/>
      <c r="Q79" s="338"/>
      <c r="R79" s="338"/>
      <c r="S79" s="338"/>
      <c r="T79" s="338"/>
      <c r="U79" s="288"/>
      <c r="V79" s="5"/>
    </row>
    <row r="80" spans="1:22" ht="15.6" x14ac:dyDescent="0.3">
      <c r="A80" s="284"/>
      <c r="B80" s="285" t="s">
        <v>23</v>
      </c>
      <c r="C80" s="338"/>
      <c r="D80" s="338"/>
      <c r="E80" s="338"/>
      <c r="F80" s="338"/>
      <c r="G80" s="338"/>
      <c r="H80" s="338"/>
      <c r="I80" s="338"/>
      <c r="J80" s="338">
        <v>0</v>
      </c>
      <c r="K80" s="338"/>
      <c r="L80" s="338">
        <v>0</v>
      </c>
      <c r="M80" s="338"/>
      <c r="N80" s="338"/>
      <c r="O80" s="338"/>
      <c r="P80" s="338"/>
      <c r="Q80" s="338"/>
      <c r="R80" s="338"/>
      <c r="S80" s="338"/>
      <c r="T80" s="339">
        <v>0</v>
      </c>
      <c r="U80" s="288"/>
      <c r="V80" s="5"/>
    </row>
    <row r="81" spans="1:22" ht="15.6" x14ac:dyDescent="0.3">
      <c r="A81" s="284"/>
      <c r="B81" s="285" t="s">
        <v>123</v>
      </c>
      <c r="C81" s="338"/>
      <c r="D81" s="338"/>
      <c r="E81" s="338"/>
      <c r="F81" s="338"/>
      <c r="G81" s="338"/>
      <c r="H81" s="338"/>
      <c r="I81" s="338"/>
      <c r="J81" s="338">
        <v>0</v>
      </c>
      <c r="K81" s="338"/>
      <c r="L81" s="338">
        <v>0</v>
      </c>
      <c r="M81" s="338"/>
      <c r="N81" s="338"/>
      <c r="O81" s="338"/>
      <c r="P81" s="338"/>
      <c r="Q81" s="338"/>
      <c r="R81" s="338"/>
      <c r="S81" s="338"/>
      <c r="T81" s="338">
        <f>SUM(J81:P81)</f>
        <v>0</v>
      </c>
      <c r="U81" s="288"/>
      <c r="V81" s="5"/>
    </row>
    <row r="82" spans="1:22" ht="15.6" x14ac:dyDescent="0.3">
      <c r="A82" s="284"/>
      <c r="B82" s="285" t="s">
        <v>152</v>
      </c>
      <c r="C82" s="338"/>
      <c r="D82" s="338"/>
      <c r="E82" s="338"/>
      <c r="F82" s="338"/>
      <c r="G82" s="338"/>
      <c r="H82" s="338"/>
      <c r="I82" s="338"/>
      <c r="J82" s="338">
        <v>1</v>
      </c>
      <c r="K82" s="338"/>
      <c r="L82" s="338">
        <v>0</v>
      </c>
      <c r="M82" s="338"/>
      <c r="N82" s="338">
        <v>0</v>
      </c>
      <c r="O82" s="338"/>
      <c r="P82" s="338"/>
      <c r="Q82" s="338"/>
      <c r="R82" s="338"/>
      <c r="S82" s="338"/>
      <c r="T82" s="338">
        <f>+L82+N82</f>
        <v>0</v>
      </c>
      <c r="U82" s="288"/>
      <c r="V82" s="5"/>
    </row>
    <row r="83" spans="1:22" ht="15.6" x14ac:dyDescent="0.3">
      <c r="A83" s="284"/>
      <c r="B83" s="285" t="s">
        <v>25</v>
      </c>
      <c r="C83" s="338"/>
      <c r="D83" s="338"/>
      <c r="E83" s="338"/>
      <c r="F83" s="338"/>
      <c r="G83" s="338"/>
      <c r="H83" s="338"/>
      <c r="I83" s="338"/>
      <c r="J83" s="338">
        <v>0</v>
      </c>
      <c r="K83" s="338"/>
      <c r="L83" s="338">
        <v>0</v>
      </c>
      <c r="M83" s="338"/>
      <c r="N83" s="338"/>
      <c r="O83" s="338"/>
      <c r="P83" s="338"/>
      <c r="Q83" s="338"/>
      <c r="R83" s="338"/>
      <c r="S83" s="338"/>
      <c r="T83" s="338">
        <v>0</v>
      </c>
      <c r="U83" s="288"/>
      <c r="V83" s="5"/>
    </row>
    <row r="84" spans="1:22" ht="15.6" x14ac:dyDescent="0.3">
      <c r="A84" s="284"/>
      <c r="B84" s="285" t="s">
        <v>26</v>
      </c>
      <c r="C84" s="338"/>
      <c r="D84" s="338"/>
      <c r="E84" s="338"/>
      <c r="F84" s="338"/>
      <c r="G84" s="338"/>
      <c r="H84" s="338"/>
      <c r="I84" s="338"/>
      <c r="J84" s="338">
        <f>SUM(J71:J83)</f>
        <v>1000050</v>
      </c>
      <c r="K84" s="338"/>
      <c r="L84" s="338">
        <f>SUM(L71:L83)</f>
        <v>585211</v>
      </c>
      <c r="M84" s="338"/>
      <c r="N84" s="338"/>
      <c r="O84" s="338"/>
      <c r="P84" s="338"/>
      <c r="Q84" s="338"/>
      <c r="R84" s="338"/>
      <c r="S84" s="338"/>
      <c r="T84" s="338">
        <f>SUM(T71:T83)</f>
        <v>581269</v>
      </c>
      <c r="U84" s="288"/>
      <c r="V84" s="5"/>
    </row>
    <row r="85" spans="1:22" ht="15.6" x14ac:dyDescent="0.3">
      <c r="A85" s="175"/>
      <c r="B85" s="334"/>
      <c r="C85" s="335"/>
      <c r="D85" s="335"/>
      <c r="E85" s="335"/>
      <c r="F85" s="335"/>
      <c r="G85" s="335"/>
      <c r="H85" s="335"/>
      <c r="I85" s="335"/>
      <c r="J85" s="335"/>
      <c r="K85" s="335"/>
      <c r="L85" s="335"/>
      <c r="M85" s="335"/>
      <c r="N85" s="335"/>
      <c r="O85" s="335"/>
      <c r="P85" s="335"/>
      <c r="Q85" s="335"/>
      <c r="R85" s="335"/>
      <c r="S85" s="335"/>
      <c r="T85" s="336"/>
      <c r="U85" s="334"/>
      <c r="V85" s="5"/>
    </row>
    <row r="86" spans="1:22" ht="15.6" x14ac:dyDescent="0.3">
      <c r="A86" s="175"/>
      <c r="B86" s="177"/>
      <c r="C86" s="177"/>
      <c r="D86" s="177"/>
      <c r="E86" s="177"/>
      <c r="F86" s="177"/>
      <c r="G86" s="177"/>
      <c r="H86" s="177"/>
      <c r="I86" s="177"/>
      <c r="J86" s="177"/>
      <c r="K86" s="177"/>
      <c r="L86" s="177"/>
      <c r="M86" s="177"/>
      <c r="N86" s="177"/>
      <c r="O86" s="177"/>
      <c r="P86" s="177"/>
      <c r="Q86" s="177"/>
      <c r="R86" s="177"/>
      <c r="S86" s="177"/>
      <c r="T86" s="177"/>
      <c r="U86" s="177"/>
      <c r="V86" s="5"/>
    </row>
    <row r="87" spans="1:22" ht="15.6" x14ac:dyDescent="0.3">
      <c r="A87" s="222"/>
      <c r="B87" s="252" t="s">
        <v>27</v>
      </c>
      <c r="C87" s="252"/>
      <c r="D87" s="252"/>
      <c r="E87" s="252"/>
      <c r="F87" s="252"/>
      <c r="G87" s="252"/>
      <c r="H87" s="253"/>
      <c r="I87" s="253"/>
      <c r="J87" s="254" t="s">
        <v>98</v>
      </c>
      <c r="K87" s="253"/>
      <c r="L87" s="255">
        <f>+R193</f>
        <v>40633</v>
      </c>
      <c r="M87" s="253"/>
      <c r="N87" s="253"/>
      <c r="O87" s="253"/>
      <c r="P87" s="253"/>
      <c r="Q87" s="253"/>
      <c r="R87" s="253" t="s">
        <v>111</v>
      </c>
      <c r="S87" s="253"/>
      <c r="T87" s="253" t="s">
        <v>119</v>
      </c>
      <c r="U87" s="223"/>
      <c r="V87" s="5"/>
    </row>
    <row r="88" spans="1:22" ht="15.6" x14ac:dyDescent="0.3">
      <c r="A88" s="190"/>
      <c r="B88" s="239" t="s">
        <v>28</v>
      </c>
      <c r="C88" s="239"/>
      <c r="D88" s="239"/>
      <c r="E88" s="239"/>
      <c r="F88" s="239"/>
      <c r="G88" s="239"/>
      <c r="H88" s="239"/>
      <c r="I88" s="239"/>
      <c r="J88" s="239"/>
      <c r="K88" s="239"/>
      <c r="L88" s="239"/>
      <c r="M88" s="239"/>
      <c r="N88" s="239"/>
      <c r="O88" s="239"/>
      <c r="P88" s="239"/>
      <c r="Q88" s="239"/>
      <c r="R88" s="243">
        <v>0</v>
      </c>
      <c r="S88" s="239"/>
      <c r="T88" s="251">
        <v>0</v>
      </c>
      <c r="U88" s="239"/>
      <c r="V88" s="5"/>
    </row>
    <row r="89" spans="1:22" ht="15.6" x14ac:dyDescent="0.3">
      <c r="A89" s="284"/>
      <c r="B89" s="285" t="s">
        <v>29</v>
      </c>
      <c r="C89" s="285"/>
      <c r="D89" s="285"/>
      <c r="E89" s="285"/>
      <c r="F89" s="285"/>
      <c r="G89" s="285"/>
      <c r="H89" s="324"/>
      <c r="I89" s="341"/>
      <c r="J89" s="324"/>
      <c r="K89" s="285"/>
      <c r="L89" s="342"/>
      <c r="M89" s="285"/>
      <c r="N89" s="285"/>
      <c r="O89" s="285"/>
      <c r="P89" s="285"/>
      <c r="Q89" s="285"/>
      <c r="R89" s="338">
        <f>4238+13</f>
        <v>4251</v>
      </c>
      <c r="S89" s="285"/>
      <c r="T89" s="339"/>
      <c r="U89" s="288"/>
      <c r="V89" s="5"/>
    </row>
    <row r="90" spans="1:22" ht="15.6" x14ac:dyDescent="0.3">
      <c r="A90" s="284"/>
      <c r="B90" s="285" t="s">
        <v>225</v>
      </c>
      <c r="C90" s="285"/>
      <c r="D90" s="285"/>
      <c r="E90" s="285"/>
      <c r="F90" s="285"/>
      <c r="G90" s="285"/>
      <c r="H90" s="324"/>
      <c r="I90" s="341"/>
      <c r="J90" s="324"/>
      <c r="K90" s="285"/>
      <c r="L90" s="342"/>
      <c r="M90" s="285"/>
      <c r="N90" s="285"/>
      <c r="O90" s="285"/>
      <c r="P90" s="285"/>
      <c r="Q90" s="285"/>
      <c r="R90" s="338"/>
      <c r="S90" s="285"/>
      <c r="T90" s="339">
        <f>2149+2659-471-455+35</f>
        <v>3917</v>
      </c>
      <c r="U90" s="288"/>
      <c r="V90" s="5"/>
    </row>
    <row r="91" spans="1:22" ht="15.6" x14ac:dyDescent="0.3">
      <c r="A91" s="284"/>
      <c r="B91" s="285" t="s">
        <v>220</v>
      </c>
      <c r="C91" s="285"/>
      <c r="D91" s="285"/>
      <c r="E91" s="285"/>
      <c r="F91" s="285"/>
      <c r="G91" s="285"/>
      <c r="H91" s="324"/>
      <c r="I91" s="341"/>
      <c r="J91" s="324"/>
      <c r="K91" s="285"/>
      <c r="L91" s="342"/>
      <c r="M91" s="285"/>
      <c r="N91" s="285"/>
      <c r="O91" s="285"/>
      <c r="P91" s="285"/>
      <c r="Q91" s="285"/>
      <c r="R91" s="338"/>
      <c r="S91" s="285"/>
      <c r="T91" s="339">
        <f>8+20</f>
        <v>28</v>
      </c>
      <c r="U91" s="288"/>
      <c r="V91" s="5"/>
    </row>
    <row r="92" spans="1:22" ht="15.6" x14ac:dyDescent="0.3">
      <c r="A92" s="284"/>
      <c r="B92" s="285" t="s">
        <v>221</v>
      </c>
      <c r="C92" s="285"/>
      <c r="D92" s="285"/>
      <c r="E92" s="285"/>
      <c r="F92" s="285"/>
      <c r="G92" s="285"/>
      <c r="H92" s="324"/>
      <c r="I92" s="341"/>
      <c r="J92" s="324"/>
      <c r="K92" s="285"/>
      <c r="L92" s="342"/>
      <c r="M92" s="285"/>
      <c r="N92" s="285"/>
      <c r="O92" s="285"/>
      <c r="P92" s="285"/>
      <c r="Q92" s="285"/>
      <c r="R92" s="338"/>
      <c r="S92" s="285"/>
      <c r="T92" s="339">
        <v>45</v>
      </c>
      <c r="U92" s="288"/>
      <c r="V92" s="5"/>
    </row>
    <row r="93" spans="1:22" ht="15.6" x14ac:dyDescent="0.3">
      <c r="A93" s="284"/>
      <c r="B93" s="285" t="s">
        <v>261</v>
      </c>
      <c r="C93" s="285"/>
      <c r="D93" s="285"/>
      <c r="E93" s="285"/>
      <c r="F93" s="285"/>
      <c r="G93" s="285"/>
      <c r="H93" s="324"/>
      <c r="I93" s="341"/>
      <c r="J93" s="324"/>
      <c r="K93" s="285"/>
      <c r="L93" s="342"/>
      <c r="M93" s="285"/>
      <c r="N93" s="285"/>
      <c r="O93" s="285"/>
      <c r="P93" s="285"/>
      <c r="Q93" s="285"/>
      <c r="R93" s="338"/>
      <c r="S93" s="285"/>
      <c r="T93" s="339">
        <v>0</v>
      </c>
      <c r="U93" s="288"/>
      <c r="V93" s="5"/>
    </row>
    <row r="94" spans="1:22" ht="15.6" x14ac:dyDescent="0.3">
      <c r="A94" s="284"/>
      <c r="B94" s="285" t="s">
        <v>141</v>
      </c>
      <c r="C94" s="285"/>
      <c r="D94" s="285"/>
      <c r="E94" s="285"/>
      <c r="F94" s="285"/>
      <c r="G94" s="285"/>
      <c r="H94" s="285"/>
      <c r="I94" s="285"/>
      <c r="J94" s="285"/>
      <c r="K94" s="285"/>
      <c r="L94" s="285"/>
      <c r="M94" s="285"/>
      <c r="N94" s="285"/>
      <c r="O94" s="285"/>
      <c r="P94" s="285"/>
      <c r="Q94" s="285"/>
      <c r="R94" s="338"/>
      <c r="S94" s="285"/>
      <c r="T94" s="339">
        <v>0</v>
      </c>
      <c r="U94" s="288"/>
      <c r="V94" s="5"/>
    </row>
    <row r="95" spans="1:22" ht="15.6" x14ac:dyDescent="0.3">
      <c r="A95" s="284"/>
      <c r="B95" s="285" t="s">
        <v>250</v>
      </c>
      <c r="C95" s="285"/>
      <c r="D95" s="285"/>
      <c r="E95" s="285"/>
      <c r="F95" s="285"/>
      <c r="G95" s="285"/>
      <c r="H95" s="285"/>
      <c r="I95" s="285"/>
      <c r="J95" s="285"/>
      <c r="K95" s="285"/>
      <c r="L95" s="285"/>
      <c r="M95" s="285"/>
      <c r="N95" s="285"/>
      <c r="O95" s="285"/>
      <c r="P95" s="285"/>
      <c r="Q95" s="285"/>
      <c r="R95" s="338"/>
      <c r="S95" s="285"/>
      <c r="T95" s="339">
        <v>0</v>
      </c>
      <c r="U95" s="288"/>
      <c r="V95" s="5"/>
    </row>
    <row r="96" spans="1:22" ht="15.6" x14ac:dyDescent="0.3">
      <c r="A96" s="284"/>
      <c r="B96" s="285" t="s">
        <v>30</v>
      </c>
      <c r="C96" s="285"/>
      <c r="D96" s="285"/>
      <c r="E96" s="285"/>
      <c r="F96" s="285"/>
      <c r="G96" s="285"/>
      <c r="H96" s="285"/>
      <c r="I96" s="285"/>
      <c r="J96" s="285"/>
      <c r="K96" s="285"/>
      <c r="L96" s="285"/>
      <c r="M96" s="285"/>
      <c r="N96" s="285"/>
      <c r="O96" s="285"/>
      <c r="P96" s="285"/>
      <c r="Q96" s="285"/>
      <c r="R96" s="338">
        <f>SUM(R88:R95)</f>
        <v>4251</v>
      </c>
      <c r="S96" s="285"/>
      <c r="T96" s="338">
        <f>SUM(T88:T95)</f>
        <v>3990</v>
      </c>
      <c r="U96" s="288"/>
      <c r="V96" s="5"/>
    </row>
    <row r="97" spans="1:24" ht="15.6" x14ac:dyDescent="0.3">
      <c r="A97" s="284"/>
      <c r="B97" s="285" t="s">
        <v>168</v>
      </c>
      <c r="C97" s="285"/>
      <c r="D97" s="285"/>
      <c r="E97" s="285"/>
      <c r="F97" s="285"/>
      <c r="G97" s="285"/>
      <c r="H97" s="285"/>
      <c r="I97" s="285"/>
      <c r="J97" s="285"/>
      <c r="K97" s="285"/>
      <c r="L97" s="285"/>
      <c r="M97" s="285"/>
      <c r="N97" s="285"/>
      <c r="O97" s="285"/>
      <c r="P97" s="285"/>
      <c r="Q97" s="285"/>
      <c r="R97" s="338">
        <v>-42</v>
      </c>
      <c r="S97" s="285"/>
      <c r="T97" s="338">
        <f>-R97</f>
        <v>42</v>
      </c>
      <c r="U97" s="288"/>
      <c r="V97" s="5"/>
    </row>
    <row r="98" spans="1:24" ht="15.6" x14ac:dyDescent="0.3">
      <c r="A98" s="284"/>
      <c r="B98" s="285" t="s">
        <v>31</v>
      </c>
      <c r="C98" s="285"/>
      <c r="D98" s="285"/>
      <c r="E98" s="285"/>
      <c r="F98" s="285"/>
      <c r="G98" s="285"/>
      <c r="H98" s="285"/>
      <c r="I98" s="285"/>
      <c r="J98" s="285"/>
      <c r="K98" s="285"/>
      <c r="L98" s="285"/>
      <c r="M98" s="285"/>
      <c r="N98" s="285"/>
      <c r="O98" s="285"/>
      <c r="P98" s="285"/>
      <c r="Q98" s="285"/>
      <c r="R98" s="338">
        <f>-T98</f>
        <v>0</v>
      </c>
      <c r="S98" s="285"/>
      <c r="T98" s="339">
        <v>0</v>
      </c>
      <c r="U98" s="288"/>
      <c r="V98" s="5"/>
    </row>
    <row r="99" spans="1:24" ht="15.6" x14ac:dyDescent="0.3">
      <c r="A99" s="284"/>
      <c r="B99" s="285" t="s">
        <v>273</v>
      </c>
      <c r="C99" s="285"/>
      <c r="D99" s="285"/>
      <c r="E99" s="285"/>
      <c r="F99" s="285"/>
      <c r="G99" s="285"/>
      <c r="H99" s="285"/>
      <c r="I99" s="285"/>
      <c r="J99" s="285"/>
      <c r="K99" s="285"/>
      <c r="L99" s="285"/>
      <c r="M99" s="285"/>
      <c r="N99" s="285"/>
      <c r="O99" s="285"/>
      <c r="P99" s="285"/>
      <c r="Q99" s="285"/>
      <c r="R99" s="338"/>
      <c r="S99" s="285"/>
      <c r="T99" s="339">
        <v>-135</v>
      </c>
      <c r="U99" s="288"/>
      <c r="V99" s="5"/>
    </row>
    <row r="100" spans="1:24" ht="15.6" x14ac:dyDescent="0.3">
      <c r="A100" s="284"/>
      <c r="B100" s="285" t="s">
        <v>32</v>
      </c>
      <c r="C100" s="285"/>
      <c r="D100" s="285"/>
      <c r="E100" s="285"/>
      <c r="F100" s="285"/>
      <c r="G100" s="285"/>
      <c r="H100" s="285"/>
      <c r="I100" s="285"/>
      <c r="J100" s="285"/>
      <c r="K100" s="285"/>
      <c r="L100" s="285"/>
      <c r="M100" s="285"/>
      <c r="N100" s="285"/>
      <c r="O100" s="285"/>
      <c r="P100" s="285"/>
      <c r="Q100" s="285"/>
      <c r="R100" s="338">
        <f>R96+R98+R97</f>
        <v>4209</v>
      </c>
      <c r="S100" s="285"/>
      <c r="T100" s="338">
        <f>T96+T98+T97+T99</f>
        <v>3897</v>
      </c>
      <c r="U100" s="288"/>
      <c r="V100" s="5"/>
    </row>
    <row r="101" spans="1:24" ht="15.6" x14ac:dyDescent="0.3">
      <c r="A101" s="284"/>
      <c r="B101" s="343" t="s">
        <v>33</v>
      </c>
      <c r="C101" s="311"/>
      <c r="D101" s="311"/>
      <c r="E101" s="311"/>
      <c r="F101" s="311"/>
      <c r="G101" s="311"/>
      <c r="H101" s="311"/>
      <c r="I101" s="311"/>
      <c r="J101" s="311"/>
      <c r="K101" s="311"/>
      <c r="L101" s="311"/>
      <c r="M101" s="311"/>
      <c r="N101" s="311"/>
      <c r="O101" s="311"/>
      <c r="P101" s="311"/>
      <c r="Q101" s="311"/>
      <c r="R101" s="344"/>
      <c r="S101" s="311"/>
      <c r="T101" s="345"/>
      <c r="U101" s="317"/>
      <c r="V101" s="5"/>
    </row>
    <row r="102" spans="1:24" ht="15.6" x14ac:dyDescent="0.3">
      <c r="A102" s="337">
        <v>1</v>
      </c>
      <c r="B102" s="285" t="s">
        <v>34</v>
      </c>
      <c r="C102" s="285"/>
      <c r="D102" s="285"/>
      <c r="E102" s="285"/>
      <c r="F102" s="285"/>
      <c r="G102" s="285"/>
      <c r="H102" s="285"/>
      <c r="I102" s="285"/>
      <c r="J102" s="285"/>
      <c r="K102" s="285"/>
      <c r="L102" s="285"/>
      <c r="M102" s="285"/>
      <c r="N102" s="285"/>
      <c r="O102" s="285"/>
      <c r="P102" s="285"/>
      <c r="Q102" s="285"/>
      <c r="R102" s="285"/>
      <c r="S102" s="285"/>
      <c r="T102" s="339">
        <v>0</v>
      </c>
      <c r="U102" s="288"/>
      <c r="V102" s="5"/>
    </row>
    <row r="103" spans="1:24" ht="15.6" x14ac:dyDescent="0.3">
      <c r="A103" s="337">
        <f>+A102+1</f>
        <v>2</v>
      </c>
      <c r="B103" s="285" t="s">
        <v>255</v>
      </c>
      <c r="C103" s="285"/>
      <c r="D103" s="285"/>
      <c r="E103" s="285"/>
      <c r="F103" s="285"/>
      <c r="G103" s="285"/>
      <c r="H103" s="285"/>
      <c r="I103" s="285"/>
      <c r="J103" s="285"/>
      <c r="K103" s="285"/>
      <c r="L103" s="285"/>
      <c r="M103" s="285"/>
      <c r="N103" s="285"/>
      <c r="O103" s="285"/>
      <c r="P103" s="285"/>
      <c r="Q103" s="285"/>
      <c r="R103" s="285"/>
      <c r="S103" s="285"/>
      <c r="T103" s="339">
        <v>-2</v>
      </c>
      <c r="U103" s="288"/>
      <c r="V103" s="5"/>
    </row>
    <row r="104" spans="1:24" ht="15.6" x14ac:dyDescent="0.3">
      <c r="A104" s="337">
        <f>+A103+1</f>
        <v>3</v>
      </c>
      <c r="B104" s="285" t="s">
        <v>213</v>
      </c>
      <c r="C104" s="285"/>
      <c r="D104" s="285"/>
      <c r="E104" s="285"/>
      <c r="F104" s="285"/>
      <c r="G104" s="285"/>
      <c r="H104" s="285"/>
      <c r="I104" s="285"/>
      <c r="J104" s="285"/>
      <c r="K104" s="285"/>
      <c r="L104" s="285"/>
      <c r="M104" s="285"/>
      <c r="N104" s="285"/>
      <c r="O104" s="285"/>
      <c r="P104" s="285"/>
      <c r="Q104" s="285"/>
      <c r="R104" s="285"/>
      <c r="S104" s="285"/>
      <c r="T104" s="339">
        <f>-218-246-7</f>
        <v>-471</v>
      </c>
      <c r="U104" s="288"/>
      <c r="V104" s="5"/>
    </row>
    <row r="105" spans="1:24" ht="15.6" x14ac:dyDescent="0.3">
      <c r="A105" s="337" t="s">
        <v>133</v>
      </c>
      <c r="B105" s="285" t="s">
        <v>122</v>
      </c>
      <c r="C105" s="285"/>
      <c r="D105" s="285"/>
      <c r="E105" s="285"/>
      <c r="F105" s="285"/>
      <c r="G105" s="285"/>
      <c r="H105" s="285"/>
      <c r="I105" s="285"/>
      <c r="J105" s="285"/>
      <c r="K105" s="285"/>
      <c r="L105" s="285"/>
      <c r="M105" s="285"/>
      <c r="N105" s="285"/>
      <c r="O105" s="285"/>
      <c r="P105" s="285"/>
      <c r="Q105" s="285"/>
      <c r="R105" s="285"/>
      <c r="S105" s="285"/>
      <c r="T105" s="339">
        <v>-183</v>
      </c>
      <c r="U105" s="288"/>
      <c r="V105" s="5"/>
    </row>
    <row r="106" spans="1:24" ht="15.6" x14ac:dyDescent="0.3">
      <c r="A106" s="337" t="s">
        <v>134</v>
      </c>
      <c r="B106" s="285" t="s">
        <v>194</v>
      </c>
      <c r="C106" s="285"/>
      <c r="D106" s="285"/>
      <c r="E106" s="285"/>
      <c r="F106" s="285"/>
      <c r="G106" s="285"/>
      <c r="H106" s="285"/>
      <c r="I106" s="285"/>
      <c r="J106" s="285"/>
      <c r="K106" s="285"/>
      <c r="L106" s="285"/>
      <c r="M106" s="285"/>
      <c r="N106" s="285"/>
      <c r="O106" s="285"/>
      <c r="P106" s="285"/>
      <c r="Q106" s="285"/>
      <c r="R106" s="285"/>
      <c r="S106" s="285"/>
      <c r="T106" s="339">
        <f>-963+165</f>
        <v>-798</v>
      </c>
      <c r="U106" s="288"/>
      <c r="V106" s="5"/>
      <c r="W106" s="109"/>
    </row>
    <row r="107" spans="1:24" ht="15.6" x14ac:dyDescent="0.3">
      <c r="A107" s="337" t="s">
        <v>156</v>
      </c>
      <c r="B107" s="285" t="s">
        <v>191</v>
      </c>
      <c r="C107" s="285"/>
      <c r="D107" s="285"/>
      <c r="E107" s="285"/>
      <c r="F107" s="285"/>
      <c r="G107" s="285"/>
      <c r="H107" s="285"/>
      <c r="I107" s="285"/>
      <c r="J107" s="285"/>
      <c r="K107" s="285"/>
      <c r="L107" s="285"/>
      <c r="M107" s="285"/>
      <c r="N107" s="285"/>
      <c r="O107" s="285"/>
      <c r="P107" s="285"/>
      <c r="Q107" s="285"/>
      <c r="R107" s="285"/>
      <c r="S107" s="285"/>
      <c r="T107" s="339">
        <v>-165</v>
      </c>
      <c r="U107" s="288"/>
      <c r="V107" s="5"/>
      <c r="W107" s="109"/>
    </row>
    <row r="108" spans="1:24" ht="15.6" x14ac:dyDescent="0.3">
      <c r="A108" s="337" t="s">
        <v>214</v>
      </c>
      <c r="B108" s="285" t="s">
        <v>192</v>
      </c>
      <c r="C108" s="285"/>
      <c r="D108" s="285"/>
      <c r="E108" s="285"/>
      <c r="F108" s="285"/>
      <c r="G108" s="285"/>
      <c r="H108" s="285"/>
      <c r="I108" s="285"/>
      <c r="J108" s="285"/>
      <c r="K108" s="285"/>
      <c r="L108" s="285"/>
      <c r="M108" s="285"/>
      <c r="N108" s="285"/>
      <c r="O108" s="285"/>
      <c r="P108" s="285"/>
      <c r="Q108" s="285"/>
      <c r="R108" s="285"/>
      <c r="S108" s="285"/>
      <c r="T108" s="339">
        <v>-138</v>
      </c>
      <c r="U108" s="288"/>
      <c r="V108" s="5"/>
      <c r="W108" s="109"/>
      <c r="X108" s="109"/>
    </row>
    <row r="109" spans="1:24" ht="15.6" x14ac:dyDescent="0.3">
      <c r="A109" s="337" t="s">
        <v>215</v>
      </c>
      <c r="B109" s="285" t="s">
        <v>193</v>
      </c>
      <c r="C109" s="285"/>
      <c r="D109" s="285"/>
      <c r="E109" s="285"/>
      <c r="F109" s="285"/>
      <c r="G109" s="285"/>
      <c r="H109" s="285"/>
      <c r="I109" s="285"/>
      <c r="J109" s="285"/>
      <c r="K109" s="285"/>
      <c r="L109" s="285"/>
      <c r="M109" s="285"/>
      <c r="N109" s="285"/>
      <c r="O109" s="285"/>
      <c r="P109" s="285"/>
      <c r="Q109" s="285"/>
      <c r="R109" s="285"/>
      <c r="S109" s="285"/>
      <c r="T109" s="339">
        <v>-39</v>
      </c>
      <c r="U109" s="288"/>
      <c r="V109" s="169"/>
      <c r="W109" s="109"/>
    </row>
    <row r="110" spans="1:24" ht="15.6" x14ac:dyDescent="0.3">
      <c r="A110" s="337" t="s">
        <v>216</v>
      </c>
      <c r="B110" s="285" t="s">
        <v>204</v>
      </c>
      <c r="C110" s="285"/>
      <c r="D110" s="285"/>
      <c r="E110" s="285"/>
      <c r="F110" s="285"/>
      <c r="G110" s="285"/>
      <c r="H110" s="285"/>
      <c r="I110" s="285"/>
      <c r="J110" s="285"/>
      <c r="K110" s="285"/>
      <c r="L110" s="285"/>
      <c r="M110" s="285"/>
      <c r="N110" s="285"/>
      <c r="O110" s="285"/>
      <c r="P110" s="285"/>
      <c r="Q110" s="285"/>
      <c r="R110" s="285"/>
      <c r="S110" s="285"/>
      <c r="T110" s="339">
        <v>-180</v>
      </c>
      <c r="U110" s="288"/>
      <c r="V110" s="5"/>
      <c r="W110" s="109"/>
    </row>
    <row r="111" spans="1:24" ht="15.6" x14ac:dyDescent="0.3">
      <c r="A111" s="337">
        <v>7</v>
      </c>
      <c r="B111" s="285" t="s">
        <v>35</v>
      </c>
      <c r="C111" s="285"/>
      <c r="D111" s="285"/>
      <c r="E111" s="285"/>
      <c r="F111" s="285"/>
      <c r="G111" s="285"/>
      <c r="H111" s="285"/>
      <c r="I111" s="285"/>
      <c r="J111" s="285"/>
      <c r="K111" s="285"/>
      <c r="L111" s="285"/>
      <c r="M111" s="285"/>
      <c r="N111" s="285"/>
      <c r="O111" s="285"/>
      <c r="P111" s="285"/>
      <c r="Q111" s="285"/>
      <c r="R111" s="285"/>
      <c r="S111" s="285"/>
      <c r="T111" s="339">
        <v>-10</v>
      </c>
      <c r="U111" s="288"/>
      <c r="V111" s="5"/>
    </row>
    <row r="112" spans="1:24" ht="15.6" x14ac:dyDescent="0.3">
      <c r="A112" s="337">
        <f t="shared" ref="A112:A117" si="0">+A111+1</f>
        <v>8</v>
      </c>
      <c r="B112" s="285" t="s">
        <v>46</v>
      </c>
      <c r="C112" s="285"/>
      <c r="D112" s="285"/>
      <c r="E112" s="285"/>
      <c r="F112" s="285"/>
      <c r="G112" s="285"/>
      <c r="H112" s="285"/>
      <c r="I112" s="285"/>
      <c r="J112" s="285"/>
      <c r="K112" s="285"/>
      <c r="L112" s="285"/>
      <c r="M112" s="285"/>
      <c r="N112" s="285"/>
      <c r="O112" s="285"/>
      <c r="P112" s="285"/>
      <c r="Q112" s="285"/>
      <c r="R112" s="338">
        <f>-T112</f>
        <v>-13</v>
      </c>
      <c r="S112" s="285"/>
      <c r="T112" s="339">
        <v>13</v>
      </c>
      <c r="U112" s="288"/>
      <c r="V112" s="5"/>
    </row>
    <row r="113" spans="1:22" ht="15.6" x14ac:dyDescent="0.3">
      <c r="A113" s="337">
        <f t="shared" si="0"/>
        <v>9</v>
      </c>
      <c r="B113" s="285" t="s">
        <v>131</v>
      </c>
      <c r="C113" s="285"/>
      <c r="D113" s="285"/>
      <c r="E113" s="285"/>
      <c r="F113" s="285"/>
      <c r="G113" s="285"/>
      <c r="H113" s="285"/>
      <c r="I113" s="285"/>
      <c r="J113" s="285"/>
      <c r="K113" s="285"/>
      <c r="L113" s="285"/>
      <c r="M113" s="285"/>
      <c r="N113" s="285"/>
      <c r="O113" s="285"/>
      <c r="P113" s="285"/>
      <c r="Q113" s="285"/>
      <c r="R113" s="285"/>
      <c r="S113" s="285"/>
      <c r="T113" s="339">
        <v>0</v>
      </c>
      <c r="U113" s="288"/>
      <c r="V113" s="5"/>
    </row>
    <row r="114" spans="1:22" ht="15.6" x14ac:dyDescent="0.3">
      <c r="A114" s="337">
        <f t="shared" si="0"/>
        <v>10</v>
      </c>
      <c r="B114" s="285" t="s">
        <v>36</v>
      </c>
      <c r="C114" s="285"/>
      <c r="D114" s="285"/>
      <c r="E114" s="285"/>
      <c r="F114" s="285"/>
      <c r="G114" s="285"/>
      <c r="H114" s="285"/>
      <c r="I114" s="285"/>
      <c r="J114" s="285"/>
      <c r="K114" s="285"/>
      <c r="L114" s="285"/>
      <c r="M114" s="285"/>
      <c r="N114" s="285"/>
      <c r="O114" s="285"/>
      <c r="P114" s="285"/>
      <c r="Q114" s="285"/>
      <c r="R114" s="285"/>
      <c r="S114" s="285"/>
      <c r="T114" s="339">
        <v>0</v>
      </c>
      <c r="U114" s="288"/>
      <c r="V114" s="5"/>
    </row>
    <row r="115" spans="1:22" ht="15.6" x14ac:dyDescent="0.3">
      <c r="A115" s="337">
        <f t="shared" si="0"/>
        <v>11</v>
      </c>
      <c r="B115" s="285" t="s">
        <v>37</v>
      </c>
      <c r="C115" s="285"/>
      <c r="D115" s="285"/>
      <c r="E115" s="285"/>
      <c r="F115" s="285"/>
      <c r="G115" s="285"/>
      <c r="H115" s="285"/>
      <c r="I115" s="285"/>
      <c r="J115" s="285"/>
      <c r="K115" s="285"/>
      <c r="L115" s="285"/>
      <c r="M115" s="285"/>
      <c r="N115" s="285"/>
      <c r="O115" s="285"/>
      <c r="P115" s="285"/>
      <c r="Q115" s="285"/>
      <c r="R115" s="285"/>
      <c r="S115" s="285"/>
      <c r="T115" s="339">
        <v>0</v>
      </c>
      <c r="U115" s="288"/>
      <c r="V115" s="5"/>
    </row>
    <row r="116" spans="1:22" ht="15.6" x14ac:dyDescent="0.3">
      <c r="A116" s="337">
        <f t="shared" si="0"/>
        <v>12</v>
      </c>
      <c r="B116" s="285" t="s">
        <v>155</v>
      </c>
      <c r="C116" s="285"/>
      <c r="D116" s="285"/>
      <c r="E116" s="285"/>
      <c r="F116" s="285"/>
      <c r="G116" s="285"/>
      <c r="H116" s="285"/>
      <c r="I116" s="285"/>
      <c r="J116" s="285"/>
      <c r="K116" s="285"/>
      <c r="L116" s="285"/>
      <c r="M116" s="285"/>
      <c r="N116" s="285"/>
      <c r="O116" s="285"/>
      <c r="P116" s="285"/>
      <c r="Q116" s="285"/>
      <c r="R116" s="285"/>
      <c r="S116" s="285"/>
      <c r="T116" s="339">
        <v>-218</v>
      </c>
      <c r="U116" s="288"/>
      <c r="V116" s="5"/>
    </row>
    <row r="117" spans="1:22" ht="15.6" x14ac:dyDescent="0.3">
      <c r="A117" s="337">
        <f t="shared" si="0"/>
        <v>13</v>
      </c>
      <c r="B117" s="285" t="s">
        <v>132</v>
      </c>
      <c r="C117" s="285"/>
      <c r="D117" s="285"/>
      <c r="E117" s="285"/>
      <c r="F117" s="285"/>
      <c r="G117" s="285"/>
      <c r="H117" s="285"/>
      <c r="I117" s="285"/>
      <c r="J117" s="285"/>
      <c r="K117" s="285"/>
      <c r="L117" s="285"/>
      <c r="M117" s="285"/>
      <c r="N117" s="285"/>
      <c r="O117" s="285"/>
      <c r="P117" s="285"/>
      <c r="Q117" s="285"/>
      <c r="R117" s="285"/>
      <c r="S117" s="285"/>
      <c r="T117" s="339">
        <f>-T100-SUM(T102:T116)</f>
        <v>-1706</v>
      </c>
      <c r="U117" s="288"/>
      <c r="V117" s="5"/>
    </row>
    <row r="118" spans="1:22" ht="15.6" x14ac:dyDescent="0.3">
      <c r="A118" s="284"/>
      <c r="B118" s="343" t="s">
        <v>38</v>
      </c>
      <c r="C118" s="311"/>
      <c r="D118" s="311"/>
      <c r="E118" s="311"/>
      <c r="F118" s="311"/>
      <c r="G118" s="311"/>
      <c r="H118" s="311"/>
      <c r="I118" s="311"/>
      <c r="J118" s="311"/>
      <c r="K118" s="311"/>
      <c r="L118" s="311"/>
      <c r="M118" s="311"/>
      <c r="N118" s="311"/>
      <c r="O118" s="311"/>
      <c r="P118" s="311"/>
      <c r="Q118" s="311"/>
      <c r="R118" s="311"/>
      <c r="S118" s="311"/>
      <c r="T118" s="346"/>
      <c r="U118" s="317"/>
      <c r="V118" s="5"/>
    </row>
    <row r="119" spans="1:22" ht="15.6" x14ac:dyDescent="0.3">
      <c r="A119" s="337"/>
      <c r="B119" s="285" t="s">
        <v>180</v>
      </c>
      <c r="C119" s="285"/>
      <c r="D119" s="285"/>
      <c r="E119" s="285"/>
      <c r="F119" s="285"/>
      <c r="G119" s="285"/>
      <c r="H119" s="285"/>
      <c r="I119" s="285"/>
      <c r="J119" s="285"/>
      <c r="K119" s="285"/>
      <c r="L119" s="285"/>
      <c r="M119" s="285"/>
      <c r="N119" s="285"/>
      <c r="O119" s="285"/>
      <c r="P119" s="285"/>
      <c r="Q119" s="285"/>
      <c r="R119" s="338">
        <f>-R177</f>
        <v>0</v>
      </c>
      <c r="S119" s="338"/>
      <c r="T119" s="339"/>
      <c r="U119" s="288"/>
      <c r="V119" s="5"/>
    </row>
    <row r="120" spans="1:22" ht="15.6" x14ac:dyDescent="0.3">
      <c r="A120" s="337"/>
      <c r="B120" s="285" t="s">
        <v>181</v>
      </c>
      <c r="C120" s="285"/>
      <c r="D120" s="285"/>
      <c r="E120" s="285"/>
      <c r="F120" s="285"/>
      <c r="G120" s="285"/>
      <c r="H120" s="285"/>
      <c r="I120" s="285"/>
      <c r="J120" s="285"/>
      <c r="K120" s="285"/>
      <c r="L120" s="285"/>
      <c r="M120" s="285"/>
      <c r="N120" s="285"/>
      <c r="O120" s="285"/>
      <c r="P120" s="285"/>
      <c r="Q120" s="285"/>
      <c r="R120" s="338">
        <v>0</v>
      </c>
      <c r="S120" s="338"/>
      <c r="T120" s="339"/>
      <c r="U120" s="288"/>
      <c r="V120" s="5"/>
    </row>
    <row r="121" spans="1:22" ht="15.6" x14ac:dyDescent="0.3">
      <c r="A121" s="337"/>
      <c r="B121" s="285" t="s">
        <v>39</v>
      </c>
      <c r="C121" s="285"/>
      <c r="D121" s="285"/>
      <c r="E121" s="285"/>
      <c r="F121" s="285"/>
      <c r="G121" s="285"/>
      <c r="H121" s="285"/>
      <c r="I121" s="285"/>
      <c r="J121" s="285"/>
      <c r="K121" s="285"/>
      <c r="L121" s="285"/>
      <c r="M121" s="285"/>
      <c r="N121" s="285"/>
      <c r="O121" s="285"/>
      <c r="P121" s="285"/>
      <c r="Q121" s="285"/>
      <c r="R121" s="338">
        <f>-Q177</f>
        <v>-254</v>
      </c>
      <c r="S121" s="338"/>
      <c r="T121" s="339"/>
      <c r="U121" s="288"/>
      <c r="V121" s="5"/>
    </row>
    <row r="122" spans="1:22" ht="15.6" x14ac:dyDescent="0.3">
      <c r="A122" s="337"/>
      <c r="B122" s="285" t="s">
        <v>205</v>
      </c>
      <c r="C122" s="285"/>
      <c r="D122" s="285"/>
      <c r="E122" s="285"/>
      <c r="F122" s="285"/>
      <c r="G122" s="285"/>
      <c r="H122" s="285"/>
      <c r="I122" s="285"/>
      <c r="J122" s="285"/>
      <c r="K122" s="285"/>
      <c r="L122" s="285"/>
      <c r="M122" s="285"/>
      <c r="N122" s="285"/>
      <c r="O122" s="285"/>
      <c r="P122" s="285"/>
      <c r="Q122" s="285"/>
      <c r="R122" s="338">
        <v>-2578</v>
      </c>
      <c r="S122" s="338"/>
      <c r="T122" s="339"/>
      <c r="U122" s="288"/>
      <c r="V122" s="5"/>
    </row>
    <row r="123" spans="1:22" ht="15.6" x14ac:dyDescent="0.3">
      <c r="A123" s="337"/>
      <c r="B123" s="285" t="s">
        <v>203</v>
      </c>
      <c r="C123" s="285"/>
      <c r="D123" s="285"/>
      <c r="E123" s="285"/>
      <c r="F123" s="285"/>
      <c r="G123" s="285"/>
      <c r="H123" s="285"/>
      <c r="I123" s="285"/>
      <c r="J123" s="285"/>
      <c r="K123" s="285"/>
      <c r="L123" s="285"/>
      <c r="M123" s="285"/>
      <c r="N123" s="285"/>
      <c r="O123" s="285"/>
      <c r="P123" s="285"/>
      <c r="Q123" s="285"/>
      <c r="R123" s="338">
        <v>-679</v>
      </c>
      <c r="S123" s="338"/>
      <c r="T123" s="339"/>
      <c r="U123" s="288"/>
      <c r="V123" s="5"/>
    </row>
    <row r="124" spans="1:22" ht="15.6" x14ac:dyDescent="0.3">
      <c r="A124" s="337"/>
      <c r="B124" s="285" t="s">
        <v>202</v>
      </c>
      <c r="C124" s="285"/>
      <c r="D124" s="285"/>
      <c r="E124" s="285"/>
      <c r="F124" s="285"/>
      <c r="G124" s="285"/>
      <c r="H124" s="285"/>
      <c r="I124" s="285"/>
      <c r="J124" s="285"/>
      <c r="K124" s="285"/>
      <c r="L124" s="285"/>
      <c r="M124" s="285"/>
      <c r="N124" s="285"/>
      <c r="O124" s="285"/>
      <c r="P124" s="285"/>
      <c r="Q124" s="285"/>
      <c r="R124" s="338">
        <v>-685</v>
      </c>
      <c r="S124" s="338"/>
      <c r="T124" s="339"/>
      <c r="U124" s="288"/>
      <c r="V124" s="5"/>
    </row>
    <row r="125" spans="1:22" ht="15.6" x14ac:dyDescent="0.3">
      <c r="A125" s="337"/>
      <c r="B125" s="285" t="s">
        <v>197</v>
      </c>
      <c r="C125" s="285"/>
      <c r="D125" s="285"/>
      <c r="E125" s="285"/>
      <c r="F125" s="285"/>
      <c r="G125" s="285"/>
      <c r="H125" s="285"/>
      <c r="I125" s="285"/>
      <c r="J125" s="285"/>
      <c r="K125" s="285"/>
      <c r="L125" s="285"/>
      <c r="M125" s="285"/>
      <c r="N125" s="285"/>
      <c r="O125" s="285"/>
      <c r="P125" s="285"/>
      <c r="Q125" s="285"/>
      <c r="R125" s="338">
        <v>0</v>
      </c>
      <c r="S125" s="338"/>
      <c r="T125" s="339"/>
      <c r="U125" s="288"/>
      <c r="V125" s="5"/>
    </row>
    <row r="126" spans="1:22" ht="15.6" x14ac:dyDescent="0.3">
      <c r="A126" s="337"/>
      <c r="B126" s="285" t="s">
        <v>196</v>
      </c>
      <c r="C126" s="285"/>
      <c r="D126" s="285"/>
      <c r="E126" s="285"/>
      <c r="F126" s="285"/>
      <c r="G126" s="285"/>
      <c r="H126" s="285"/>
      <c r="I126" s="285"/>
      <c r="J126" s="285"/>
      <c r="K126" s="285"/>
      <c r="L126" s="285"/>
      <c r="M126" s="285"/>
      <c r="N126" s="285"/>
      <c r="O126" s="285"/>
      <c r="P126" s="285"/>
      <c r="Q126" s="285"/>
      <c r="R126" s="338">
        <v>0</v>
      </c>
      <c r="S126" s="338"/>
      <c r="T126" s="339"/>
      <c r="U126" s="288"/>
      <c r="V126" s="5"/>
    </row>
    <row r="127" spans="1:22" ht="15.6" x14ac:dyDescent="0.3">
      <c r="A127" s="337"/>
      <c r="B127" s="285" t="s">
        <v>195</v>
      </c>
      <c r="C127" s="285"/>
      <c r="D127" s="285"/>
      <c r="E127" s="285"/>
      <c r="F127" s="285"/>
      <c r="G127" s="285"/>
      <c r="H127" s="285"/>
      <c r="I127" s="285"/>
      <c r="J127" s="285"/>
      <c r="K127" s="285"/>
      <c r="L127" s="285"/>
      <c r="M127" s="285"/>
      <c r="N127" s="285"/>
      <c r="O127" s="285"/>
      <c r="P127" s="285"/>
      <c r="Q127" s="285"/>
      <c r="R127" s="338">
        <v>0</v>
      </c>
      <c r="S127" s="338"/>
      <c r="T127" s="339"/>
      <c r="U127" s="288"/>
      <c r="V127" s="5"/>
    </row>
    <row r="128" spans="1:22" ht="15.6" x14ac:dyDescent="0.3">
      <c r="A128" s="337"/>
      <c r="B128" s="285" t="s">
        <v>40</v>
      </c>
      <c r="C128" s="285"/>
      <c r="D128" s="285"/>
      <c r="E128" s="285"/>
      <c r="F128" s="285"/>
      <c r="G128" s="285"/>
      <c r="H128" s="285"/>
      <c r="I128" s="285"/>
      <c r="J128" s="285"/>
      <c r="K128" s="285"/>
      <c r="L128" s="285"/>
      <c r="M128" s="285"/>
      <c r="N128" s="285"/>
      <c r="O128" s="285"/>
      <c r="P128" s="285"/>
      <c r="Q128" s="285"/>
      <c r="R128" s="338">
        <f>SUM(R119:R127)</f>
        <v>-4196</v>
      </c>
      <c r="S128" s="338"/>
      <c r="T128" s="338">
        <f>SUM(T101:T126)</f>
        <v>-3897</v>
      </c>
      <c r="U128" s="288"/>
      <c r="V128" s="5"/>
    </row>
    <row r="129" spans="1:23" ht="15.6" x14ac:dyDescent="0.3">
      <c r="A129" s="337"/>
      <c r="B129" s="285" t="s">
        <v>41</v>
      </c>
      <c r="C129" s="285"/>
      <c r="D129" s="285"/>
      <c r="E129" s="285"/>
      <c r="F129" s="285"/>
      <c r="G129" s="285"/>
      <c r="H129" s="285"/>
      <c r="I129" s="285"/>
      <c r="J129" s="285"/>
      <c r="K129" s="285"/>
      <c r="L129" s="285"/>
      <c r="M129" s="285"/>
      <c r="N129" s="285"/>
      <c r="O129" s="285"/>
      <c r="P129" s="285"/>
      <c r="Q129" s="285"/>
      <c r="R129" s="338">
        <f>R100+R128+R112</f>
        <v>0</v>
      </c>
      <c r="S129" s="338"/>
      <c r="T129" s="338">
        <f>T100+T128</f>
        <v>0</v>
      </c>
      <c r="U129" s="288"/>
      <c r="V129" s="5"/>
    </row>
    <row r="130" spans="1:23" ht="15.6" x14ac:dyDescent="0.3">
      <c r="A130" s="256"/>
      <c r="B130" s="281"/>
      <c r="C130" s="281"/>
      <c r="D130" s="281"/>
      <c r="E130" s="281"/>
      <c r="F130" s="281"/>
      <c r="G130" s="281"/>
      <c r="H130" s="281"/>
      <c r="I130" s="281"/>
      <c r="J130" s="281"/>
      <c r="K130" s="281"/>
      <c r="L130" s="281"/>
      <c r="M130" s="281"/>
      <c r="N130" s="281"/>
      <c r="O130" s="281"/>
      <c r="P130" s="281"/>
      <c r="Q130" s="281"/>
      <c r="R130" s="340"/>
      <c r="S130" s="340"/>
      <c r="T130" s="340"/>
      <c r="U130" s="281"/>
      <c r="V130" s="5"/>
    </row>
    <row r="131" spans="1:23" ht="15.6" x14ac:dyDescent="0.3">
      <c r="A131" s="256"/>
      <c r="B131" s="231"/>
      <c r="C131" s="231"/>
      <c r="D131" s="231"/>
      <c r="E131" s="231"/>
      <c r="F131" s="231"/>
      <c r="G131" s="231"/>
      <c r="H131" s="231"/>
      <c r="I131" s="231"/>
      <c r="J131" s="231"/>
      <c r="K131" s="231"/>
      <c r="L131" s="231"/>
      <c r="M131" s="231"/>
      <c r="N131" s="231"/>
      <c r="O131" s="231"/>
      <c r="P131" s="231"/>
      <c r="Q131" s="231"/>
      <c r="R131" s="231"/>
      <c r="S131" s="231"/>
      <c r="T131" s="257"/>
      <c r="U131" s="231"/>
      <c r="V131" s="5"/>
    </row>
    <row r="132" spans="1:23" ht="18" thickBot="1" x14ac:dyDescent="0.35">
      <c r="A132" s="258"/>
      <c r="B132" s="246" t="str">
        <f>B64</f>
        <v>PM11 INVESTOR REPORT QUARTER ENDING MARCH 2011</v>
      </c>
      <c r="C132" s="247"/>
      <c r="D132" s="247"/>
      <c r="E132" s="247"/>
      <c r="F132" s="247"/>
      <c r="G132" s="247"/>
      <c r="H132" s="247"/>
      <c r="I132" s="247"/>
      <c r="J132" s="247"/>
      <c r="K132" s="247"/>
      <c r="L132" s="247"/>
      <c r="M132" s="247"/>
      <c r="N132" s="247"/>
      <c r="O132" s="247"/>
      <c r="P132" s="247"/>
      <c r="Q132" s="247"/>
      <c r="R132" s="247"/>
      <c r="S132" s="247"/>
      <c r="T132" s="259"/>
      <c r="U132" s="249"/>
      <c r="V132" s="5"/>
    </row>
    <row r="133" spans="1:23" ht="15.6" x14ac:dyDescent="0.3">
      <c r="A133" s="260"/>
      <c r="B133" s="263" t="s">
        <v>42</v>
      </c>
      <c r="C133" s="261"/>
      <c r="D133" s="261"/>
      <c r="E133" s="261"/>
      <c r="F133" s="261"/>
      <c r="G133" s="261"/>
      <c r="H133" s="261"/>
      <c r="I133" s="261"/>
      <c r="J133" s="261"/>
      <c r="K133" s="261"/>
      <c r="L133" s="261"/>
      <c r="M133" s="261"/>
      <c r="N133" s="261"/>
      <c r="O133" s="261"/>
      <c r="P133" s="261"/>
      <c r="Q133" s="261"/>
      <c r="R133" s="261"/>
      <c r="S133" s="261"/>
      <c r="T133" s="262"/>
      <c r="U133" s="261"/>
      <c r="V133" s="5"/>
    </row>
    <row r="134" spans="1:23" ht="15.6" x14ac:dyDescent="0.3">
      <c r="A134" s="175"/>
      <c r="B134" s="187"/>
      <c r="C134" s="177"/>
      <c r="D134" s="177"/>
      <c r="E134" s="177"/>
      <c r="F134" s="177"/>
      <c r="G134" s="177"/>
      <c r="H134" s="177"/>
      <c r="I134" s="177"/>
      <c r="J134" s="177"/>
      <c r="K134" s="177"/>
      <c r="L134" s="177"/>
      <c r="M134" s="177"/>
      <c r="N134" s="177"/>
      <c r="O134" s="177"/>
      <c r="P134" s="177"/>
      <c r="Q134" s="177"/>
      <c r="R134" s="177"/>
      <c r="S134" s="177"/>
      <c r="T134" s="194"/>
      <c r="U134" s="177"/>
      <c r="V134" s="5"/>
    </row>
    <row r="135" spans="1:23" ht="15.6" x14ac:dyDescent="0.3">
      <c r="A135" s="175"/>
      <c r="B135" s="201" t="s">
        <v>43</v>
      </c>
      <c r="C135" s="177"/>
      <c r="D135" s="177"/>
      <c r="E135" s="177"/>
      <c r="F135" s="177"/>
      <c r="G135" s="177"/>
      <c r="H135" s="177"/>
      <c r="I135" s="177"/>
      <c r="J135" s="177"/>
      <c r="K135" s="177"/>
      <c r="L135" s="177"/>
      <c r="M135" s="177"/>
      <c r="N135" s="177"/>
      <c r="O135" s="177"/>
      <c r="P135" s="177"/>
      <c r="Q135" s="177"/>
      <c r="R135" s="177"/>
      <c r="S135" s="177"/>
      <c r="T135" s="194"/>
      <c r="U135" s="177"/>
      <c r="V135" s="5"/>
    </row>
    <row r="136" spans="1:23" ht="15.6" x14ac:dyDescent="0.3">
      <c r="A136" s="284"/>
      <c r="B136" s="285" t="s">
        <v>44</v>
      </c>
      <c r="C136" s="285"/>
      <c r="D136" s="285"/>
      <c r="E136" s="285"/>
      <c r="F136" s="285"/>
      <c r="G136" s="285"/>
      <c r="H136" s="285"/>
      <c r="I136" s="285"/>
      <c r="J136" s="285"/>
      <c r="K136" s="285"/>
      <c r="L136" s="285"/>
      <c r="M136" s="285"/>
      <c r="N136" s="285"/>
      <c r="O136" s="285"/>
      <c r="P136" s="285"/>
      <c r="Q136" s="285"/>
      <c r="R136" s="285"/>
      <c r="S136" s="285"/>
      <c r="T136" s="339">
        <f>+T34*0.019</f>
        <v>19000.95</v>
      </c>
      <c r="U136" s="288"/>
      <c r="V136" s="5"/>
    </row>
    <row r="137" spans="1:23" ht="15.6" x14ac:dyDescent="0.3">
      <c r="A137" s="284"/>
      <c r="B137" s="285" t="s">
        <v>45</v>
      </c>
      <c r="C137" s="285"/>
      <c r="D137" s="285"/>
      <c r="E137" s="285"/>
      <c r="F137" s="285"/>
      <c r="G137" s="285"/>
      <c r="H137" s="285"/>
      <c r="I137" s="285"/>
      <c r="J137" s="285"/>
      <c r="K137" s="285"/>
      <c r="L137" s="285"/>
      <c r="M137" s="285"/>
      <c r="N137" s="285"/>
      <c r="O137" s="285"/>
      <c r="P137" s="285"/>
      <c r="Q137" s="285"/>
      <c r="R137" s="285"/>
      <c r="S137" s="285"/>
      <c r="T137" s="339">
        <v>19001</v>
      </c>
      <c r="U137" s="288"/>
      <c r="V137" s="5"/>
    </row>
    <row r="138" spans="1:23" ht="15.6" x14ac:dyDescent="0.3">
      <c r="A138" s="284"/>
      <c r="B138" s="285" t="s">
        <v>142</v>
      </c>
      <c r="C138" s="285"/>
      <c r="D138" s="285"/>
      <c r="E138" s="285"/>
      <c r="F138" s="285"/>
      <c r="G138" s="285"/>
      <c r="H138" s="285"/>
      <c r="I138" s="285"/>
      <c r="J138" s="285"/>
      <c r="K138" s="285"/>
      <c r="L138" s="285"/>
      <c r="M138" s="285"/>
      <c r="N138" s="285"/>
      <c r="O138" s="285"/>
      <c r="P138" s="285"/>
      <c r="Q138" s="285"/>
      <c r="R138" s="285"/>
      <c r="S138" s="285"/>
      <c r="T138" s="339">
        <v>0</v>
      </c>
      <c r="U138" s="288"/>
      <c r="V138" s="5"/>
    </row>
    <row r="139" spans="1:23" ht="15.6" x14ac:dyDescent="0.3">
      <c r="A139" s="284"/>
      <c r="B139" s="285" t="s">
        <v>129</v>
      </c>
      <c r="C139" s="285"/>
      <c r="D139" s="285"/>
      <c r="E139" s="285"/>
      <c r="F139" s="285"/>
      <c r="G139" s="285"/>
      <c r="H139" s="285"/>
      <c r="I139" s="285"/>
      <c r="J139" s="285"/>
      <c r="K139" s="285"/>
      <c r="L139" s="285"/>
      <c r="M139" s="285"/>
      <c r="N139" s="285"/>
      <c r="O139" s="285"/>
      <c r="P139" s="285"/>
      <c r="Q139" s="285"/>
      <c r="R139" s="285"/>
      <c r="S139" s="285"/>
      <c r="T139" s="339">
        <v>0</v>
      </c>
      <c r="U139" s="288"/>
      <c r="V139" s="5"/>
    </row>
    <row r="140" spans="1:23" ht="15.6" x14ac:dyDescent="0.3">
      <c r="A140" s="284"/>
      <c r="B140" s="285" t="s">
        <v>130</v>
      </c>
      <c r="C140" s="285"/>
      <c r="D140" s="285"/>
      <c r="E140" s="285"/>
      <c r="F140" s="285"/>
      <c r="G140" s="285"/>
      <c r="H140" s="285"/>
      <c r="I140" s="285"/>
      <c r="J140" s="285"/>
      <c r="K140" s="285"/>
      <c r="L140" s="285"/>
      <c r="M140" s="285"/>
      <c r="N140" s="285"/>
      <c r="O140" s="285"/>
      <c r="P140" s="285"/>
      <c r="Q140" s="285"/>
      <c r="R140" s="285"/>
      <c r="S140" s="285"/>
      <c r="T140" s="339">
        <v>0</v>
      </c>
      <c r="U140" s="288"/>
      <c r="V140" s="5"/>
    </row>
    <row r="141" spans="1:23" ht="15.6" x14ac:dyDescent="0.3">
      <c r="A141" s="284"/>
      <c r="B141" s="285" t="s">
        <v>182</v>
      </c>
      <c r="C141" s="285"/>
      <c r="D141" s="285"/>
      <c r="E141" s="285"/>
      <c r="F141" s="285"/>
      <c r="G141" s="285"/>
      <c r="H141" s="285"/>
      <c r="I141" s="285"/>
      <c r="J141" s="285"/>
      <c r="K141" s="285"/>
      <c r="L141" s="285"/>
      <c r="M141" s="285"/>
      <c r="N141" s="285"/>
      <c r="O141" s="285"/>
      <c r="P141" s="285"/>
      <c r="Q141" s="285"/>
      <c r="R141" s="285"/>
      <c r="S141" s="285"/>
      <c r="T141" s="339">
        <v>0</v>
      </c>
      <c r="U141" s="288"/>
      <c r="V141" s="5"/>
    </row>
    <row r="142" spans="1:23" ht="15.6" x14ac:dyDescent="0.3">
      <c r="A142" s="284"/>
      <c r="B142" s="285" t="s">
        <v>46</v>
      </c>
      <c r="C142" s="285"/>
      <c r="D142" s="285"/>
      <c r="E142" s="285"/>
      <c r="F142" s="285"/>
      <c r="G142" s="285"/>
      <c r="H142" s="285"/>
      <c r="I142" s="285"/>
      <c r="J142" s="285"/>
      <c r="K142" s="285"/>
      <c r="L142" s="285"/>
      <c r="M142" s="285"/>
      <c r="N142" s="285"/>
      <c r="O142" s="285"/>
      <c r="P142" s="285"/>
      <c r="Q142" s="285"/>
      <c r="R142" s="285"/>
      <c r="S142" s="285"/>
      <c r="T142" s="339">
        <v>0</v>
      </c>
      <c r="U142" s="288"/>
      <c r="V142" s="5"/>
    </row>
    <row r="143" spans="1:23" ht="15.6" x14ac:dyDescent="0.3">
      <c r="A143" s="284"/>
      <c r="B143" s="285" t="s">
        <v>135</v>
      </c>
      <c r="C143" s="285"/>
      <c r="D143" s="285"/>
      <c r="E143" s="285"/>
      <c r="F143" s="285"/>
      <c r="G143" s="285"/>
      <c r="H143" s="285"/>
      <c r="I143" s="285"/>
      <c r="J143" s="285"/>
      <c r="K143" s="285"/>
      <c r="L143" s="285"/>
      <c r="M143" s="285"/>
      <c r="N143" s="285"/>
      <c r="O143" s="285"/>
      <c r="P143" s="285"/>
      <c r="Q143" s="285"/>
      <c r="R143" s="285"/>
      <c r="S143" s="285"/>
      <c r="T143" s="339">
        <v>0</v>
      </c>
      <c r="U143" s="288"/>
      <c r="V143" s="5"/>
    </row>
    <row r="144" spans="1:23" ht="15.6" x14ac:dyDescent="0.3">
      <c r="A144" s="284"/>
      <c r="B144" s="285" t="s">
        <v>251</v>
      </c>
      <c r="C144" s="285"/>
      <c r="D144" s="285"/>
      <c r="E144" s="285"/>
      <c r="F144" s="285"/>
      <c r="G144" s="285"/>
      <c r="H144" s="285"/>
      <c r="I144" s="285"/>
      <c r="J144" s="285"/>
      <c r="K144" s="285"/>
      <c r="L144" s="285"/>
      <c r="M144" s="285"/>
      <c r="N144" s="285"/>
      <c r="O144" s="285"/>
      <c r="P144" s="285"/>
      <c r="Q144" s="285"/>
      <c r="R144" s="285"/>
      <c r="S144" s="285"/>
      <c r="T144" s="339">
        <v>0</v>
      </c>
      <c r="U144" s="288"/>
      <c r="V144" s="5"/>
      <c r="W144" s="109"/>
    </row>
    <row r="145" spans="1:22" ht="15.6" x14ac:dyDescent="0.3">
      <c r="A145" s="284"/>
      <c r="B145" s="285" t="s">
        <v>47</v>
      </c>
      <c r="C145" s="285"/>
      <c r="D145" s="285"/>
      <c r="E145" s="285"/>
      <c r="F145" s="285"/>
      <c r="G145" s="285"/>
      <c r="H145" s="285"/>
      <c r="I145" s="285"/>
      <c r="J145" s="285"/>
      <c r="K145" s="285"/>
      <c r="L145" s="285"/>
      <c r="M145" s="285"/>
      <c r="N145" s="285"/>
      <c r="O145" s="285"/>
      <c r="P145" s="285"/>
      <c r="Q145" s="285"/>
      <c r="R145" s="285"/>
      <c r="S145" s="285"/>
      <c r="T145" s="339">
        <f>SUM(T137:T144)</f>
        <v>19001</v>
      </c>
      <c r="U145" s="288"/>
      <c r="V145" s="5"/>
    </row>
    <row r="146" spans="1:22" ht="15.6" x14ac:dyDescent="0.3">
      <c r="A146" s="284"/>
      <c r="B146" s="311"/>
      <c r="C146" s="311"/>
      <c r="D146" s="311"/>
      <c r="E146" s="311"/>
      <c r="F146" s="311"/>
      <c r="G146" s="311"/>
      <c r="H146" s="311"/>
      <c r="I146" s="311"/>
      <c r="J146" s="311"/>
      <c r="K146" s="311"/>
      <c r="L146" s="311"/>
      <c r="M146" s="311"/>
      <c r="N146" s="311"/>
      <c r="O146" s="311"/>
      <c r="P146" s="311"/>
      <c r="Q146" s="311"/>
      <c r="R146" s="311"/>
      <c r="S146" s="311"/>
      <c r="T146" s="345"/>
      <c r="U146" s="317"/>
      <c r="V146" s="5"/>
    </row>
    <row r="147" spans="1:22" ht="15.6" x14ac:dyDescent="0.3">
      <c r="A147" s="284"/>
      <c r="B147" s="343" t="s">
        <v>262</v>
      </c>
      <c r="C147" s="311"/>
      <c r="D147" s="311"/>
      <c r="E147" s="311"/>
      <c r="F147" s="311"/>
      <c r="G147" s="311"/>
      <c r="H147" s="311"/>
      <c r="I147" s="311"/>
      <c r="J147" s="311"/>
      <c r="K147" s="311"/>
      <c r="L147" s="311"/>
      <c r="M147" s="311"/>
      <c r="N147" s="311"/>
      <c r="O147" s="311"/>
      <c r="P147" s="311"/>
      <c r="Q147" s="311"/>
      <c r="R147" s="311"/>
      <c r="S147" s="311"/>
      <c r="T147" s="345"/>
      <c r="U147" s="317"/>
      <c r="V147" s="5"/>
    </row>
    <row r="148" spans="1:22" ht="15.6" x14ac:dyDescent="0.3">
      <c r="A148" s="284"/>
      <c r="B148" s="285" t="s">
        <v>263</v>
      </c>
      <c r="C148" s="285"/>
      <c r="D148" s="285"/>
      <c r="E148" s="285"/>
      <c r="F148" s="285"/>
      <c r="G148" s="285"/>
      <c r="H148" s="285"/>
      <c r="I148" s="285"/>
      <c r="J148" s="285"/>
      <c r="K148" s="285"/>
      <c r="L148" s="285"/>
      <c r="M148" s="285"/>
      <c r="N148" s="285"/>
      <c r="O148" s="285"/>
      <c r="P148" s="285"/>
      <c r="Q148" s="285"/>
      <c r="R148" s="285"/>
      <c r="S148" s="285"/>
      <c r="T148" s="339">
        <v>0</v>
      </c>
      <c r="U148" s="288"/>
      <c r="V148" s="5"/>
    </row>
    <row r="149" spans="1:22" ht="15.6" x14ac:dyDescent="0.3">
      <c r="A149" s="284"/>
      <c r="B149" s="285" t="s">
        <v>179</v>
      </c>
      <c r="C149" s="285"/>
      <c r="D149" s="285"/>
      <c r="E149" s="285"/>
      <c r="F149" s="285"/>
      <c r="G149" s="285"/>
      <c r="H149" s="285"/>
      <c r="I149" s="285"/>
      <c r="J149" s="285"/>
      <c r="K149" s="285"/>
      <c r="L149" s="285"/>
      <c r="M149" s="285"/>
      <c r="N149" s="285"/>
      <c r="O149" s="285"/>
      <c r="P149" s="285"/>
      <c r="Q149" s="285"/>
      <c r="R149" s="285"/>
      <c r="S149" s="285"/>
      <c r="T149" s="339">
        <v>0</v>
      </c>
      <c r="U149" s="288"/>
      <c r="V149" s="5"/>
    </row>
    <row r="150" spans="1:22" ht="15.6" x14ac:dyDescent="0.3">
      <c r="A150" s="284"/>
      <c r="B150" s="285" t="s">
        <v>264</v>
      </c>
      <c r="C150" s="285"/>
      <c r="D150" s="285"/>
      <c r="E150" s="285"/>
      <c r="F150" s="285"/>
      <c r="G150" s="285"/>
      <c r="H150" s="285"/>
      <c r="I150" s="285"/>
      <c r="J150" s="285"/>
      <c r="K150" s="285"/>
      <c r="L150" s="285"/>
      <c r="M150" s="285"/>
      <c r="N150" s="285"/>
      <c r="O150" s="285"/>
      <c r="P150" s="285"/>
      <c r="Q150" s="285"/>
      <c r="R150" s="285"/>
      <c r="S150" s="285"/>
      <c r="T150" s="339">
        <v>0</v>
      </c>
      <c r="U150" s="288"/>
      <c r="V150" s="5"/>
    </row>
    <row r="151" spans="1:22" ht="15.6" x14ac:dyDescent="0.3">
      <c r="A151" s="284"/>
      <c r="B151" s="285"/>
      <c r="C151" s="285"/>
      <c r="D151" s="285"/>
      <c r="E151" s="285"/>
      <c r="F151" s="285"/>
      <c r="G151" s="285"/>
      <c r="H151" s="285"/>
      <c r="I151" s="285"/>
      <c r="J151" s="285"/>
      <c r="K151" s="285"/>
      <c r="L151" s="285"/>
      <c r="M151" s="285"/>
      <c r="N151" s="285"/>
      <c r="O151" s="285"/>
      <c r="P151" s="285"/>
      <c r="Q151" s="285"/>
      <c r="R151" s="285"/>
      <c r="S151" s="285"/>
      <c r="T151" s="339"/>
      <c r="U151" s="288"/>
      <c r="V151" s="5"/>
    </row>
    <row r="152" spans="1:22" ht="15.6" x14ac:dyDescent="0.3">
      <c r="A152" s="175"/>
      <c r="B152" s="334"/>
      <c r="C152" s="334"/>
      <c r="D152" s="334"/>
      <c r="E152" s="334"/>
      <c r="F152" s="334"/>
      <c r="G152" s="334"/>
      <c r="H152" s="334"/>
      <c r="I152" s="334"/>
      <c r="J152" s="334"/>
      <c r="K152" s="334"/>
      <c r="L152" s="334"/>
      <c r="M152" s="334"/>
      <c r="N152" s="334"/>
      <c r="O152" s="334"/>
      <c r="P152" s="334"/>
      <c r="Q152" s="334"/>
      <c r="R152" s="334"/>
      <c r="S152" s="334"/>
      <c r="T152" s="347"/>
      <c r="U152" s="334"/>
      <c r="V152" s="5"/>
    </row>
    <row r="153" spans="1:22" ht="15.6" x14ac:dyDescent="0.3">
      <c r="A153" s="175"/>
      <c r="B153" s="201" t="s">
        <v>24</v>
      </c>
      <c r="C153" s="177"/>
      <c r="D153" s="177"/>
      <c r="E153" s="177"/>
      <c r="F153" s="177"/>
      <c r="G153" s="177"/>
      <c r="H153" s="177"/>
      <c r="I153" s="177"/>
      <c r="J153" s="177"/>
      <c r="K153" s="177"/>
      <c r="L153" s="177"/>
      <c r="M153" s="177"/>
      <c r="N153" s="177"/>
      <c r="O153" s="177"/>
      <c r="P153" s="177"/>
      <c r="Q153" s="177"/>
      <c r="R153" s="177"/>
      <c r="S153" s="177"/>
      <c r="T153" s="194"/>
      <c r="U153" s="177"/>
      <c r="V153" s="5"/>
    </row>
    <row r="154" spans="1:22" ht="15.6" x14ac:dyDescent="0.3">
      <c r="A154" s="284"/>
      <c r="B154" s="285" t="s">
        <v>48</v>
      </c>
      <c r="C154" s="285"/>
      <c r="D154" s="285"/>
      <c r="E154" s="285"/>
      <c r="F154" s="285"/>
      <c r="G154" s="285"/>
      <c r="H154" s="285"/>
      <c r="I154" s="285"/>
      <c r="J154" s="285"/>
      <c r="K154" s="285"/>
      <c r="L154" s="285"/>
      <c r="M154" s="285"/>
      <c r="N154" s="285"/>
      <c r="O154" s="285"/>
      <c r="P154" s="285"/>
      <c r="Q154" s="285"/>
      <c r="R154" s="285"/>
      <c r="S154" s="285"/>
      <c r="T154" s="348" t="s">
        <v>124</v>
      </c>
      <c r="U154" s="288"/>
      <c r="V154" s="5"/>
    </row>
    <row r="155" spans="1:22" ht="15.6" x14ac:dyDescent="0.3">
      <c r="A155" s="284"/>
      <c r="B155" s="285" t="s">
        <v>49</v>
      </c>
      <c r="C155" s="287"/>
      <c r="D155" s="287"/>
      <c r="E155" s="287"/>
      <c r="F155" s="287"/>
      <c r="G155" s="287"/>
      <c r="H155" s="287"/>
      <c r="I155" s="287"/>
      <c r="J155" s="287"/>
      <c r="K155" s="287"/>
      <c r="L155" s="287"/>
      <c r="M155" s="287"/>
      <c r="N155" s="287"/>
      <c r="O155" s="287"/>
      <c r="P155" s="287"/>
      <c r="Q155" s="287"/>
      <c r="R155" s="287"/>
      <c r="S155" s="287"/>
      <c r="T155" s="348" t="s">
        <v>124</v>
      </c>
      <c r="U155" s="288"/>
      <c r="V155" s="5"/>
    </row>
    <row r="156" spans="1:22" ht="15.6" x14ac:dyDescent="0.3">
      <c r="A156" s="284"/>
      <c r="B156" s="285" t="s">
        <v>50</v>
      </c>
      <c r="C156" s="285"/>
      <c r="D156" s="285"/>
      <c r="E156" s="285"/>
      <c r="F156" s="285"/>
      <c r="G156" s="285"/>
      <c r="H156" s="285"/>
      <c r="I156" s="285"/>
      <c r="J156" s="285"/>
      <c r="K156" s="285"/>
      <c r="L156" s="285"/>
      <c r="M156" s="285"/>
      <c r="N156" s="285"/>
      <c r="O156" s="285"/>
      <c r="P156" s="285"/>
      <c r="Q156" s="285"/>
      <c r="R156" s="285"/>
      <c r="S156" s="285"/>
      <c r="T156" s="348" t="s">
        <v>124</v>
      </c>
      <c r="U156" s="288"/>
      <c r="V156" s="5"/>
    </row>
    <row r="157" spans="1:22" ht="15.6" x14ac:dyDescent="0.3">
      <c r="A157" s="284"/>
      <c r="B157" s="285" t="s">
        <v>51</v>
      </c>
      <c r="C157" s="285"/>
      <c r="D157" s="285"/>
      <c r="E157" s="285"/>
      <c r="F157" s="285"/>
      <c r="G157" s="285"/>
      <c r="H157" s="285"/>
      <c r="I157" s="285"/>
      <c r="J157" s="285"/>
      <c r="K157" s="285"/>
      <c r="L157" s="285"/>
      <c r="M157" s="285"/>
      <c r="N157" s="285"/>
      <c r="O157" s="285"/>
      <c r="P157" s="285"/>
      <c r="Q157" s="285"/>
      <c r="R157" s="285"/>
      <c r="S157" s="285"/>
      <c r="T157" s="348" t="s">
        <v>124</v>
      </c>
      <c r="U157" s="288"/>
      <c r="V157" s="5"/>
    </row>
    <row r="158" spans="1:22" ht="15.6" x14ac:dyDescent="0.3">
      <c r="A158" s="175"/>
      <c r="B158" s="334"/>
      <c r="C158" s="334"/>
      <c r="D158" s="334"/>
      <c r="E158" s="334"/>
      <c r="F158" s="334"/>
      <c r="G158" s="334"/>
      <c r="H158" s="334"/>
      <c r="I158" s="334"/>
      <c r="J158" s="334"/>
      <c r="K158" s="334"/>
      <c r="L158" s="334"/>
      <c r="M158" s="334"/>
      <c r="N158" s="334"/>
      <c r="O158" s="334"/>
      <c r="P158" s="334"/>
      <c r="Q158" s="334"/>
      <c r="R158" s="334"/>
      <c r="S158" s="334"/>
      <c r="T158" s="347"/>
      <c r="U158" s="334"/>
      <c r="V158" s="5"/>
    </row>
    <row r="159" spans="1:22" ht="15.6" x14ac:dyDescent="0.3">
      <c r="A159" s="175"/>
      <c r="B159" s="201" t="s">
        <v>52</v>
      </c>
      <c r="C159" s="177"/>
      <c r="D159" s="177"/>
      <c r="E159" s="177"/>
      <c r="F159" s="177"/>
      <c r="G159" s="177"/>
      <c r="H159" s="177"/>
      <c r="I159" s="177"/>
      <c r="J159" s="177"/>
      <c r="K159" s="177"/>
      <c r="L159" s="177"/>
      <c r="M159" s="177"/>
      <c r="N159" s="177"/>
      <c r="O159" s="177"/>
      <c r="P159" s="177"/>
      <c r="Q159" s="177"/>
      <c r="R159" s="177"/>
      <c r="S159" s="177"/>
      <c r="T159" s="202"/>
      <c r="U159" s="177"/>
      <c r="V159" s="5"/>
    </row>
    <row r="160" spans="1:22" ht="15.6" x14ac:dyDescent="0.3">
      <c r="A160" s="284"/>
      <c r="B160" s="285" t="s">
        <v>53</v>
      </c>
      <c r="C160" s="285"/>
      <c r="D160" s="285"/>
      <c r="E160" s="285"/>
      <c r="F160" s="285"/>
      <c r="G160" s="285"/>
      <c r="H160" s="285"/>
      <c r="I160" s="285"/>
      <c r="J160" s="285"/>
      <c r="K160" s="285"/>
      <c r="L160" s="285"/>
      <c r="M160" s="285"/>
      <c r="N160" s="285"/>
      <c r="O160" s="285"/>
      <c r="P160" s="285"/>
      <c r="Q160" s="285"/>
      <c r="R160" s="285"/>
      <c r="S160" s="285"/>
      <c r="T160" s="339">
        <v>0</v>
      </c>
      <c r="U160" s="288"/>
      <c r="V160" s="5"/>
    </row>
    <row r="161" spans="1:22" ht="15.6" x14ac:dyDescent="0.3">
      <c r="A161" s="284"/>
      <c r="B161" s="285" t="s">
        <v>54</v>
      </c>
      <c r="C161" s="285"/>
      <c r="D161" s="285"/>
      <c r="E161" s="285"/>
      <c r="F161" s="285"/>
      <c r="G161" s="285"/>
      <c r="H161" s="285"/>
      <c r="I161" s="285"/>
      <c r="J161" s="285"/>
      <c r="K161" s="285"/>
      <c r="L161" s="285"/>
      <c r="M161" s="285"/>
      <c r="N161" s="285"/>
      <c r="O161" s="285"/>
      <c r="P161" s="285"/>
      <c r="Q161" s="285"/>
      <c r="R161" s="285"/>
      <c r="S161" s="285"/>
      <c r="T161" s="339">
        <f>R112</f>
        <v>-13</v>
      </c>
      <c r="U161" s="288"/>
      <c r="V161" s="5"/>
    </row>
    <row r="162" spans="1:22" ht="15.6" x14ac:dyDescent="0.3">
      <c r="A162" s="284"/>
      <c r="B162" s="285" t="s">
        <v>55</v>
      </c>
      <c r="C162" s="285"/>
      <c r="D162" s="285"/>
      <c r="E162" s="285"/>
      <c r="F162" s="285"/>
      <c r="G162" s="285"/>
      <c r="H162" s="285"/>
      <c r="I162" s="285"/>
      <c r="J162" s="285"/>
      <c r="K162" s="285"/>
      <c r="L162" s="285"/>
      <c r="M162" s="285"/>
      <c r="N162" s="285"/>
      <c r="O162" s="285"/>
      <c r="P162" s="285"/>
      <c r="Q162" s="285"/>
      <c r="R162" s="285"/>
      <c r="S162" s="285"/>
      <c r="T162" s="339">
        <f>T161+T160</f>
        <v>-13</v>
      </c>
      <c r="U162" s="288"/>
      <c r="V162" s="5"/>
    </row>
    <row r="163" spans="1:22" ht="15.6" x14ac:dyDescent="0.3">
      <c r="A163" s="284"/>
      <c r="B163" s="285" t="s">
        <v>301</v>
      </c>
      <c r="C163" s="285"/>
      <c r="D163" s="285"/>
      <c r="E163" s="285"/>
      <c r="F163" s="285"/>
      <c r="G163" s="285"/>
      <c r="H163" s="285"/>
      <c r="I163" s="285"/>
      <c r="J163" s="285"/>
      <c r="K163" s="285"/>
      <c r="L163" s="285"/>
      <c r="M163" s="285"/>
      <c r="N163" s="285"/>
      <c r="O163" s="285"/>
      <c r="P163" s="285"/>
      <c r="Q163" s="285"/>
      <c r="R163" s="285"/>
      <c r="S163" s="285"/>
      <c r="T163" s="339">
        <f>T112</f>
        <v>13</v>
      </c>
      <c r="U163" s="288"/>
      <c r="V163" s="5"/>
    </row>
    <row r="164" spans="1:22" ht="15.6" x14ac:dyDescent="0.3">
      <c r="A164" s="284"/>
      <c r="B164" s="285" t="s">
        <v>56</v>
      </c>
      <c r="C164" s="285"/>
      <c r="D164" s="285"/>
      <c r="E164" s="285"/>
      <c r="F164" s="285"/>
      <c r="G164" s="285"/>
      <c r="H164" s="285"/>
      <c r="I164" s="285"/>
      <c r="J164" s="285"/>
      <c r="K164" s="285"/>
      <c r="L164" s="285"/>
      <c r="M164" s="285"/>
      <c r="N164" s="285"/>
      <c r="O164" s="285"/>
      <c r="P164" s="285"/>
      <c r="Q164" s="285"/>
      <c r="R164" s="285"/>
      <c r="S164" s="285"/>
      <c r="T164" s="339">
        <f>T162+T163</f>
        <v>0</v>
      </c>
      <c r="U164" s="288"/>
      <c r="V164" s="5"/>
    </row>
    <row r="165" spans="1:22" ht="15.6" x14ac:dyDescent="0.3">
      <c r="A165" s="284"/>
      <c r="B165" s="285" t="s">
        <v>273</v>
      </c>
      <c r="C165" s="285"/>
      <c r="D165" s="285"/>
      <c r="E165" s="285"/>
      <c r="F165" s="285"/>
      <c r="G165" s="285"/>
      <c r="H165" s="285"/>
      <c r="I165" s="285"/>
      <c r="J165" s="285"/>
      <c r="K165" s="285"/>
      <c r="L165" s="285"/>
      <c r="M165" s="285"/>
      <c r="N165" s="285"/>
      <c r="O165" s="285"/>
      <c r="P165" s="285"/>
      <c r="Q165" s="285"/>
      <c r="R165" s="285"/>
      <c r="S165" s="285"/>
      <c r="T165" s="339">
        <f>-T99</f>
        <v>135</v>
      </c>
      <c r="U165" s="288"/>
      <c r="V165" s="5"/>
    </row>
    <row r="166" spans="1:22" ht="16.2" thickBot="1" x14ac:dyDescent="0.35">
      <c r="A166" s="175"/>
      <c r="B166" s="334"/>
      <c r="C166" s="334"/>
      <c r="D166" s="334"/>
      <c r="E166" s="334"/>
      <c r="F166" s="334"/>
      <c r="G166" s="334"/>
      <c r="H166" s="334"/>
      <c r="I166" s="334"/>
      <c r="J166" s="334"/>
      <c r="K166" s="334"/>
      <c r="L166" s="334"/>
      <c r="M166" s="334"/>
      <c r="N166" s="334"/>
      <c r="O166" s="334"/>
      <c r="P166" s="334"/>
      <c r="Q166" s="334"/>
      <c r="R166" s="334"/>
      <c r="S166" s="334"/>
      <c r="T166" s="347"/>
      <c r="U166" s="334"/>
      <c r="V166" s="5"/>
    </row>
    <row r="167" spans="1:22" ht="15.6" x14ac:dyDescent="0.3">
      <c r="A167" s="173"/>
      <c r="B167" s="174"/>
      <c r="C167" s="174"/>
      <c r="D167" s="174"/>
      <c r="E167" s="174"/>
      <c r="F167" s="174"/>
      <c r="G167" s="174"/>
      <c r="H167" s="174"/>
      <c r="I167" s="174"/>
      <c r="J167" s="174"/>
      <c r="K167" s="174"/>
      <c r="L167" s="174"/>
      <c r="M167" s="174"/>
      <c r="N167" s="174"/>
      <c r="O167" s="174"/>
      <c r="P167" s="174"/>
      <c r="Q167" s="174"/>
      <c r="R167" s="174"/>
      <c r="S167" s="174"/>
      <c r="T167" s="193"/>
      <c r="U167" s="174"/>
      <c r="V167" s="5"/>
    </row>
    <row r="168" spans="1:22" ht="15.6" x14ac:dyDescent="0.3">
      <c r="A168" s="175"/>
      <c r="B168" s="201" t="s">
        <v>57</v>
      </c>
      <c r="C168" s="177"/>
      <c r="D168" s="177"/>
      <c r="E168" s="177"/>
      <c r="F168" s="177"/>
      <c r="G168" s="177"/>
      <c r="H168" s="177"/>
      <c r="I168" s="177"/>
      <c r="J168" s="177"/>
      <c r="K168" s="177"/>
      <c r="L168" s="177"/>
      <c r="M168" s="177"/>
      <c r="N168" s="177"/>
      <c r="O168" s="177"/>
      <c r="P168" s="177"/>
      <c r="Q168" s="177"/>
      <c r="R168" s="177"/>
      <c r="S168" s="177"/>
      <c r="T168" s="194"/>
      <c r="U168" s="177"/>
      <c r="V168" s="5"/>
    </row>
    <row r="169" spans="1:22" ht="15.6" x14ac:dyDescent="0.3">
      <c r="A169" s="175"/>
      <c r="B169" s="187"/>
      <c r="C169" s="177"/>
      <c r="D169" s="177"/>
      <c r="E169" s="177"/>
      <c r="F169" s="177"/>
      <c r="G169" s="177"/>
      <c r="H169" s="177"/>
      <c r="I169" s="177"/>
      <c r="J169" s="177"/>
      <c r="K169" s="177"/>
      <c r="L169" s="177"/>
      <c r="M169" s="177"/>
      <c r="N169" s="177"/>
      <c r="O169" s="177"/>
      <c r="P169" s="177"/>
      <c r="Q169" s="177"/>
      <c r="R169" s="177"/>
      <c r="S169" s="177"/>
      <c r="T169" s="194"/>
      <c r="U169" s="177"/>
      <c r="V169" s="5"/>
    </row>
    <row r="170" spans="1:22" ht="15.6" x14ac:dyDescent="0.3">
      <c r="A170" s="284"/>
      <c r="B170" s="285" t="s">
        <v>58</v>
      </c>
      <c r="C170" s="285"/>
      <c r="D170" s="285"/>
      <c r="E170" s="285"/>
      <c r="F170" s="285"/>
      <c r="G170" s="285"/>
      <c r="H170" s="285"/>
      <c r="I170" s="285"/>
      <c r="J170" s="285"/>
      <c r="K170" s="285"/>
      <c r="L170" s="285"/>
      <c r="M170" s="285"/>
      <c r="N170" s="285"/>
      <c r="O170" s="285"/>
      <c r="P170" s="285"/>
      <c r="Q170" s="285"/>
      <c r="R170" s="285"/>
      <c r="S170" s="285"/>
      <c r="T170" s="339">
        <f>T71</f>
        <v>581269</v>
      </c>
      <c r="U170" s="288"/>
      <c r="V170" s="5"/>
    </row>
    <row r="171" spans="1:22" ht="15.6" x14ac:dyDescent="0.3">
      <c r="A171" s="284"/>
      <c r="B171" s="285" t="s">
        <v>59</v>
      </c>
      <c r="C171" s="285"/>
      <c r="D171" s="285"/>
      <c r="E171" s="285"/>
      <c r="F171" s="285"/>
      <c r="G171" s="285"/>
      <c r="H171" s="285"/>
      <c r="I171" s="285"/>
      <c r="J171" s="285"/>
      <c r="K171" s="285"/>
      <c r="L171" s="285"/>
      <c r="M171" s="285"/>
      <c r="N171" s="285"/>
      <c r="O171" s="285"/>
      <c r="P171" s="285"/>
      <c r="Q171" s="285"/>
      <c r="R171" s="285"/>
      <c r="S171" s="285"/>
      <c r="T171" s="339">
        <f>T84</f>
        <v>581269</v>
      </c>
      <c r="U171" s="288"/>
      <c r="V171" s="5"/>
    </row>
    <row r="172" spans="1:22" ht="16.2" thickBot="1" x14ac:dyDescent="0.35">
      <c r="A172" s="175"/>
      <c r="B172" s="334"/>
      <c r="C172" s="334"/>
      <c r="D172" s="334"/>
      <c r="E172" s="334"/>
      <c r="F172" s="334"/>
      <c r="G172" s="334"/>
      <c r="H172" s="334"/>
      <c r="I172" s="334"/>
      <c r="J172" s="334"/>
      <c r="K172" s="334"/>
      <c r="L172" s="334"/>
      <c r="M172" s="334"/>
      <c r="N172" s="334"/>
      <c r="O172" s="334"/>
      <c r="P172" s="334"/>
      <c r="Q172" s="334"/>
      <c r="R172" s="334"/>
      <c r="S172" s="334"/>
      <c r="T172" s="347"/>
      <c r="U172" s="334"/>
      <c r="V172" s="5"/>
    </row>
    <row r="173" spans="1:22" ht="15.6" x14ac:dyDescent="0.3">
      <c r="A173" s="173"/>
      <c r="B173" s="174"/>
      <c r="C173" s="174"/>
      <c r="D173" s="174"/>
      <c r="E173" s="174"/>
      <c r="F173" s="174"/>
      <c r="G173" s="174"/>
      <c r="H173" s="174"/>
      <c r="I173" s="174"/>
      <c r="J173" s="174"/>
      <c r="K173" s="174"/>
      <c r="L173" s="174"/>
      <c r="M173" s="174"/>
      <c r="N173" s="174"/>
      <c r="O173" s="174"/>
      <c r="P173" s="174"/>
      <c r="Q173" s="174"/>
      <c r="R173" s="174"/>
      <c r="S173" s="174"/>
      <c r="T173" s="193"/>
      <c r="U173" s="174"/>
      <c r="V173" s="5"/>
    </row>
    <row r="174" spans="1:22" ht="15.6" x14ac:dyDescent="0.3">
      <c r="A174" s="175"/>
      <c r="B174" s="201" t="s">
        <v>60</v>
      </c>
      <c r="C174" s="198"/>
      <c r="D174" s="198"/>
      <c r="E174" s="198"/>
      <c r="F174" s="198"/>
      <c r="G174" s="198"/>
      <c r="H174" s="203"/>
      <c r="I174" s="203"/>
      <c r="J174" s="203"/>
      <c r="K174" s="203"/>
      <c r="L174" s="203"/>
      <c r="M174" s="203"/>
      <c r="N174" s="203"/>
      <c r="O174" s="203"/>
      <c r="P174" s="203"/>
      <c r="Q174" s="203" t="s">
        <v>104</v>
      </c>
      <c r="R174" s="203" t="s">
        <v>183</v>
      </c>
      <c r="S174" s="179"/>
      <c r="T174" s="204" t="s">
        <v>120</v>
      </c>
      <c r="U174" s="205"/>
      <c r="V174" s="5"/>
    </row>
    <row r="175" spans="1:22" ht="15.6" x14ac:dyDescent="0.3">
      <c r="A175" s="284"/>
      <c r="B175" s="285" t="s">
        <v>61</v>
      </c>
      <c r="C175" s="285"/>
      <c r="D175" s="285"/>
      <c r="E175" s="285"/>
      <c r="F175" s="285"/>
      <c r="G175" s="285"/>
      <c r="H175" s="285"/>
      <c r="I175" s="285"/>
      <c r="J175" s="285"/>
      <c r="K175" s="285"/>
      <c r="L175" s="285"/>
      <c r="M175" s="285"/>
      <c r="N175" s="285"/>
      <c r="O175" s="285"/>
      <c r="P175" s="285"/>
      <c r="Q175" s="339">
        <v>160008</v>
      </c>
      <c r="R175" s="324"/>
      <c r="S175" s="285"/>
      <c r="T175" s="339"/>
      <c r="U175" s="288"/>
      <c r="V175" s="5"/>
    </row>
    <row r="176" spans="1:22" ht="15.6" x14ac:dyDescent="0.3">
      <c r="A176" s="284"/>
      <c r="B176" s="285" t="s">
        <v>62</v>
      </c>
      <c r="C176" s="285"/>
      <c r="D176" s="285"/>
      <c r="E176" s="285"/>
      <c r="F176" s="285"/>
      <c r="G176" s="285"/>
      <c r="H176" s="285"/>
      <c r="I176" s="285"/>
      <c r="J176" s="285"/>
      <c r="K176" s="285"/>
      <c r="L176" s="285"/>
      <c r="M176" s="285"/>
      <c r="N176" s="285"/>
      <c r="O176" s="285"/>
      <c r="P176" s="285"/>
      <c r="Q176" s="339">
        <f>+'Dec 10'!Q178</f>
        <v>36258</v>
      </c>
      <c r="R176" s="339">
        <f>+'Dec 10'!R178</f>
        <v>3447</v>
      </c>
      <c r="S176" s="285"/>
      <c r="T176" s="339">
        <f>Q176+R176</f>
        <v>39705</v>
      </c>
      <c r="U176" s="288"/>
      <c r="V176" s="5"/>
    </row>
    <row r="177" spans="1:22" ht="15.6" x14ac:dyDescent="0.3">
      <c r="A177" s="284"/>
      <c r="B177" s="285" t="s">
        <v>63</v>
      </c>
      <c r="C177" s="285"/>
      <c r="D177" s="285"/>
      <c r="E177" s="285"/>
      <c r="F177" s="285"/>
      <c r="G177" s="285"/>
      <c r="H177" s="285"/>
      <c r="I177" s="285"/>
      <c r="J177" s="285"/>
      <c r="K177" s="285"/>
      <c r="L177" s="285"/>
      <c r="M177" s="285"/>
      <c r="N177" s="285"/>
      <c r="O177" s="285"/>
      <c r="P177" s="285"/>
      <c r="Q177" s="338">
        <v>254</v>
      </c>
      <c r="R177" s="338">
        <v>0</v>
      </c>
      <c r="S177" s="285"/>
      <c r="T177" s="339">
        <f>Q177+R177</f>
        <v>254</v>
      </c>
      <c r="U177" s="288"/>
      <c r="V177" s="5"/>
    </row>
    <row r="178" spans="1:22" ht="15.6" x14ac:dyDescent="0.3">
      <c r="A178" s="284"/>
      <c r="B178" s="285" t="s">
        <v>64</v>
      </c>
      <c r="C178" s="285"/>
      <c r="D178" s="285"/>
      <c r="E178" s="285"/>
      <c r="F178" s="285"/>
      <c r="G178" s="285"/>
      <c r="H178" s="285"/>
      <c r="I178" s="285"/>
      <c r="J178" s="285"/>
      <c r="K178" s="285"/>
      <c r="L178" s="285"/>
      <c r="M178" s="285"/>
      <c r="N178" s="285"/>
      <c r="O178" s="285"/>
      <c r="P178" s="285"/>
      <c r="Q178" s="339">
        <f>Q176+Q177</f>
        <v>36512</v>
      </c>
      <c r="R178" s="339">
        <f>R177+R176</f>
        <v>3447</v>
      </c>
      <c r="S178" s="285"/>
      <c r="T178" s="339">
        <f>Q178+R178</f>
        <v>39959</v>
      </c>
      <c r="U178" s="288"/>
      <c r="V178" s="5"/>
    </row>
    <row r="179" spans="1:22" ht="15.6" x14ac:dyDescent="0.3">
      <c r="A179" s="284"/>
      <c r="B179" s="285" t="s">
        <v>65</v>
      </c>
      <c r="C179" s="285"/>
      <c r="D179" s="285"/>
      <c r="E179" s="285"/>
      <c r="F179" s="285"/>
      <c r="G179" s="285"/>
      <c r="H179" s="285"/>
      <c r="I179" s="285"/>
      <c r="J179" s="285"/>
      <c r="K179" s="285"/>
      <c r="L179" s="285"/>
      <c r="M179" s="285"/>
      <c r="N179" s="285"/>
      <c r="O179" s="285"/>
      <c r="P179" s="285"/>
      <c r="Q179" s="339">
        <f>Q175-Q178-R178</f>
        <v>120049</v>
      </c>
      <c r="R179" s="324"/>
      <c r="S179" s="285"/>
      <c r="T179" s="339"/>
      <c r="U179" s="288"/>
      <c r="V179" s="5"/>
    </row>
    <row r="180" spans="1:22" ht="16.2" thickBot="1" x14ac:dyDescent="0.35">
      <c r="A180" s="175"/>
      <c r="B180" s="334"/>
      <c r="C180" s="334"/>
      <c r="D180" s="334"/>
      <c r="E180" s="334"/>
      <c r="F180" s="334"/>
      <c r="G180" s="334"/>
      <c r="H180" s="334"/>
      <c r="I180" s="334"/>
      <c r="J180" s="334"/>
      <c r="K180" s="334"/>
      <c r="L180" s="334"/>
      <c r="M180" s="334"/>
      <c r="N180" s="334"/>
      <c r="O180" s="334"/>
      <c r="P180" s="334"/>
      <c r="Q180" s="334"/>
      <c r="R180" s="334"/>
      <c r="S180" s="334"/>
      <c r="T180" s="347"/>
      <c r="U180" s="334"/>
      <c r="V180" s="5"/>
    </row>
    <row r="181" spans="1:22" ht="15.6" x14ac:dyDescent="0.3">
      <c r="A181" s="173"/>
      <c r="B181" s="174"/>
      <c r="C181" s="174"/>
      <c r="D181" s="174"/>
      <c r="E181" s="174"/>
      <c r="F181" s="174"/>
      <c r="G181" s="174"/>
      <c r="H181" s="174"/>
      <c r="I181" s="174"/>
      <c r="J181" s="174"/>
      <c r="K181" s="174"/>
      <c r="L181" s="174"/>
      <c r="M181" s="174"/>
      <c r="N181" s="174"/>
      <c r="O181" s="174"/>
      <c r="P181" s="174"/>
      <c r="Q181" s="174"/>
      <c r="R181" s="174"/>
      <c r="S181" s="174"/>
      <c r="T181" s="193"/>
      <c r="U181" s="174"/>
      <c r="V181" s="5"/>
    </row>
    <row r="182" spans="1:22" ht="15.6" x14ac:dyDescent="0.3">
      <c r="A182" s="175"/>
      <c r="B182" s="201" t="s">
        <v>66</v>
      </c>
      <c r="C182" s="177"/>
      <c r="D182" s="177"/>
      <c r="E182" s="177"/>
      <c r="F182" s="177"/>
      <c r="G182" s="177"/>
      <c r="H182" s="177"/>
      <c r="I182" s="177"/>
      <c r="J182" s="177"/>
      <c r="K182" s="177"/>
      <c r="L182" s="177"/>
      <c r="M182" s="177"/>
      <c r="N182" s="177"/>
      <c r="O182" s="177"/>
      <c r="P182" s="177"/>
      <c r="Q182" s="177"/>
      <c r="R182" s="177"/>
      <c r="S182" s="177"/>
      <c r="T182" s="206"/>
      <c r="U182" s="177"/>
      <c r="V182" s="5"/>
    </row>
    <row r="183" spans="1:22" ht="15.6" x14ac:dyDescent="0.3">
      <c r="A183" s="284"/>
      <c r="B183" s="285" t="s">
        <v>67</v>
      </c>
      <c r="C183" s="285"/>
      <c r="D183" s="285"/>
      <c r="E183" s="285"/>
      <c r="F183" s="285"/>
      <c r="G183" s="285"/>
      <c r="H183" s="285"/>
      <c r="I183" s="285"/>
      <c r="J183" s="285"/>
      <c r="K183" s="285"/>
      <c r="L183" s="285"/>
      <c r="M183" s="285"/>
      <c r="N183" s="285"/>
      <c r="O183" s="285"/>
      <c r="P183" s="285"/>
      <c r="Q183" s="285"/>
      <c r="R183" s="285"/>
      <c r="S183" s="285"/>
      <c r="T183" s="348">
        <f>(T100+T102+T103+T104+T105)/-(T106+T107)</f>
        <v>3.3655244029075804</v>
      </c>
      <c r="U183" s="288" t="s">
        <v>121</v>
      </c>
      <c r="V183" s="5"/>
    </row>
    <row r="184" spans="1:22" ht="15.6" x14ac:dyDescent="0.3">
      <c r="A184" s="284"/>
      <c r="B184" s="285" t="s">
        <v>68</v>
      </c>
      <c r="C184" s="285"/>
      <c r="D184" s="285"/>
      <c r="E184" s="285"/>
      <c r="F184" s="285"/>
      <c r="G184" s="285"/>
      <c r="H184" s="285"/>
      <c r="I184" s="285"/>
      <c r="J184" s="285"/>
      <c r="K184" s="285"/>
      <c r="L184" s="285"/>
      <c r="M184" s="285"/>
      <c r="N184" s="285"/>
      <c r="O184" s="285"/>
      <c r="P184" s="285"/>
      <c r="Q184" s="285"/>
      <c r="R184" s="285"/>
      <c r="S184" s="285"/>
      <c r="T184" s="349">
        <v>1.57</v>
      </c>
      <c r="U184" s="288" t="s">
        <v>121</v>
      </c>
      <c r="V184" s="5"/>
    </row>
    <row r="185" spans="1:22" ht="15.6" x14ac:dyDescent="0.3">
      <c r="A185" s="284"/>
      <c r="B185" s="285" t="s">
        <v>69</v>
      </c>
      <c r="C185" s="285"/>
      <c r="D185" s="285"/>
      <c r="E185" s="285"/>
      <c r="F185" s="285"/>
      <c r="G185" s="285"/>
      <c r="H185" s="285"/>
      <c r="I185" s="285"/>
      <c r="J185" s="285"/>
      <c r="K185" s="285"/>
      <c r="L185" s="285"/>
      <c r="M185" s="285"/>
      <c r="N185" s="285"/>
      <c r="O185" s="285"/>
      <c r="P185" s="285"/>
      <c r="Q185" s="285"/>
      <c r="R185" s="285"/>
      <c r="S185" s="285"/>
      <c r="T185" s="348">
        <f>(T100+T102+T103+T104+T105+T106+T107)/-(T108+T109)</f>
        <v>12.870056497175142</v>
      </c>
      <c r="U185" s="288" t="s">
        <v>121</v>
      </c>
      <c r="V185" s="5"/>
    </row>
    <row r="186" spans="1:22" ht="15.6" x14ac:dyDescent="0.3">
      <c r="A186" s="284"/>
      <c r="B186" s="285" t="s">
        <v>70</v>
      </c>
      <c r="C186" s="285"/>
      <c r="D186" s="285"/>
      <c r="E186" s="285"/>
      <c r="F186" s="285"/>
      <c r="G186" s="285"/>
      <c r="H186" s="285"/>
      <c r="I186" s="285"/>
      <c r="J186" s="285"/>
      <c r="K186" s="285"/>
      <c r="L186" s="285"/>
      <c r="M186" s="285"/>
      <c r="N186" s="285"/>
      <c r="O186" s="285"/>
      <c r="P186" s="285"/>
      <c r="Q186" s="285"/>
      <c r="R186" s="285"/>
      <c r="S186" s="285"/>
      <c r="T186" s="349">
        <v>5.2</v>
      </c>
      <c r="U186" s="288" t="s">
        <v>121</v>
      </c>
      <c r="V186" s="5"/>
    </row>
    <row r="187" spans="1:22" ht="15.6" x14ac:dyDescent="0.3">
      <c r="A187" s="284"/>
      <c r="B187" s="285" t="s">
        <v>206</v>
      </c>
      <c r="C187" s="285"/>
      <c r="D187" s="285"/>
      <c r="E187" s="285"/>
      <c r="F187" s="285"/>
      <c r="G187" s="285"/>
      <c r="H187" s="285"/>
      <c r="I187" s="285"/>
      <c r="J187" s="285"/>
      <c r="K187" s="285"/>
      <c r="L187" s="285"/>
      <c r="M187" s="285"/>
      <c r="N187" s="285"/>
      <c r="O187" s="285"/>
      <c r="P187" s="285"/>
      <c r="Q187" s="285"/>
      <c r="R187" s="285"/>
      <c r="S187" s="285"/>
      <c r="T187" s="348">
        <f>(T100+T102+T103+T104+T105+T106+T107+T108+T109)/-(T110)</f>
        <v>11.672222222222222</v>
      </c>
      <c r="U187" s="288" t="s">
        <v>121</v>
      </c>
      <c r="V187" s="5"/>
    </row>
    <row r="188" spans="1:22" ht="15.6" x14ac:dyDescent="0.3">
      <c r="A188" s="284"/>
      <c r="B188" s="285" t="s">
        <v>207</v>
      </c>
      <c r="C188" s="285"/>
      <c r="D188" s="285"/>
      <c r="E188" s="285"/>
      <c r="F188" s="285"/>
      <c r="G188" s="285"/>
      <c r="H188" s="285"/>
      <c r="I188" s="285"/>
      <c r="J188" s="285"/>
      <c r="K188" s="285"/>
      <c r="L188" s="285"/>
      <c r="M188" s="285"/>
      <c r="N188" s="285"/>
      <c r="O188" s="285"/>
      <c r="P188" s="285"/>
      <c r="Q188" s="285"/>
      <c r="R188" s="285"/>
      <c r="S188" s="285"/>
      <c r="T188" s="349">
        <v>4.7699999999999996</v>
      </c>
      <c r="U188" s="288" t="s">
        <v>121</v>
      </c>
      <c r="V188" s="5"/>
    </row>
    <row r="189" spans="1:22" ht="15.6" x14ac:dyDescent="0.3">
      <c r="A189" s="284"/>
      <c r="B189" s="311"/>
      <c r="C189" s="311"/>
      <c r="D189" s="311"/>
      <c r="E189" s="311"/>
      <c r="F189" s="311"/>
      <c r="G189" s="311"/>
      <c r="H189" s="311"/>
      <c r="I189" s="311"/>
      <c r="J189" s="311"/>
      <c r="K189" s="311"/>
      <c r="L189" s="311"/>
      <c r="M189" s="311"/>
      <c r="N189" s="311"/>
      <c r="O189" s="311"/>
      <c r="P189" s="311"/>
      <c r="Q189" s="311"/>
      <c r="R189" s="311"/>
      <c r="S189" s="311"/>
      <c r="T189" s="311"/>
      <c r="U189" s="317"/>
      <c r="V189" s="5"/>
    </row>
    <row r="190" spans="1:22" ht="15.6" x14ac:dyDescent="0.3">
      <c r="A190" s="175"/>
      <c r="B190" s="334"/>
      <c r="C190" s="334"/>
      <c r="D190" s="334"/>
      <c r="E190" s="334"/>
      <c r="F190" s="334"/>
      <c r="G190" s="334"/>
      <c r="H190" s="334"/>
      <c r="I190" s="334"/>
      <c r="J190" s="334"/>
      <c r="K190" s="334"/>
      <c r="L190" s="334"/>
      <c r="M190" s="334"/>
      <c r="N190" s="334"/>
      <c r="O190" s="334"/>
      <c r="P190" s="334"/>
      <c r="Q190" s="334"/>
      <c r="R190" s="334"/>
      <c r="S190" s="334"/>
      <c r="T190" s="334"/>
      <c r="U190" s="334"/>
      <c r="V190" s="5"/>
    </row>
    <row r="191" spans="1:22" ht="15.6" x14ac:dyDescent="0.3">
      <c r="A191" s="175"/>
      <c r="B191" s="177"/>
      <c r="C191" s="177"/>
      <c r="D191" s="177"/>
      <c r="E191" s="177"/>
      <c r="F191" s="177"/>
      <c r="G191" s="177"/>
      <c r="H191" s="177"/>
      <c r="I191" s="177"/>
      <c r="J191" s="177"/>
      <c r="K191" s="177"/>
      <c r="L191" s="177"/>
      <c r="M191" s="177"/>
      <c r="N191" s="177"/>
      <c r="O191" s="177"/>
      <c r="P191" s="177"/>
      <c r="Q191" s="177"/>
      <c r="R191" s="177"/>
      <c r="S191" s="177"/>
      <c r="T191" s="177"/>
      <c r="U191" s="177"/>
      <c r="V191" s="5"/>
    </row>
    <row r="192" spans="1:22" ht="18" thickBot="1" x14ac:dyDescent="0.35">
      <c r="A192" s="192"/>
      <c r="B192" s="246" t="str">
        <f>B132</f>
        <v>PM11 INVESTOR REPORT QUARTER ENDING MARCH 2011</v>
      </c>
      <c r="C192" s="207"/>
      <c r="D192" s="207"/>
      <c r="E192" s="207"/>
      <c r="F192" s="207"/>
      <c r="G192" s="207"/>
      <c r="H192" s="207"/>
      <c r="I192" s="207"/>
      <c r="J192" s="207"/>
      <c r="K192" s="207"/>
      <c r="L192" s="207"/>
      <c r="M192" s="207"/>
      <c r="N192" s="207"/>
      <c r="O192" s="207"/>
      <c r="P192" s="207"/>
      <c r="Q192" s="207"/>
      <c r="R192" s="207"/>
      <c r="S192" s="207"/>
      <c r="T192" s="207"/>
      <c r="U192" s="208"/>
      <c r="V192" s="5"/>
    </row>
    <row r="193" spans="1:22" ht="15.6" x14ac:dyDescent="0.3">
      <c r="A193" s="260"/>
      <c r="B193" s="263" t="s">
        <v>71</v>
      </c>
      <c r="C193" s="264"/>
      <c r="D193" s="264"/>
      <c r="E193" s="264"/>
      <c r="F193" s="264"/>
      <c r="G193" s="265"/>
      <c r="H193" s="265"/>
      <c r="I193" s="265"/>
      <c r="J193" s="265"/>
      <c r="K193" s="265"/>
      <c r="L193" s="265"/>
      <c r="M193" s="265"/>
      <c r="N193" s="265"/>
      <c r="O193" s="265"/>
      <c r="P193" s="265"/>
      <c r="Q193" s="265"/>
      <c r="R193" s="265">
        <v>40633</v>
      </c>
      <c r="S193" s="261"/>
      <c r="T193" s="261"/>
      <c r="U193" s="261"/>
      <c r="V193" s="5"/>
    </row>
    <row r="194" spans="1:22" ht="15.6" x14ac:dyDescent="0.3">
      <c r="A194" s="209"/>
      <c r="B194" s="210"/>
      <c r="C194" s="211"/>
      <c r="D194" s="211"/>
      <c r="E194" s="211"/>
      <c r="F194" s="211"/>
      <c r="G194" s="212"/>
      <c r="H194" s="212"/>
      <c r="I194" s="212"/>
      <c r="J194" s="212"/>
      <c r="K194" s="212"/>
      <c r="L194" s="212"/>
      <c r="M194" s="212"/>
      <c r="N194" s="212"/>
      <c r="O194" s="212"/>
      <c r="P194" s="212"/>
      <c r="Q194" s="212"/>
      <c r="R194" s="212"/>
      <c r="S194" s="177"/>
      <c r="T194" s="177"/>
      <c r="U194" s="177"/>
      <c r="V194" s="5"/>
    </row>
    <row r="195" spans="1:22" ht="15.6" x14ac:dyDescent="0.3">
      <c r="A195" s="352"/>
      <c r="B195" s="285" t="s">
        <v>72</v>
      </c>
      <c r="C195" s="353"/>
      <c r="D195" s="353"/>
      <c r="E195" s="353"/>
      <c r="F195" s="353"/>
      <c r="G195" s="329"/>
      <c r="H195" s="329"/>
      <c r="I195" s="329"/>
      <c r="J195" s="329"/>
      <c r="K195" s="329"/>
      <c r="L195" s="329"/>
      <c r="M195" s="329"/>
      <c r="N195" s="329"/>
      <c r="O195" s="329"/>
      <c r="P195" s="329"/>
      <c r="Q195" s="329"/>
      <c r="R195" s="320">
        <v>5.1569999999999998E-2</v>
      </c>
      <c r="S195" s="285"/>
      <c r="T195" s="285"/>
      <c r="U195" s="317"/>
      <c r="V195" s="5"/>
    </row>
    <row r="196" spans="1:22" ht="15.6" x14ac:dyDescent="0.3">
      <c r="A196" s="352"/>
      <c r="B196" s="285" t="s">
        <v>157</v>
      </c>
      <c r="C196" s="353"/>
      <c r="D196" s="353"/>
      <c r="E196" s="353"/>
      <c r="F196" s="353"/>
      <c r="G196" s="329"/>
      <c r="H196" s="329"/>
      <c r="I196" s="329"/>
      <c r="J196" s="329"/>
      <c r="K196" s="329"/>
      <c r="L196" s="329"/>
      <c r="M196" s="329"/>
      <c r="N196" s="329"/>
      <c r="O196" s="329"/>
      <c r="P196" s="329"/>
      <c r="Q196" s="329"/>
      <c r="R196" s="320">
        <v>4.6899999999999997E-2</v>
      </c>
      <c r="S196" s="285"/>
      <c r="T196" s="285"/>
      <c r="U196" s="317"/>
      <c r="V196" s="5"/>
    </row>
    <row r="197" spans="1:22" ht="15.6" x14ac:dyDescent="0.3">
      <c r="A197" s="352"/>
      <c r="B197" s="285" t="s">
        <v>73</v>
      </c>
      <c r="C197" s="353"/>
      <c r="D197" s="353"/>
      <c r="E197" s="353"/>
      <c r="F197" s="353"/>
      <c r="G197" s="329"/>
      <c r="H197" s="329"/>
      <c r="I197" s="329"/>
      <c r="J197" s="329"/>
      <c r="K197" s="329"/>
      <c r="L197" s="329"/>
      <c r="M197" s="329"/>
      <c r="N197" s="329"/>
      <c r="O197" s="329"/>
      <c r="P197" s="329"/>
      <c r="Q197" s="329"/>
      <c r="R197" s="320">
        <f>R195-R196</f>
        <v>4.6700000000000005E-3</v>
      </c>
      <c r="S197" s="285"/>
      <c r="T197" s="285"/>
      <c r="U197" s="317"/>
      <c r="V197" s="5"/>
    </row>
    <row r="198" spans="1:22" ht="15.6" x14ac:dyDescent="0.3">
      <c r="A198" s="352"/>
      <c r="B198" s="285" t="s">
        <v>74</v>
      </c>
      <c r="C198" s="353"/>
      <c r="D198" s="353"/>
      <c r="E198" s="353"/>
      <c r="F198" s="353"/>
      <c r="G198" s="329"/>
      <c r="H198" s="329"/>
      <c r="I198" s="329"/>
      <c r="J198" s="329"/>
      <c r="K198" s="329"/>
      <c r="L198" s="329"/>
      <c r="M198" s="329"/>
      <c r="N198" s="329"/>
      <c r="O198" s="329"/>
      <c r="P198" s="329"/>
      <c r="Q198" s="329"/>
      <c r="R198" s="320">
        <v>2.5989999999999999E-2</v>
      </c>
      <c r="S198" s="285"/>
      <c r="T198" s="285"/>
      <c r="U198" s="317"/>
      <c r="V198" s="5"/>
    </row>
    <row r="199" spans="1:22" ht="15.6" x14ac:dyDescent="0.3">
      <c r="A199" s="352"/>
      <c r="B199" s="285" t="s">
        <v>257</v>
      </c>
      <c r="C199" s="353"/>
      <c r="D199" s="353"/>
      <c r="E199" s="353"/>
      <c r="F199" s="353"/>
      <c r="G199" s="329"/>
      <c r="H199" s="329"/>
      <c r="I199" s="329"/>
      <c r="J199" s="329"/>
      <c r="K199" s="329"/>
      <c r="L199" s="329"/>
      <c r="M199" s="329"/>
      <c r="N199" s="329"/>
      <c r="O199" s="329"/>
      <c r="P199" s="329"/>
      <c r="Q199" s="329"/>
      <c r="R199" s="320">
        <f>T43</f>
        <v>9.46154568572578E-3</v>
      </c>
      <c r="S199" s="285"/>
      <c r="T199" s="285"/>
      <c r="U199" s="317"/>
      <c r="V199" s="5"/>
    </row>
    <row r="200" spans="1:22" ht="15.6" x14ac:dyDescent="0.3">
      <c r="A200" s="352"/>
      <c r="B200" s="285" t="s">
        <v>75</v>
      </c>
      <c r="C200" s="353"/>
      <c r="D200" s="353"/>
      <c r="E200" s="353"/>
      <c r="F200" s="353"/>
      <c r="G200" s="329"/>
      <c r="H200" s="329"/>
      <c r="I200" s="329"/>
      <c r="J200" s="329"/>
      <c r="K200" s="329"/>
      <c r="L200" s="329"/>
      <c r="M200" s="329"/>
      <c r="N200" s="329"/>
      <c r="O200" s="329"/>
      <c r="P200" s="329"/>
      <c r="Q200" s="329"/>
      <c r="R200" s="320">
        <f>R198-R199</f>
        <v>1.6528454314274219E-2</v>
      </c>
      <c r="S200" s="285"/>
      <c r="T200" s="285"/>
      <c r="U200" s="317"/>
      <c r="V200" s="5"/>
    </row>
    <row r="201" spans="1:22" ht="15.6" x14ac:dyDescent="0.3">
      <c r="A201" s="352"/>
      <c r="B201" s="285" t="s">
        <v>260</v>
      </c>
      <c r="C201" s="353"/>
      <c r="D201" s="353"/>
      <c r="E201" s="353"/>
      <c r="F201" s="353"/>
      <c r="G201" s="329"/>
      <c r="H201" s="329"/>
      <c r="I201" s="329"/>
      <c r="J201" s="329"/>
      <c r="K201" s="329"/>
      <c r="L201" s="329"/>
      <c r="M201" s="329"/>
      <c r="N201" s="329"/>
      <c r="O201" s="329"/>
      <c r="P201" s="329"/>
      <c r="Q201" s="329"/>
      <c r="R201" s="320">
        <f>+T100/L71</f>
        <v>6.6591366190997779E-3</v>
      </c>
      <c r="S201" s="285"/>
      <c r="T201" s="285"/>
      <c r="U201" s="317"/>
      <c r="V201" s="5"/>
    </row>
    <row r="202" spans="1:22" ht="15.6" x14ac:dyDescent="0.3">
      <c r="A202" s="352"/>
      <c r="B202" s="285" t="s">
        <v>217</v>
      </c>
      <c r="C202" s="353"/>
      <c r="D202" s="353"/>
      <c r="E202" s="353"/>
      <c r="F202" s="353"/>
      <c r="G202" s="329"/>
      <c r="H202" s="329"/>
      <c r="I202" s="329"/>
      <c r="J202" s="329"/>
      <c r="K202" s="329"/>
      <c r="L202" s="329"/>
      <c r="M202" s="329"/>
      <c r="N202" s="329"/>
      <c r="O202" s="329"/>
      <c r="P202" s="329"/>
      <c r="Q202" s="329"/>
      <c r="R202" s="354">
        <v>15250</v>
      </c>
      <c r="S202" s="285"/>
      <c r="T202" s="285"/>
      <c r="U202" s="317"/>
      <c r="V202" s="5"/>
    </row>
    <row r="203" spans="1:22" ht="15.6" x14ac:dyDescent="0.3">
      <c r="A203" s="352"/>
      <c r="B203" s="285" t="s">
        <v>218</v>
      </c>
      <c r="C203" s="353"/>
      <c r="D203" s="353"/>
      <c r="E203" s="353"/>
      <c r="F203" s="353"/>
      <c r="G203" s="329"/>
      <c r="H203" s="329"/>
      <c r="I203" s="329"/>
      <c r="J203" s="329"/>
      <c r="K203" s="329"/>
      <c r="L203" s="329"/>
      <c r="M203" s="329"/>
      <c r="N203" s="329"/>
      <c r="O203" s="329"/>
      <c r="P203" s="329"/>
      <c r="Q203" s="329"/>
      <c r="R203" s="354">
        <v>15250</v>
      </c>
      <c r="S203" s="285"/>
      <c r="T203" s="285"/>
      <c r="U203" s="317"/>
      <c r="V203" s="5"/>
    </row>
    <row r="204" spans="1:22" ht="15.6" x14ac:dyDescent="0.3">
      <c r="A204" s="352"/>
      <c r="B204" s="285" t="s">
        <v>219</v>
      </c>
      <c r="C204" s="353"/>
      <c r="D204" s="353"/>
      <c r="E204" s="353"/>
      <c r="F204" s="353"/>
      <c r="G204" s="329"/>
      <c r="H204" s="329"/>
      <c r="I204" s="329"/>
      <c r="J204" s="329"/>
      <c r="K204" s="329"/>
      <c r="L204" s="329"/>
      <c r="M204" s="329"/>
      <c r="N204" s="329"/>
      <c r="O204" s="329"/>
      <c r="P204" s="329"/>
      <c r="Q204" s="329"/>
      <c r="R204" s="354">
        <v>15250</v>
      </c>
      <c r="S204" s="285"/>
      <c r="T204" s="285"/>
      <c r="U204" s="317"/>
      <c r="V204" s="5"/>
    </row>
    <row r="205" spans="1:22" ht="15.6" x14ac:dyDescent="0.3">
      <c r="A205" s="352"/>
      <c r="B205" s="285" t="s">
        <v>76</v>
      </c>
      <c r="C205" s="353"/>
      <c r="D205" s="353"/>
      <c r="E205" s="353"/>
      <c r="F205" s="353"/>
      <c r="G205" s="329"/>
      <c r="H205" s="329"/>
      <c r="I205" s="329"/>
      <c r="J205" s="329"/>
      <c r="K205" s="329"/>
      <c r="L205" s="329"/>
      <c r="M205" s="329"/>
      <c r="N205" s="329"/>
      <c r="O205" s="329"/>
      <c r="P205" s="329"/>
      <c r="Q205" s="329"/>
      <c r="R205" s="326">
        <v>21.18</v>
      </c>
      <c r="S205" s="285" t="s">
        <v>116</v>
      </c>
      <c r="T205" s="285"/>
      <c r="U205" s="317"/>
      <c r="V205" s="5"/>
    </row>
    <row r="206" spans="1:22" ht="15.6" x14ac:dyDescent="0.3">
      <c r="A206" s="352"/>
      <c r="B206" s="285" t="s">
        <v>77</v>
      </c>
      <c r="C206" s="353"/>
      <c r="D206" s="353"/>
      <c r="E206" s="353"/>
      <c r="F206" s="353"/>
      <c r="G206" s="329"/>
      <c r="H206" s="329"/>
      <c r="I206" s="329"/>
      <c r="J206" s="329"/>
      <c r="K206" s="329"/>
      <c r="L206" s="329"/>
      <c r="M206" s="329"/>
      <c r="N206" s="329"/>
      <c r="O206" s="329"/>
      <c r="P206" s="329"/>
      <c r="Q206" s="329"/>
      <c r="R206" s="326">
        <v>16.28</v>
      </c>
      <c r="S206" s="285" t="s">
        <v>116</v>
      </c>
      <c r="T206" s="285"/>
      <c r="U206" s="317"/>
      <c r="V206" s="5"/>
    </row>
    <row r="207" spans="1:22" ht="15.6" x14ac:dyDescent="0.3">
      <c r="A207" s="352"/>
      <c r="B207" s="285" t="s">
        <v>78</v>
      </c>
      <c r="C207" s="353"/>
      <c r="D207" s="353"/>
      <c r="E207" s="353"/>
      <c r="F207" s="353"/>
      <c r="G207" s="329"/>
      <c r="H207" s="329"/>
      <c r="I207" s="329"/>
      <c r="J207" s="329"/>
      <c r="K207" s="329"/>
      <c r="L207" s="329"/>
      <c r="M207" s="329"/>
      <c r="N207" s="329"/>
      <c r="O207" s="329"/>
      <c r="P207" s="329"/>
      <c r="Q207" s="329"/>
      <c r="R207" s="320">
        <f>N68/L68</f>
        <v>7.2418324330882364E-3</v>
      </c>
      <c r="S207" s="285"/>
      <c r="T207" s="285"/>
      <c r="U207" s="317"/>
      <c r="V207" s="5"/>
    </row>
    <row r="208" spans="1:22" ht="15.6" x14ac:dyDescent="0.3">
      <c r="A208" s="352"/>
      <c r="B208" s="285" t="s">
        <v>79</v>
      </c>
      <c r="C208" s="353"/>
      <c r="D208" s="353"/>
      <c r="E208" s="353"/>
      <c r="F208" s="353"/>
      <c r="G208" s="329"/>
      <c r="H208" s="329"/>
      <c r="I208" s="329"/>
      <c r="J208" s="329"/>
      <c r="K208" s="329"/>
      <c r="L208" s="329"/>
      <c r="M208" s="329"/>
      <c r="N208" s="329"/>
      <c r="O208" s="329"/>
      <c r="P208" s="329"/>
      <c r="Q208" s="329"/>
      <c r="R208" s="320">
        <v>0.11070000000000001</v>
      </c>
      <c r="S208" s="285"/>
      <c r="T208" s="285"/>
      <c r="U208" s="317"/>
      <c r="V208" s="5"/>
    </row>
    <row r="209" spans="1:22" ht="15.6" x14ac:dyDescent="0.3">
      <c r="A209" s="209"/>
      <c r="B209" s="350"/>
      <c r="C209" s="350"/>
      <c r="D209" s="350"/>
      <c r="E209" s="350"/>
      <c r="F209" s="350"/>
      <c r="G209" s="334"/>
      <c r="H209" s="334"/>
      <c r="I209" s="334"/>
      <c r="J209" s="334"/>
      <c r="K209" s="334"/>
      <c r="L209" s="334"/>
      <c r="M209" s="334"/>
      <c r="N209" s="334"/>
      <c r="O209" s="334"/>
      <c r="P209" s="334"/>
      <c r="Q209" s="334"/>
      <c r="R209" s="347"/>
      <c r="S209" s="334"/>
      <c r="T209" s="351"/>
      <c r="U209" s="334"/>
      <c r="V209" s="5"/>
    </row>
    <row r="210" spans="1:22" ht="15.6" x14ac:dyDescent="0.3">
      <c r="A210" s="266"/>
      <c r="B210" s="252" t="s">
        <v>80</v>
      </c>
      <c r="C210" s="253"/>
      <c r="D210" s="253"/>
      <c r="E210" s="253"/>
      <c r="F210" s="267"/>
      <c r="G210" s="253"/>
      <c r="H210" s="253"/>
      <c r="I210" s="253"/>
      <c r="J210" s="253"/>
      <c r="K210" s="253"/>
      <c r="L210" s="253"/>
      <c r="M210" s="253"/>
      <c r="N210" s="253"/>
      <c r="O210" s="253"/>
      <c r="P210" s="253"/>
      <c r="Q210" s="253" t="s">
        <v>105</v>
      </c>
      <c r="R210" s="267" t="s">
        <v>112</v>
      </c>
      <c r="S210" s="223"/>
      <c r="T210" s="223"/>
      <c r="U210" s="223"/>
      <c r="V210" s="5"/>
    </row>
    <row r="211" spans="1:22" ht="15.6" x14ac:dyDescent="0.3">
      <c r="A211" s="214"/>
      <c r="B211" s="239" t="s">
        <v>81</v>
      </c>
      <c r="C211" s="243"/>
      <c r="D211" s="243"/>
      <c r="E211" s="243"/>
      <c r="F211" s="239"/>
      <c r="G211" s="239"/>
      <c r="H211" s="242"/>
      <c r="I211" s="242"/>
      <c r="J211" s="242"/>
      <c r="K211" s="242"/>
      <c r="L211" s="242"/>
      <c r="M211" s="242"/>
      <c r="N211" s="242"/>
      <c r="O211" s="242"/>
      <c r="P211" s="242"/>
      <c r="Q211" s="242">
        <v>2</v>
      </c>
      <c r="R211" s="272">
        <v>341</v>
      </c>
      <c r="S211" s="239"/>
      <c r="T211" s="273"/>
      <c r="U211" s="215"/>
      <c r="V211" s="5"/>
    </row>
    <row r="212" spans="1:22" ht="15.6" x14ac:dyDescent="0.3">
      <c r="A212" s="360"/>
      <c r="B212" s="285" t="s">
        <v>151</v>
      </c>
      <c r="C212" s="338"/>
      <c r="D212" s="338"/>
      <c r="E212" s="338"/>
      <c r="F212" s="285"/>
      <c r="G212" s="285"/>
      <c r="H212" s="293"/>
      <c r="I212" s="293"/>
      <c r="J212" s="293"/>
      <c r="K212" s="293"/>
      <c r="L212" s="293"/>
      <c r="M212" s="293"/>
      <c r="N212" s="293"/>
      <c r="O212" s="293"/>
      <c r="P212" s="293"/>
      <c r="Q212" s="361">
        <f>+P264</f>
        <v>122</v>
      </c>
      <c r="R212" s="362">
        <f>+R264</f>
        <v>18736</v>
      </c>
      <c r="S212" s="285"/>
      <c r="T212" s="363"/>
      <c r="U212" s="364"/>
      <c r="V212" s="5"/>
    </row>
    <row r="213" spans="1:22" ht="15.6" x14ac:dyDescent="0.3">
      <c r="A213" s="360"/>
      <c r="B213" s="285" t="s">
        <v>82</v>
      </c>
      <c r="C213" s="338"/>
      <c r="D213" s="338"/>
      <c r="E213" s="338"/>
      <c r="F213" s="285"/>
      <c r="G213" s="285"/>
      <c r="H213" s="293"/>
      <c r="I213" s="293"/>
      <c r="J213" s="293"/>
      <c r="K213" s="293"/>
      <c r="L213" s="293"/>
      <c r="M213" s="293"/>
      <c r="N213" s="293"/>
      <c r="O213" s="293"/>
      <c r="P213" s="293"/>
      <c r="Q213" s="361">
        <f>+P276</f>
        <v>0</v>
      </c>
      <c r="R213" s="362">
        <f>+R276</f>
        <v>0</v>
      </c>
      <c r="S213" s="285"/>
      <c r="T213" s="363"/>
      <c r="U213" s="364"/>
      <c r="V213" s="5"/>
    </row>
    <row r="214" spans="1:22" ht="15.6" x14ac:dyDescent="0.3">
      <c r="A214" s="360"/>
      <c r="B214" s="310" t="s">
        <v>83</v>
      </c>
      <c r="C214" s="365"/>
      <c r="D214" s="365"/>
      <c r="E214" s="365"/>
      <c r="F214" s="311"/>
      <c r="G214" s="311"/>
      <c r="H214" s="311"/>
      <c r="I214" s="311"/>
      <c r="J214" s="311"/>
      <c r="K214" s="311"/>
      <c r="L214" s="311"/>
      <c r="M214" s="311"/>
      <c r="N214" s="311"/>
      <c r="O214" s="311"/>
      <c r="P214" s="311"/>
      <c r="Q214" s="285"/>
      <c r="R214" s="362">
        <v>0</v>
      </c>
      <c r="S214" s="311"/>
      <c r="T214" s="366"/>
      <c r="U214" s="364"/>
      <c r="V214" s="5"/>
    </row>
    <row r="215" spans="1:22" ht="15.6" x14ac:dyDescent="0.3">
      <c r="A215" s="360"/>
      <c r="B215" s="310" t="s">
        <v>84</v>
      </c>
      <c r="C215" s="365"/>
      <c r="D215" s="365"/>
      <c r="E215" s="365"/>
      <c r="F215" s="311"/>
      <c r="G215" s="311"/>
      <c r="H215" s="311"/>
      <c r="I215" s="311"/>
      <c r="J215" s="311"/>
      <c r="K215" s="311"/>
      <c r="L215" s="311"/>
      <c r="M215" s="311"/>
      <c r="N215" s="311"/>
      <c r="O215" s="311"/>
      <c r="P215" s="311"/>
      <c r="Q215" s="285"/>
      <c r="R215" s="367" t="s">
        <v>113</v>
      </c>
      <c r="S215" s="311"/>
      <c r="T215" s="366"/>
      <c r="U215" s="364"/>
      <c r="V215" s="5"/>
    </row>
    <row r="216" spans="1:22" ht="15.6" x14ac:dyDescent="0.3">
      <c r="A216" s="368"/>
      <c r="B216" s="310" t="s">
        <v>85</v>
      </c>
      <c r="C216" s="369"/>
      <c r="D216" s="369"/>
      <c r="E216" s="369"/>
      <c r="F216" s="369"/>
      <c r="G216" s="311"/>
      <c r="H216" s="311"/>
      <c r="I216" s="311"/>
      <c r="J216" s="311"/>
      <c r="K216" s="311"/>
      <c r="L216" s="311"/>
      <c r="M216" s="311"/>
      <c r="N216" s="311"/>
      <c r="O216" s="311"/>
      <c r="P216" s="311"/>
      <c r="Q216" s="285"/>
      <c r="R216" s="362"/>
      <c r="S216" s="311"/>
      <c r="T216" s="366"/>
      <c r="U216" s="370"/>
      <c r="V216" s="5"/>
    </row>
    <row r="217" spans="1:22" ht="15.6" x14ac:dyDescent="0.3">
      <c r="A217" s="368"/>
      <c r="B217" s="290" t="s">
        <v>86</v>
      </c>
      <c r="C217" s="290"/>
      <c r="D217" s="290"/>
      <c r="E217" s="290"/>
      <c r="F217" s="290"/>
      <c r="G217" s="290"/>
      <c r="H217" s="290"/>
      <c r="I217" s="290"/>
      <c r="J217" s="290"/>
      <c r="K217" s="290"/>
      <c r="L217" s="290"/>
      <c r="M217" s="290"/>
      <c r="N217" s="290"/>
      <c r="O217" s="290"/>
      <c r="P217" s="290"/>
      <c r="Q217" s="293"/>
      <c r="R217" s="362">
        <f>T161</f>
        <v>-13</v>
      </c>
      <c r="S217" s="290"/>
      <c r="T217" s="371"/>
      <c r="U217" s="370"/>
      <c r="V217" s="5"/>
    </row>
    <row r="218" spans="1:22" ht="15.6" x14ac:dyDescent="0.3">
      <c r="A218" s="360"/>
      <c r="B218" s="290" t="s">
        <v>87</v>
      </c>
      <c r="C218" s="372"/>
      <c r="D218" s="372"/>
      <c r="E218" s="372"/>
      <c r="F218" s="372"/>
      <c r="G218" s="290"/>
      <c r="H218" s="290"/>
      <c r="I218" s="290"/>
      <c r="J218" s="290"/>
      <c r="K218" s="290"/>
      <c r="L218" s="290"/>
      <c r="M218" s="290"/>
      <c r="N218" s="290"/>
      <c r="O218" s="290"/>
      <c r="P218" s="290"/>
      <c r="Q218" s="293"/>
      <c r="R218" s="362">
        <f>'Dec 10'!R218+R217</f>
        <v>2756</v>
      </c>
      <c r="S218" s="290"/>
      <c r="T218" s="371"/>
      <c r="U218" s="370"/>
      <c r="V218" s="5"/>
    </row>
    <row r="219" spans="1:22" ht="15.6" x14ac:dyDescent="0.3">
      <c r="A219" s="368"/>
      <c r="B219" s="310" t="s">
        <v>282</v>
      </c>
      <c r="C219" s="369"/>
      <c r="D219" s="369"/>
      <c r="E219" s="369"/>
      <c r="F219" s="369"/>
      <c r="G219" s="311"/>
      <c r="H219" s="311"/>
      <c r="I219" s="311"/>
      <c r="J219" s="311"/>
      <c r="K219" s="311"/>
      <c r="L219" s="311"/>
      <c r="M219" s="311"/>
      <c r="N219" s="311"/>
      <c r="O219" s="311"/>
      <c r="P219" s="311"/>
      <c r="Q219" s="293"/>
      <c r="R219" s="362"/>
      <c r="S219" s="311"/>
      <c r="T219" s="366"/>
      <c r="U219" s="370"/>
      <c r="V219" s="5"/>
    </row>
    <row r="220" spans="1:22" ht="15.6" x14ac:dyDescent="0.3">
      <c r="A220" s="368"/>
      <c r="B220" s="285" t="s">
        <v>280</v>
      </c>
      <c r="C220" s="369"/>
      <c r="D220" s="369"/>
      <c r="E220" s="369"/>
      <c r="F220" s="369"/>
      <c r="G220" s="311"/>
      <c r="H220" s="311"/>
      <c r="I220" s="311"/>
      <c r="J220" s="311"/>
      <c r="K220" s="311"/>
      <c r="L220" s="311"/>
      <c r="M220" s="311"/>
      <c r="N220" s="311"/>
      <c r="O220" s="311"/>
      <c r="P220" s="311"/>
      <c r="Q220" s="293">
        <v>0</v>
      </c>
      <c r="R220" s="362">
        <v>0</v>
      </c>
      <c r="S220" s="311"/>
      <c r="T220" s="366"/>
      <c r="U220" s="370"/>
      <c r="V220" s="5"/>
    </row>
    <row r="221" spans="1:22" ht="15.6" x14ac:dyDescent="0.3">
      <c r="A221" s="360"/>
      <c r="B221" s="285" t="s">
        <v>89</v>
      </c>
      <c r="C221" s="373"/>
      <c r="D221" s="373"/>
      <c r="E221" s="373"/>
      <c r="F221" s="374"/>
      <c r="G221" s="311"/>
      <c r="H221" s="311"/>
      <c r="I221" s="311"/>
      <c r="J221" s="311"/>
      <c r="K221" s="311"/>
      <c r="L221" s="311"/>
      <c r="M221" s="311"/>
      <c r="N221" s="311"/>
      <c r="O221" s="311"/>
      <c r="P221" s="311"/>
      <c r="Q221" s="285"/>
      <c r="R221" s="367">
        <v>0</v>
      </c>
      <c r="S221" s="311"/>
      <c r="T221" s="366"/>
      <c r="U221" s="370"/>
      <c r="V221" s="5"/>
    </row>
    <row r="222" spans="1:22" ht="15.6" x14ac:dyDescent="0.3">
      <c r="A222" s="360"/>
      <c r="B222" s="285" t="s">
        <v>90</v>
      </c>
      <c r="C222" s="373"/>
      <c r="D222" s="373"/>
      <c r="E222" s="373"/>
      <c r="F222" s="374"/>
      <c r="G222" s="311"/>
      <c r="H222" s="311"/>
      <c r="I222" s="311"/>
      <c r="J222" s="311"/>
      <c r="K222" s="311"/>
      <c r="L222" s="311"/>
      <c r="M222" s="311"/>
      <c r="N222" s="311"/>
      <c r="O222" s="311"/>
      <c r="P222" s="311"/>
      <c r="Q222" s="285"/>
      <c r="R222" s="367">
        <v>0</v>
      </c>
      <c r="S222" s="311"/>
      <c r="T222" s="366"/>
      <c r="U222" s="370"/>
      <c r="V222" s="5"/>
    </row>
    <row r="223" spans="1:22" ht="15.6" x14ac:dyDescent="0.3">
      <c r="A223" s="360"/>
      <c r="B223" s="310" t="s">
        <v>226</v>
      </c>
      <c r="C223" s="373"/>
      <c r="D223" s="373"/>
      <c r="E223" s="373"/>
      <c r="F223" s="374"/>
      <c r="G223" s="311"/>
      <c r="H223" s="311"/>
      <c r="I223" s="311"/>
      <c r="J223" s="311"/>
      <c r="K223" s="311"/>
      <c r="L223" s="311"/>
      <c r="M223" s="311"/>
      <c r="N223" s="311"/>
      <c r="O223" s="311"/>
      <c r="P223" s="311"/>
      <c r="Q223" s="293"/>
      <c r="R223" s="375"/>
      <c r="S223" s="311"/>
      <c r="T223" s="366"/>
      <c r="U223" s="370"/>
      <c r="V223" s="5"/>
    </row>
    <row r="224" spans="1:22" ht="15.6" x14ac:dyDescent="0.3">
      <c r="A224" s="360"/>
      <c r="B224" s="285" t="s">
        <v>280</v>
      </c>
      <c r="C224" s="373"/>
      <c r="D224" s="373"/>
      <c r="E224" s="373"/>
      <c r="F224" s="374"/>
      <c r="G224" s="311"/>
      <c r="H224" s="311"/>
      <c r="I224" s="311"/>
      <c r="J224" s="311"/>
      <c r="K224" s="311"/>
      <c r="L224" s="311"/>
      <c r="M224" s="311"/>
      <c r="N224" s="311"/>
      <c r="O224" s="311"/>
      <c r="P224" s="311"/>
      <c r="Q224" s="293">
        <v>2</v>
      </c>
      <c r="R224" s="362">
        <v>216</v>
      </c>
      <c r="S224" s="311"/>
      <c r="T224" s="366"/>
      <c r="U224" s="370"/>
      <c r="V224" s="5"/>
    </row>
    <row r="225" spans="1:23" ht="15.6" x14ac:dyDescent="0.3">
      <c r="A225" s="360"/>
      <c r="B225" s="285" t="s">
        <v>227</v>
      </c>
      <c r="C225" s="373"/>
      <c r="D225" s="373"/>
      <c r="E225" s="373"/>
      <c r="F225" s="374"/>
      <c r="G225" s="311"/>
      <c r="H225" s="311"/>
      <c r="I225" s="311"/>
      <c r="J225" s="311"/>
      <c r="K225" s="311"/>
      <c r="L225" s="311"/>
      <c r="M225" s="311"/>
      <c r="N225" s="311"/>
      <c r="O225" s="311"/>
      <c r="P225" s="311"/>
      <c r="Q225" s="293"/>
      <c r="R225" s="367">
        <v>1</v>
      </c>
      <c r="S225" s="311"/>
      <c r="T225" s="366"/>
      <c r="U225" s="370"/>
      <c r="V225" s="5"/>
    </row>
    <row r="226" spans="1:23" ht="15.6" x14ac:dyDescent="0.3">
      <c r="A226" s="360"/>
      <c r="B226" s="369"/>
      <c r="C226" s="373"/>
      <c r="D226" s="373"/>
      <c r="E226" s="373"/>
      <c r="F226" s="374"/>
      <c r="G226" s="311"/>
      <c r="H226" s="311"/>
      <c r="I226" s="311"/>
      <c r="J226" s="311"/>
      <c r="K226" s="311"/>
      <c r="L226" s="311"/>
      <c r="M226" s="311"/>
      <c r="N226" s="311"/>
      <c r="O226" s="311"/>
      <c r="P226" s="311"/>
      <c r="Q226" s="311"/>
      <c r="R226" s="376"/>
      <c r="S226" s="311"/>
      <c r="T226" s="366"/>
      <c r="U226" s="370"/>
      <c r="V226" s="5"/>
    </row>
    <row r="227" spans="1:23" ht="15.6" x14ac:dyDescent="0.3">
      <c r="A227" s="360"/>
      <c r="B227" s="369"/>
      <c r="C227" s="373"/>
      <c r="D227" s="373"/>
      <c r="E227" s="373"/>
      <c r="F227" s="374"/>
      <c r="G227" s="311"/>
      <c r="H227" s="311"/>
      <c r="I227" s="311"/>
      <c r="J227" s="311"/>
      <c r="K227" s="311"/>
      <c r="L227" s="311"/>
      <c r="M227" s="311"/>
      <c r="N227" s="311"/>
      <c r="O227" s="311"/>
      <c r="P227" s="311"/>
      <c r="Q227" s="311"/>
      <c r="R227" s="376"/>
      <c r="S227" s="311"/>
      <c r="T227" s="366"/>
      <c r="U227" s="370"/>
      <c r="V227" s="5"/>
    </row>
    <row r="228" spans="1:23" ht="17.399999999999999" x14ac:dyDescent="0.3">
      <c r="A228" s="360"/>
      <c r="B228" s="377" t="s">
        <v>175</v>
      </c>
      <c r="C228" s="373"/>
      <c r="D228" s="373"/>
      <c r="E228" s="373"/>
      <c r="F228" s="374"/>
      <c r="G228" s="311"/>
      <c r="H228" s="311"/>
      <c r="I228" s="311"/>
      <c r="J228" s="311"/>
      <c r="K228" s="311"/>
      <c r="L228" s="311"/>
      <c r="M228" s="311"/>
      <c r="N228" s="378" t="s">
        <v>174</v>
      </c>
      <c r="O228" s="311"/>
      <c r="P228" s="311"/>
      <c r="Q228" s="311"/>
      <c r="R228" s="376"/>
      <c r="S228" s="311"/>
      <c r="T228" s="366"/>
      <c r="U228" s="370"/>
      <c r="V228" s="5"/>
    </row>
    <row r="229" spans="1:23" ht="15.6" x14ac:dyDescent="0.3">
      <c r="A229" s="355"/>
      <c r="B229" s="350"/>
      <c r="C229" s="356"/>
      <c r="D229" s="356"/>
      <c r="E229" s="356"/>
      <c r="F229" s="357"/>
      <c r="G229" s="334"/>
      <c r="H229" s="334"/>
      <c r="I229" s="334"/>
      <c r="J229" s="334"/>
      <c r="K229" s="334"/>
      <c r="L229" s="334"/>
      <c r="M229" s="334"/>
      <c r="N229" s="334"/>
      <c r="O229" s="334"/>
      <c r="P229" s="334"/>
      <c r="Q229" s="334"/>
      <c r="R229" s="358"/>
      <c r="S229" s="334"/>
      <c r="T229" s="351"/>
      <c r="U229" s="359"/>
      <c r="V229" s="5"/>
    </row>
    <row r="230" spans="1:23" ht="15.6" x14ac:dyDescent="0.3">
      <c r="A230" s="222"/>
      <c r="B230" s="252" t="s">
        <v>295</v>
      </c>
      <c r="C230" s="253"/>
      <c r="D230" s="253"/>
      <c r="E230" s="253"/>
      <c r="F230" s="267"/>
      <c r="G230" s="253"/>
      <c r="H230" s="253"/>
      <c r="I230" s="253"/>
      <c r="J230" s="253"/>
      <c r="K230" s="253"/>
      <c r="L230" s="253"/>
      <c r="M230" s="253"/>
      <c r="N230" s="253"/>
      <c r="O230" s="253"/>
      <c r="P230" s="267" t="s">
        <v>105</v>
      </c>
      <c r="Q230" s="253" t="s">
        <v>106</v>
      </c>
      <c r="R230" s="267" t="s">
        <v>114</v>
      </c>
      <c r="S230" s="253" t="s">
        <v>106</v>
      </c>
      <c r="T230" s="223"/>
      <c r="U230" s="252"/>
      <c r="V230" s="5"/>
    </row>
    <row r="231" spans="1:23" ht="15.6" x14ac:dyDescent="0.3">
      <c r="A231" s="190"/>
      <c r="B231" s="243" t="s">
        <v>91</v>
      </c>
      <c r="C231" s="217"/>
      <c r="D231" s="217"/>
      <c r="E231" s="217"/>
      <c r="F231" s="191"/>
      <c r="G231" s="217"/>
      <c r="H231" s="217"/>
      <c r="I231" s="217"/>
      <c r="J231" s="217"/>
      <c r="K231" s="217"/>
      <c r="L231" s="217"/>
      <c r="M231" s="217"/>
      <c r="N231" s="217"/>
      <c r="O231" s="217"/>
      <c r="P231" s="338">
        <f t="shared" ref="P231:P238" si="1">+P243+P255+P267</f>
        <v>4314</v>
      </c>
      <c r="Q231" s="384">
        <f t="shared" ref="Q231:Q238" si="2">P231/$P$240</f>
        <v>0.98583180987202923</v>
      </c>
      <c r="R231" s="339">
        <f t="shared" ref="R231:R238" si="3">+R243+R255+R267</f>
        <v>569655</v>
      </c>
      <c r="S231" s="384">
        <f t="shared" ref="S231:S238" si="4">R231/$R$240</f>
        <v>0.98001957785465943</v>
      </c>
      <c r="T231" s="213"/>
      <c r="U231" s="216"/>
      <c r="V231" s="5"/>
    </row>
    <row r="232" spans="1:23" ht="15.6" x14ac:dyDescent="0.3">
      <c r="A232" s="284"/>
      <c r="B232" s="338" t="s">
        <v>92</v>
      </c>
      <c r="C232" s="382"/>
      <c r="D232" s="382"/>
      <c r="E232" s="382"/>
      <c r="F232" s="311"/>
      <c r="G232" s="383"/>
      <c r="H232" s="382"/>
      <c r="I232" s="382"/>
      <c r="J232" s="382"/>
      <c r="K232" s="382"/>
      <c r="L232" s="382"/>
      <c r="M232" s="382"/>
      <c r="N232" s="382"/>
      <c r="O232" s="382"/>
      <c r="P232" s="338">
        <f t="shared" si="1"/>
        <v>21</v>
      </c>
      <c r="Q232" s="384">
        <f t="shared" si="2"/>
        <v>4.7989031078610606E-3</v>
      </c>
      <c r="R232" s="339">
        <f t="shared" si="3"/>
        <v>4309</v>
      </c>
      <c r="S232" s="384">
        <f t="shared" si="4"/>
        <v>7.4130910129389322E-3</v>
      </c>
      <c r="T232" s="366"/>
      <c r="U232" s="370"/>
      <c r="V232" s="5"/>
      <c r="W232" s="109"/>
    </row>
    <row r="233" spans="1:23" ht="15.6" x14ac:dyDescent="0.3">
      <c r="A233" s="284"/>
      <c r="B233" s="338" t="s">
        <v>93</v>
      </c>
      <c r="C233" s="382"/>
      <c r="D233" s="382"/>
      <c r="E233" s="382"/>
      <c r="F233" s="311"/>
      <c r="G233" s="383"/>
      <c r="H233" s="382"/>
      <c r="I233" s="382"/>
      <c r="J233" s="382"/>
      <c r="K233" s="382"/>
      <c r="L233" s="382"/>
      <c r="M233" s="382"/>
      <c r="N233" s="382"/>
      <c r="O233" s="382"/>
      <c r="P233" s="338">
        <f t="shared" si="1"/>
        <v>10</v>
      </c>
      <c r="Q233" s="384">
        <f t="shared" si="2"/>
        <v>2.2851919561243145E-3</v>
      </c>
      <c r="R233" s="339">
        <f t="shared" si="3"/>
        <v>1673</v>
      </c>
      <c r="S233" s="384">
        <f t="shared" si="4"/>
        <v>2.8781854872700938E-3</v>
      </c>
      <c r="T233" s="366"/>
      <c r="U233" s="370"/>
      <c r="V233" s="5"/>
    </row>
    <row r="234" spans="1:23" ht="15.6" x14ac:dyDescent="0.3">
      <c r="A234" s="284"/>
      <c r="B234" s="338" t="s">
        <v>163</v>
      </c>
      <c r="C234" s="382"/>
      <c r="D234" s="382"/>
      <c r="E234" s="382"/>
      <c r="F234" s="311"/>
      <c r="G234" s="383"/>
      <c r="H234" s="382"/>
      <c r="I234" s="382"/>
      <c r="J234" s="382"/>
      <c r="K234" s="382"/>
      <c r="L234" s="382"/>
      <c r="M234" s="382"/>
      <c r="N234" s="382"/>
      <c r="O234" s="382"/>
      <c r="P234" s="338">
        <f t="shared" si="1"/>
        <v>3</v>
      </c>
      <c r="Q234" s="384">
        <f t="shared" si="2"/>
        <v>6.855575868372943E-4</v>
      </c>
      <c r="R234" s="339">
        <f t="shared" si="3"/>
        <v>586</v>
      </c>
      <c r="S234" s="384">
        <f t="shared" si="4"/>
        <v>1.0081390887867752E-3</v>
      </c>
      <c r="T234" s="366"/>
      <c r="U234" s="370"/>
      <c r="V234" s="5"/>
      <c r="W234" s="109"/>
    </row>
    <row r="235" spans="1:23" ht="15.6" x14ac:dyDescent="0.3">
      <c r="A235" s="284"/>
      <c r="B235" s="338" t="s">
        <v>164</v>
      </c>
      <c r="C235" s="382"/>
      <c r="D235" s="382"/>
      <c r="E235" s="382"/>
      <c r="F235" s="311"/>
      <c r="G235" s="383"/>
      <c r="H235" s="382"/>
      <c r="I235" s="382"/>
      <c r="J235" s="382"/>
      <c r="K235" s="382"/>
      <c r="L235" s="382"/>
      <c r="M235" s="382"/>
      <c r="N235" s="382"/>
      <c r="O235" s="382"/>
      <c r="P235" s="338">
        <f t="shared" si="1"/>
        <v>4</v>
      </c>
      <c r="Q235" s="384">
        <f t="shared" si="2"/>
        <v>9.1407678244972577E-4</v>
      </c>
      <c r="R235" s="339">
        <f t="shared" si="3"/>
        <v>714</v>
      </c>
      <c r="S235" s="384">
        <f t="shared" si="4"/>
        <v>1.2283469443579479E-3</v>
      </c>
      <c r="T235" s="366"/>
      <c r="U235" s="370"/>
      <c r="V235" s="5"/>
    </row>
    <row r="236" spans="1:23" ht="15.6" x14ac:dyDescent="0.3">
      <c r="A236" s="284"/>
      <c r="B236" s="338" t="s">
        <v>165</v>
      </c>
      <c r="C236" s="382"/>
      <c r="D236" s="382"/>
      <c r="E236" s="382"/>
      <c r="F236" s="311"/>
      <c r="G236" s="383"/>
      <c r="H236" s="382"/>
      <c r="I236" s="382"/>
      <c r="J236" s="382"/>
      <c r="K236" s="382"/>
      <c r="L236" s="382"/>
      <c r="M236" s="382"/>
      <c r="N236" s="382"/>
      <c r="O236" s="382"/>
      <c r="P236" s="338">
        <f t="shared" si="1"/>
        <v>2</v>
      </c>
      <c r="Q236" s="384">
        <f t="shared" si="2"/>
        <v>4.5703839122486289E-4</v>
      </c>
      <c r="R236" s="339">
        <f t="shared" si="3"/>
        <v>411</v>
      </c>
      <c r="S236" s="384">
        <f t="shared" si="4"/>
        <v>7.0707366124806239E-4</v>
      </c>
      <c r="T236" s="366"/>
      <c r="U236" s="370"/>
      <c r="V236" s="5"/>
      <c r="W236" s="109"/>
    </row>
    <row r="237" spans="1:23" ht="15.6" x14ac:dyDescent="0.3">
      <c r="A237" s="284"/>
      <c r="B237" s="338" t="s">
        <v>166</v>
      </c>
      <c r="C237" s="382"/>
      <c r="D237" s="382"/>
      <c r="E237" s="382"/>
      <c r="F237" s="311"/>
      <c r="G237" s="383"/>
      <c r="H237" s="382"/>
      <c r="I237" s="382"/>
      <c r="J237" s="382"/>
      <c r="K237" s="382"/>
      <c r="L237" s="382"/>
      <c r="M237" s="382"/>
      <c r="N237" s="382"/>
      <c r="O237" s="382"/>
      <c r="P237" s="338">
        <f t="shared" si="1"/>
        <v>8</v>
      </c>
      <c r="Q237" s="384">
        <f t="shared" si="2"/>
        <v>1.8281535648994515E-3</v>
      </c>
      <c r="R237" s="339">
        <f t="shared" si="3"/>
        <v>1678</v>
      </c>
      <c r="S237" s="384">
        <f t="shared" si="4"/>
        <v>2.8867873566283423E-3</v>
      </c>
      <c r="T237" s="366"/>
      <c r="U237" s="370"/>
      <c r="V237" s="5"/>
    </row>
    <row r="238" spans="1:23" ht="15.6" x14ac:dyDescent="0.3">
      <c r="A238" s="284"/>
      <c r="B238" s="338" t="s">
        <v>167</v>
      </c>
      <c r="C238" s="382"/>
      <c r="D238" s="382"/>
      <c r="E238" s="382"/>
      <c r="F238" s="311"/>
      <c r="G238" s="383"/>
      <c r="H238" s="382"/>
      <c r="I238" s="382"/>
      <c r="J238" s="382"/>
      <c r="K238" s="382"/>
      <c r="L238" s="382"/>
      <c r="M238" s="382"/>
      <c r="N238" s="382"/>
      <c r="O238" s="382"/>
      <c r="P238" s="338">
        <f t="shared" si="1"/>
        <v>14</v>
      </c>
      <c r="Q238" s="384">
        <f t="shared" si="2"/>
        <v>3.1992687385740404E-3</v>
      </c>
      <c r="R238" s="339">
        <f t="shared" si="3"/>
        <v>2243</v>
      </c>
      <c r="S238" s="384">
        <f t="shared" si="4"/>
        <v>3.8587985941104723E-3</v>
      </c>
      <c r="T238" s="366"/>
      <c r="U238" s="370"/>
      <c r="V238" s="5"/>
      <c r="W238" s="109"/>
    </row>
    <row r="239" spans="1:23" ht="15.6" x14ac:dyDescent="0.3">
      <c r="A239" s="284"/>
      <c r="B239" s="338"/>
      <c r="C239" s="382"/>
      <c r="D239" s="382"/>
      <c r="E239" s="382"/>
      <c r="F239" s="311"/>
      <c r="G239" s="383"/>
      <c r="H239" s="382"/>
      <c r="I239" s="382"/>
      <c r="J239" s="382"/>
      <c r="K239" s="382"/>
      <c r="L239" s="382"/>
      <c r="M239" s="382"/>
      <c r="N239" s="382"/>
      <c r="O239" s="382"/>
      <c r="P239" s="338"/>
      <c r="Q239" s="384"/>
      <c r="R239" s="339"/>
      <c r="S239" s="384"/>
      <c r="T239" s="366"/>
      <c r="U239" s="370"/>
      <c r="V239" s="5"/>
    </row>
    <row r="240" spans="1:23" ht="15.6" x14ac:dyDescent="0.3">
      <c r="A240" s="284"/>
      <c r="B240" s="285" t="s">
        <v>120</v>
      </c>
      <c r="C240" s="311"/>
      <c r="D240" s="311"/>
      <c r="E240" s="311"/>
      <c r="F240" s="311"/>
      <c r="G240" s="311"/>
      <c r="H240" s="385"/>
      <c r="I240" s="385"/>
      <c r="J240" s="385"/>
      <c r="K240" s="385"/>
      <c r="L240" s="385"/>
      <c r="M240" s="385"/>
      <c r="N240" s="385"/>
      <c r="O240" s="385"/>
      <c r="P240" s="338">
        <f>SUM(P231:P239)</f>
        <v>4376</v>
      </c>
      <c r="Q240" s="384">
        <f>SUM(Q231:Q239)</f>
        <v>0.99999999999999989</v>
      </c>
      <c r="R240" s="339">
        <f>SUM(R231:R239)</f>
        <v>581269</v>
      </c>
      <c r="S240" s="384">
        <f>SUM(S231:S239)</f>
        <v>1.0000000000000002</v>
      </c>
      <c r="T240" s="311"/>
      <c r="U240" s="317"/>
      <c r="V240" s="5"/>
    </row>
    <row r="241" spans="1:23" ht="15.6" x14ac:dyDescent="0.3">
      <c r="A241" s="355"/>
      <c r="B241" s="350"/>
      <c r="C241" s="356"/>
      <c r="D241" s="356"/>
      <c r="E241" s="356"/>
      <c r="F241" s="357"/>
      <c r="G241" s="334"/>
      <c r="H241" s="334"/>
      <c r="I241" s="334"/>
      <c r="J241" s="334"/>
      <c r="K241" s="334"/>
      <c r="L241" s="334"/>
      <c r="M241" s="334"/>
      <c r="N241" s="334"/>
      <c r="O241" s="334"/>
      <c r="P241" s="334"/>
      <c r="Q241" s="334"/>
      <c r="R241" s="358"/>
      <c r="S241" s="334"/>
      <c r="T241" s="351"/>
      <c r="U241" s="359"/>
      <c r="V241" s="5"/>
    </row>
    <row r="242" spans="1:23" ht="15.6" x14ac:dyDescent="0.3">
      <c r="A242" s="222"/>
      <c r="B242" s="252" t="s">
        <v>169</v>
      </c>
      <c r="C242" s="253"/>
      <c r="D242" s="253"/>
      <c r="E242" s="253"/>
      <c r="F242" s="267"/>
      <c r="G242" s="253"/>
      <c r="H242" s="253"/>
      <c r="I242" s="253"/>
      <c r="J242" s="253"/>
      <c r="K242" s="253"/>
      <c r="L242" s="253"/>
      <c r="M242" s="253"/>
      <c r="N242" s="253"/>
      <c r="O242" s="253"/>
      <c r="P242" s="267" t="s">
        <v>105</v>
      </c>
      <c r="Q242" s="253" t="s">
        <v>106</v>
      </c>
      <c r="R242" s="267" t="s">
        <v>114</v>
      </c>
      <c r="S242" s="253" t="s">
        <v>106</v>
      </c>
      <c r="T242" s="223"/>
      <c r="U242" s="252"/>
      <c r="V242" s="5"/>
    </row>
    <row r="243" spans="1:23" ht="15.6" x14ac:dyDescent="0.3">
      <c r="A243" s="190"/>
      <c r="B243" s="243" t="s">
        <v>91</v>
      </c>
      <c r="C243" s="217"/>
      <c r="D243" s="217"/>
      <c r="E243" s="217"/>
      <c r="F243" s="191"/>
      <c r="G243" s="217"/>
      <c r="H243" s="217"/>
      <c r="I243" s="217"/>
      <c r="J243" s="217"/>
      <c r="K243" s="217"/>
      <c r="L243" s="217"/>
      <c r="M243" s="217"/>
      <c r="N243" s="217"/>
      <c r="O243" s="217"/>
      <c r="P243" s="243">
        <v>4233</v>
      </c>
      <c r="Q243" s="274">
        <f t="shared" ref="Q243:Q250" si="5">P243/$P$252</f>
        <v>0.99506346967559944</v>
      </c>
      <c r="R243" s="251">
        <v>558292</v>
      </c>
      <c r="S243" s="274">
        <f t="shared" ref="S243:S250" si="6">R243/$R$252</f>
        <v>0.99246088673908905</v>
      </c>
      <c r="T243" s="213"/>
      <c r="U243" s="216"/>
      <c r="V243" s="5"/>
    </row>
    <row r="244" spans="1:23" ht="15.6" x14ac:dyDescent="0.3">
      <c r="A244" s="284"/>
      <c r="B244" s="338" t="s">
        <v>92</v>
      </c>
      <c r="C244" s="382"/>
      <c r="D244" s="382"/>
      <c r="E244" s="382"/>
      <c r="F244" s="311"/>
      <c r="G244" s="383"/>
      <c r="H244" s="382"/>
      <c r="I244" s="382"/>
      <c r="J244" s="382"/>
      <c r="K244" s="382"/>
      <c r="L244" s="382"/>
      <c r="M244" s="382"/>
      <c r="N244" s="382"/>
      <c r="O244" s="382"/>
      <c r="P244" s="338">
        <v>16</v>
      </c>
      <c r="Q244" s="384">
        <f t="shared" si="5"/>
        <v>3.7611659614480487E-3</v>
      </c>
      <c r="R244" s="339">
        <v>3348</v>
      </c>
      <c r="S244" s="384">
        <f t="shared" si="6"/>
        <v>5.9516508364842596E-3</v>
      </c>
      <c r="T244" s="366"/>
      <c r="U244" s="370"/>
      <c r="V244" s="5"/>
      <c r="W244" s="109"/>
    </row>
    <row r="245" spans="1:23" ht="15.6" x14ac:dyDescent="0.3">
      <c r="A245" s="284"/>
      <c r="B245" s="338" t="s">
        <v>93</v>
      </c>
      <c r="C245" s="382"/>
      <c r="D245" s="382"/>
      <c r="E245" s="382"/>
      <c r="F245" s="311"/>
      <c r="G245" s="383"/>
      <c r="H245" s="382"/>
      <c r="I245" s="382"/>
      <c r="J245" s="382"/>
      <c r="K245" s="382"/>
      <c r="L245" s="382"/>
      <c r="M245" s="382"/>
      <c r="N245" s="382"/>
      <c r="O245" s="382"/>
      <c r="P245" s="338">
        <v>4</v>
      </c>
      <c r="Q245" s="384">
        <f t="shared" si="5"/>
        <v>9.4029149036201217E-4</v>
      </c>
      <c r="R245" s="339">
        <v>594</v>
      </c>
      <c r="S245" s="384">
        <f t="shared" si="6"/>
        <v>1.0559380516343042E-3</v>
      </c>
      <c r="T245" s="366"/>
      <c r="U245" s="370"/>
      <c r="V245" s="5"/>
    </row>
    <row r="246" spans="1:23" ht="15.6" x14ac:dyDescent="0.3">
      <c r="A246" s="284"/>
      <c r="B246" s="338" t="s">
        <v>163</v>
      </c>
      <c r="C246" s="382"/>
      <c r="D246" s="382"/>
      <c r="E246" s="382"/>
      <c r="F246" s="311"/>
      <c r="G246" s="383"/>
      <c r="H246" s="382"/>
      <c r="I246" s="382"/>
      <c r="J246" s="382"/>
      <c r="K246" s="382"/>
      <c r="L246" s="382"/>
      <c r="M246" s="382"/>
      <c r="N246" s="382"/>
      <c r="O246" s="382"/>
      <c r="P246" s="338">
        <v>0</v>
      </c>
      <c r="Q246" s="384">
        <f t="shared" si="5"/>
        <v>0</v>
      </c>
      <c r="R246" s="339">
        <v>0</v>
      </c>
      <c r="S246" s="384">
        <f t="shared" si="6"/>
        <v>0</v>
      </c>
      <c r="T246" s="366"/>
      <c r="U246" s="370"/>
      <c r="V246" s="5"/>
      <c r="W246" s="109"/>
    </row>
    <row r="247" spans="1:23" ht="15.6" x14ac:dyDescent="0.3">
      <c r="A247" s="284"/>
      <c r="B247" s="338" t="s">
        <v>164</v>
      </c>
      <c r="C247" s="382"/>
      <c r="D247" s="382"/>
      <c r="E247" s="382"/>
      <c r="F247" s="311"/>
      <c r="G247" s="383"/>
      <c r="H247" s="382"/>
      <c r="I247" s="382"/>
      <c r="J247" s="382"/>
      <c r="K247" s="382"/>
      <c r="L247" s="382"/>
      <c r="M247" s="382"/>
      <c r="N247" s="382"/>
      <c r="O247" s="382"/>
      <c r="P247" s="338">
        <v>0</v>
      </c>
      <c r="Q247" s="384">
        <f t="shared" si="5"/>
        <v>0</v>
      </c>
      <c r="R247" s="339">
        <v>0</v>
      </c>
      <c r="S247" s="384">
        <f t="shared" si="6"/>
        <v>0</v>
      </c>
      <c r="T247" s="366"/>
      <c r="U247" s="370"/>
      <c r="V247" s="5"/>
    </row>
    <row r="248" spans="1:23" ht="15.6" x14ac:dyDescent="0.3">
      <c r="A248" s="284"/>
      <c r="B248" s="338" t="s">
        <v>165</v>
      </c>
      <c r="C248" s="382"/>
      <c r="D248" s="382"/>
      <c r="E248" s="382"/>
      <c r="F248" s="311"/>
      <c r="G248" s="383"/>
      <c r="H248" s="382"/>
      <c r="I248" s="382"/>
      <c r="J248" s="382"/>
      <c r="K248" s="382"/>
      <c r="L248" s="382"/>
      <c r="M248" s="382"/>
      <c r="N248" s="382"/>
      <c r="O248" s="382"/>
      <c r="P248" s="338">
        <v>0</v>
      </c>
      <c r="Q248" s="384">
        <f t="shared" si="5"/>
        <v>0</v>
      </c>
      <c r="R248" s="339">
        <v>0</v>
      </c>
      <c r="S248" s="384">
        <f t="shared" si="6"/>
        <v>0</v>
      </c>
      <c r="T248" s="366"/>
      <c r="U248" s="370"/>
      <c r="V248" s="5"/>
      <c r="W248" s="109"/>
    </row>
    <row r="249" spans="1:23" ht="15.6" x14ac:dyDescent="0.3">
      <c r="A249" s="284"/>
      <c r="B249" s="338" t="s">
        <v>166</v>
      </c>
      <c r="C249" s="382"/>
      <c r="D249" s="382"/>
      <c r="E249" s="382"/>
      <c r="F249" s="311"/>
      <c r="G249" s="383"/>
      <c r="H249" s="382"/>
      <c r="I249" s="382"/>
      <c r="J249" s="382"/>
      <c r="K249" s="382"/>
      <c r="L249" s="382"/>
      <c r="M249" s="382"/>
      <c r="N249" s="382"/>
      <c r="O249" s="382"/>
      <c r="P249" s="338">
        <v>1</v>
      </c>
      <c r="Q249" s="384">
        <f t="shared" si="5"/>
        <v>2.3507287259050304E-4</v>
      </c>
      <c r="R249" s="339">
        <v>299</v>
      </c>
      <c r="S249" s="384">
        <f t="shared" si="6"/>
        <v>5.3152437279235169E-4</v>
      </c>
      <c r="T249" s="366"/>
      <c r="U249" s="370"/>
      <c r="V249" s="5"/>
    </row>
    <row r="250" spans="1:23" ht="15.6" x14ac:dyDescent="0.3">
      <c r="A250" s="284"/>
      <c r="B250" s="338" t="s">
        <v>167</v>
      </c>
      <c r="C250" s="382"/>
      <c r="D250" s="382"/>
      <c r="E250" s="382"/>
      <c r="F250" s="311"/>
      <c r="G250" s="383"/>
      <c r="H250" s="382"/>
      <c r="I250" s="382"/>
      <c r="J250" s="382"/>
      <c r="K250" s="382"/>
      <c r="L250" s="382"/>
      <c r="M250" s="382"/>
      <c r="N250" s="382"/>
      <c r="O250" s="382"/>
      <c r="P250" s="338">
        <v>0</v>
      </c>
      <c r="Q250" s="384">
        <f t="shared" si="5"/>
        <v>0</v>
      </c>
      <c r="R250" s="339">
        <v>0</v>
      </c>
      <c r="S250" s="384">
        <f t="shared" si="6"/>
        <v>0</v>
      </c>
      <c r="T250" s="366"/>
      <c r="U250" s="370"/>
      <c r="V250" s="5"/>
      <c r="W250" s="109"/>
    </row>
    <row r="251" spans="1:23" ht="15.6" x14ac:dyDescent="0.3">
      <c r="A251" s="284"/>
      <c r="B251" s="338"/>
      <c r="C251" s="382"/>
      <c r="D251" s="382"/>
      <c r="E251" s="382"/>
      <c r="F251" s="311"/>
      <c r="G251" s="383"/>
      <c r="H251" s="382"/>
      <c r="I251" s="382"/>
      <c r="J251" s="382"/>
      <c r="K251" s="382"/>
      <c r="L251" s="382"/>
      <c r="M251" s="382"/>
      <c r="N251" s="382"/>
      <c r="O251" s="382"/>
      <c r="P251" s="338"/>
      <c r="Q251" s="384"/>
      <c r="R251" s="339"/>
      <c r="S251" s="384"/>
      <c r="T251" s="366"/>
      <c r="U251" s="370"/>
      <c r="V251" s="5"/>
    </row>
    <row r="252" spans="1:23" ht="15.6" x14ac:dyDescent="0.3">
      <c r="A252" s="284"/>
      <c r="B252" s="285" t="s">
        <v>120</v>
      </c>
      <c r="C252" s="311"/>
      <c r="D252" s="311"/>
      <c r="E252" s="311"/>
      <c r="F252" s="311"/>
      <c r="G252" s="311"/>
      <c r="H252" s="385"/>
      <c r="I252" s="385"/>
      <c r="J252" s="385"/>
      <c r="K252" s="385"/>
      <c r="L252" s="385"/>
      <c r="M252" s="385"/>
      <c r="N252" s="385"/>
      <c r="O252" s="385"/>
      <c r="P252" s="338">
        <f>SUM(P243:P251)</f>
        <v>4254</v>
      </c>
      <c r="Q252" s="384">
        <f>SUM(Q243:Q251)</f>
        <v>1</v>
      </c>
      <c r="R252" s="339">
        <f>SUM(R243:R251)</f>
        <v>562533</v>
      </c>
      <c r="S252" s="384">
        <f>SUM(S243:S251)</f>
        <v>1</v>
      </c>
      <c r="T252" s="311"/>
      <c r="U252" s="317"/>
      <c r="V252" s="5"/>
    </row>
    <row r="253" spans="1:23" ht="15.6" x14ac:dyDescent="0.3">
      <c r="A253" s="175"/>
      <c r="B253" s="334"/>
      <c r="C253" s="334"/>
      <c r="D253" s="334"/>
      <c r="E253" s="334"/>
      <c r="F253" s="334"/>
      <c r="G253" s="334"/>
      <c r="H253" s="379"/>
      <c r="I253" s="379"/>
      <c r="J253" s="379"/>
      <c r="K253" s="379"/>
      <c r="L253" s="379"/>
      <c r="M253" s="379"/>
      <c r="N253" s="379"/>
      <c r="O253" s="379"/>
      <c r="P253" s="335"/>
      <c r="Q253" s="380"/>
      <c r="R253" s="381"/>
      <c r="S253" s="380"/>
      <c r="T253" s="334"/>
      <c r="U253" s="334"/>
      <c r="V253" s="5"/>
    </row>
    <row r="254" spans="1:23" ht="15.6" x14ac:dyDescent="0.3">
      <c r="A254" s="268"/>
      <c r="B254" s="252" t="s">
        <v>267</v>
      </c>
      <c r="C254" s="253"/>
      <c r="D254" s="253"/>
      <c r="E254" s="253"/>
      <c r="F254" s="267"/>
      <c r="G254" s="253"/>
      <c r="H254" s="253"/>
      <c r="I254" s="253"/>
      <c r="J254" s="253"/>
      <c r="K254" s="253"/>
      <c r="L254" s="253"/>
      <c r="M254" s="253"/>
      <c r="N254" s="253"/>
      <c r="O254" s="253"/>
      <c r="P254" s="267" t="s">
        <v>105</v>
      </c>
      <c r="Q254" s="253" t="s">
        <v>106</v>
      </c>
      <c r="R254" s="267" t="s">
        <v>114</v>
      </c>
      <c r="S254" s="253" t="s">
        <v>106</v>
      </c>
      <c r="T254" s="269"/>
      <c r="U254" s="270"/>
      <c r="V254" s="5"/>
    </row>
    <row r="255" spans="1:23" ht="15.6" x14ac:dyDescent="0.3">
      <c r="A255" s="190"/>
      <c r="B255" s="243" t="s">
        <v>91</v>
      </c>
      <c r="C255" s="217"/>
      <c r="D255" s="217"/>
      <c r="E255" s="217"/>
      <c r="F255" s="191"/>
      <c r="G255" s="217"/>
      <c r="H255" s="217"/>
      <c r="I255" s="217"/>
      <c r="J255" s="217"/>
      <c r="K255" s="217"/>
      <c r="L255" s="217"/>
      <c r="M255" s="217"/>
      <c r="N255" s="217"/>
      <c r="O255" s="217"/>
      <c r="P255" s="243">
        <v>81</v>
      </c>
      <c r="Q255" s="274">
        <f t="shared" ref="Q255:Q262" si="7">P255/$P$264</f>
        <v>0.66393442622950816</v>
      </c>
      <c r="R255" s="251">
        <v>11363</v>
      </c>
      <c r="S255" s="274">
        <f t="shared" ref="S255:S262" si="8">R255/$R$264</f>
        <v>0.60647950469684031</v>
      </c>
      <c r="T255" s="191"/>
      <c r="U255" s="191"/>
      <c r="V255" s="5"/>
    </row>
    <row r="256" spans="1:23" ht="15.6" x14ac:dyDescent="0.3">
      <c r="A256" s="284"/>
      <c r="B256" s="338" t="s">
        <v>92</v>
      </c>
      <c r="C256" s="382"/>
      <c r="D256" s="382"/>
      <c r="E256" s="382"/>
      <c r="F256" s="311"/>
      <c r="G256" s="383"/>
      <c r="H256" s="382"/>
      <c r="I256" s="382"/>
      <c r="J256" s="382"/>
      <c r="K256" s="382"/>
      <c r="L256" s="382"/>
      <c r="M256" s="382"/>
      <c r="N256" s="382"/>
      <c r="O256" s="382"/>
      <c r="P256" s="338">
        <v>5</v>
      </c>
      <c r="Q256" s="384">
        <f t="shared" si="7"/>
        <v>4.0983606557377046E-2</v>
      </c>
      <c r="R256" s="339">
        <v>961</v>
      </c>
      <c r="S256" s="384">
        <f t="shared" si="8"/>
        <v>5.1291631084543127E-2</v>
      </c>
      <c r="T256" s="311"/>
      <c r="U256" s="317"/>
      <c r="V256" s="5"/>
    </row>
    <row r="257" spans="1:22" ht="15.6" x14ac:dyDescent="0.3">
      <c r="A257" s="284"/>
      <c r="B257" s="338" t="s">
        <v>93</v>
      </c>
      <c r="C257" s="382"/>
      <c r="D257" s="382"/>
      <c r="E257" s="382"/>
      <c r="F257" s="311"/>
      <c r="G257" s="383"/>
      <c r="H257" s="382"/>
      <c r="I257" s="382"/>
      <c r="J257" s="382"/>
      <c r="K257" s="382"/>
      <c r="L257" s="382"/>
      <c r="M257" s="382"/>
      <c r="N257" s="382"/>
      <c r="O257" s="382"/>
      <c r="P257" s="338">
        <v>6</v>
      </c>
      <c r="Q257" s="384">
        <f t="shared" si="7"/>
        <v>4.9180327868852458E-2</v>
      </c>
      <c r="R257" s="339">
        <v>1079</v>
      </c>
      <c r="S257" s="384">
        <f t="shared" si="8"/>
        <v>5.7589666951323656E-2</v>
      </c>
      <c r="T257" s="311"/>
      <c r="U257" s="317"/>
      <c r="V257" s="5"/>
    </row>
    <row r="258" spans="1:22" ht="15.6" x14ac:dyDescent="0.3">
      <c r="A258" s="284"/>
      <c r="B258" s="338" t="s">
        <v>163</v>
      </c>
      <c r="C258" s="382"/>
      <c r="D258" s="382"/>
      <c r="E258" s="382"/>
      <c r="F258" s="311"/>
      <c r="G258" s="383"/>
      <c r="H258" s="382"/>
      <c r="I258" s="382"/>
      <c r="J258" s="382"/>
      <c r="K258" s="382"/>
      <c r="L258" s="382"/>
      <c r="M258" s="382"/>
      <c r="N258" s="382"/>
      <c r="O258" s="382"/>
      <c r="P258" s="338">
        <v>3</v>
      </c>
      <c r="Q258" s="384">
        <f t="shared" si="7"/>
        <v>2.4590163934426229E-2</v>
      </c>
      <c r="R258" s="339">
        <v>586</v>
      </c>
      <c r="S258" s="384">
        <f t="shared" si="8"/>
        <v>3.1276686592655853E-2</v>
      </c>
      <c r="T258" s="311"/>
      <c r="U258" s="317"/>
      <c r="V258" s="5"/>
    </row>
    <row r="259" spans="1:22" ht="15.6" x14ac:dyDescent="0.3">
      <c r="A259" s="284"/>
      <c r="B259" s="338" t="s">
        <v>164</v>
      </c>
      <c r="C259" s="382"/>
      <c r="D259" s="382"/>
      <c r="E259" s="382"/>
      <c r="F259" s="311"/>
      <c r="G259" s="383"/>
      <c r="H259" s="382"/>
      <c r="I259" s="382"/>
      <c r="J259" s="382"/>
      <c r="K259" s="382"/>
      <c r="L259" s="382"/>
      <c r="M259" s="382"/>
      <c r="N259" s="382"/>
      <c r="O259" s="382"/>
      <c r="P259" s="338">
        <v>4</v>
      </c>
      <c r="Q259" s="384">
        <f t="shared" si="7"/>
        <v>3.2786885245901641E-2</v>
      </c>
      <c r="R259" s="339">
        <v>714</v>
      </c>
      <c r="S259" s="384">
        <f t="shared" si="8"/>
        <v>3.8108454312553372E-2</v>
      </c>
      <c r="T259" s="311"/>
      <c r="U259" s="317"/>
      <c r="V259" s="5"/>
    </row>
    <row r="260" spans="1:22" ht="15.6" x14ac:dyDescent="0.3">
      <c r="A260" s="284"/>
      <c r="B260" s="338" t="s">
        <v>165</v>
      </c>
      <c r="C260" s="382"/>
      <c r="D260" s="382"/>
      <c r="E260" s="382"/>
      <c r="F260" s="311"/>
      <c r="G260" s="383"/>
      <c r="H260" s="382"/>
      <c r="I260" s="382"/>
      <c r="J260" s="382"/>
      <c r="K260" s="382"/>
      <c r="L260" s="382"/>
      <c r="M260" s="382"/>
      <c r="N260" s="382"/>
      <c r="O260" s="382"/>
      <c r="P260" s="338">
        <v>2</v>
      </c>
      <c r="Q260" s="384">
        <f t="shared" si="7"/>
        <v>1.6393442622950821E-2</v>
      </c>
      <c r="R260" s="339">
        <v>411</v>
      </c>
      <c r="S260" s="384">
        <f t="shared" si="8"/>
        <v>2.1936379163108453E-2</v>
      </c>
      <c r="T260" s="311"/>
      <c r="U260" s="317"/>
      <c r="V260" s="5"/>
    </row>
    <row r="261" spans="1:22" ht="15.6" x14ac:dyDescent="0.3">
      <c r="A261" s="284"/>
      <c r="B261" s="338" t="s">
        <v>166</v>
      </c>
      <c r="C261" s="382"/>
      <c r="D261" s="382"/>
      <c r="E261" s="382"/>
      <c r="F261" s="311"/>
      <c r="G261" s="383"/>
      <c r="H261" s="382"/>
      <c r="I261" s="382"/>
      <c r="J261" s="382"/>
      <c r="K261" s="382"/>
      <c r="L261" s="382"/>
      <c r="M261" s="382"/>
      <c r="N261" s="382"/>
      <c r="O261" s="382"/>
      <c r="P261" s="338">
        <v>7</v>
      </c>
      <c r="Q261" s="384">
        <f t="shared" si="7"/>
        <v>5.737704918032787E-2</v>
      </c>
      <c r="R261" s="339">
        <v>1379</v>
      </c>
      <c r="S261" s="384">
        <f t="shared" si="8"/>
        <v>7.3601622544833475E-2</v>
      </c>
      <c r="T261" s="311"/>
      <c r="U261" s="317"/>
      <c r="V261" s="5"/>
    </row>
    <row r="262" spans="1:22" ht="15.6" x14ac:dyDescent="0.3">
      <c r="A262" s="284"/>
      <c r="B262" s="338" t="s">
        <v>167</v>
      </c>
      <c r="C262" s="382"/>
      <c r="D262" s="382"/>
      <c r="E262" s="382"/>
      <c r="F262" s="311"/>
      <c r="G262" s="383"/>
      <c r="H262" s="382"/>
      <c r="I262" s="382"/>
      <c r="J262" s="382"/>
      <c r="K262" s="382"/>
      <c r="L262" s="382"/>
      <c r="M262" s="382"/>
      <c r="N262" s="382"/>
      <c r="O262" s="382"/>
      <c r="P262" s="338">
        <v>14</v>
      </c>
      <c r="Q262" s="384">
        <f t="shared" si="7"/>
        <v>0.11475409836065574</v>
      </c>
      <c r="R262" s="339">
        <v>2243</v>
      </c>
      <c r="S262" s="384">
        <f t="shared" si="8"/>
        <v>0.11971605465414176</v>
      </c>
      <c r="T262" s="311"/>
      <c r="U262" s="317"/>
      <c r="V262" s="5"/>
    </row>
    <row r="263" spans="1:22" ht="15.6" x14ac:dyDescent="0.3">
      <c r="A263" s="284"/>
      <c r="B263" s="338"/>
      <c r="C263" s="382"/>
      <c r="D263" s="382"/>
      <c r="E263" s="382"/>
      <c r="F263" s="311"/>
      <c r="G263" s="383"/>
      <c r="H263" s="382"/>
      <c r="I263" s="382"/>
      <c r="J263" s="382"/>
      <c r="K263" s="382"/>
      <c r="L263" s="382"/>
      <c r="M263" s="382"/>
      <c r="N263" s="382"/>
      <c r="O263" s="382"/>
      <c r="P263" s="338"/>
      <c r="Q263" s="384"/>
      <c r="R263" s="339"/>
      <c r="S263" s="384"/>
      <c r="T263" s="311"/>
      <c r="U263" s="317"/>
      <c r="V263" s="5"/>
    </row>
    <row r="264" spans="1:22" ht="15.6" x14ac:dyDescent="0.3">
      <c r="A264" s="284"/>
      <c r="B264" s="285" t="s">
        <v>120</v>
      </c>
      <c r="C264" s="311"/>
      <c r="D264" s="311"/>
      <c r="E264" s="311"/>
      <c r="F264" s="311"/>
      <c r="G264" s="311"/>
      <c r="H264" s="385"/>
      <c r="I264" s="385"/>
      <c r="J264" s="385"/>
      <c r="K264" s="385"/>
      <c r="L264" s="385"/>
      <c r="M264" s="385"/>
      <c r="N264" s="385"/>
      <c r="O264" s="385"/>
      <c r="P264" s="338">
        <f>SUM(P255:P263)</f>
        <v>122</v>
      </c>
      <c r="Q264" s="384">
        <f>SUM(Q255:Q263)</f>
        <v>1</v>
      </c>
      <c r="R264" s="339">
        <f>SUM(R255:R263)</f>
        <v>18736</v>
      </c>
      <c r="S264" s="384">
        <f>SUM(S255:S263)</f>
        <v>1</v>
      </c>
      <c r="T264" s="311"/>
      <c r="U264" s="317"/>
      <c r="V264" s="5"/>
    </row>
    <row r="265" spans="1:22" ht="15.6" x14ac:dyDescent="0.3">
      <c r="A265" s="175"/>
      <c r="B265" s="334"/>
      <c r="C265" s="334"/>
      <c r="D265" s="334"/>
      <c r="E265" s="334"/>
      <c r="F265" s="334"/>
      <c r="G265" s="334"/>
      <c r="H265" s="379"/>
      <c r="I265" s="379"/>
      <c r="J265" s="379"/>
      <c r="K265" s="379"/>
      <c r="L265" s="379"/>
      <c r="M265" s="379"/>
      <c r="N265" s="379"/>
      <c r="O265" s="379"/>
      <c r="P265" s="335"/>
      <c r="Q265" s="380"/>
      <c r="R265" s="381"/>
      <c r="S265" s="380"/>
      <c r="T265" s="334"/>
      <c r="U265" s="334"/>
      <c r="V265" s="5"/>
    </row>
    <row r="266" spans="1:22" ht="15.6" x14ac:dyDescent="0.3">
      <c r="A266" s="268"/>
      <c r="B266" s="252" t="s">
        <v>170</v>
      </c>
      <c r="C266" s="269"/>
      <c r="D266" s="269"/>
      <c r="E266" s="269"/>
      <c r="F266" s="269"/>
      <c r="G266" s="269"/>
      <c r="H266" s="271"/>
      <c r="I266" s="271"/>
      <c r="J266" s="271"/>
      <c r="K266" s="271"/>
      <c r="L266" s="271"/>
      <c r="M266" s="271"/>
      <c r="N266" s="271"/>
      <c r="O266" s="271"/>
      <c r="P266" s="267" t="s">
        <v>105</v>
      </c>
      <c r="Q266" s="253" t="s">
        <v>106</v>
      </c>
      <c r="R266" s="267" t="s">
        <v>114</v>
      </c>
      <c r="S266" s="253" t="s">
        <v>106</v>
      </c>
      <c r="T266" s="269"/>
      <c r="U266" s="270"/>
      <c r="V266" s="5"/>
    </row>
    <row r="267" spans="1:22" ht="15.6" x14ac:dyDescent="0.3">
      <c r="A267" s="190"/>
      <c r="B267" s="243" t="s">
        <v>91</v>
      </c>
      <c r="C267" s="239"/>
      <c r="D267" s="239"/>
      <c r="E267" s="239"/>
      <c r="F267" s="239"/>
      <c r="G267" s="239"/>
      <c r="H267" s="275"/>
      <c r="I267" s="275"/>
      <c r="J267" s="275"/>
      <c r="K267" s="275"/>
      <c r="L267" s="218"/>
      <c r="M267" s="218"/>
      <c r="N267" s="218"/>
      <c r="O267" s="218"/>
      <c r="P267" s="243">
        <v>0</v>
      </c>
      <c r="Q267" s="274">
        <v>0</v>
      </c>
      <c r="R267" s="251">
        <v>0</v>
      </c>
      <c r="S267" s="274">
        <v>0</v>
      </c>
      <c r="T267" s="239"/>
      <c r="U267" s="191"/>
      <c r="V267" s="5"/>
    </row>
    <row r="268" spans="1:22" ht="15.6" x14ac:dyDescent="0.3">
      <c r="A268" s="284"/>
      <c r="B268" s="338" t="s">
        <v>92</v>
      </c>
      <c r="C268" s="285"/>
      <c r="D268" s="285"/>
      <c r="E268" s="285"/>
      <c r="F268" s="285"/>
      <c r="G268" s="285"/>
      <c r="H268" s="387"/>
      <c r="I268" s="387"/>
      <c r="J268" s="387"/>
      <c r="K268" s="387"/>
      <c r="L268" s="385"/>
      <c r="M268" s="385"/>
      <c r="N268" s="385"/>
      <c r="O268" s="385"/>
      <c r="P268" s="338">
        <v>0</v>
      </c>
      <c r="Q268" s="384">
        <v>0</v>
      </c>
      <c r="R268" s="339">
        <v>0</v>
      </c>
      <c r="S268" s="384">
        <v>0</v>
      </c>
      <c r="T268" s="285"/>
      <c r="U268" s="317"/>
      <c r="V268" s="5"/>
    </row>
    <row r="269" spans="1:22" ht="15.6" x14ac:dyDescent="0.3">
      <c r="A269" s="284"/>
      <c r="B269" s="338" t="s">
        <v>93</v>
      </c>
      <c r="C269" s="285"/>
      <c r="D269" s="285"/>
      <c r="E269" s="285"/>
      <c r="F269" s="285"/>
      <c r="G269" s="285"/>
      <c r="H269" s="387"/>
      <c r="I269" s="387"/>
      <c r="J269" s="387"/>
      <c r="K269" s="387"/>
      <c r="L269" s="385"/>
      <c r="M269" s="385"/>
      <c r="N269" s="385"/>
      <c r="O269" s="385"/>
      <c r="P269" s="338">
        <v>0</v>
      </c>
      <c r="Q269" s="384">
        <v>0</v>
      </c>
      <c r="R269" s="339">
        <v>0</v>
      </c>
      <c r="S269" s="384">
        <v>0</v>
      </c>
      <c r="T269" s="285"/>
      <c r="U269" s="317"/>
      <c r="V269" s="5"/>
    </row>
    <row r="270" spans="1:22" ht="15.6" x14ac:dyDescent="0.3">
      <c r="A270" s="284"/>
      <c r="B270" s="338" t="s">
        <v>163</v>
      </c>
      <c r="C270" s="285"/>
      <c r="D270" s="285"/>
      <c r="E270" s="285"/>
      <c r="F270" s="285"/>
      <c r="G270" s="285"/>
      <c r="H270" s="387"/>
      <c r="I270" s="387"/>
      <c r="J270" s="387"/>
      <c r="K270" s="387"/>
      <c r="L270" s="385"/>
      <c r="M270" s="385"/>
      <c r="N270" s="385"/>
      <c r="O270" s="385"/>
      <c r="P270" s="338">
        <v>0</v>
      </c>
      <c r="Q270" s="384">
        <v>0</v>
      </c>
      <c r="R270" s="339">
        <v>0</v>
      </c>
      <c r="S270" s="384">
        <v>0</v>
      </c>
      <c r="T270" s="285"/>
      <c r="U270" s="317"/>
      <c r="V270" s="5"/>
    </row>
    <row r="271" spans="1:22" ht="15.6" x14ac:dyDescent="0.3">
      <c r="A271" s="284"/>
      <c r="B271" s="338" t="s">
        <v>164</v>
      </c>
      <c r="C271" s="285"/>
      <c r="D271" s="285"/>
      <c r="E271" s="285"/>
      <c r="F271" s="285"/>
      <c r="G271" s="285"/>
      <c r="H271" s="387"/>
      <c r="I271" s="387"/>
      <c r="J271" s="387"/>
      <c r="K271" s="387"/>
      <c r="L271" s="385"/>
      <c r="M271" s="385"/>
      <c r="N271" s="385"/>
      <c r="O271" s="385"/>
      <c r="P271" s="338">
        <v>0</v>
      </c>
      <c r="Q271" s="384">
        <v>0</v>
      </c>
      <c r="R271" s="339">
        <v>0</v>
      </c>
      <c r="S271" s="384">
        <v>0</v>
      </c>
      <c r="T271" s="285"/>
      <c r="U271" s="317"/>
      <c r="V271" s="5"/>
    </row>
    <row r="272" spans="1:22" ht="15.6" x14ac:dyDescent="0.3">
      <c r="A272" s="284"/>
      <c r="B272" s="338" t="s">
        <v>165</v>
      </c>
      <c r="C272" s="285"/>
      <c r="D272" s="285"/>
      <c r="E272" s="285"/>
      <c r="F272" s="285"/>
      <c r="G272" s="285"/>
      <c r="H272" s="387"/>
      <c r="I272" s="387"/>
      <c r="J272" s="387"/>
      <c r="K272" s="387"/>
      <c r="L272" s="385"/>
      <c r="M272" s="385"/>
      <c r="N272" s="385"/>
      <c r="O272" s="385"/>
      <c r="P272" s="338">
        <v>0</v>
      </c>
      <c r="Q272" s="384">
        <v>0</v>
      </c>
      <c r="R272" s="339">
        <v>0</v>
      </c>
      <c r="S272" s="384">
        <v>0</v>
      </c>
      <c r="T272" s="285"/>
      <c r="U272" s="317"/>
      <c r="V272" s="5"/>
    </row>
    <row r="273" spans="1:22" ht="15.6" x14ac:dyDescent="0.3">
      <c r="A273" s="284"/>
      <c r="B273" s="338" t="s">
        <v>166</v>
      </c>
      <c r="C273" s="285"/>
      <c r="D273" s="285"/>
      <c r="E273" s="285"/>
      <c r="F273" s="285"/>
      <c r="G273" s="285"/>
      <c r="H273" s="387"/>
      <c r="I273" s="387"/>
      <c r="J273" s="387"/>
      <c r="K273" s="387"/>
      <c r="L273" s="385"/>
      <c r="M273" s="385"/>
      <c r="N273" s="385"/>
      <c r="O273" s="385"/>
      <c r="P273" s="338">
        <v>0</v>
      </c>
      <c r="Q273" s="384">
        <v>0</v>
      </c>
      <c r="R273" s="339">
        <v>0</v>
      </c>
      <c r="S273" s="384">
        <v>0</v>
      </c>
      <c r="T273" s="285"/>
      <c r="U273" s="317"/>
      <c r="V273" s="5"/>
    </row>
    <row r="274" spans="1:22" ht="15.6" x14ac:dyDescent="0.3">
      <c r="A274" s="284"/>
      <c r="B274" s="338" t="s">
        <v>167</v>
      </c>
      <c r="C274" s="285"/>
      <c r="D274" s="285"/>
      <c r="E274" s="285"/>
      <c r="F274" s="285"/>
      <c r="G274" s="285"/>
      <c r="H274" s="387"/>
      <c r="I274" s="387"/>
      <c r="J274" s="387"/>
      <c r="K274" s="387"/>
      <c r="L274" s="385"/>
      <c r="M274" s="385"/>
      <c r="N274" s="385"/>
      <c r="O274" s="385"/>
      <c r="P274" s="338">
        <v>0</v>
      </c>
      <c r="Q274" s="384">
        <v>0</v>
      </c>
      <c r="R274" s="339">
        <v>0</v>
      </c>
      <c r="S274" s="384">
        <v>0</v>
      </c>
      <c r="T274" s="285"/>
      <c r="U274" s="317"/>
      <c r="V274" s="5"/>
    </row>
    <row r="275" spans="1:22" ht="15.6" x14ac:dyDescent="0.3">
      <c r="A275" s="284"/>
      <c r="B275" s="338"/>
      <c r="C275" s="285"/>
      <c r="D275" s="285"/>
      <c r="E275" s="285"/>
      <c r="F275" s="285"/>
      <c r="G275" s="285"/>
      <c r="H275" s="387"/>
      <c r="I275" s="387"/>
      <c r="J275" s="387"/>
      <c r="K275" s="387"/>
      <c r="L275" s="385"/>
      <c r="M275" s="385"/>
      <c r="N275" s="385"/>
      <c r="O275" s="385"/>
      <c r="P275" s="338"/>
      <c r="Q275" s="384"/>
      <c r="R275" s="339"/>
      <c r="S275" s="384"/>
      <c r="T275" s="285"/>
      <c r="U275" s="317"/>
      <c r="V275" s="5"/>
    </row>
    <row r="276" spans="1:22" ht="15.6" x14ac:dyDescent="0.3">
      <c r="A276" s="284"/>
      <c r="B276" s="285" t="s">
        <v>120</v>
      </c>
      <c r="C276" s="285"/>
      <c r="D276" s="285"/>
      <c r="E276" s="285"/>
      <c r="F276" s="285"/>
      <c r="G276" s="285"/>
      <c r="H276" s="387"/>
      <c r="I276" s="387"/>
      <c r="J276" s="387"/>
      <c r="K276" s="387"/>
      <c r="L276" s="385"/>
      <c r="M276" s="385"/>
      <c r="N276" s="385"/>
      <c r="O276" s="385"/>
      <c r="P276" s="338">
        <f>SUM(P267:P274)</f>
        <v>0</v>
      </c>
      <c r="Q276" s="384">
        <f>SUM(Q267:Q275)</f>
        <v>0</v>
      </c>
      <c r="R276" s="339">
        <f>SUM(R267:R274)</f>
        <v>0</v>
      </c>
      <c r="S276" s="384">
        <f>SUM(S267:S275)</f>
        <v>0</v>
      </c>
      <c r="T276" s="285"/>
      <c r="U276" s="317"/>
      <c r="V276" s="5"/>
    </row>
    <row r="277" spans="1:22" ht="15.6" x14ac:dyDescent="0.3">
      <c r="A277" s="284"/>
      <c r="B277" s="285"/>
      <c r="C277" s="285"/>
      <c r="D277" s="285"/>
      <c r="E277" s="285"/>
      <c r="F277" s="285"/>
      <c r="G277" s="285"/>
      <c r="H277" s="387"/>
      <c r="I277" s="387"/>
      <c r="J277" s="387"/>
      <c r="K277" s="387"/>
      <c r="L277" s="385"/>
      <c r="M277" s="385"/>
      <c r="N277" s="385"/>
      <c r="O277" s="385"/>
      <c r="P277" s="344"/>
      <c r="Q277" s="388"/>
      <c r="R277" s="345"/>
      <c r="S277" s="388"/>
      <c r="T277" s="311"/>
      <c r="U277" s="317"/>
      <c r="V277" s="5"/>
    </row>
    <row r="278" spans="1:22" ht="15.6" x14ac:dyDescent="0.3">
      <c r="A278" s="284"/>
      <c r="B278" s="294" t="s">
        <v>171</v>
      </c>
      <c r="C278" s="285"/>
      <c r="D278" s="285"/>
      <c r="E278" s="285"/>
      <c r="F278" s="285"/>
      <c r="G278" s="285"/>
      <c r="H278" s="387"/>
      <c r="I278" s="387"/>
      <c r="J278" s="387"/>
      <c r="K278" s="387"/>
      <c r="L278" s="385"/>
      <c r="M278" s="385"/>
      <c r="N278" s="385"/>
      <c r="O278" s="385"/>
      <c r="P278" s="389">
        <f>P276+P264+P252</f>
        <v>4376</v>
      </c>
      <c r="Q278" s="390"/>
      <c r="R278" s="391">
        <f>+R276+R264+R252</f>
        <v>581269</v>
      </c>
      <c r="S278" s="390"/>
      <c r="T278" s="311"/>
      <c r="U278" s="317"/>
      <c r="V278" s="5"/>
    </row>
    <row r="279" spans="1:22" ht="15.6" x14ac:dyDescent="0.3">
      <c r="A279" s="175"/>
      <c r="B279" s="281"/>
      <c r="C279" s="281"/>
      <c r="D279" s="281"/>
      <c r="E279" s="281"/>
      <c r="F279" s="281"/>
      <c r="G279" s="281"/>
      <c r="H279" s="386"/>
      <c r="I279" s="386"/>
      <c r="J279" s="386"/>
      <c r="K279" s="386"/>
      <c r="L279" s="379"/>
      <c r="M279" s="379"/>
      <c r="N279" s="379"/>
      <c r="O279" s="379"/>
      <c r="P279" s="379"/>
      <c r="Q279" s="379"/>
      <c r="R279" s="381"/>
      <c r="S279" s="379"/>
      <c r="T279" s="334"/>
      <c r="U279" s="334"/>
      <c r="V279" s="5"/>
    </row>
    <row r="280" spans="1:22" ht="15.6" x14ac:dyDescent="0.3">
      <c r="A280" s="175"/>
      <c r="B280" s="231"/>
      <c r="C280" s="231"/>
      <c r="D280" s="231"/>
      <c r="E280" s="231"/>
      <c r="F280" s="231"/>
      <c r="G280" s="231"/>
      <c r="H280" s="276"/>
      <c r="I280" s="276"/>
      <c r="J280" s="276"/>
      <c r="K280" s="276"/>
      <c r="L280" s="219"/>
      <c r="M280" s="219"/>
      <c r="N280" s="219"/>
      <c r="O280" s="219"/>
      <c r="P280" s="219"/>
      <c r="Q280" s="219"/>
      <c r="R280" s="220"/>
      <c r="S280" s="219"/>
      <c r="T280" s="177"/>
      <c r="U280" s="177"/>
      <c r="V280" s="5"/>
    </row>
    <row r="281" spans="1:22" ht="15.6" x14ac:dyDescent="0.3">
      <c r="A281" s="221"/>
      <c r="B281" s="230" t="s">
        <v>94</v>
      </c>
      <c r="C281" s="231"/>
      <c r="D281" s="231"/>
      <c r="E281" s="231"/>
      <c r="F281" s="236" t="s">
        <v>100</v>
      </c>
      <c r="G281" s="231"/>
      <c r="H281" s="230" t="s">
        <v>102</v>
      </c>
      <c r="I281" s="277"/>
      <c r="J281" s="277"/>
      <c r="K281" s="277"/>
      <c r="L281" s="188"/>
      <c r="M281" s="188"/>
      <c r="N281" s="188"/>
      <c r="O281" s="188"/>
      <c r="P281" s="188"/>
      <c r="Q281" s="188"/>
      <c r="R281" s="188"/>
      <c r="S281" s="188"/>
      <c r="T281" s="188"/>
      <c r="U281" s="188"/>
      <c r="V281" s="5"/>
    </row>
    <row r="282" spans="1:22" ht="15.6" x14ac:dyDescent="0.3">
      <c r="A282" s="221"/>
      <c r="B282" s="230" t="s">
        <v>95</v>
      </c>
      <c r="C282" s="230"/>
      <c r="D282" s="230"/>
      <c r="E282" s="230"/>
      <c r="F282" s="278" t="s">
        <v>154</v>
      </c>
      <c r="G282" s="230"/>
      <c r="H282" s="230" t="s">
        <v>158</v>
      </c>
      <c r="I282" s="277"/>
      <c r="J282" s="277"/>
      <c r="K282" s="277"/>
      <c r="L282" s="188"/>
      <c r="M282" s="188"/>
      <c r="N282" s="188"/>
      <c r="O282" s="188"/>
      <c r="P282" s="188"/>
      <c r="Q282" s="188"/>
      <c r="R282" s="188"/>
      <c r="S282" s="188"/>
      <c r="T282" s="188"/>
      <c r="U282" s="188"/>
      <c r="V282" s="5"/>
    </row>
    <row r="283" spans="1:22" ht="15.6" x14ac:dyDescent="0.3">
      <c r="A283" s="221"/>
      <c r="B283" s="230" t="s">
        <v>268</v>
      </c>
      <c r="C283" s="230"/>
      <c r="D283" s="230"/>
      <c r="E283" s="230"/>
      <c r="F283" s="278" t="s">
        <v>269</v>
      </c>
      <c r="G283" s="230"/>
      <c r="H283" s="230" t="s">
        <v>270</v>
      </c>
      <c r="I283" s="277"/>
      <c r="J283" s="277"/>
      <c r="K283" s="277"/>
      <c r="L283" s="188"/>
      <c r="M283" s="188"/>
      <c r="N283" s="188"/>
      <c r="O283" s="188"/>
      <c r="P283" s="188"/>
      <c r="Q283" s="188"/>
      <c r="R283" s="188"/>
      <c r="S283" s="188"/>
      <c r="T283" s="188"/>
      <c r="U283" s="188"/>
      <c r="V283" s="5"/>
    </row>
    <row r="284" spans="1:22" ht="15.6" x14ac:dyDescent="0.3">
      <c r="A284" s="221"/>
      <c r="B284" s="230" t="s">
        <v>96</v>
      </c>
      <c r="C284" s="230"/>
      <c r="D284" s="230"/>
      <c r="E284" s="230"/>
      <c r="F284" s="278" t="s">
        <v>153</v>
      </c>
      <c r="G284" s="230"/>
      <c r="H284" s="230" t="s">
        <v>159</v>
      </c>
      <c r="I284" s="277"/>
      <c r="J284" s="277"/>
      <c r="K284" s="277"/>
      <c r="L284" s="188"/>
      <c r="M284" s="188"/>
      <c r="N284" s="188"/>
      <c r="O284" s="188"/>
      <c r="P284" s="188"/>
      <c r="Q284" s="188"/>
      <c r="R284" s="188"/>
      <c r="S284" s="188"/>
      <c r="T284" s="188"/>
      <c r="U284" s="188"/>
      <c r="V284" s="5"/>
    </row>
    <row r="285" spans="1:22" ht="15.6" x14ac:dyDescent="0.3">
      <c r="A285" s="221"/>
      <c r="B285" s="230"/>
      <c r="C285" s="230"/>
      <c r="D285" s="230"/>
      <c r="E285" s="230"/>
      <c r="F285" s="230"/>
      <c r="G285" s="279"/>
      <c r="H285" s="277"/>
      <c r="I285" s="277"/>
      <c r="J285" s="277"/>
      <c r="K285" s="277"/>
      <c r="L285" s="188"/>
      <c r="M285" s="188"/>
      <c r="N285" s="188"/>
      <c r="O285" s="188"/>
      <c r="P285" s="188"/>
      <c r="Q285" s="188"/>
      <c r="R285" s="188"/>
      <c r="S285" s="188"/>
      <c r="T285" s="188"/>
      <c r="U285" s="188"/>
      <c r="V285" s="5"/>
    </row>
    <row r="286" spans="1:22" ht="15.6" x14ac:dyDescent="0.3">
      <c r="A286" s="221"/>
      <c r="B286" s="230"/>
      <c r="C286" s="230"/>
      <c r="D286" s="230"/>
      <c r="E286" s="230"/>
      <c r="F286" s="230"/>
      <c r="G286" s="279"/>
      <c r="H286" s="277"/>
      <c r="I286" s="277"/>
      <c r="J286" s="277"/>
      <c r="K286" s="277"/>
      <c r="L286" s="188"/>
      <c r="M286" s="188"/>
      <c r="N286" s="188"/>
      <c r="O286" s="188"/>
      <c r="P286" s="188"/>
      <c r="Q286" s="188"/>
      <c r="R286" s="188"/>
      <c r="S286" s="188"/>
      <c r="T286" s="188"/>
      <c r="U286" s="188"/>
      <c r="V286" s="5"/>
    </row>
    <row r="287" spans="1:22" ht="18" thickBot="1" x14ac:dyDescent="0.35">
      <c r="A287" s="221"/>
      <c r="B287" s="280" t="str">
        <f>B192</f>
        <v>PM11 INVESTOR REPORT QUARTER ENDING MARCH 2011</v>
      </c>
      <c r="C287" s="230"/>
      <c r="D287" s="230"/>
      <c r="E287" s="230"/>
      <c r="F287" s="230"/>
      <c r="G287" s="279"/>
      <c r="H287" s="277"/>
      <c r="I287" s="277"/>
      <c r="J287" s="277"/>
      <c r="K287" s="277"/>
      <c r="L287" s="188"/>
      <c r="M287" s="188"/>
      <c r="N287" s="188"/>
      <c r="O287" s="188"/>
      <c r="P287" s="188"/>
      <c r="Q287" s="188"/>
      <c r="R287" s="188"/>
      <c r="S287" s="188"/>
      <c r="T287" s="188"/>
      <c r="U287" s="188"/>
      <c r="V287" s="5"/>
    </row>
    <row r="288" spans="1:22" x14ac:dyDescent="0.25">
      <c r="A288" s="100"/>
      <c r="B288" s="100"/>
      <c r="C288" s="100"/>
      <c r="D288" s="100"/>
      <c r="E288" s="100"/>
      <c r="F288" s="100"/>
      <c r="G288" s="100"/>
      <c r="H288" s="100"/>
      <c r="I288" s="100"/>
      <c r="J288" s="100"/>
      <c r="K288" s="100"/>
      <c r="L288" s="100"/>
      <c r="M288" s="100"/>
      <c r="N288" s="100"/>
      <c r="O288" s="100"/>
      <c r="P288" s="100"/>
      <c r="Q288" s="100"/>
      <c r="R288" s="100"/>
      <c r="S288" s="100"/>
      <c r="T288" s="100"/>
      <c r="U288" s="100"/>
    </row>
  </sheetData>
  <phoneticPr fontId="0" type="noConversion"/>
  <hyperlinks>
    <hyperlink ref="N228" r:id="rId1" xr:uid="{00000000-0004-0000-1300-000000000000}"/>
    <hyperlink ref="J9" r:id="rId2" xr:uid="{00000000-0004-0000-13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4" max="21" man="1"/>
    <brk id="132" max="14" man="1"/>
    <brk id="192" max="14" man="1"/>
  </rowBreak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89CB31"/>
  </sheetPr>
  <dimension ref="A1:X288"/>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08984375" style="1" customWidth="1"/>
    <col min="10" max="10" width="17.81640625" style="1" customWidth="1"/>
    <col min="11" max="11" width="2.1796875" style="1" customWidth="1"/>
    <col min="12" max="12" width="14.81640625" style="1" customWidth="1"/>
    <col min="13" max="13" width="2.1796875" style="1" customWidth="1"/>
    <col min="14" max="14" width="15.54296875" style="1" customWidth="1"/>
    <col min="15" max="15" width="2.08984375" style="1" customWidth="1"/>
    <col min="16" max="16" width="15.54296875" style="1" customWidth="1"/>
    <col min="17" max="18" width="12.81640625" style="1" customWidth="1"/>
    <col min="19" max="19" width="7.81640625" style="1" customWidth="1"/>
    <col min="20" max="20" width="14.81640625" style="1" customWidth="1"/>
    <col min="21" max="21" width="11.81640625" style="1" customWidth="1"/>
    <col min="22" max="16384" width="9.81640625" style="1"/>
  </cols>
  <sheetData>
    <row r="1" spans="1:22" ht="20.399999999999999" x14ac:dyDescent="0.35">
      <c r="A1" s="173"/>
      <c r="B1" s="228" t="s">
        <v>228</v>
      </c>
      <c r="C1" s="174"/>
      <c r="D1" s="174"/>
      <c r="E1" s="174"/>
      <c r="F1" s="174"/>
      <c r="G1" s="174"/>
      <c r="H1" s="174"/>
      <c r="I1" s="174"/>
      <c r="J1" s="174"/>
      <c r="K1" s="174"/>
      <c r="L1" s="174"/>
      <c r="M1" s="174"/>
      <c r="N1" s="174"/>
      <c r="O1" s="174"/>
      <c r="P1" s="174"/>
      <c r="Q1" s="174"/>
      <c r="R1" s="174"/>
      <c r="S1" s="174"/>
      <c r="T1" s="174"/>
      <c r="U1" s="174"/>
      <c r="V1" s="5"/>
    </row>
    <row r="2" spans="1:22" ht="15.6" x14ac:dyDescent="0.3">
      <c r="A2" s="175"/>
      <c r="B2" s="176"/>
      <c r="C2" s="177"/>
      <c r="D2" s="177"/>
      <c r="E2" s="177"/>
      <c r="F2" s="177"/>
      <c r="G2" s="177"/>
      <c r="H2" s="177"/>
      <c r="I2" s="177"/>
      <c r="J2" s="177"/>
      <c r="K2" s="177"/>
      <c r="L2" s="177"/>
      <c r="M2" s="177"/>
      <c r="N2" s="177"/>
      <c r="O2" s="177"/>
      <c r="P2" s="177"/>
      <c r="Q2" s="177"/>
      <c r="R2" s="177"/>
      <c r="S2" s="177"/>
      <c r="T2" s="177"/>
      <c r="U2" s="177"/>
      <c r="V2" s="5"/>
    </row>
    <row r="3" spans="1:22" ht="15.6" x14ac:dyDescent="0.3">
      <c r="A3" s="178"/>
      <c r="B3" s="179" t="s">
        <v>229</v>
      </c>
      <c r="C3" s="177"/>
      <c r="D3" s="177"/>
      <c r="E3" s="177"/>
      <c r="F3" s="177"/>
      <c r="G3" s="177"/>
      <c r="H3" s="177"/>
      <c r="I3" s="177"/>
      <c r="J3" s="177"/>
      <c r="K3" s="177"/>
      <c r="L3" s="177"/>
      <c r="M3" s="177"/>
      <c r="N3" s="177"/>
      <c r="O3" s="177"/>
      <c r="P3" s="177"/>
      <c r="Q3" s="177"/>
      <c r="R3" s="177"/>
      <c r="S3" s="177"/>
      <c r="T3" s="177"/>
      <c r="U3" s="177"/>
      <c r="V3" s="5"/>
    </row>
    <row r="4" spans="1:22" ht="15.6" x14ac:dyDescent="0.3">
      <c r="A4" s="175"/>
      <c r="B4" s="176"/>
      <c r="C4" s="177"/>
      <c r="D4" s="177"/>
      <c r="E4" s="177"/>
      <c r="F4" s="177"/>
      <c r="G4" s="177"/>
      <c r="H4" s="177"/>
      <c r="I4" s="177"/>
      <c r="J4" s="177"/>
      <c r="K4" s="177"/>
      <c r="L4" s="177"/>
      <c r="M4" s="177"/>
      <c r="N4" s="177"/>
      <c r="O4" s="177"/>
      <c r="P4" s="177"/>
      <c r="Q4" s="177"/>
      <c r="R4" s="177"/>
      <c r="S4" s="177"/>
      <c r="T4" s="177"/>
      <c r="U4" s="177"/>
      <c r="V4" s="5"/>
    </row>
    <row r="5" spans="1:22" ht="15.6" x14ac:dyDescent="0.3">
      <c r="A5" s="175"/>
      <c r="B5" s="229" t="s">
        <v>143</v>
      </c>
      <c r="C5" s="177"/>
      <c r="D5" s="177"/>
      <c r="E5" s="177"/>
      <c r="F5" s="177"/>
      <c r="G5" s="177"/>
      <c r="H5" s="177"/>
      <c r="I5" s="177"/>
      <c r="J5" s="177"/>
      <c r="K5" s="177"/>
      <c r="L5" s="177"/>
      <c r="M5" s="177"/>
      <c r="N5" s="177"/>
      <c r="O5" s="177"/>
      <c r="P5" s="177"/>
      <c r="Q5" s="177"/>
      <c r="R5" s="177"/>
      <c r="S5" s="177"/>
      <c r="T5" s="177"/>
      <c r="U5" s="177"/>
      <c r="V5" s="5"/>
    </row>
    <row r="6" spans="1:22" ht="15.6" x14ac:dyDescent="0.3">
      <c r="A6" s="175"/>
      <c r="B6" s="229" t="s">
        <v>145</v>
      </c>
      <c r="C6" s="177"/>
      <c r="D6" s="177"/>
      <c r="E6" s="177"/>
      <c r="F6" s="177"/>
      <c r="G6" s="177"/>
      <c r="H6" s="177"/>
      <c r="I6" s="177"/>
      <c r="J6" s="177"/>
      <c r="K6" s="177"/>
      <c r="L6" s="177"/>
      <c r="M6" s="177"/>
      <c r="N6" s="177"/>
      <c r="O6" s="177"/>
      <c r="P6" s="177"/>
      <c r="Q6" s="177"/>
      <c r="R6" s="177"/>
      <c r="S6" s="177"/>
      <c r="T6" s="177"/>
      <c r="U6" s="177"/>
      <c r="V6" s="5"/>
    </row>
    <row r="7" spans="1:22" ht="15.6" x14ac:dyDescent="0.3">
      <c r="A7" s="175"/>
      <c r="B7" s="229" t="s">
        <v>144</v>
      </c>
      <c r="C7" s="177"/>
      <c r="D7" s="177"/>
      <c r="E7" s="177"/>
      <c r="F7" s="177"/>
      <c r="G7" s="177"/>
      <c r="H7" s="177"/>
      <c r="I7" s="177"/>
      <c r="J7" s="177"/>
      <c r="K7" s="177"/>
      <c r="L7" s="177"/>
      <c r="M7" s="177"/>
      <c r="N7" s="177"/>
      <c r="O7" s="177"/>
      <c r="P7" s="177"/>
      <c r="Q7" s="177"/>
      <c r="R7" s="177"/>
      <c r="S7" s="177"/>
      <c r="T7" s="177"/>
      <c r="U7" s="177"/>
      <c r="V7" s="5"/>
    </row>
    <row r="8" spans="1:22" ht="15.6" x14ac:dyDescent="0.3">
      <c r="A8" s="175"/>
      <c r="B8" s="180"/>
      <c r="C8" s="177"/>
      <c r="D8" s="177"/>
      <c r="E8" s="177"/>
      <c r="F8" s="177"/>
      <c r="G8" s="177"/>
      <c r="H8" s="177"/>
      <c r="I8" s="177"/>
      <c r="J8" s="177"/>
      <c r="K8" s="177"/>
      <c r="L8" s="177"/>
      <c r="M8" s="177"/>
      <c r="N8" s="177"/>
      <c r="O8" s="177"/>
      <c r="P8" s="177"/>
      <c r="Q8" s="177"/>
      <c r="R8" s="177"/>
      <c r="S8" s="177"/>
      <c r="T8" s="177"/>
      <c r="U8" s="177"/>
      <c r="V8" s="5"/>
    </row>
    <row r="9" spans="1:22" ht="17.399999999999999" x14ac:dyDescent="0.3">
      <c r="A9" s="175"/>
      <c r="B9" s="181" t="s">
        <v>173</v>
      </c>
      <c r="C9" s="177"/>
      <c r="D9" s="177"/>
      <c r="E9" s="177"/>
      <c r="F9" s="177"/>
      <c r="G9" s="177"/>
      <c r="H9" s="177"/>
      <c r="I9" s="177"/>
      <c r="J9" s="182" t="s">
        <v>174</v>
      </c>
      <c r="K9" s="177"/>
      <c r="L9" s="182"/>
      <c r="M9" s="177"/>
      <c r="N9" s="177"/>
      <c r="O9" s="177"/>
      <c r="P9" s="177"/>
      <c r="Q9" s="177"/>
      <c r="R9" s="177"/>
      <c r="S9" s="177"/>
      <c r="T9" s="177"/>
      <c r="U9" s="177"/>
      <c r="V9" s="5"/>
    </row>
    <row r="10" spans="1:22" ht="15.6" x14ac:dyDescent="0.3">
      <c r="A10" s="175"/>
      <c r="B10" s="180"/>
      <c r="C10" s="183"/>
      <c r="D10" s="183"/>
      <c r="E10" s="183"/>
      <c r="F10" s="177"/>
      <c r="G10" s="177"/>
      <c r="H10" s="177"/>
      <c r="I10" s="177"/>
      <c r="J10" s="177"/>
      <c r="K10" s="177"/>
      <c r="L10" s="177"/>
      <c r="M10" s="177"/>
      <c r="N10" s="177"/>
      <c r="O10" s="177"/>
      <c r="P10" s="177"/>
      <c r="Q10" s="177"/>
      <c r="R10" s="177"/>
      <c r="S10" s="177"/>
      <c r="T10" s="177"/>
      <c r="U10" s="177"/>
      <c r="V10" s="5"/>
    </row>
    <row r="11" spans="1:22" ht="15.6" x14ac:dyDescent="0.3">
      <c r="A11" s="175"/>
      <c r="B11" s="230" t="s">
        <v>0</v>
      </c>
      <c r="C11" s="177"/>
      <c r="D11" s="177"/>
      <c r="E11" s="177"/>
      <c r="F11" s="177"/>
      <c r="G11" s="177"/>
      <c r="H11" s="177"/>
      <c r="I11" s="177"/>
      <c r="J11" s="177"/>
      <c r="K11" s="177"/>
      <c r="L11" s="177"/>
      <c r="M11" s="177"/>
      <c r="N11" s="177"/>
      <c r="O11" s="177"/>
      <c r="P11" s="177"/>
      <c r="Q11" s="177"/>
      <c r="R11" s="177"/>
      <c r="S11" s="177"/>
      <c r="T11" s="177"/>
      <c r="U11" s="177"/>
      <c r="V11" s="5"/>
    </row>
    <row r="12" spans="1:22" ht="16.2" thickBot="1" x14ac:dyDescent="0.35">
      <c r="A12" s="175"/>
      <c r="B12" s="183"/>
      <c r="C12" s="177"/>
      <c r="D12" s="177"/>
      <c r="E12" s="177"/>
      <c r="F12" s="177"/>
      <c r="G12" s="177"/>
      <c r="H12" s="177"/>
      <c r="I12" s="177"/>
      <c r="J12" s="177"/>
      <c r="K12" s="177"/>
      <c r="L12" s="177"/>
      <c r="M12" s="177"/>
      <c r="N12" s="177"/>
      <c r="O12" s="177"/>
      <c r="P12" s="177"/>
      <c r="Q12" s="177"/>
      <c r="R12" s="177"/>
      <c r="S12" s="177"/>
      <c r="T12" s="177"/>
      <c r="U12" s="177"/>
      <c r="V12" s="5"/>
    </row>
    <row r="13" spans="1:22" ht="15.6" x14ac:dyDescent="0.3">
      <c r="A13" s="173"/>
      <c r="B13" s="174"/>
      <c r="C13" s="174"/>
      <c r="D13" s="174"/>
      <c r="E13" s="174"/>
      <c r="F13" s="174"/>
      <c r="G13" s="174"/>
      <c r="H13" s="174"/>
      <c r="I13" s="174"/>
      <c r="J13" s="174"/>
      <c r="K13" s="174"/>
      <c r="L13" s="174"/>
      <c r="M13" s="174"/>
      <c r="N13" s="174"/>
      <c r="O13" s="174"/>
      <c r="P13" s="174"/>
      <c r="Q13" s="174"/>
      <c r="R13" s="174"/>
      <c r="S13" s="174"/>
      <c r="T13" s="174"/>
      <c r="U13" s="174"/>
      <c r="V13" s="5"/>
    </row>
    <row r="14" spans="1:22" ht="15.6" x14ac:dyDescent="0.3">
      <c r="A14" s="175"/>
      <c r="B14" s="230" t="s">
        <v>1</v>
      </c>
      <c r="C14" s="184"/>
      <c r="D14" s="184"/>
      <c r="E14" s="184"/>
      <c r="F14" s="184"/>
      <c r="G14" s="184"/>
      <c r="H14" s="184"/>
      <c r="I14" s="184"/>
      <c r="J14" s="184"/>
      <c r="K14" s="184"/>
      <c r="L14" s="184"/>
      <c r="M14" s="184"/>
      <c r="N14" s="184"/>
      <c r="O14" s="184"/>
      <c r="P14" s="231"/>
      <c r="Q14" s="231"/>
      <c r="R14" s="231"/>
      <c r="S14" s="231"/>
      <c r="T14" s="233" t="s">
        <v>230</v>
      </c>
      <c r="U14" s="184"/>
      <c r="V14" s="5"/>
    </row>
    <row r="15" spans="1:22" ht="15.6" x14ac:dyDescent="0.3">
      <c r="A15" s="175"/>
      <c r="B15" s="230" t="s">
        <v>2</v>
      </c>
      <c r="C15" s="184"/>
      <c r="D15" s="184"/>
      <c r="E15" s="184"/>
      <c r="F15" s="184"/>
      <c r="G15" s="184"/>
      <c r="H15" s="185"/>
      <c r="I15" s="185"/>
      <c r="J15" s="185"/>
      <c r="K15" s="185"/>
      <c r="L15" s="185"/>
      <c r="M15" s="185"/>
      <c r="N15" s="185"/>
      <c r="O15" s="185"/>
      <c r="P15" s="234" t="s">
        <v>107</v>
      </c>
      <c r="Q15" s="235">
        <v>0.40749999999999997</v>
      </c>
      <c r="R15" s="236" t="s">
        <v>146</v>
      </c>
      <c r="S15" s="235">
        <v>0.59250000000000003</v>
      </c>
      <c r="T15" s="233"/>
      <c r="U15" s="184"/>
      <c r="V15" s="5"/>
    </row>
    <row r="16" spans="1:22" ht="15.6" x14ac:dyDescent="0.3">
      <c r="A16" s="175"/>
      <c r="B16" s="230" t="s">
        <v>3</v>
      </c>
      <c r="C16" s="184"/>
      <c r="D16" s="184"/>
      <c r="E16" s="184"/>
      <c r="F16" s="184"/>
      <c r="G16" s="184"/>
      <c r="H16" s="185"/>
      <c r="I16" s="185"/>
      <c r="J16" s="185"/>
      <c r="K16" s="185"/>
      <c r="L16" s="185"/>
      <c r="M16" s="185"/>
      <c r="N16" s="185"/>
      <c r="O16" s="185"/>
      <c r="P16" s="234" t="s">
        <v>107</v>
      </c>
      <c r="Q16" s="235">
        <v>0.4491</v>
      </c>
      <c r="R16" s="236" t="s">
        <v>146</v>
      </c>
      <c r="S16" s="235">
        <v>0.55089999999999995</v>
      </c>
      <c r="T16" s="233"/>
      <c r="U16" s="184"/>
      <c r="V16" s="5"/>
    </row>
    <row r="17" spans="1:22" ht="15.6" x14ac:dyDescent="0.3">
      <c r="A17" s="175"/>
      <c r="B17" s="230" t="s">
        <v>4</v>
      </c>
      <c r="C17" s="184"/>
      <c r="D17" s="184"/>
      <c r="E17" s="184"/>
      <c r="F17" s="184"/>
      <c r="G17" s="184"/>
      <c r="H17" s="184"/>
      <c r="I17" s="184"/>
      <c r="J17" s="184"/>
      <c r="K17" s="184"/>
      <c r="L17" s="184"/>
      <c r="M17" s="184"/>
      <c r="N17" s="184"/>
      <c r="O17" s="184"/>
      <c r="P17" s="231"/>
      <c r="Q17" s="231"/>
      <c r="R17" s="231"/>
      <c r="S17" s="231"/>
      <c r="T17" s="237">
        <v>38799</v>
      </c>
      <c r="U17" s="184"/>
      <c r="V17" s="5"/>
    </row>
    <row r="18" spans="1:22" ht="15.6" x14ac:dyDescent="0.3">
      <c r="A18" s="175"/>
      <c r="B18" s="230" t="s">
        <v>5</v>
      </c>
      <c r="C18" s="184"/>
      <c r="D18" s="184"/>
      <c r="E18" s="184"/>
      <c r="F18" s="184"/>
      <c r="G18" s="184"/>
      <c r="H18" s="184"/>
      <c r="I18" s="184"/>
      <c r="J18" s="184"/>
      <c r="K18" s="184"/>
      <c r="L18" s="184"/>
      <c r="M18" s="184"/>
      <c r="N18" s="184"/>
      <c r="O18" s="184"/>
      <c r="P18" s="231"/>
      <c r="Q18" s="231"/>
      <c r="R18" s="231"/>
      <c r="S18" s="231"/>
      <c r="T18" s="237">
        <v>40742</v>
      </c>
      <c r="U18" s="184"/>
      <c r="V18" s="5"/>
    </row>
    <row r="19" spans="1:22" ht="15.6" x14ac:dyDescent="0.3">
      <c r="A19" s="175"/>
      <c r="B19" s="177"/>
      <c r="C19" s="177"/>
      <c r="D19" s="177"/>
      <c r="E19" s="177"/>
      <c r="F19" s="177"/>
      <c r="G19" s="177"/>
      <c r="H19" s="177"/>
      <c r="I19" s="177"/>
      <c r="J19" s="177"/>
      <c r="K19" s="177"/>
      <c r="L19" s="177"/>
      <c r="M19" s="177"/>
      <c r="N19" s="177"/>
      <c r="O19" s="177"/>
      <c r="P19" s="177"/>
      <c r="Q19" s="177"/>
      <c r="R19" s="177"/>
      <c r="S19" s="177"/>
      <c r="T19" s="186"/>
      <c r="U19" s="177"/>
      <c r="V19" s="5"/>
    </row>
    <row r="20" spans="1:22" ht="15.6" x14ac:dyDescent="0.3">
      <c r="A20" s="175"/>
      <c r="B20" s="232" t="s">
        <v>6</v>
      </c>
      <c r="C20" s="177"/>
      <c r="D20" s="177"/>
      <c r="E20" s="177"/>
      <c r="F20" s="177"/>
      <c r="G20" s="177"/>
      <c r="H20" s="177"/>
      <c r="I20" s="177"/>
      <c r="J20" s="177"/>
      <c r="K20" s="177"/>
      <c r="L20" s="177"/>
      <c r="M20" s="177"/>
      <c r="N20" s="177"/>
      <c r="O20" s="177"/>
      <c r="P20" s="177"/>
      <c r="Q20" s="177"/>
      <c r="R20" s="238" t="s">
        <v>108</v>
      </c>
      <c r="S20" s="177"/>
      <c r="T20" s="188"/>
      <c r="U20" s="177"/>
      <c r="V20" s="5"/>
    </row>
    <row r="21" spans="1:22" ht="15.6" x14ac:dyDescent="0.3">
      <c r="A21" s="175"/>
      <c r="B21" s="177"/>
      <c r="C21" s="177"/>
      <c r="D21" s="177"/>
      <c r="E21" s="177"/>
      <c r="F21" s="177"/>
      <c r="G21" s="177"/>
      <c r="H21" s="177"/>
      <c r="I21" s="177"/>
      <c r="J21" s="177"/>
      <c r="K21" s="177"/>
      <c r="L21" s="177"/>
      <c r="M21" s="177"/>
      <c r="N21" s="177"/>
      <c r="O21" s="177"/>
      <c r="P21" s="177"/>
      <c r="Q21" s="177"/>
      <c r="R21" s="177"/>
      <c r="S21" s="177"/>
      <c r="T21" s="189"/>
      <c r="U21" s="177"/>
      <c r="V21" s="5"/>
    </row>
    <row r="22" spans="1:22" ht="15.6" x14ac:dyDescent="0.3">
      <c r="A22" s="222"/>
      <c r="B22" s="223"/>
      <c r="C22" s="224"/>
      <c r="D22" s="224" t="s">
        <v>184</v>
      </c>
      <c r="E22" s="224"/>
      <c r="F22" s="224" t="s">
        <v>185</v>
      </c>
      <c r="G22" s="224"/>
      <c r="H22" s="224" t="s">
        <v>186</v>
      </c>
      <c r="I22" s="224"/>
      <c r="J22" s="224" t="s">
        <v>187</v>
      </c>
      <c r="K22" s="224"/>
      <c r="L22" s="224" t="s">
        <v>188</v>
      </c>
      <c r="M22" s="224"/>
      <c r="N22" s="224" t="s">
        <v>189</v>
      </c>
      <c r="O22" s="224"/>
      <c r="P22" s="224"/>
      <c r="Q22" s="226"/>
      <c r="R22" s="226"/>
      <c r="S22" s="227"/>
      <c r="T22" s="227"/>
      <c r="U22" s="223"/>
      <c r="V22" s="5"/>
    </row>
    <row r="23" spans="1:22" ht="15.6" x14ac:dyDescent="0.3">
      <c r="A23" s="190"/>
      <c r="B23" s="239" t="s">
        <v>7</v>
      </c>
      <c r="C23" s="240"/>
      <c r="D23" s="240" t="s">
        <v>222</v>
      </c>
      <c r="E23" s="240"/>
      <c r="F23" s="240" t="s">
        <v>147</v>
      </c>
      <c r="G23" s="240"/>
      <c r="H23" s="240" t="s">
        <v>147</v>
      </c>
      <c r="I23" s="240"/>
      <c r="J23" s="240" t="s">
        <v>190</v>
      </c>
      <c r="K23" s="240"/>
      <c r="L23" s="240" t="s">
        <v>190</v>
      </c>
      <c r="M23" s="240"/>
      <c r="N23" s="240" t="s">
        <v>148</v>
      </c>
      <c r="O23" s="240"/>
      <c r="P23" s="240"/>
      <c r="Q23" s="240"/>
      <c r="R23" s="240"/>
      <c r="S23" s="241"/>
      <c r="T23" s="241"/>
      <c r="U23" s="239"/>
      <c r="V23" s="5"/>
    </row>
    <row r="24" spans="1:22" ht="15.6" x14ac:dyDescent="0.3">
      <c r="A24" s="284"/>
      <c r="B24" s="285" t="s">
        <v>8</v>
      </c>
      <c r="C24" s="286"/>
      <c r="D24" s="286" t="s">
        <v>223</v>
      </c>
      <c r="E24" s="286"/>
      <c r="F24" s="286" t="s">
        <v>149</v>
      </c>
      <c r="G24" s="286"/>
      <c r="H24" s="286" t="s">
        <v>149</v>
      </c>
      <c r="I24" s="286"/>
      <c r="J24" s="286" t="s">
        <v>172</v>
      </c>
      <c r="K24" s="286"/>
      <c r="L24" s="286" t="s">
        <v>172</v>
      </c>
      <c r="M24" s="286"/>
      <c r="N24" s="286" t="s">
        <v>150</v>
      </c>
      <c r="O24" s="286"/>
      <c r="P24" s="286"/>
      <c r="Q24" s="286"/>
      <c r="R24" s="286"/>
      <c r="S24" s="287"/>
      <c r="T24" s="287"/>
      <c r="U24" s="288"/>
      <c r="V24" s="5"/>
    </row>
    <row r="25" spans="1:22" ht="15.6" x14ac:dyDescent="0.3">
      <c r="A25" s="289"/>
      <c r="B25" s="285" t="s">
        <v>198</v>
      </c>
      <c r="C25" s="394"/>
      <c r="D25" s="286" t="s">
        <v>224</v>
      </c>
      <c r="E25" s="286"/>
      <c r="F25" s="286" t="s">
        <v>149</v>
      </c>
      <c r="G25" s="286"/>
      <c r="H25" s="286" t="s">
        <v>149</v>
      </c>
      <c r="I25" s="286"/>
      <c r="J25" s="286" t="s">
        <v>172</v>
      </c>
      <c r="K25" s="286"/>
      <c r="L25" s="286" t="s">
        <v>172</v>
      </c>
      <c r="M25" s="286"/>
      <c r="N25" s="286" t="s">
        <v>150</v>
      </c>
      <c r="O25" s="286"/>
      <c r="P25" s="286"/>
      <c r="Q25" s="394"/>
      <c r="R25" s="286"/>
      <c r="S25" s="287"/>
      <c r="T25" s="287"/>
      <c r="U25" s="288"/>
      <c r="V25" s="5"/>
    </row>
    <row r="26" spans="1:22" ht="15.6" x14ac:dyDescent="0.3">
      <c r="A26" s="289"/>
      <c r="B26" s="292" t="s">
        <v>9</v>
      </c>
      <c r="C26" s="394"/>
      <c r="D26" s="394" t="s">
        <v>222</v>
      </c>
      <c r="E26" s="394"/>
      <c r="F26" s="394" t="s">
        <v>147</v>
      </c>
      <c r="G26" s="394"/>
      <c r="H26" s="394" t="s">
        <v>147</v>
      </c>
      <c r="I26" s="394"/>
      <c r="J26" s="394" t="s">
        <v>190</v>
      </c>
      <c r="K26" s="394"/>
      <c r="L26" s="394" t="s">
        <v>190</v>
      </c>
      <c r="M26" s="394"/>
      <c r="N26" s="394" t="s">
        <v>148</v>
      </c>
      <c r="O26" s="394"/>
      <c r="P26" s="394"/>
      <c r="Q26" s="394"/>
      <c r="R26" s="286"/>
      <c r="S26" s="287"/>
      <c r="T26" s="287"/>
      <c r="U26" s="288"/>
      <c r="V26" s="5"/>
    </row>
    <row r="27" spans="1:22" ht="15.6" x14ac:dyDescent="0.3">
      <c r="A27" s="284"/>
      <c r="B27" s="292" t="s">
        <v>199</v>
      </c>
      <c r="C27" s="286"/>
      <c r="D27" s="394" t="s">
        <v>223</v>
      </c>
      <c r="E27" s="394"/>
      <c r="F27" s="394" t="s">
        <v>149</v>
      </c>
      <c r="G27" s="394"/>
      <c r="H27" s="394" t="s">
        <v>149</v>
      </c>
      <c r="I27" s="394"/>
      <c r="J27" s="394" t="s">
        <v>172</v>
      </c>
      <c r="K27" s="394"/>
      <c r="L27" s="394" t="s">
        <v>172</v>
      </c>
      <c r="M27" s="394"/>
      <c r="N27" s="394" t="s">
        <v>150</v>
      </c>
      <c r="O27" s="394"/>
      <c r="P27" s="394"/>
      <c r="Q27" s="286"/>
      <c r="R27" s="293"/>
      <c r="S27" s="287"/>
      <c r="T27" s="287"/>
      <c r="U27" s="288"/>
      <c r="V27" s="5"/>
    </row>
    <row r="28" spans="1:22" ht="15.6" x14ac:dyDescent="0.3">
      <c r="A28" s="284"/>
      <c r="B28" s="292" t="s">
        <v>200</v>
      </c>
      <c r="C28" s="286"/>
      <c r="D28" s="394" t="s">
        <v>224</v>
      </c>
      <c r="E28" s="394"/>
      <c r="F28" s="394" t="s">
        <v>149</v>
      </c>
      <c r="G28" s="394"/>
      <c r="H28" s="394" t="s">
        <v>149</v>
      </c>
      <c r="I28" s="394"/>
      <c r="J28" s="394" t="s">
        <v>172</v>
      </c>
      <c r="K28" s="394"/>
      <c r="L28" s="394" t="s">
        <v>172</v>
      </c>
      <c r="M28" s="394"/>
      <c r="N28" s="394" t="s">
        <v>150</v>
      </c>
      <c r="O28" s="394"/>
      <c r="P28" s="394"/>
      <c r="Q28" s="286"/>
      <c r="R28" s="293"/>
      <c r="S28" s="287"/>
      <c r="T28" s="287"/>
      <c r="U28" s="288"/>
      <c r="V28" s="5"/>
    </row>
    <row r="29" spans="1:22" ht="15.6" x14ac:dyDescent="0.3">
      <c r="A29" s="284"/>
      <c r="B29" s="285" t="s">
        <v>10</v>
      </c>
      <c r="C29" s="295"/>
      <c r="D29" s="286" t="s">
        <v>237</v>
      </c>
      <c r="E29" s="286"/>
      <c r="F29" s="293" t="s">
        <v>238</v>
      </c>
      <c r="G29" s="286"/>
      <c r="H29" s="286" t="s">
        <v>239</v>
      </c>
      <c r="I29" s="286"/>
      <c r="J29" s="286" t="s">
        <v>240</v>
      </c>
      <c r="K29" s="286"/>
      <c r="L29" s="286" t="s">
        <v>241</v>
      </c>
      <c r="M29" s="286"/>
      <c r="N29" s="286" t="s">
        <v>242</v>
      </c>
      <c r="O29" s="286"/>
      <c r="P29" s="286"/>
      <c r="Q29" s="296"/>
      <c r="R29" s="296"/>
      <c r="S29" s="297"/>
      <c r="T29" s="296"/>
      <c r="U29" s="298"/>
      <c r="V29" s="5"/>
    </row>
    <row r="30" spans="1:22" ht="15.6" x14ac:dyDescent="0.3">
      <c r="A30" s="284"/>
      <c r="B30" s="285" t="s">
        <v>10</v>
      </c>
      <c r="C30" s="295"/>
      <c r="D30" s="286" t="s">
        <v>236</v>
      </c>
      <c r="E30" s="286"/>
      <c r="F30" s="293" t="s">
        <v>124</v>
      </c>
      <c r="G30" s="286"/>
      <c r="H30" s="286" t="s">
        <v>124</v>
      </c>
      <c r="I30" s="286"/>
      <c r="J30" s="286" t="s">
        <v>124</v>
      </c>
      <c r="K30" s="286"/>
      <c r="L30" s="286" t="s">
        <v>124</v>
      </c>
      <c r="M30" s="286"/>
      <c r="N30" s="286" t="s">
        <v>124</v>
      </c>
      <c r="O30" s="286"/>
      <c r="P30" s="286"/>
      <c r="Q30" s="296"/>
      <c r="R30" s="296"/>
      <c r="S30" s="297"/>
      <c r="T30" s="296"/>
      <c r="U30" s="298"/>
      <c r="V30" s="5"/>
    </row>
    <row r="31" spans="1:22" ht="15.6" x14ac:dyDescent="0.3">
      <c r="A31" s="289"/>
      <c r="B31" s="285" t="s">
        <v>139</v>
      </c>
      <c r="C31" s="299"/>
      <c r="D31" s="300">
        <v>985000</v>
      </c>
      <c r="E31" s="295"/>
      <c r="F31" s="296">
        <v>149500</v>
      </c>
      <c r="G31" s="296"/>
      <c r="H31" s="301">
        <v>219700</v>
      </c>
      <c r="I31" s="296"/>
      <c r="J31" s="296">
        <v>16000</v>
      </c>
      <c r="K31" s="296"/>
      <c r="L31" s="301">
        <v>82400</v>
      </c>
      <c r="M31" s="296"/>
      <c r="N31" s="301">
        <v>87500</v>
      </c>
      <c r="O31" s="296"/>
      <c r="P31" s="301"/>
      <c r="Q31" s="302"/>
      <c r="R31" s="302"/>
      <c r="S31" s="303"/>
      <c r="T31" s="302"/>
      <c r="U31" s="298"/>
      <c r="V31" s="5"/>
    </row>
    <row r="32" spans="1:22" ht="15.6" x14ac:dyDescent="0.3">
      <c r="A32" s="284"/>
      <c r="B32" s="285" t="s">
        <v>138</v>
      </c>
      <c r="C32" s="295"/>
      <c r="D32" s="300">
        <f>D38*D31</f>
        <v>509493.90950000001</v>
      </c>
      <c r="E32" s="295"/>
      <c r="F32" s="296">
        <f>F38*F31</f>
        <v>77329.383300000001</v>
      </c>
      <c r="G32" s="296"/>
      <c r="H32" s="301">
        <f>H38*H31</f>
        <v>113640.57197999999</v>
      </c>
      <c r="I32" s="296"/>
      <c r="J32" s="296">
        <f>+J31</f>
        <v>16000</v>
      </c>
      <c r="K32" s="296"/>
      <c r="L32" s="301">
        <f>+L31</f>
        <v>82400</v>
      </c>
      <c r="M32" s="296"/>
      <c r="N32" s="301">
        <f>+N31</f>
        <v>87500</v>
      </c>
      <c r="O32" s="296"/>
      <c r="P32" s="301"/>
      <c r="Q32" s="296"/>
      <c r="R32" s="296"/>
      <c r="S32" s="297"/>
      <c r="T32" s="296"/>
      <c r="U32" s="298"/>
      <c r="V32" s="5"/>
    </row>
    <row r="33" spans="1:22" ht="15.6" x14ac:dyDescent="0.3">
      <c r="A33" s="284"/>
      <c r="B33" s="292" t="s">
        <v>140</v>
      </c>
      <c r="C33" s="295"/>
      <c r="D33" s="304">
        <f>D37*D31</f>
        <v>501611.54550000007</v>
      </c>
      <c r="E33" s="299"/>
      <c r="F33" s="302">
        <f>F37*F31</f>
        <v>76133.0245</v>
      </c>
      <c r="G33" s="302"/>
      <c r="H33" s="305">
        <f>H31*H37</f>
        <v>111882.44470000001</v>
      </c>
      <c r="I33" s="302"/>
      <c r="J33" s="302">
        <f>J31*J37</f>
        <v>16000</v>
      </c>
      <c r="K33" s="302"/>
      <c r="L33" s="305">
        <f>L31*L37</f>
        <v>82400</v>
      </c>
      <c r="M33" s="302"/>
      <c r="N33" s="305">
        <f>N31*N37</f>
        <v>87500</v>
      </c>
      <c r="O33" s="302"/>
      <c r="P33" s="305"/>
      <c r="Q33" s="296"/>
      <c r="R33" s="296"/>
      <c r="S33" s="297"/>
      <c r="T33" s="296"/>
      <c r="U33" s="298"/>
      <c r="V33" s="5"/>
    </row>
    <row r="34" spans="1:22" ht="15.6" x14ac:dyDescent="0.3">
      <c r="A34" s="289"/>
      <c r="B34" s="285" t="s">
        <v>283</v>
      </c>
      <c r="C34" s="299"/>
      <c r="D34" s="296">
        <v>567282</v>
      </c>
      <c r="E34" s="295"/>
      <c r="F34" s="296">
        <v>149500</v>
      </c>
      <c r="G34" s="296"/>
      <c r="H34" s="296">
        <v>150716</v>
      </c>
      <c r="I34" s="296"/>
      <c r="J34" s="296">
        <v>16000</v>
      </c>
      <c r="K34" s="296"/>
      <c r="L34" s="296">
        <v>56527</v>
      </c>
      <c r="M34" s="296"/>
      <c r="N34" s="296">
        <v>60025</v>
      </c>
      <c r="O34" s="296"/>
      <c r="P34" s="296"/>
      <c r="Q34" s="302"/>
      <c r="R34" s="302"/>
      <c r="S34" s="303"/>
      <c r="T34" s="296">
        <f>SUM(C34:P34)</f>
        <v>1000050</v>
      </c>
      <c r="U34" s="298"/>
      <c r="V34" s="5"/>
    </row>
    <row r="35" spans="1:22" ht="15.6" x14ac:dyDescent="0.3">
      <c r="A35" s="289"/>
      <c r="B35" s="285" t="s">
        <v>284</v>
      </c>
      <c r="C35" s="299"/>
      <c r="D35" s="296">
        <f>D38*D34</f>
        <v>293428.14616140001</v>
      </c>
      <c r="E35" s="295"/>
      <c r="F35" s="296">
        <f>F38*F34</f>
        <v>77329.383300000001</v>
      </c>
      <c r="G35" s="296"/>
      <c r="H35" s="296">
        <f>H38*H34</f>
        <v>77958.363434400002</v>
      </c>
      <c r="I35" s="296"/>
      <c r="J35" s="296">
        <f>+J34</f>
        <v>16000</v>
      </c>
      <c r="K35" s="296"/>
      <c r="L35" s="296">
        <f>+L34</f>
        <v>56527</v>
      </c>
      <c r="M35" s="296"/>
      <c r="N35" s="296">
        <f>+N34</f>
        <v>60025</v>
      </c>
      <c r="O35" s="296"/>
      <c r="P35" s="296"/>
      <c r="Q35" s="296"/>
      <c r="R35" s="296"/>
      <c r="S35" s="297"/>
      <c r="T35" s="296">
        <f>SUM(C35:P35)+1</f>
        <v>581268.89289580006</v>
      </c>
      <c r="U35" s="298"/>
      <c r="V35" s="5"/>
    </row>
    <row r="36" spans="1:22" ht="15.6" x14ac:dyDescent="0.3">
      <c r="A36" s="289"/>
      <c r="B36" s="292" t="s">
        <v>285</v>
      </c>
      <c r="C36" s="299"/>
      <c r="D36" s="302">
        <f>D37*D34</f>
        <v>288888.52868460002</v>
      </c>
      <c r="E36" s="299"/>
      <c r="F36" s="302">
        <f>F37*F34</f>
        <v>76133.0245</v>
      </c>
      <c r="G36" s="302"/>
      <c r="H36" s="302">
        <f>H37*H34</f>
        <v>76752.273715999996</v>
      </c>
      <c r="I36" s="302"/>
      <c r="J36" s="302">
        <f>+J34</f>
        <v>16000</v>
      </c>
      <c r="K36" s="302"/>
      <c r="L36" s="302">
        <f>+L34</f>
        <v>56527</v>
      </c>
      <c r="M36" s="302"/>
      <c r="N36" s="302">
        <f>+N34</f>
        <v>60025</v>
      </c>
      <c r="O36" s="302"/>
      <c r="P36" s="302"/>
      <c r="Q36" s="327"/>
      <c r="R36" s="327"/>
      <c r="S36" s="297"/>
      <c r="T36" s="302">
        <f>SUM(C36:P36)+1</f>
        <v>574326.82690059999</v>
      </c>
      <c r="U36" s="298"/>
      <c r="V36" s="5"/>
    </row>
    <row r="37" spans="1:22" ht="15.6" x14ac:dyDescent="0.3">
      <c r="A37" s="284"/>
      <c r="B37" s="310" t="s">
        <v>136</v>
      </c>
      <c r="C37" s="311"/>
      <c r="D37" s="312">
        <v>0.50925030000000004</v>
      </c>
      <c r="E37" s="313"/>
      <c r="F37" s="312">
        <v>0.50925100000000001</v>
      </c>
      <c r="G37" s="314"/>
      <c r="H37" s="312">
        <v>0.50925100000000001</v>
      </c>
      <c r="I37" s="314"/>
      <c r="J37" s="312">
        <v>1</v>
      </c>
      <c r="K37" s="314"/>
      <c r="L37" s="312">
        <v>1</v>
      </c>
      <c r="M37" s="314"/>
      <c r="N37" s="312">
        <v>1</v>
      </c>
      <c r="O37" s="314"/>
      <c r="P37" s="314"/>
      <c r="Q37" s="315"/>
      <c r="R37" s="315"/>
      <c r="S37" s="316"/>
      <c r="T37" s="316"/>
      <c r="U37" s="317"/>
      <c r="V37" s="5"/>
    </row>
    <row r="38" spans="1:22" ht="15.6" x14ac:dyDescent="0.3">
      <c r="A38" s="284"/>
      <c r="B38" s="310" t="s">
        <v>137</v>
      </c>
      <c r="C38" s="311"/>
      <c r="D38" s="312">
        <v>0.51725270000000001</v>
      </c>
      <c r="E38" s="313"/>
      <c r="F38" s="312">
        <v>0.51725339999999997</v>
      </c>
      <c r="G38" s="314"/>
      <c r="H38" s="312">
        <v>0.51725339999999997</v>
      </c>
      <c r="I38" s="314"/>
      <c r="J38" s="312">
        <v>1</v>
      </c>
      <c r="K38" s="314"/>
      <c r="L38" s="312">
        <v>1</v>
      </c>
      <c r="M38" s="314"/>
      <c r="N38" s="312">
        <v>1</v>
      </c>
      <c r="O38" s="314"/>
      <c r="P38" s="314"/>
      <c r="Q38" s="318"/>
      <c r="R38" s="319"/>
      <c r="S38" s="316"/>
      <c r="T38" s="318"/>
      <c r="U38" s="317"/>
      <c r="V38" s="5"/>
    </row>
    <row r="39" spans="1:22" ht="15.6" x14ac:dyDescent="0.3">
      <c r="A39" s="284"/>
      <c r="B39" s="285" t="s">
        <v>11</v>
      </c>
      <c r="C39" s="285"/>
      <c r="D39" s="293" t="s">
        <v>275</v>
      </c>
      <c r="E39" s="285"/>
      <c r="F39" s="293" t="s">
        <v>232</v>
      </c>
      <c r="G39" s="293"/>
      <c r="H39" s="293" t="s">
        <v>232</v>
      </c>
      <c r="I39" s="293"/>
      <c r="J39" s="293" t="s">
        <v>234</v>
      </c>
      <c r="K39" s="293"/>
      <c r="L39" s="293" t="s">
        <v>234</v>
      </c>
      <c r="M39" s="293"/>
      <c r="N39" s="293" t="s">
        <v>235</v>
      </c>
      <c r="O39" s="293"/>
      <c r="P39" s="293"/>
      <c r="Q39" s="320"/>
      <c r="R39" s="321"/>
      <c r="S39" s="287"/>
      <c r="T39" s="287"/>
      <c r="U39" s="288"/>
      <c r="V39" s="5"/>
    </row>
    <row r="40" spans="1:22" ht="15.6" x14ac:dyDescent="0.3">
      <c r="A40" s="284"/>
      <c r="B40" s="285" t="s">
        <v>12</v>
      </c>
      <c r="C40" s="285"/>
      <c r="D40" s="321">
        <v>2.8704999999999998E-3</v>
      </c>
      <c r="E40" s="285"/>
      <c r="F40" s="321">
        <v>1.05938E-2</v>
      </c>
      <c r="G40" s="320"/>
      <c r="H40" s="321">
        <v>1.567E-2</v>
      </c>
      <c r="I40" s="320"/>
      <c r="J40" s="321">
        <v>1.29938E-2</v>
      </c>
      <c r="K40" s="320"/>
      <c r="L40" s="321">
        <v>1.8069999999999999E-2</v>
      </c>
      <c r="M40" s="320"/>
      <c r="N40" s="321">
        <v>2.2270000000000002E-2</v>
      </c>
      <c r="O40" s="320"/>
      <c r="P40" s="321"/>
      <c r="Q40" s="320"/>
      <c r="R40" s="321"/>
      <c r="S40" s="287"/>
      <c r="T40" s="293"/>
      <c r="U40" s="288"/>
      <c r="V40" s="5"/>
    </row>
    <row r="41" spans="1:22" ht="15.6" x14ac:dyDescent="0.3">
      <c r="A41" s="284"/>
      <c r="B41" s="285" t="s">
        <v>13</v>
      </c>
      <c r="C41" s="285"/>
      <c r="D41" s="321">
        <v>3.5500000000000002E-3</v>
      </c>
      <c r="E41" s="285"/>
      <c r="F41" s="321">
        <v>8.8999999999999999E-3</v>
      </c>
      <c r="G41" s="320"/>
      <c r="H41" s="321">
        <v>1.1259999999999999E-2</v>
      </c>
      <c r="I41" s="320"/>
      <c r="J41" s="321">
        <v>1.01E-2</v>
      </c>
      <c r="K41" s="320"/>
      <c r="L41" s="321">
        <v>1.2460000000000001E-2</v>
      </c>
      <c r="M41" s="320"/>
      <c r="N41" s="321">
        <v>1.456E-2</v>
      </c>
      <c r="O41" s="320"/>
      <c r="P41" s="321"/>
      <c r="Q41" s="320"/>
      <c r="R41" s="321"/>
      <c r="S41" s="287"/>
      <c r="T41" s="320" t="s">
        <v>201</v>
      </c>
      <c r="U41" s="288"/>
      <c r="V41" s="5"/>
    </row>
    <row r="42" spans="1:22" ht="15.6" x14ac:dyDescent="0.3">
      <c r="A42" s="284"/>
      <c r="B42" s="285" t="s">
        <v>286</v>
      </c>
      <c r="C42" s="285"/>
      <c r="D42" s="293" t="s">
        <v>231</v>
      </c>
      <c r="E42" s="285"/>
      <c r="F42" s="293" t="s">
        <v>232</v>
      </c>
      <c r="G42" s="293"/>
      <c r="H42" s="293" t="s">
        <v>232</v>
      </c>
      <c r="I42" s="293"/>
      <c r="J42" s="293" t="s">
        <v>234</v>
      </c>
      <c r="K42" s="293"/>
      <c r="L42" s="293" t="s">
        <v>245</v>
      </c>
      <c r="M42" s="293"/>
      <c r="N42" s="293" t="s">
        <v>247</v>
      </c>
      <c r="O42" s="293"/>
      <c r="P42" s="293"/>
      <c r="Q42" s="320"/>
      <c r="R42" s="321"/>
      <c r="S42" s="287"/>
      <c r="T42" s="287"/>
      <c r="U42" s="288"/>
      <c r="V42" s="5"/>
    </row>
    <row r="43" spans="1:22" ht="15.6" x14ac:dyDescent="0.3">
      <c r="A43" s="284"/>
      <c r="B43" s="285" t="s">
        <v>287</v>
      </c>
      <c r="C43" s="322"/>
      <c r="D43" s="321">
        <v>9.4299999999999991E-3</v>
      </c>
      <c r="E43" s="321"/>
      <c r="F43" s="321">
        <f>+F40</f>
        <v>1.05938E-2</v>
      </c>
      <c r="G43" s="321"/>
      <c r="H43" s="321">
        <v>1.05898E-2</v>
      </c>
      <c r="I43" s="321"/>
      <c r="J43" s="321">
        <f>+J40</f>
        <v>1.29938E-2</v>
      </c>
      <c r="K43" s="321"/>
      <c r="L43" s="321">
        <v>1.3299800000000001E-2</v>
      </c>
      <c r="M43" s="321"/>
      <c r="N43" s="321">
        <v>1.80038E-2</v>
      </c>
      <c r="O43" s="320"/>
      <c r="P43" s="321"/>
      <c r="Q43" s="293"/>
      <c r="R43" s="293"/>
      <c r="S43" s="287"/>
      <c r="T43" s="320">
        <f>SUMPRODUCT(D43:N43,D35:N35)/T35</f>
        <v>1.1100163254323312E-2</v>
      </c>
      <c r="U43" s="288"/>
      <c r="V43" s="5"/>
    </row>
    <row r="44" spans="1:22" ht="15.6" x14ac:dyDescent="0.3">
      <c r="A44" s="284"/>
      <c r="B44" s="285" t="s">
        <v>288</v>
      </c>
      <c r="C44" s="322"/>
      <c r="D44" s="321">
        <v>8.9362E-3</v>
      </c>
      <c r="E44" s="321"/>
      <c r="F44" s="321">
        <f>+F41</f>
        <v>8.8999999999999999E-3</v>
      </c>
      <c r="G44" s="321"/>
      <c r="H44" s="321">
        <v>8.8979999999999997E-3</v>
      </c>
      <c r="I44" s="321"/>
      <c r="J44" s="321">
        <f>+J41</f>
        <v>1.01E-2</v>
      </c>
      <c r="K44" s="321"/>
      <c r="L44" s="321">
        <v>1.0253E-2</v>
      </c>
      <c r="M44" s="321"/>
      <c r="N44" s="321">
        <v>1.2605E-2</v>
      </c>
      <c r="O44" s="320"/>
      <c r="P44" s="321"/>
      <c r="Q44" s="293"/>
      <c r="R44" s="293"/>
      <c r="S44" s="287"/>
      <c r="T44" s="287"/>
      <c r="U44" s="288"/>
      <c r="V44" s="5"/>
    </row>
    <row r="45" spans="1:22" ht="15.6" x14ac:dyDescent="0.3">
      <c r="A45" s="284"/>
      <c r="B45" s="285" t="s">
        <v>14</v>
      </c>
      <c r="C45" s="285"/>
      <c r="D45" s="322">
        <v>40283</v>
      </c>
      <c r="E45" s="322"/>
      <c r="F45" s="322">
        <v>40283</v>
      </c>
      <c r="G45" s="322"/>
      <c r="H45" s="322">
        <v>40283</v>
      </c>
      <c r="I45" s="322"/>
      <c r="J45" s="322">
        <v>40283</v>
      </c>
      <c r="K45" s="322"/>
      <c r="L45" s="322">
        <v>40283</v>
      </c>
      <c r="M45" s="322"/>
      <c r="N45" s="322">
        <v>40283</v>
      </c>
      <c r="O45" s="322"/>
      <c r="P45" s="322"/>
      <c r="Q45" s="293"/>
      <c r="R45" s="293"/>
      <c r="S45" s="287"/>
      <c r="T45" s="287"/>
      <c r="U45" s="288"/>
      <c r="V45" s="5"/>
    </row>
    <row r="46" spans="1:22" ht="15.6" x14ac:dyDescent="0.3">
      <c r="A46" s="284"/>
      <c r="B46" s="285" t="s">
        <v>15</v>
      </c>
      <c r="C46" s="285"/>
      <c r="D46" s="322">
        <v>40648</v>
      </c>
      <c r="E46" s="322"/>
      <c r="F46" s="322">
        <v>40648</v>
      </c>
      <c r="G46" s="322"/>
      <c r="H46" s="322">
        <v>40648</v>
      </c>
      <c r="I46" s="293"/>
      <c r="J46" s="322">
        <v>40648</v>
      </c>
      <c r="K46" s="293"/>
      <c r="L46" s="322">
        <v>40648</v>
      </c>
      <c r="M46" s="293"/>
      <c r="N46" s="322">
        <v>40648</v>
      </c>
      <c r="O46" s="293"/>
      <c r="P46" s="322"/>
      <c r="Q46" s="293"/>
      <c r="R46" s="293"/>
      <c r="S46" s="287"/>
      <c r="T46" s="287"/>
      <c r="U46" s="288"/>
      <c r="V46" s="5"/>
    </row>
    <row r="47" spans="1:22" ht="15.6" x14ac:dyDescent="0.3">
      <c r="A47" s="284"/>
      <c r="B47" s="285" t="s">
        <v>125</v>
      </c>
      <c r="C47" s="285"/>
      <c r="D47" s="293" t="s">
        <v>124</v>
      </c>
      <c r="E47" s="285"/>
      <c r="F47" s="293" t="s">
        <v>232</v>
      </c>
      <c r="G47" s="293"/>
      <c r="H47" s="293" t="s">
        <v>232</v>
      </c>
      <c r="I47" s="293"/>
      <c r="J47" s="293" t="s">
        <v>234</v>
      </c>
      <c r="K47" s="293"/>
      <c r="L47" s="293" t="s">
        <v>234</v>
      </c>
      <c r="M47" s="293"/>
      <c r="N47" s="293" t="s">
        <v>235</v>
      </c>
      <c r="O47" s="293"/>
      <c r="P47" s="293"/>
      <c r="Q47" s="324"/>
      <c r="R47" s="324"/>
      <c r="S47" s="324"/>
      <c r="T47" s="324"/>
      <c r="U47" s="288"/>
      <c r="V47" s="5"/>
    </row>
    <row r="48" spans="1:22" ht="15.6" x14ac:dyDescent="0.3">
      <c r="A48" s="284"/>
      <c r="B48" s="285" t="s">
        <v>289</v>
      </c>
      <c r="C48" s="285"/>
      <c r="D48" s="293" t="s">
        <v>208</v>
      </c>
      <c r="E48" s="285"/>
      <c r="F48" s="293" t="s">
        <v>232</v>
      </c>
      <c r="G48" s="293"/>
      <c r="H48" s="293" t="s">
        <v>232</v>
      </c>
      <c r="I48" s="293"/>
      <c r="J48" s="293" t="s">
        <v>234</v>
      </c>
      <c r="K48" s="293"/>
      <c r="L48" s="293" t="s">
        <v>245</v>
      </c>
      <c r="M48" s="293"/>
      <c r="N48" s="293" t="s">
        <v>247</v>
      </c>
      <c r="O48" s="293"/>
      <c r="P48" s="293"/>
      <c r="Q48" s="285"/>
      <c r="R48" s="285"/>
      <c r="S48" s="285"/>
      <c r="T48" s="320"/>
      <c r="U48" s="288"/>
      <c r="V48" s="5"/>
    </row>
    <row r="49" spans="1:23" ht="15.6" x14ac:dyDescent="0.3">
      <c r="A49" s="284"/>
      <c r="B49" s="285"/>
      <c r="C49" s="285"/>
      <c r="D49" s="293"/>
      <c r="E49" s="285"/>
      <c r="F49" s="293"/>
      <c r="G49" s="293"/>
      <c r="H49" s="293"/>
      <c r="I49" s="293"/>
      <c r="J49" s="293"/>
      <c r="K49" s="293"/>
      <c r="L49" s="293"/>
      <c r="M49" s="293"/>
      <c r="N49" s="293"/>
      <c r="O49" s="293"/>
      <c r="P49" s="293"/>
      <c r="Q49" s="285"/>
      <c r="R49" s="285"/>
      <c r="S49" s="285"/>
      <c r="T49" s="320" t="s">
        <v>201</v>
      </c>
      <c r="U49" s="288"/>
      <c r="V49" s="5"/>
    </row>
    <row r="50" spans="1:23" ht="15.6" x14ac:dyDescent="0.3">
      <c r="A50" s="284"/>
      <c r="B50" s="285" t="s">
        <v>176</v>
      </c>
      <c r="C50" s="285"/>
      <c r="D50" s="293"/>
      <c r="E50" s="285"/>
      <c r="F50" s="293"/>
      <c r="G50" s="293"/>
      <c r="H50" s="293"/>
      <c r="I50" s="293"/>
      <c r="J50" s="293"/>
      <c r="K50" s="293"/>
      <c r="L50" s="293"/>
      <c r="M50" s="293"/>
      <c r="N50" s="293"/>
      <c r="O50" s="293"/>
      <c r="P50" s="293"/>
      <c r="Q50" s="285"/>
      <c r="R50" s="285"/>
      <c r="S50" s="285"/>
      <c r="T50" s="320">
        <f>SUM(J34:P34)/SUM(D34:H34)</f>
        <v>0.15279804679664968</v>
      </c>
      <c r="U50" s="288"/>
      <c r="V50" s="5"/>
    </row>
    <row r="51" spans="1:23" ht="15.6" x14ac:dyDescent="0.3">
      <c r="A51" s="284"/>
      <c r="B51" s="285" t="s">
        <v>177</v>
      </c>
      <c r="C51" s="285"/>
      <c r="D51" s="285"/>
      <c r="E51" s="285"/>
      <c r="F51" s="325"/>
      <c r="G51" s="285"/>
      <c r="H51" s="285"/>
      <c r="I51" s="285"/>
      <c r="J51" s="285"/>
      <c r="K51" s="285"/>
      <c r="L51" s="285"/>
      <c r="M51" s="285"/>
      <c r="N51" s="285"/>
      <c r="O51" s="285"/>
      <c r="P51" s="285"/>
      <c r="Q51" s="285"/>
      <c r="R51" s="285"/>
      <c r="S51" s="285"/>
      <c r="T51" s="320">
        <f>SUM(J36:P36)/SUM(D36:H36)</f>
        <v>0.30004493686273648</v>
      </c>
      <c r="U51" s="288"/>
      <c r="V51" s="5"/>
    </row>
    <row r="52" spans="1:23" ht="15.6" x14ac:dyDescent="0.3">
      <c r="A52" s="284"/>
      <c r="B52" s="285" t="s">
        <v>178</v>
      </c>
      <c r="C52" s="285"/>
      <c r="D52" s="285"/>
      <c r="E52" s="285"/>
      <c r="F52" s="285"/>
      <c r="G52" s="285"/>
      <c r="H52" s="285"/>
      <c r="I52" s="285"/>
      <c r="J52" s="285"/>
      <c r="K52" s="285"/>
      <c r="L52" s="285"/>
      <c r="M52" s="285"/>
      <c r="N52" s="285"/>
      <c r="O52" s="285"/>
      <c r="P52" s="285"/>
      <c r="Q52" s="285"/>
      <c r="R52" s="293" t="s">
        <v>109</v>
      </c>
      <c r="S52" s="293" t="s">
        <v>115</v>
      </c>
      <c r="T52" s="296">
        <f>+T34/2-SUM(J34:P34)</f>
        <v>367473</v>
      </c>
      <c r="U52" s="288"/>
      <c r="V52" s="5"/>
    </row>
    <row r="53" spans="1:23" ht="15.6" x14ac:dyDescent="0.3">
      <c r="A53" s="284"/>
      <c r="B53" s="285"/>
      <c r="C53" s="285"/>
      <c r="D53" s="285"/>
      <c r="E53" s="285"/>
      <c r="F53" s="285"/>
      <c r="G53" s="285"/>
      <c r="H53" s="285"/>
      <c r="I53" s="285"/>
      <c r="J53" s="285"/>
      <c r="K53" s="285"/>
      <c r="L53" s="285"/>
      <c r="M53" s="285"/>
      <c r="N53" s="285"/>
      <c r="O53" s="285"/>
      <c r="P53" s="285"/>
      <c r="Q53" s="285"/>
      <c r="R53" s="285"/>
      <c r="S53" s="285"/>
      <c r="T53" s="326"/>
      <c r="U53" s="288"/>
      <c r="V53" s="5"/>
    </row>
    <row r="54" spans="1:23" ht="15.6" x14ac:dyDescent="0.3">
      <c r="A54" s="284"/>
      <c r="B54" s="285" t="s">
        <v>211</v>
      </c>
      <c r="C54" s="285"/>
      <c r="D54" s="285"/>
      <c r="E54" s="285"/>
      <c r="F54" s="285"/>
      <c r="G54" s="285"/>
      <c r="H54" s="285"/>
      <c r="I54" s="285"/>
      <c r="J54" s="285"/>
      <c r="K54" s="285"/>
      <c r="L54" s="285"/>
      <c r="M54" s="285"/>
      <c r="N54" s="285"/>
      <c r="O54" s="285"/>
      <c r="P54" s="285"/>
      <c r="Q54" s="285"/>
      <c r="R54" s="285"/>
      <c r="S54" s="285"/>
      <c r="T54" s="327" t="s">
        <v>212</v>
      </c>
      <c r="U54" s="288"/>
      <c r="V54" s="5"/>
    </row>
    <row r="55" spans="1:23" ht="15.6" x14ac:dyDescent="0.3">
      <c r="A55" s="284"/>
      <c r="B55" s="285" t="s">
        <v>253</v>
      </c>
      <c r="C55" s="285"/>
      <c r="D55" s="285"/>
      <c r="E55" s="285"/>
      <c r="F55" s="285"/>
      <c r="G55" s="285"/>
      <c r="H55" s="285"/>
      <c r="I55" s="285"/>
      <c r="J55" s="285"/>
      <c r="K55" s="285"/>
      <c r="L55" s="285"/>
      <c r="M55" s="285"/>
      <c r="N55" s="285"/>
      <c r="O55" s="285"/>
      <c r="P55" s="285"/>
      <c r="Q55" s="285"/>
      <c r="R55" s="293"/>
      <c r="S55" s="293"/>
      <c r="T55" s="328" t="s">
        <v>117</v>
      </c>
      <c r="U55" s="288"/>
      <c r="V55" s="5"/>
    </row>
    <row r="56" spans="1:23" ht="15.6" x14ac:dyDescent="0.3">
      <c r="A56" s="284"/>
      <c r="B56" s="292" t="s">
        <v>210</v>
      </c>
      <c r="C56" s="292"/>
      <c r="D56" s="292"/>
      <c r="E56" s="292"/>
      <c r="F56" s="292"/>
      <c r="G56" s="292"/>
      <c r="H56" s="292"/>
      <c r="I56" s="292"/>
      <c r="J56" s="292"/>
      <c r="K56" s="292"/>
      <c r="L56" s="292"/>
      <c r="M56" s="292"/>
      <c r="N56" s="292"/>
      <c r="O56" s="292"/>
      <c r="P56" s="292"/>
      <c r="Q56" s="292"/>
      <c r="R56" s="329"/>
      <c r="S56" s="329"/>
      <c r="T56" s="330">
        <v>40739</v>
      </c>
      <c r="U56" s="288"/>
      <c r="V56" s="5"/>
    </row>
    <row r="57" spans="1:23" ht="15.6" x14ac:dyDescent="0.3">
      <c r="A57" s="284"/>
      <c r="B57" s="285" t="s">
        <v>127</v>
      </c>
      <c r="C57" s="285"/>
      <c r="D57" s="285"/>
      <c r="E57" s="285"/>
      <c r="F57" s="285"/>
      <c r="G57" s="285"/>
      <c r="H57" s="331"/>
      <c r="I57" s="331"/>
      <c r="J57" s="331"/>
      <c r="K57" s="331"/>
      <c r="L57" s="331"/>
      <c r="M57" s="331"/>
      <c r="N57" s="331"/>
      <c r="O57" s="331"/>
      <c r="P57" s="285">
        <f>+T57-R57+1</f>
        <v>87</v>
      </c>
      <c r="Q57" s="331"/>
      <c r="R57" s="332">
        <v>40561</v>
      </c>
      <c r="S57" s="333"/>
      <c r="T57" s="332">
        <v>40647</v>
      </c>
      <c r="U57" s="288"/>
      <c r="V57" s="5"/>
    </row>
    <row r="58" spans="1:23" ht="15.6" x14ac:dyDescent="0.3">
      <c r="A58" s="284"/>
      <c r="B58" s="285" t="s">
        <v>128</v>
      </c>
      <c r="C58" s="285"/>
      <c r="D58" s="285"/>
      <c r="E58" s="285"/>
      <c r="F58" s="285"/>
      <c r="G58" s="285"/>
      <c r="H58" s="285"/>
      <c r="I58" s="285"/>
      <c r="J58" s="285"/>
      <c r="K58" s="285"/>
      <c r="L58" s="285"/>
      <c r="M58" s="285"/>
      <c r="N58" s="285"/>
      <c r="O58" s="285"/>
      <c r="P58" s="285">
        <f>+T58-R58+1</f>
        <v>91</v>
      </c>
      <c r="Q58" s="285"/>
      <c r="R58" s="332">
        <v>40648</v>
      </c>
      <c r="S58" s="333"/>
      <c r="T58" s="332">
        <v>40738</v>
      </c>
      <c r="U58" s="288"/>
      <c r="V58" s="5"/>
    </row>
    <row r="59" spans="1:23" ht="15.6" x14ac:dyDescent="0.3">
      <c r="A59" s="284"/>
      <c r="B59" s="285" t="s">
        <v>209</v>
      </c>
      <c r="C59" s="285"/>
      <c r="D59" s="285"/>
      <c r="E59" s="285"/>
      <c r="F59" s="285"/>
      <c r="G59" s="285"/>
      <c r="H59" s="285"/>
      <c r="I59" s="285"/>
      <c r="J59" s="285"/>
      <c r="K59" s="285"/>
      <c r="L59" s="285"/>
      <c r="M59" s="285"/>
      <c r="N59" s="285"/>
      <c r="O59" s="285"/>
      <c r="P59" s="285"/>
      <c r="Q59" s="285"/>
      <c r="R59" s="332"/>
      <c r="S59" s="333"/>
      <c r="T59" s="332" t="s">
        <v>126</v>
      </c>
      <c r="U59" s="288"/>
      <c r="V59" s="5"/>
    </row>
    <row r="60" spans="1:23" ht="15.6" x14ac:dyDescent="0.3">
      <c r="A60" s="284"/>
      <c r="B60" s="285" t="s">
        <v>249</v>
      </c>
      <c r="C60" s="285"/>
      <c r="D60" s="285"/>
      <c r="E60" s="285"/>
      <c r="F60" s="285"/>
      <c r="G60" s="285"/>
      <c r="H60" s="285"/>
      <c r="I60" s="285"/>
      <c r="J60" s="285"/>
      <c r="K60" s="285"/>
      <c r="L60" s="285"/>
      <c r="M60" s="285"/>
      <c r="N60" s="285"/>
      <c r="O60" s="285"/>
      <c r="P60" s="285"/>
      <c r="Q60" s="285"/>
      <c r="R60" s="332"/>
      <c r="S60" s="333"/>
      <c r="T60" s="332" t="s">
        <v>160</v>
      </c>
      <c r="U60" s="288"/>
      <c r="V60" s="5"/>
      <c r="W60" s="134"/>
    </row>
    <row r="61" spans="1:23" ht="15.6" x14ac:dyDescent="0.3">
      <c r="A61" s="284"/>
      <c r="B61" s="285" t="s">
        <v>16</v>
      </c>
      <c r="C61" s="285"/>
      <c r="D61" s="285"/>
      <c r="E61" s="285"/>
      <c r="F61" s="285"/>
      <c r="G61" s="285"/>
      <c r="H61" s="285"/>
      <c r="I61" s="285"/>
      <c r="J61" s="285"/>
      <c r="K61" s="285"/>
      <c r="L61" s="285"/>
      <c r="M61" s="285"/>
      <c r="N61" s="285"/>
      <c r="O61" s="285"/>
      <c r="P61" s="285"/>
      <c r="Q61" s="285"/>
      <c r="R61" s="332"/>
      <c r="S61" s="333"/>
      <c r="T61" s="332">
        <v>40725</v>
      </c>
      <c r="U61" s="288"/>
      <c r="V61" s="5"/>
    </row>
    <row r="62" spans="1:23" ht="15.6" x14ac:dyDescent="0.3">
      <c r="A62" s="175"/>
      <c r="B62" s="281"/>
      <c r="C62" s="281"/>
      <c r="D62" s="281"/>
      <c r="E62" s="281"/>
      <c r="F62" s="281"/>
      <c r="G62" s="281"/>
      <c r="H62" s="281"/>
      <c r="I62" s="281"/>
      <c r="J62" s="281"/>
      <c r="K62" s="281"/>
      <c r="L62" s="281"/>
      <c r="M62" s="281"/>
      <c r="N62" s="281"/>
      <c r="O62" s="281"/>
      <c r="P62" s="281"/>
      <c r="Q62" s="281"/>
      <c r="R62" s="282"/>
      <c r="S62" s="283"/>
      <c r="T62" s="282"/>
      <c r="U62" s="281"/>
      <c r="V62" s="5"/>
    </row>
    <row r="63" spans="1:23" ht="15.6" x14ac:dyDescent="0.3">
      <c r="A63" s="175"/>
      <c r="B63" s="231"/>
      <c r="C63" s="231"/>
      <c r="D63" s="231"/>
      <c r="E63" s="231"/>
      <c r="F63" s="231"/>
      <c r="G63" s="231"/>
      <c r="H63" s="231"/>
      <c r="I63" s="231"/>
      <c r="J63" s="231"/>
      <c r="K63" s="231"/>
      <c r="L63" s="231"/>
      <c r="M63" s="231"/>
      <c r="N63" s="231"/>
      <c r="O63" s="231"/>
      <c r="P63" s="231"/>
      <c r="Q63" s="231"/>
      <c r="R63" s="244"/>
      <c r="S63" s="245"/>
      <c r="T63" s="244"/>
      <c r="U63" s="231"/>
      <c r="V63" s="5"/>
    </row>
    <row r="64" spans="1:23" ht="18" thickBot="1" x14ac:dyDescent="0.35">
      <c r="A64" s="192"/>
      <c r="B64" s="246" t="s">
        <v>298</v>
      </c>
      <c r="C64" s="247"/>
      <c r="D64" s="247"/>
      <c r="E64" s="247"/>
      <c r="F64" s="247"/>
      <c r="G64" s="247"/>
      <c r="H64" s="247"/>
      <c r="I64" s="247"/>
      <c r="J64" s="247"/>
      <c r="K64" s="247"/>
      <c r="L64" s="247"/>
      <c r="M64" s="247"/>
      <c r="N64" s="247"/>
      <c r="O64" s="247"/>
      <c r="P64" s="247"/>
      <c r="Q64" s="247"/>
      <c r="R64" s="247"/>
      <c r="S64" s="247"/>
      <c r="T64" s="248"/>
      <c r="U64" s="249"/>
      <c r="V64" s="5"/>
    </row>
    <row r="65" spans="1:22" ht="15.6" x14ac:dyDescent="0.3">
      <c r="A65" s="222"/>
      <c r="B65" s="395" t="s">
        <v>17</v>
      </c>
      <c r="C65" s="223"/>
      <c r="D65" s="223"/>
      <c r="E65" s="223"/>
      <c r="F65" s="223"/>
      <c r="G65" s="223"/>
      <c r="H65" s="223"/>
      <c r="I65" s="223"/>
      <c r="J65" s="223"/>
      <c r="K65" s="223"/>
      <c r="L65" s="223"/>
      <c r="M65" s="223"/>
      <c r="N65" s="223"/>
      <c r="O65" s="223"/>
      <c r="P65" s="223"/>
      <c r="Q65" s="223"/>
      <c r="R65" s="223"/>
      <c r="S65" s="223"/>
      <c r="T65" s="250"/>
      <c r="U65" s="223"/>
      <c r="V65" s="5"/>
    </row>
    <row r="66" spans="1:22" ht="15.6" x14ac:dyDescent="0.3">
      <c r="A66" s="175"/>
      <c r="B66" s="183"/>
      <c r="C66" s="177"/>
      <c r="D66" s="177"/>
      <c r="E66" s="177"/>
      <c r="F66" s="177"/>
      <c r="G66" s="177"/>
      <c r="H66" s="177"/>
      <c r="I66" s="177"/>
      <c r="J66" s="177"/>
      <c r="K66" s="177"/>
      <c r="L66" s="177"/>
      <c r="M66" s="177"/>
      <c r="N66" s="177"/>
      <c r="O66" s="177"/>
      <c r="P66" s="177"/>
      <c r="Q66" s="177"/>
      <c r="R66" s="177"/>
      <c r="S66" s="177"/>
      <c r="T66" s="194"/>
      <c r="U66" s="177"/>
      <c r="V66" s="5"/>
    </row>
    <row r="67" spans="1:22" ht="46.8" x14ac:dyDescent="0.3">
      <c r="A67" s="175"/>
      <c r="B67" s="195" t="s">
        <v>18</v>
      </c>
      <c r="C67" s="196"/>
      <c r="D67" s="196"/>
      <c r="E67" s="196"/>
      <c r="F67" s="196"/>
      <c r="G67" s="196"/>
      <c r="H67" s="196"/>
      <c r="I67" s="196"/>
      <c r="J67" s="196" t="s">
        <v>97</v>
      </c>
      <c r="K67" s="196"/>
      <c r="L67" s="196" t="s">
        <v>99</v>
      </c>
      <c r="M67" s="196"/>
      <c r="N67" s="196" t="s">
        <v>101</v>
      </c>
      <c r="O67" s="196"/>
      <c r="P67" s="196" t="s">
        <v>103</v>
      </c>
      <c r="Q67" s="196"/>
      <c r="R67" s="196" t="s">
        <v>110</v>
      </c>
      <c r="S67" s="196"/>
      <c r="T67" s="197" t="s">
        <v>118</v>
      </c>
      <c r="U67" s="198"/>
      <c r="V67" s="5"/>
    </row>
    <row r="68" spans="1:22" ht="15.6" x14ac:dyDescent="0.3">
      <c r="A68" s="337"/>
      <c r="B68" s="285" t="s">
        <v>19</v>
      </c>
      <c r="C68" s="338"/>
      <c r="D68" s="338"/>
      <c r="E68" s="338"/>
      <c r="F68" s="338"/>
      <c r="G68" s="338"/>
      <c r="H68" s="338"/>
      <c r="I68" s="338"/>
      <c r="J68" s="338">
        <v>1000039</v>
      </c>
      <c r="K68" s="338"/>
      <c r="L68" s="339">
        <v>581269</v>
      </c>
      <c r="M68" s="338"/>
      <c r="N68" s="338">
        <f>6942+45+164</f>
        <v>7151</v>
      </c>
      <c r="O68" s="338"/>
      <c r="P68" s="338">
        <f>45+164</f>
        <v>209</v>
      </c>
      <c r="Q68" s="338"/>
      <c r="R68" s="338">
        <v>0</v>
      </c>
      <c r="S68" s="338"/>
      <c r="T68" s="339">
        <f>+L68-N68+P68-R68</f>
        <v>574327</v>
      </c>
      <c r="U68" s="288"/>
      <c r="V68" s="5"/>
    </row>
    <row r="69" spans="1:22" ht="15.6" x14ac:dyDescent="0.3">
      <c r="A69" s="337"/>
      <c r="B69" s="285" t="s">
        <v>20</v>
      </c>
      <c r="C69" s="338"/>
      <c r="D69" s="338"/>
      <c r="E69" s="338"/>
      <c r="F69" s="338"/>
      <c r="G69" s="338"/>
      <c r="H69" s="338"/>
      <c r="I69" s="338"/>
      <c r="J69" s="338">
        <v>10</v>
      </c>
      <c r="K69" s="338"/>
      <c r="L69" s="339">
        <v>0</v>
      </c>
      <c r="M69" s="338"/>
      <c r="N69" s="338">
        <v>0</v>
      </c>
      <c r="O69" s="338"/>
      <c r="P69" s="338">
        <v>0</v>
      </c>
      <c r="Q69" s="338"/>
      <c r="R69" s="338">
        <v>0</v>
      </c>
      <c r="S69" s="338"/>
      <c r="T69" s="339">
        <v>0</v>
      </c>
      <c r="U69" s="288"/>
      <c r="V69" s="5"/>
    </row>
    <row r="70" spans="1:22" ht="15.6" x14ac:dyDescent="0.3">
      <c r="A70" s="337"/>
      <c r="B70" s="285"/>
      <c r="C70" s="338"/>
      <c r="D70" s="338"/>
      <c r="E70" s="338"/>
      <c r="F70" s="338"/>
      <c r="G70" s="338"/>
      <c r="H70" s="338"/>
      <c r="I70" s="338"/>
      <c r="J70" s="338"/>
      <c r="K70" s="338"/>
      <c r="L70" s="339"/>
      <c r="M70" s="338"/>
      <c r="N70" s="338"/>
      <c r="O70" s="338"/>
      <c r="P70" s="338"/>
      <c r="Q70" s="338"/>
      <c r="R70" s="338"/>
      <c r="S70" s="338"/>
      <c r="T70" s="339"/>
      <c r="U70" s="288"/>
      <c r="V70" s="5"/>
    </row>
    <row r="71" spans="1:22" ht="15.6" x14ac:dyDescent="0.3">
      <c r="A71" s="337"/>
      <c r="B71" s="285" t="s">
        <v>21</v>
      </c>
      <c r="C71" s="338"/>
      <c r="D71" s="338"/>
      <c r="E71" s="338"/>
      <c r="F71" s="338"/>
      <c r="G71" s="338"/>
      <c r="H71" s="338"/>
      <c r="I71" s="338"/>
      <c r="J71" s="338">
        <f>SUM(J68:J70)</f>
        <v>1000049</v>
      </c>
      <c r="K71" s="338"/>
      <c r="L71" s="338">
        <f>L68+L69</f>
        <v>581269</v>
      </c>
      <c r="M71" s="338"/>
      <c r="N71" s="338">
        <f>SUM(N68:N70)</f>
        <v>7151</v>
      </c>
      <c r="O71" s="338"/>
      <c r="P71" s="338">
        <f>SUM(P68:P70)</f>
        <v>209</v>
      </c>
      <c r="Q71" s="338"/>
      <c r="R71" s="338">
        <f>SUM(R68:R70)</f>
        <v>0</v>
      </c>
      <c r="S71" s="338"/>
      <c r="T71" s="338">
        <f>SUM(T68:T70)</f>
        <v>574327</v>
      </c>
      <c r="U71" s="288"/>
      <c r="V71" s="5"/>
    </row>
    <row r="72" spans="1:22" ht="15.6" x14ac:dyDescent="0.3">
      <c r="A72" s="175"/>
      <c r="B72" s="334"/>
      <c r="C72" s="335"/>
      <c r="D72" s="335"/>
      <c r="E72" s="335"/>
      <c r="F72" s="335"/>
      <c r="G72" s="335"/>
      <c r="H72" s="335"/>
      <c r="I72" s="335"/>
      <c r="J72" s="335"/>
      <c r="K72" s="335"/>
      <c r="L72" s="335"/>
      <c r="M72" s="335"/>
      <c r="N72" s="335"/>
      <c r="O72" s="335"/>
      <c r="P72" s="335"/>
      <c r="Q72" s="335"/>
      <c r="R72" s="335"/>
      <c r="S72" s="335"/>
      <c r="T72" s="336"/>
      <c r="U72" s="334"/>
      <c r="V72" s="5"/>
    </row>
    <row r="73" spans="1:22" ht="15.6" x14ac:dyDescent="0.3">
      <c r="A73" s="175"/>
      <c r="B73" s="179" t="s">
        <v>22</v>
      </c>
      <c r="C73" s="199"/>
      <c r="D73" s="199"/>
      <c r="E73" s="199"/>
      <c r="F73" s="199"/>
      <c r="G73" s="199"/>
      <c r="H73" s="199"/>
      <c r="I73" s="199"/>
      <c r="J73" s="199"/>
      <c r="K73" s="199"/>
      <c r="L73" s="199"/>
      <c r="M73" s="199"/>
      <c r="N73" s="199"/>
      <c r="O73" s="199"/>
      <c r="P73" s="199"/>
      <c r="Q73" s="199"/>
      <c r="R73" s="199"/>
      <c r="S73" s="199"/>
      <c r="T73" s="200"/>
      <c r="U73" s="177"/>
      <c r="V73" s="5"/>
    </row>
    <row r="74" spans="1:22" ht="15.6" x14ac:dyDescent="0.3">
      <c r="A74" s="175"/>
      <c r="B74" s="177"/>
      <c r="C74" s="199"/>
      <c r="D74" s="199"/>
      <c r="E74" s="199"/>
      <c r="F74" s="199"/>
      <c r="G74" s="199"/>
      <c r="H74" s="199"/>
      <c r="I74" s="199"/>
      <c r="J74" s="199"/>
      <c r="K74" s="199"/>
      <c r="L74" s="199"/>
      <c r="M74" s="199"/>
      <c r="N74" s="199"/>
      <c r="O74" s="199"/>
      <c r="P74" s="199"/>
      <c r="Q74" s="199"/>
      <c r="R74" s="199"/>
      <c r="S74" s="199"/>
      <c r="T74" s="200"/>
      <c r="U74" s="177"/>
      <c r="V74" s="5"/>
    </row>
    <row r="75" spans="1:22" ht="15.6" x14ac:dyDescent="0.3">
      <c r="A75" s="284"/>
      <c r="B75" s="285" t="s">
        <v>19</v>
      </c>
      <c r="C75" s="338"/>
      <c r="D75" s="338"/>
      <c r="E75" s="338"/>
      <c r="F75" s="338"/>
      <c r="G75" s="338"/>
      <c r="H75" s="338"/>
      <c r="I75" s="338"/>
      <c r="J75" s="338"/>
      <c r="K75" s="338"/>
      <c r="L75" s="338"/>
      <c r="M75" s="338"/>
      <c r="N75" s="338"/>
      <c r="O75" s="338"/>
      <c r="P75" s="338"/>
      <c r="Q75" s="338"/>
      <c r="R75" s="338"/>
      <c r="S75" s="338"/>
      <c r="T75" s="338"/>
      <c r="U75" s="288"/>
      <c r="V75" s="5"/>
    </row>
    <row r="76" spans="1:22" ht="15.6" x14ac:dyDescent="0.3">
      <c r="A76" s="284"/>
      <c r="B76" s="285" t="s">
        <v>20</v>
      </c>
      <c r="C76" s="338"/>
      <c r="D76" s="338"/>
      <c r="E76" s="338"/>
      <c r="F76" s="338"/>
      <c r="G76" s="338"/>
      <c r="H76" s="338"/>
      <c r="I76" s="338"/>
      <c r="J76" s="338"/>
      <c r="K76" s="338"/>
      <c r="L76" s="338"/>
      <c r="M76" s="338"/>
      <c r="N76" s="338"/>
      <c r="O76" s="338"/>
      <c r="P76" s="338"/>
      <c r="Q76" s="338"/>
      <c r="R76" s="338"/>
      <c r="S76" s="338"/>
      <c r="T76" s="338"/>
      <c r="U76" s="288"/>
      <c r="V76" s="5"/>
    </row>
    <row r="77" spans="1:22" ht="15.6" x14ac:dyDescent="0.3">
      <c r="A77" s="284"/>
      <c r="B77" s="285"/>
      <c r="C77" s="338"/>
      <c r="D77" s="338"/>
      <c r="E77" s="338"/>
      <c r="F77" s="338"/>
      <c r="G77" s="338"/>
      <c r="H77" s="338"/>
      <c r="I77" s="338"/>
      <c r="J77" s="338"/>
      <c r="K77" s="338"/>
      <c r="L77" s="338"/>
      <c r="M77" s="338"/>
      <c r="N77" s="338"/>
      <c r="O77" s="338"/>
      <c r="P77" s="338"/>
      <c r="Q77" s="338"/>
      <c r="R77" s="338"/>
      <c r="S77" s="338"/>
      <c r="T77" s="338"/>
      <c r="U77" s="288"/>
      <c r="V77" s="5"/>
    </row>
    <row r="78" spans="1:22" ht="15.6" x14ac:dyDescent="0.3">
      <c r="A78" s="284"/>
      <c r="B78" s="285" t="s">
        <v>21</v>
      </c>
      <c r="C78" s="338"/>
      <c r="D78" s="338"/>
      <c r="E78" s="338"/>
      <c r="F78" s="338"/>
      <c r="G78" s="338"/>
      <c r="H78" s="338"/>
      <c r="I78" s="338"/>
      <c r="J78" s="338"/>
      <c r="K78" s="338"/>
      <c r="L78" s="338"/>
      <c r="M78" s="338"/>
      <c r="N78" s="338"/>
      <c r="O78" s="338"/>
      <c r="P78" s="338"/>
      <c r="Q78" s="338"/>
      <c r="R78" s="338"/>
      <c r="S78" s="338"/>
      <c r="T78" s="338"/>
      <c r="U78" s="288"/>
      <c r="V78" s="5"/>
    </row>
    <row r="79" spans="1:22" ht="15.6" x14ac:dyDescent="0.3">
      <c r="A79" s="284"/>
      <c r="B79" s="285"/>
      <c r="C79" s="338"/>
      <c r="D79" s="338"/>
      <c r="E79" s="338"/>
      <c r="F79" s="338"/>
      <c r="G79" s="338"/>
      <c r="H79" s="338"/>
      <c r="I79" s="338"/>
      <c r="J79" s="338"/>
      <c r="K79" s="338"/>
      <c r="L79" s="338"/>
      <c r="M79" s="338"/>
      <c r="N79" s="338"/>
      <c r="O79" s="338"/>
      <c r="P79" s="338"/>
      <c r="Q79" s="338"/>
      <c r="R79" s="338"/>
      <c r="S79" s="338"/>
      <c r="T79" s="338"/>
      <c r="U79" s="288"/>
      <c r="V79" s="5"/>
    </row>
    <row r="80" spans="1:22" ht="15.6" x14ac:dyDescent="0.3">
      <c r="A80" s="284"/>
      <c r="B80" s="285" t="s">
        <v>23</v>
      </c>
      <c r="C80" s="338"/>
      <c r="D80" s="338"/>
      <c r="E80" s="338"/>
      <c r="F80" s="338"/>
      <c r="G80" s="338"/>
      <c r="H80" s="338"/>
      <c r="I80" s="338"/>
      <c r="J80" s="338">
        <v>0</v>
      </c>
      <c r="K80" s="338"/>
      <c r="L80" s="338">
        <v>0</v>
      </c>
      <c r="M80" s="338"/>
      <c r="N80" s="338"/>
      <c r="O80" s="338"/>
      <c r="P80" s="338"/>
      <c r="Q80" s="338"/>
      <c r="R80" s="338"/>
      <c r="S80" s="338"/>
      <c r="T80" s="339">
        <v>0</v>
      </c>
      <c r="U80" s="288"/>
      <c r="V80" s="5"/>
    </row>
    <row r="81" spans="1:22" ht="15.6" x14ac:dyDescent="0.3">
      <c r="A81" s="284"/>
      <c r="B81" s="285" t="s">
        <v>123</v>
      </c>
      <c r="C81" s="338"/>
      <c r="D81" s="338"/>
      <c r="E81" s="338"/>
      <c r="F81" s="338"/>
      <c r="G81" s="338"/>
      <c r="H81" s="338"/>
      <c r="I81" s="338"/>
      <c r="J81" s="338">
        <v>0</v>
      </c>
      <c r="K81" s="338"/>
      <c r="L81" s="338">
        <v>0</v>
      </c>
      <c r="M81" s="338"/>
      <c r="N81" s="338"/>
      <c r="O81" s="338"/>
      <c r="P81" s="338"/>
      <c r="Q81" s="338"/>
      <c r="R81" s="338"/>
      <c r="S81" s="338"/>
      <c r="T81" s="338">
        <f>SUM(J81:P81)</f>
        <v>0</v>
      </c>
      <c r="U81" s="288"/>
      <c r="V81" s="5"/>
    </row>
    <row r="82" spans="1:22" ht="15.6" x14ac:dyDescent="0.3">
      <c r="A82" s="284"/>
      <c r="B82" s="285" t="s">
        <v>152</v>
      </c>
      <c r="C82" s="338"/>
      <c r="D82" s="338"/>
      <c r="E82" s="338"/>
      <c r="F82" s="338"/>
      <c r="G82" s="338"/>
      <c r="H82" s="338"/>
      <c r="I82" s="338"/>
      <c r="J82" s="338">
        <v>1</v>
      </c>
      <c r="K82" s="338"/>
      <c r="L82" s="338">
        <v>0</v>
      </c>
      <c r="M82" s="338"/>
      <c r="N82" s="338">
        <v>0</v>
      </c>
      <c r="O82" s="338"/>
      <c r="P82" s="338"/>
      <c r="Q82" s="338"/>
      <c r="R82" s="338"/>
      <c r="S82" s="338"/>
      <c r="T82" s="338">
        <f>+L82+N82</f>
        <v>0</v>
      </c>
      <c r="U82" s="288"/>
      <c r="V82" s="5"/>
    </row>
    <row r="83" spans="1:22" ht="15.6" x14ac:dyDescent="0.3">
      <c r="A83" s="284"/>
      <c r="B83" s="285" t="s">
        <v>25</v>
      </c>
      <c r="C83" s="338"/>
      <c r="D83" s="338"/>
      <c r="E83" s="338"/>
      <c r="F83" s="338"/>
      <c r="G83" s="338"/>
      <c r="H83" s="338"/>
      <c r="I83" s="338"/>
      <c r="J83" s="338">
        <v>0</v>
      </c>
      <c r="K83" s="338"/>
      <c r="L83" s="338">
        <v>0</v>
      </c>
      <c r="M83" s="338"/>
      <c r="N83" s="338"/>
      <c r="O83" s="338"/>
      <c r="P83" s="338"/>
      <c r="Q83" s="338"/>
      <c r="R83" s="338"/>
      <c r="S83" s="338"/>
      <c r="T83" s="338">
        <v>0</v>
      </c>
      <c r="U83" s="288"/>
      <c r="V83" s="5"/>
    </row>
    <row r="84" spans="1:22" ht="15.6" x14ac:dyDescent="0.3">
      <c r="A84" s="284"/>
      <c r="B84" s="285" t="s">
        <v>26</v>
      </c>
      <c r="C84" s="338"/>
      <c r="D84" s="338"/>
      <c r="E84" s="338"/>
      <c r="F84" s="338"/>
      <c r="G84" s="338"/>
      <c r="H84" s="338"/>
      <c r="I84" s="338"/>
      <c r="J84" s="338">
        <f>SUM(J71:J83)</f>
        <v>1000050</v>
      </c>
      <c r="K84" s="338"/>
      <c r="L84" s="338">
        <f>SUM(L71:L83)</f>
        <v>581269</v>
      </c>
      <c r="M84" s="338"/>
      <c r="N84" s="338"/>
      <c r="O84" s="338"/>
      <c r="P84" s="338"/>
      <c r="Q84" s="338"/>
      <c r="R84" s="338"/>
      <c r="S84" s="338"/>
      <c r="T84" s="338">
        <f>SUM(T71:T83)</f>
        <v>574327</v>
      </c>
      <c r="U84" s="288"/>
      <c r="V84" s="5"/>
    </row>
    <row r="85" spans="1:22" ht="15.6" x14ac:dyDescent="0.3">
      <c r="A85" s="175"/>
      <c r="B85" s="334"/>
      <c r="C85" s="335"/>
      <c r="D85" s="335"/>
      <c r="E85" s="335"/>
      <c r="F85" s="335"/>
      <c r="G85" s="335"/>
      <c r="H85" s="335"/>
      <c r="I85" s="335"/>
      <c r="J85" s="335"/>
      <c r="K85" s="335"/>
      <c r="L85" s="335"/>
      <c r="M85" s="335"/>
      <c r="N85" s="335"/>
      <c r="O85" s="335"/>
      <c r="P85" s="335"/>
      <c r="Q85" s="335"/>
      <c r="R85" s="335"/>
      <c r="S85" s="335"/>
      <c r="T85" s="336"/>
      <c r="U85" s="334"/>
      <c r="V85" s="5"/>
    </row>
    <row r="86" spans="1:22" ht="15.6" x14ac:dyDescent="0.3">
      <c r="A86" s="175"/>
      <c r="B86" s="177"/>
      <c r="C86" s="177"/>
      <c r="D86" s="177"/>
      <c r="E86" s="177"/>
      <c r="F86" s="177"/>
      <c r="G86" s="177"/>
      <c r="H86" s="177"/>
      <c r="I86" s="177"/>
      <c r="J86" s="177"/>
      <c r="K86" s="177"/>
      <c r="L86" s="177"/>
      <c r="M86" s="177"/>
      <c r="N86" s="177"/>
      <c r="O86" s="177"/>
      <c r="P86" s="177"/>
      <c r="Q86" s="177"/>
      <c r="R86" s="177"/>
      <c r="S86" s="177"/>
      <c r="T86" s="177"/>
      <c r="U86" s="177"/>
      <c r="V86" s="5"/>
    </row>
    <row r="87" spans="1:22" ht="15.6" x14ac:dyDescent="0.3">
      <c r="A87" s="222"/>
      <c r="B87" s="395" t="s">
        <v>27</v>
      </c>
      <c r="C87" s="395"/>
      <c r="D87" s="395"/>
      <c r="E87" s="395"/>
      <c r="F87" s="395"/>
      <c r="G87" s="395"/>
      <c r="H87" s="396"/>
      <c r="I87" s="396"/>
      <c r="J87" s="397" t="s">
        <v>98</v>
      </c>
      <c r="K87" s="396"/>
      <c r="L87" s="398">
        <f>+R193</f>
        <v>40724</v>
      </c>
      <c r="M87" s="396"/>
      <c r="N87" s="396"/>
      <c r="O87" s="396"/>
      <c r="P87" s="396"/>
      <c r="Q87" s="396"/>
      <c r="R87" s="396" t="s">
        <v>111</v>
      </c>
      <c r="S87" s="396"/>
      <c r="T87" s="396" t="s">
        <v>119</v>
      </c>
      <c r="U87" s="223"/>
      <c r="V87" s="5"/>
    </row>
    <row r="88" spans="1:22" ht="15.6" x14ac:dyDescent="0.3">
      <c r="A88" s="190"/>
      <c r="B88" s="239" t="s">
        <v>28</v>
      </c>
      <c r="C88" s="239"/>
      <c r="D88" s="239"/>
      <c r="E88" s="239"/>
      <c r="F88" s="239"/>
      <c r="G88" s="239"/>
      <c r="H88" s="239"/>
      <c r="I88" s="239"/>
      <c r="J88" s="239"/>
      <c r="K88" s="239"/>
      <c r="L88" s="239"/>
      <c r="M88" s="239"/>
      <c r="N88" s="239"/>
      <c r="O88" s="239"/>
      <c r="P88" s="239"/>
      <c r="Q88" s="239"/>
      <c r="R88" s="243">
        <v>0</v>
      </c>
      <c r="S88" s="239"/>
      <c r="T88" s="251">
        <v>0</v>
      </c>
      <c r="U88" s="239"/>
      <c r="V88" s="5"/>
    </row>
    <row r="89" spans="1:22" ht="15.6" x14ac:dyDescent="0.3">
      <c r="A89" s="284"/>
      <c r="B89" s="285" t="s">
        <v>29</v>
      </c>
      <c r="C89" s="285"/>
      <c r="D89" s="285"/>
      <c r="E89" s="285"/>
      <c r="F89" s="285"/>
      <c r="G89" s="285"/>
      <c r="H89" s="324"/>
      <c r="I89" s="341"/>
      <c r="J89" s="324"/>
      <c r="K89" s="285"/>
      <c r="L89" s="342"/>
      <c r="M89" s="285"/>
      <c r="N89" s="285"/>
      <c r="O89" s="285"/>
      <c r="P89" s="285"/>
      <c r="Q89" s="285"/>
      <c r="R89" s="338">
        <f>7151-318</f>
        <v>6833</v>
      </c>
      <c r="S89" s="285"/>
      <c r="T89" s="339"/>
      <c r="U89" s="288"/>
      <c r="V89" s="5"/>
    </row>
    <row r="90" spans="1:22" ht="15.6" x14ac:dyDescent="0.3">
      <c r="A90" s="284"/>
      <c r="B90" s="285" t="s">
        <v>225</v>
      </c>
      <c r="C90" s="285"/>
      <c r="D90" s="285"/>
      <c r="E90" s="285"/>
      <c r="F90" s="285"/>
      <c r="G90" s="285"/>
      <c r="H90" s="324"/>
      <c r="I90" s="341"/>
      <c r="J90" s="324"/>
      <c r="K90" s="285"/>
      <c r="L90" s="342"/>
      <c r="M90" s="285"/>
      <c r="N90" s="285"/>
      <c r="O90" s="285"/>
      <c r="P90" s="285"/>
      <c r="Q90" s="285"/>
      <c r="R90" s="338"/>
      <c r="S90" s="285"/>
      <c r="T90" s="339">
        <f>2180+2458-483-333+35</f>
        <v>3857</v>
      </c>
      <c r="U90" s="288"/>
      <c r="V90" s="5"/>
    </row>
    <row r="91" spans="1:22" ht="15.6" x14ac:dyDescent="0.3">
      <c r="A91" s="284"/>
      <c r="B91" s="285" t="s">
        <v>220</v>
      </c>
      <c r="C91" s="285"/>
      <c r="D91" s="285"/>
      <c r="E91" s="285"/>
      <c r="F91" s="285"/>
      <c r="G91" s="285"/>
      <c r="H91" s="324"/>
      <c r="I91" s="341"/>
      <c r="J91" s="324"/>
      <c r="K91" s="285"/>
      <c r="L91" s="342"/>
      <c r="M91" s="285"/>
      <c r="N91" s="285"/>
      <c r="O91" s="285"/>
      <c r="P91" s="285"/>
      <c r="Q91" s="285"/>
      <c r="R91" s="338"/>
      <c r="S91" s="285"/>
      <c r="T91" s="339">
        <f>51+19</f>
        <v>70</v>
      </c>
      <c r="U91" s="288"/>
      <c r="V91" s="5"/>
    </row>
    <row r="92" spans="1:22" ht="15.6" x14ac:dyDescent="0.3">
      <c r="A92" s="284"/>
      <c r="B92" s="285" t="s">
        <v>221</v>
      </c>
      <c r="C92" s="285"/>
      <c r="D92" s="285"/>
      <c r="E92" s="285"/>
      <c r="F92" s="285"/>
      <c r="G92" s="285"/>
      <c r="H92" s="324"/>
      <c r="I92" s="341"/>
      <c r="J92" s="324"/>
      <c r="K92" s="285"/>
      <c r="L92" s="342"/>
      <c r="M92" s="285"/>
      <c r="N92" s="285"/>
      <c r="O92" s="285"/>
      <c r="P92" s="285"/>
      <c r="Q92" s="285"/>
      <c r="R92" s="338"/>
      <c r="S92" s="285"/>
      <c r="T92" s="339">
        <v>28</v>
      </c>
      <c r="U92" s="288"/>
      <c r="V92" s="5"/>
    </row>
    <row r="93" spans="1:22" ht="15.6" x14ac:dyDescent="0.3">
      <c r="A93" s="284"/>
      <c r="B93" s="285" t="s">
        <v>261</v>
      </c>
      <c r="C93" s="285"/>
      <c r="D93" s="285"/>
      <c r="E93" s="285"/>
      <c r="F93" s="285"/>
      <c r="G93" s="285"/>
      <c r="H93" s="324"/>
      <c r="I93" s="341"/>
      <c r="J93" s="324"/>
      <c r="K93" s="285"/>
      <c r="L93" s="342"/>
      <c r="M93" s="285"/>
      <c r="N93" s="285"/>
      <c r="O93" s="285"/>
      <c r="P93" s="285"/>
      <c r="Q93" s="285"/>
      <c r="R93" s="338"/>
      <c r="S93" s="285"/>
      <c r="T93" s="339">
        <v>0</v>
      </c>
      <c r="U93" s="288"/>
      <c r="V93" s="5"/>
    </row>
    <row r="94" spans="1:22" ht="15.6" x14ac:dyDescent="0.3">
      <c r="A94" s="284"/>
      <c r="B94" s="285" t="s">
        <v>141</v>
      </c>
      <c r="C94" s="285"/>
      <c r="D94" s="285"/>
      <c r="E94" s="285"/>
      <c r="F94" s="285"/>
      <c r="G94" s="285"/>
      <c r="H94" s="285"/>
      <c r="I94" s="285"/>
      <c r="J94" s="285"/>
      <c r="K94" s="285"/>
      <c r="L94" s="285"/>
      <c r="M94" s="285"/>
      <c r="N94" s="285"/>
      <c r="O94" s="285"/>
      <c r="P94" s="285"/>
      <c r="Q94" s="285"/>
      <c r="R94" s="338"/>
      <c r="S94" s="285"/>
      <c r="T94" s="339">
        <v>0</v>
      </c>
      <c r="U94" s="288"/>
      <c r="V94" s="5"/>
    </row>
    <row r="95" spans="1:22" ht="15.6" x14ac:dyDescent="0.3">
      <c r="A95" s="284"/>
      <c r="B95" s="285" t="s">
        <v>250</v>
      </c>
      <c r="C95" s="285"/>
      <c r="D95" s="285"/>
      <c r="E95" s="285"/>
      <c r="F95" s="285"/>
      <c r="G95" s="285"/>
      <c r="H95" s="285"/>
      <c r="I95" s="285"/>
      <c r="J95" s="285"/>
      <c r="K95" s="285"/>
      <c r="L95" s="285"/>
      <c r="M95" s="285"/>
      <c r="N95" s="285"/>
      <c r="O95" s="285"/>
      <c r="P95" s="285"/>
      <c r="Q95" s="285"/>
      <c r="R95" s="338"/>
      <c r="S95" s="285"/>
      <c r="T95" s="339">
        <v>283</v>
      </c>
      <c r="U95" s="288"/>
      <c r="V95" s="5"/>
    </row>
    <row r="96" spans="1:22" ht="15.6" x14ac:dyDescent="0.3">
      <c r="A96" s="284"/>
      <c r="B96" s="285" t="s">
        <v>30</v>
      </c>
      <c r="C96" s="285"/>
      <c r="D96" s="285"/>
      <c r="E96" s="285"/>
      <c r="F96" s="285"/>
      <c r="G96" s="285"/>
      <c r="H96" s="285"/>
      <c r="I96" s="285"/>
      <c r="J96" s="285"/>
      <c r="K96" s="285"/>
      <c r="L96" s="285"/>
      <c r="M96" s="285"/>
      <c r="N96" s="285"/>
      <c r="O96" s="285"/>
      <c r="P96" s="285"/>
      <c r="Q96" s="285"/>
      <c r="R96" s="338">
        <f>SUM(R88:R95)</f>
        <v>6833</v>
      </c>
      <c r="S96" s="285"/>
      <c r="T96" s="338">
        <f>SUM(T88:T95)</f>
        <v>4238</v>
      </c>
      <c r="U96" s="288"/>
      <c r="V96" s="5"/>
    </row>
    <row r="97" spans="1:24" ht="15.6" x14ac:dyDescent="0.3">
      <c r="A97" s="284"/>
      <c r="B97" s="285" t="s">
        <v>168</v>
      </c>
      <c r="C97" s="285"/>
      <c r="D97" s="285"/>
      <c r="E97" s="285"/>
      <c r="F97" s="285"/>
      <c r="G97" s="285"/>
      <c r="H97" s="285"/>
      <c r="I97" s="285"/>
      <c r="J97" s="285"/>
      <c r="K97" s="285"/>
      <c r="L97" s="285"/>
      <c r="M97" s="285"/>
      <c r="N97" s="285"/>
      <c r="O97" s="285"/>
      <c r="P97" s="285"/>
      <c r="Q97" s="285"/>
      <c r="R97" s="338">
        <v>-47</v>
      </c>
      <c r="S97" s="285"/>
      <c r="T97" s="338">
        <f>-R97</f>
        <v>47</v>
      </c>
      <c r="U97" s="288"/>
      <c r="V97" s="5"/>
    </row>
    <row r="98" spans="1:24" ht="15.6" x14ac:dyDescent="0.3">
      <c r="A98" s="284"/>
      <c r="B98" s="285" t="s">
        <v>31</v>
      </c>
      <c r="C98" s="285"/>
      <c r="D98" s="285"/>
      <c r="E98" s="285"/>
      <c r="F98" s="285"/>
      <c r="G98" s="285"/>
      <c r="H98" s="285"/>
      <c r="I98" s="285"/>
      <c r="J98" s="285"/>
      <c r="K98" s="285"/>
      <c r="L98" s="285"/>
      <c r="M98" s="285"/>
      <c r="N98" s="285"/>
      <c r="O98" s="285"/>
      <c r="P98" s="285"/>
      <c r="Q98" s="285"/>
      <c r="R98" s="338">
        <f>-T98</f>
        <v>0</v>
      </c>
      <c r="S98" s="285"/>
      <c r="T98" s="339">
        <v>0</v>
      </c>
      <c r="U98" s="288"/>
      <c r="V98" s="5"/>
    </row>
    <row r="99" spans="1:24" ht="15.6" x14ac:dyDescent="0.3">
      <c r="A99" s="284"/>
      <c r="B99" s="285" t="s">
        <v>273</v>
      </c>
      <c r="C99" s="285"/>
      <c r="D99" s="285"/>
      <c r="E99" s="285"/>
      <c r="F99" s="285"/>
      <c r="G99" s="285"/>
      <c r="H99" s="285"/>
      <c r="I99" s="285"/>
      <c r="J99" s="285"/>
      <c r="K99" s="285"/>
      <c r="L99" s="285"/>
      <c r="M99" s="285"/>
      <c r="N99" s="285"/>
      <c r="O99" s="285"/>
      <c r="P99" s="285"/>
      <c r="Q99" s="285"/>
      <c r="R99" s="338"/>
      <c r="S99" s="285"/>
      <c r="T99" s="339">
        <v>20</v>
      </c>
      <c r="U99" s="288"/>
      <c r="V99" s="5"/>
    </row>
    <row r="100" spans="1:24" ht="15.6" x14ac:dyDescent="0.3">
      <c r="A100" s="284"/>
      <c r="B100" s="285" t="s">
        <v>32</v>
      </c>
      <c r="C100" s="285"/>
      <c r="D100" s="285"/>
      <c r="E100" s="285"/>
      <c r="F100" s="285"/>
      <c r="G100" s="285"/>
      <c r="H100" s="285"/>
      <c r="I100" s="285"/>
      <c r="J100" s="285"/>
      <c r="K100" s="285"/>
      <c r="L100" s="285"/>
      <c r="M100" s="285"/>
      <c r="N100" s="285"/>
      <c r="O100" s="285"/>
      <c r="P100" s="285"/>
      <c r="Q100" s="285"/>
      <c r="R100" s="338">
        <f>R96+R98+R97</f>
        <v>6786</v>
      </c>
      <c r="S100" s="285"/>
      <c r="T100" s="338">
        <f>T96+T98+T97+T99</f>
        <v>4305</v>
      </c>
      <c r="U100" s="288"/>
      <c r="V100" s="5"/>
    </row>
    <row r="101" spans="1:24" ht="15.6" x14ac:dyDescent="0.3">
      <c r="A101" s="284"/>
      <c r="B101" s="343" t="s">
        <v>33</v>
      </c>
      <c r="C101" s="311"/>
      <c r="D101" s="311"/>
      <c r="E101" s="311"/>
      <c r="F101" s="311"/>
      <c r="G101" s="311"/>
      <c r="H101" s="311"/>
      <c r="I101" s="311"/>
      <c r="J101" s="311"/>
      <c r="K101" s="311"/>
      <c r="L101" s="311"/>
      <c r="M101" s="311"/>
      <c r="N101" s="311"/>
      <c r="O101" s="311"/>
      <c r="P101" s="311"/>
      <c r="Q101" s="311"/>
      <c r="R101" s="344"/>
      <c r="S101" s="311"/>
      <c r="T101" s="345"/>
      <c r="U101" s="317"/>
      <c r="V101" s="5"/>
    </row>
    <row r="102" spans="1:24" ht="15.6" x14ac:dyDescent="0.3">
      <c r="A102" s="337">
        <v>1</v>
      </c>
      <c r="B102" s="285" t="s">
        <v>34</v>
      </c>
      <c r="C102" s="285"/>
      <c r="D102" s="285"/>
      <c r="E102" s="285"/>
      <c r="F102" s="285"/>
      <c r="G102" s="285"/>
      <c r="H102" s="285"/>
      <c r="I102" s="285"/>
      <c r="J102" s="285"/>
      <c r="K102" s="285"/>
      <c r="L102" s="285"/>
      <c r="M102" s="285"/>
      <c r="N102" s="285"/>
      <c r="O102" s="285"/>
      <c r="P102" s="285"/>
      <c r="Q102" s="285"/>
      <c r="R102" s="285"/>
      <c r="S102" s="285"/>
      <c r="T102" s="339">
        <v>0</v>
      </c>
      <c r="U102" s="288"/>
      <c r="V102" s="5"/>
    </row>
    <row r="103" spans="1:24" ht="15.6" x14ac:dyDescent="0.3">
      <c r="A103" s="337">
        <f>+A102+1</f>
        <v>2</v>
      </c>
      <c r="B103" s="285" t="s">
        <v>255</v>
      </c>
      <c r="C103" s="285"/>
      <c r="D103" s="285"/>
      <c r="E103" s="285"/>
      <c r="F103" s="285"/>
      <c r="G103" s="285"/>
      <c r="H103" s="285"/>
      <c r="I103" s="285"/>
      <c r="J103" s="285"/>
      <c r="K103" s="285"/>
      <c r="L103" s="285"/>
      <c r="M103" s="285"/>
      <c r="N103" s="285"/>
      <c r="O103" s="285"/>
      <c r="P103" s="285"/>
      <c r="Q103" s="285"/>
      <c r="R103" s="285"/>
      <c r="S103" s="285"/>
      <c r="T103" s="339">
        <v>-2</v>
      </c>
      <c r="U103" s="288"/>
      <c r="V103" s="5"/>
    </row>
    <row r="104" spans="1:24" ht="15.6" x14ac:dyDescent="0.3">
      <c r="A104" s="337">
        <f>+A103+1</f>
        <v>3</v>
      </c>
      <c r="B104" s="285" t="s">
        <v>213</v>
      </c>
      <c r="C104" s="285"/>
      <c r="D104" s="285"/>
      <c r="E104" s="285"/>
      <c r="F104" s="285"/>
      <c r="G104" s="285"/>
      <c r="H104" s="285"/>
      <c r="I104" s="285"/>
      <c r="J104" s="285"/>
      <c r="K104" s="285"/>
      <c r="L104" s="285"/>
      <c r="M104" s="285"/>
      <c r="N104" s="285"/>
      <c r="O104" s="285"/>
      <c r="P104" s="285"/>
      <c r="Q104" s="285"/>
      <c r="R104" s="285"/>
      <c r="S104" s="285"/>
      <c r="T104" s="339">
        <f>-219-151-7</f>
        <v>-377</v>
      </c>
      <c r="U104" s="288"/>
      <c r="V104" s="5"/>
    </row>
    <row r="105" spans="1:24" ht="15.6" x14ac:dyDescent="0.3">
      <c r="A105" s="337" t="s">
        <v>133</v>
      </c>
      <c r="B105" s="285" t="s">
        <v>122</v>
      </c>
      <c r="C105" s="285"/>
      <c r="D105" s="285"/>
      <c r="E105" s="285"/>
      <c r="F105" s="285"/>
      <c r="G105" s="285"/>
      <c r="H105" s="285"/>
      <c r="I105" s="285"/>
      <c r="J105" s="285"/>
      <c r="K105" s="285"/>
      <c r="L105" s="285"/>
      <c r="M105" s="285"/>
      <c r="N105" s="285"/>
      <c r="O105" s="285"/>
      <c r="P105" s="285"/>
      <c r="Q105" s="285"/>
      <c r="R105" s="285"/>
      <c r="S105" s="285"/>
      <c r="T105" s="339">
        <v>-101</v>
      </c>
      <c r="U105" s="288"/>
      <c r="V105" s="5"/>
    </row>
    <row r="106" spans="1:24" ht="15.6" x14ac:dyDescent="0.3">
      <c r="A106" s="337" t="s">
        <v>134</v>
      </c>
      <c r="B106" s="285" t="s">
        <v>194</v>
      </c>
      <c r="C106" s="285"/>
      <c r="D106" s="285"/>
      <c r="E106" s="285"/>
      <c r="F106" s="285"/>
      <c r="G106" s="285"/>
      <c r="H106" s="285"/>
      <c r="I106" s="285"/>
      <c r="J106" s="285"/>
      <c r="K106" s="285"/>
      <c r="L106" s="285"/>
      <c r="M106" s="285"/>
      <c r="N106" s="285"/>
      <c r="O106" s="285"/>
      <c r="P106" s="285"/>
      <c r="Q106" s="285"/>
      <c r="R106" s="285"/>
      <c r="S106" s="285"/>
      <c r="T106" s="339">
        <f>204-1100</f>
        <v>-896</v>
      </c>
      <c r="U106" s="288"/>
      <c r="V106" s="5"/>
      <c r="W106" s="109"/>
    </row>
    <row r="107" spans="1:24" ht="15.6" x14ac:dyDescent="0.3">
      <c r="A107" s="337" t="s">
        <v>156</v>
      </c>
      <c r="B107" s="285" t="s">
        <v>191</v>
      </c>
      <c r="C107" s="285"/>
      <c r="D107" s="285"/>
      <c r="E107" s="285"/>
      <c r="F107" s="285"/>
      <c r="G107" s="285"/>
      <c r="H107" s="285"/>
      <c r="I107" s="285"/>
      <c r="J107" s="285"/>
      <c r="K107" s="285"/>
      <c r="L107" s="285"/>
      <c r="M107" s="285"/>
      <c r="N107" s="285"/>
      <c r="O107" s="285"/>
      <c r="P107" s="285"/>
      <c r="Q107" s="285"/>
      <c r="R107" s="285"/>
      <c r="S107" s="285"/>
      <c r="T107" s="339">
        <v>-204</v>
      </c>
      <c r="U107" s="288"/>
      <c r="V107" s="5"/>
      <c r="W107" s="109"/>
    </row>
    <row r="108" spans="1:24" ht="15.6" x14ac:dyDescent="0.3">
      <c r="A108" s="337" t="s">
        <v>214</v>
      </c>
      <c r="B108" s="285" t="s">
        <v>192</v>
      </c>
      <c r="C108" s="285"/>
      <c r="D108" s="285"/>
      <c r="E108" s="285"/>
      <c r="F108" s="285"/>
      <c r="G108" s="285"/>
      <c r="H108" s="285"/>
      <c r="I108" s="285"/>
      <c r="J108" s="285"/>
      <c r="K108" s="285"/>
      <c r="L108" s="285"/>
      <c r="M108" s="285"/>
      <c r="N108" s="285"/>
      <c r="O108" s="285"/>
      <c r="P108" s="285"/>
      <c r="Q108" s="285"/>
      <c r="R108" s="285"/>
      <c r="S108" s="285"/>
      <c r="T108" s="339">
        <v>-187</v>
      </c>
      <c r="U108" s="288"/>
      <c r="V108" s="5"/>
      <c r="W108" s="109"/>
      <c r="X108" s="109"/>
    </row>
    <row r="109" spans="1:24" ht="15.6" x14ac:dyDescent="0.3">
      <c r="A109" s="337" t="s">
        <v>215</v>
      </c>
      <c r="B109" s="285" t="s">
        <v>193</v>
      </c>
      <c r="C109" s="285"/>
      <c r="D109" s="285"/>
      <c r="E109" s="285"/>
      <c r="F109" s="285"/>
      <c r="G109" s="285"/>
      <c r="H109" s="285"/>
      <c r="I109" s="285"/>
      <c r="J109" s="285"/>
      <c r="K109" s="285"/>
      <c r="L109" s="285"/>
      <c r="M109" s="285"/>
      <c r="N109" s="285"/>
      <c r="O109" s="285"/>
      <c r="P109" s="285"/>
      <c r="Q109" s="285"/>
      <c r="R109" s="285"/>
      <c r="S109" s="285"/>
      <c r="T109" s="339">
        <v>-52</v>
      </c>
      <c r="U109" s="288"/>
      <c r="V109" s="169"/>
      <c r="W109" s="109"/>
    </row>
    <row r="110" spans="1:24" ht="15.6" x14ac:dyDescent="0.3">
      <c r="A110" s="337" t="s">
        <v>216</v>
      </c>
      <c r="B110" s="285" t="s">
        <v>204</v>
      </c>
      <c r="C110" s="285"/>
      <c r="D110" s="285"/>
      <c r="E110" s="285"/>
      <c r="F110" s="285"/>
      <c r="G110" s="285"/>
      <c r="H110" s="285"/>
      <c r="I110" s="285"/>
      <c r="J110" s="285"/>
      <c r="K110" s="285"/>
      <c r="L110" s="285"/>
      <c r="M110" s="285"/>
      <c r="N110" s="285"/>
      <c r="O110" s="285"/>
      <c r="P110" s="285"/>
      <c r="Q110" s="285"/>
      <c r="R110" s="285"/>
      <c r="S110" s="285"/>
      <c r="T110" s="339">
        <v>-269</v>
      </c>
      <c r="U110" s="288"/>
      <c r="V110" s="5"/>
      <c r="W110" s="109"/>
    </row>
    <row r="111" spans="1:24" ht="15.6" x14ac:dyDescent="0.3">
      <c r="A111" s="337">
        <v>7</v>
      </c>
      <c r="B111" s="285" t="s">
        <v>35</v>
      </c>
      <c r="C111" s="285"/>
      <c r="D111" s="285"/>
      <c r="E111" s="285"/>
      <c r="F111" s="285"/>
      <c r="G111" s="285"/>
      <c r="H111" s="285"/>
      <c r="I111" s="285"/>
      <c r="J111" s="285"/>
      <c r="K111" s="285"/>
      <c r="L111" s="285"/>
      <c r="M111" s="285"/>
      <c r="N111" s="285"/>
      <c r="O111" s="285"/>
      <c r="P111" s="285"/>
      <c r="Q111" s="285"/>
      <c r="R111" s="285"/>
      <c r="S111" s="285"/>
      <c r="T111" s="339">
        <v>-10</v>
      </c>
      <c r="U111" s="288"/>
      <c r="V111" s="5"/>
    </row>
    <row r="112" spans="1:24" ht="15.6" x14ac:dyDescent="0.3">
      <c r="A112" s="337">
        <f t="shared" ref="A112:A117" si="0">+A111+1</f>
        <v>8</v>
      </c>
      <c r="B112" s="285" t="s">
        <v>46</v>
      </c>
      <c r="C112" s="285"/>
      <c r="D112" s="285"/>
      <c r="E112" s="285"/>
      <c r="F112" s="285"/>
      <c r="G112" s="285"/>
      <c r="H112" s="285"/>
      <c r="I112" s="285"/>
      <c r="J112" s="285"/>
      <c r="K112" s="285"/>
      <c r="L112" s="285"/>
      <c r="M112" s="285"/>
      <c r="N112" s="285"/>
      <c r="O112" s="285"/>
      <c r="P112" s="285"/>
      <c r="Q112" s="285"/>
      <c r="R112" s="338">
        <f>-T112</f>
        <v>318</v>
      </c>
      <c r="S112" s="285"/>
      <c r="T112" s="339">
        <v>-318</v>
      </c>
      <c r="U112" s="288"/>
      <c r="V112" s="5"/>
    </row>
    <row r="113" spans="1:22" ht="15.6" x14ac:dyDescent="0.3">
      <c r="A113" s="337">
        <f t="shared" si="0"/>
        <v>9</v>
      </c>
      <c r="B113" s="285" t="s">
        <v>131</v>
      </c>
      <c r="C113" s="285"/>
      <c r="D113" s="285"/>
      <c r="E113" s="285"/>
      <c r="F113" s="285"/>
      <c r="G113" s="285"/>
      <c r="H113" s="285"/>
      <c r="I113" s="285"/>
      <c r="J113" s="285"/>
      <c r="K113" s="285"/>
      <c r="L113" s="285"/>
      <c r="M113" s="285"/>
      <c r="N113" s="285"/>
      <c r="O113" s="285"/>
      <c r="P113" s="285"/>
      <c r="Q113" s="285"/>
      <c r="R113" s="285"/>
      <c r="S113" s="285"/>
      <c r="T113" s="339">
        <v>0</v>
      </c>
      <c r="U113" s="288"/>
      <c r="V113" s="5"/>
    </row>
    <row r="114" spans="1:22" ht="15.6" x14ac:dyDescent="0.3">
      <c r="A114" s="337">
        <f t="shared" si="0"/>
        <v>10</v>
      </c>
      <c r="B114" s="285" t="s">
        <v>36</v>
      </c>
      <c r="C114" s="285"/>
      <c r="D114" s="285"/>
      <c r="E114" s="285"/>
      <c r="F114" s="285"/>
      <c r="G114" s="285"/>
      <c r="H114" s="285"/>
      <c r="I114" s="285"/>
      <c r="J114" s="285"/>
      <c r="K114" s="285"/>
      <c r="L114" s="285"/>
      <c r="M114" s="285"/>
      <c r="N114" s="285"/>
      <c r="O114" s="285"/>
      <c r="P114" s="285"/>
      <c r="Q114" s="285"/>
      <c r="R114" s="285"/>
      <c r="S114" s="285"/>
      <c r="T114" s="339">
        <v>0</v>
      </c>
      <c r="U114" s="288"/>
      <c r="V114" s="5"/>
    </row>
    <row r="115" spans="1:22" ht="15.6" x14ac:dyDescent="0.3">
      <c r="A115" s="337">
        <f t="shared" si="0"/>
        <v>11</v>
      </c>
      <c r="B115" s="285" t="s">
        <v>37</v>
      </c>
      <c r="C115" s="285"/>
      <c r="D115" s="285"/>
      <c r="E115" s="285"/>
      <c r="F115" s="285"/>
      <c r="G115" s="285"/>
      <c r="H115" s="285"/>
      <c r="I115" s="285"/>
      <c r="J115" s="285"/>
      <c r="K115" s="285"/>
      <c r="L115" s="285"/>
      <c r="M115" s="285"/>
      <c r="N115" s="285"/>
      <c r="O115" s="285"/>
      <c r="P115" s="285"/>
      <c r="Q115" s="285"/>
      <c r="R115" s="285"/>
      <c r="S115" s="285"/>
      <c r="T115" s="339">
        <v>0</v>
      </c>
      <c r="U115" s="288"/>
      <c r="V115" s="5"/>
    </row>
    <row r="116" spans="1:22" ht="15.6" x14ac:dyDescent="0.3">
      <c r="A116" s="337">
        <f t="shared" si="0"/>
        <v>12</v>
      </c>
      <c r="B116" s="285" t="s">
        <v>155</v>
      </c>
      <c r="C116" s="285"/>
      <c r="D116" s="285"/>
      <c r="E116" s="285"/>
      <c r="F116" s="285"/>
      <c r="G116" s="285"/>
      <c r="H116" s="285"/>
      <c r="I116" s="285"/>
      <c r="J116" s="285"/>
      <c r="K116" s="285"/>
      <c r="L116" s="285"/>
      <c r="M116" s="285"/>
      <c r="N116" s="285"/>
      <c r="O116" s="285"/>
      <c r="P116" s="285"/>
      <c r="Q116" s="285"/>
      <c r="R116" s="285"/>
      <c r="S116" s="285"/>
      <c r="T116" s="339">
        <v>-219</v>
      </c>
      <c r="U116" s="288"/>
      <c r="V116" s="5"/>
    </row>
    <row r="117" spans="1:22" ht="15.6" x14ac:dyDescent="0.3">
      <c r="A117" s="337">
        <f t="shared" si="0"/>
        <v>13</v>
      </c>
      <c r="B117" s="285" t="s">
        <v>132</v>
      </c>
      <c r="C117" s="285"/>
      <c r="D117" s="285"/>
      <c r="E117" s="285"/>
      <c r="F117" s="285"/>
      <c r="G117" s="285"/>
      <c r="H117" s="285"/>
      <c r="I117" s="285"/>
      <c r="J117" s="285"/>
      <c r="K117" s="285"/>
      <c r="L117" s="285"/>
      <c r="M117" s="285"/>
      <c r="N117" s="285"/>
      <c r="O117" s="285"/>
      <c r="P117" s="285"/>
      <c r="Q117" s="285"/>
      <c r="R117" s="285"/>
      <c r="S117" s="285"/>
      <c r="T117" s="339">
        <f>-T100-SUM(T102:T116)</f>
        <v>-1670</v>
      </c>
      <c r="U117" s="288"/>
      <c r="V117" s="5"/>
    </row>
    <row r="118" spans="1:22" ht="15.6" x14ac:dyDescent="0.3">
      <c r="A118" s="284"/>
      <c r="B118" s="343" t="s">
        <v>38</v>
      </c>
      <c r="C118" s="311"/>
      <c r="D118" s="311"/>
      <c r="E118" s="311"/>
      <c r="F118" s="311"/>
      <c r="G118" s="311"/>
      <c r="H118" s="311"/>
      <c r="I118" s="311"/>
      <c r="J118" s="311"/>
      <c r="K118" s="311"/>
      <c r="L118" s="311"/>
      <c r="M118" s="311"/>
      <c r="N118" s="311"/>
      <c r="O118" s="311"/>
      <c r="P118" s="311"/>
      <c r="Q118" s="311"/>
      <c r="R118" s="311"/>
      <c r="S118" s="311"/>
      <c r="T118" s="346"/>
      <c r="U118" s="317"/>
      <c r="V118" s="5"/>
    </row>
    <row r="119" spans="1:22" ht="15.6" x14ac:dyDescent="0.3">
      <c r="A119" s="337"/>
      <c r="B119" s="285" t="s">
        <v>180</v>
      </c>
      <c r="C119" s="285"/>
      <c r="D119" s="285"/>
      <c r="E119" s="285"/>
      <c r="F119" s="285"/>
      <c r="G119" s="285"/>
      <c r="H119" s="285"/>
      <c r="I119" s="285"/>
      <c r="J119" s="285"/>
      <c r="K119" s="285"/>
      <c r="L119" s="285"/>
      <c r="M119" s="285"/>
      <c r="N119" s="285"/>
      <c r="O119" s="285"/>
      <c r="P119" s="285"/>
      <c r="Q119" s="285"/>
      <c r="R119" s="338">
        <f>-R177</f>
        <v>0</v>
      </c>
      <c r="S119" s="338"/>
      <c r="T119" s="339"/>
      <c r="U119" s="288"/>
      <c r="V119" s="5"/>
    </row>
    <row r="120" spans="1:22" ht="15.6" x14ac:dyDescent="0.3">
      <c r="A120" s="337"/>
      <c r="B120" s="285" t="s">
        <v>181</v>
      </c>
      <c r="C120" s="285"/>
      <c r="D120" s="285"/>
      <c r="E120" s="285"/>
      <c r="F120" s="285"/>
      <c r="G120" s="285"/>
      <c r="H120" s="285"/>
      <c r="I120" s="285"/>
      <c r="J120" s="285"/>
      <c r="K120" s="285"/>
      <c r="L120" s="285"/>
      <c r="M120" s="285"/>
      <c r="N120" s="285"/>
      <c r="O120" s="285"/>
      <c r="P120" s="285"/>
      <c r="Q120" s="285"/>
      <c r="R120" s="338">
        <v>-19</v>
      </c>
      <c r="S120" s="338"/>
      <c r="T120" s="339"/>
      <c r="U120" s="288"/>
      <c r="V120" s="5"/>
    </row>
    <row r="121" spans="1:22" ht="15.6" x14ac:dyDescent="0.3">
      <c r="A121" s="337"/>
      <c r="B121" s="285" t="s">
        <v>39</v>
      </c>
      <c r="C121" s="285"/>
      <c r="D121" s="285"/>
      <c r="E121" s="285"/>
      <c r="F121" s="285"/>
      <c r="G121" s="285"/>
      <c r="H121" s="285"/>
      <c r="I121" s="285"/>
      <c r="J121" s="285"/>
      <c r="K121" s="285"/>
      <c r="L121" s="285"/>
      <c r="M121" s="285"/>
      <c r="N121" s="285"/>
      <c r="O121" s="285"/>
      <c r="P121" s="285"/>
      <c r="Q121" s="285"/>
      <c r="R121" s="338">
        <f>-Q177</f>
        <v>-143</v>
      </c>
      <c r="S121" s="338"/>
      <c r="T121" s="339"/>
      <c r="U121" s="288"/>
      <c r="V121" s="5"/>
    </row>
    <row r="122" spans="1:22" ht="15.6" x14ac:dyDescent="0.3">
      <c r="A122" s="337"/>
      <c r="B122" s="285" t="s">
        <v>205</v>
      </c>
      <c r="C122" s="285"/>
      <c r="D122" s="285"/>
      <c r="E122" s="285"/>
      <c r="F122" s="285"/>
      <c r="G122" s="285"/>
      <c r="H122" s="285"/>
      <c r="I122" s="285"/>
      <c r="J122" s="285"/>
      <c r="K122" s="285"/>
      <c r="L122" s="285"/>
      <c r="M122" s="285"/>
      <c r="N122" s="285"/>
      <c r="O122" s="285"/>
      <c r="P122" s="285"/>
      <c r="Q122" s="285"/>
      <c r="R122" s="338">
        <v>-4540</v>
      </c>
      <c r="S122" s="338"/>
      <c r="T122" s="339"/>
      <c r="U122" s="288"/>
      <c r="V122" s="5"/>
    </row>
    <row r="123" spans="1:22" ht="15.6" x14ac:dyDescent="0.3">
      <c r="A123" s="337"/>
      <c r="B123" s="285" t="s">
        <v>203</v>
      </c>
      <c r="C123" s="285"/>
      <c r="D123" s="285"/>
      <c r="E123" s="285"/>
      <c r="F123" s="285"/>
      <c r="G123" s="285"/>
      <c r="H123" s="285"/>
      <c r="I123" s="285"/>
      <c r="J123" s="285"/>
      <c r="K123" s="285"/>
      <c r="L123" s="285"/>
      <c r="M123" s="285"/>
      <c r="N123" s="285"/>
      <c r="O123" s="285"/>
      <c r="P123" s="285"/>
      <c r="Q123" s="285"/>
      <c r="R123" s="338">
        <v>-1196</v>
      </c>
      <c r="S123" s="338"/>
      <c r="T123" s="339"/>
      <c r="U123" s="288"/>
      <c r="V123" s="5"/>
    </row>
    <row r="124" spans="1:22" ht="15.6" x14ac:dyDescent="0.3">
      <c r="A124" s="337"/>
      <c r="B124" s="285" t="s">
        <v>202</v>
      </c>
      <c r="C124" s="285"/>
      <c r="D124" s="285"/>
      <c r="E124" s="285"/>
      <c r="F124" s="285"/>
      <c r="G124" s="285"/>
      <c r="H124" s="285"/>
      <c r="I124" s="285"/>
      <c r="J124" s="285"/>
      <c r="K124" s="285"/>
      <c r="L124" s="285"/>
      <c r="M124" s="285"/>
      <c r="N124" s="285"/>
      <c r="O124" s="285"/>
      <c r="P124" s="285"/>
      <c r="Q124" s="285"/>
      <c r="R124" s="338">
        <v>-1206</v>
      </c>
      <c r="S124" s="338"/>
      <c r="T124" s="339"/>
      <c r="U124" s="288"/>
      <c r="V124" s="5"/>
    </row>
    <row r="125" spans="1:22" ht="15.6" x14ac:dyDescent="0.3">
      <c r="A125" s="337"/>
      <c r="B125" s="285" t="s">
        <v>197</v>
      </c>
      <c r="C125" s="285"/>
      <c r="D125" s="285"/>
      <c r="E125" s="285"/>
      <c r="F125" s="285"/>
      <c r="G125" s="285"/>
      <c r="H125" s="285"/>
      <c r="I125" s="285"/>
      <c r="J125" s="285"/>
      <c r="K125" s="285"/>
      <c r="L125" s="285"/>
      <c r="M125" s="285"/>
      <c r="N125" s="285"/>
      <c r="O125" s="285"/>
      <c r="P125" s="285"/>
      <c r="Q125" s="285"/>
      <c r="R125" s="338">
        <v>0</v>
      </c>
      <c r="S125" s="338"/>
      <c r="T125" s="339"/>
      <c r="U125" s="288"/>
      <c r="V125" s="5"/>
    </row>
    <row r="126" spans="1:22" ht="15.6" x14ac:dyDescent="0.3">
      <c r="A126" s="337"/>
      <c r="B126" s="285" t="s">
        <v>196</v>
      </c>
      <c r="C126" s="285"/>
      <c r="D126" s="285"/>
      <c r="E126" s="285"/>
      <c r="F126" s="285"/>
      <c r="G126" s="285"/>
      <c r="H126" s="285"/>
      <c r="I126" s="285"/>
      <c r="J126" s="285"/>
      <c r="K126" s="285"/>
      <c r="L126" s="285"/>
      <c r="M126" s="285"/>
      <c r="N126" s="285"/>
      <c r="O126" s="285"/>
      <c r="P126" s="285"/>
      <c r="Q126" s="285"/>
      <c r="R126" s="338">
        <v>0</v>
      </c>
      <c r="S126" s="338"/>
      <c r="T126" s="339"/>
      <c r="U126" s="288"/>
      <c r="V126" s="5"/>
    </row>
    <row r="127" spans="1:22" ht="15.6" x14ac:dyDescent="0.3">
      <c r="A127" s="337"/>
      <c r="B127" s="285" t="s">
        <v>195</v>
      </c>
      <c r="C127" s="285"/>
      <c r="D127" s="285"/>
      <c r="E127" s="285"/>
      <c r="F127" s="285"/>
      <c r="G127" s="285"/>
      <c r="H127" s="285"/>
      <c r="I127" s="285"/>
      <c r="J127" s="285"/>
      <c r="K127" s="285"/>
      <c r="L127" s="285"/>
      <c r="M127" s="285"/>
      <c r="N127" s="285"/>
      <c r="O127" s="285"/>
      <c r="P127" s="285"/>
      <c r="Q127" s="285"/>
      <c r="R127" s="338">
        <v>0</v>
      </c>
      <c r="S127" s="338"/>
      <c r="T127" s="339"/>
      <c r="U127" s="288"/>
      <c r="V127" s="5"/>
    </row>
    <row r="128" spans="1:22" ht="15.6" x14ac:dyDescent="0.3">
      <c r="A128" s="337"/>
      <c r="B128" s="285" t="s">
        <v>40</v>
      </c>
      <c r="C128" s="285"/>
      <c r="D128" s="285"/>
      <c r="E128" s="285"/>
      <c r="F128" s="285"/>
      <c r="G128" s="285"/>
      <c r="H128" s="285"/>
      <c r="I128" s="285"/>
      <c r="J128" s="285"/>
      <c r="K128" s="285"/>
      <c r="L128" s="285"/>
      <c r="M128" s="285"/>
      <c r="N128" s="285"/>
      <c r="O128" s="285"/>
      <c r="P128" s="285"/>
      <c r="Q128" s="285"/>
      <c r="R128" s="338">
        <f>SUM(R119:R127)</f>
        <v>-7104</v>
      </c>
      <c r="S128" s="338"/>
      <c r="T128" s="338">
        <f>SUM(T101:T126)</f>
        <v>-4305</v>
      </c>
      <c r="U128" s="288"/>
      <c r="V128" s="5"/>
    </row>
    <row r="129" spans="1:23" ht="15.6" x14ac:dyDescent="0.3">
      <c r="A129" s="337"/>
      <c r="B129" s="285" t="s">
        <v>41</v>
      </c>
      <c r="C129" s="285"/>
      <c r="D129" s="285"/>
      <c r="E129" s="285"/>
      <c r="F129" s="285"/>
      <c r="G129" s="285"/>
      <c r="H129" s="285"/>
      <c r="I129" s="285"/>
      <c r="J129" s="285"/>
      <c r="K129" s="285"/>
      <c r="L129" s="285"/>
      <c r="M129" s="285"/>
      <c r="N129" s="285"/>
      <c r="O129" s="285"/>
      <c r="P129" s="285"/>
      <c r="Q129" s="285"/>
      <c r="R129" s="338">
        <f>R100+R128+R112</f>
        <v>0</v>
      </c>
      <c r="S129" s="338"/>
      <c r="T129" s="338">
        <f>T100+T128</f>
        <v>0</v>
      </c>
      <c r="U129" s="288"/>
      <c r="V129" s="5"/>
    </row>
    <row r="130" spans="1:23" ht="15.6" x14ac:dyDescent="0.3">
      <c r="A130" s="256"/>
      <c r="B130" s="281"/>
      <c r="C130" s="281"/>
      <c r="D130" s="281"/>
      <c r="E130" s="281"/>
      <c r="F130" s="281"/>
      <c r="G130" s="281"/>
      <c r="H130" s="281"/>
      <c r="I130" s="281"/>
      <c r="J130" s="281"/>
      <c r="K130" s="281"/>
      <c r="L130" s="281"/>
      <c r="M130" s="281"/>
      <c r="N130" s="281"/>
      <c r="O130" s="281"/>
      <c r="P130" s="281"/>
      <c r="Q130" s="281"/>
      <c r="R130" s="340"/>
      <c r="S130" s="340"/>
      <c r="T130" s="340"/>
      <c r="U130" s="281"/>
      <c r="V130" s="5"/>
    </row>
    <row r="131" spans="1:23" ht="15.6" x14ac:dyDescent="0.3">
      <c r="A131" s="256"/>
      <c r="B131" s="231"/>
      <c r="C131" s="231"/>
      <c r="D131" s="231"/>
      <c r="E131" s="231"/>
      <c r="F131" s="231"/>
      <c r="G131" s="231"/>
      <c r="H131" s="231"/>
      <c r="I131" s="231"/>
      <c r="J131" s="231"/>
      <c r="K131" s="231"/>
      <c r="L131" s="231"/>
      <c r="M131" s="231"/>
      <c r="N131" s="231"/>
      <c r="O131" s="231"/>
      <c r="P131" s="231"/>
      <c r="Q131" s="231"/>
      <c r="R131" s="231"/>
      <c r="S131" s="231"/>
      <c r="T131" s="257"/>
      <c r="U131" s="231"/>
      <c r="V131" s="5"/>
    </row>
    <row r="132" spans="1:23" ht="18" thickBot="1" x14ac:dyDescent="0.35">
      <c r="A132" s="258"/>
      <c r="B132" s="246" t="str">
        <f>B64</f>
        <v>PM11 INVESTOR REPORT QUARTER ENDING JUNE 2011</v>
      </c>
      <c r="C132" s="247"/>
      <c r="D132" s="247"/>
      <c r="E132" s="247"/>
      <c r="F132" s="247"/>
      <c r="G132" s="247"/>
      <c r="H132" s="247"/>
      <c r="I132" s="247"/>
      <c r="J132" s="247"/>
      <c r="K132" s="247"/>
      <c r="L132" s="247"/>
      <c r="M132" s="247"/>
      <c r="N132" s="247"/>
      <c r="O132" s="247"/>
      <c r="P132" s="247"/>
      <c r="Q132" s="247"/>
      <c r="R132" s="247"/>
      <c r="S132" s="247"/>
      <c r="T132" s="259"/>
      <c r="U132" s="249"/>
      <c r="V132" s="5"/>
    </row>
    <row r="133" spans="1:23" ht="15.6" x14ac:dyDescent="0.3">
      <c r="A133" s="260"/>
      <c r="B133" s="399" t="s">
        <v>42</v>
      </c>
      <c r="C133" s="261"/>
      <c r="D133" s="261"/>
      <c r="E133" s="261"/>
      <c r="F133" s="261"/>
      <c r="G133" s="261"/>
      <c r="H133" s="261"/>
      <c r="I133" s="261"/>
      <c r="J133" s="261"/>
      <c r="K133" s="261"/>
      <c r="L133" s="261"/>
      <c r="M133" s="261"/>
      <c r="N133" s="261"/>
      <c r="O133" s="261"/>
      <c r="P133" s="261"/>
      <c r="Q133" s="261"/>
      <c r="R133" s="261"/>
      <c r="S133" s="261"/>
      <c r="T133" s="262"/>
      <c r="U133" s="261"/>
      <c r="V133" s="5"/>
    </row>
    <row r="134" spans="1:23" ht="15.6" x14ac:dyDescent="0.3">
      <c r="A134" s="175"/>
      <c r="B134" s="187"/>
      <c r="C134" s="177"/>
      <c r="D134" s="177"/>
      <c r="E134" s="177"/>
      <c r="F134" s="177"/>
      <c r="G134" s="177"/>
      <c r="H134" s="177"/>
      <c r="I134" s="177"/>
      <c r="J134" s="177"/>
      <c r="K134" s="177"/>
      <c r="L134" s="177"/>
      <c r="M134" s="177"/>
      <c r="N134" s="177"/>
      <c r="O134" s="177"/>
      <c r="P134" s="177"/>
      <c r="Q134" s="177"/>
      <c r="R134" s="177"/>
      <c r="S134" s="177"/>
      <c r="T134" s="194"/>
      <c r="U134" s="177"/>
      <c r="V134" s="5"/>
    </row>
    <row r="135" spans="1:23" ht="15.6" x14ac:dyDescent="0.3">
      <c r="A135" s="175"/>
      <c r="B135" s="201" t="s">
        <v>43</v>
      </c>
      <c r="C135" s="177"/>
      <c r="D135" s="177"/>
      <c r="E135" s="177"/>
      <c r="F135" s="177"/>
      <c r="G135" s="177"/>
      <c r="H135" s="177"/>
      <c r="I135" s="177"/>
      <c r="J135" s="177"/>
      <c r="K135" s="177"/>
      <c r="L135" s="177"/>
      <c r="M135" s="177"/>
      <c r="N135" s="177"/>
      <c r="O135" s="177"/>
      <c r="P135" s="177"/>
      <c r="Q135" s="177"/>
      <c r="R135" s="177"/>
      <c r="S135" s="177"/>
      <c r="T135" s="194"/>
      <c r="U135" s="177"/>
      <c r="V135" s="5"/>
    </row>
    <row r="136" spans="1:23" ht="15.6" x14ac:dyDescent="0.3">
      <c r="A136" s="284"/>
      <c r="B136" s="285" t="s">
        <v>44</v>
      </c>
      <c r="C136" s="285"/>
      <c r="D136" s="285"/>
      <c r="E136" s="285"/>
      <c r="F136" s="285"/>
      <c r="G136" s="285"/>
      <c r="H136" s="285"/>
      <c r="I136" s="285"/>
      <c r="J136" s="285"/>
      <c r="K136" s="285"/>
      <c r="L136" s="285"/>
      <c r="M136" s="285"/>
      <c r="N136" s="285"/>
      <c r="O136" s="285"/>
      <c r="P136" s="285"/>
      <c r="Q136" s="285"/>
      <c r="R136" s="285"/>
      <c r="S136" s="285"/>
      <c r="T136" s="339">
        <f>+T34*0.019</f>
        <v>19000.95</v>
      </c>
      <c r="U136" s="288"/>
      <c r="V136" s="5"/>
    </row>
    <row r="137" spans="1:23" ht="15.6" x14ac:dyDescent="0.3">
      <c r="A137" s="284"/>
      <c r="B137" s="285" t="s">
        <v>45</v>
      </c>
      <c r="C137" s="285"/>
      <c r="D137" s="285"/>
      <c r="E137" s="285"/>
      <c r="F137" s="285"/>
      <c r="G137" s="285"/>
      <c r="H137" s="285"/>
      <c r="I137" s="285"/>
      <c r="J137" s="285"/>
      <c r="K137" s="285"/>
      <c r="L137" s="285"/>
      <c r="M137" s="285"/>
      <c r="N137" s="285"/>
      <c r="O137" s="285"/>
      <c r="P137" s="285"/>
      <c r="Q137" s="285"/>
      <c r="R137" s="285"/>
      <c r="S137" s="285"/>
      <c r="T137" s="339">
        <v>19001</v>
      </c>
      <c r="U137" s="288"/>
      <c r="V137" s="5"/>
    </row>
    <row r="138" spans="1:23" ht="15.6" x14ac:dyDescent="0.3">
      <c r="A138" s="284"/>
      <c r="B138" s="285" t="s">
        <v>142</v>
      </c>
      <c r="C138" s="285"/>
      <c r="D138" s="285"/>
      <c r="E138" s="285"/>
      <c r="F138" s="285"/>
      <c r="G138" s="285"/>
      <c r="H138" s="285"/>
      <c r="I138" s="285"/>
      <c r="J138" s="285"/>
      <c r="K138" s="285"/>
      <c r="L138" s="285"/>
      <c r="M138" s="285"/>
      <c r="N138" s="285"/>
      <c r="O138" s="285"/>
      <c r="P138" s="285"/>
      <c r="Q138" s="285"/>
      <c r="R138" s="285"/>
      <c r="S138" s="285"/>
      <c r="T138" s="339">
        <v>0</v>
      </c>
      <c r="U138" s="288"/>
      <c r="V138" s="5"/>
    </row>
    <row r="139" spans="1:23" ht="15.6" x14ac:dyDescent="0.3">
      <c r="A139" s="284"/>
      <c r="B139" s="285" t="s">
        <v>129</v>
      </c>
      <c r="C139" s="285"/>
      <c r="D139" s="285"/>
      <c r="E139" s="285"/>
      <c r="F139" s="285"/>
      <c r="G139" s="285"/>
      <c r="H139" s="285"/>
      <c r="I139" s="285"/>
      <c r="J139" s="285"/>
      <c r="K139" s="285"/>
      <c r="L139" s="285"/>
      <c r="M139" s="285"/>
      <c r="N139" s="285"/>
      <c r="O139" s="285"/>
      <c r="P139" s="285"/>
      <c r="Q139" s="285"/>
      <c r="R139" s="285"/>
      <c r="S139" s="285"/>
      <c r="T139" s="339">
        <v>0</v>
      </c>
      <c r="U139" s="288"/>
      <c r="V139" s="5"/>
    </row>
    <row r="140" spans="1:23" ht="15.6" x14ac:dyDescent="0.3">
      <c r="A140" s="284"/>
      <c r="B140" s="285" t="s">
        <v>130</v>
      </c>
      <c r="C140" s="285"/>
      <c r="D140" s="285"/>
      <c r="E140" s="285"/>
      <c r="F140" s="285"/>
      <c r="G140" s="285"/>
      <c r="H140" s="285"/>
      <c r="I140" s="285"/>
      <c r="J140" s="285"/>
      <c r="K140" s="285"/>
      <c r="L140" s="285"/>
      <c r="M140" s="285"/>
      <c r="N140" s="285"/>
      <c r="O140" s="285"/>
      <c r="P140" s="285"/>
      <c r="Q140" s="285"/>
      <c r="R140" s="285"/>
      <c r="S140" s="285"/>
      <c r="T140" s="339">
        <v>0</v>
      </c>
      <c r="U140" s="288"/>
      <c r="V140" s="5"/>
    </row>
    <row r="141" spans="1:23" ht="15.6" x14ac:dyDescent="0.3">
      <c r="A141" s="284"/>
      <c r="B141" s="285" t="s">
        <v>182</v>
      </c>
      <c r="C141" s="285"/>
      <c r="D141" s="285"/>
      <c r="E141" s="285"/>
      <c r="F141" s="285"/>
      <c r="G141" s="285"/>
      <c r="H141" s="285"/>
      <c r="I141" s="285"/>
      <c r="J141" s="285"/>
      <c r="K141" s="285"/>
      <c r="L141" s="285"/>
      <c r="M141" s="285"/>
      <c r="N141" s="285"/>
      <c r="O141" s="285"/>
      <c r="P141" s="285"/>
      <c r="Q141" s="285"/>
      <c r="R141" s="285"/>
      <c r="S141" s="285"/>
      <c r="T141" s="339">
        <v>0</v>
      </c>
      <c r="U141" s="288"/>
      <c r="V141" s="5"/>
    </row>
    <row r="142" spans="1:23" ht="15.6" x14ac:dyDescent="0.3">
      <c r="A142" s="284"/>
      <c r="B142" s="285" t="s">
        <v>46</v>
      </c>
      <c r="C142" s="285"/>
      <c r="D142" s="285"/>
      <c r="E142" s="285"/>
      <c r="F142" s="285"/>
      <c r="G142" s="285"/>
      <c r="H142" s="285"/>
      <c r="I142" s="285"/>
      <c r="J142" s="285"/>
      <c r="K142" s="285"/>
      <c r="L142" s="285"/>
      <c r="M142" s="285"/>
      <c r="N142" s="285"/>
      <c r="O142" s="285"/>
      <c r="P142" s="285"/>
      <c r="Q142" s="285"/>
      <c r="R142" s="285"/>
      <c r="S142" s="285"/>
      <c r="T142" s="339">
        <v>0</v>
      </c>
      <c r="U142" s="288"/>
      <c r="V142" s="5"/>
    </row>
    <row r="143" spans="1:23" ht="15.6" x14ac:dyDescent="0.3">
      <c r="A143" s="284"/>
      <c r="B143" s="285" t="s">
        <v>135</v>
      </c>
      <c r="C143" s="285"/>
      <c r="D143" s="285"/>
      <c r="E143" s="285"/>
      <c r="F143" s="285"/>
      <c r="G143" s="285"/>
      <c r="H143" s="285"/>
      <c r="I143" s="285"/>
      <c r="J143" s="285"/>
      <c r="K143" s="285"/>
      <c r="L143" s="285"/>
      <c r="M143" s="285"/>
      <c r="N143" s="285"/>
      <c r="O143" s="285"/>
      <c r="P143" s="285"/>
      <c r="Q143" s="285"/>
      <c r="R143" s="285"/>
      <c r="S143" s="285"/>
      <c r="T143" s="339">
        <v>0</v>
      </c>
      <c r="U143" s="288"/>
      <c r="V143" s="5"/>
    </row>
    <row r="144" spans="1:23" ht="15.6" x14ac:dyDescent="0.3">
      <c r="A144" s="284"/>
      <c r="B144" s="285" t="s">
        <v>251</v>
      </c>
      <c r="C144" s="285"/>
      <c r="D144" s="285"/>
      <c r="E144" s="285"/>
      <c r="F144" s="285"/>
      <c r="G144" s="285"/>
      <c r="H144" s="285"/>
      <c r="I144" s="285"/>
      <c r="J144" s="285"/>
      <c r="K144" s="285"/>
      <c r="L144" s="285"/>
      <c r="M144" s="285"/>
      <c r="N144" s="285"/>
      <c r="O144" s="285"/>
      <c r="P144" s="285"/>
      <c r="Q144" s="285"/>
      <c r="R144" s="285"/>
      <c r="S144" s="285"/>
      <c r="T144" s="339">
        <v>0</v>
      </c>
      <c r="U144" s="288"/>
      <c r="V144" s="5"/>
      <c r="W144" s="109"/>
    </row>
    <row r="145" spans="1:22" ht="15.6" x14ac:dyDescent="0.3">
      <c r="A145" s="284"/>
      <c r="B145" s="285" t="s">
        <v>47</v>
      </c>
      <c r="C145" s="285"/>
      <c r="D145" s="285"/>
      <c r="E145" s="285"/>
      <c r="F145" s="285"/>
      <c r="G145" s="285"/>
      <c r="H145" s="285"/>
      <c r="I145" s="285"/>
      <c r="J145" s="285"/>
      <c r="K145" s="285"/>
      <c r="L145" s="285"/>
      <c r="M145" s="285"/>
      <c r="N145" s="285"/>
      <c r="O145" s="285"/>
      <c r="P145" s="285"/>
      <c r="Q145" s="285"/>
      <c r="R145" s="285"/>
      <c r="S145" s="285"/>
      <c r="T145" s="339">
        <f>SUM(T137:T144)</f>
        <v>19001</v>
      </c>
      <c r="U145" s="288"/>
      <c r="V145" s="5"/>
    </row>
    <row r="146" spans="1:22" ht="15.6" x14ac:dyDescent="0.3">
      <c r="A146" s="284"/>
      <c r="B146" s="311"/>
      <c r="C146" s="311"/>
      <c r="D146" s="311"/>
      <c r="E146" s="311"/>
      <c r="F146" s="311"/>
      <c r="G146" s="311"/>
      <c r="H146" s="311"/>
      <c r="I146" s="311"/>
      <c r="J146" s="311"/>
      <c r="K146" s="311"/>
      <c r="L146" s="311"/>
      <c r="M146" s="311"/>
      <c r="N146" s="311"/>
      <c r="O146" s="311"/>
      <c r="P146" s="311"/>
      <c r="Q146" s="311"/>
      <c r="R146" s="311"/>
      <c r="S146" s="311"/>
      <c r="T146" s="345"/>
      <c r="U146" s="317"/>
      <c r="V146" s="5"/>
    </row>
    <row r="147" spans="1:22" ht="15.6" x14ac:dyDescent="0.3">
      <c r="A147" s="284"/>
      <c r="B147" s="343" t="s">
        <v>262</v>
      </c>
      <c r="C147" s="311"/>
      <c r="D147" s="311"/>
      <c r="E147" s="311"/>
      <c r="F147" s="311"/>
      <c r="G147" s="311"/>
      <c r="H147" s="311"/>
      <c r="I147" s="311"/>
      <c r="J147" s="311"/>
      <c r="K147" s="311"/>
      <c r="L147" s="311"/>
      <c r="M147" s="311"/>
      <c r="N147" s="311"/>
      <c r="O147" s="311"/>
      <c r="P147" s="311"/>
      <c r="Q147" s="311"/>
      <c r="R147" s="311"/>
      <c r="S147" s="311"/>
      <c r="T147" s="345"/>
      <c r="U147" s="317"/>
      <c r="V147" s="5"/>
    </row>
    <row r="148" spans="1:22" ht="15.6" x14ac:dyDescent="0.3">
      <c r="A148" s="284"/>
      <c r="B148" s="285" t="s">
        <v>263</v>
      </c>
      <c r="C148" s="285"/>
      <c r="D148" s="285"/>
      <c r="E148" s="285"/>
      <c r="F148" s="285"/>
      <c r="G148" s="285"/>
      <c r="H148" s="285"/>
      <c r="I148" s="285"/>
      <c r="J148" s="285"/>
      <c r="K148" s="285"/>
      <c r="L148" s="285"/>
      <c r="M148" s="285"/>
      <c r="N148" s="285"/>
      <c r="O148" s="285"/>
      <c r="P148" s="285"/>
      <c r="Q148" s="285"/>
      <c r="R148" s="285"/>
      <c r="S148" s="285"/>
      <c r="T148" s="339">
        <v>0</v>
      </c>
      <c r="U148" s="288"/>
      <c r="V148" s="5"/>
    </row>
    <row r="149" spans="1:22" ht="15.6" x14ac:dyDescent="0.3">
      <c r="A149" s="284"/>
      <c r="B149" s="285" t="s">
        <v>179</v>
      </c>
      <c r="C149" s="285"/>
      <c r="D149" s="285"/>
      <c r="E149" s="285"/>
      <c r="F149" s="285"/>
      <c r="G149" s="285"/>
      <c r="H149" s="285"/>
      <c r="I149" s="285"/>
      <c r="J149" s="285"/>
      <c r="K149" s="285"/>
      <c r="L149" s="285"/>
      <c r="M149" s="285"/>
      <c r="N149" s="285"/>
      <c r="O149" s="285"/>
      <c r="P149" s="285"/>
      <c r="Q149" s="285"/>
      <c r="R149" s="285"/>
      <c r="S149" s="285"/>
      <c r="T149" s="339">
        <v>0</v>
      </c>
      <c r="U149" s="288"/>
      <c r="V149" s="5"/>
    </row>
    <row r="150" spans="1:22" ht="15.6" x14ac:dyDescent="0.3">
      <c r="A150" s="284"/>
      <c r="B150" s="285" t="s">
        <v>264</v>
      </c>
      <c r="C150" s="285"/>
      <c r="D150" s="285"/>
      <c r="E150" s="285"/>
      <c r="F150" s="285"/>
      <c r="G150" s="285"/>
      <c r="H150" s="285"/>
      <c r="I150" s="285"/>
      <c r="J150" s="285"/>
      <c r="K150" s="285"/>
      <c r="L150" s="285"/>
      <c r="M150" s="285"/>
      <c r="N150" s="285"/>
      <c r="O150" s="285"/>
      <c r="P150" s="285"/>
      <c r="Q150" s="285"/>
      <c r="R150" s="285"/>
      <c r="S150" s="285"/>
      <c r="T150" s="339">
        <v>0</v>
      </c>
      <c r="U150" s="288"/>
      <c r="V150" s="5"/>
    </row>
    <row r="151" spans="1:22" ht="15.6" x14ac:dyDescent="0.3">
      <c r="A151" s="284"/>
      <c r="B151" s="285"/>
      <c r="C151" s="285"/>
      <c r="D151" s="285"/>
      <c r="E151" s="285"/>
      <c r="F151" s="285"/>
      <c r="G151" s="285"/>
      <c r="H151" s="285"/>
      <c r="I151" s="285"/>
      <c r="J151" s="285"/>
      <c r="K151" s="285"/>
      <c r="L151" s="285"/>
      <c r="M151" s="285"/>
      <c r="N151" s="285"/>
      <c r="O151" s="285"/>
      <c r="P151" s="285"/>
      <c r="Q151" s="285"/>
      <c r="R151" s="285"/>
      <c r="S151" s="285"/>
      <c r="T151" s="339"/>
      <c r="U151" s="288"/>
      <c r="V151" s="5"/>
    </row>
    <row r="152" spans="1:22" ht="15.6" x14ac:dyDescent="0.3">
      <c r="A152" s="175"/>
      <c r="B152" s="334"/>
      <c r="C152" s="334"/>
      <c r="D152" s="334"/>
      <c r="E152" s="334"/>
      <c r="F152" s="334"/>
      <c r="G152" s="334"/>
      <c r="H152" s="334"/>
      <c r="I152" s="334"/>
      <c r="J152" s="334"/>
      <c r="K152" s="334"/>
      <c r="L152" s="334"/>
      <c r="M152" s="334"/>
      <c r="N152" s="334"/>
      <c r="O152" s="334"/>
      <c r="P152" s="334"/>
      <c r="Q152" s="334"/>
      <c r="R152" s="334"/>
      <c r="S152" s="334"/>
      <c r="T152" s="347"/>
      <c r="U152" s="334"/>
      <c r="V152" s="5"/>
    </row>
    <row r="153" spans="1:22" ht="15.6" x14ac:dyDescent="0.3">
      <c r="A153" s="175"/>
      <c r="B153" s="201" t="s">
        <v>24</v>
      </c>
      <c r="C153" s="177"/>
      <c r="D153" s="177"/>
      <c r="E153" s="177"/>
      <c r="F153" s="177"/>
      <c r="G153" s="177"/>
      <c r="H153" s="177"/>
      <c r="I153" s="177"/>
      <c r="J153" s="177"/>
      <c r="K153" s="177"/>
      <c r="L153" s="177"/>
      <c r="M153" s="177"/>
      <c r="N153" s="177"/>
      <c r="O153" s="177"/>
      <c r="P153" s="177"/>
      <c r="Q153" s="177"/>
      <c r="R153" s="177"/>
      <c r="S153" s="177"/>
      <c r="T153" s="194"/>
      <c r="U153" s="177"/>
      <c r="V153" s="5"/>
    </row>
    <row r="154" spans="1:22" ht="15.6" x14ac:dyDescent="0.3">
      <c r="A154" s="284"/>
      <c r="B154" s="285" t="s">
        <v>48</v>
      </c>
      <c r="C154" s="285"/>
      <c r="D154" s="285"/>
      <c r="E154" s="285"/>
      <c r="F154" s="285"/>
      <c r="G154" s="285"/>
      <c r="H154" s="285"/>
      <c r="I154" s="285"/>
      <c r="J154" s="285"/>
      <c r="K154" s="285"/>
      <c r="L154" s="285"/>
      <c r="M154" s="285"/>
      <c r="N154" s="285"/>
      <c r="O154" s="285"/>
      <c r="P154" s="285"/>
      <c r="Q154" s="285"/>
      <c r="R154" s="285"/>
      <c r="S154" s="285"/>
      <c r="T154" s="348" t="s">
        <v>124</v>
      </c>
      <c r="U154" s="288"/>
      <c r="V154" s="5"/>
    </row>
    <row r="155" spans="1:22" ht="15.6" x14ac:dyDescent="0.3">
      <c r="A155" s="284"/>
      <c r="B155" s="285" t="s">
        <v>49</v>
      </c>
      <c r="C155" s="287"/>
      <c r="D155" s="287"/>
      <c r="E155" s="287"/>
      <c r="F155" s="287"/>
      <c r="G155" s="287"/>
      <c r="H155" s="287"/>
      <c r="I155" s="287"/>
      <c r="J155" s="287"/>
      <c r="K155" s="287"/>
      <c r="L155" s="287"/>
      <c r="M155" s="287"/>
      <c r="N155" s="287"/>
      <c r="O155" s="287"/>
      <c r="P155" s="287"/>
      <c r="Q155" s="287"/>
      <c r="R155" s="287"/>
      <c r="S155" s="287"/>
      <c r="T155" s="348" t="s">
        <v>124</v>
      </c>
      <c r="U155" s="288"/>
      <c r="V155" s="5"/>
    </row>
    <row r="156" spans="1:22" ht="15.6" x14ac:dyDescent="0.3">
      <c r="A156" s="284"/>
      <c r="B156" s="285" t="s">
        <v>50</v>
      </c>
      <c r="C156" s="285"/>
      <c r="D156" s="285"/>
      <c r="E156" s="285"/>
      <c r="F156" s="285"/>
      <c r="G156" s="285"/>
      <c r="H156" s="285"/>
      <c r="I156" s="285"/>
      <c r="J156" s="285"/>
      <c r="K156" s="285"/>
      <c r="L156" s="285"/>
      <c r="M156" s="285"/>
      <c r="N156" s="285"/>
      <c r="O156" s="285"/>
      <c r="P156" s="285"/>
      <c r="Q156" s="285"/>
      <c r="R156" s="285"/>
      <c r="S156" s="285"/>
      <c r="T156" s="348" t="s">
        <v>124</v>
      </c>
      <c r="U156" s="288"/>
      <c r="V156" s="5"/>
    </row>
    <row r="157" spans="1:22" ht="15.6" x14ac:dyDescent="0.3">
      <c r="A157" s="284"/>
      <c r="B157" s="285" t="s">
        <v>51</v>
      </c>
      <c r="C157" s="285"/>
      <c r="D157" s="285"/>
      <c r="E157" s="285"/>
      <c r="F157" s="285"/>
      <c r="G157" s="285"/>
      <c r="H157" s="285"/>
      <c r="I157" s="285"/>
      <c r="J157" s="285"/>
      <c r="K157" s="285"/>
      <c r="L157" s="285"/>
      <c r="M157" s="285"/>
      <c r="N157" s="285"/>
      <c r="O157" s="285"/>
      <c r="P157" s="285"/>
      <c r="Q157" s="285"/>
      <c r="R157" s="285"/>
      <c r="S157" s="285"/>
      <c r="T157" s="348" t="s">
        <v>124</v>
      </c>
      <c r="U157" s="288"/>
      <c r="V157" s="5"/>
    </row>
    <row r="158" spans="1:22" ht="15.6" x14ac:dyDescent="0.3">
      <c r="A158" s="175"/>
      <c r="B158" s="334"/>
      <c r="C158" s="334"/>
      <c r="D158" s="334"/>
      <c r="E158" s="334"/>
      <c r="F158" s="334"/>
      <c r="G158" s="334"/>
      <c r="H158" s="334"/>
      <c r="I158" s="334"/>
      <c r="J158" s="334"/>
      <c r="K158" s="334"/>
      <c r="L158" s="334"/>
      <c r="M158" s="334"/>
      <c r="N158" s="334"/>
      <c r="O158" s="334"/>
      <c r="P158" s="334"/>
      <c r="Q158" s="334"/>
      <c r="R158" s="334"/>
      <c r="S158" s="334"/>
      <c r="T158" s="347"/>
      <c r="U158" s="334"/>
      <c r="V158" s="5"/>
    </row>
    <row r="159" spans="1:22" ht="15.6" x14ac:dyDescent="0.3">
      <c r="A159" s="175"/>
      <c r="B159" s="201" t="s">
        <v>52</v>
      </c>
      <c r="C159" s="177"/>
      <c r="D159" s="177"/>
      <c r="E159" s="177"/>
      <c r="F159" s="177"/>
      <c r="G159" s="177"/>
      <c r="H159" s="177"/>
      <c r="I159" s="177"/>
      <c r="J159" s="177"/>
      <c r="K159" s="177"/>
      <c r="L159" s="177"/>
      <c r="M159" s="177"/>
      <c r="N159" s="177"/>
      <c r="O159" s="177"/>
      <c r="P159" s="177"/>
      <c r="Q159" s="177"/>
      <c r="R159" s="177"/>
      <c r="S159" s="177"/>
      <c r="T159" s="202"/>
      <c r="U159" s="177"/>
      <c r="V159" s="5"/>
    </row>
    <row r="160" spans="1:22" ht="15.6" x14ac:dyDescent="0.3">
      <c r="A160" s="284"/>
      <c r="B160" s="285" t="s">
        <v>53</v>
      </c>
      <c r="C160" s="285"/>
      <c r="D160" s="285"/>
      <c r="E160" s="285"/>
      <c r="F160" s="285"/>
      <c r="G160" s="285"/>
      <c r="H160" s="285"/>
      <c r="I160" s="285"/>
      <c r="J160" s="285"/>
      <c r="K160" s="285"/>
      <c r="L160" s="285"/>
      <c r="M160" s="285"/>
      <c r="N160" s="285"/>
      <c r="O160" s="285"/>
      <c r="P160" s="285"/>
      <c r="Q160" s="285"/>
      <c r="R160" s="285"/>
      <c r="S160" s="285"/>
      <c r="T160" s="339">
        <v>0</v>
      </c>
      <c r="U160" s="288"/>
      <c r="V160" s="5"/>
    </row>
    <row r="161" spans="1:22" ht="15.6" x14ac:dyDescent="0.3">
      <c r="A161" s="284"/>
      <c r="B161" s="285" t="s">
        <v>54</v>
      </c>
      <c r="C161" s="285"/>
      <c r="D161" s="285"/>
      <c r="E161" s="285"/>
      <c r="F161" s="285"/>
      <c r="G161" s="285"/>
      <c r="H161" s="285"/>
      <c r="I161" s="285"/>
      <c r="J161" s="285"/>
      <c r="K161" s="285"/>
      <c r="L161" s="285"/>
      <c r="M161" s="285"/>
      <c r="N161" s="285"/>
      <c r="O161" s="285"/>
      <c r="P161" s="285"/>
      <c r="Q161" s="285"/>
      <c r="R161" s="285"/>
      <c r="S161" s="285"/>
      <c r="T161" s="339">
        <f>R112</f>
        <v>318</v>
      </c>
      <c r="U161" s="288"/>
      <c r="V161" s="5"/>
    </row>
    <row r="162" spans="1:22" ht="15.6" x14ac:dyDescent="0.3">
      <c r="A162" s="284"/>
      <c r="B162" s="285" t="s">
        <v>55</v>
      </c>
      <c r="C162" s="285"/>
      <c r="D162" s="285"/>
      <c r="E162" s="285"/>
      <c r="F162" s="285"/>
      <c r="G162" s="285"/>
      <c r="H162" s="285"/>
      <c r="I162" s="285"/>
      <c r="J162" s="285"/>
      <c r="K162" s="285"/>
      <c r="L162" s="285"/>
      <c r="M162" s="285"/>
      <c r="N162" s="285"/>
      <c r="O162" s="285"/>
      <c r="P162" s="285"/>
      <c r="Q162" s="285"/>
      <c r="R162" s="285"/>
      <c r="S162" s="285"/>
      <c r="T162" s="339">
        <f>T161+T160</f>
        <v>318</v>
      </c>
      <c r="U162" s="288"/>
      <c r="V162" s="5"/>
    </row>
    <row r="163" spans="1:22" ht="15.6" x14ac:dyDescent="0.3">
      <c r="A163" s="284"/>
      <c r="B163" s="285" t="s">
        <v>301</v>
      </c>
      <c r="C163" s="285"/>
      <c r="D163" s="285"/>
      <c r="E163" s="285"/>
      <c r="F163" s="285"/>
      <c r="G163" s="285"/>
      <c r="H163" s="285"/>
      <c r="I163" s="285"/>
      <c r="J163" s="285"/>
      <c r="K163" s="285"/>
      <c r="L163" s="285"/>
      <c r="M163" s="285"/>
      <c r="N163" s="285"/>
      <c r="O163" s="285"/>
      <c r="P163" s="285"/>
      <c r="Q163" s="285"/>
      <c r="R163" s="285"/>
      <c r="S163" s="285"/>
      <c r="T163" s="339">
        <f>T112</f>
        <v>-318</v>
      </c>
      <c r="U163" s="288"/>
      <c r="V163" s="5"/>
    </row>
    <row r="164" spans="1:22" ht="15.6" x14ac:dyDescent="0.3">
      <c r="A164" s="284"/>
      <c r="B164" s="285" t="s">
        <v>56</v>
      </c>
      <c r="C164" s="285"/>
      <c r="D164" s="285"/>
      <c r="E164" s="285"/>
      <c r="F164" s="285"/>
      <c r="G164" s="285"/>
      <c r="H164" s="285"/>
      <c r="I164" s="285"/>
      <c r="J164" s="285"/>
      <c r="K164" s="285"/>
      <c r="L164" s="285"/>
      <c r="M164" s="285"/>
      <c r="N164" s="285"/>
      <c r="O164" s="285"/>
      <c r="P164" s="285"/>
      <c r="Q164" s="285"/>
      <c r="R164" s="285"/>
      <c r="S164" s="285"/>
      <c r="T164" s="339">
        <f>T162+T163</f>
        <v>0</v>
      </c>
      <c r="U164" s="288"/>
      <c r="V164" s="5"/>
    </row>
    <row r="165" spans="1:22" ht="15.6" x14ac:dyDescent="0.3">
      <c r="A165" s="284"/>
      <c r="B165" s="285" t="s">
        <v>273</v>
      </c>
      <c r="C165" s="285"/>
      <c r="D165" s="285"/>
      <c r="E165" s="285"/>
      <c r="F165" s="285"/>
      <c r="G165" s="285"/>
      <c r="H165" s="285"/>
      <c r="I165" s="285"/>
      <c r="J165" s="285"/>
      <c r="K165" s="285"/>
      <c r="L165" s="285"/>
      <c r="M165" s="285"/>
      <c r="N165" s="285"/>
      <c r="O165" s="285"/>
      <c r="P165" s="285"/>
      <c r="Q165" s="285"/>
      <c r="R165" s="285"/>
      <c r="S165" s="285"/>
      <c r="T165" s="339">
        <v>0</v>
      </c>
      <c r="U165" s="288"/>
      <c r="V165" s="5"/>
    </row>
    <row r="166" spans="1:22" ht="16.2" thickBot="1" x14ac:dyDescent="0.35">
      <c r="A166" s="175"/>
      <c r="B166" s="334"/>
      <c r="C166" s="334"/>
      <c r="D166" s="334"/>
      <c r="E166" s="334"/>
      <c r="F166" s="334"/>
      <c r="G166" s="334"/>
      <c r="H166" s="334"/>
      <c r="I166" s="334"/>
      <c r="J166" s="334"/>
      <c r="K166" s="334"/>
      <c r="L166" s="334"/>
      <c r="M166" s="334"/>
      <c r="N166" s="334"/>
      <c r="O166" s="334"/>
      <c r="P166" s="334"/>
      <c r="Q166" s="334"/>
      <c r="R166" s="334"/>
      <c r="S166" s="334"/>
      <c r="T166" s="347"/>
      <c r="U166" s="334"/>
      <c r="V166" s="5"/>
    </row>
    <row r="167" spans="1:22" ht="15.6" x14ac:dyDescent="0.3">
      <c r="A167" s="173"/>
      <c r="B167" s="174"/>
      <c r="C167" s="174"/>
      <c r="D167" s="174"/>
      <c r="E167" s="174"/>
      <c r="F167" s="174"/>
      <c r="G167" s="174"/>
      <c r="H167" s="174"/>
      <c r="I167" s="174"/>
      <c r="J167" s="174"/>
      <c r="K167" s="174"/>
      <c r="L167" s="174"/>
      <c r="M167" s="174"/>
      <c r="N167" s="174"/>
      <c r="O167" s="174"/>
      <c r="P167" s="174"/>
      <c r="Q167" s="174"/>
      <c r="R167" s="174"/>
      <c r="S167" s="174"/>
      <c r="T167" s="193"/>
      <c r="U167" s="174"/>
      <c r="V167" s="5"/>
    </row>
    <row r="168" spans="1:22" ht="15.6" x14ac:dyDescent="0.3">
      <c r="A168" s="175"/>
      <c r="B168" s="201" t="s">
        <v>57</v>
      </c>
      <c r="C168" s="177"/>
      <c r="D168" s="177"/>
      <c r="E168" s="177"/>
      <c r="F168" s="177"/>
      <c r="G168" s="177"/>
      <c r="H168" s="177"/>
      <c r="I168" s="177"/>
      <c r="J168" s="177"/>
      <c r="K168" s="177"/>
      <c r="L168" s="177"/>
      <c r="M168" s="177"/>
      <c r="N168" s="177"/>
      <c r="O168" s="177"/>
      <c r="P168" s="177"/>
      <c r="Q168" s="177"/>
      <c r="R168" s="177"/>
      <c r="S168" s="177"/>
      <c r="T168" s="194"/>
      <c r="U168" s="177"/>
      <c r="V168" s="5"/>
    </row>
    <row r="169" spans="1:22" ht="15.6" x14ac:dyDescent="0.3">
      <c r="A169" s="175"/>
      <c r="B169" s="187"/>
      <c r="C169" s="177"/>
      <c r="D169" s="177"/>
      <c r="E169" s="177"/>
      <c r="F169" s="177"/>
      <c r="G169" s="177"/>
      <c r="H169" s="177"/>
      <c r="I169" s="177"/>
      <c r="J169" s="177"/>
      <c r="K169" s="177"/>
      <c r="L169" s="177"/>
      <c r="M169" s="177"/>
      <c r="N169" s="177"/>
      <c r="O169" s="177"/>
      <c r="P169" s="177"/>
      <c r="Q169" s="177"/>
      <c r="R169" s="177"/>
      <c r="S169" s="177"/>
      <c r="T169" s="194"/>
      <c r="U169" s="177"/>
      <c r="V169" s="5"/>
    </row>
    <row r="170" spans="1:22" ht="15.6" x14ac:dyDescent="0.3">
      <c r="A170" s="284"/>
      <c r="B170" s="285" t="s">
        <v>58</v>
      </c>
      <c r="C170" s="285"/>
      <c r="D170" s="285"/>
      <c r="E170" s="285"/>
      <c r="F170" s="285"/>
      <c r="G170" s="285"/>
      <c r="H170" s="285"/>
      <c r="I170" s="285"/>
      <c r="J170" s="285"/>
      <c r="K170" s="285"/>
      <c r="L170" s="285"/>
      <c r="M170" s="285"/>
      <c r="N170" s="285"/>
      <c r="O170" s="285"/>
      <c r="P170" s="285"/>
      <c r="Q170" s="285"/>
      <c r="R170" s="285"/>
      <c r="S170" s="285"/>
      <c r="T170" s="339">
        <f>T71</f>
        <v>574327</v>
      </c>
      <c r="U170" s="288"/>
      <c r="V170" s="5"/>
    </row>
    <row r="171" spans="1:22" ht="15.6" x14ac:dyDescent="0.3">
      <c r="A171" s="284"/>
      <c r="B171" s="285" t="s">
        <v>59</v>
      </c>
      <c r="C171" s="285"/>
      <c r="D171" s="285"/>
      <c r="E171" s="285"/>
      <c r="F171" s="285"/>
      <c r="G171" s="285"/>
      <c r="H171" s="285"/>
      <c r="I171" s="285"/>
      <c r="J171" s="285"/>
      <c r="K171" s="285"/>
      <c r="L171" s="285"/>
      <c r="M171" s="285"/>
      <c r="N171" s="285"/>
      <c r="O171" s="285"/>
      <c r="P171" s="285"/>
      <c r="Q171" s="285"/>
      <c r="R171" s="285"/>
      <c r="S171" s="285"/>
      <c r="T171" s="339">
        <f>T84</f>
        <v>574327</v>
      </c>
      <c r="U171" s="288"/>
      <c r="V171" s="5"/>
    </row>
    <row r="172" spans="1:22" ht="16.2" thickBot="1" x14ac:dyDescent="0.35">
      <c r="A172" s="175"/>
      <c r="B172" s="334"/>
      <c r="C172" s="334"/>
      <c r="D172" s="334"/>
      <c r="E172" s="334"/>
      <c r="F172" s="334"/>
      <c r="G172" s="334"/>
      <c r="H172" s="334"/>
      <c r="I172" s="334"/>
      <c r="J172" s="334"/>
      <c r="K172" s="334"/>
      <c r="L172" s="334"/>
      <c r="M172" s="334"/>
      <c r="N172" s="334"/>
      <c r="O172" s="334"/>
      <c r="P172" s="334"/>
      <c r="Q172" s="334"/>
      <c r="R172" s="334"/>
      <c r="S172" s="334"/>
      <c r="T172" s="347"/>
      <c r="U172" s="334"/>
      <c r="V172" s="5"/>
    </row>
    <row r="173" spans="1:22" ht="15.6" x14ac:dyDescent="0.3">
      <c r="A173" s="173"/>
      <c r="B173" s="174"/>
      <c r="C173" s="174"/>
      <c r="D173" s="174"/>
      <c r="E173" s="174"/>
      <c r="F173" s="174"/>
      <c r="G173" s="174"/>
      <c r="H173" s="174"/>
      <c r="I173" s="174"/>
      <c r="J173" s="174"/>
      <c r="K173" s="174"/>
      <c r="L173" s="174"/>
      <c r="M173" s="174"/>
      <c r="N173" s="174"/>
      <c r="O173" s="174"/>
      <c r="P173" s="174"/>
      <c r="Q173" s="174"/>
      <c r="R173" s="174"/>
      <c r="S173" s="174"/>
      <c r="T173" s="193"/>
      <c r="U173" s="174"/>
      <c r="V173" s="5"/>
    </row>
    <row r="174" spans="1:22" ht="15.6" x14ac:dyDescent="0.3">
      <c r="A174" s="175"/>
      <c r="B174" s="201" t="s">
        <v>60</v>
      </c>
      <c r="C174" s="198"/>
      <c r="D174" s="198"/>
      <c r="E174" s="198"/>
      <c r="F174" s="198"/>
      <c r="G174" s="198"/>
      <c r="H174" s="203"/>
      <c r="I174" s="203"/>
      <c r="J174" s="203"/>
      <c r="K174" s="203"/>
      <c r="L174" s="203"/>
      <c r="M174" s="203"/>
      <c r="N174" s="203"/>
      <c r="O174" s="203"/>
      <c r="P174" s="203"/>
      <c r="Q174" s="203" t="s">
        <v>104</v>
      </c>
      <c r="R174" s="203" t="s">
        <v>183</v>
      </c>
      <c r="S174" s="179"/>
      <c r="T174" s="204" t="s">
        <v>120</v>
      </c>
      <c r="U174" s="205"/>
      <c r="V174" s="5"/>
    </row>
    <row r="175" spans="1:22" ht="15.6" x14ac:dyDescent="0.3">
      <c r="A175" s="284"/>
      <c r="B175" s="285" t="s">
        <v>61</v>
      </c>
      <c r="C175" s="285"/>
      <c r="D175" s="285"/>
      <c r="E175" s="285"/>
      <c r="F175" s="285"/>
      <c r="G175" s="285"/>
      <c r="H175" s="285"/>
      <c r="I175" s="285"/>
      <c r="J175" s="285"/>
      <c r="K175" s="285"/>
      <c r="L175" s="285"/>
      <c r="M175" s="285"/>
      <c r="N175" s="285"/>
      <c r="O175" s="285"/>
      <c r="P175" s="285"/>
      <c r="Q175" s="339">
        <v>160008</v>
      </c>
      <c r="R175" s="324"/>
      <c r="S175" s="285"/>
      <c r="T175" s="339"/>
      <c r="U175" s="288"/>
      <c r="V175" s="5"/>
    </row>
    <row r="176" spans="1:22" ht="15.6" x14ac:dyDescent="0.3">
      <c r="A176" s="284"/>
      <c r="B176" s="285" t="s">
        <v>62</v>
      </c>
      <c r="C176" s="285"/>
      <c r="D176" s="285"/>
      <c r="E176" s="285"/>
      <c r="F176" s="285"/>
      <c r="G176" s="285"/>
      <c r="H176" s="285"/>
      <c r="I176" s="285"/>
      <c r="J176" s="285"/>
      <c r="K176" s="285"/>
      <c r="L176" s="285"/>
      <c r="M176" s="285"/>
      <c r="N176" s="285"/>
      <c r="O176" s="285"/>
      <c r="P176" s="285"/>
      <c r="Q176" s="339">
        <f>+'March 11'!Q178</f>
        <v>36512</v>
      </c>
      <c r="R176" s="339">
        <f>+'March 11'!R178</f>
        <v>3447</v>
      </c>
      <c r="S176" s="285"/>
      <c r="T176" s="339">
        <f>Q176+R176</f>
        <v>39959</v>
      </c>
      <c r="U176" s="288"/>
      <c r="V176" s="5"/>
    </row>
    <row r="177" spans="1:22" ht="15.6" x14ac:dyDescent="0.3">
      <c r="A177" s="284"/>
      <c r="B177" s="285" t="s">
        <v>63</v>
      </c>
      <c r="C177" s="285"/>
      <c r="D177" s="285"/>
      <c r="E177" s="285"/>
      <c r="F177" s="285"/>
      <c r="G177" s="285"/>
      <c r="H177" s="285"/>
      <c r="I177" s="285"/>
      <c r="J177" s="285"/>
      <c r="K177" s="285"/>
      <c r="L177" s="285"/>
      <c r="M177" s="285"/>
      <c r="N177" s="285"/>
      <c r="O177" s="285"/>
      <c r="P177" s="285"/>
      <c r="Q177" s="338">
        <f>45+98</f>
        <v>143</v>
      </c>
      <c r="R177" s="338">
        <v>0</v>
      </c>
      <c r="S177" s="285"/>
      <c r="T177" s="339">
        <f>Q177+R177</f>
        <v>143</v>
      </c>
      <c r="U177" s="288"/>
      <c r="V177" s="5"/>
    </row>
    <row r="178" spans="1:22" ht="15.6" x14ac:dyDescent="0.3">
      <c r="A178" s="284"/>
      <c r="B178" s="285" t="s">
        <v>64</v>
      </c>
      <c r="C178" s="285"/>
      <c r="D178" s="285"/>
      <c r="E178" s="285"/>
      <c r="F178" s="285"/>
      <c r="G178" s="285"/>
      <c r="H178" s="285"/>
      <c r="I178" s="285"/>
      <c r="J178" s="285"/>
      <c r="K178" s="285"/>
      <c r="L178" s="285"/>
      <c r="M178" s="285"/>
      <c r="N178" s="285"/>
      <c r="O178" s="285"/>
      <c r="P178" s="285"/>
      <c r="Q178" s="339">
        <f>Q176+Q177</f>
        <v>36655</v>
      </c>
      <c r="R178" s="339">
        <f>R177+R176</f>
        <v>3447</v>
      </c>
      <c r="S178" s="285"/>
      <c r="T178" s="339">
        <f>Q178+R178</f>
        <v>40102</v>
      </c>
      <c r="U178" s="288"/>
      <c r="V178" s="5"/>
    </row>
    <row r="179" spans="1:22" ht="15.6" x14ac:dyDescent="0.3">
      <c r="A179" s="284"/>
      <c r="B179" s="285" t="s">
        <v>65</v>
      </c>
      <c r="C179" s="285"/>
      <c r="D179" s="285"/>
      <c r="E179" s="285"/>
      <c r="F179" s="285"/>
      <c r="G179" s="285"/>
      <c r="H179" s="285"/>
      <c r="I179" s="285"/>
      <c r="J179" s="285"/>
      <c r="K179" s="285"/>
      <c r="L179" s="285"/>
      <c r="M179" s="285"/>
      <c r="N179" s="285"/>
      <c r="O179" s="285"/>
      <c r="P179" s="285"/>
      <c r="Q179" s="339">
        <f>Q175-Q178-R178</f>
        <v>119906</v>
      </c>
      <c r="R179" s="324"/>
      <c r="S179" s="285"/>
      <c r="T179" s="339"/>
      <c r="U179" s="288"/>
      <c r="V179" s="5"/>
    </row>
    <row r="180" spans="1:22" ht="16.2" thickBot="1" x14ac:dyDescent="0.35">
      <c r="A180" s="175"/>
      <c r="B180" s="334"/>
      <c r="C180" s="334"/>
      <c r="D180" s="334"/>
      <c r="E180" s="334"/>
      <c r="F180" s="334"/>
      <c r="G180" s="334"/>
      <c r="H180" s="334"/>
      <c r="I180" s="334"/>
      <c r="J180" s="334"/>
      <c r="K180" s="334"/>
      <c r="L180" s="334"/>
      <c r="M180" s="334"/>
      <c r="N180" s="334"/>
      <c r="O180" s="334"/>
      <c r="P180" s="334"/>
      <c r="Q180" s="334"/>
      <c r="R180" s="334"/>
      <c r="S180" s="334"/>
      <c r="T180" s="347"/>
      <c r="U180" s="334"/>
      <c r="V180" s="5"/>
    </row>
    <row r="181" spans="1:22" ht="15.6" x14ac:dyDescent="0.3">
      <c r="A181" s="173"/>
      <c r="B181" s="174"/>
      <c r="C181" s="174"/>
      <c r="D181" s="174"/>
      <c r="E181" s="174"/>
      <c r="F181" s="174"/>
      <c r="G181" s="174"/>
      <c r="H181" s="174"/>
      <c r="I181" s="174"/>
      <c r="J181" s="174"/>
      <c r="K181" s="174"/>
      <c r="L181" s="174"/>
      <c r="M181" s="174"/>
      <c r="N181" s="174"/>
      <c r="O181" s="174"/>
      <c r="P181" s="174"/>
      <c r="Q181" s="174"/>
      <c r="R181" s="174"/>
      <c r="S181" s="174"/>
      <c r="T181" s="193"/>
      <c r="U181" s="174"/>
      <c r="V181" s="5"/>
    </row>
    <row r="182" spans="1:22" ht="15.6" x14ac:dyDescent="0.3">
      <c r="A182" s="175"/>
      <c r="B182" s="201" t="s">
        <v>66</v>
      </c>
      <c r="C182" s="177"/>
      <c r="D182" s="177"/>
      <c r="E182" s="177"/>
      <c r="F182" s="177"/>
      <c r="G182" s="177"/>
      <c r="H182" s="177"/>
      <c r="I182" s="177"/>
      <c r="J182" s="177"/>
      <c r="K182" s="177"/>
      <c r="L182" s="177"/>
      <c r="M182" s="177"/>
      <c r="N182" s="177"/>
      <c r="O182" s="177"/>
      <c r="P182" s="177"/>
      <c r="Q182" s="177"/>
      <c r="R182" s="177"/>
      <c r="S182" s="177"/>
      <c r="T182" s="206"/>
      <c r="U182" s="177"/>
      <c r="V182" s="5"/>
    </row>
    <row r="183" spans="1:22" ht="15.6" x14ac:dyDescent="0.3">
      <c r="A183" s="284"/>
      <c r="B183" s="285" t="s">
        <v>67</v>
      </c>
      <c r="C183" s="285"/>
      <c r="D183" s="285"/>
      <c r="E183" s="285"/>
      <c r="F183" s="285"/>
      <c r="G183" s="285"/>
      <c r="H183" s="285"/>
      <c r="I183" s="285"/>
      <c r="J183" s="285"/>
      <c r="K183" s="285"/>
      <c r="L183" s="285"/>
      <c r="M183" s="285"/>
      <c r="N183" s="285"/>
      <c r="O183" s="285"/>
      <c r="P183" s="285"/>
      <c r="Q183" s="285"/>
      <c r="R183" s="285"/>
      <c r="S183" s="285"/>
      <c r="T183" s="348">
        <f>(T100+T102+T103+T104+T105)/-(T106+T107)</f>
        <v>3.4772727272727271</v>
      </c>
      <c r="U183" s="288" t="s">
        <v>121</v>
      </c>
      <c r="V183" s="5"/>
    </row>
    <row r="184" spans="1:22" ht="15.6" x14ac:dyDescent="0.3">
      <c r="A184" s="284"/>
      <c r="B184" s="285" t="s">
        <v>68</v>
      </c>
      <c r="C184" s="285"/>
      <c r="D184" s="285"/>
      <c r="E184" s="285"/>
      <c r="F184" s="285"/>
      <c r="G184" s="285"/>
      <c r="H184" s="285"/>
      <c r="I184" s="285"/>
      <c r="J184" s="285"/>
      <c r="K184" s="285"/>
      <c r="L184" s="285"/>
      <c r="M184" s="285"/>
      <c r="N184" s="285"/>
      <c r="O184" s="285"/>
      <c r="P184" s="285"/>
      <c r="Q184" s="285"/>
      <c r="R184" s="285"/>
      <c r="S184" s="285"/>
      <c r="T184" s="349">
        <v>1.58</v>
      </c>
      <c r="U184" s="288" t="s">
        <v>121</v>
      </c>
      <c r="V184" s="5"/>
    </row>
    <row r="185" spans="1:22" ht="15.6" x14ac:dyDescent="0.3">
      <c r="A185" s="284"/>
      <c r="B185" s="285" t="s">
        <v>69</v>
      </c>
      <c r="C185" s="285"/>
      <c r="D185" s="285"/>
      <c r="E185" s="285"/>
      <c r="F185" s="285"/>
      <c r="G185" s="285"/>
      <c r="H185" s="285"/>
      <c r="I185" s="285"/>
      <c r="J185" s="285"/>
      <c r="K185" s="285"/>
      <c r="L185" s="285"/>
      <c r="M185" s="285"/>
      <c r="N185" s="285"/>
      <c r="O185" s="285"/>
      <c r="P185" s="285"/>
      <c r="Q185" s="285"/>
      <c r="R185" s="285"/>
      <c r="S185" s="285"/>
      <c r="T185" s="348">
        <f>(T100+T102+T103+T104+T105+T106+T107)/-(T108+T109)</f>
        <v>11.401673640167363</v>
      </c>
      <c r="U185" s="288" t="s">
        <v>121</v>
      </c>
      <c r="V185" s="5"/>
    </row>
    <row r="186" spans="1:22" ht="15.6" x14ac:dyDescent="0.3">
      <c r="A186" s="284"/>
      <c r="B186" s="285" t="s">
        <v>70</v>
      </c>
      <c r="C186" s="285"/>
      <c r="D186" s="285"/>
      <c r="E186" s="285"/>
      <c r="F186" s="285"/>
      <c r="G186" s="285"/>
      <c r="H186" s="285"/>
      <c r="I186" s="285"/>
      <c r="J186" s="285"/>
      <c r="K186" s="285"/>
      <c r="L186" s="285"/>
      <c r="M186" s="285"/>
      <c r="N186" s="285"/>
      <c r="O186" s="285"/>
      <c r="P186" s="285"/>
      <c r="Q186" s="285"/>
      <c r="R186" s="285"/>
      <c r="S186" s="285"/>
      <c r="T186" s="349">
        <v>5.3</v>
      </c>
      <c r="U186" s="288" t="s">
        <v>121</v>
      </c>
      <c r="V186" s="5"/>
    </row>
    <row r="187" spans="1:22" ht="15.6" x14ac:dyDescent="0.3">
      <c r="A187" s="284"/>
      <c r="B187" s="285" t="s">
        <v>206</v>
      </c>
      <c r="C187" s="285"/>
      <c r="D187" s="285"/>
      <c r="E187" s="285"/>
      <c r="F187" s="285"/>
      <c r="G187" s="285"/>
      <c r="H187" s="285"/>
      <c r="I187" s="285"/>
      <c r="J187" s="285"/>
      <c r="K187" s="285"/>
      <c r="L187" s="285"/>
      <c r="M187" s="285"/>
      <c r="N187" s="285"/>
      <c r="O187" s="285"/>
      <c r="P187" s="285"/>
      <c r="Q187" s="285"/>
      <c r="R187" s="285"/>
      <c r="S187" s="285"/>
      <c r="T187" s="348">
        <f>(T100+T102+T103+T104+T105+T106+T107+T108+T109)/-(T110)</f>
        <v>9.2416356877323427</v>
      </c>
      <c r="U187" s="288" t="s">
        <v>121</v>
      </c>
      <c r="V187" s="5"/>
    </row>
    <row r="188" spans="1:22" ht="15.6" x14ac:dyDescent="0.3">
      <c r="A188" s="284"/>
      <c r="B188" s="285" t="s">
        <v>207</v>
      </c>
      <c r="C188" s="285"/>
      <c r="D188" s="285"/>
      <c r="E188" s="285"/>
      <c r="F188" s="285"/>
      <c r="G188" s="285"/>
      <c r="H188" s="285"/>
      <c r="I188" s="285"/>
      <c r="J188" s="285"/>
      <c r="K188" s="285"/>
      <c r="L188" s="285"/>
      <c r="M188" s="285"/>
      <c r="N188" s="285"/>
      <c r="O188" s="285"/>
      <c r="P188" s="285"/>
      <c r="Q188" s="285"/>
      <c r="R188" s="285"/>
      <c r="S188" s="285"/>
      <c r="T188" s="349">
        <v>4.87</v>
      </c>
      <c r="U188" s="288" t="s">
        <v>121</v>
      </c>
      <c r="V188" s="5"/>
    </row>
    <row r="189" spans="1:22" ht="15.6" x14ac:dyDescent="0.3">
      <c r="A189" s="284"/>
      <c r="B189" s="311"/>
      <c r="C189" s="311"/>
      <c r="D189" s="311"/>
      <c r="E189" s="311"/>
      <c r="F189" s="311"/>
      <c r="G189" s="311"/>
      <c r="H189" s="311"/>
      <c r="I189" s="311"/>
      <c r="J189" s="311"/>
      <c r="K189" s="311"/>
      <c r="L189" s="311"/>
      <c r="M189" s="311"/>
      <c r="N189" s="311"/>
      <c r="O189" s="311"/>
      <c r="P189" s="311"/>
      <c r="Q189" s="311"/>
      <c r="R189" s="311"/>
      <c r="S189" s="311"/>
      <c r="T189" s="311"/>
      <c r="U189" s="317"/>
      <c r="V189" s="5"/>
    </row>
    <row r="190" spans="1:22" ht="15.6" x14ac:dyDescent="0.3">
      <c r="A190" s="175"/>
      <c r="B190" s="334"/>
      <c r="C190" s="334"/>
      <c r="D190" s="334"/>
      <c r="E190" s="334"/>
      <c r="F190" s="334"/>
      <c r="G190" s="334"/>
      <c r="H190" s="334"/>
      <c r="I190" s="334"/>
      <c r="J190" s="334"/>
      <c r="K190" s="334"/>
      <c r="L190" s="334"/>
      <c r="M190" s="334"/>
      <c r="N190" s="334"/>
      <c r="O190" s="334"/>
      <c r="P190" s="334"/>
      <c r="Q190" s="334"/>
      <c r="R190" s="334"/>
      <c r="S190" s="334"/>
      <c r="T190" s="334"/>
      <c r="U190" s="334"/>
      <c r="V190" s="5"/>
    </row>
    <row r="191" spans="1:22" ht="15.6" x14ac:dyDescent="0.3">
      <c r="A191" s="175"/>
      <c r="B191" s="177"/>
      <c r="C191" s="177"/>
      <c r="D191" s="177"/>
      <c r="E191" s="177"/>
      <c r="F191" s="177"/>
      <c r="G191" s="177"/>
      <c r="H191" s="177"/>
      <c r="I191" s="177"/>
      <c r="J191" s="177"/>
      <c r="K191" s="177"/>
      <c r="L191" s="177"/>
      <c r="M191" s="177"/>
      <c r="N191" s="177"/>
      <c r="O191" s="177"/>
      <c r="P191" s="177"/>
      <c r="Q191" s="177"/>
      <c r="R191" s="177"/>
      <c r="S191" s="177"/>
      <c r="T191" s="177"/>
      <c r="U191" s="177"/>
      <c r="V191" s="5"/>
    </row>
    <row r="192" spans="1:22" ht="18" thickBot="1" x14ac:dyDescent="0.35">
      <c r="A192" s="192"/>
      <c r="B192" s="246" t="str">
        <f>B132</f>
        <v>PM11 INVESTOR REPORT QUARTER ENDING JUNE 2011</v>
      </c>
      <c r="C192" s="207"/>
      <c r="D192" s="207"/>
      <c r="E192" s="207"/>
      <c r="F192" s="207"/>
      <c r="G192" s="207"/>
      <c r="H192" s="207"/>
      <c r="I192" s="207"/>
      <c r="J192" s="207"/>
      <c r="K192" s="207"/>
      <c r="L192" s="207"/>
      <c r="M192" s="207"/>
      <c r="N192" s="207"/>
      <c r="O192" s="207"/>
      <c r="P192" s="207"/>
      <c r="Q192" s="207"/>
      <c r="R192" s="207"/>
      <c r="S192" s="207"/>
      <c r="T192" s="207"/>
      <c r="U192" s="208"/>
      <c r="V192" s="5"/>
    </row>
    <row r="193" spans="1:22" ht="15.6" x14ac:dyDescent="0.3">
      <c r="A193" s="260"/>
      <c r="B193" s="399" t="s">
        <v>71</v>
      </c>
      <c r="C193" s="400"/>
      <c r="D193" s="400"/>
      <c r="E193" s="400"/>
      <c r="F193" s="400"/>
      <c r="G193" s="401"/>
      <c r="H193" s="401"/>
      <c r="I193" s="401"/>
      <c r="J193" s="401"/>
      <c r="K193" s="401"/>
      <c r="L193" s="401"/>
      <c r="M193" s="401"/>
      <c r="N193" s="401"/>
      <c r="O193" s="401"/>
      <c r="P193" s="401"/>
      <c r="Q193" s="401"/>
      <c r="R193" s="401">
        <v>40724</v>
      </c>
      <c r="S193" s="261"/>
      <c r="T193" s="261"/>
      <c r="U193" s="261"/>
      <c r="V193" s="5"/>
    </row>
    <row r="194" spans="1:22" ht="15.6" x14ac:dyDescent="0.3">
      <c r="A194" s="209"/>
      <c r="B194" s="210"/>
      <c r="C194" s="211"/>
      <c r="D194" s="211"/>
      <c r="E194" s="211"/>
      <c r="F194" s="211"/>
      <c r="G194" s="212"/>
      <c r="H194" s="212"/>
      <c r="I194" s="212"/>
      <c r="J194" s="212"/>
      <c r="K194" s="212"/>
      <c r="L194" s="212"/>
      <c r="M194" s="212"/>
      <c r="N194" s="212"/>
      <c r="O194" s="212"/>
      <c r="P194" s="212"/>
      <c r="Q194" s="212"/>
      <c r="R194" s="212"/>
      <c r="S194" s="177"/>
      <c r="T194" s="177"/>
      <c r="U194" s="177"/>
      <c r="V194" s="5"/>
    </row>
    <row r="195" spans="1:22" ht="15.6" x14ac:dyDescent="0.3">
      <c r="A195" s="352"/>
      <c r="B195" s="285" t="s">
        <v>72</v>
      </c>
      <c r="C195" s="353"/>
      <c r="D195" s="353"/>
      <c r="E195" s="353"/>
      <c r="F195" s="353"/>
      <c r="G195" s="329"/>
      <c r="H195" s="329"/>
      <c r="I195" s="329"/>
      <c r="J195" s="329"/>
      <c r="K195" s="329"/>
      <c r="L195" s="329"/>
      <c r="M195" s="329"/>
      <c r="N195" s="329"/>
      <c r="O195" s="329"/>
      <c r="P195" s="329"/>
      <c r="Q195" s="329"/>
      <c r="R195" s="320">
        <v>5.1569999999999998E-2</v>
      </c>
      <c r="S195" s="285"/>
      <c r="T195" s="285"/>
      <c r="U195" s="317"/>
      <c r="V195" s="5"/>
    </row>
    <row r="196" spans="1:22" ht="15.6" x14ac:dyDescent="0.3">
      <c r="A196" s="352"/>
      <c r="B196" s="285" t="s">
        <v>157</v>
      </c>
      <c r="C196" s="353"/>
      <c r="D196" s="353"/>
      <c r="E196" s="353"/>
      <c r="F196" s="353"/>
      <c r="G196" s="329"/>
      <c r="H196" s="329"/>
      <c r="I196" s="329"/>
      <c r="J196" s="329"/>
      <c r="K196" s="329"/>
      <c r="L196" s="329"/>
      <c r="M196" s="329"/>
      <c r="N196" s="329"/>
      <c r="O196" s="329"/>
      <c r="P196" s="329"/>
      <c r="Q196" s="329"/>
      <c r="R196" s="320">
        <v>4.6899999999999997E-2</v>
      </c>
      <c r="S196" s="285"/>
      <c r="T196" s="285"/>
      <c r="U196" s="317"/>
      <c r="V196" s="5"/>
    </row>
    <row r="197" spans="1:22" ht="15.6" x14ac:dyDescent="0.3">
      <c r="A197" s="352"/>
      <c r="B197" s="285" t="s">
        <v>73</v>
      </c>
      <c r="C197" s="353"/>
      <c r="D197" s="353"/>
      <c r="E197" s="353"/>
      <c r="F197" s="353"/>
      <c r="G197" s="329"/>
      <c r="H197" s="329"/>
      <c r="I197" s="329"/>
      <c r="J197" s="329"/>
      <c r="K197" s="329"/>
      <c r="L197" s="329"/>
      <c r="M197" s="329"/>
      <c r="N197" s="329"/>
      <c r="O197" s="329"/>
      <c r="P197" s="329"/>
      <c r="Q197" s="329"/>
      <c r="R197" s="320">
        <f>R195-R196</f>
        <v>4.6700000000000005E-3</v>
      </c>
      <c r="S197" s="285"/>
      <c r="T197" s="285"/>
      <c r="U197" s="317"/>
      <c r="V197" s="5"/>
    </row>
    <row r="198" spans="1:22" ht="15.6" x14ac:dyDescent="0.3">
      <c r="A198" s="352"/>
      <c r="B198" s="285" t="s">
        <v>74</v>
      </c>
      <c r="C198" s="353"/>
      <c r="D198" s="353"/>
      <c r="E198" s="353"/>
      <c r="F198" s="353"/>
      <c r="G198" s="329"/>
      <c r="H198" s="329"/>
      <c r="I198" s="329"/>
      <c r="J198" s="329"/>
      <c r="K198" s="329"/>
      <c r="L198" s="329"/>
      <c r="M198" s="329"/>
      <c r="N198" s="329"/>
      <c r="O198" s="329"/>
      <c r="P198" s="329"/>
      <c r="Q198" s="329"/>
      <c r="R198" s="320">
        <v>2.623E-2</v>
      </c>
      <c r="S198" s="285"/>
      <c r="T198" s="285"/>
      <c r="U198" s="317"/>
      <c r="V198" s="5"/>
    </row>
    <row r="199" spans="1:22" ht="15.6" x14ac:dyDescent="0.3">
      <c r="A199" s="352"/>
      <c r="B199" s="285" t="s">
        <v>257</v>
      </c>
      <c r="C199" s="353"/>
      <c r="D199" s="353"/>
      <c r="E199" s="353"/>
      <c r="F199" s="353"/>
      <c r="G199" s="329"/>
      <c r="H199" s="329"/>
      <c r="I199" s="329"/>
      <c r="J199" s="329"/>
      <c r="K199" s="329"/>
      <c r="L199" s="329"/>
      <c r="M199" s="329"/>
      <c r="N199" s="329"/>
      <c r="O199" s="329"/>
      <c r="P199" s="329"/>
      <c r="Q199" s="329"/>
      <c r="R199" s="320">
        <f>T43</f>
        <v>1.1100163254323312E-2</v>
      </c>
      <c r="S199" s="285"/>
      <c r="T199" s="285"/>
      <c r="U199" s="317"/>
      <c r="V199" s="5"/>
    </row>
    <row r="200" spans="1:22" ht="15.6" x14ac:dyDescent="0.3">
      <c r="A200" s="352"/>
      <c r="B200" s="285" t="s">
        <v>75</v>
      </c>
      <c r="C200" s="353"/>
      <c r="D200" s="353"/>
      <c r="E200" s="353"/>
      <c r="F200" s="353"/>
      <c r="G200" s="329"/>
      <c r="H200" s="329"/>
      <c r="I200" s="329"/>
      <c r="J200" s="329"/>
      <c r="K200" s="329"/>
      <c r="L200" s="329"/>
      <c r="M200" s="329"/>
      <c r="N200" s="329"/>
      <c r="O200" s="329"/>
      <c r="P200" s="329"/>
      <c r="Q200" s="329"/>
      <c r="R200" s="320">
        <f>R198-R199</f>
        <v>1.5129836745676688E-2</v>
      </c>
      <c r="S200" s="285"/>
      <c r="T200" s="285"/>
      <c r="U200" s="317"/>
      <c r="V200" s="5"/>
    </row>
    <row r="201" spans="1:22" ht="15.6" x14ac:dyDescent="0.3">
      <c r="A201" s="352"/>
      <c r="B201" s="285" t="s">
        <v>260</v>
      </c>
      <c r="C201" s="353"/>
      <c r="D201" s="353"/>
      <c r="E201" s="353"/>
      <c r="F201" s="353"/>
      <c r="G201" s="329"/>
      <c r="H201" s="329"/>
      <c r="I201" s="329"/>
      <c r="J201" s="329"/>
      <c r="K201" s="329"/>
      <c r="L201" s="329"/>
      <c r="M201" s="329"/>
      <c r="N201" s="329"/>
      <c r="O201" s="329"/>
      <c r="P201" s="329"/>
      <c r="Q201" s="329"/>
      <c r="R201" s="320">
        <f>+T100/L71</f>
        <v>7.4062095174523331E-3</v>
      </c>
      <c r="S201" s="285"/>
      <c r="T201" s="285"/>
      <c r="U201" s="317"/>
      <c r="V201" s="5"/>
    </row>
    <row r="202" spans="1:22" ht="15.6" x14ac:dyDescent="0.3">
      <c r="A202" s="352"/>
      <c r="B202" s="285" t="s">
        <v>217</v>
      </c>
      <c r="C202" s="353"/>
      <c r="D202" s="353"/>
      <c r="E202" s="353"/>
      <c r="F202" s="353"/>
      <c r="G202" s="329"/>
      <c r="H202" s="329"/>
      <c r="I202" s="329"/>
      <c r="J202" s="329"/>
      <c r="K202" s="329"/>
      <c r="L202" s="329"/>
      <c r="M202" s="329"/>
      <c r="N202" s="329"/>
      <c r="O202" s="329"/>
      <c r="P202" s="329"/>
      <c r="Q202" s="329"/>
      <c r="R202" s="354">
        <v>15250</v>
      </c>
      <c r="S202" s="285"/>
      <c r="T202" s="285"/>
      <c r="U202" s="317"/>
      <c r="V202" s="5"/>
    </row>
    <row r="203" spans="1:22" ht="15.6" x14ac:dyDescent="0.3">
      <c r="A203" s="352"/>
      <c r="B203" s="285" t="s">
        <v>218</v>
      </c>
      <c r="C203" s="353"/>
      <c r="D203" s="353"/>
      <c r="E203" s="353"/>
      <c r="F203" s="353"/>
      <c r="G203" s="329"/>
      <c r="H203" s="329"/>
      <c r="I203" s="329"/>
      <c r="J203" s="329"/>
      <c r="K203" s="329"/>
      <c r="L203" s="329"/>
      <c r="M203" s="329"/>
      <c r="N203" s="329"/>
      <c r="O203" s="329"/>
      <c r="P203" s="329"/>
      <c r="Q203" s="329"/>
      <c r="R203" s="354">
        <v>15250</v>
      </c>
      <c r="S203" s="285"/>
      <c r="T203" s="285"/>
      <c r="U203" s="317"/>
      <c r="V203" s="5"/>
    </row>
    <row r="204" spans="1:22" ht="15.6" x14ac:dyDescent="0.3">
      <c r="A204" s="352"/>
      <c r="B204" s="285" t="s">
        <v>219</v>
      </c>
      <c r="C204" s="353"/>
      <c r="D204" s="353"/>
      <c r="E204" s="353"/>
      <c r="F204" s="353"/>
      <c r="G204" s="329"/>
      <c r="H204" s="329"/>
      <c r="I204" s="329"/>
      <c r="J204" s="329"/>
      <c r="K204" s="329"/>
      <c r="L204" s="329"/>
      <c r="M204" s="329"/>
      <c r="N204" s="329"/>
      <c r="O204" s="329"/>
      <c r="P204" s="329"/>
      <c r="Q204" s="329"/>
      <c r="R204" s="354">
        <v>15250</v>
      </c>
      <c r="S204" s="285"/>
      <c r="T204" s="285"/>
      <c r="U204" s="317"/>
      <c r="V204" s="5"/>
    </row>
    <row r="205" spans="1:22" ht="15.6" x14ac:dyDescent="0.3">
      <c r="A205" s="352"/>
      <c r="B205" s="285" t="s">
        <v>76</v>
      </c>
      <c r="C205" s="353"/>
      <c r="D205" s="353"/>
      <c r="E205" s="353"/>
      <c r="F205" s="353"/>
      <c r="G205" s="329"/>
      <c r="H205" s="329"/>
      <c r="I205" s="329"/>
      <c r="J205" s="329"/>
      <c r="K205" s="329"/>
      <c r="L205" s="329"/>
      <c r="M205" s="329"/>
      <c r="N205" s="329"/>
      <c r="O205" s="329"/>
      <c r="P205" s="329"/>
      <c r="Q205" s="329"/>
      <c r="R205" s="326">
        <v>21.18</v>
      </c>
      <c r="S205" s="285" t="s">
        <v>116</v>
      </c>
      <c r="T205" s="285"/>
      <c r="U205" s="317"/>
      <c r="V205" s="5"/>
    </row>
    <row r="206" spans="1:22" ht="15.6" x14ac:dyDescent="0.3">
      <c r="A206" s="352"/>
      <c r="B206" s="285" t="s">
        <v>77</v>
      </c>
      <c r="C206" s="353"/>
      <c r="D206" s="353"/>
      <c r="E206" s="353"/>
      <c r="F206" s="353"/>
      <c r="G206" s="329"/>
      <c r="H206" s="329"/>
      <c r="I206" s="329"/>
      <c r="J206" s="329"/>
      <c r="K206" s="329"/>
      <c r="L206" s="329"/>
      <c r="M206" s="329"/>
      <c r="N206" s="329"/>
      <c r="O206" s="329"/>
      <c r="P206" s="329"/>
      <c r="Q206" s="329"/>
      <c r="R206" s="326">
        <v>16.04</v>
      </c>
      <c r="S206" s="285" t="s">
        <v>116</v>
      </c>
      <c r="T206" s="285"/>
      <c r="U206" s="317"/>
      <c r="V206" s="5"/>
    </row>
    <row r="207" spans="1:22" ht="15.6" x14ac:dyDescent="0.3">
      <c r="A207" s="352"/>
      <c r="B207" s="285" t="s">
        <v>78</v>
      </c>
      <c r="C207" s="353"/>
      <c r="D207" s="353"/>
      <c r="E207" s="353"/>
      <c r="F207" s="353"/>
      <c r="G207" s="329"/>
      <c r="H207" s="329"/>
      <c r="I207" s="329"/>
      <c r="J207" s="329"/>
      <c r="K207" s="329"/>
      <c r="L207" s="329"/>
      <c r="M207" s="329"/>
      <c r="N207" s="329"/>
      <c r="O207" s="329"/>
      <c r="P207" s="329"/>
      <c r="Q207" s="329"/>
      <c r="R207" s="320">
        <f>N68/L68</f>
        <v>1.2302393556167626E-2</v>
      </c>
      <c r="S207" s="285"/>
      <c r="T207" s="285"/>
      <c r="U207" s="317"/>
      <c r="V207" s="5"/>
    </row>
    <row r="208" spans="1:22" ht="15.6" x14ac:dyDescent="0.3">
      <c r="A208" s="352"/>
      <c r="B208" s="285" t="s">
        <v>79</v>
      </c>
      <c r="C208" s="353"/>
      <c r="D208" s="353"/>
      <c r="E208" s="353"/>
      <c r="F208" s="353"/>
      <c r="G208" s="329"/>
      <c r="H208" s="329"/>
      <c r="I208" s="329"/>
      <c r="J208" s="329"/>
      <c r="K208" s="329"/>
      <c r="L208" s="329"/>
      <c r="M208" s="329"/>
      <c r="N208" s="329"/>
      <c r="O208" s="329"/>
      <c r="P208" s="329"/>
      <c r="Q208" s="329"/>
      <c r="R208" s="320">
        <v>0.1079</v>
      </c>
      <c r="S208" s="285"/>
      <c r="T208" s="285"/>
      <c r="U208" s="317"/>
      <c r="V208" s="5"/>
    </row>
    <row r="209" spans="1:22" ht="15.6" x14ac:dyDescent="0.3">
      <c r="A209" s="209"/>
      <c r="B209" s="350"/>
      <c r="C209" s="350"/>
      <c r="D209" s="350"/>
      <c r="E209" s="350"/>
      <c r="F209" s="350"/>
      <c r="G209" s="334"/>
      <c r="H209" s="334"/>
      <c r="I209" s="334"/>
      <c r="J209" s="334"/>
      <c r="K209" s="334"/>
      <c r="L209" s="334"/>
      <c r="M209" s="334"/>
      <c r="N209" s="334"/>
      <c r="O209" s="334"/>
      <c r="P209" s="334"/>
      <c r="Q209" s="334"/>
      <c r="R209" s="347"/>
      <c r="S209" s="334"/>
      <c r="T209" s="351"/>
      <c r="U209" s="334"/>
      <c r="V209" s="5"/>
    </row>
    <row r="210" spans="1:22" ht="15.6" x14ac:dyDescent="0.3">
      <c r="A210" s="266"/>
      <c r="B210" s="395" t="s">
        <v>80</v>
      </c>
      <c r="C210" s="396"/>
      <c r="D210" s="396"/>
      <c r="E210" s="396"/>
      <c r="F210" s="402"/>
      <c r="G210" s="396"/>
      <c r="H210" s="396"/>
      <c r="I210" s="396"/>
      <c r="J210" s="396"/>
      <c r="K210" s="396"/>
      <c r="L210" s="396"/>
      <c r="M210" s="396"/>
      <c r="N210" s="396"/>
      <c r="O210" s="396"/>
      <c r="P210" s="396"/>
      <c r="Q210" s="396" t="s">
        <v>105</v>
      </c>
      <c r="R210" s="402" t="s">
        <v>112</v>
      </c>
      <c r="S210" s="223"/>
      <c r="T210" s="223"/>
      <c r="U210" s="223"/>
      <c r="V210" s="5"/>
    </row>
    <row r="211" spans="1:22" ht="15.6" x14ac:dyDescent="0.3">
      <c r="A211" s="214"/>
      <c r="B211" s="239" t="s">
        <v>81</v>
      </c>
      <c r="C211" s="243"/>
      <c r="D211" s="243"/>
      <c r="E211" s="243"/>
      <c r="F211" s="239"/>
      <c r="G211" s="239"/>
      <c r="H211" s="242"/>
      <c r="I211" s="242"/>
      <c r="J211" s="242"/>
      <c r="K211" s="242"/>
      <c r="L211" s="242"/>
      <c r="M211" s="242"/>
      <c r="N211" s="242"/>
      <c r="O211" s="242"/>
      <c r="P211" s="242"/>
      <c r="Q211" s="242">
        <v>1</v>
      </c>
      <c r="R211" s="272">
        <v>177</v>
      </c>
      <c r="S211" s="239"/>
      <c r="T211" s="273"/>
      <c r="U211" s="215"/>
      <c r="V211" s="5"/>
    </row>
    <row r="212" spans="1:22" ht="15.6" x14ac:dyDescent="0.3">
      <c r="A212" s="360"/>
      <c r="B212" s="285" t="s">
        <v>151</v>
      </c>
      <c r="C212" s="338"/>
      <c r="D212" s="338"/>
      <c r="E212" s="338"/>
      <c r="F212" s="285"/>
      <c r="G212" s="285"/>
      <c r="H212" s="293"/>
      <c r="I212" s="293"/>
      <c r="J212" s="293"/>
      <c r="K212" s="293"/>
      <c r="L212" s="293"/>
      <c r="M212" s="293"/>
      <c r="N212" s="293"/>
      <c r="O212" s="293"/>
      <c r="P212" s="293"/>
      <c r="Q212" s="361">
        <f>+P264</f>
        <v>120</v>
      </c>
      <c r="R212" s="362">
        <f>+R264</f>
        <v>18318</v>
      </c>
      <c r="S212" s="285"/>
      <c r="T212" s="363"/>
      <c r="U212" s="364"/>
      <c r="V212" s="5"/>
    </row>
    <row r="213" spans="1:22" ht="15.6" x14ac:dyDescent="0.3">
      <c r="A213" s="360"/>
      <c r="B213" s="285" t="s">
        <v>82</v>
      </c>
      <c r="C213" s="338"/>
      <c r="D213" s="338"/>
      <c r="E213" s="338"/>
      <c r="F213" s="285"/>
      <c r="G213" s="285"/>
      <c r="H213" s="293"/>
      <c r="I213" s="293"/>
      <c r="J213" s="293"/>
      <c r="K213" s="293"/>
      <c r="L213" s="293"/>
      <c r="M213" s="293"/>
      <c r="N213" s="293"/>
      <c r="O213" s="293"/>
      <c r="P213" s="293"/>
      <c r="Q213" s="361">
        <f>+P276</f>
        <v>0</v>
      </c>
      <c r="R213" s="362">
        <f>+R276</f>
        <v>0</v>
      </c>
      <c r="S213" s="285"/>
      <c r="T213" s="363"/>
      <c r="U213" s="364"/>
      <c r="V213" s="5"/>
    </row>
    <row r="214" spans="1:22" ht="15.6" x14ac:dyDescent="0.3">
      <c r="A214" s="360"/>
      <c r="B214" s="310" t="s">
        <v>83</v>
      </c>
      <c r="C214" s="365"/>
      <c r="D214" s="365"/>
      <c r="E214" s="365"/>
      <c r="F214" s="311"/>
      <c r="G214" s="311"/>
      <c r="H214" s="311"/>
      <c r="I214" s="311"/>
      <c r="J214" s="311"/>
      <c r="K214" s="311"/>
      <c r="L214" s="311"/>
      <c r="M214" s="311"/>
      <c r="N214" s="311"/>
      <c r="O214" s="311"/>
      <c r="P214" s="311"/>
      <c r="Q214" s="285"/>
      <c r="R214" s="362">
        <v>0</v>
      </c>
      <c r="S214" s="311"/>
      <c r="T214" s="366"/>
      <c r="U214" s="364"/>
      <c r="V214" s="5"/>
    </row>
    <row r="215" spans="1:22" ht="15.6" x14ac:dyDescent="0.3">
      <c r="A215" s="360"/>
      <c r="B215" s="310" t="s">
        <v>84</v>
      </c>
      <c r="C215" s="365"/>
      <c r="D215" s="365"/>
      <c r="E215" s="365"/>
      <c r="F215" s="311"/>
      <c r="G215" s="311"/>
      <c r="H215" s="311"/>
      <c r="I215" s="311"/>
      <c r="J215" s="311"/>
      <c r="K215" s="311"/>
      <c r="L215" s="311"/>
      <c r="M215" s="311"/>
      <c r="N215" s="311"/>
      <c r="O215" s="311"/>
      <c r="P215" s="311"/>
      <c r="Q215" s="285"/>
      <c r="R215" s="367" t="s">
        <v>113</v>
      </c>
      <c r="S215" s="311"/>
      <c r="T215" s="366"/>
      <c r="U215" s="364"/>
      <c r="V215" s="5"/>
    </row>
    <row r="216" spans="1:22" ht="15.6" x14ac:dyDescent="0.3">
      <c r="A216" s="368"/>
      <c r="B216" s="310" t="s">
        <v>85</v>
      </c>
      <c r="C216" s="369"/>
      <c r="D216" s="369"/>
      <c r="E216" s="369"/>
      <c r="F216" s="369"/>
      <c r="G216" s="311"/>
      <c r="H216" s="311"/>
      <c r="I216" s="311"/>
      <c r="J216" s="311"/>
      <c r="K216" s="311"/>
      <c r="L216" s="311"/>
      <c r="M216" s="311"/>
      <c r="N216" s="311"/>
      <c r="O216" s="311"/>
      <c r="P216" s="311"/>
      <c r="Q216" s="285"/>
      <c r="R216" s="362"/>
      <c r="S216" s="311"/>
      <c r="T216" s="366"/>
      <c r="U216" s="370"/>
      <c r="V216" s="5"/>
    </row>
    <row r="217" spans="1:22" ht="15.6" x14ac:dyDescent="0.3">
      <c r="A217" s="368"/>
      <c r="B217" s="285" t="s">
        <v>86</v>
      </c>
      <c r="C217" s="285"/>
      <c r="D217" s="285"/>
      <c r="E217" s="285"/>
      <c r="F217" s="285"/>
      <c r="G217" s="285"/>
      <c r="H217" s="285"/>
      <c r="I217" s="285"/>
      <c r="J217" s="285"/>
      <c r="K217" s="285"/>
      <c r="L217" s="285"/>
      <c r="M217" s="285"/>
      <c r="N217" s="285"/>
      <c r="O217" s="285"/>
      <c r="P217" s="285"/>
      <c r="Q217" s="293"/>
      <c r="R217" s="362">
        <f>T161</f>
        <v>318</v>
      </c>
      <c r="S217" s="285"/>
      <c r="T217" s="363"/>
      <c r="U217" s="370"/>
      <c r="V217" s="5"/>
    </row>
    <row r="218" spans="1:22" ht="15.6" x14ac:dyDescent="0.3">
      <c r="A218" s="360"/>
      <c r="B218" s="285" t="s">
        <v>87</v>
      </c>
      <c r="C218" s="338"/>
      <c r="D218" s="338"/>
      <c r="E218" s="338"/>
      <c r="F218" s="338"/>
      <c r="G218" s="285"/>
      <c r="H218" s="285"/>
      <c r="I218" s="285"/>
      <c r="J218" s="285"/>
      <c r="K218" s="285"/>
      <c r="L218" s="285"/>
      <c r="M218" s="285"/>
      <c r="N218" s="285"/>
      <c r="O218" s="285"/>
      <c r="P218" s="285"/>
      <c r="Q218" s="293"/>
      <c r="R218" s="362">
        <f>'March 11'!R218+R217</f>
        <v>3074</v>
      </c>
      <c r="S218" s="285"/>
      <c r="T218" s="363"/>
      <c r="U218" s="370"/>
      <c r="V218" s="5"/>
    </row>
    <row r="219" spans="1:22" ht="15.6" x14ac:dyDescent="0.3">
      <c r="A219" s="368"/>
      <c r="B219" s="310" t="s">
        <v>282</v>
      </c>
      <c r="C219" s="369"/>
      <c r="D219" s="369"/>
      <c r="E219" s="369"/>
      <c r="F219" s="369"/>
      <c r="G219" s="311"/>
      <c r="H219" s="311"/>
      <c r="I219" s="311"/>
      <c r="J219" s="311"/>
      <c r="K219" s="311"/>
      <c r="L219" s="311"/>
      <c r="M219" s="311"/>
      <c r="N219" s="311"/>
      <c r="O219" s="311"/>
      <c r="P219" s="311"/>
      <c r="Q219" s="293"/>
      <c r="R219" s="362"/>
      <c r="S219" s="311"/>
      <c r="T219" s="366"/>
      <c r="U219" s="370"/>
      <c r="V219" s="5"/>
    </row>
    <row r="220" spans="1:22" ht="15.6" x14ac:dyDescent="0.3">
      <c r="A220" s="368"/>
      <c r="B220" s="285" t="s">
        <v>280</v>
      </c>
      <c r="C220" s="369"/>
      <c r="D220" s="369"/>
      <c r="E220" s="369"/>
      <c r="F220" s="369"/>
      <c r="G220" s="311"/>
      <c r="H220" s="311"/>
      <c r="I220" s="311"/>
      <c r="J220" s="311"/>
      <c r="K220" s="311"/>
      <c r="L220" s="311"/>
      <c r="M220" s="311"/>
      <c r="N220" s="311"/>
      <c r="O220" s="311"/>
      <c r="P220" s="311"/>
      <c r="Q220" s="293">
        <v>0</v>
      </c>
      <c r="R220" s="362">
        <v>0</v>
      </c>
      <c r="S220" s="311"/>
      <c r="T220" s="366"/>
      <c r="U220" s="370"/>
      <c r="V220" s="5"/>
    </row>
    <row r="221" spans="1:22" ht="15.6" x14ac:dyDescent="0.3">
      <c r="A221" s="360"/>
      <c r="B221" s="285" t="s">
        <v>89</v>
      </c>
      <c r="C221" s="373"/>
      <c r="D221" s="373"/>
      <c r="E221" s="373"/>
      <c r="F221" s="374"/>
      <c r="G221" s="311"/>
      <c r="H221" s="311"/>
      <c r="I221" s="311"/>
      <c r="J221" s="311"/>
      <c r="K221" s="311"/>
      <c r="L221" s="311"/>
      <c r="M221" s="311"/>
      <c r="N221" s="311"/>
      <c r="O221" s="311"/>
      <c r="P221" s="311"/>
      <c r="Q221" s="285"/>
      <c r="R221" s="367">
        <v>0</v>
      </c>
      <c r="S221" s="311"/>
      <c r="T221" s="366"/>
      <c r="U221" s="370"/>
      <c r="V221" s="5"/>
    </row>
    <row r="222" spans="1:22" ht="15.6" x14ac:dyDescent="0.3">
      <c r="A222" s="360"/>
      <c r="B222" s="285" t="s">
        <v>90</v>
      </c>
      <c r="C222" s="373"/>
      <c r="D222" s="373"/>
      <c r="E222" s="373"/>
      <c r="F222" s="374"/>
      <c r="G222" s="311"/>
      <c r="H222" s="311"/>
      <c r="I222" s="311"/>
      <c r="J222" s="311"/>
      <c r="K222" s="311"/>
      <c r="L222" s="311"/>
      <c r="M222" s="311"/>
      <c r="N222" s="311"/>
      <c r="O222" s="311"/>
      <c r="P222" s="311"/>
      <c r="Q222" s="285"/>
      <c r="R222" s="367">
        <v>0</v>
      </c>
      <c r="S222" s="311"/>
      <c r="T222" s="366"/>
      <c r="U222" s="370"/>
      <c r="V222" s="5"/>
    </row>
    <row r="223" spans="1:22" ht="15.6" x14ac:dyDescent="0.3">
      <c r="A223" s="360"/>
      <c r="B223" s="310" t="s">
        <v>226</v>
      </c>
      <c r="C223" s="373"/>
      <c r="D223" s="373"/>
      <c r="E223" s="373"/>
      <c r="F223" s="374"/>
      <c r="G223" s="311"/>
      <c r="H223" s="311"/>
      <c r="I223" s="311"/>
      <c r="J223" s="311"/>
      <c r="K223" s="311"/>
      <c r="L223" s="311"/>
      <c r="M223" s="311"/>
      <c r="N223" s="311"/>
      <c r="O223" s="311"/>
      <c r="P223" s="311"/>
      <c r="Q223" s="293"/>
      <c r="R223" s="375"/>
      <c r="S223" s="311"/>
      <c r="T223" s="366"/>
      <c r="U223" s="370"/>
      <c r="V223" s="5"/>
    </row>
    <row r="224" spans="1:22" ht="15.6" x14ac:dyDescent="0.3">
      <c r="A224" s="360"/>
      <c r="B224" s="285" t="s">
        <v>280</v>
      </c>
      <c r="C224" s="373"/>
      <c r="D224" s="373"/>
      <c r="E224" s="373"/>
      <c r="F224" s="374"/>
      <c r="G224" s="311"/>
      <c r="H224" s="311"/>
      <c r="I224" s="311"/>
      <c r="J224" s="311"/>
      <c r="K224" s="311"/>
      <c r="L224" s="311"/>
      <c r="M224" s="311"/>
      <c r="N224" s="311"/>
      <c r="O224" s="311"/>
      <c r="P224" s="311"/>
      <c r="Q224" s="293">
        <v>6</v>
      </c>
      <c r="R224" s="362">
        <v>995</v>
      </c>
      <c r="S224" s="311"/>
      <c r="T224" s="366"/>
      <c r="U224" s="370"/>
      <c r="V224" s="5"/>
    </row>
    <row r="225" spans="1:23" ht="15.6" x14ac:dyDescent="0.3">
      <c r="A225" s="360"/>
      <c r="B225" s="285" t="s">
        <v>227</v>
      </c>
      <c r="C225" s="373"/>
      <c r="D225" s="373"/>
      <c r="E225" s="373"/>
      <c r="F225" s="374"/>
      <c r="G225" s="311"/>
      <c r="H225" s="311"/>
      <c r="I225" s="311"/>
      <c r="J225" s="311"/>
      <c r="K225" s="311"/>
      <c r="L225" s="311"/>
      <c r="M225" s="311"/>
      <c r="N225" s="311"/>
      <c r="O225" s="311"/>
      <c r="P225" s="311"/>
      <c r="Q225" s="293"/>
      <c r="R225" s="367">
        <v>4.03</v>
      </c>
      <c r="S225" s="311"/>
      <c r="T225" s="366"/>
      <c r="U225" s="370"/>
      <c r="V225" s="5"/>
    </row>
    <row r="226" spans="1:23" ht="15.6" x14ac:dyDescent="0.3">
      <c r="A226" s="360"/>
      <c r="B226" s="369"/>
      <c r="C226" s="373"/>
      <c r="D226" s="373"/>
      <c r="E226" s="373"/>
      <c r="F226" s="374"/>
      <c r="G226" s="311"/>
      <c r="H226" s="311"/>
      <c r="I226" s="311"/>
      <c r="J226" s="311"/>
      <c r="K226" s="311"/>
      <c r="L226" s="311"/>
      <c r="M226" s="311"/>
      <c r="N226" s="311"/>
      <c r="O226" s="311"/>
      <c r="P226" s="311"/>
      <c r="Q226" s="311"/>
      <c r="R226" s="376"/>
      <c r="S226" s="311"/>
      <c r="T226" s="366"/>
      <c r="U226" s="370"/>
      <c r="V226" s="5"/>
    </row>
    <row r="227" spans="1:23" ht="15.6" x14ac:dyDescent="0.3">
      <c r="A227" s="360"/>
      <c r="B227" s="369"/>
      <c r="C227" s="373"/>
      <c r="D227" s="373"/>
      <c r="E227" s="373"/>
      <c r="F227" s="374"/>
      <c r="G227" s="311"/>
      <c r="H227" s="311"/>
      <c r="I227" s="311"/>
      <c r="J227" s="311"/>
      <c r="K227" s="311"/>
      <c r="L227" s="311"/>
      <c r="M227" s="311"/>
      <c r="N227" s="311"/>
      <c r="O227" s="311"/>
      <c r="P227" s="311"/>
      <c r="Q227" s="311"/>
      <c r="R227" s="376"/>
      <c r="S227" s="311"/>
      <c r="T227" s="366"/>
      <c r="U227" s="370"/>
      <c r="V227" s="5"/>
    </row>
    <row r="228" spans="1:23" ht="17.399999999999999" x14ac:dyDescent="0.3">
      <c r="A228" s="360"/>
      <c r="B228" s="377" t="s">
        <v>175</v>
      </c>
      <c r="C228" s="373"/>
      <c r="D228" s="373"/>
      <c r="E228" s="373"/>
      <c r="F228" s="374"/>
      <c r="G228" s="311"/>
      <c r="H228" s="311"/>
      <c r="I228" s="311"/>
      <c r="J228" s="311"/>
      <c r="K228" s="311"/>
      <c r="L228" s="311"/>
      <c r="M228" s="311"/>
      <c r="N228" s="378" t="s">
        <v>174</v>
      </c>
      <c r="O228" s="311"/>
      <c r="P228" s="311"/>
      <c r="Q228" s="311"/>
      <c r="R228" s="376"/>
      <c r="S228" s="311"/>
      <c r="T228" s="366"/>
      <c r="U228" s="370"/>
      <c r="V228" s="5"/>
    </row>
    <row r="229" spans="1:23" ht="15.6" x14ac:dyDescent="0.3">
      <c r="A229" s="355"/>
      <c r="B229" s="350"/>
      <c r="C229" s="356"/>
      <c r="D229" s="356"/>
      <c r="E229" s="356"/>
      <c r="F229" s="357"/>
      <c r="G229" s="334"/>
      <c r="H229" s="334"/>
      <c r="I229" s="334"/>
      <c r="J229" s="334"/>
      <c r="K229" s="334"/>
      <c r="L229" s="334"/>
      <c r="M229" s="334"/>
      <c r="N229" s="334"/>
      <c r="O229" s="334"/>
      <c r="P229" s="334"/>
      <c r="Q229" s="334"/>
      <c r="R229" s="358"/>
      <c r="S229" s="334"/>
      <c r="T229" s="351"/>
      <c r="U229" s="359"/>
      <c r="V229" s="5"/>
    </row>
    <row r="230" spans="1:23" ht="15.6" x14ac:dyDescent="0.3">
      <c r="A230" s="222"/>
      <c r="B230" s="395" t="s">
        <v>295</v>
      </c>
      <c r="C230" s="396"/>
      <c r="D230" s="396"/>
      <c r="E230" s="396"/>
      <c r="F230" s="402"/>
      <c r="G230" s="396"/>
      <c r="H230" s="396"/>
      <c r="I230" s="396"/>
      <c r="J230" s="396"/>
      <c r="K230" s="396"/>
      <c r="L230" s="396"/>
      <c r="M230" s="396"/>
      <c r="N230" s="396"/>
      <c r="O230" s="396"/>
      <c r="P230" s="402" t="s">
        <v>105</v>
      </c>
      <c r="Q230" s="396" t="s">
        <v>106</v>
      </c>
      <c r="R230" s="402" t="s">
        <v>114</v>
      </c>
      <c r="S230" s="396" t="s">
        <v>106</v>
      </c>
      <c r="T230" s="223"/>
      <c r="U230" s="395"/>
      <c r="V230" s="5"/>
    </row>
    <row r="231" spans="1:23" ht="15.6" x14ac:dyDescent="0.3">
      <c r="A231" s="190"/>
      <c r="B231" s="243" t="s">
        <v>91</v>
      </c>
      <c r="C231" s="217"/>
      <c r="D231" s="217"/>
      <c r="E231" s="217"/>
      <c r="F231" s="191"/>
      <c r="G231" s="217"/>
      <c r="H231" s="217"/>
      <c r="I231" s="217"/>
      <c r="J231" s="217"/>
      <c r="K231" s="217"/>
      <c r="L231" s="217"/>
      <c r="M231" s="217"/>
      <c r="N231" s="217"/>
      <c r="O231" s="217"/>
      <c r="P231" s="338">
        <f t="shared" ref="P231:P238" si="1">+P243+P255+P267</f>
        <v>4276</v>
      </c>
      <c r="Q231" s="384">
        <f t="shared" ref="Q231:Q238" si="2">P231/$P$240</f>
        <v>0.9847996315062183</v>
      </c>
      <c r="R231" s="339">
        <f t="shared" ref="R231:R238" si="3">+R243+R255+R267</f>
        <v>562759</v>
      </c>
      <c r="S231" s="384">
        <f t="shared" ref="S231:S238" si="4">R231/$R$240</f>
        <v>0.97985816442549278</v>
      </c>
      <c r="T231" s="213"/>
      <c r="U231" s="216"/>
      <c r="V231" s="5"/>
    </row>
    <row r="232" spans="1:23" ht="15.6" x14ac:dyDescent="0.3">
      <c r="A232" s="284"/>
      <c r="B232" s="338" t="s">
        <v>92</v>
      </c>
      <c r="C232" s="382"/>
      <c r="D232" s="382"/>
      <c r="E232" s="382"/>
      <c r="F232" s="311"/>
      <c r="G232" s="383"/>
      <c r="H232" s="382"/>
      <c r="I232" s="382"/>
      <c r="J232" s="382"/>
      <c r="K232" s="382"/>
      <c r="L232" s="382"/>
      <c r="M232" s="382"/>
      <c r="N232" s="382"/>
      <c r="O232" s="382"/>
      <c r="P232" s="338">
        <f t="shared" si="1"/>
        <v>33</v>
      </c>
      <c r="Q232" s="384">
        <f t="shared" si="2"/>
        <v>7.6001842468908336E-3</v>
      </c>
      <c r="R232" s="339">
        <f t="shared" si="3"/>
        <v>5841</v>
      </c>
      <c r="S232" s="384">
        <f t="shared" si="4"/>
        <v>1.0170164383704754E-2</v>
      </c>
      <c r="T232" s="366"/>
      <c r="U232" s="370"/>
      <c r="V232" s="5"/>
      <c r="W232" s="109"/>
    </row>
    <row r="233" spans="1:23" ht="15.6" x14ac:dyDescent="0.3">
      <c r="A233" s="284"/>
      <c r="B233" s="338" t="s">
        <v>93</v>
      </c>
      <c r="C233" s="382"/>
      <c r="D233" s="382"/>
      <c r="E233" s="382"/>
      <c r="F233" s="311"/>
      <c r="G233" s="383"/>
      <c r="H233" s="382"/>
      <c r="I233" s="382"/>
      <c r="J233" s="382"/>
      <c r="K233" s="382"/>
      <c r="L233" s="382"/>
      <c r="M233" s="382"/>
      <c r="N233" s="382"/>
      <c r="O233" s="382"/>
      <c r="P233" s="338">
        <f t="shared" si="1"/>
        <v>9</v>
      </c>
      <c r="Q233" s="384">
        <f t="shared" si="2"/>
        <v>2.0727775218793184E-3</v>
      </c>
      <c r="R233" s="339">
        <f t="shared" si="3"/>
        <v>1363</v>
      </c>
      <c r="S233" s="384">
        <f t="shared" si="4"/>
        <v>2.3732124730336552E-3</v>
      </c>
      <c r="T233" s="366"/>
      <c r="U233" s="370"/>
      <c r="V233" s="5"/>
    </row>
    <row r="234" spans="1:23" ht="15.6" x14ac:dyDescent="0.3">
      <c r="A234" s="284"/>
      <c r="B234" s="338" t="s">
        <v>163</v>
      </c>
      <c r="C234" s="382"/>
      <c r="D234" s="382"/>
      <c r="E234" s="382"/>
      <c r="F234" s="311"/>
      <c r="G234" s="383"/>
      <c r="H234" s="382"/>
      <c r="I234" s="382"/>
      <c r="J234" s="382"/>
      <c r="K234" s="382"/>
      <c r="L234" s="382"/>
      <c r="M234" s="382"/>
      <c r="N234" s="382"/>
      <c r="O234" s="382"/>
      <c r="P234" s="338">
        <f t="shared" si="1"/>
        <v>3</v>
      </c>
      <c r="Q234" s="384">
        <f t="shared" si="2"/>
        <v>6.9092584062643945E-4</v>
      </c>
      <c r="R234" s="339">
        <f t="shared" si="3"/>
        <v>711</v>
      </c>
      <c r="S234" s="384">
        <f t="shared" si="4"/>
        <v>1.237970703101195E-3</v>
      </c>
      <c r="T234" s="366"/>
      <c r="U234" s="370"/>
      <c r="V234" s="5"/>
      <c r="W234" s="109"/>
    </row>
    <row r="235" spans="1:23" ht="15.6" x14ac:dyDescent="0.3">
      <c r="A235" s="284"/>
      <c r="B235" s="338" t="s">
        <v>164</v>
      </c>
      <c r="C235" s="382"/>
      <c r="D235" s="382"/>
      <c r="E235" s="382"/>
      <c r="F235" s="311"/>
      <c r="G235" s="383"/>
      <c r="H235" s="382"/>
      <c r="I235" s="382"/>
      <c r="J235" s="382"/>
      <c r="K235" s="382"/>
      <c r="L235" s="382"/>
      <c r="M235" s="382"/>
      <c r="N235" s="382"/>
      <c r="O235" s="382"/>
      <c r="P235" s="338">
        <f t="shared" si="1"/>
        <v>1</v>
      </c>
      <c r="Q235" s="384">
        <f t="shared" si="2"/>
        <v>2.3030861354214648E-4</v>
      </c>
      <c r="R235" s="339">
        <f t="shared" si="3"/>
        <v>113</v>
      </c>
      <c r="S235" s="384">
        <f t="shared" si="4"/>
        <v>1.967520245435092E-4</v>
      </c>
      <c r="T235" s="366"/>
      <c r="U235" s="370"/>
      <c r="V235" s="5"/>
    </row>
    <row r="236" spans="1:23" ht="15.6" x14ac:dyDescent="0.3">
      <c r="A236" s="284"/>
      <c r="B236" s="338" t="s">
        <v>165</v>
      </c>
      <c r="C236" s="382"/>
      <c r="D236" s="382"/>
      <c r="E236" s="382"/>
      <c r="F236" s="311"/>
      <c r="G236" s="383"/>
      <c r="H236" s="382"/>
      <c r="I236" s="382"/>
      <c r="J236" s="382"/>
      <c r="K236" s="382"/>
      <c r="L236" s="382"/>
      <c r="M236" s="382"/>
      <c r="N236" s="382"/>
      <c r="O236" s="382"/>
      <c r="P236" s="338">
        <f t="shared" si="1"/>
        <v>0</v>
      </c>
      <c r="Q236" s="384">
        <f t="shared" si="2"/>
        <v>0</v>
      </c>
      <c r="R236" s="339">
        <f t="shared" si="3"/>
        <v>0</v>
      </c>
      <c r="S236" s="384">
        <f t="shared" si="4"/>
        <v>0</v>
      </c>
      <c r="T236" s="366"/>
      <c r="U236" s="370"/>
      <c r="V236" s="5"/>
      <c r="W236" s="109"/>
    </row>
    <row r="237" spans="1:23" ht="15.6" x14ac:dyDescent="0.3">
      <c r="A237" s="284"/>
      <c r="B237" s="338" t="s">
        <v>166</v>
      </c>
      <c r="C237" s="382"/>
      <c r="D237" s="382"/>
      <c r="E237" s="382"/>
      <c r="F237" s="311"/>
      <c r="G237" s="383"/>
      <c r="H237" s="382"/>
      <c r="I237" s="382"/>
      <c r="J237" s="382"/>
      <c r="K237" s="382"/>
      <c r="L237" s="382"/>
      <c r="M237" s="382"/>
      <c r="N237" s="382"/>
      <c r="O237" s="382"/>
      <c r="P237" s="338">
        <f t="shared" si="1"/>
        <v>6</v>
      </c>
      <c r="Q237" s="384">
        <f t="shared" si="2"/>
        <v>1.3818516812528789E-3</v>
      </c>
      <c r="R237" s="339">
        <f t="shared" si="3"/>
        <v>1402</v>
      </c>
      <c r="S237" s="384">
        <f t="shared" si="4"/>
        <v>2.4411180390265476E-3</v>
      </c>
      <c r="T237" s="366"/>
      <c r="U237" s="370"/>
      <c r="V237" s="5"/>
    </row>
    <row r="238" spans="1:23" ht="15.6" x14ac:dyDescent="0.3">
      <c r="A238" s="284"/>
      <c r="B238" s="338" t="s">
        <v>167</v>
      </c>
      <c r="C238" s="382"/>
      <c r="D238" s="382"/>
      <c r="E238" s="382"/>
      <c r="F238" s="311"/>
      <c r="G238" s="383"/>
      <c r="H238" s="382"/>
      <c r="I238" s="382"/>
      <c r="J238" s="382"/>
      <c r="K238" s="382"/>
      <c r="L238" s="382"/>
      <c r="M238" s="382"/>
      <c r="N238" s="382"/>
      <c r="O238" s="382"/>
      <c r="P238" s="338">
        <f t="shared" si="1"/>
        <v>14</v>
      </c>
      <c r="Q238" s="384">
        <f t="shared" si="2"/>
        <v>3.2243205895900505E-3</v>
      </c>
      <c r="R238" s="339">
        <f t="shared" si="3"/>
        <v>2138</v>
      </c>
      <c r="S238" s="384">
        <f t="shared" si="4"/>
        <v>3.7226179510975455E-3</v>
      </c>
      <c r="T238" s="366"/>
      <c r="U238" s="370"/>
      <c r="V238" s="5"/>
      <c r="W238" s="109"/>
    </row>
    <row r="239" spans="1:23" ht="15.6" x14ac:dyDescent="0.3">
      <c r="A239" s="284"/>
      <c r="B239" s="338"/>
      <c r="C239" s="382"/>
      <c r="D239" s="382"/>
      <c r="E239" s="382"/>
      <c r="F239" s="311"/>
      <c r="G239" s="383"/>
      <c r="H239" s="382"/>
      <c r="I239" s="382"/>
      <c r="J239" s="382"/>
      <c r="K239" s="382"/>
      <c r="L239" s="382"/>
      <c r="M239" s="382"/>
      <c r="N239" s="382"/>
      <c r="O239" s="382"/>
      <c r="P239" s="338"/>
      <c r="Q239" s="384"/>
      <c r="R239" s="339"/>
      <c r="S239" s="384"/>
      <c r="T239" s="366"/>
      <c r="U239" s="370"/>
      <c r="V239" s="5"/>
    </row>
    <row r="240" spans="1:23" ht="15.6" x14ac:dyDescent="0.3">
      <c r="A240" s="284"/>
      <c r="B240" s="285" t="s">
        <v>120</v>
      </c>
      <c r="C240" s="311"/>
      <c r="D240" s="311"/>
      <c r="E240" s="311"/>
      <c r="F240" s="311"/>
      <c r="G240" s="311"/>
      <c r="H240" s="385"/>
      <c r="I240" s="385"/>
      <c r="J240" s="385"/>
      <c r="K240" s="385"/>
      <c r="L240" s="385"/>
      <c r="M240" s="385"/>
      <c r="N240" s="385"/>
      <c r="O240" s="385"/>
      <c r="P240" s="338">
        <f>SUM(P231:P239)</f>
        <v>4342</v>
      </c>
      <c r="Q240" s="384">
        <f>SUM(Q231:Q239)</f>
        <v>1</v>
      </c>
      <c r="R240" s="339">
        <f>SUM(R231:R239)</f>
        <v>574327</v>
      </c>
      <c r="S240" s="384">
        <f>SUM(S231:S239)</f>
        <v>1</v>
      </c>
      <c r="T240" s="311"/>
      <c r="U240" s="317"/>
      <c r="V240" s="5"/>
    </row>
    <row r="241" spans="1:23" ht="15.6" x14ac:dyDescent="0.3">
      <c r="A241" s="355"/>
      <c r="B241" s="350"/>
      <c r="C241" s="356"/>
      <c r="D241" s="356"/>
      <c r="E241" s="356"/>
      <c r="F241" s="357"/>
      <c r="G241" s="334"/>
      <c r="H241" s="334"/>
      <c r="I241" s="334"/>
      <c r="J241" s="334"/>
      <c r="K241" s="334"/>
      <c r="L241" s="334"/>
      <c r="M241" s="334"/>
      <c r="N241" s="334"/>
      <c r="O241" s="334"/>
      <c r="P241" s="334"/>
      <c r="Q241" s="334"/>
      <c r="R241" s="358"/>
      <c r="S241" s="334"/>
      <c r="T241" s="351"/>
      <c r="U241" s="359"/>
      <c r="V241" s="5"/>
    </row>
    <row r="242" spans="1:23" ht="15.6" x14ac:dyDescent="0.3">
      <c r="A242" s="222"/>
      <c r="B242" s="395" t="s">
        <v>169</v>
      </c>
      <c r="C242" s="396"/>
      <c r="D242" s="396"/>
      <c r="E242" s="396"/>
      <c r="F242" s="402"/>
      <c r="G242" s="396"/>
      <c r="H242" s="396"/>
      <c r="I242" s="396"/>
      <c r="J242" s="396"/>
      <c r="K242" s="396"/>
      <c r="L242" s="396"/>
      <c r="M242" s="396"/>
      <c r="N242" s="396"/>
      <c r="O242" s="396"/>
      <c r="P242" s="402" t="s">
        <v>105</v>
      </c>
      <c r="Q242" s="396" t="s">
        <v>106</v>
      </c>
      <c r="R242" s="402" t="s">
        <v>114</v>
      </c>
      <c r="S242" s="396" t="s">
        <v>106</v>
      </c>
      <c r="T242" s="223"/>
      <c r="U242" s="395"/>
      <c r="V242" s="5"/>
    </row>
    <row r="243" spans="1:23" ht="15.6" x14ac:dyDescent="0.3">
      <c r="A243" s="190"/>
      <c r="B243" s="243" t="s">
        <v>91</v>
      </c>
      <c r="C243" s="217"/>
      <c r="D243" s="217"/>
      <c r="E243" s="217"/>
      <c r="F243" s="191"/>
      <c r="G243" s="217"/>
      <c r="H243" s="217"/>
      <c r="I243" s="217"/>
      <c r="J243" s="217"/>
      <c r="K243" s="217"/>
      <c r="L243" s="217"/>
      <c r="M243" s="217"/>
      <c r="N243" s="217"/>
      <c r="O243" s="217"/>
      <c r="P243" s="243">
        <v>4188</v>
      </c>
      <c r="Q243" s="274">
        <f t="shared" ref="Q243:Q250" si="5">P243/$P$252</f>
        <v>0.99194694457603028</v>
      </c>
      <c r="R243" s="251">
        <v>550437</v>
      </c>
      <c r="S243" s="274">
        <f t="shared" ref="S243:S250" si="6">R243/$R$252</f>
        <v>0.9899785794834256</v>
      </c>
      <c r="T243" s="213"/>
      <c r="U243" s="216"/>
      <c r="V243" s="5"/>
    </row>
    <row r="244" spans="1:23" ht="15.6" x14ac:dyDescent="0.3">
      <c r="A244" s="284"/>
      <c r="B244" s="338" t="s">
        <v>92</v>
      </c>
      <c r="C244" s="382"/>
      <c r="D244" s="382"/>
      <c r="E244" s="382"/>
      <c r="F244" s="311"/>
      <c r="G244" s="383"/>
      <c r="H244" s="382"/>
      <c r="I244" s="382"/>
      <c r="J244" s="382"/>
      <c r="K244" s="382"/>
      <c r="L244" s="382"/>
      <c r="M244" s="382"/>
      <c r="N244" s="382"/>
      <c r="O244" s="382"/>
      <c r="P244" s="338">
        <v>26</v>
      </c>
      <c r="Q244" s="384">
        <f t="shared" si="5"/>
        <v>6.1582188536238747E-3</v>
      </c>
      <c r="R244" s="339">
        <v>4173</v>
      </c>
      <c r="S244" s="384">
        <f t="shared" si="6"/>
        <v>7.5052741952018765E-3</v>
      </c>
      <c r="T244" s="366"/>
      <c r="U244" s="370"/>
      <c r="V244" s="5"/>
      <c r="W244" s="109"/>
    </row>
    <row r="245" spans="1:23" ht="15.6" x14ac:dyDescent="0.3">
      <c r="A245" s="284"/>
      <c r="B245" s="338" t="s">
        <v>93</v>
      </c>
      <c r="C245" s="382"/>
      <c r="D245" s="382"/>
      <c r="E245" s="382"/>
      <c r="F245" s="311"/>
      <c r="G245" s="383"/>
      <c r="H245" s="382"/>
      <c r="I245" s="382"/>
      <c r="J245" s="382"/>
      <c r="K245" s="382"/>
      <c r="L245" s="382"/>
      <c r="M245" s="382"/>
      <c r="N245" s="382"/>
      <c r="O245" s="382"/>
      <c r="P245" s="338">
        <v>6</v>
      </c>
      <c r="Q245" s="384">
        <f t="shared" si="5"/>
        <v>1.4211274277593558E-3</v>
      </c>
      <c r="R245" s="339">
        <v>928</v>
      </c>
      <c r="S245" s="384">
        <f t="shared" si="6"/>
        <v>1.6690377314036284E-3</v>
      </c>
      <c r="T245" s="366"/>
      <c r="U245" s="370"/>
      <c r="V245" s="5"/>
    </row>
    <row r="246" spans="1:23" ht="15.6" x14ac:dyDescent="0.3">
      <c r="A246" s="284"/>
      <c r="B246" s="338" t="s">
        <v>163</v>
      </c>
      <c r="C246" s="382"/>
      <c r="D246" s="382"/>
      <c r="E246" s="382"/>
      <c r="F246" s="311"/>
      <c r="G246" s="383"/>
      <c r="H246" s="382"/>
      <c r="I246" s="382"/>
      <c r="J246" s="382"/>
      <c r="K246" s="382"/>
      <c r="L246" s="382"/>
      <c r="M246" s="382"/>
      <c r="N246" s="382"/>
      <c r="O246" s="382"/>
      <c r="P246" s="338">
        <v>1</v>
      </c>
      <c r="Q246" s="384">
        <f t="shared" si="5"/>
        <v>2.3685457129322596E-4</v>
      </c>
      <c r="R246" s="339">
        <v>172</v>
      </c>
      <c r="S246" s="384">
        <f t="shared" si="6"/>
        <v>3.0934751056187941E-4</v>
      </c>
      <c r="T246" s="366"/>
      <c r="U246" s="370"/>
      <c r="V246" s="5"/>
      <c r="W246" s="109"/>
    </row>
    <row r="247" spans="1:23" ht="15.6" x14ac:dyDescent="0.3">
      <c r="A247" s="284"/>
      <c r="B247" s="338" t="s">
        <v>164</v>
      </c>
      <c r="C247" s="382"/>
      <c r="D247" s="382"/>
      <c r="E247" s="382"/>
      <c r="F247" s="311"/>
      <c r="G247" s="383"/>
      <c r="H247" s="382"/>
      <c r="I247" s="382"/>
      <c r="J247" s="382"/>
      <c r="K247" s="382"/>
      <c r="L247" s="382"/>
      <c r="M247" s="382"/>
      <c r="N247" s="382"/>
      <c r="O247" s="382"/>
      <c r="P247" s="338">
        <v>0</v>
      </c>
      <c r="Q247" s="384">
        <f t="shared" si="5"/>
        <v>0</v>
      </c>
      <c r="R247" s="339">
        <v>0</v>
      </c>
      <c r="S247" s="384">
        <f t="shared" si="6"/>
        <v>0</v>
      </c>
      <c r="T247" s="366"/>
      <c r="U247" s="370"/>
      <c r="V247" s="5"/>
    </row>
    <row r="248" spans="1:23" ht="15.6" x14ac:dyDescent="0.3">
      <c r="A248" s="284"/>
      <c r="B248" s="338" t="s">
        <v>165</v>
      </c>
      <c r="C248" s="382"/>
      <c r="D248" s="382"/>
      <c r="E248" s="382"/>
      <c r="F248" s="311"/>
      <c r="G248" s="383"/>
      <c r="H248" s="382"/>
      <c r="I248" s="382"/>
      <c r="J248" s="382"/>
      <c r="K248" s="382"/>
      <c r="L248" s="382"/>
      <c r="M248" s="382"/>
      <c r="N248" s="382"/>
      <c r="O248" s="382"/>
      <c r="P248" s="338">
        <v>0</v>
      </c>
      <c r="Q248" s="384">
        <f t="shared" si="5"/>
        <v>0</v>
      </c>
      <c r="R248" s="339">
        <v>0</v>
      </c>
      <c r="S248" s="384">
        <f t="shared" si="6"/>
        <v>0</v>
      </c>
      <c r="T248" s="366"/>
      <c r="U248" s="370"/>
      <c r="V248" s="5"/>
      <c r="W248" s="109"/>
    </row>
    <row r="249" spans="1:23" ht="15.6" x14ac:dyDescent="0.3">
      <c r="A249" s="284"/>
      <c r="B249" s="338" t="s">
        <v>166</v>
      </c>
      <c r="C249" s="382"/>
      <c r="D249" s="382"/>
      <c r="E249" s="382"/>
      <c r="F249" s="311"/>
      <c r="G249" s="383"/>
      <c r="H249" s="382"/>
      <c r="I249" s="382"/>
      <c r="J249" s="382"/>
      <c r="K249" s="382"/>
      <c r="L249" s="382"/>
      <c r="M249" s="382"/>
      <c r="N249" s="382"/>
      <c r="O249" s="382"/>
      <c r="P249" s="338">
        <v>1</v>
      </c>
      <c r="Q249" s="384">
        <f t="shared" si="5"/>
        <v>2.3685457129322596E-4</v>
      </c>
      <c r="R249" s="339">
        <v>299</v>
      </c>
      <c r="S249" s="384">
        <f t="shared" si="6"/>
        <v>5.3776107940698803E-4</v>
      </c>
      <c r="T249" s="366"/>
      <c r="U249" s="370"/>
      <c r="V249" s="5"/>
    </row>
    <row r="250" spans="1:23" ht="15.6" x14ac:dyDescent="0.3">
      <c r="A250" s="284"/>
      <c r="B250" s="338" t="s">
        <v>167</v>
      </c>
      <c r="C250" s="382"/>
      <c r="D250" s="382"/>
      <c r="E250" s="382"/>
      <c r="F250" s="311"/>
      <c r="G250" s="383"/>
      <c r="H250" s="382"/>
      <c r="I250" s="382"/>
      <c r="J250" s="382"/>
      <c r="K250" s="382"/>
      <c r="L250" s="382"/>
      <c r="M250" s="382"/>
      <c r="N250" s="382"/>
      <c r="O250" s="382"/>
      <c r="P250" s="338">
        <v>0</v>
      </c>
      <c r="Q250" s="384">
        <f t="shared" si="5"/>
        <v>0</v>
      </c>
      <c r="R250" s="339">
        <v>0</v>
      </c>
      <c r="S250" s="384">
        <f t="shared" si="6"/>
        <v>0</v>
      </c>
      <c r="T250" s="366"/>
      <c r="U250" s="370"/>
      <c r="V250" s="5"/>
      <c r="W250" s="109"/>
    </row>
    <row r="251" spans="1:23" ht="15.6" x14ac:dyDescent="0.3">
      <c r="A251" s="284"/>
      <c r="B251" s="338"/>
      <c r="C251" s="382"/>
      <c r="D251" s="382"/>
      <c r="E251" s="382"/>
      <c r="F251" s="311"/>
      <c r="G251" s="383"/>
      <c r="H251" s="382"/>
      <c r="I251" s="382"/>
      <c r="J251" s="382"/>
      <c r="K251" s="382"/>
      <c r="L251" s="382"/>
      <c r="M251" s="382"/>
      <c r="N251" s="382"/>
      <c r="O251" s="382"/>
      <c r="P251" s="338"/>
      <c r="Q251" s="384"/>
      <c r="R251" s="339"/>
      <c r="S251" s="384"/>
      <c r="T251" s="366"/>
      <c r="U251" s="370"/>
      <c r="V251" s="5"/>
    </row>
    <row r="252" spans="1:23" ht="15.6" x14ac:dyDescent="0.3">
      <c r="A252" s="284"/>
      <c r="B252" s="285" t="s">
        <v>120</v>
      </c>
      <c r="C252" s="311"/>
      <c r="D252" s="311"/>
      <c r="E252" s="311"/>
      <c r="F252" s="311"/>
      <c r="G252" s="311"/>
      <c r="H252" s="385"/>
      <c r="I252" s="385"/>
      <c r="J252" s="385"/>
      <c r="K252" s="385"/>
      <c r="L252" s="385"/>
      <c r="M252" s="385"/>
      <c r="N252" s="385"/>
      <c r="O252" s="385"/>
      <c r="P252" s="338">
        <f>SUM(P243:P251)</f>
        <v>4222</v>
      </c>
      <c r="Q252" s="384">
        <f>SUM(Q243:Q251)</f>
        <v>0.99999999999999989</v>
      </c>
      <c r="R252" s="339">
        <f>SUM(R243:R251)</f>
        <v>556009</v>
      </c>
      <c r="S252" s="384">
        <f>SUM(S243:S251)</f>
        <v>0.99999999999999989</v>
      </c>
      <c r="T252" s="311"/>
      <c r="U252" s="317"/>
      <c r="V252" s="5"/>
    </row>
    <row r="253" spans="1:23" ht="15.6" x14ac:dyDescent="0.3">
      <c r="A253" s="175"/>
      <c r="B253" s="334"/>
      <c r="C253" s="334"/>
      <c r="D253" s="334"/>
      <c r="E253" s="334"/>
      <c r="F253" s="334"/>
      <c r="G253" s="334"/>
      <c r="H253" s="379"/>
      <c r="I253" s="379"/>
      <c r="J253" s="379"/>
      <c r="K253" s="379"/>
      <c r="L253" s="379"/>
      <c r="M253" s="379"/>
      <c r="N253" s="379"/>
      <c r="O253" s="379"/>
      <c r="P253" s="335"/>
      <c r="Q253" s="380"/>
      <c r="R253" s="381"/>
      <c r="S253" s="380"/>
      <c r="T253" s="334"/>
      <c r="U253" s="334"/>
      <c r="V253" s="5"/>
    </row>
    <row r="254" spans="1:23" ht="15.6" x14ac:dyDescent="0.3">
      <c r="A254" s="268"/>
      <c r="B254" s="395" t="s">
        <v>267</v>
      </c>
      <c r="C254" s="396"/>
      <c r="D254" s="396"/>
      <c r="E254" s="396"/>
      <c r="F254" s="402"/>
      <c r="G254" s="396"/>
      <c r="H254" s="396"/>
      <c r="I254" s="396"/>
      <c r="J254" s="396"/>
      <c r="K254" s="396"/>
      <c r="L254" s="396"/>
      <c r="M254" s="396"/>
      <c r="N254" s="396"/>
      <c r="O254" s="396"/>
      <c r="P254" s="402" t="s">
        <v>105</v>
      </c>
      <c r="Q254" s="396" t="s">
        <v>106</v>
      </c>
      <c r="R254" s="402" t="s">
        <v>114</v>
      </c>
      <c r="S254" s="396" t="s">
        <v>106</v>
      </c>
      <c r="T254" s="269"/>
      <c r="U254" s="270"/>
      <c r="V254" s="5"/>
    </row>
    <row r="255" spans="1:23" ht="15.6" x14ac:dyDescent="0.3">
      <c r="A255" s="190"/>
      <c r="B255" s="243" t="s">
        <v>91</v>
      </c>
      <c r="C255" s="217"/>
      <c r="D255" s="217"/>
      <c r="E255" s="217"/>
      <c r="F255" s="191"/>
      <c r="G255" s="217"/>
      <c r="H255" s="217"/>
      <c r="I255" s="217"/>
      <c r="J255" s="217"/>
      <c r="K255" s="217"/>
      <c r="L255" s="217"/>
      <c r="M255" s="217"/>
      <c r="N255" s="217"/>
      <c r="O255" s="217"/>
      <c r="P255" s="243">
        <v>88</v>
      </c>
      <c r="Q255" s="274">
        <f t="shared" ref="Q255:Q262" si="7">P255/$P$264</f>
        <v>0.73333333333333328</v>
      </c>
      <c r="R255" s="251">
        <v>12322</v>
      </c>
      <c r="S255" s="274">
        <f t="shared" ref="S255:S262" si="8">R255/$R$264</f>
        <v>0.67267168904902286</v>
      </c>
      <c r="T255" s="191"/>
      <c r="U255" s="191"/>
      <c r="V255" s="5"/>
    </row>
    <row r="256" spans="1:23" ht="15.6" x14ac:dyDescent="0.3">
      <c r="A256" s="284"/>
      <c r="B256" s="338" t="s">
        <v>92</v>
      </c>
      <c r="C256" s="382"/>
      <c r="D256" s="382"/>
      <c r="E256" s="382"/>
      <c r="F256" s="311"/>
      <c r="G256" s="383"/>
      <c r="H256" s="382"/>
      <c r="I256" s="382"/>
      <c r="J256" s="382"/>
      <c r="K256" s="382"/>
      <c r="L256" s="382"/>
      <c r="M256" s="382"/>
      <c r="N256" s="382"/>
      <c r="O256" s="382"/>
      <c r="P256" s="338">
        <v>7</v>
      </c>
      <c r="Q256" s="384">
        <f t="shared" si="7"/>
        <v>5.8333333333333334E-2</v>
      </c>
      <c r="R256" s="339">
        <v>1668</v>
      </c>
      <c r="S256" s="384">
        <f t="shared" si="8"/>
        <v>9.105797576154602E-2</v>
      </c>
      <c r="T256" s="311"/>
      <c r="U256" s="317"/>
      <c r="V256" s="5"/>
    </row>
    <row r="257" spans="1:22" ht="15.6" x14ac:dyDescent="0.3">
      <c r="A257" s="284"/>
      <c r="B257" s="338" t="s">
        <v>93</v>
      </c>
      <c r="C257" s="382"/>
      <c r="D257" s="382"/>
      <c r="E257" s="382"/>
      <c r="F257" s="311"/>
      <c r="G257" s="383"/>
      <c r="H257" s="382"/>
      <c r="I257" s="382"/>
      <c r="J257" s="382"/>
      <c r="K257" s="382"/>
      <c r="L257" s="382"/>
      <c r="M257" s="382"/>
      <c r="N257" s="382"/>
      <c r="O257" s="382"/>
      <c r="P257" s="338">
        <v>3</v>
      </c>
      <c r="Q257" s="384">
        <f t="shared" si="7"/>
        <v>2.5000000000000001E-2</v>
      </c>
      <c r="R257" s="339">
        <v>435</v>
      </c>
      <c r="S257" s="384">
        <f t="shared" si="8"/>
        <v>2.3747133966590239E-2</v>
      </c>
      <c r="T257" s="311"/>
      <c r="U257" s="317"/>
      <c r="V257" s="5"/>
    </row>
    <row r="258" spans="1:22" ht="15.6" x14ac:dyDescent="0.3">
      <c r="A258" s="284"/>
      <c r="B258" s="338" t="s">
        <v>163</v>
      </c>
      <c r="C258" s="382"/>
      <c r="D258" s="382"/>
      <c r="E258" s="382"/>
      <c r="F258" s="311"/>
      <c r="G258" s="383"/>
      <c r="H258" s="382"/>
      <c r="I258" s="382"/>
      <c r="J258" s="382"/>
      <c r="K258" s="382"/>
      <c r="L258" s="382"/>
      <c r="M258" s="382"/>
      <c r="N258" s="382"/>
      <c r="O258" s="382"/>
      <c r="P258" s="338">
        <v>2</v>
      </c>
      <c r="Q258" s="384">
        <f t="shared" si="7"/>
        <v>1.6666666666666666E-2</v>
      </c>
      <c r="R258" s="339">
        <v>539</v>
      </c>
      <c r="S258" s="384">
        <f t="shared" si="8"/>
        <v>2.9424609673545148E-2</v>
      </c>
      <c r="T258" s="311"/>
      <c r="U258" s="317"/>
      <c r="V258" s="5"/>
    </row>
    <row r="259" spans="1:22" ht="15.6" x14ac:dyDescent="0.3">
      <c r="A259" s="284"/>
      <c r="B259" s="338" t="s">
        <v>164</v>
      </c>
      <c r="C259" s="382"/>
      <c r="D259" s="382"/>
      <c r="E259" s="382"/>
      <c r="F259" s="311"/>
      <c r="G259" s="383"/>
      <c r="H259" s="382"/>
      <c r="I259" s="382"/>
      <c r="J259" s="382"/>
      <c r="K259" s="382"/>
      <c r="L259" s="382"/>
      <c r="M259" s="382"/>
      <c r="N259" s="382"/>
      <c r="O259" s="382"/>
      <c r="P259" s="338">
        <v>1</v>
      </c>
      <c r="Q259" s="384">
        <f t="shared" si="7"/>
        <v>8.3333333333333332E-3</v>
      </c>
      <c r="R259" s="339">
        <v>113</v>
      </c>
      <c r="S259" s="384">
        <f t="shared" si="8"/>
        <v>6.168795720056775E-3</v>
      </c>
      <c r="T259" s="311"/>
      <c r="U259" s="317"/>
      <c r="V259" s="5"/>
    </row>
    <row r="260" spans="1:22" ht="15.6" x14ac:dyDescent="0.3">
      <c r="A260" s="284"/>
      <c r="B260" s="338" t="s">
        <v>165</v>
      </c>
      <c r="C260" s="382"/>
      <c r="D260" s="382"/>
      <c r="E260" s="382"/>
      <c r="F260" s="311"/>
      <c r="G260" s="383"/>
      <c r="H260" s="382"/>
      <c r="I260" s="382"/>
      <c r="J260" s="382"/>
      <c r="K260" s="382"/>
      <c r="L260" s="382"/>
      <c r="M260" s="382"/>
      <c r="N260" s="382"/>
      <c r="O260" s="382"/>
      <c r="P260" s="338">
        <v>0</v>
      </c>
      <c r="Q260" s="384">
        <f t="shared" si="7"/>
        <v>0</v>
      </c>
      <c r="R260" s="339">
        <v>0</v>
      </c>
      <c r="S260" s="384">
        <f t="shared" si="8"/>
        <v>0</v>
      </c>
      <c r="T260" s="311"/>
      <c r="U260" s="317"/>
      <c r="V260" s="5"/>
    </row>
    <row r="261" spans="1:22" ht="15.6" x14ac:dyDescent="0.3">
      <c r="A261" s="284"/>
      <c r="B261" s="338" t="s">
        <v>166</v>
      </c>
      <c r="C261" s="382"/>
      <c r="D261" s="382"/>
      <c r="E261" s="382"/>
      <c r="F261" s="311"/>
      <c r="G261" s="383"/>
      <c r="H261" s="382"/>
      <c r="I261" s="382"/>
      <c r="J261" s="382"/>
      <c r="K261" s="382"/>
      <c r="L261" s="382"/>
      <c r="M261" s="382"/>
      <c r="N261" s="382"/>
      <c r="O261" s="382"/>
      <c r="P261" s="338">
        <v>5</v>
      </c>
      <c r="Q261" s="384">
        <f t="shared" si="7"/>
        <v>4.1666666666666664E-2</v>
      </c>
      <c r="R261" s="339">
        <v>1103</v>
      </c>
      <c r="S261" s="384">
        <f t="shared" si="8"/>
        <v>6.0213997161262148E-2</v>
      </c>
      <c r="T261" s="311"/>
      <c r="U261" s="317"/>
      <c r="V261" s="5"/>
    </row>
    <row r="262" spans="1:22" ht="15.6" x14ac:dyDescent="0.3">
      <c r="A262" s="284"/>
      <c r="B262" s="338" t="s">
        <v>167</v>
      </c>
      <c r="C262" s="382"/>
      <c r="D262" s="382"/>
      <c r="E262" s="382"/>
      <c r="F262" s="311"/>
      <c r="G262" s="383"/>
      <c r="H262" s="382"/>
      <c r="I262" s="382"/>
      <c r="J262" s="382"/>
      <c r="K262" s="382"/>
      <c r="L262" s="382"/>
      <c r="M262" s="382"/>
      <c r="N262" s="382"/>
      <c r="O262" s="382"/>
      <c r="P262" s="338">
        <v>14</v>
      </c>
      <c r="Q262" s="384">
        <f t="shared" si="7"/>
        <v>0.11666666666666667</v>
      </c>
      <c r="R262" s="339">
        <v>2138</v>
      </c>
      <c r="S262" s="384">
        <f t="shared" si="8"/>
        <v>0.11671579866797685</v>
      </c>
      <c r="T262" s="311"/>
      <c r="U262" s="317"/>
      <c r="V262" s="5"/>
    </row>
    <row r="263" spans="1:22" ht="15.6" x14ac:dyDescent="0.3">
      <c r="A263" s="284"/>
      <c r="B263" s="338"/>
      <c r="C263" s="382"/>
      <c r="D263" s="382"/>
      <c r="E263" s="382"/>
      <c r="F263" s="311"/>
      <c r="G263" s="383"/>
      <c r="H263" s="382"/>
      <c r="I263" s="382"/>
      <c r="J263" s="382"/>
      <c r="K263" s="382"/>
      <c r="L263" s="382"/>
      <c r="M263" s="382"/>
      <c r="N263" s="382"/>
      <c r="O263" s="382"/>
      <c r="P263" s="338"/>
      <c r="Q263" s="384"/>
      <c r="R263" s="339"/>
      <c r="S263" s="384"/>
      <c r="T263" s="311"/>
      <c r="U263" s="317"/>
      <c r="V263" s="5"/>
    </row>
    <row r="264" spans="1:22" ht="15.6" x14ac:dyDescent="0.3">
      <c r="A264" s="284"/>
      <c r="B264" s="285" t="s">
        <v>120</v>
      </c>
      <c r="C264" s="311"/>
      <c r="D264" s="311"/>
      <c r="E264" s="311"/>
      <c r="F264" s="311"/>
      <c r="G264" s="311"/>
      <c r="H264" s="385"/>
      <c r="I264" s="385"/>
      <c r="J264" s="385"/>
      <c r="K264" s="385"/>
      <c r="L264" s="385"/>
      <c r="M264" s="385"/>
      <c r="N264" s="385"/>
      <c r="O264" s="385"/>
      <c r="P264" s="338">
        <f>SUM(P255:P263)</f>
        <v>120</v>
      </c>
      <c r="Q264" s="384">
        <f>SUM(Q255:Q263)</f>
        <v>1</v>
      </c>
      <c r="R264" s="339">
        <f>SUM(R255:R263)</f>
        <v>18318</v>
      </c>
      <c r="S264" s="384">
        <f>SUM(S255:S263)</f>
        <v>1</v>
      </c>
      <c r="T264" s="311"/>
      <c r="U264" s="317"/>
      <c r="V264" s="5"/>
    </row>
    <row r="265" spans="1:22" ht="15.6" x14ac:dyDescent="0.3">
      <c r="A265" s="175"/>
      <c r="B265" s="334"/>
      <c r="C265" s="334"/>
      <c r="D265" s="334"/>
      <c r="E265" s="334"/>
      <c r="F265" s="334"/>
      <c r="G265" s="334"/>
      <c r="H265" s="379"/>
      <c r="I265" s="379"/>
      <c r="J265" s="379"/>
      <c r="K265" s="379"/>
      <c r="L265" s="379"/>
      <c r="M265" s="379"/>
      <c r="N265" s="379"/>
      <c r="O265" s="379"/>
      <c r="P265" s="335"/>
      <c r="Q265" s="380"/>
      <c r="R265" s="381"/>
      <c r="S265" s="380"/>
      <c r="T265" s="334"/>
      <c r="U265" s="334"/>
      <c r="V265" s="5"/>
    </row>
    <row r="266" spans="1:22" ht="15.6" x14ac:dyDescent="0.3">
      <c r="A266" s="268"/>
      <c r="B266" s="395" t="s">
        <v>170</v>
      </c>
      <c r="C266" s="269"/>
      <c r="D266" s="269"/>
      <c r="E266" s="269"/>
      <c r="F266" s="269"/>
      <c r="G266" s="269"/>
      <c r="H266" s="271"/>
      <c r="I266" s="271"/>
      <c r="J266" s="271"/>
      <c r="K266" s="271"/>
      <c r="L266" s="271"/>
      <c r="M266" s="271"/>
      <c r="N266" s="271"/>
      <c r="O266" s="271"/>
      <c r="P266" s="402" t="s">
        <v>105</v>
      </c>
      <c r="Q266" s="396" t="s">
        <v>106</v>
      </c>
      <c r="R266" s="402" t="s">
        <v>114</v>
      </c>
      <c r="S266" s="396" t="s">
        <v>106</v>
      </c>
      <c r="T266" s="269"/>
      <c r="U266" s="270"/>
      <c r="V266" s="5"/>
    </row>
    <row r="267" spans="1:22" ht="15.6" x14ac:dyDescent="0.3">
      <c r="A267" s="190"/>
      <c r="B267" s="243" t="s">
        <v>91</v>
      </c>
      <c r="C267" s="239"/>
      <c r="D267" s="239"/>
      <c r="E267" s="239"/>
      <c r="F267" s="239"/>
      <c r="G267" s="239"/>
      <c r="H267" s="275"/>
      <c r="I267" s="275"/>
      <c r="J267" s="275"/>
      <c r="K267" s="275"/>
      <c r="L267" s="218"/>
      <c r="M267" s="218"/>
      <c r="N267" s="218"/>
      <c r="O267" s="218"/>
      <c r="P267" s="243">
        <v>0</v>
      </c>
      <c r="Q267" s="274">
        <v>0</v>
      </c>
      <c r="R267" s="251">
        <v>0</v>
      </c>
      <c r="S267" s="274">
        <v>0</v>
      </c>
      <c r="T267" s="239"/>
      <c r="U267" s="191"/>
      <c r="V267" s="5"/>
    </row>
    <row r="268" spans="1:22" ht="15.6" x14ac:dyDescent="0.3">
      <c r="A268" s="284"/>
      <c r="B268" s="338" t="s">
        <v>92</v>
      </c>
      <c r="C268" s="285"/>
      <c r="D268" s="285"/>
      <c r="E268" s="285"/>
      <c r="F268" s="285"/>
      <c r="G268" s="285"/>
      <c r="H268" s="387"/>
      <c r="I268" s="387"/>
      <c r="J268" s="387"/>
      <c r="K268" s="387"/>
      <c r="L268" s="385"/>
      <c r="M268" s="385"/>
      <c r="N268" s="385"/>
      <c r="O268" s="385"/>
      <c r="P268" s="338">
        <v>0</v>
      </c>
      <c r="Q268" s="384">
        <v>0</v>
      </c>
      <c r="R268" s="339">
        <v>0</v>
      </c>
      <c r="S268" s="384">
        <v>0</v>
      </c>
      <c r="T268" s="285"/>
      <c r="U268" s="317"/>
      <c r="V268" s="5"/>
    </row>
    <row r="269" spans="1:22" ht="15.6" x14ac:dyDescent="0.3">
      <c r="A269" s="284"/>
      <c r="B269" s="338" t="s">
        <v>93</v>
      </c>
      <c r="C269" s="285"/>
      <c r="D269" s="285"/>
      <c r="E269" s="285"/>
      <c r="F269" s="285"/>
      <c r="G269" s="285"/>
      <c r="H269" s="387"/>
      <c r="I269" s="387"/>
      <c r="J269" s="387"/>
      <c r="K269" s="387"/>
      <c r="L269" s="385"/>
      <c r="M269" s="385"/>
      <c r="N269" s="385"/>
      <c r="O269" s="385"/>
      <c r="P269" s="338">
        <v>0</v>
      </c>
      <c r="Q269" s="384">
        <v>0</v>
      </c>
      <c r="R269" s="339">
        <v>0</v>
      </c>
      <c r="S269" s="384">
        <v>0</v>
      </c>
      <c r="T269" s="285"/>
      <c r="U269" s="317"/>
      <c r="V269" s="5"/>
    </row>
    <row r="270" spans="1:22" ht="15.6" x14ac:dyDescent="0.3">
      <c r="A270" s="284"/>
      <c r="B270" s="338" t="s">
        <v>163</v>
      </c>
      <c r="C270" s="285"/>
      <c r="D270" s="285"/>
      <c r="E270" s="285"/>
      <c r="F270" s="285"/>
      <c r="G270" s="285"/>
      <c r="H270" s="387"/>
      <c r="I270" s="387"/>
      <c r="J270" s="387"/>
      <c r="K270" s="387"/>
      <c r="L270" s="385"/>
      <c r="M270" s="385"/>
      <c r="N270" s="385"/>
      <c r="O270" s="385"/>
      <c r="P270" s="338">
        <v>0</v>
      </c>
      <c r="Q270" s="384">
        <v>0</v>
      </c>
      <c r="R270" s="339">
        <v>0</v>
      </c>
      <c r="S270" s="384">
        <v>0</v>
      </c>
      <c r="T270" s="285"/>
      <c r="U270" s="317"/>
      <c r="V270" s="5"/>
    </row>
    <row r="271" spans="1:22" ht="15.6" x14ac:dyDescent="0.3">
      <c r="A271" s="284"/>
      <c r="B271" s="338" t="s">
        <v>164</v>
      </c>
      <c r="C271" s="285"/>
      <c r="D271" s="285"/>
      <c r="E271" s="285"/>
      <c r="F271" s="285"/>
      <c r="G271" s="285"/>
      <c r="H271" s="387"/>
      <c r="I271" s="387"/>
      <c r="J271" s="387"/>
      <c r="K271" s="387"/>
      <c r="L271" s="385"/>
      <c r="M271" s="385"/>
      <c r="N271" s="385"/>
      <c r="O271" s="385"/>
      <c r="P271" s="338">
        <v>0</v>
      </c>
      <c r="Q271" s="384">
        <v>0</v>
      </c>
      <c r="R271" s="339">
        <v>0</v>
      </c>
      <c r="S271" s="384">
        <v>0</v>
      </c>
      <c r="T271" s="285"/>
      <c r="U271" s="317"/>
      <c r="V271" s="5"/>
    </row>
    <row r="272" spans="1:22" ht="15.6" x14ac:dyDescent="0.3">
      <c r="A272" s="284"/>
      <c r="B272" s="338" t="s">
        <v>165</v>
      </c>
      <c r="C272" s="285"/>
      <c r="D272" s="285"/>
      <c r="E272" s="285"/>
      <c r="F272" s="285"/>
      <c r="G272" s="285"/>
      <c r="H272" s="387"/>
      <c r="I272" s="387"/>
      <c r="J272" s="387"/>
      <c r="K272" s="387"/>
      <c r="L272" s="385"/>
      <c r="M272" s="385"/>
      <c r="N272" s="385"/>
      <c r="O272" s="385"/>
      <c r="P272" s="338">
        <v>0</v>
      </c>
      <c r="Q272" s="384">
        <v>0</v>
      </c>
      <c r="R272" s="339">
        <v>0</v>
      </c>
      <c r="S272" s="384">
        <v>0</v>
      </c>
      <c r="T272" s="285"/>
      <c r="U272" s="317"/>
      <c r="V272" s="5"/>
    </row>
    <row r="273" spans="1:22" ht="15.6" x14ac:dyDescent="0.3">
      <c r="A273" s="284"/>
      <c r="B273" s="338" t="s">
        <v>166</v>
      </c>
      <c r="C273" s="285"/>
      <c r="D273" s="285"/>
      <c r="E273" s="285"/>
      <c r="F273" s="285"/>
      <c r="G273" s="285"/>
      <c r="H273" s="387"/>
      <c r="I273" s="387"/>
      <c r="J273" s="387"/>
      <c r="K273" s="387"/>
      <c r="L273" s="385"/>
      <c r="M273" s="385"/>
      <c r="N273" s="385"/>
      <c r="O273" s="385"/>
      <c r="P273" s="338">
        <v>0</v>
      </c>
      <c r="Q273" s="384">
        <v>0</v>
      </c>
      <c r="R273" s="339">
        <v>0</v>
      </c>
      <c r="S273" s="384">
        <v>0</v>
      </c>
      <c r="T273" s="285"/>
      <c r="U273" s="317"/>
      <c r="V273" s="5"/>
    </row>
    <row r="274" spans="1:22" ht="15.6" x14ac:dyDescent="0.3">
      <c r="A274" s="284"/>
      <c r="B274" s="338" t="s">
        <v>167</v>
      </c>
      <c r="C274" s="285"/>
      <c r="D274" s="285"/>
      <c r="E274" s="285"/>
      <c r="F274" s="285"/>
      <c r="G274" s="285"/>
      <c r="H274" s="387"/>
      <c r="I274" s="387"/>
      <c r="J274" s="387"/>
      <c r="K274" s="387"/>
      <c r="L274" s="385"/>
      <c r="M274" s="385"/>
      <c r="N274" s="385"/>
      <c r="O274" s="385"/>
      <c r="P274" s="338">
        <v>0</v>
      </c>
      <c r="Q274" s="384">
        <v>0</v>
      </c>
      <c r="R274" s="339">
        <v>0</v>
      </c>
      <c r="S274" s="384">
        <v>0</v>
      </c>
      <c r="T274" s="285"/>
      <c r="U274" s="317"/>
      <c r="V274" s="5"/>
    </row>
    <row r="275" spans="1:22" ht="15.6" x14ac:dyDescent="0.3">
      <c r="A275" s="284"/>
      <c r="B275" s="338"/>
      <c r="C275" s="285"/>
      <c r="D275" s="285"/>
      <c r="E275" s="285"/>
      <c r="F275" s="285"/>
      <c r="G275" s="285"/>
      <c r="H275" s="387"/>
      <c r="I275" s="387"/>
      <c r="J275" s="387"/>
      <c r="K275" s="387"/>
      <c r="L275" s="385"/>
      <c r="M275" s="385"/>
      <c r="N275" s="385"/>
      <c r="O275" s="385"/>
      <c r="P275" s="338"/>
      <c r="Q275" s="384"/>
      <c r="R275" s="339"/>
      <c r="S275" s="384"/>
      <c r="T275" s="285"/>
      <c r="U275" s="317"/>
      <c r="V275" s="5"/>
    </row>
    <row r="276" spans="1:22" ht="15.6" x14ac:dyDescent="0.3">
      <c r="A276" s="284"/>
      <c r="B276" s="285" t="s">
        <v>120</v>
      </c>
      <c r="C276" s="285"/>
      <c r="D276" s="285"/>
      <c r="E276" s="285"/>
      <c r="F276" s="285"/>
      <c r="G276" s="285"/>
      <c r="H276" s="387"/>
      <c r="I276" s="387"/>
      <c r="J276" s="387"/>
      <c r="K276" s="387"/>
      <c r="L276" s="385"/>
      <c r="M276" s="385"/>
      <c r="N276" s="385"/>
      <c r="O276" s="385"/>
      <c r="P276" s="338">
        <f>SUM(P267:P274)</f>
        <v>0</v>
      </c>
      <c r="Q276" s="384">
        <f>SUM(Q267:Q275)</f>
        <v>0</v>
      </c>
      <c r="R276" s="339">
        <f>SUM(R267:R274)</f>
        <v>0</v>
      </c>
      <c r="S276" s="384">
        <f>SUM(S267:S275)</f>
        <v>0</v>
      </c>
      <c r="T276" s="285"/>
      <c r="U276" s="317"/>
      <c r="V276" s="5"/>
    </row>
    <row r="277" spans="1:22" ht="15.6" x14ac:dyDescent="0.3">
      <c r="A277" s="284"/>
      <c r="B277" s="285"/>
      <c r="C277" s="285"/>
      <c r="D277" s="285"/>
      <c r="E277" s="285"/>
      <c r="F277" s="285"/>
      <c r="G277" s="285"/>
      <c r="H277" s="387"/>
      <c r="I277" s="387"/>
      <c r="J277" s="387"/>
      <c r="K277" s="387"/>
      <c r="L277" s="385"/>
      <c r="M277" s="385"/>
      <c r="N277" s="385"/>
      <c r="O277" s="385"/>
      <c r="P277" s="344"/>
      <c r="Q277" s="388"/>
      <c r="R277" s="345"/>
      <c r="S277" s="388"/>
      <c r="T277" s="311"/>
      <c r="U277" s="317"/>
      <c r="V277" s="5"/>
    </row>
    <row r="278" spans="1:22" ht="15.6" x14ac:dyDescent="0.3">
      <c r="A278" s="284"/>
      <c r="B278" s="292" t="s">
        <v>171</v>
      </c>
      <c r="C278" s="285"/>
      <c r="D278" s="285"/>
      <c r="E278" s="285"/>
      <c r="F278" s="285"/>
      <c r="G278" s="285"/>
      <c r="H278" s="387"/>
      <c r="I278" s="387"/>
      <c r="J278" s="387"/>
      <c r="K278" s="387"/>
      <c r="L278" s="385"/>
      <c r="M278" s="385"/>
      <c r="N278" s="385"/>
      <c r="O278" s="385"/>
      <c r="P278" s="403">
        <f>P276+P264+P252</f>
        <v>4342</v>
      </c>
      <c r="Q278" s="384"/>
      <c r="R278" s="404">
        <f>+R276+R264+R252</f>
        <v>574327</v>
      </c>
      <c r="S278" s="384"/>
      <c r="T278" s="311"/>
      <c r="U278" s="317"/>
      <c r="V278" s="5"/>
    </row>
    <row r="279" spans="1:22" ht="15.6" x14ac:dyDescent="0.3">
      <c r="A279" s="175"/>
      <c r="B279" s="281"/>
      <c r="C279" s="281"/>
      <c r="D279" s="281"/>
      <c r="E279" s="281"/>
      <c r="F279" s="281"/>
      <c r="G279" s="281"/>
      <c r="H279" s="386"/>
      <c r="I279" s="386"/>
      <c r="J279" s="386"/>
      <c r="K279" s="386"/>
      <c r="L279" s="379"/>
      <c r="M279" s="379"/>
      <c r="N279" s="379"/>
      <c r="O279" s="379"/>
      <c r="P279" s="379"/>
      <c r="Q279" s="379"/>
      <c r="R279" s="381"/>
      <c r="S279" s="379"/>
      <c r="T279" s="334"/>
      <c r="U279" s="334"/>
      <c r="V279" s="5"/>
    </row>
    <row r="280" spans="1:22" ht="15.6" x14ac:dyDescent="0.3">
      <c r="A280" s="175"/>
      <c r="B280" s="231"/>
      <c r="C280" s="231"/>
      <c r="D280" s="231"/>
      <c r="E280" s="231"/>
      <c r="F280" s="231"/>
      <c r="G280" s="231"/>
      <c r="H280" s="276"/>
      <c r="I280" s="276"/>
      <c r="J280" s="276"/>
      <c r="K280" s="276"/>
      <c r="L280" s="219"/>
      <c r="M280" s="219"/>
      <c r="N280" s="219"/>
      <c r="O280" s="219"/>
      <c r="P280" s="219"/>
      <c r="Q280" s="219"/>
      <c r="R280" s="220"/>
      <c r="S280" s="219"/>
      <c r="T280" s="177"/>
      <c r="U280" s="177"/>
      <c r="V280" s="5"/>
    </row>
    <row r="281" spans="1:22" ht="15.6" x14ac:dyDescent="0.3">
      <c r="A281" s="221"/>
      <c r="B281" s="230" t="s">
        <v>94</v>
      </c>
      <c r="C281" s="231"/>
      <c r="D281" s="231"/>
      <c r="E281" s="231"/>
      <c r="F281" s="236" t="s">
        <v>100</v>
      </c>
      <c r="G281" s="231"/>
      <c r="H281" s="230" t="s">
        <v>102</v>
      </c>
      <c r="I281" s="277"/>
      <c r="J281" s="277"/>
      <c r="K281" s="277"/>
      <c r="L281" s="188"/>
      <c r="M281" s="188"/>
      <c r="N281" s="188"/>
      <c r="O281" s="188"/>
      <c r="P281" s="188"/>
      <c r="Q281" s="188"/>
      <c r="R281" s="188"/>
      <c r="S281" s="188"/>
      <c r="T281" s="188"/>
      <c r="U281" s="188"/>
      <c r="V281" s="5"/>
    </row>
    <row r="282" spans="1:22" ht="15.6" x14ac:dyDescent="0.3">
      <c r="A282" s="221"/>
      <c r="B282" s="230" t="s">
        <v>95</v>
      </c>
      <c r="C282" s="230"/>
      <c r="D282" s="230"/>
      <c r="E282" s="230"/>
      <c r="F282" s="278" t="s">
        <v>154</v>
      </c>
      <c r="G282" s="230"/>
      <c r="H282" s="230" t="s">
        <v>158</v>
      </c>
      <c r="I282" s="277"/>
      <c r="J282" s="277"/>
      <c r="K282" s="277"/>
      <c r="L282" s="188"/>
      <c r="M282" s="188"/>
      <c r="N282" s="188"/>
      <c r="O282" s="188"/>
      <c r="P282" s="188"/>
      <c r="Q282" s="188"/>
      <c r="R282" s="188"/>
      <c r="S282" s="188"/>
      <c r="T282" s="188"/>
      <c r="U282" s="188"/>
      <c r="V282" s="5"/>
    </row>
    <row r="283" spans="1:22" ht="15.6" x14ac:dyDescent="0.3">
      <c r="A283" s="221"/>
      <c r="B283" s="230" t="s">
        <v>268</v>
      </c>
      <c r="C283" s="230"/>
      <c r="D283" s="230"/>
      <c r="E283" s="230"/>
      <c r="F283" s="278" t="s">
        <v>269</v>
      </c>
      <c r="G283" s="230"/>
      <c r="H283" s="230" t="s">
        <v>270</v>
      </c>
      <c r="I283" s="277"/>
      <c r="J283" s="277"/>
      <c r="K283" s="277"/>
      <c r="L283" s="188"/>
      <c r="M283" s="188"/>
      <c r="N283" s="188"/>
      <c r="O283" s="188"/>
      <c r="P283" s="188"/>
      <c r="Q283" s="188"/>
      <c r="R283" s="188"/>
      <c r="S283" s="188"/>
      <c r="T283" s="188"/>
      <c r="U283" s="188"/>
      <c r="V283" s="5"/>
    </row>
    <row r="284" spans="1:22" ht="15.6" x14ac:dyDescent="0.3">
      <c r="A284" s="221"/>
      <c r="B284" s="230" t="s">
        <v>96</v>
      </c>
      <c r="C284" s="230"/>
      <c r="D284" s="230"/>
      <c r="E284" s="230"/>
      <c r="F284" s="278" t="s">
        <v>153</v>
      </c>
      <c r="G284" s="230"/>
      <c r="H284" s="230" t="s">
        <v>159</v>
      </c>
      <c r="I284" s="277"/>
      <c r="J284" s="277"/>
      <c r="K284" s="277"/>
      <c r="L284" s="188"/>
      <c r="M284" s="188"/>
      <c r="N284" s="188"/>
      <c r="O284" s="188"/>
      <c r="P284" s="188"/>
      <c r="Q284" s="188"/>
      <c r="R284" s="188"/>
      <c r="S284" s="188"/>
      <c r="T284" s="188"/>
      <c r="U284" s="188"/>
      <c r="V284" s="5"/>
    </row>
    <row r="285" spans="1:22" ht="15.6" x14ac:dyDescent="0.3">
      <c r="A285" s="221"/>
      <c r="B285" s="230"/>
      <c r="C285" s="230"/>
      <c r="D285" s="230"/>
      <c r="E285" s="230"/>
      <c r="F285" s="230"/>
      <c r="G285" s="279"/>
      <c r="H285" s="277"/>
      <c r="I285" s="277"/>
      <c r="J285" s="277"/>
      <c r="K285" s="277"/>
      <c r="L285" s="188"/>
      <c r="M285" s="188"/>
      <c r="N285" s="188"/>
      <c r="O285" s="188"/>
      <c r="P285" s="188"/>
      <c r="Q285" s="188"/>
      <c r="R285" s="188"/>
      <c r="S285" s="188"/>
      <c r="T285" s="188"/>
      <c r="U285" s="188"/>
      <c r="V285" s="5"/>
    </row>
    <row r="286" spans="1:22" ht="15.6" x14ac:dyDescent="0.3">
      <c r="A286" s="221"/>
      <c r="B286" s="230"/>
      <c r="C286" s="230"/>
      <c r="D286" s="230"/>
      <c r="E286" s="230"/>
      <c r="F286" s="230"/>
      <c r="G286" s="279"/>
      <c r="H286" s="277"/>
      <c r="I286" s="277"/>
      <c r="J286" s="277"/>
      <c r="K286" s="277"/>
      <c r="L286" s="188"/>
      <c r="M286" s="188"/>
      <c r="N286" s="188"/>
      <c r="O286" s="188"/>
      <c r="P286" s="188"/>
      <c r="Q286" s="188"/>
      <c r="R286" s="188"/>
      <c r="S286" s="188"/>
      <c r="T286" s="188"/>
      <c r="U286" s="188"/>
      <c r="V286" s="5"/>
    </row>
    <row r="287" spans="1:22" ht="18" thickBot="1" x14ac:dyDescent="0.35">
      <c r="A287" s="221"/>
      <c r="B287" s="280" t="str">
        <f>B192</f>
        <v>PM11 INVESTOR REPORT QUARTER ENDING JUNE 2011</v>
      </c>
      <c r="C287" s="230"/>
      <c r="D287" s="230"/>
      <c r="E287" s="230"/>
      <c r="F287" s="230"/>
      <c r="G287" s="279"/>
      <c r="H287" s="277"/>
      <c r="I287" s="277"/>
      <c r="J287" s="277"/>
      <c r="K287" s="277"/>
      <c r="L287" s="188"/>
      <c r="M287" s="188"/>
      <c r="N287" s="188"/>
      <c r="O287" s="188"/>
      <c r="P287" s="188"/>
      <c r="Q287" s="188"/>
      <c r="R287" s="188"/>
      <c r="S287" s="188"/>
      <c r="T287" s="188"/>
      <c r="U287" s="188"/>
      <c r="V287" s="5"/>
    </row>
    <row r="288" spans="1:22" x14ac:dyDescent="0.25">
      <c r="A288" s="100"/>
      <c r="B288" s="100"/>
      <c r="C288" s="100"/>
      <c r="D288" s="100"/>
      <c r="E288" s="100"/>
      <c r="F288" s="100"/>
      <c r="G288" s="100"/>
      <c r="H288" s="100"/>
      <c r="I288" s="100"/>
      <c r="J288" s="100"/>
      <c r="K288" s="100"/>
      <c r="L288" s="100"/>
      <c r="M288" s="100"/>
      <c r="N288" s="100"/>
      <c r="O288" s="100"/>
      <c r="P288" s="100"/>
      <c r="Q288" s="100"/>
      <c r="R288" s="100"/>
      <c r="S288" s="100"/>
      <c r="T288" s="100"/>
      <c r="U288" s="100"/>
    </row>
  </sheetData>
  <phoneticPr fontId="0" type="noConversion"/>
  <hyperlinks>
    <hyperlink ref="N228" r:id="rId1" xr:uid="{00000000-0004-0000-1400-000000000000}"/>
    <hyperlink ref="J9" r:id="rId2" xr:uid="{00000000-0004-0000-14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4" max="21" man="1"/>
    <brk id="132" max="14" man="1"/>
    <brk id="192" max="14" man="1"/>
  </rowBreaks>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2D2926"/>
  </sheetPr>
  <dimension ref="A1:X288"/>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08984375" style="1" customWidth="1"/>
    <col min="10" max="10" width="17.81640625" style="1" customWidth="1"/>
    <col min="11" max="11" width="2.1796875" style="1" customWidth="1"/>
    <col min="12" max="12" width="14.81640625" style="1" customWidth="1"/>
    <col min="13" max="13" width="2.1796875" style="1" customWidth="1"/>
    <col min="14" max="14" width="15.54296875" style="1" customWidth="1"/>
    <col min="15" max="15" width="2.08984375" style="1" customWidth="1"/>
    <col min="16" max="16" width="15.54296875" style="1" customWidth="1"/>
    <col min="17" max="18" width="12.81640625" style="1" customWidth="1"/>
    <col min="19" max="19" width="7.81640625" style="1" customWidth="1"/>
    <col min="20" max="20" width="14.81640625" style="1" customWidth="1"/>
    <col min="21" max="21" width="11.81640625" style="1" customWidth="1"/>
    <col min="22" max="16384" width="9.81640625" style="1"/>
  </cols>
  <sheetData>
    <row r="1" spans="1:22" ht="20.399999999999999" x14ac:dyDescent="0.35">
      <c r="A1" s="173"/>
      <c r="B1" s="228" t="s">
        <v>228</v>
      </c>
      <c r="C1" s="174"/>
      <c r="D1" s="174"/>
      <c r="E1" s="174"/>
      <c r="F1" s="174"/>
      <c r="G1" s="174"/>
      <c r="H1" s="174"/>
      <c r="I1" s="174"/>
      <c r="J1" s="174"/>
      <c r="K1" s="174"/>
      <c r="L1" s="174"/>
      <c r="M1" s="174"/>
      <c r="N1" s="174"/>
      <c r="O1" s="174"/>
      <c r="P1" s="174"/>
      <c r="Q1" s="174"/>
      <c r="R1" s="174"/>
      <c r="S1" s="174"/>
      <c r="T1" s="174"/>
      <c r="U1" s="174"/>
      <c r="V1" s="5"/>
    </row>
    <row r="2" spans="1:22" ht="15.6" x14ac:dyDescent="0.3">
      <c r="A2" s="175"/>
      <c r="B2" s="176"/>
      <c r="C2" s="177"/>
      <c r="D2" s="177"/>
      <c r="E2" s="177"/>
      <c r="F2" s="177"/>
      <c r="G2" s="177"/>
      <c r="H2" s="177"/>
      <c r="I2" s="177"/>
      <c r="J2" s="177"/>
      <c r="K2" s="177"/>
      <c r="L2" s="177"/>
      <c r="M2" s="177"/>
      <c r="N2" s="177"/>
      <c r="O2" s="177"/>
      <c r="P2" s="177"/>
      <c r="Q2" s="177"/>
      <c r="R2" s="177"/>
      <c r="S2" s="177"/>
      <c r="T2" s="177"/>
      <c r="U2" s="177"/>
      <c r="V2" s="5"/>
    </row>
    <row r="3" spans="1:22" ht="15.6" x14ac:dyDescent="0.3">
      <c r="A3" s="178"/>
      <c r="B3" s="179" t="s">
        <v>229</v>
      </c>
      <c r="C3" s="177"/>
      <c r="D3" s="177"/>
      <c r="E3" s="177"/>
      <c r="F3" s="177"/>
      <c r="G3" s="177"/>
      <c r="H3" s="177"/>
      <c r="I3" s="177"/>
      <c r="J3" s="177"/>
      <c r="K3" s="177"/>
      <c r="L3" s="177"/>
      <c r="M3" s="177"/>
      <c r="N3" s="177"/>
      <c r="O3" s="177"/>
      <c r="P3" s="177"/>
      <c r="Q3" s="177"/>
      <c r="R3" s="177"/>
      <c r="S3" s="177"/>
      <c r="T3" s="177"/>
      <c r="U3" s="177"/>
      <c r="V3" s="5"/>
    </row>
    <row r="4" spans="1:22" ht="15.6" x14ac:dyDescent="0.3">
      <c r="A4" s="175"/>
      <c r="B4" s="176"/>
      <c r="C4" s="177"/>
      <c r="D4" s="177"/>
      <c r="E4" s="177"/>
      <c r="F4" s="177"/>
      <c r="G4" s="177"/>
      <c r="H4" s="177"/>
      <c r="I4" s="177"/>
      <c r="J4" s="177"/>
      <c r="K4" s="177"/>
      <c r="L4" s="177"/>
      <c r="M4" s="177"/>
      <c r="N4" s="177"/>
      <c r="O4" s="177"/>
      <c r="P4" s="177"/>
      <c r="Q4" s="177"/>
      <c r="R4" s="177"/>
      <c r="S4" s="177"/>
      <c r="T4" s="177"/>
      <c r="U4" s="177"/>
      <c r="V4" s="5"/>
    </row>
    <row r="5" spans="1:22" ht="15.6" x14ac:dyDescent="0.3">
      <c r="A5" s="175"/>
      <c r="B5" s="229" t="s">
        <v>143</v>
      </c>
      <c r="C5" s="177"/>
      <c r="D5" s="177"/>
      <c r="E5" s="177"/>
      <c r="F5" s="177"/>
      <c r="G5" s="177"/>
      <c r="H5" s="177"/>
      <c r="I5" s="177"/>
      <c r="J5" s="177"/>
      <c r="K5" s="177"/>
      <c r="L5" s="177"/>
      <c r="M5" s="177"/>
      <c r="N5" s="177"/>
      <c r="O5" s="177"/>
      <c r="P5" s="177"/>
      <c r="Q5" s="177"/>
      <c r="R5" s="177"/>
      <c r="S5" s="177"/>
      <c r="T5" s="177"/>
      <c r="U5" s="177"/>
      <c r="V5" s="5"/>
    </row>
    <row r="6" spans="1:22" ht="15.6" x14ac:dyDescent="0.3">
      <c r="A6" s="175"/>
      <c r="B6" s="229" t="s">
        <v>145</v>
      </c>
      <c r="C6" s="177"/>
      <c r="D6" s="177"/>
      <c r="E6" s="177"/>
      <c r="F6" s="177"/>
      <c r="G6" s="177"/>
      <c r="H6" s="177"/>
      <c r="I6" s="177"/>
      <c r="J6" s="177"/>
      <c r="K6" s="177"/>
      <c r="L6" s="177"/>
      <c r="M6" s="177"/>
      <c r="N6" s="177"/>
      <c r="O6" s="177"/>
      <c r="P6" s="177"/>
      <c r="Q6" s="177"/>
      <c r="R6" s="177"/>
      <c r="S6" s="177"/>
      <c r="T6" s="177"/>
      <c r="U6" s="177"/>
      <c r="V6" s="5"/>
    </row>
    <row r="7" spans="1:22" ht="15.6" x14ac:dyDescent="0.3">
      <c r="A7" s="175"/>
      <c r="B7" s="229" t="s">
        <v>144</v>
      </c>
      <c r="C7" s="177"/>
      <c r="D7" s="177"/>
      <c r="E7" s="177"/>
      <c r="F7" s="177"/>
      <c r="G7" s="177"/>
      <c r="H7" s="177"/>
      <c r="I7" s="177"/>
      <c r="J7" s="177"/>
      <c r="K7" s="177"/>
      <c r="L7" s="177"/>
      <c r="M7" s="177"/>
      <c r="N7" s="177"/>
      <c r="O7" s="177"/>
      <c r="P7" s="177"/>
      <c r="Q7" s="177"/>
      <c r="R7" s="177"/>
      <c r="S7" s="177"/>
      <c r="T7" s="177"/>
      <c r="U7" s="177"/>
      <c r="V7" s="5"/>
    </row>
    <row r="8" spans="1:22" ht="15.6" x14ac:dyDescent="0.3">
      <c r="A8" s="175"/>
      <c r="B8" s="180"/>
      <c r="C8" s="177"/>
      <c r="D8" s="177"/>
      <c r="E8" s="177"/>
      <c r="F8" s="177"/>
      <c r="G8" s="177"/>
      <c r="H8" s="177"/>
      <c r="I8" s="177"/>
      <c r="J8" s="177"/>
      <c r="K8" s="177"/>
      <c r="L8" s="177"/>
      <c r="M8" s="177"/>
      <c r="N8" s="177"/>
      <c r="O8" s="177"/>
      <c r="P8" s="177"/>
      <c r="Q8" s="177"/>
      <c r="R8" s="177"/>
      <c r="S8" s="177"/>
      <c r="T8" s="177"/>
      <c r="U8" s="177"/>
      <c r="V8" s="5"/>
    </row>
    <row r="9" spans="1:22" ht="17.399999999999999" x14ac:dyDescent="0.3">
      <c r="A9" s="175"/>
      <c r="B9" s="181" t="s">
        <v>173</v>
      </c>
      <c r="C9" s="177"/>
      <c r="D9" s="177"/>
      <c r="E9" s="177"/>
      <c r="F9" s="177"/>
      <c r="G9" s="177"/>
      <c r="H9" s="177"/>
      <c r="I9" s="177"/>
      <c r="J9" s="182" t="s">
        <v>174</v>
      </c>
      <c r="K9" s="177"/>
      <c r="L9" s="182"/>
      <c r="M9" s="177"/>
      <c r="N9" s="177"/>
      <c r="O9" s="177"/>
      <c r="P9" s="177"/>
      <c r="Q9" s="177"/>
      <c r="R9" s="177"/>
      <c r="S9" s="177"/>
      <c r="T9" s="177"/>
      <c r="U9" s="177"/>
      <c r="V9" s="5"/>
    </row>
    <row r="10" spans="1:22" ht="15.6" x14ac:dyDescent="0.3">
      <c r="A10" s="175"/>
      <c r="B10" s="180"/>
      <c r="C10" s="183"/>
      <c r="D10" s="183"/>
      <c r="E10" s="183"/>
      <c r="F10" s="177"/>
      <c r="G10" s="177"/>
      <c r="H10" s="177"/>
      <c r="I10" s="177"/>
      <c r="J10" s="177"/>
      <c r="K10" s="177"/>
      <c r="L10" s="177"/>
      <c r="M10" s="177"/>
      <c r="N10" s="177"/>
      <c r="O10" s="177"/>
      <c r="P10" s="177"/>
      <c r="Q10" s="177"/>
      <c r="R10" s="177"/>
      <c r="S10" s="177"/>
      <c r="T10" s="177"/>
      <c r="U10" s="177"/>
      <c r="V10" s="5"/>
    </row>
    <row r="11" spans="1:22" ht="15.6" x14ac:dyDescent="0.3">
      <c r="A11" s="175"/>
      <c r="B11" s="230" t="s">
        <v>0</v>
      </c>
      <c r="C11" s="177"/>
      <c r="D11" s="177"/>
      <c r="E11" s="177"/>
      <c r="F11" s="177"/>
      <c r="G11" s="177"/>
      <c r="H11" s="177"/>
      <c r="I11" s="177"/>
      <c r="J11" s="177"/>
      <c r="K11" s="177"/>
      <c r="L11" s="177"/>
      <c r="M11" s="177"/>
      <c r="N11" s="177"/>
      <c r="O11" s="177"/>
      <c r="P11" s="177"/>
      <c r="Q11" s="177"/>
      <c r="R11" s="177"/>
      <c r="S11" s="177"/>
      <c r="T11" s="177"/>
      <c r="U11" s="177"/>
      <c r="V11" s="5"/>
    </row>
    <row r="12" spans="1:22" ht="16.2" thickBot="1" x14ac:dyDescent="0.35">
      <c r="A12" s="175"/>
      <c r="B12" s="183"/>
      <c r="C12" s="177"/>
      <c r="D12" s="177"/>
      <c r="E12" s="177"/>
      <c r="F12" s="177"/>
      <c r="G12" s="177"/>
      <c r="H12" s="177"/>
      <c r="I12" s="177"/>
      <c r="J12" s="177"/>
      <c r="K12" s="177"/>
      <c r="L12" s="177"/>
      <c r="M12" s="177"/>
      <c r="N12" s="177"/>
      <c r="O12" s="177"/>
      <c r="P12" s="177"/>
      <c r="Q12" s="177"/>
      <c r="R12" s="177"/>
      <c r="S12" s="177"/>
      <c r="T12" s="177"/>
      <c r="U12" s="177"/>
      <c r="V12" s="5"/>
    </row>
    <row r="13" spans="1:22" ht="15.6" x14ac:dyDescent="0.3">
      <c r="A13" s="173"/>
      <c r="B13" s="174"/>
      <c r="C13" s="174"/>
      <c r="D13" s="174"/>
      <c r="E13" s="174"/>
      <c r="F13" s="174"/>
      <c r="G13" s="174"/>
      <c r="H13" s="174"/>
      <c r="I13" s="174"/>
      <c r="J13" s="174"/>
      <c r="K13" s="174"/>
      <c r="L13" s="174"/>
      <c r="M13" s="174"/>
      <c r="N13" s="174"/>
      <c r="O13" s="174"/>
      <c r="P13" s="174"/>
      <c r="Q13" s="174"/>
      <c r="R13" s="174"/>
      <c r="S13" s="174"/>
      <c r="T13" s="174"/>
      <c r="U13" s="174"/>
      <c r="V13" s="5"/>
    </row>
    <row r="14" spans="1:22" ht="15.6" x14ac:dyDescent="0.3">
      <c r="A14" s="175"/>
      <c r="B14" s="230" t="s">
        <v>1</v>
      </c>
      <c r="C14" s="184"/>
      <c r="D14" s="184"/>
      <c r="E14" s="184"/>
      <c r="F14" s="184"/>
      <c r="G14" s="184"/>
      <c r="H14" s="184"/>
      <c r="I14" s="184"/>
      <c r="J14" s="184"/>
      <c r="K14" s="184"/>
      <c r="L14" s="184"/>
      <c r="M14" s="184"/>
      <c r="N14" s="184"/>
      <c r="O14" s="184"/>
      <c r="P14" s="231"/>
      <c r="Q14" s="231"/>
      <c r="R14" s="231"/>
      <c r="S14" s="231"/>
      <c r="T14" s="233" t="s">
        <v>230</v>
      </c>
      <c r="U14" s="184"/>
      <c r="V14" s="5"/>
    </row>
    <row r="15" spans="1:22" ht="15.6" x14ac:dyDescent="0.3">
      <c r="A15" s="175"/>
      <c r="B15" s="230" t="s">
        <v>2</v>
      </c>
      <c r="C15" s="184"/>
      <c r="D15" s="184"/>
      <c r="E15" s="184"/>
      <c r="F15" s="184"/>
      <c r="G15" s="184"/>
      <c r="H15" s="185"/>
      <c r="I15" s="185"/>
      <c r="J15" s="185"/>
      <c r="K15" s="185"/>
      <c r="L15" s="185"/>
      <c r="M15" s="185"/>
      <c r="N15" s="185"/>
      <c r="O15" s="185"/>
      <c r="P15" s="234" t="s">
        <v>107</v>
      </c>
      <c r="Q15" s="235">
        <v>0.40749999999999997</v>
      </c>
      <c r="R15" s="236" t="s">
        <v>146</v>
      </c>
      <c r="S15" s="235">
        <v>0.59250000000000003</v>
      </c>
      <c r="T15" s="233"/>
      <c r="U15" s="184"/>
      <c r="V15" s="5"/>
    </row>
    <row r="16" spans="1:22" ht="15.6" x14ac:dyDescent="0.3">
      <c r="A16" s="175"/>
      <c r="B16" s="230" t="s">
        <v>3</v>
      </c>
      <c r="C16" s="184"/>
      <c r="D16" s="184"/>
      <c r="E16" s="184"/>
      <c r="F16" s="184"/>
      <c r="G16" s="184"/>
      <c r="H16" s="185"/>
      <c r="I16" s="185"/>
      <c r="J16" s="185"/>
      <c r="K16" s="185"/>
      <c r="L16" s="185"/>
      <c r="M16" s="185"/>
      <c r="N16" s="185"/>
      <c r="O16" s="185"/>
      <c r="P16" s="234" t="s">
        <v>107</v>
      </c>
      <c r="Q16" s="235">
        <v>0.45019999999999999</v>
      </c>
      <c r="R16" s="236" t="s">
        <v>146</v>
      </c>
      <c r="S16" s="235">
        <v>0.54979999999999996</v>
      </c>
      <c r="T16" s="233"/>
      <c r="U16" s="184"/>
      <c r="V16" s="5"/>
    </row>
    <row r="17" spans="1:22" ht="15.6" x14ac:dyDescent="0.3">
      <c r="A17" s="175"/>
      <c r="B17" s="230" t="s">
        <v>4</v>
      </c>
      <c r="C17" s="184"/>
      <c r="D17" s="184"/>
      <c r="E17" s="184"/>
      <c r="F17" s="184"/>
      <c r="G17" s="184"/>
      <c r="H17" s="184"/>
      <c r="I17" s="184"/>
      <c r="J17" s="184"/>
      <c r="K17" s="184"/>
      <c r="L17" s="184"/>
      <c r="M17" s="184"/>
      <c r="N17" s="184"/>
      <c r="O17" s="184"/>
      <c r="P17" s="231"/>
      <c r="Q17" s="231"/>
      <c r="R17" s="231"/>
      <c r="S17" s="231"/>
      <c r="T17" s="237">
        <v>38799</v>
      </c>
      <c r="U17" s="184"/>
      <c r="V17" s="5"/>
    </row>
    <row r="18" spans="1:22" ht="15.6" x14ac:dyDescent="0.3">
      <c r="A18" s="175"/>
      <c r="B18" s="230" t="s">
        <v>5</v>
      </c>
      <c r="C18" s="184"/>
      <c r="D18" s="184"/>
      <c r="E18" s="184"/>
      <c r="F18" s="184"/>
      <c r="G18" s="184"/>
      <c r="H18" s="184"/>
      <c r="I18" s="184"/>
      <c r="J18" s="184"/>
      <c r="K18" s="184"/>
      <c r="L18" s="184"/>
      <c r="M18" s="184"/>
      <c r="N18" s="184"/>
      <c r="O18" s="184"/>
      <c r="P18" s="231"/>
      <c r="Q18" s="231"/>
      <c r="R18" s="231"/>
      <c r="S18" s="231"/>
      <c r="T18" s="237">
        <v>40834</v>
      </c>
      <c r="U18" s="184"/>
      <c r="V18" s="5"/>
    </row>
    <row r="19" spans="1:22" ht="15.6" x14ac:dyDescent="0.3">
      <c r="A19" s="175"/>
      <c r="B19" s="177"/>
      <c r="C19" s="177"/>
      <c r="D19" s="177"/>
      <c r="E19" s="177"/>
      <c r="F19" s="177"/>
      <c r="G19" s="177"/>
      <c r="H19" s="177"/>
      <c r="I19" s="177"/>
      <c r="J19" s="177"/>
      <c r="K19" s="177"/>
      <c r="L19" s="177"/>
      <c r="M19" s="177"/>
      <c r="N19" s="177"/>
      <c r="O19" s="177"/>
      <c r="P19" s="177"/>
      <c r="Q19" s="177"/>
      <c r="R19" s="177"/>
      <c r="S19" s="177"/>
      <c r="T19" s="186"/>
      <c r="U19" s="177"/>
      <c r="V19" s="5"/>
    </row>
    <row r="20" spans="1:22" ht="15.6" x14ac:dyDescent="0.3">
      <c r="A20" s="175"/>
      <c r="B20" s="232" t="s">
        <v>6</v>
      </c>
      <c r="C20" s="177"/>
      <c r="D20" s="177"/>
      <c r="E20" s="177"/>
      <c r="F20" s="177"/>
      <c r="G20" s="177"/>
      <c r="H20" s="177"/>
      <c r="I20" s="177"/>
      <c r="J20" s="177"/>
      <c r="K20" s="177"/>
      <c r="L20" s="177"/>
      <c r="M20" s="177"/>
      <c r="N20" s="177"/>
      <c r="O20" s="177"/>
      <c r="P20" s="177"/>
      <c r="Q20" s="177"/>
      <c r="R20" s="238" t="s">
        <v>108</v>
      </c>
      <c r="S20" s="177"/>
      <c r="T20" s="188"/>
      <c r="U20" s="177"/>
      <c r="V20" s="5"/>
    </row>
    <row r="21" spans="1:22" ht="15.6" x14ac:dyDescent="0.3">
      <c r="A21" s="175"/>
      <c r="B21" s="177"/>
      <c r="C21" s="177"/>
      <c r="D21" s="177"/>
      <c r="E21" s="177"/>
      <c r="F21" s="177"/>
      <c r="G21" s="177"/>
      <c r="H21" s="177"/>
      <c r="I21" s="177"/>
      <c r="J21" s="177"/>
      <c r="K21" s="177"/>
      <c r="L21" s="177"/>
      <c r="M21" s="177"/>
      <c r="N21" s="177"/>
      <c r="O21" s="177"/>
      <c r="P21" s="177"/>
      <c r="Q21" s="177"/>
      <c r="R21" s="177"/>
      <c r="S21" s="177"/>
      <c r="T21" s="189"/>
      <c r="U21" s="177"/>
      <c r="V21" s="5"/>
    </row>
    <row r="22" spans="1:22" ht="15.6" x14ac:dyDescent="0.3">
      <c r="A22" s="222"/>
      <c r="B22" s="223"/>
      <c r="C22" s="224"/>
      <c r="D22" s="224" t="s">
        <v>184</v>
      </c>
      <c r="E22" s="224"/>
      <c r="F22" s="224" t="s">
        <v>185</v>
      </c>
      <c r="G22" s="224"/>
      <c r="H22" s="224" t="s">
        <v>186</v>
      </c>
      <c r="I22" s="224"/>
      <c r="J22" s="224" t="s">
        <v>187</v>
      </c>
      <c r="K22" s="224"/>
      <c r="L22" s="224" t="s">
        <v>188</v>
      </c>
      <c r="M22" s="224"/>
      <c r="N22" s="224" t="s">
        <v>189</v>
      </c>
      <c r="O22" s="224"/>
      <c r="P22" s="224"/>
      <c r="Q22" s="226"/>
      <c r="R22" s="226"/>
      <c r="S22" s="227"/>
      <c r="T22" s="227"/>
      <c r="U22" s="223"/>
      <c r="V22" s="5"/>
    </row>
    <row r="23" spans="1:22" ht="15.6" x14ac:dyDescent="0.3">
      <c r="A23" s="190"/>
      <c r="B23" s="239" t="s">
        <v>7</v>
      </c>
      <c r="C23" s="240"/>
      <c r="D23" s="240" t="s">
        <v>222</v>
      </c>
      <c r="E23" s="240"/>
      <c r="F23" s="240" t="s">
        <v>147</v>
      </c>
      <c r="G23" s="240"/>
      <c r="H23" s="240" t="s">
        <v>147</v>
      </c>
      <c r="I23" s="240"/>
      <c r="J23" s="240" t="s">
        <v>190</v>
      </c>
      <c r="K23" s="240"/>
      <c r="L23" s="240" t="s">
        <v>190</v>
      </c>
      <c r="M23" s="240"/>
      <c r="N23" s="240" t="s">
        <v>148</v>
      </c>
      <c r="O23" s="240"/>
      <c r="P23" s="240"/>
      <c r="Q23" s="240"/>
      <c r="R23" s="240"/>
      <c r="S23" s="241"/>
      <c r="T23" s="241"/>
      <c r="U23" s="239"/>
      <c r="V23" s="5"/>
    </row>
    <row r="24" spans="1:22" ht="15.6" x14ac:dyDescent="0.3">
      <c r="A24" s="284"/>
      <c r="B24" s="285" t="s">
        <v>8</v>
      </c>
      <c r="C24" s="286"/>
      <c r="D24" s="286" t="s">
        <v>223</v>
      </c>
      <c r="E24" s="286"/>
      <c r="F24" s="286" t="s">
        <v>149</v>
      </c>
      <c r="G24" s="286"/>
      <c r="H24" s="286" t="s">
        <v>149</v>
      </c>
      <c r="I24" s="286"/>
      <c r="J24" s="286" t="s">
        <v>172</v>
      </c>
      <c r="K24" s="286"/>
      <c r="L24" s="286" t="s">
        <v>172</v>
      </c>
      <c r="M24" s="286"/>
      <c r="N24" s="286" t="s">
        <v>150</v>
      </c>
      <c r="O24" s="286"/>
      <c r="P24" s="286"/>
      <c r="Q24" s="286"/>
      <c r="R24" s="286"/>
      <c r="S24" s="287"/>
      <c r="T24" s="287"/>
      <c r="U24" s="288"/>
      <c r="V24" s="5"/>
    </row>
    <row r="25" spans="1:22" ht="15.6" x14ac:dyDescent="0.3">
      <c r="A25" s="289"/>
      <c r="B25" s="285" t="s">
        <v>198</v>
      </c>
      <c r="C25" s="394"/>
      <c r="D25" s="286" t="s">
        <v>224</v>
      </c>
      <c r="E25" s="286"/>
      <c r="F25" s="286" t="s">
        <v>149</v>
      </c>
      <c r="G25" s="286"/>
      <c r="H25" s="286" t="s">
        <v>149</v>
      </c>
      <c r="I25" s="286"/>
      <c r="J25" s="286" t="s">
        <v>172</v>
      </c>
      <c r="K25" s="286"/>
      <c r="L25" s="286" t="s">
        <v>172</v>
      </c>
      <c r="M25" s="286"/>
      <c r="N25" s="286" t="s">
        <v>150</v>
      </c>
      <c r="O25" s="286"/>
      <c r="P25" s="286"/>
      <c r="Q25" s="394"/>
      <c r="R25" s="286"/>
      <c r="S25" s="287"/>
      <c r="T25" s="287"/>
      <c r="U25" s="288"/>
      <c r="V25" s="5"/>
    </row>
    <row r="26" spans="1:22" ht="15.6" x14ac:dyDescent="0.3">
      <c r="A26" s="289"/>
      <c r="B26" s="292" t="s">
        <v>9</v>
      </c>
      <c r="C26" s="394"/>
      <c r="D26" s="394" t="s">
        <v>222</v>
      </c>
      <c r="E26" s="394"/>
      <c r="F26" s="394" t="s">
        <v>147</v>
      </c>
      <c r="G26" s="394"/>
      <c r="H26" s="394" t="s">
        <v>147</v>
      </c>
      <c r="I26" s="394"/>
      <c r="J26" s="394" t="s">
        <v>190</v>
      </c>
      <c r="K26" s="394"/>
      <c r="L26" s="394" t="s">
        <v>190</v>
      </c>
      <c r="M26" s="394"/>
      <c r="N26" s="394" t="s">
        <v>148</v>
      </c>
      <c r="O26" s="394"/>
      <c r="P26" s="394"/>
      <c r="Q26" s="394"/>
      <c r="R26" s="286"/>
      <c r="S26" s="287"/>
      <c r="T26" s="287"/>
      <c r="U26" s="288"/>
      <c r="V26" s="5"/>
    </row>
    <row r="27" spans="1:22" ht="15.6" x14ac:dyDescent="0.3">
      <c r="A27" s="284"/>
      <c r="B27" s="292" t="s">
        <v>199</v>
      </c>
      <c r="C27" s="286"/>
      <c r="D27" s="394" t="s">
        <v>223</v>
      </c>
      <c r="E27" s="394"/>
      <c r="F27" s="394" t="s">
        <v>149</v>
      </c>
      <c r="G27" s="394"/>
      <c r="H27" s="394" t="s">
        <v>149</v>
      </c>
      <c r="I27" s="394"/>
      <c r="J27" s="394" t="s">
        <v>172</v>
      </c>
      <c r="K27" s="394"/>
      <c r="L27" s="394" t="s">
        <v>172</v>
      </c>
      <c r="M27" s="394"/>
      <c r="N27" s="394" t="s">
        <v>150</v>
      </c>
      <c r="O27" s="394"/>
      <c r="P27" s="394"/>
      <c r="Q27" s="286"/>
      <c r="R27" s="293"/>
      <c r="S27" s="287"/>
      <c r="T27" s="287"/>
      <c r="U27" s="288"/>
      <c r="V27" s="5"/>
    </row>
    <row r="28" spans="1:22" ht="15.6" x14ac:dyDescent="0.3">
      <c r="A28" s="284"/>
      <c r="B28" s="292" t="s">
        <v>200</v>
      </c>
      <c r="C28" s="286"/>
      <c r="D28" s="394" t="s">
        <v>224</v>
      </c>
      <c r="E28" s="394"/>
      <c r="F28" s="394" t="s">
        <v>149</v>
      </c>
      <c r="G28" s="394"/>
      <c r="H28" s="394" t="s">
        <v>149</v>
      </c>
      <c r="I28" s="394"/>
      <c r="J28" s="394" t="s">
        <v>172</v>
      </c>
      <c r="K28" s="394"/>
      <c r="L28" s="394" t="s">
        <v>172</v>
      </c>
      <c r="M28" s="394"/>
      <c r="N28" s="394" t="s">
        <v>150</v>
      </c>
      <c r="O28" s="394"/>
      <c r="P28" s="394"/>
      <c r="Q28" s="286"/>
      <c r="R28" s="293"/>
      <c r="S28" s="287"/>
      <c r="T28" s="287"/>
      <c r="U28" s="288"/>
      <c r="V28" s="5"/>
    </row>
    <row r="29" spans="1:22" ht="15.6" x14ac:dyDescent="0.3">
      <c r="A29" s="284"/>
      <c r="B29" s="285" t="s">
        <v>10</v>
      </c>
      <c r="C29" s="295"/>
      <c r="D29" s="286" t="s">
        <v>237</v>
      </c>
      <c r="E29" s="286"/>
      <c r="F29" s="293" t="s">
        <v>238</v>
      </c>
      <c r="G29" s="286"/>
      <c r="H29" s="286" t="s">
        <v>239</v>
      </c>
      <c r="I29" s="286"/>
      <c r="J29" s="286" t="s">
        <v>240</v>
      </c>
      <c r="K29" s="286"/>
      <c r="L29" s="286" t="s">
        <v>241</v>
      </c>
      <c r="M29" s="286"/>
      <c r="N29" s="286" t="s">
        <v>242</v>
      </c>
      <c r="O29" s="286"/>
      <c r="P29" s="286"/>
      <c r="Q29" s="296"/>
      <c r="R29" s="296"/>
      <c r="S29" s="297"/>
      <c r="T29" s="296"/>
      <c r="U29" s="298"/>
      <c r="V29" s="5"/>
    </row>
    <row r="30" spans="1:22" ht="15.6" x14ac:dyDescent="0.3">
      <c r="A30" s="284"/>
      <c r="B30" s="285" t="s">
        <v>10</v>
      </c>
      <c r="C30" s="295"/>
      <c r="D30" s="286" t="s">
        <v>236</v>
      </c>
      <c r="E30" s="286"/>
      <c r="F30" s="293" t="s">
        <v>124</v>
      </c>
      <c r="G30" s="286"/>
      <c r="H30" s="286" t="s">
        <v>124</v>
      </c>
      <c r="I30" s="286"/>
      <c r="J30" s="286" t="s">
        <v>124</v>
      </c>
      <c r="K30" s="286"/>
      <c r="L30" s="286" t="s">
        <v>124</v>
      </c>
      <c r="M30" s="286"/>
      <c r="N30" s="286" t="s">
        <v>124</v>
      </c>
      <c r="O30" s="286"/>
      <c r="P30" s="286"/>
      <c r="Q30" s="296"/>
      <c r="R30" s="296"/>
      <c r="S30" s="297"/>
      <c r="T30" s="296"/>
      <c r="U30" s="298"/>
      <c r="V30" s="5"/>
    </row>
    <row r="31" spans="1:22" ht="15.6" x14ac:dyDescent="0.3">
      <c r="A31" s="289"/>
      <c r="B31" s="285" t="s">
        <v>139</v>
      </c>
      <c r="C31" s="299"/>
      <c r="D31" s="300">
        <v>985000</v>
      </c>
      <c r="E31" s="295"/>
      <c r="F31" s="296">
        <v>149500</v>
      </c>
      <c r="G31" s="296"/>
      <c r="H31" s="301">
        <v>219700</v>
      </c>
      <c r="I31" s="296"/>
      <c r="J31" s="296">
        <v>16000</v>
      </c>
      <c r="K31" s="296"/>
      <c r="L31" s="301">
        <v>82400</v>
      </c>
      <c r="M31" s="296"/>
      <c r="N31" s="301">
        <v>87500</v>
      </c>
      <c r="O31" s="296"/>
      <c r="P31" s="301"/>
      <c r="Q31" s="302"/>
      <c r="R31" s="302"/>
      <c r="S31" s="303"/>
      <c r="T31" s="302"/>
      <c r="U31" s="298"/>
      <c r="V31" s="5"/>
    </row>
    <row r="32" spans="1:22" ht="15.6" x14ac:dyDescent="0.3">
      <c r="A32" s="284"/>
      <c r="B32" s="285" t="s">
        <v>138</v>
      </c>
      <c r="C32" s="295"/>
      <c r="D32" s="300">
        <f>D38*D31</f>
        <v>501611.54550000007</v>
      </c>
      <c r="E32" s="295"/>
      <c r="F32" s="296">
        <f>F38*F31</f>
        <v>76133.0245</v>
      </c>
      <c r="G32" s="296"/>
      <c r="H32" s="301">
        <f>H38*H31</f>
        <v>111882.44470000001</v>
      </c>
      <c r="I32" s="296"/>
      <c r="J32" s="296">
        <f>+J31</f>
        <v>16000</v>
      </c>
      <c r="K32" s="296"/>
      <c r="L32" s="301">
        <f>+L31</f>
        <v>82400</v>
      </c>
      <c r="M32" s="296"/>
      <c r="N32" s="301">
        <f>+N31</f>
        <v>87500</v>
      </c>
      <c r="O32" s="296"/>
      <c r="P32" s="301"/>
      <c r="Q32" s="296"/>
      <c r="R32" s="296"/>
      <c r="S32" s="297"/>
      <c r="T32" s="296"/>
      <c r="U32" s="298"/>
      <c r="V32" s="5"/>
    </row>
    <row r="33" spans="1:22" ht="15.6" x14ac:dyDescent="0.3">
      <c r="A33" s="284"/>
      <c r="B33" s="292" t="s">
        <v>140</v>
      </c>
      <c r="C33" s="295"/>
      <c r="D33" s="304">
        <f>D37*D31</f>
        <v>497391.90400000004</v>
      </c>
      <c r="E33" s="299"/>
      <c r="F33" s="302">
        <f>F37*F31</f>
        <v>75492.596399999995</v>
      </c>
      <c r="G33" s="302"/>
      <c r="H33" s="305">
        <f>H31*H37</f>
        <v>110941.29383999998</v>
      </c>
      <c r="I33" s="302"/>
      <c r="J33" s="302">
        <f>J31*J37</f>
        <v>16000</v>
      </c>
      <c r="K33" s="302"/>
      <c r="L33" s="305">
        <f>L31*L37</f>
        <v>82400</v>
      </c>
      <c r="M33" s="302"/>
      <c r="N33" s="305">
        <f>N31*N37</f>
        <v>87500</v>
      </c>
      <c r="O33" s="302"/>
      <c r="P33" s="305"/>
      <c r="Q33" s="296"/>
      <c r="R33" s="296"/>
      <c r="S33" s="297"/>
      <c r="T33" s="296"/>
      <c r="U33" s="298"/>
      <c r="V33" s="5"/>
    </row>
    <row r="34" spans="1:22" ht="15.6" x14ac:dyDescent="0.3">
      <c r="A34" s="289"/>
      <c r="B34" s="285" t="s">
        <v>283</v>
      </c>
      <c r="C34" s="299"/>
      <c r="D34" s="296">
        <v>567282</v>
      </c>
      <c r="E34" s="295"/>
      <c r="F34" s="296">
        <v>149500</v>
      </c>
      <c r="G34" s="296"/>
      <c r="H34" s="296">
        <v>150716</v>
      </c>
      <c r="I34" s="296"/>
      <c r="J34" s="296">
        <v>16000</v>
      </c>
      <c r="K34" s="296"/>
      <c r="L34" s="296">
        <v>56527</v>
      </c>
      <c r="M34" s="296"/>
      <c r="N34" s="296">
        <v>60025</v>
      </c>
      <c r="O34" s="296"/>
      <c r="P34" s="296"/>
      <c r="Q34" s="302"/>
      <c r="R34" s="302"/>
      <c r="S34" s="303"/>
      <c r="T34" s="296">
        <f>SUM(C34:P34)</f>
        <v>1000050</v>
      </c>
      <c r="U34" s="298"/>
      <c r="V34" s="5"/>
    </row>
    <row r="35" spans="1:22" ht="15.6" x14ac:dyDescent="0.3">
      <c r="A35" s="289"/>
      <c r="B35" s="285" t="s">
        <v>284</v>
      </c>
      <c r="C35" s="299"/>
      <c r="D35" s="296">
        <f>D38*D34</f>
        <v>288888.52868460002</v>
      </c>
      <c r="E35" s="295"/>
      <c r="F35" s="296">
        <f>F38*F34</f>
        <v>76133.0245</v>
      </c>
      <c r="G35" s="296"/>
      <c r="H35" s="296">
        <f>H38*H34</f>
        <v>76752.273715999996</v>
      </c>
      <c r="I35" s="296"/>
      <c r="J35" s="296">
        <f>+J34</f>
        <v>16000</v>
      </c>
      <c r="K35" s="296"/>
      <c r="L35" s="296">
        <f>+L34</f>
        <v>56527</v>
      </c>
      <c r="M35" s="296"/>
      <c r="N35" s="296">
        <f>+N34</f>
        <v>60025</v>
      </c>
      <c r="O35" s="296"/>
      <c r="P35" s="296"/>
      <c r="Q35" s="296"/>
      <c r="R35" s="296"/>
      <c r="S35" s="297"/>
      <c r="T35" s="296">
        <f>SUM(C35:P35)+1</f>
        <v>574326.82690059999</v>
      </c>
      <c r="U35" s="298"/>
      <c r="V35" s="5"/>
    </row>
    <row r="36" spans="1:22" ht="15.6" x14ac:dyDescent="0.3">
      <c r="A36" s="289"/>
      <c r="B36" s="292" t="s">
        <v>285</v>
      </c>
      <c r="C36" s="299"/>
      <c r="D36" s="302">
        <f>D37*D34</f>
        <v>286458.34932480002</v>
      </c>
      <c r="E36" s="299"/>
      <c r="F36" s="302">
        <f>F37*F34</f>
        <v>75492.596399999995</v>
      </c>
      <c r="G36" s="302"/>
      <c r="H36" s="302">
        <f>H37*H34</f>
        <v>76106.636515199993</v>
      </c>
      <c r="I36" s="302"/>
      <c r="J36" s="302">
        <f>+J34</f>
        <v>16000</v>
      </c>
      <c r="K36" s="302"/>
      <c r="L36" s="302">
        <f>+L34</f>
        <v>56527</v>
      </c>
      <c r="M36" s="302"/>
      <c r="N36" s="302">
        <f>+N34</f>
        <v>60025</v>
      </c>
      <c r="O36" s="302"/>
      <c r="P36" s="302"/>
      <c r="Q36" s="327"/>
      <c r="R36" s="327"/>
      <c r="S36" s="297"/>
      <c r="T36" s="302">
        <f>SUM(C36:P36)+1</f>
        <v>570610.58224000002</v>
      </c>
      <c r="U36" s="298"/>
      <c r="V36" s="5"/>
    </row>
    <row r="37" spans="1:22" ht="15.6" x14ac:dyDescent="0.3">
      <c r="A37" s="284"/>
      <c r="B37" s="310" t="s">
        <v>136</v>
      </c>
      <c r="C37" s="311"/>
      <c r="D37" s="312">
        <v>0.50496640000000004</v>
      </c>
      <c r="E37" s="313"/>
      <c r="F37" s="312">
        <v>0.50496719999999995</v>
      </c>
      <c r="G37" s="314"/>
      <c r="H37" s="312">
        <v>0.50496719999999995</v>
      </c>
      <c r="I37" s="314"/>
      <c r="J37" s="312">
        <v>1</v>
      </c>
      <c r="K37" s="314"/>
      <c r="L37" s="312">
        <v>1</v>
      </c>
      <c r="M37" s="314"/>
      <c r="N37" s="312">
        <v>1</v>
      </c>
      <c r="O37" s="314"/>
      <c r="P37" s="314"/>
      <c r="Q37" s="315"/>
      <c r="R37" s="315"/>
      <c r="S37" s="316"/>
      <c r="T37" s="316"/>
      <c r="U37" s="317"/>
      <c r="V37" s="5"/>
    </row>
    <row r="38" spans="1:22" ht="15.6" x14ac:dyDescent="0.3">
      <c r="A38" s="284"/>
      <c r="B38" s="310" t="s">
        <v>137</v>
      </c>
      <c r="C38" s="311"/>
      <c r="D38" s="312">
        <v>0.50925030000000004</v>
      </c>
      <c r="E38" s="313"/>
      <c r="F38" s="312">
        <v>0.50925100000000001</v>
      </c>
      <c r="G38" s="314"/>
      <c r="H38" s="312">
        <v>0.50925100000000001</v>
      </c>
      <c r="I38" s="314"/>
      <c r="J38" s="312">
        <v>1</v>
      </c>
      <c r="K38" s="314"/>
      <c r="L38" s="312">
        <v>1</v>
      </c>
      <c r="M38" s="314"/>
      <c r="N38" s="312">
        <v>1</v>
      </c>
      <c r="O38" s="314"/>
      <c r="P38" s="314"/>
      <c r="Q38" s="318"/>
      <c r="R38" s="319"/>
      <c r="S38" s="316"/>
      <c r="T38" s="318"/>
      <c r="U38" s="317"/>
      <c r="V38" s="5"/>
    </row>
    <row r="39" spans="1:22" ht="15.6" x14ac:dyDescent="0.3">
      <c r="A39" s="284"/>
      <c r="B39" s="285" t="s">
        <v>11</v>
      </c>
      <c r="C39" s="285"/>
      <c r="D39" s="293" t="s">
        <v>275</v>
      </c>
      <c r="E39" s="285"/>
      <c r="F39" s="293" t="s">
        <v>232</v>
      </c>
      <c r="G39" s="293"/>
      <c r="H39" s="293" t="s">
        <v>232</v>
      </c>
      <c r="I39" s="293"/>
      <c r="J39" s="293" t="s">
        <v>234</v>
      </c>
      <c r="K39" s="293"/>
      <c r="L39" s="293" t="s">
        <v>234</v>
      </c>
      <c r="M39" s="293"/>
      <c r="N39" s="293" t="s">
        <v>235</v>
      </c>
      <c r="O39" s="293"/>
      <c r="P39" s="293"/>
      <c r="Q39" s="320"/>
      <c r="R39" s="321"/>
      <c r="S39" s="287"/>
      <c r="T39" s="287"/>
      <c r="U39" s="288"/>
      <c r="V39" s="5"/>
    </row>
    <row r="40" spans="1:22" ht="15.6" x14ac:dyDescent="0.3">
      <c r="A40" s="284"/>
      <c r="B40" s="285" t="s">
        <v>12</v>
      </c>
      <c r="C40" s="285"/>
      <c r="D40" s="321">
        <v>3.29E-3</v>
      </c>
      <c r="E40" s="285"/>
      <c r="F40" s="321">
        <v>1.06719E-2</v>
      </c>
      <c r="G40" s="320"/>
      <c r="H40" s="321">
        <v>1.8450000000000001E-2</v>
      </c>
      <c r="I40" s="320"/>
      <c r="J40" s="321">
        <v>1.3071899999999999E-2</v>
      </c>
      <c r="K40" s="320"/>
      <c r="L40" s="321">
        <v>2.085E-2</v>
      </c>
      <c r="M40" s="320"/>
      <c r="N40" s="321">
        <v>2.5049999999999999E-2</v>
      </c>
      <c r="O40" s="320"/>
      <c r="P40" s="321"/>
      <c r="Q40" s="320"/>
      <c r="R40" s="321"/>
      <c r="S40" s="287"/>
      <c r="T40" s="293"/>
      <c r="U40" s="288"/>
      <c r="V40" s="5"/>
    </row>
    <row r="41" spans="1:22" ht="15.6" x14ac:dyDescent="0.3">
      <c r="A41" s="284"/>
      <c r="B41" s="285" t="s">
        <v>13</v>
      </c>
      <c r="C41" s="285"/>
      <c r="D41" s="321">
        <v>2.8704999999999998E-3</v>
      </c>
      <c r="E41" s="285"/>
      <c r="F41" s="321">
        <v>1.05938E-2</v>
      </c>
      <c r="G41" s="320"/>
      <c r="H41" s="321">
        <v>1.567E-2</v>
      </c>
      <c r="I41" s="320"/>
      <c r="J41" s="321">
        <v>1.29938E-2</v>
      </c>
      <c r="K41" s="320"/>
      <c r="L41" s="321">
        <v>1.8069999999999999E-2</v>
      </c>
      <c r="M41" s="320"/>
      <c r="N41" s="321">
        <v>2.2270000000000002E-2</v>
      </c>
      <c r="O41" s="320"/>
      <c r="P41" s="321"/>
      <c r="Q41" s="320"/>
      <c r="R41" s="321"/>
      <c r="S41" s="287"/>
      <c r="T41" s="320" t="s">
        <v>201</v>
      </c>
      <c r="U41" s="288"/>
      <c r="V41" s="5"/>
    </row>
    <row r="42" spans="1:22" ht="15.6" x14ac:dyDescent="0.3">
      <c r="A42" s="284"/>
      <c r="B42" s="285" t="s">
        <v>286</v>
      </c>
      <c r="C42" s="285"/>
      <c r="D42" s="293" t="s">
        <v>231</v>
      </c>
      <c r="E42" s="285"/>
      <c r="F42" s="293" t="s">
        <v>232</v>
      </c>
      <c r="G42" s="293"/>
      <c r="H42" s="293" t="s">
        <v>232</v>
      </c>
      <c r="I42" s="293"/>
      <c r="J42" s="293" t="s">
        <v>234</v>
      </c>
      <c r="K42" s="293"/>
      <c r="L42" s="293" t="s">
        <v>245</v>
      </c>
      <c r="M42" s="293"/>
      <c r="N42" s="293" t="s">
        <v>247</v>
      </c>
      <c r="O42" s="293"/>
      <c r="P42" s="293"/>
      <c r="Q42" s="320"/>
      <c r="R42" s="321"/>
      <c r="S42" s="287"/>
      <c r="T42" s="287"/>
      <c r="U42" s="288"/>
      <c r="V42" s="5"/>
    </row>
    <row r="43" spans="1:22" ht="15.6" x14ac:dyDescent="0.3">
      <c r="A43" s="284"/>
      <c r="B43" s="285" t="s">
        <v>287</v>
      </c>
      <c r="C43" s="322"/>
      <c r="D43" s="321">
        <v>9.5081000000000002E-3</v>
      </c>
      <c r="E43" s="321"/>
      <c r="F43" s="321">
        <f>+F40</f>
        <v>1.06719E-2</v>
      </c>
      <c r="G43" s="321"/>
      <c r="H43" s="321">
        <v>1.0667899999999999E-2</v>
      </c>
      <c r="I43" s="321"/>
      <c r="J43" s="321">
        <f>+J40</f>
        <v>1.3071899999999999E-2</v>
      </c>
      <c r="K43" s="321"/>
      <c r="L43" s="321">
        <v>1.33779E-2</v>
      </c>
      <c r="M43" s="321"/>
      <c r="N43" s="321">
        <v>1.8081900000000001E-2</v>
      </c>
      <c r="O43" s="320"/>
      <c r="P43" s="321"/>
      <c r="Q43" s="293"/>
      <c r="R43" s="293"/>
      <c r="S43" s="287"/>
      <c r="T43" s="320">
        <f>SUMPRODUCT(D43:N43,D35:N35)/T35</f>
        <v>1.1193591042953588E-2</v>
      </c>
      <c r="U43" s="288"/>
      <c r="V43" s="5"/>
    </row>
    <row r="44" spans="1:22" ht="15.6" x14ac:dyDescent="0.3">
      <c r="A44" s="284"/>
      <c r="B44" s="285" t="s">
        <v>288</v>
      </c>
      <c r="C44" s="322"/>
      <c r="D44" s="321">
        <v>9.4299999999999991E-3</v>
      </c>
      <c r="E44" s="321"/>
      <c r="F44" s="321">
        <f>+F41</f>
        <v>1.05938E-2</v>
      </c>
      <c r="G44" s="321"/>
      <c r="H44" s="321">
        <v>1.05898E-2</v>
      </c>
      <c r="I44" s="321"/>
      <c r="J44" s="321">
        <f>+J41</f>
        <v>1.29938E-2</v>
      </c>
      <c r="K44" s="321"/>
      <c r="L44" s="321">
        <v>1.3299800000000001E-2</v>
      </c>
      <c r="M44" s="321"/>
      <c r="N44" s="321">
        <v>1.80038E-2</v>
      </c>
      <c r="O44" s="320"/>
      <c r="P44" s="321"/>
      <c r="Q44" s="293"/>
      <c r="R44" s="293"/>
      <c r="S44" s="287"/>
      <c r="T44" s="287"/>
      <c r="U44" s="288"/>
      <c r="V44" s="5"/>
    </row>
    <row r="45" spans="1:22" ht="15.6" x14ac:dyDescent="0.3">
      <c r="A45" s="284"/>
      <c r="B45" s="285" t="s">
        <v>14</v>
      </c>
      <c r="C45" s="285"/>
      <c r="D45" s="322">
        <v>40283</v>
      </c>
      <c r="E45" s="322"/>
      <c r="F45" s="322">
        <v>40283</v>
      </c>
      <c r="G45" s="322"/>
      <c r="H45" s="322">
        <v>40283</v>
      </c>
      <c r="I45" s="322"/>
      <c r="J45" s="322">
        <v>40283</v>
      </c>
      <c r="K45" s="322"/>
      <c r="L45" s="322">
        <v>40283</v>
      </c>
      <c r="M45" s="322"/>
      <c r="N45" s="322">
        <v>40283</v>
      </c>
      <c r="O45" s="322"/>
      <c r="P45" s="322"/>
      <c r="Q45" s="293"/>
      <c r="R45" s="293"/>
      <c r="S45" s="287"/>
      <c r="T45" s="287"/>
      <c r="U45" s="288"/>
      <c r="V45" s="5"/>
    </row>
    <row r="46" spans="1:22" ht="15.6" x14ac:dyDescent="0.3">
      <c r="A46" s="284"/>
      <c r="B46" s="285" t="s">
        <v>15</v>
      </c>
      <c r="C46" s="285"/>
      <c r="D46" s="322">
        <v>40648</v>
      </c>
      <c r="E46" s="322"/>
      <c r="F46" s="322">
        <v>40648</v>
      </c>
      <c r="G46" s="322"/>
      <c r="H46" s="322">
        <v>40648</v>
      </c>
      <c r="I46" s="293"/>
      <c r="J46" s="322">
        <v>40648</v>
      </c>
      <c r="K46" s="293"/>
      <c r="L46" s="322">
        <v>40648</v>
      </c>
      <c r="M46" s="293"/>
      <c r="N46" s="322">
        <v>40648</v>
      </c>
      <c r="O46" s="293"/>
      <c r="P46" s="322"/>
      <c r="Q46" s="293"/>
      <c r="R46" s="293"/>
      <c r="S46" s="287"/>
      <c r="T46" s="287"/>
      <c r="U46" s="288"/>
      <c r="V46" s="5"/>
    </row>
    <row r="47" spans="1:22" ht="15.6" x14ac:dyDescent="0.3">
      <c r="A47" s="284"/>
      <c r="B47" s="285" t="s">
        <v>125</v>
      </c>
      <c r="C47" s="285"/>
      <c r="D47" s="293" t="s">
        <v>124</v>
      </c>
      <c r="E47" s="285"/>
      <c r="F47" s="293" t="s">
        <v>232</v>
      </c>
      <c r="G47" s="293"/>
      <c r="H47" s="293" t="s">
        <v>232</v>
      </c>
      <c r="I47" s="293"/>
      <c r="J47" s="293" t="s">
        <v>234</v>
      </c>
      <c r="K47" s="293"/>
      <c r="L47" s="293" t="s">
        <v>234</v>
      </c>
      <c r="M47" s="293"/>
      <c r="N47" s="293" t="s">
        <v>235</v>
      </c>
      <c r="O47" s="293"/>
      <c r="P47" s="293"/>
      <c r="Q47" s="324"/>
      <c r="R47" s="324"/>
      <c r="S47" s="324"/>
      <c r="T47" s="324"/>
      <c r="U47" s="288"/>
      <c r="V47" s="5"/>
    </row>
    <row r="48" spans="1:22" ht="15.6" x14ac:dyDescent="0.3">
      <c r="A48" s="284"/>
      <c r="B48" s="285" t="s">
        <v>289</v>
      </c>
      <c r="C48" s="285"/>
      <c r="D48" s="293" t="s">
        <v>208</v>
      </c>
      <c r="E48" s="285"/>
      <c r="F48" s="293" t="s">
        <v>232</v>
      </c>
      <c r="G48" s="293"/>
      <c r="H48" s="293" t="s">
        <v>232</v>
      </c>
      <c r="I48" s="293"/>
      <c r="J48" s="293" t="s">
        <v>234</v>
      </c>
      <c r="K48" s="293"/>
      <c r="L48" s="293" t="s">
        <v>245</v>
      </c>
      <c r="M48" s="293"/>
      <c r="N48" s="293" t="s">
        <v>247</v>
      </c>
      <c r="O48" s="293"/>
      <c r="P48" s="293"/>
      <c r="Q48" s="285"/>
      <c r="R48" s="285"/>
      <c r="S48" s="285"/>
      <c r="T48" s="320"/>
      <c r="U48" s="288"/>
      <c r="V48" s="5"/>
    </row>
    <row r="49" spans="1:23" ht="15.6" x14ac:dyDescent="0.3">
      <c r="A49" s="284"/>
      <c r="B49" s="285"/>
      <c r="C49" s="285"/>
      <c r="D49" s="293"/>
      <c r="E49" s="285"/>
      <c r="F49" s="293"/>
      <c r="G49" s="293"/>
      <c r="H49" s="293"/>
      <c r="I49" s="293"/>
      <c r="J49" s="293"/>
      <c r="K49" s="293"/>
      <c r="L49" s="293"/>
      <c r="M49" s="293"/>
      <c r="N49" s="293"/>
      <c r="O49" s="293"/>
      <c r="P49" s="293"/>
      <c r="Q49" s="285"/>
      <c r="R49" s="285"/>
      <c r="S49" s="285"/>
      <c r="T49" s="320" t="s">
        <v>201</v>
      </c>
      <c r="U49" s="288"/>
      <c r="V49" s="5"/>
    </row>
    <row r="50" spans="1:23" ht="15.6" x14ac:dyDescent="0.3">
      <c r="A50" s="284"/>
      <c r="B50" s="285" t="s">
        <v>176</v>
      </c>
      <c r="C50" s="285"/>
      <c r="D50" s="293"/>
      <c r="E50" s="285"/>
      <c r="F50" s="293"/>
      <c r="G50" s="293"/>
      <c r="H50" s="293"/>
      <c r="I50" s="293"/>
      <c r="J50" s="293"/>
      <c r="K50" s="293"/>
      <c r="L50" s="293"/>
      <c r="M50" s="293"/>
      <c r="N50" s="293"/>
      <c r="O50" s="293"/>
      <c r="P50" s="293"/>
      <c r="Q50" s="285"/>
      <c r="R50" s="285"/>
      <c r="S50" s="285"/>
      <c r="T50" s="320">
        <f>SUM(J34:P34)/SUM(D34:H34)</f>
        <v>0.15279804679664968</v>
      </c>
      <c r="U50" s="288"/>
      <c r="V50" s="5"/>
    </row>
    <row r="51" spans="1:23" ht="15.6" x14ac:dyDescent="0.3">
      <c r="A51" s="284"/>
      <c r="B51" s="285" t="s">
        <v>177</v>
      </c>
      <c r="C51" s="285"/>
      <c r="D51" s="285"/>
      <c r="E51" s="285"/>
      <c r="F51" s="325"/>
      <c r="G51" s="285"/>
      <c r="H51" s="285"/>
      <c r="I51" s="285"/>
      <c r="J51" s="285"/>
      <c r="K51" s="285"/>
      <c r="L51" s="285"/>
      <c r="M51" s="285"/>
      <c r="N51" s="285"/>
      <c r="O51" s="285"/>
      <c r="P51" s="285"/>
      <c r="Q51" s="285"/>
      <c r="R51" s="285"/>
      <c r="S51" s="285"/>
      <c r="T51" s="320">
        <f>SUM(J36:P36)/SUM(D36:H36)</f>
        <v>0.30259035655129535</v>
      </c>
      <c r="U51" s="288"/>
      <c r="V51" s="5"/>
    </row>
    <row r="52" spans="1:23" ht="15.6" x14ac:dyDescent="0.3">
      <c r="A52" s="284"/>
      <c r="B52" s="285" t="s">
        <v>178</v>
      </c>
      <c r="C52" s="285"/>
      <c r="D52" s="285"/>
      <c r="E52" s="285"/>
      <c r="F52" s="285"/>
      <c r="G52" s="285"/>
      <c r="H52" s="285"/>
      <c r="I52" s="285"/>
      <c r="J52" s="285"/>
      <c r="K52" s="285"/>
      <c r="L52" s="285"/>
      <c r="M52" s="285"/>
      <c r="N52" s="285"/>
      <c r="O52" s="285"/>
      <c r="P52" s="285"/>
      <c r="Q52" s="285"/>
      <c r="R52" s="293" t="s">
        <v>109</v>
      </c>
      <c r="S52" s="293" t="s">
        <v>115</v>
      </c>
      <c r="T52" s="296">
        <f>+T34/2-SUM(J34:P34)</f>
        <v>367473</v>
      </c>
      <c r="U52" s="288"/>
      <c r="V52" s="5"/>
    </row>
    <row r="53" spans="1:23" ht="15.6" x14ac:dyDescent="0.3">
      <c r="A53" s="284"/>
      <c r="B53" s="285"/>
      <c r="C53" s="285"/>
      <c r="D53" s="285"/>
      <c r="E53" s="285"/>
      <c r="F53" s="285"/>
      <c r="G53" s="285"/>
      <c r="H53" s="285"/>
      <c r="I53" s="285"/>
      <c r="J53" s="285"/>
      <c r="K53" s="285"/>
      <c r="L53" s="285"/>
      <c r="M53" s="285"/>
      <c r="N53" s="285"/>
      <c r="O53" s="285"/>
      <c r="P53" s="285"/>
      <c r="Q53" s="285"/>
      <c r="R53" s="285"/>
      <c r="S53" s="285"/>
      <c r="T53" s="326"/>
      <c r="U53" s="288"/>
      <c r="V53" s="5"/>
    </row>
    <row r="54" spans="1:23" ht="15.6" x14ac:dyDescent="0.3">
      <c r="A54" s="284"/>
      <c r="B54" s="285" t="s">
        <v>211</v>
      </c>
      <c r="C54" s="285"/>
      <c r="D54" s="285"/>
      <c r="E54" s="285"/>
      <c r="F54" s="285"/>
      <c r="G54" s="285"/>
      <c r="H54" s="285"/>
      <c r="I54" s="285"/>
      <c r="J54" s="285"/>
      <c r="K54" s="285"/>
      <c r="L54" s="285"/>
      <c r="M54" s="285"/>
      <c r="N54" s="285"/>
      <c r="O54" s="285"/>
      <c r="P54" s="285"/>
      <c r="Q54" s="285"/>
      <c r="R54" s="285"/>
      <c r="S54" s="285"/>
      <c r="T54" s="327" t="s">
        <v>212</v>
      </c>
      <c r="U54" s="288"/>
      <c r="V54" s="5"/>
    </row>
    <row r="55" spans="1:23" ht="15.6" x14ac:dyDescent="0.3">
      <c r="A55" s="284"/>
      <c r="B55" s="285" t="s">
        <v>253</v>
      </c>
      <c r="C55" s="285"/>
      <c r="D55" s="285"/>
      <c r="E55" s="285"/>
      <c r="F55" s="285"/>
      <c r="G55" s="285"/>
      <c r="H55" s="285"/>
      <c r="I55" s="285"/>
      <c r="J55" s="285"/>
      <c r="K55" s="285"/>
      <c r="L55" s="285"/>
      <c r="M55" s="285"/>
      <c r="N55" s="285"/>
      <c r="O55" s="285"/>
      <c r="P55" s="285"/>
      <c r="Q55" s="285"/>
      <c r="R55" s="293"/>
      <c r="S55" s="293"/>
      <c r="T55" s="328" t="s">
        <v>117</v>
      </c>
      <c r="U55" s="288"/>
      <c r="V55" s="5"/>
    </row>
    <row r="56" spans="1:23" ht="15.6" x14ac:dyDescent="0.3">
      <c r="A56" s="284"/>
      <c r="B56" s="292" t="s">
        <v>210</v>
      </c>
      <c r="C56" s="292"/>
      <c r="D56" s="292"/>
      <c r="E56" s="292"/>
      <c r="F56" s="292"/>
      <c r="G56" s="292"/>
      <c r="H56" s="292"/>
      <c r="I56" s="292"/>
      <c r="J56" s="292"/>
      <c r="K56" s="292"/>
      <c r="L56" s="292"/>
      <c r="M56" s="292"/>
      <c r="N56" s="292"/>
      <c r="O56" s="292"/>
      <c r="P56" s="292"/>
      <c r="Q56" s="292"/>
      <c r="R56" s="329"/>
      <c r="S56" s="329"/>
      <c r="T56" s="330">
        <v>40833</v>
      </c>
      <c r="U56" s="288"/>
      <c r="V56" s="5"/>
    </row>
    <row r="57" spans="1:23" ht="15.6" x14ac:dyDescent="0.3">
      <c r="A57" s="284"/>
      <c r="B57" s="285" t="s">
        <v>127</v>
      </c>
      <c r="C57" s="285"/>
      <c r="D57" s="285"/>
      <c r="E57" s="285"/>
      <c r="F57" s="285"/>
      <c r="G57" s="285"/>
      <c r="H57" s="331"/>
      <c r="I57" s="331"/>
      <c r="J57" s="331"/>
      <c r="K57" s="331"/>
      <c r="L57" s="331"/>
      <c r="M57" s="331"/>
      <c r="N57" s="331"/>
      <c r="O57" s="331"/>
      <c r="P57" s="285">
        <f>+T57-R57+1</f>
        <v>91</v>
      </c>
      <c r="Q57" s="331"/>
      <c r="R57" s="332">
        <v>40648</v>
      </c>
      <c r="S57" s="333"/>
      <c r="T57" s="332">
        <v>40738</v>
      </c>
      <c r="U57" s="288"/>
      <c r="V57" s="5"/>
    </row>
    <row r="58" spans="1:23" ht="15.6" x14ac:dyDescent="0.3">
      <c r="A58" s="284"/>
      <c r="B58" s="285" t="s">
        <v>128</v>
      </c>
      <c r="C58" s="285"/>
      <c r="D58" s="285"/>
      <c r="E58" s="285"/>
      <c r="F58" s="285"/>
      <c r="G58" s="285"/>
      <c r="H58" s="285"/>
      <c r="I58" s="285"/>
      <c r="J58" s="285"/>
      <c r="K58" s="285"/>
      <c r="L58" s="285"/>
      <c r="M58" s="285"/>
      <c r="N58" s="285"/>
      <c r="O58" s="285"/>
      <c r="P58" s="285">
        <f>+T58-R58+1</f>
        <v>94</v>
      </c>
      <c r="Q58" s="285"/>
      <c r="R58" s="332">
        <v>40739</v>
      </c>
      <c r="S58" s="333"/>
      <c r="T58" s="332">
        <v>40832</v>
      </c>
      <c r="U58" s="288"/>
      <c r="V58" s="5"/>
    </row>
    <row r="59" spans="1:23" ht="15.6" x14ac:dyDescent="0.3">
      <c r="A59" s="284"/>
      <c r="B59" s="285" t="s">
        <v>209</v>
      </c>
      <c r="C59" s="285"/>
      <c r="D59" s="285"/>
      <c r="E59" s="285"/>
      <c r="F59" s="285"/>
      <c r="G59" s="285"/>
      <c r="H59" s="285"/>
      <c r="I59" s="285"/>
      <c r="J59" s="285"/>
      <c r="K59" s="285"/>
      <c r="L59" s="285"/>
      <c r="M59" s="285"/>
      <c r="N59" s="285"/>
      <c r="O59" s="285"/>
      <c r="P59" s="285"/>
      <c r="Q59" s="285"/>
      <c r="R59" s="332"/>
      <c r="S59" s="333"/>
      <c r="T59" s="332" t="s">
        <v>126</v>
      </c>
      <c r="U59" s="288"/>
      <c r="V59" s="5"/>
    </row>
    <row r="60" spans="1:23" ht="15.6" x14ac:dyDescent="0.3">
      <c r="A60" s="284"/>
      <c r="B60" s="285" t="s">
        <v>249</v>
      </c>
      <c r="C60" s="285"/>
      <c r="D60" s="285"/>
      <c r="E60" s="285"/>
      <c r="F60" s="285"/>
      <c r="G60" s="285"/>
      <c r="H60" s="285"/>
      <c r="I60" s="285"/>
      <c r="J60" s="285"/>
      <c r="K60" s="285"/>
      <c r="L60" s="285"/>
      <c r="M60" s="285"/>
      <c r="N60" s="285"/>
      <c r="O60" s="285"/>
      <c r="P60" s="285"/>
      <c r="Q60" s="285"/>
      <c r="R60" s="332"/>
      <c r="S60" s="333"/>
      <c r="T60" s="332" t="s">
        <v>160</v>
      </c>
      <c r="U60" s="288"/>
      <c r="V60" s="5"/>
      <c r="W60" s="134"/>
    </row>
    <row r="61" spans="1:23" ht="15.6" x14ac:dyDescent="0.3">
      <c r="A61" s="284"/>
      <c r="B61" s="285" t="s">
        <v>16</v>
      </c>
      <c r="C61" s="285"/>
      <c r="D61" s="285"/>
      <c r="E61" s="285"/>
      <c r="F61" s="285"/>
      <c r="G61" s="285"/>
      <c r="H61" s="285"/>
      <c r="I61" s="285"/>
      <c r="J61" s="285"/>
      <c r="K61" s="285"/>
      <c r="L61" s="285"/>
      <c r="M61" s="285"/>
      <c r="N61" s="285"/>
      <c r="O61" s="285"/>
      <c r="P61" s="285"/>
      <c r="Q61" s="285"/>
      <c r="R61" s="332"/>
      <c r="S61" s="333"/>
      <c r="T61" s="332">
        <v>40819</v>
      </c>
      <c r="U61" s="288"/>
      <c r="V61" s="5"/>
    </row>
    <row r="62" spans="1:23" ht="15.6" x14ac:dyDescent="0.3">
      <c r="A62" s="175"/>
      <c r="B62" s="281"/>
      <c r="C62" s="281"/>
      <c r="D62" s="281"/>
      <c r="E62" s="281"/>
      <c r="F62" s="281"/>
      <c r="G62" s="281"/>
      <c r="H62" s="281"/>
      <c r="I62" s="281"/>
      <c r="J62" s="281"/>
      <c r="K62" s="281"/>
      <c r="L62" s="281"/>
      <c r="M62" s="281"/>
      <c r="N62" s="281"/>
      <c r="O62" s="281"/>
      <c r="P62" s="281"/>
      <c r="Q62" s="281"/>
      <c r="R62" s="282"/>
      <c r="S62" s="283"/>
      <c r="T62" s="282"/>
      <c r="U62" s="281"/>
      <c r="V62" s="5"/>
    </row>
    <row r="63" spans="1:23" ht="15.6" x14ac:dyDescent="0.3">
      <c r="A63" s="175"/>
      <c r="B63" s="231"/>
      <c r="C63" s="231"/>
      <c r="D63" s="231"/>
      <c r="E63" s="231"/>
      <c r="F63" s="231"/>
      <c r="G63" s="231"/>
      <c r="H63" s="231"/>
      <c r="I63" s="231"/>
      <c r="J63" s="231"/>
      <c r="K63" s="231"/>
      <c r="L63" s="231"/>
      <c r="M63" s="231"/>
      <c r="N63" s="231"/>
      <c r="O63" s="231"/>
      <c r="P63" s="231"/>
      <c r="Q63" s="231"/>
      <c r="R63" s="244"/>
      <c r="S63" s="245"/>
      <c r="T63" s="244"/>
      <c r="U63" s="231"/>
      <c r="V63" s="5"/>
    </row>
    <row r="64" spans="1:23" ht="18" thickBot="1" x14ac:dyDescent="0.35">
      <c r="A64" s="192"/>
      <c r="B64" s="246" t="s">
        <v>299</v>
      </c>
      <c r="C64" s="247"/>
      <c r="D64" s="247"/>
      <c r="E64" s="247"/>
      <c r="F64" s="247"/>
      <c r="G64" s="247"/>
      <c r="H64" s="247"/>
      <c r="I64" s="247"/>
      <c r="J64" s="247"/>
      <c r="K64" s="247"/>
      <c r="L64" s="247"/>
      <c r="M64" s="247"/>
      <c r="N64" s="247"/>
      <c r="O64" s="247"/>
      <c r="P64" s="247"/>
      <c r="Q64" s="247"/>
      <c r="R64" s="247"/>
      <c r="S64" s="247"/>
      <c r="T64" s="248"/>
      <c r="U64" s="249"/>
      <c r="V64" s="5"/>
    </row>
    <row r="65" spans="1:22" ht="15.6" x14ac:dyDescent="0.3">
      <c r="A65" s="222"/>
      <c r="B65" s="395" t="s">
        <v>17</v>
      </c>
      <c r="C65" s="223"/>
      <c r="D65" s="223"/>
      <c r="E65" s="223"/>
      <c r="F65" s="223"/>
      <c r="G65" s="223"/>
      <c r="H65" s="223"/>
      <c r="I65" s="223"/>
      <c r="J65" s="223"/>
      <c r="K65" s="223"/>
      <c r="L65" s="223"/>
      <c r="M65" s="223"/>
      <c r="N65" s="223"/>
      <c r="O65" s="223"/>
      <c r="P65" s="223"/>
      <c r="Q65" s="223"/>
      <c r="R65" s="223"/>
      <c r="S65" s="223"/>
      <c r="T65" s="250"/>
      <c r="U65" s="223"/>
      <c r="V65" s="5"/>
    </row>
    <row r="66" spans="1:22" ht="15.6" x14ac:dyDescent="0.3">
      <c r="A66" s="175"/>
      <c r="B66" s="183"/>
      <c r="C66" s="177"/>
      <c r="D66" s="177"/>
      <c r="E66" s="177"/>
      <c r="F66" s="177"/>
      <c r="G66" s="177"/>
      <c r="H66" s="177"/>
      <c r="I66" s="177"/>
      <c r="J66" s="177"/>
      <c r="K66" s="177"/>
      <c r="L66" s="177"/>
      <c r="M66" s="177"/>
      <c r="N66" s="177"/>
      <c r="O66" s="177"/>
      <c r="P66" s="177"/>
      <c r="Q66" s="177"/>
      <c r="R66" s="177"/>
      <c r="S66" s="177"/>
      <c r="T66" s="194"/>
      <c r="U66" s="177"/>
      <c r="V66" s="5"/>
    </row>
    <row r="67" spans="1:22" ht="46.8" x14ac:dyDescent="0.3">
      <c r="A67" s="175"/>
      <c r="B67" s="195" t="s">
        <v>18</v>
      </c>
      <c r="C67" s="196"/>
      <c r="D67" s="196"/>
      <c r="E67" s="196"/>
      <c r="F67" s="196"/>
      <c r="G67" s="196"/>
      <c r="H67" s="196"/>
      <c r="I67" s="196"/>
      <c r="J67" s="196" t="s">
        <v>97</v>
      </c>
      <c r="K67" s="196"/>
      <c r="L67" s="196" t="s">
        <v>99</v>
      </c>
      <c r="M67" s="196"/>
      <c r="N67" s="196" t="s">
        <v>101</v>
      </c>
      <c r="O67" s="196"/>
      <c r="P67" s="196" t="s">
        <v>103</v>
      </c>
      <c r="Q67" s="196"/>
      <c r="R67" s="196" t="s">
        <v>110</v>
      </c>
      <c r="S67" s="196"/>
      <c r="T67" s="197" t="s">
        <v>118</v>
      </c>
      <c r="U67" s="198"/>
      <c r="V67" s="5"/>
    </row>
    <row r="68" spans="1:22" ht="15.6" x14ac:dyDescent="0.3">
      <c r="A68" s="337"/>
      <c r="B68" s="285" t="s">
        <v>19</v>
      </c>
      <c r="C68" s="338"/>
      <c r="D68" s="338"/>
      <c r="E68" s="338"/>
      <c r="F68" s="338"/>
      <c r="G68" s="338"/>
      <c r="H68" s="338"/>
      <c r="I68" s="338"/>
      <c r="J68" s="338">
        <v>1000039</v>
      </c>
      <c r="K68" s="338"/>
      <c r="L68" s="339">
        <v>574327</v>
      </c>
      <c r="M68" s="338"/>
      <c r="N68" s="338">
        <f>3716+97+41</f>
        <v>3854</v>
      </c>
      <c r="O68" s="338"/>
      <c r="P68" s="338">
        <f>97+41</f>
        <v>138</v>
      </c>
      <c r="Q68" s="338"/>
      <c r="R68" s="338">
        <v>0</v>
      </c>
      <c r="S68" s="338"/>
      <c r="T68" s="339">
        <f>+L68-N68+P68-R68</f>
        <v>570611</v>
      </c>
      <c r="U68" s="288"/>
      <c r="V68" s="5"/>
    </row>
    <row r="69" spans="1:22" ht="15.6" x14ac:dyDescent="0.3">
      <c r="A69" s="337"/>
      <c r="B69" s="285" t="s">
        <v>20</v>
      </c>
      <c r="C69" s="338"/>
      <c r="D69" s="338"/>
      <c r="E69" s="338"/>
      <c r="F69" s="338"/>
      <c r="G69" s="338"/>
      <c r="H69" s="338"/>
      <c r="I69" s="338"/>
      <c r="J69" s="338">
        <v>10</v>
      </c>
      <c r="K69" s="338"/>
      <c r="L69" s="339">
        <v>0</v>
      </c>
      <c r="M69" s="338"/>
      <c r="N69" s="338">
        <v>0</v>
      </c>
      <c r="O69" s="338"/>
      <c r="P69" s="338">
        <v>0</v>
      </c>
      <c r="Q69" s="338"/>
      <c r="R69" s="338">
        <v>0</v>
      </c>
      <c r="S69" s="338"/>
      <c r="T69" s="339">
        <v>0</v>
      </c>
      <c r="U69" s="288"/>
      <c r="V69" s="5"/>
    </row>
    <row r="70" spans="1:22" ht="15.6" x14ac:dyDescent="0.3">
      <c r="A70" s="337"/>
      <c r="B70" s="285"/>
      <c r="C70" s="338"/>
      <c r="D70" s="338"/>
      <c r="E70" s="338"/>
      <c r="F70" s="338"/>
      <c r="G70" s="338"/>
      <c r="H70" s="338"/>
      <c r="I70" s="338"/>
      <c r="J70" s="338"/>
      <c r="K70" s="338"/>
      <c r="L70" s="339"/>
      <c r="M70" s="338"/>
      <c r="N70" s="338"/>
      <c r="O70" s="338"/>
      <c r="P70" s="338"/>
      <c r="Q70" s="338"/>
      <c r="R70" s="338"/>
      <c r="S70" s="338"/>
      <c r="T70" s="339"/>
      <c r="U70" s="288"/>
      <c r="V70" s="5"/>
    </row>
    <row r="71" spans="1:22" ht="15.6" x14ac:dyDescent="0.3">
      <c r="A71" s="337"/>
      <c r="B71" s="285" t="s">
        <v>21</v>
      </c>
      <c r="C71" s="338"/>
      <c r="D71" s="338"/>
      <c r="E71" s="338"/>
      <c r="F71" s="338"/>
      <c r="G71" s="338"/>
      <c r="H71" s="338"/>
      <c r="I71" s="338"/>
      <c r="J71" s="338">
        <f>SUM(J68:J70)</f>
        <v>1000049</v>
      </c>
      <c r="K71" s="338"/>
      <c r="L71" s="338">
        <f>L68+L69</f>
        <v>574327</v>
      </c>
      <c r="M71" s="338"/>
      <c r="N71" s="338">
        <f>SUM(N68:N70)</f>
        <v>3854</v>
      </c>
      <c r="O71" s="338"/>
      <c r="P71" s="338">
        <f>SUM(P68:P70)</f>
        <v>138</v>
      </c>
      <c r="Q71" s="338"/>
      <c r="R71" s="338">
        <f>SUM(R68:R70)</f>
        <v>0</v>
      </c>
      <c r="S71" s="338"/>
      <c r="T71" s="338">
        <f>SUM(T68:T70)</f>
        <v>570611</v>
      </c>
      <c r="U71" s="288"/>
      <c r="V71" s="5"/>
    </row>
    <row r="72" spans="1:22" ht="15.6" x14ac:dyDescent="0.3">
      <c r="A72" s="175"/>
      <c r="B72" s="334"/>
      <c r="C72" s="335"/>
      <c r="D72" s="335"/>
      <c r="E72" s="335"/>
      <c r="F72" s="335"/>
      <c r="G72" s="335"/>
      <c r="H72" s="335"/>
      <c r="I72" s="335"/>
      <c r="J72" s="335"/>
      <c r="K72" s="335"/>
      <c r="L72" s="335"/>
      <c r="M72" s="335"/>
      <c r="N72" s="335"/>
      <c r="O72" s="335"/>
      <c r="P72" s="335"/>
      <c r="Q72" s="335"/>
      <c r="R72" s="335"/>
      <c r="S72" s="335"/>
      <c r="T72" s="336"/>
      <c r="U72" s="334"/>
      <c r="V72" s="5"/>
    </row>
    <row r="73" spans="1:22" ht="15.6" x14ac:dyDescent="0.3">
      <c r="A73" s="175"/>
      <c r="B73" s="179" t="s">
        <v>22</v>
      </c>
      <c r="C73" s="199"/>
      <c r="D73" s="199"/>
      <c r="E73" s="199"/>
      <c r="F73" s="199"/>
      <c r="G73" s="199"/>
      <c r="H73" s="199"/>
      <c r="I73" s="199"/>
      <c r="J73" s="199"/>
      <c r="K73" s="199"/>
      <c r="L73" s="199"/>
      <c r="M73" s="199"/>
      <c r="N73" s="199"/>
      <c r="O73" s="199"/>
      <c r="P73" s="199"/>
      <c r="Q73" s="199"/>
      <c r="R73" s="199"/>
      <c r="S73" s="199"/>
      <c r="T73" s="200"/>
      <c r="U73" s="177"/>
      <c r="V73" s="5"/>
    </row>
    <row r="74" spans="1:22" ht="15.6" x14ac:dyDescent="0.3">
      <c r="A74" s="175"/>
      <c r="B74" s="177"/>
      <c r="C74" s="199"/>
      <c r="D74" s="199"/>
      <c r="E74" s="199"/>
      <c r="F74" s="199"/>
      <c r="G74" s="199"/>
      <c r="H74" s="199"/>
      <c r="I74" s="199"/>
      <c r="J74" s="199"/>
      <c r="K74" s="199"/>
      <c r="L74" s="199"/>
      <c r="M74" s="199"/>
      <c r="N74" s="199"/>
      <c r="O74" s="199"/>
      <c r="P74" s="199"/>
      <c r="Q74" s="199"/>
      <c r="R74" s="199"/>
      <c r="S74" s="199"/>
      <c r="T74" s="200"/>
      <c r="U74" s="177"/>
      <c r="V74" s="5"/>
    </row>
    <row r="75" spans="1:22" ht="15.6" x14ac:dyDescent="0.3">
      <c r="A75" s="284"/>
      <c r="B75" s="285" t="s">
        <v>19</v>
      </c>
      <c r="C75" s="338"/>
      <c r="D75" s="338"/>
      <c r="E75" s="338"/>
      <c r="F75" s="338"/>
      <c r="G75" s="338"/>
      <c r="H75" s="338"/>
      <c r="I75" s="338"/>
      <c r="J75" s="338"/>
      <c r="K75" s="338"/>
      <c r="L75" s="338"/>
      <c r="M75" s="338"/>
      <c r="N75" s="338"/>
      <c r="O75" s="338"/>
      <c r="P75" s="338"/>
      <c r="Q75" s="338"/>
      <c r="R75" s="338"/>
      <c r="S75" s="338"/>
      <c r="T75" s="338"/>
      <c r="U75" s="288"/>
      <c r="V75" s="5"/>
    </row>
    <row r="76" spans="1:22" ht="15.6" x14ac:dyDescent="0.3">
      <c r="A76" s="284"/>
      <c r="B76" s="285" t="s">
        <v>20</v>
      </c>
      <c r="C76" s="338"/>
      <c r="D76" s="338"/>
      <c r="E76" s="338"/>
      <c r="F76" s="338"/>
      <c r="G76" s="338"/>
      <c r="H76" s="338"/>
      <c r="I76" s="338"/>
      <c r="J76" s="338"/>
      <c r="K76" s="338"/>
      <c r="L76" s="338"/>
      <c r="M76" s="338"/>
      <c r="N76" s="338"/>
      <c r="O76" s="338"/>
      <c r="P76" s="338"/>
      <c r="Q76" s="338"/>
      <c r="R76" s="338"/>
      <c r="S76" s="338"/>
      <c r="T76" s="338"/>
      <c r="U76" s="288"/>
      <c r="V76" s="5"/>
    </row>
    <row r="77" spans="1:22" ht="15.6" x14ac:dyDescent="0.3">
      <c r="A77" s="284"/>
      <c r="B77" s="285"/>
      <c r="C77" s="338"/>
      <c r="D77" s="338"/>
      <c r="E77" s="338"/>
      <c r="F77" s="338"/>
      <c r="G77" s="338"/>
      <c r="H77" s="338"/>
      <c r="I77" s="338"/>
      <c r="J77" s="338"/>
      <c r="K77" s="338"/>
      <c r="L77" s="338"/>
      <c r="M77" s="338"/>
      <c r="N77" s="338"/>
      <c r="O77" s="338"/>
      <c r="P77" s="338"/>
      <c r="Q77" s="338"/>
      <c r="R77" s="338"/>
      <c r="S77" s="338"/>
      <c r="T77" s="338"/>
      <c r="U77" s="288"/>
      <c r="V77" s="5"/>
    </row>
    <row r="78" spans="1:22" ht="15.6" x14ac:dyDescent="0.3">
      <c r="A78" s="284"/>
      <c r="B78" s="285" t="s">
        <v>21</v>
      </c>
      <c r="C78" s="338"/>
      <c r="D78" s="338"/>
      <c r="E78" s="338"/>
      <c r="F78" s="338"/>
      <c r="G78" s="338"/>
      <c r="H78" s="338"/>
      <c r="I78" s="338"/>
      <c r="J78" s="338"/>
      <c r="K78" s="338"/>
      <c r="L78" s="338"/>
      <c r="M78" s="338"/>
      <c r="N78" s="338"/>
      <c r="O78" s="338"/>
      <c r="P78" s="338"/>
      <c r="Q78" s="338"/>
      <c r="R78" s="338"/>
      <c r="S78" s="338"/>
      <c r="T78" s="338"/>
      <c r="U78" s="288"/>
      <c r="V78" s="5"/>
    </row>
    <row r="79" spans="1:22" ht="15.6" x14ac:dyDescent="0.3">
      <c r="A79" s="284"/>
      <c r="B79" s="285"/>
      <c r="C79" s="338"/>
      <c r="D79" s="338"/>
      <c r="E79" s="338"/>
      <c r="F79" s="338"/>
      <c r="G79" s="338"/>
      <c r="H79" s="338"/>
      <c r="I79" s="338"/>
      <c r="J79" s="338"/>
      <c r="K79" s="338"/>
      <c r="L79" s="338"/>
      <c r="M79" s="338"/>
      <c r="N79" s="338"/>
      <c r="O79" s="338"/>
      <c r="P79" s="338"/>
      <c r="Q79" s="338"/>
      <c r="R79" s="338"/>
      <c r="S79" s="338"/>
      <c r="T79" s="338"/>
      <c r="U79" s="288"/>
      <c r="V79" s="5"/>
    </row>
    <row r="80" spans="1:22" ht="15.6" x14ac:dyDescent="0.3">
      <c r="A80" s="284"/>
      <c r="B80" s="285" t="s">
        <v>23</v>
      </c>
      <c r="C80" s="338"/>
      <c r="D80" s="338"/>
      <c r="E80" s="338"/>
      <c r="F80" s="338"/>
      <c r="G80" s="338"/>
      <c r="H80" s="338"/>
      <c r="I80" s="338"/>
      <c r="J80" s="338">
        <v>0</v>
      </c>
      <c r="K80" s="338"/>
      <c r="L80" s="338">
        <v>0</v>
      </c>
      <c r="M80" s="338"/>
      <c r="N80" s="338"/>
      <c r="O80" s="338"/>
      <c r="P80" s="338"/>
      <c r="Q80" s="338"/>
      <c r="R80" s="338"/>
      <c r="S80" s="338"/>
      <c r="T80" s="339">
        <v>0</v>
      </c>
      <c r="U80" s="288"/>
      <c r="V80" s="5"/>
    </row>
    <row r="81" spans="1:22" ht="15.6" x14ac:dyDescent="0.3">
      <c r="A81" s="284"/>
      <c r="B81" s="285" t="s">
        <v>123</v>
      </c>
      <c r="C81" s="338"/>
      <c r="D81" s="338"/>
      <c r="E81" s="338"/>
      <c r="F81" s="338"/>
      <c r="G81" s="338"/>
      <c r="H81" s="338"/>
      <c r="I81" s="338"/>
      <c r="J81" s="338">
        <v>0</v>
      </c>
      <c r="K81" s="338"/>
      <c r="L81" s="338">
        <v>0</v>
      </c>
      <c r="M81" s="338"/>
      <c r="N81" s="338"/>
      <c r="O81" s="338"/>
      <c r="P81" s="338"/>
      <c r="Q81" s="338"/>
      <c r="R81" s="338"/>
      <c r="S81" s="338"/>
      <c r="T81" s="338">
        <f>SUM(J81:P81)</f>
        <v>0</v>
      </c>
      <c r="U81" s="288"/>
      <c r="V81" s="5"/>
    </row>
    <row r="82" spans="1:22" ht="15.6" x14ac:dyDescent="0.3">
      <c r="A82" s="284"/>
      <c r="B82" s="285" t="s">
        <v>152</v>
      </c>
      <c r="C82" s="338"/>
      <c r="D82" s="338"/>
      <c r="E82" s="338"/>
      <c r="F82" s="338"/>
      <c r="G82" s="338"/>
      <c r="H82" s="338"/>
      <c r="I82" s="338"/>
      <c r="J82" s="338">
        <v>1</v>
      </c>
      <c r="K82" s="338"/>
      <c r="L82" s="338">
        <v>0</v>
      </c>
      <c r="M82" s="338"/>
      <c r="N82" s="338">
        <v>0</v>
      </c>
      <c r="O82" s="338"/>
      <c r="P82" s="338"/>
      <c r="Q82" s="338"/>
      <c r="R82" s="338"/>
      <c r="S82" s="338"/>
      <c r="T82" s="338">
        <f>+L82+N82</f>
        <v>0</v>
      </c>
      <c r="U82" s="288"/>
      <c r="V82" s="5"/>
    </row>
    <row r="83" spans="1:22" ht="15.6" x14ac:dyDescent="0.3">
      <c r="A83" s="284"/>
      <c r="B83" s="285" t="s">
        <v>25</v>
      </c>
      <c r="C83" s="338"/>
      <c r="D83" s="338"/>
      <c r="E83" s="338"/>
      <c r="F83" s="338"/>
      <c r="G83" s="338"/>
      <c r="H83" s="338"/>
      <c r="I83" s="338"/>
      <c r="J83" s="338">
        <v>0</v>
      </c>
      <c r="K83" s="338"/>
      <c r="L83" s="338">
        <v>0</v>
      </c>
      <c r="M83" s="338"/>
      <c r="N83" s="338"/>
      <c r="O83" s="338"/>
      <c r="P83" s="338"/>
      <c r="Q83" s="338"/>
      <c r="R83" s="338"/>
      <c r="S83" s="338"/>
      <c r="T83" s="338">
        <v>0</v>
      </c>
      <c r="U83" s="288"/>
      <c r="V83" s="5"/>
    </row>
    <row r="84" spans="1:22" ht="15.6" x14ac:dyDescent="0.3">
      <c r="A84" s="284"/>
      <c r="B84" s="285" t="s">
        <v>26</v>
      </c>
      <c r="C84" s="338"/>
      <c r="D84" s="338"/>
      <c r="E84" s="338"/>
      <c r="F84" s="338"/>
      <c r="G84" s="338"/>
      <c r="H84" s="338"/>
      <c r="I84" s="338"/>
      <c r="J84" s="338">
        <f>SUM(J71:J83)</f>
        <v>1000050</v>
      </c>
      <c r="K84" s="338"/>
      <c r="L84" s="338">
        <f>SUM(L71:L83)</f>
        <v>574327</v>
      </c>
      <c r="M84" s="338"/>
      <c r="N84" s="338"/>
      <c r="O84" s="338"/>
      <c r="P84" s="338"/>
      <c r="Q84" s="338"/>
      <c r="R84" s="338"/>
      <c r="S84" s="338"/>
      <c r="T84" s="338">
        <f>SUM(T71:T83)</f>
        <v>570611</v>
      </c>
      <c r="U84" s="288"/>
      <c r="V84" s="5"/>
    </row>
    <row r="85" spans="1:22" ht="15.6" x14ac:dyDescent="0.3">
      <c r="A85" s="175"/>
      <c r="B85" s="334"/>
      <c r="C85" s="335"/>
      <c r="D85" s="335"/>
      <c r="E85" s="335"/>
      <c r="F85" s="335"/>
      <c r="G85" s="335"/>
      <c r="H85" s="335"/>
      <c r="I85" s="335"/>
      <c r="J85" s="335"/>
      <c r="K85" s="335"/>
      <c r="L85" s="335"/>
      <c r="M85" s="335"/>
      <c r="N85" s="335"/>
      <c r="O85" s="335"/>
      <c r="P85" s="335"/>
      <c r="Q85" s="335"/>
      <c r="R85" s="335"/>
      <c r="S85" s="335"/>
      <c r="T85" s="336"/>
      <c r="U85" s="334"/>
      <c r="V85" s="5"/>
    </row>
    <row r="86" spans="1:22" ht="15.6" x14ac:dyDescent="0.3">
      <c r="A86" s="175"/>
      <c r="B86" s="177"/>
      <c r="C86" s="177"/>
      <c r="D86" s="177"/>
      <c r="E86" s="177"/>
      <c r="F86" s="177"/>
      <c r="G86" s="177"/>
      <c r="H86" s="177"/>
      <c r="I86" s="177"/>
      <c r="J86" s="177"/>
      <c r="K86" s="177"/>
      <c r="L86" s="177"/>
      <c r="M86" s="177"/>
      <c r="N86" s="177"/>
      <c r="O86" s="177"/>
      <c r="P86" s="177"/>
      <c r="Q86" s="177"/>
      <c r="R86" s="177"/>
      <c r="S86" s="177"/>
      <c r="T86" s="177"/>
      <c r="U86" s="177"/>
      <c r="V86" s="5"/>
    </row>
    <row r="87" spans="1:22" ht="15.6" x14ac:dyDescent="0.3">
      <c r="A87" s="222"/>
      <c r="B87" s="395" t="s">
        <v>27</v>
      </c>
      <c r="C87" s="395"/>
      <c r="D87" s="395"/>
      <c r="E87" s="395"/>
      <c r="F87" s="395"/>
      <c r="G87" s="395"/>
      <c r="H87" s="396"/>
      <c r="I87" s="396"/>
      <c r="J87" s="397" t="s">
        <v>98</v>
      </c>
      <c r="K87" s="396"/>
      <c r="L87" s="398">
        <f>+R193</f>
        <v>40816</v>
      </c>
      <c r="M87" s="396"/>
      <c r="N87" s="396"/>
      <c r="O87" s="396"/>
      <c r="P87" s="396"/>
      <c r="Q87" s="396"/>
      <c r="R87" s="396" t="s">
        <v>111</v>
      </c>
      <c r="S87" s="396"/>
      <c r="T87" s="396" t="s">
        <v>119</v>
      </c>
      <c r="U87" s="223"/>
      <c r="V87" s="5"/>
    </row>
    <row r="88" spans="1:22" ht="15.6" x14ac:dyDescent="0.3">
      <c r="A88" s="190"/>
      <c r="B88" s="239" t="s">
        <v>28</v>
      </c>
      <c r="C88" s="239"/>
      <c r="D88" s="239"/>
      <c r="E88" s="239"/>
      <c r="F88" s="239"/>
      <c r="G88" s="239"/>
      <c r="H88" s="239"/>
      <c r="I88" s="239"/>
      <c r="J88" s="239"/>
      <c r="K88" s="239"/>
      <c r="L88" s="239"/>
      <c r="M88" s="239"/>
      <c r="N88" s="239"/>
      <c r="O88" s="239"/>
      <c r="P88" s="239"/>
      <c r="Q88" s="239"/>
      <c r="R88" s="243">
        <v>0</v>
      </c>
      <c r="S88" s="239"/>
      <c r="T88" s="251">
        <v>0</v>
      </c>
      <c r="U88" s="239"/>
      <c r="V88" s="5"/>
    </row>
    <row r="89" spans="1:22" ht="15.6" x14ac:dyDescent="0.3">
      <c r="A89" s="284"/>
      <c r="B89" s="285" t="s">
        <v>29</v>
      </c>
      <c r="C89" s="285"/>
      <c r="D89" s="285"/>
      <c r="E89" s="285"/>
      <c r="F89" s="285"/>
      <c r="G89" s="285"/>
      <c r="H89" s="324"/>
      <c r="I89" s="341"/>
      <c r="J89" s="324"/>
      <c r="K89" s="285"/>
      <c r="L89" s="342"/>
      <c r="M89" s="285"/>
      <c r="N89" s="285"/>
      <c r="O89" s="285"/>
      <c r="P89" s="285"/>
      <c r="Q89" s="285"/>
      <c r="R89" s="338">
        <f>3854-2</f>
        <v>3852</v>
      </c>
      <c r="S89" s="285"/>
      <c r="T89" s="339"/>
      <c r="U89" s="288"/>
      <c r="V89" s="5"/>
    </row>
    <row r="90" spans="1:22" ht="15.6" x14ac:dyDescent="0.3">
      <c r="A90" s="284"/>
      <c r="B90" s="285" t="s">
        <v>225</v>
      </c>
      <c r="C90" s="285"/>
      <c r="D90" s="285"/>
      <c r="E90" s="285"/>
      <c r="F90" s="285"/>
      <c r="G90" s="285"/>
      <c r="H90" s="324"/>
      <c r="I90" s="341"/>
      <c r="J90" s="324"/>
      <c r="K90" s="285"/>
      <c r="L90" s="342"/>
      <c r="M90" s="285"/>
      <c r="N90" s="285"/>
      <c r="O90" s="285"/>
      <c r="P90" s="285"/>
      <c r="Q90" s="285"/>
      <c r="R90" s="338"/>
      <c r="S90" s="285"/>
      <c r="T90" s="339">
        <f>1988+2449-346-252</f>
        <v>3839</v>
      </c>
      <c r="U90" s="288"/>
      <c r="V90" s="5"/>
    </row>
    <row r="91" spans="1:22" ht="15.6" x14ac:dyDescent="0.3">
      <c r="A91" s="284"/>
      <c r="B91" s="285" t="s">
        <v>220</v>
      </c>
      <c r="C91" s="285"/>
      <c r="D91" s="285"/>
      <c r="E91" s="285"/>
      <c r="F91" s="285"/>
      <c r="G91" s="285"/>
      <c r="H91" s="324"/>
      <c r="I91" s="341"/>
      <c r="J91" s="324"/>
      <c r="K91" s="285"/>
      <c r="L91" s="342"/>
      <c r="M91" s="285"/>
      <c r="N91" s="285"/>
      <c r="O91" s="285"/>
      <c r="P91" s="285"/>
      <c r="Q91" s="285"/>
      <c r="R91" s="338"/>
      <c r="S91" s="285"/>
      <c r="T91" s="339">
        <f>11+18</f>
        <v>29</v>
      </c>
      <c r="U91" s="288"/>
      <c r="V91" s="5"/>
    </row>
    <row r="92" spans="1:22" ht="15.6" x14ac:dyDescent="0.3">
      <c r="A92" s="284"/>
      <c r="B92" s="285" t="s">
        <v>221</v>
      </c>
      <c r="C92" s="285"/>
      <c r="D92" s="285"/>
      <c r="E92" s="285"/>
      <c r="F92" s="285"/>
      <c r="G92" s="285"/>
      <c r="H92" s="324"/>
      <c r="I92" s="341"/>
      <c r="J92" s="324"/>
      <c r="K92" s="285"/>
      <c r="L92" s="342"/>
      <c r="M92" s="285"/>
      <c r="N92" s="285"/>
      <c r="O92" s="285"/>
      <c r="P92" s="285"/>
      <c r="Q92" s="285"/>
      <c r="R92" s="338"/>
      <c r="S92" s="285"/>
      <c r="T92" s="339">
        <v>22</v>
      </c>
      <c r="U92" s="288"/>
      <c r="V92" s="5"/>
    </row>
    <row r="93" spans="1:22" ht="15.6" x14ac:dyDescent="0.3">
      <c r="A93" s="284"/>
      <c r="B93" s="285" t="s">
        <v>261</v>
      </c>
      <c r="C93" s="285"/>
      <c r="D93" s="285"/>
      <c r="E93" s="285"/>
      <c r="F93" s="285"/>
      <c r="G93" s="285"/>
      <c r="H93" s="324"/>
      <c r="I93" s="341"/>
      <c r="J93" s="324"/>
      <c r="K93" s="285"/>
      <c r="L93" s="342"/>
      <c r="M93" s="285"/>
      <c r="N93" s="285"/>
      <c r="O93" s="285"/>
      <c r="P93" s="285"/>
      <c r="Q93" s="285"/>
      <c r="R93" s="338"/>
      <c r="S93" s="285"/>
      <c r="T93" s="339">
        <v>0</v>
      </c>
      <c r="U93" s="288"/>
      <c r="V93" s="5"/>
    </row>
    <row r="94" spans="1:22" ht="15.6" x14ac:dyDescent="0.3">
      <c r="A94" s="284"/>
      <c r="B94" s="285" t="s">
        <v>141</v>
      </c>
      <c r="C94" s="285"/>
      <c r="D94" s="285"/>
      <c r="E94" s="285"/>
      <c r="F94" s="285"/>
      <c r="G94" s="285"/>
      <c r="H94" s="285"/>
      <c r="I94" s="285"/>
      <c r="J94" s="285"/>
      <c r="K94" s="285"/>
      <c r="L94" s="285"/>
      <c r="M94" s="285"/>
      <c r="N94" s="285"/>
      <c r="O94" s="285"/>
      <c r="P94" s="285"/>
      <c r="Q94" s="285"/>
      <c r="R94" s="338"/>
      <c r="S94" s="285"/>
      <c r="T94" s="339">
        <v>0</v>
      </c>
      <c r="U94" s="288"/>
      <c r="V94" s="5"/>
    </row>
    <row r="95" spans="1:22" ht="15.6" x14ac:dyDescent="0.3">
      <c r="A95" s="284"/>
      <c r="B95" s="285" t="s">
        <v>250</v>
      </c>
      <c r="C95" s="285"/>
      <c r="D95" s="285"/>
      <c r="E95" s="285"/>
      <c r="F95" s="285"/>
      <c r="G95" s="285"/>
      <c r="H95" s="285"/>
      <c r="I95" s="285"/>
      <c r="J95" s="285"/>
      <c r="K95" s="285"/>
      <c r="L95" s="285"/>
      <c r="M95" s="285"/>
      <c r="N95" s="285"/>
      <c r="O95" s="285"/>
      <c r="P95" s="285"/>
      <c r="Q95" s="285"/>
      <c r="R95" s="338"/>
      <c r="S95" s="285"/>
      <c r="T95" s="339">
        <v>296</v>
      </c>
      <c r="U95" s="288"/>
      <c r="V95" s="5"/>
    </row>
    <row r="96" spans="1:22" ht="15.6" x14ac:dyDescent="0.3">
      <c r="A96" s="284"/>
      <c r="B96" s="285" t="s">
        <v>30</v>
      </c>
      <c r="C96" s="285"/>
      <c r="D96" s="285"/>
      <c r="E96" s="285"/>
      <c r="F96" s="285"/>
      <c r="G96" s="285"/>
      <c r="H96" s="285"/>
      <c r="I96" s="285"/>
      <c r="J96" s="285"/>
      <c r="K96" s="285"/>
      <c r="L96" s="285"/>
      <c r="M96" s="285"/>
      <c r="N96" s="285"/>
      <c r="O96" s="285"/>
      <c r="P96" s="285"/>
      <c r="Q96" s="285"/>
      <c r="R96" s="338">
        <f>SUM(R88:R95)</f>
        <v>3852</v>
      </c>
      <c r="S96" s="285"/>
      <c r="T96" s="338">
        <f>SUM(T88:T95)</f>
        <v>4186</v>
      </c>
      <c r="U96" s="288"/>
      <c r="V96" s="5"/>
    </row>
    <row r="97" spans="1:24" ht="15.6" x14ac:dyDescent="0.3">
      <c r="A97" s="284"/>
      <c r="B97" s="285" t="s">
        <v>168</v>
      </c>
      <c r="C97" s="285"/>
      <c r="D97" s="285"/>
      <c r="E97" s="285"/>
      <c r="F97" s="285"/>
      <c r="G97" s="285"/>
      <c r="H97" s="285"/>
      <c r="I97" s="285"/>
      <c r="J97" s="285"/>
      <c r="K97" s="285"/>
      <c r="L97" s="285"/>
      <c r="M97" s="285"/>
      <c r="N97" s="285"/>
      <c r="O97" s="285"/>
      <c r="P97" s="285"/>
      <c r="Q97" s="285"/>
      <c r="R97" s="338">
        <v>-3</v>
      </c>
      <c r="S97" s="285"/>
      <c r="T97" s="338">
        <f>-R97</f>
        <v>3</v>
      </c>
      <c r="U97" s="288"/>
      <c r="V97" s="5"/>
    </row>
    <row r="98" spans="1:24" ht="15.6" x14ac:dyDescent="0.3">
      <c r="A98" s="284"/>
      <c r="B98" s="285" t="s">
        <v>31</v>
      </c>
      <c r="C98" s="285"/>
      <c r="D98" s="285"/>
      <c r="E98" s="285"/>
      <c r="F98" s="285"/>
      <c r="G98" s="285"/>
      <c r="H98" s="285"/>
      <c r="I98" s="285"/>
      <c r="J98" s="285"/>
      <c r="K98" s="285"/>
      <c r="L98" s="285"/>
      <c r="M98" s="285"/>
      <c r="N98" s="285"/>
      <c r="O98" s="285"/>
      <c r="P98" s="285"/>
      <c r="Q98" s="285"/>
      <c r="R98" s="338">
        <f>-T98</f>
        <v>0</v>
      </c>
      <c r="S98" s="285"/>
      <c r="T98" s="339">
        <v>0</v>
      </c>
      <c r="U98" s="288"/>
      <c r="V98" s="5"/>
    </row>
    <row r="99" spans="1:24" ht="15.6" x14ac:dyDescent="0.3">
      <c r="A99" s="284"/>
      <c r="B99" s="285" t="s">
        <v>273</v>
      </c>
      <c r="C99" s="285"/>
      <c r="D99" s="285"/>
      <c r="E99" s="285"/>
      <c r="F99" s="285"/>
      <c r="G99" s="285"/>
      <c r="H99" s="285"/>
      <c r="I99" s="285"/>
      <c r="J99" s="285"/>
      <c r="K99" s="285"/>
      <c r="L99" s="285"/>
      <c r="M99" s="285"/>
      <c r="N99" s="285"/>
      <c r="O99" s="285"/>
      <c r="P99" s="285"/>
      <c r="Q99" s="285"/>
      <c r="R99" s="338"/>
      <c r="S99" s="285"/>
      <c r="T99" s="339">
        <v>-44</v>
      </c>
      <c r="U99" s="288"/>
      <c r="V99" s="5"/>
    </row>
    <row r="100" spans="1:24" ht="15.6" x14ac:dyDescent="0.3">
      <c r="A100" s="284"/>
      <c r="B100" s="285" t="s">
        <v>32</v>
      </c>
      <c r="C100" s="285"/>
      <c r="D100" s="285"/>
      <c r="E100" s="285"/>
      <c r="F100" s="285"/>
      <c r="G100" s="285"/>
      <c r="H100" s="285"/>
      <c r="I100" s="285"/>
      <c r="J100" s="285"/>
      <c r="K100" s="285"/>
      <c r="L100" s="285"/>
      <c r="M100" s="285"/>
      <c r="N100" s="285"/>
      <c r="O100" s="285"/>
      <c r="P100" s="285"/>
      <c r="Q100" s="285"/>
      <c r="R100" s="338">
        <f>R96+R98+R97</f>
        <v>3849</v>
      </c>
      <c r="S100" s="285"/>
      <c r="T100" s="338">
        <f>T96+T98+T97+T99</f>
        <v>4145</v>
      </c>
      <c r="U100" s="288"/>
      <c r="V100" s="5"/>
    </row>
    <row r="101" spans="1:24" ht="15.6" x14ac:dyDescent="0.3">
      <c r="A101" s="284"/>
      <c r="B101" s="343" t="s">
        <v>33</v>
      </c>
      <c r="C101" s="311"/>
      <c r="D101" s="311"/>
      <c r="E101" s="311"/>
      <c r="F101" s="311"/>
      <c r="G101" s="311"/>
      <c r="H101" s="311"/>
      <c r="I101" s="311"/>
      <c r="J101" s="311"/>
      <c r="K101" s="311"/>
      <c r="L101" s="311"/>
      <c r="M101" s="311"/>
      <c r="N101" s="311"/>
      <c r="O101" s="311"/>
      <c r="P101" s="311"/>
      <c r="Q101" s="311"/>
      <c r="R101" s="344"/>
      <c r="S101" s="311"/>
      <c r="T101" s="345"/>
      <c r="U101" s="317"/>
      <c r="V101" s="5"/>
    </row>
    <row r="102" spans="1:24" ht="15.6" x14ac:dyDescent="0.3">
      <c r="A102" s="337">
        <v>1</v>
      </c>
      <c r="B102" s="285" t="s">
        <v>34</v>
      </c>
      <c r="C102" s="285"/>
      <c r="D102" s="285"/>
      <c r="E102" s="285"/>
      <c r="F102" s="285"/>
      <c r="G102" s="285"/>
      <c r="H102" s="285"/>
      <c r="I102" s="285"/>
      <c r="J102" s="285"/>
      <c r="K102" s="285"/>
      <c r="L102" s="285"/>
      <c r="M102" s="285"/>
      <c r="N102" s="285"/>
      <c r="O102" s="285"/>
      <c r="P102" s="285"/>
      <c r="Q102" s="285"/>
      <c r="R102" s="285"/>
      <c r="S102" s="285"/>
      <c r="T102" s="339">
        <v>0</v>
      </c>
      <c r="U102" s="288"/>
      <c r="V102" s="5"/>
    </row>
    <row r="103" spans="1:24" ht="15.6" x14ac:dyDescent="0.3">
      <c r="A103" s="337">
        <f>+A102+1</f>
        <v>2</v>
      </c>
      <c r="B103" s="285" t="s">
        <v>255</v>
      </c>
      <c r="C103" s="285"/>
      <c r="D103" s="285"/>
      <c r="E103" s="285"/>
      <c r="F103" s="285"/>
      <c r="G103" s="285"/>
      <c r="H103" s="285"/>
      <c r="I103" s="285"/>
      <c r="J103" s="285"/>
      <c r="K103" s="285"/>
      <c r="L103" s="285"/>
      <c r="M103" s="285"/>
      <c r="N103" s="285"/>
      <c r="O103" s="285"/>
      <c r="P103" s="285"/>
      <c r="Q103" s="285"/>
      <c r="R103" s="285"/>
      <c r="S103" s="285"/>
      <c r="T103" s="339">
        <v>-2</v>
      </c>
      <c r="U103" s="288"/>
      <c r="V103" s="5"/>
    </row>
    <row r="104" spans="1:24" ht="15.6" x14ac:dyDescent="0.3">
      <c r="A104" s="337">
        <f>+A103+1</f>
        <v>3</v>
      </c>
      <c r="B104" s="285" t="s">
        <v>213</v>
      </c>
      <c r="C104" s="285"/>
      <c r="D104" s="285"/>
      <c r="E104" s="285"/>
      <c r="F104" s="285"/>
      <c r="G104" s="285"/>
      <c r="H104" s="285"/>
      <c r="I104" s="285"/>
      <c r="J104" s="285"/>
      <c r="K104" s="285"/>
      <c r="L104" s="285"/>
      <c r="M104" s="285"/>
      <c r="N104" s="285"/>
      <c r="O104" s="285"/>
      <c r="P104" s="285"/>
      <c r="Q104" s="285"/>
      <c r="R104" s="285"/>
      <c r="S104" s="285"/>
      <c r="T104" s="339">
        <f>-219-204-7</f>
        <v>-430</v>
      </c>
      <c r="U104" s="288"/>
      <c r="V104" s="5"/>
    </row>
    <row r="105" spans="1:24" ht="15.6" x14ac:dyDescent="0.3">
      <c r="A105" s="337" t="s">
        <v>133</v>
      </c>
      <c r="B105" s="285" t="s">
        <v>122</v>
      </c>
      <c r="C105" s="285"/>
      <c r="D105" s="285"/>
      <c r="E105" s="285"/>
      <c r="F105" s="285"/>
      <c r="G105" s="285"/>
      <c r="H105" s="285"/>
      <c r="I105" s="285"/>
      <c r="J105" s="285"/>
      <c r="K105" s="285"/>
      <c r="L105" s="285"/>
      <c r="M105" s="285"/>
      <c r="N105" s="285"/>
      <c r="O105" s="285"/>
      <c r="P105" s="285"/>
      <c r="Q105" s="285"/>
      <c r="R105" s="285"/>
      <c r="S105" s="285"/>
      <c r="T105" s="339">
        <v>-50</v>
      </c>
      <c r="U105" s="288"/>
      <c r="V105" s="5"/>
    </row>
    <row r="106" spans="1:24" ht="15.6" x14ac:dyDescent="0.3">
      <c r="A106" s="337" t="s">
        <v>134</v>
      </c>
      <c r="B106" s="285" t="s">
        <v>194</v>
      </c>
      <c r="C106" s="285"/>
      <c r="D106" s="285"/>
      <c r="E106" s="285"/>
      <c r="F106" s="285"/>
      <c r="G106" s="285"/>
      <c r="H106" s="285"/>
      <c r="I106" s="285"/>
      <c r="J106" s="285"/>
      <c r="K106" s="285"/>
      <c r="L106" s="285"/>
      <c r="M106" s="285"/>
      <c r="N106" s="285"/>
      <c r="O106" s="285"/>
      <c r="P106" s="285"/>
      <c r="Q106" s="285"/>
      <c r="R106" s="285"/>
      <c r="S106" s="285"/>
      <c r="T106" s="339">
        <f>-1127+209</f>
        <v>-918</v>
      </c>
      <c r="U106" s="288"/>
      <c r="V106" s="5"/>
      <c r="W106" s="109"/>
    </row>
    <row r="107" spans="1:24" ht="15.6" x14ac:dyDescent="0.3">
      <c r="A107" s="337" t="s">
        <v>156</v>
      </c>
      <c r="B107" s="285" t="s">
        <v>191</v>
      </c>
      <c r="C107" s="285"/>
      <c r="D107" s="285"/>
      <c r="E107" s="285"/>
      <c r="F107" s="285"/>
      <c r="G107" s="285"/>
      <c r="H107" s="285"/>
      <c r="I107" s="285"/>
      <c r="J107" s="285"/>
      <c r="K107" s="285"/>
      <c r="L107" s="285"/>
      <c r="M107" s="285"/>
      <c r="N107" s="285"/>
      <c r="O107" s="285"/>
      <c r="P107" s="285"/>
      <c r="Q107" s="285"/>
      <c r="R107" s="285"/>
      <c r="S107" s="285"/>
      <c r="T107" s="339">
        <v>-209</v>
      </c>
      <c r="U107" s="288"/>
      <c r="V107" s="5"/>
      <c r="W107" s="109"/>
    </row>
    <row r="108" spans="1:24" ht="15.6" x14ac:dyDescent="0.3">
      <c r="A108" s="337" t="s">
        <v>214</v>
      </c>
      <c r="B108" s="285" t="s">
        <v>192</v>
      </c>
      <c r="C108" s="285"/>
      <c r="D108" s="285"/>
      <c r="E108" s="285"/>
      <c r="F108" s="285"/>
      <c r="G108" s="285"/>
      <c r="H108" s="285"/>
      <c r="I108" s="285"/>
      <c r="J108" s="285"/>
      <c r="K108" s="285"/>
      <c r="L108" s="285"/>
      <c r="M108" s="285"/>
      <c r="N108" s="285"/>
      <c r="O108" s="285"/>
      <c r="P108" s="285"/>
      <c r="Q108" s="285"/>
      <c r="R108" s="285"/>
      <c r="S108" s="285"/>
      <c r="T108" s="339">
        <v>-194</v>
      </c>
      <c r="U108" s="288"/>
      <c r="V108" s="5"/>
      <c r="W108" s="109"/>
      <c r="X108" s="109"/>
    </row>
    <row r="109" spans="1:24" ht="15.6" x14ac:dyDescent="0.3">
      <c r="A109" s="337" t="s">
        <v>215</v>
      </c>
      <c r="B109" s="285" t="s">
        <v>193</v>
      </c>
      <c r="C109" s="285"/>
      <c r="D109" s="285"/>
      <c r="E109" s="285"/>
      <c r="F109" s="285"/>
      <c r="G109" s="285"/>
      <c r="H109" s="285"/>
      <c r="I109" s="285"/>
      <c r="J109" s="285"/>
      <c r="K109" s="285"/>
      <c r="L109" s="285"/>
      <c r="M109" s="285"/>
      <c r="N109" s="285"/>
      <c r="O109" s="285"/>
      <c r="P109" s="285"/>
      <c r="Q109" s="285"/>
      <c r="R109" s="285"/>
      <c r="S109" s="285"/>
      <c r="T109" s="339">
        <v>-54</v>
      </c>
      <c r="U109" s="288"/>
      <c r="V109" s="169"/>
      <c r="W109" s="109"/>
    </row>
    <row r="110" spans="1:24" ht="15.6" x14ac:dyDescent="0.3">
      <c r="A110" s="337" t="s">
        <v>216</v>
      </c>
      <c r="B110" s="285" t="s">
        <v>204</v>
      </c>
      <c r="C110" s="285"/>
      <c r="D110" s="285"/>
      <c r="E110" s="285"/>
      <c r="F110" s="285"/>
      <c r="G110" s="285"/>
      <c r="H110" s="285"/>
      <c r="I110" s="285"/>
      <c r="J110" s="285"/>
      <c r="K110" s="285"/>
      <c r="L110" s="285"/>
      <c r="M110" s="285"/>
      <c r="N110" s="285"/>
      <c r="O110" s="285"/>
      <c r="P110" s="285"/>
      <c r="Q110" s="285"/>
      <c r="R110" s="285"/>
      <c r="S110" s="285"/>
      <c r="T110" s="339">
        <v>-280</v>
      </c>
      <c r="U110" s="288"/>
      <c r="V110" s="5"/>
      <c r="W110" s="109"/>
    </row>
    <row r="111" spans="1:24" ht="15.6" x14ac:dyDescent="0.3">
      <c r="A111" s="337">
        <v>7</v>
      </c>
      <c r="B111" s="285" t="s">
        <v>35</v>
      </c>
      <c r="C111" s="285"/>
      <c r="D111" s="285"/>
      <c r="E111" s="285"/>
      <c r="F111" s="285"/>
      <c r="G111" s="285"/>
      <c r="H111" s="285"/>
      <c r="I111" s="285"/>
      <c r="J111" s="285"/>
      <c r="K111" s="285"/>
      <c r="L111" s="285"/>
      <c r="M111" s="285"/>
      <c r="N111" s="285"/>
      <c r="O111" s="285"/>
      <c r="P111" s="285"/>
      <c r="Q111" s="285"/>
      <c r="R111" s="285"/>
      <c r="S111" s="285"/>
      <c r="T111" s="339">
        <v>-10</v>
      </c>
      <c r="U111" s="288"/>
      <c r="V111" s="5"/>
    </row>
    <row r="112" spans="1:24" ht="15.6" x14ac:dyDescent="0.3">
      <c r="A112" s="337">
        <f t="shared" ref="A112:A117" si="0">+A111+1</f>
        <v>8</v>
      </c>
      <c r="B112" s="285" t="s">
        <v>46</v>
      </c>
      <c r="C112" s="285"/>
      <c r="D112" s="285"/>
      <c r="E112" s="285"/>
      <c r="F112" s="285"/>
      <c r="G112" s="285"/>
      <c r="H112" s="285"/>
      <c r="I112" s="285"/>
      <c r="J112" s="285"/>
      <c r="K112" s="285"/>
      <c r="L112" s="285"/>
      <c r="M112" s="285"/>
      <c r="N112" s="285"/>
      <c r="O112" s="285"/>
      <c r="P112" s="285"/>
      <c r="Q112" s="285"/>
      <c r="R112" s="338">
        <f>-T112</f>
        <v>2</v>
      </c>
      <c r="S112" s="285"/>
      <c r="T112" s="339">
        <v>-2</v>
      </c>
      <c r="U112" s="288"/>
      <c r="V112" s="5"/>
    </row>
    <row r="113" spans="1:22" ht="15.6" x14ac:dyDescent="0.3">
      <c r="A113" s="337">
        <f t="shared" si="0"/>
        <v>9</v>
      </c>
      <c r="B113" s="285" t="s">
        <v>131</v>
      </c>
      <c r="C113" s="285"/>
      <c r="D113" s="285"/>
      <c r="E113" s="285"/>
      <c r="F113" s="285"/>
      <c r="G113" s="285"/>
      <c r="H113" s="285"/>
      <c r="I113" s="285"/>
      <c r="J113" s="285"/>
      <c r="K113" s="285"/>
      <c r="L113" s="285"/>
      <c r="M113" s="285"/>
      <c r="N113" s="285"/>
      <c r="O113" s="285"/>
      <c r="P113" s="285"/>
      <c r="Q113" s="285"/>
      <c r="R113" s="285"/>
      <c r="S113" s="285"/>
      <c r="T113" s="339">
        <v>0</v>
      </c>
      <c r="U113" s="288"/>
      <c r="V113" s="5"/>
    </row>
    <row r="114" spans="1:22" ht="15.6" x14ac:dyDescent="0.3">
      <c r="A114" s="337">
        <f t="shared" si="0"/>
        <v>10</v>
      </c>
      <c r="B114" s="285" t="s">
        <v>36</v>
      </c>
      <c r="C114" s="285"/>
      <c r="D114" s="285"/>
      <c r="E114" s="285"/>
      <c r="F114" s="285"/>
      <c r="G114" s="285"/>
      <c r="H114" s="285"/>
      <c r="I114" s="285"/>
      <c r="J114" s="285"/>
      <c r="K114" s="285"/>
      <c r="L114" s="285"/>
      <c r="M114" s="285"/>
      <c r="N114" s="285"/>
      <c r="O114" s="285"/>
      <c r="P114" s="285"/>
      <c r="Q114" s="285"/>
      <c r="R114" s="285"/>
      <c r="S114" s="285"/>
      <c r="T114" s="339">
        <v>0</v>
      </c>
      <c r="U114" s="288"/>
      <c r="V114" s="5"/>
    </row>
    <row r="115" spans="1:22" ht="15.6" x14ac:dyDescent="0.3">
      <c r="A115" s="337">
        <f t="shared" si="0"/>
        <v>11</v>
      </c>
      <c r="B115" s="285" t="s">
        <v>37</v>
      </c>
      <c r="C115" s="285"/>
      <c r="D115" s="285"/>
      <c r="E115" s="285"/>
      <c r="F115" s="285"/>
      <c r="G115" s="285"/>
      <c r="H115" s="285"/>
      <c r="I115" s="285"/>
      <c r="J115" s="285"/>
      <c r="K115" s="285"/>
      <c r="L115" s="285"/>
      <c r="M115" s="285"/>
      <c r="N115" s="285"/>
      <c r="O115" s="285"/>
      <c r="P115" s="285"/>
      <c r="Q115" s="285"/>
      <c r="R115" s="285"/>
      <c r="S115" s="285"/>
      <c r="T115" s="339">
        <v>0</v>
      </c>
      <c r="U115" s="288"/>
      <c r="V115" s="5"/>
    </row>
    <row r="116" spans="1:22" ht="15.6" x14ac:dyDescent="0.3">
      <c r="A116" s="337">
        <f t="shared" si="0"/>
        <v>12</v>
      </c>
      <c r="B116" s="285" t="s">
        <v>155</v>
      </c>
      <c r="C116" s="285"/>
      <c r="D116" s="285"/>
      <c r="E116" s="285"/>
      <c r="F116" s="285"/>
      <c r="G116" s="285"/>
      <c r="H116" s="285"/>
      <c r="I116" s="285"/>
      <c r="J116" s="285"/>
      <c r="K116" s="285"/>
      <c r="L116" s="285"/>
      <c r="M116" s="285"/>
      <c r="N116" s="285"/>
      <c r="O116" s="285"/>
      <c r="P116" s="285"/>
      <c r="Q116" s="285"/>
      <c r="R116" s="285"/>
      <c r="S116" s="285"/>
      <c r="T116" s="339">
        <v>-219</v>
      </c>
      <c r="U116" s="288"/>
      <c r="V116" s="5"/>
    </row>
    <row r="117" spans="1:22" ht="15.6" x14ac:dyDescent="0.3">
      <c r="A117" s="337">
        <f t="shared" si="0"/>
        <v>13</v>
      </c>
      <c r="B117" s="285" t="s">
        <v>132</v>
      </c>
      <c r="C117" s="285"/>
      <c r="D117" s="285"/>
      <c r="E117" s="285"/>
      <c r="F117" s="285"/>
      <c r="G117" s="285"/>
      <c r="H117" s="285"/>
      <c r="I117" s="285"/>
      <c r="J117" s="285"/>
      <c r="K117" s="285"/>
      <c r="L117" s="285"/>
      <c r="M117" s="285"/>
      <c r="N117" s="285"/>
      <c r="O117" s="285"/>
      <c r="P117" s="285"/>
      <c r="Q117" s="285"/>
      <c r="R117" s="285"/>
      <c r="S117" s="285"/>
      <c r="T117" s="339">
        <f>-T100-SUM(T102:T116)</f>
        <v>-1777</v>
      </c>
      <c r="U117" s="288"/>
      <c r="V117" s="5"/>
    </row>
    <row r="118" spans="1:22" ht="15.6" x14ac:dyDescent="0.3">
      <c r="A118" s="284"/>
      <c r="B118" s="343" t="s">
        <v>38</v>
      </c>
      <c r="C118" s="311"/>
      <c r="D118" s="311"/>
      <c r="E118" s="311"/>
      <c r="F118" s="311"/>
      <c r="G118" s="311"/>
      <c r="H118" s="311"/>
      <c r="I118" s="311"/>
      <c r="J118" s="311"/>
      <c r="K118" s="311"/>
      <c r="L118" s="311"/>
      <c r="M118" s="311"/>
      <c r="N118" s="311"/>
      <c r="O118" s="311"/>
      <c r="P118" s="311"/>
      <c r="Q118" s="311"/>
      <c r="R118" s="311"/>
      <c r="S118" s="311"/>
      <c r="T118" s="346"/>
      <c r="U118" s="317"/>
      <c r="V118" s="5"/>
    </row>
    <row r="119" spans="1:22" ht="15.6" x14ac:dyDescent="0.3">
      <c r="A119" s="337"/>
      <c r="B119" s="285" t="s">
        <v>180</v>
      </c>
      <c r="C119" s="285"/>
      <c r="D119" s="285"/>
      <c r="E119" s="285"/>
      <c r="F119" s="285"/>
      <c r="G119" s="285"/>
      <c r="H119" s="285"/>
      <c r="I119" s="285"/>
      <c r="J119" s="285"/>
      <c r="K119" s="285"/>
      <c r="L119" s="285"/>
      <c r="M119" s="285"/>
      <c r="N119" s="285"/>
      <c r="O119" s="285"/>
      <c r="P119" s="285"/>
      <c r="Q119" s="285"/>
      <c r="R119" s="338">
        <f>-R177</f>
        <v>0</v>
      </c>
      <c r="S119" s="338"/>
      <c r="T119" s="339"/>
      <c r="U119" s="288"/>
      <c r="V119" s="5"/>
    </row>
    <row r="120" spans="1:22" ht="15.6" x14ac:dyDescent="0.3">
      <c r="A120" s="337"/>
      <c r="B120" s="285" t="s">
        <v>181</v>
      </c>
      <c r="C120" s="285"/>
      <c r="D120" s="285"/>
      <c r="E120" s="285"/>
      <c r="F120" s="285"/>
      <c r="G120" s="285"/>
      <c r="H120" s="285"/>
      <c r="I120" s="285"/>
      <c r="J120" s="285"/>
      <c r="K120" s="285"/>
      <c r="L120" s="285"/>
      <c r="M120" s="285"/>
      <c r="N120" s="285"/>
      <c r="O120" s="285"/>
      <c r="P120" s="285"/>
      <c r="Q120" s="285"/>
      <c r="R120" s="338">
        <v>-38</v>
      </c>
      <c r="S120" s="338"/>
      <c r="T120" s="339"/>
      <c r="U120" s="288"/>
      <c r="V120" s="5"/>
    </row>
    <row r="121" spans="1:22" ht="15.6" x14ac:dyDescent="0.3">
      <c r="A121" s="337"/>
      <c r="B121" s="285" t="s">
        <v>39</v>
      </c>
      <c r="C121" s="285"/>
      <c r="D121" s="285"/>
      <c r="E121" s="285"/>
      <c r="F121" s="285"/>
      <c r="G121" s="285"/>
      <c r="H121" s="285"/>
      <c r="I121" s="285"/>
      <c r="J121" s="285"/>
      <c r="K121" s="285"/>
      <c r="L121" s="285"/>
      <c r="M121" s="285"/>
      <c r="N121" s="285"/>
      <c r="O121" s="285"/>
      <c r="P121" s="285"/>
      <c r="Q121" s="285"/>
      <c r="R121" s="338">
        <f>-Q177</f>
        <v>-97</v>
      </c>
      <c r="S121" s="338"/>
      <c r="T121" s="339"/>
      <c r="U121" s="288"/>
      <c r="V121" s="5"/>
    </row>
    <row r="122" spans="1:22" ht="15.6" x14ac:dyDescent="0.3">
      <c r="A122" s="337"/>
      <c r="B122" s="285" t="s">
        <v>205</v>
      </c>
      <c r="C122" s="285"/>
      <c r="D122" s="285"/>
      <c r="E122" s="285"/>
      <c r="F122" s="285"/>
      <c r="G122" s="285"/>
      <c r="H122" s="285"/>
      <c r="I122" s="285"/>
      <c r="J122" s="285"/>
      <c r="K122" s="285"/>
      <c r="L122" s="285"/>
      <c r="M122" s="285"/>
      <c r="N122" s="285"/>
      <c r="O122" s="285"/>
      <c r="P122" s="285"/>
      <c r="Q122" s="285"/>
      <c r="R122" s="338">
        <v>-2430</v>
      </c>
      <c r="S122" s="338"/>
      <c r="T122" s="339"/>
      <c r="U122" s="288"/>
      <c r="V122" s="5"/>
    </row>
    <row r="123" spans="1:22" ht="15.6" x14ac:dyDescent="0.3">
      <c r="A123" s="337"/>
      <c r="B123" s="285" t="s">
        <v>203</v>
      </c>
      <c r="C123" s="285"/>
      <c r="D123" s="285"/>
      <c r="E123" s="285"/>
      <c r="F123" s="285"/>
      <c r="G123" s="285"/>
      <c r="H123" s="285"/>
      <c r="I123" s="285"/>
      <c r="J123" s="285"/>
      <c r="K123" s="285"/>
      <c r="L123" s="285"/>
      <c r="M123" s="285"/>
      <c r="N123" s="285"/>
      <c r="O123" s="285"/>
      <c r="P123" s="285"/>
      <c r="Q123" s="285"/>
      <c r="R123" s="338">
        <v>-640</v>
      </c>
      <c r="S123" s="338"/>
      <c r="T123" s="339"/>
      <c r="U123" s="288"/>
      <c r="V123" s="5"/>
    </row>
    <row r="124" spans="1:22" ht="15.6" x14ac:dyDescent="0.3">
      <c r="A124" s="337"/>
      <c r="B124" s="285" t="s">
        <v>202</v>
      </c>
      <c r="C124" s="285"/>
      <c r="D124" s="285"/>
      <c r="E124" s="285"/>
      <c r="F124" s="285"/>
      <c r="G124" s="285"/>
      <c r="H124" s="285"/>
      <c r="I124" s="285"/>
      <c r="J124" s="285"/>
      <c r="K124" s="285"/>
      <c r="L124" s="285"/>
      <c r="M124" s="285"/>
      <c r="N124" s="285"/>
      <c r="O124" s="285"/>
      <c r="P124" s="285"/>
      <c r="Q124" s="285"/>
      <c r="R124" s="338">
        <v>-646</v>
      </c>
      <c r="S124" s="338"/>
      <c r="T124" s="339"/>
      <c r="U124" s="288"/>
      <c r="V124" s="5"/>
    </row>
    <row r="125" spans="1:22" ht="15.6" x14ac:dyDescent="0.3">
      <c r="A125" s="337"/>
      <c r="B125" s="285" t="s">
        <v>197</v>
      </c>
      <c r="C125" s="285"/>
      <c r="D125" s="285"/>
      <c r="E125" s="285"/>
      <c r="F125" s="285"/>
      <c r="G125" s="285"/>
      <c r="H125" s="285"/>
      <c r="I125" s="285"/>
      <c r="J125" s="285"/>
      <c r="K125" s="285"/>
      <c r="L125" s="285"/>
      <c r="M125" s="285"/>
      <c r="N125" s="285"/>
      <c r="O125" s="285"/>
      <c r="P125" s="285"/>
      <c r="Q125" s="285"/>
      <c r="R125" s="338">
        <v>0</v>
      </c>
      <c r="S125" s="338"/>
      <c r="T125" s="339"/>
      <c r="U125" s="288"/>
      <c r="V125" s="5"/>
    </row>
    <row r="126" spans="1:22" ht="15.6" x14ac:dyDescent="0.3">
      <c r="A126" s="337"/>
      <c r="B126" s="285" t="s">
        <v>196</v>
      </c>
      <c r="C126" s="285"/>
      <c r="D126" s="285"/>
      <c r="E126" s="285"/>
      <c r="F126" s="285"/>
      <c r="G126" s="285"/>
      <c r="H126" s="285"/>
      <c r="I126" s="285"/>
      <c r="J126" s="285"/>
      <c r="K126" s="285"/>
      <c r="L126" s="285"/>
      <c r="M126" s="285"/>
      <c r="N126" s="285"/>
      <c r="O126" s="285"/>
      <c r="P126" s="285"/>
      <c r="Q126" s="285"/>
      <c r="R126" s="338">
        <v>0</v>
      </c>
      <c r="S126" s="338"/>
      <c r="T126" s="339"/>
      <c r="U126" s="288"/>
      <c r="V126" s="5"/>
    </row>
    <row r="127" spans="1:22" ht="15.6" x14ac:dyDescent="0.3">
      <c r="A127" s="337"/>
      <c r="B127" s="285" t="s">
        <v>195</v>
      </c>
      <c r="C127" s="285"/>
      <c r="D127" s="285"/>
      <c r="E127" s="285"/>
      <c r="F127" s="285"/>
      <c r="G127" s="285"/>
      <c r="H127" s="285"/>
      <c r="I127" s="285"/>
      <c r="J127" s="285"/>
      <c r="K127" s="285"/>
      <c r="L127" s="285"/>
      <c r="M127" s="285"/>
      <c r="N127" s="285"/>
      <c r="O127" s="285"/>
      <c r="P127" s="285"/>
      <c r="Q127" s="285"/>
      <c r="R127" s="338">
        <v>0</v>
      </c>
      <c r="S127" s="338"/>
      <c r="T127" s="339"/>
      <c r="U127" s="288"/>
      <c r="V127" s="5"/>
    </row>
    <row r="128" spans="1:22" ht="15.6" x14ac:dyDescent="0.3">
      <c r="A128" s="337"/>
      <c r="B128" s="285" t="s">
        <v>40</v>
      </c>
      <c r="C128" s="285"/>
      <c r="D128" s="285"/>
      <c r="E128" s="285"/>
      <c r="F128" s="285"/>
      <c r="G128" s="285"/>
      <c r="H128" s="285"/>
      <c r="I128" s="285"/>
      <c r="J128" s="285"/>
      <c r="K128" s="285"/>
      <c r="L128" s="285"/>
      <c r="M128" s="285"/>
      <c r="N128" s="285"/>
      <c r="O128" s="285"/>
      <c r="P128" s="285"/>
      <c r="Q128" s="285"/>
      <c r="R128" s="338">
        <f>SUM(R119:R127)</f>
        <v>-3851</v>
      </c>
      <c r="S128" s="338"/>
      <c r="T128" s="338">
        <f>SUM(T101:T126)</f>
        <v>-4145</v>
      </c>
      <c r="U128" s="288"/>
      <c r="V128" s="5"/>
    </row>
    <row r="129" spans="1:23" ht="15.6" x14ac:dyDescent="0.3">
      <c r="A129" s="337"/>
      <c r="B129" s="285" t="s">
        <v>41</v>
      </c>
      <c r="C129" s="285"/>
      <c r="D129" s="285"/>
      <c r="E129" s="285"/>
      <c r="F129" s="285"/>
      <c r="G129" s="285"/>
      <c r="H129" s="285"/>
      <c r="I129" s="285"/>
      <c r="J129" s="285"/>
      <c r="K129" s="285"/>
      <c r="L129" s="285"/>
      <c r="M129" s="285"/>
      <c r="N129" s="285"/>
      <c r="O129" s="285"/>
      <c r="P129" s="285"/>
      <c r="Q129" s="285"/>
      <c r="R129" s="338">
        <f>R100+R128+R112</f>
        <v>0</v>
      </c>
      <c r="S129" s="338"/>
      <c r="T129" s="338">
        <f>T100+T128</f>
        <v>0</v>
      </c>
      <c r="U129" s="288"/>
      <c r="V129" s="5"/>
    </row>
    <row r="130" spans="1:23" ht="15.6" x14ac:dyDescent="0.3">
      <c r="A130" s="256"/>
      <c r="B130" s="281"/>
      <c r="C130" s="281"/>
      <c r="D130" s="281"/>
      <c r="E130" s="281"/>
      <c r="F130" s="281"/>
      <c r="G130" s="281"/>
      <c r="H130" s="281"/>
      <c r="I130" s="281"/>
      <c r="J130" s="281"/>
      <c r="K130" s="281"/>
      <c r="L130" s="281"/>
      <c r="M130" s="281"/>
      <c r="N130" s="281"/>
      <c r="O130" s="281"/>
      <c r="P130" s="281"/>
      <c r="Q130" s="281"/>
      <c r="R130" s="340"/>
      <c r="S130" s="340"/>
      <c r="T130" s="340"/>
      <c r="U130" s="281"/>
      <c r="V130" s="5"/>
    </row>
    <row r="131" spans="1:23" ht="15.6" x14ac:dyDescent="0.3">
      <c r="A131" s="256"/>
      <c r="B131" s="231"/>
      <c r="C131" s="231"/>
      <c r="D131" s="231"/>
      <c r="E131" s="231"/>
      <c r="F131" s="231"/>
      <c r="G131" s="231"/>
      <c r="H131" s="231"/>
      <c r="I131" s="231"/>
      <c r="J131" s="231"/>
      <c r="K131" s="231"/>
      <c r="L131" s="231"/>
      <c r="M131" s="231"/>
      <c r="N131" s="231"/>
      <c r="O131" s="231"/>
      <c r="P131" s="231"/>
      <c r="Q131" s="231"/>
      <c r="R131" s="231"/>
      <c r="S131" s="231"/>
      <c r="T131" s="257"/>
      <c r="U131" s="231"/>
      <c r="V131" s="5"/>
    </row>
    <row r="132" spans="1:23" ht="18" thickBot="1" x14ac:dyDescent="0.35">
      <c r="A132" s="258"/>
      <c r="B132" s="246" t="str">
        <f>B64</f>
        <v>PM11 INVESTOR REPORT QUARTER ENDING SEPTEMBER 2011</v>
      </c>
      <c r="C132" s="247"/>
      <c r="D132" s="247"/>
      <c r="E132" s="247"/>
      <c r="F132" s="247"/>
      <c r="G132" s="247"/>
      <c r="H132" s="247"/>
      <c r="I132" s="247"/>
      <c r="J132" s="247"/>
      <c r="K132" s="247"/>
      <c r="L132" s="247"/>
      <c r="M132" s="247"/>
      <c r="N132" s="247"/>
      <c r="O132" s="247"/>
      <c r="P132" s="247"/>
      <c r="Q132" s="247"/>
      <c r="R132" s="247"/>
      <c r="S132" s="247"/>
      <c r="T132" s="259"/>
      <c r="U132" s="249"/>
      <c r="V132" s="5"/>
    </row>
    <row r="133" spans="1:23" ht="15.6" x14ac:dyDescent="0.3">
      <c r="A133" s="260"/>
      <c r="B133" s="399" t="s">
        <v>42</v>
      </c>
      <c r="C133" s="261"/>
      <c r="D133" s="261"/>
      <c r="E133" s="261"/>
      <c r="F133" s="261"/>
      <c r="G133" s="261"/>
      <c r="H133" s="261"/>
      <c r="I133" s="261"/>
      <c r="J133" s="261"/>
      <c r="K133" s="261"/>
      <c r="L133" s="261"/>
      <c r="M133" s="261"/>
      <c r="N133" s="261"/>
      <c r="O133" s="261"/>
      <c r="P133" s="261"/>
      <c r="Q133" s="261"/>
      <c r="R133" s="261"/>
      <c r="S133" s="261"/>
      <c r="T133" s="262"/>
      <c r="U133" s="261"/>
      <c r="V133" s="5"/>
    </row>
    <row r="134" spans="1:23" ht="15.6" x14ac:dyDescent="0.3">
      <c r="A134" s="175"/>
      <c r="B134" s="187"/>
      <c r="C134" s="177"/>
      <c r="D134" s="177"/>
      <c r="E134" s="177"/>
      <c r="F134" s="177"/>
      <c r="G134" s="177"/>
      <c r="H134" s="177"/>
      <c r="I134" s="177"/>
      <c r="J134" s="177"/>
      <c r="K134" s="177"/>
      <c r="L134" s="177"/>
      <c r="M134" s="177"/>
      <c r="N134" s="177"/>
      <c r="O134" s="177"/>
      <c r="P134" s="177"/>
      <c r="Q134" s="177"/>
      <c r="R134" s="177"/>
      <c r="S134" s="177"/>
      <c r="T134" s="194"/>
      <c r="U134" s="177"/>
      <c r="V134" s="5"/>
    </row>
    <row r="135" spans="1:23" ht="15.6" x14ac:dyDescent="0.3">
      <c r="A135" s="175"/>
      <c r="B135" s="201" t="s">
        <v>43</v>
      </c>
      <c r="C135" s="177"/>
      <c r="D135" s="177"/>
      <c r="E135" s="177"/>
      <c r="F135" s="177"/>
      <c r="G135" s="177"/>
      <c r="H135" s="177"/>
      <c r="I135" s="177"/>
      <c r="J135" s="177"/>
      <c r="K135" s="177"/>
      <c r="L135" s="177"/>
      <c r="M135" s="177"/>
      <c r="N135" s="177"/>
      <c r="O135" s="177"/>
      <c r="P135" s="177"/>
      <c r="Q135" s="177"/>
      <c r="R135" s="177"/>
      <c r="S135" s="177"/>
      <c r="T135" s="194"/>
      <c r="U135" s="177"/>
      <c r="V135" s="5"/>
    </row>
    <row r="136" spans="1:23" ht="15.6" x14ac:dyDescent="0.3">
      <c r="A136" s="284"/>
      <c r="B136" s="285" t="s">
        <v>44</v>
      </c>
      <c r="C136" s="285"/>
      <c r="D136" s="285"/>
      <c r="E136" s="285"/>
      <c r="F136" s="285"/>
      <c r="G136" s="285"/>
      <c r="H136" s="285"/>
      <c r="I136" s="285"/>
      <c r="J136" s="285"/>
      <c r="K136" s="285"/>
      <c r="L136" s="285"/>
      <c r="M136" s="285"/>
      <c r="N136" s="285"/>
      <c r="O136" s="285"/>
      <c r="P136" s="285"/>
      <c r="Q136" s="285"/>
      <c r="R136" s="285"/>
      <c r="S136" s="285"/>
      <c r="T136" s="339">
        <f>+T34*0.019</f>
        <v>19000.95</v>
      </c>
      <c r="U136" s="288"/>
      <c r="V136" s="5"/>
    </row>
    <row r="137" spans="1:23" ht="15.6" x14ac:dyDescent="0.3">
      <c r="A137" s="284"/>
      <c r="B137" s="285" t="s">
        <v>45</v>
      </c>
      <c r="C137" s="285"/>
      <c r="D137" s="285"/>
      <c r="E137" s="285"/>
      <c r="F137" s="285"/>
      <c r="G137" s="285"/>
      <c r="H137" s="285"/>
      <c r="I137" s="285"/>
      <c r="J137" s="285"/>
      <c r="K137" s="285"/>
      <c r="L137" s="285"/>
      <c r="M137" s="285"/>
      <c r="N137" s="285"/>
      <c r="O137" s="285"/>
      <c r="P137" s="285"/>
      <c r="Q137" s="285"/>
      <c r="R137" s="285"/>
      <c r="S137" s="285"/>
      <c r="T137" s="339">
        <v>19001</v>
      </c>
      <c r="U137" s="288"/>
      <c r="V137" s="5"/>
    </row>
    <row r="138" spans="1:23" ht="15.6" x14ac:dyDescent="0.3">
      <c r="A138" s="284"/>
      <c r="B138" s="285" t="s">
        <v>142</v>
      </c>
      <c r="C138" s="285"/>
      <c r="D138" s="285"/>
      <c r="E138" s="285"/>
      <c r="F138" s="285"/>
      <c r="G138" s="285"/>
      <c r="H138" s="285"/>
      <c r="I138" s="285"/>
      <c r="J138" s="285"/>
      <c r="K138" s="285"/>
      <c r="L138" s="285"/>
      <c r="M138" s="285"/>
      <c r="N138" s="285"/>
      <c r="O138" s="285"/>
      <c r="P138" s="285"/>
      <c r="Q138" s="285"/>
      <c r="R138" s="285"/>
      <c r="S138" s="285"/>
      <c r="T138" s="339">
        <v>0</v>
      </c>
      <c r="U138" s="288"/>
      <c r="V138" s="5"/>
    </row>
    <row r="139" spans="1:23" ht="15.6" x14ac:dyDescent="0.3">
      <c r="A139" s="284"/>
      <c r="B139" s="285" t="s">
        <v>129</v>
      </c>
      <c r="C139" s="285"/>
      <c r="D139" s="285"/>
      <c r="E139" s="285"/>
      <c r="F139" s="285"/>
      <c r="G139" s="285"/>
      <c r="H139" s="285"/>
      <c r="I139" s="285"/>
      <c r="J139" s="285"/>
      <c r="K139" s="285"/>
      <c r="L139" s="285"/>
      <c r="M139" s="285"/>
      <c r="N139" s="285"/>
      <c r="O139" s="285"/>
      <c r="P139" s="285"/>
      <c r="Q139" s="285"/>
      <c r="R139" s="285"/>
      <c r="S139" s="285"/>
      <c r="T139" s="339">
        <v>0</v>
      </c>
      <c r="U139" s="288"/>
      <c r="V139" s="5"/>
    </row>
    <row r="140" spans="1:23" ht="15.6" x14ac:dyDescent="0.3">
      <c r="A140" s="284"/>
      <c r="B140" s="285" t="s">
        <v>130</v>
      </c>
      <c r="C140" s="285"/>
      <c r="D140" s="285"/>
      <c r="E140" s="285"/>
      <c r="F140" s="285"/>
      <c r="G140" s="285"/>
      <c r="H140" s="285"/>
      <c r="I140" s="285"/>
      <c r="J140" s="285"/>
      <c r="K140" s="285"/>
      <c r="L140" s="285"/>
      <c r="M140" s="285"/>
      <c r="N140" s="285"/>
      <c r="O140" s="285"/>
      <c r="P140" s="285"/>
      <c r="Q140" s="285"/>
      <c r="R140" s="285"/>
      <c r="S140" s="285"/>
      <c r="T140" s="339">
        <v>0</v>
      </c>
      <c r="U140" s="288"/>
      <c r="V140" s="5"/>
    </row>
    <row r="141" spans="1:23" ht="15.6" x14ac:dyDescent="0.3">
      <c r="A141" s="284"/>
      <c r="B141" s="285" t="s">
        <v>182</v>
      </c>
      <c r="C141" s="285"/>
      <c r="D141" s="285"/>
      <c r="E141" s="285"/>
      <c r="F141" s="285"/>
      <c r="G141" s="285"/>
      <c r="H141" s="285"/>
      <c r="I141" s="285"/>
      <c r="J141" s="285"/>
      <c r="K141" s="285"/>
      <c r="L141" s="285"/>
      <c r="M141" s="285"/>
      <c r="N141" s="285"/>
      <c r="O141" s="285"/>
      <c r="P141" s="285"/>
      <c r="Q141" s="285"/>
      <c r="R141" s="285"/>
      <c r="S141" s="285"/>
      <c r="T141" s="339">
        <v>0</v>
      </c>
      <c r="U141" s="288"/>
      <c r="V141" s="5"/>
    </row>
    <row r="142" spans="1:23" ht="15.6" x14ac:dyDescent="0.3">
      <c r="A142" s="284"/>
      <c r="B142" s="285" t="s">
        <v>46</v>
      </c>
      <c r="C142" s="285"/>
      <c r="D142" s="285"/>
      <c r="E142" s="285"/>
      <c r="F142" s="285"/>
      <c r="G142" s="285"/>
      <c r="H142" s="285"/>
      <c r="I142" s="285"/>
      <c r="J142" s="285"/>
      <c r="K142" s="285"/>
      <c r="L142" s="285"/>
      <c r="M142" s="285"/>
      <c r="N142" s="285"/>
      <c r="O142" s="285"/>
      <c r="P142" s="285"/>
      <c r="Q142" s="285"/>
      <c r="R142" s="285"/>
      <c r="S142" s="285"/>
      <c r="T142" s="339">
        <v>0</v>
      </c>
      <c r="U142" s="288"/>
      <c r="V142" s="5"/>
    </row>
    <row r="143" spans="1:23" ht="15.6" x14ac:dyDescent="0.3">
      <c r="A143" s="284"/>
      <c r="B143" s="285" t="s">
        <v>135</v>
      </c>
      <c r="C143" s="285"/>
      <c r="D143" s="285"/>
      <c r="E143" s="285"/>
      <c r="F143" s="285"/>
      <c r="G143" s="285"/>
      <c r="H143" s="285"/>
      <c r="I143" s="285"/>
      <c r="J143" s="285"/>
      <c r="K143" s="285"/>
      <c r="L143" s="285"/>
      <c r="M143" s="285"/>
      <c r="N143" s="285"/>
      <c r="O143" s="285"/>
      <c r="P143" s="285"/>
      <c r="Q143" s="285"/>
      <c r="R143" s="285"/>
      <c r="S143" s="285"/>
      <c r="T143" s="339">
        <v>0</v>
      </c>
      <c r="U143" s="288"/>
      <c r="V143" s="5"/>
    </row>
    <row r="144" spans="1:23" ht="15.6" x14ac:dyDescent="0.3">
      <c r="A144" s="284"/>
      <c r="B144" s="285" t="s">
        <v>251</v>
      </c>
      <c r="C144" s="285"/>
      <c r="D144" s="285"/>
      <c r="E144" s="285"/>
      <c r="F144" s="285"/>
      <c r="G144" s="285"/>
      <c r="H144" s="285"/>
      <c r="I144" s="285"/>
      <c r="J144" s="285"/>
      <c r="K144" s="285"/>
      <c r="L144" s="285"/>
      <c r="M144" s="285"/>
      <c r="N144" s="285"/>
      <c r="O144" s="285"/>
      <c r="P144" s="285"/>
      <c r="Q144" s="285"/>
      <c r="R144" s="285"/>
      <c r="S144" s="285"/>
      <c r="T144" s="339">
        <v>0</v>
      </c>
      <c r="U144" s="288"/>
      <c r="V144" s="5"/>
      <c r="W144" s="109"/>
    </row>
    <row r="145" spans="1:22" ht="15.6" x14ac:dyDescent="0.3">
      <c r="A145" s="284"/>
      <c r="B145" s="285" t="s">
        <v>47</v>
      </c>
      <c r="C145" s="285"/>
      <c r="D145" s="285"/>
      <c r="E145" s="285"/>
      <c r="F145" s="285"/>
      <c r="G145" s="285"/>
      <c r="H145" s="285"/>
      <c r="I145" s="285"/>
      <c r="J145" s="285"/>
      <c r="K145" s="285"/>
      <c r="L145" s="285"/>
      <c r="M145" s="285"/>
      <c r="N145" s="285"/>
      <c r="O145" s="285"/>
      <c r="P145" s="285"/>
      <c r="Q145" s="285"/>
      <c r="R145" s="285"/>
      <c r="S145" s="285"/>
      <c r="T145" s="339">
        <f>SUM(T137:T144)</f>
        <v>19001</v>
      </c>
      <c r="U145" s="288"/>
      <c r="V145" s="5"/>
    </row>
    <row r="146" spans="1:22" ht="15.6" x14ac:dyDescent="0.3">
      <c r="A146" s="284"/>
      <c r="B146" s="311"/>
      <c r="C146" s="311"/>
      <c r="D146" s="311"/>
      <c r="E146" s="311"/>
      <c r="F146" s="311"/>
      <c r="G146" s="311"/>
      <c r="H146" s="311"/>
      <c r="I146" s="311"/>
      <c r="J146" s="311"/>
      <c r="K146" s="311"/>
      <c r="L146" s="311"/>
      <c r="M146" s="311"/>
      <c r="N146" s="311"/>
      <c r="O146" s="311"/>
      <c r="P146" s="311"/>
      <c r="Q146" s="311"/>
      <c r="R146" s="311"/>
      <c r="S146" s="311"/>
      <c r="T146" s="345"/>
      <c r="U146" s="317"/>
      <c r="V146" s="5"/>
    </row>
    <row r="147" spans="1:22" ht="15.6" x14ac:dyDescent="0.3">
      <c r="A147" s="284"/>
      <c r="B147" s="343" t="s">
        <v>262</v>
      </c>
      <c r="C147" s="311"/>
      <c r="D147" s="311"/>
      <c r="E147" s="311"/>
      <c r="F147" s="311"/>
      <c r="G147" s="311"/>
      <c r="H147" s="311"/>
      <c r="I147" s="311"/>
      <c r="J147" s="311"/>
      <c r="K147" s="311"/>
      <c r="L147" s="311"/>
      <c r="M147" s="311"/>
      <c r="N147" s="311"/>
      <c r="O147" s="311"/>
      <c r="P147" s="311"/>
      <c r="Q147" s="311"/>
      <c r="R147" s="311"/>
      <c r="S147" s="311"/>
      <c r="T147" s="345"/>
      <c r="U147" s="317"/>
      <c r="V147" s="5"/>
    </row>
    <row r="148" spans="1:22" ht="15.6" x14ac:dyDescent="0.3">
      <c r="A148" s="284"/>
      <c r="B148" s="285" t="s">
        <v>263</v>
      </c>
      <c r="C148" s="285"/>
      <c r="D148" s="285"/>
      <c r="E148" s="285"/>
      <c r="F148" s="285"/>
      <c r="G148" s="285"/>
      <c r="H148" s="285"/>
      <c r="I148" s="285"/>
      <c r="J148" s="285"/>
      <c r="K148" s="285"/>
      <c r="L148" s="285"/>
      <c r="M148" s="285"/>
      <c r="N148" s="285"/>
      <c r="O148" s="285"/>
      <c r="P148" s="285"/>
      <c r="Q148" s="285"/>
      <c r="R148" s="285"/>
      <c r="S148" s="285"/>
      <c r="T148" s="339">
        <v>0</v>
      </c>
      <c r="U148" s="288"/>
      <c r="V148" s="5"/>
    </row>
    <row r="149" spans="1:22" ht="15.6" x14ac:dyDescent="0.3">
      <c r="A149" s="284"/>
      <c r="B149" s="285" t="s">
        <v>179</v>
      </c>
      <c r="C149" s="285"/>
      <c r="D149" s="285"/>
      <c r="E149" s="285"/>
      <c r="F149" s="285"/>
      <c r="G149" s="285"/>
      <c r="H149" s="285"/>
      <c r="I149" s="285"/>
      <c r="J149" s="285"/>
      <c r="K149" s="285"/>
      <c r="L149" s="285"/>
      <c r="M149" s="285"/>
      <c r="N149" s="285"/>
      <c r="O149" s="285"/>
      <c r="P149" s="285"/>
      <c r="Q149" s="285"/>
      <c r="R149" s="285"/>
      <c r="S149" s="285"/>
      <c r="T149" s="339">
        <v>0</v>
      </c>
      <c r="U149" s="288"/>
      <c r="V149" s="5"/>
    </row>
    <row r="150" spans="1:22" ht="15.6" x14ac:dyDescent="0.3">
      <c r="A150" s="284"/>
      <c r="B150" s="285" t="s">
        <v>264</v>
      </c>
      <c r="C150" s="285"/>
      <c r="D150" s="285"/>
      <c r="E150" s="285"/>
      <c r="F150" s="285"/>
      <c r="G150" s="285"/>
      <c r="H150" s="285"/>
      <c r="I150" s="285"/>
      <c r="J150" s="285"/>
      <c r="K150" s="285"/>
      <c r="L150" s="285"/>
      <c r="M150" s="285"/>
      <c r="N150" s="285"/>
      <c r="O150" s="285"/>
      <c r="P150" s="285"/>
      <c r="Q150" s="285"/>
      <c r="R150" s="285"/>
      <c r="S150" s="285"/>
      <c r="T150" s="339">
        <v>0</v>
      </c>
      <c r="U150" s="288"/>
      <c r="V150" s="5"/>
    </row>
    <row r="151" spans="1:22" ht="15.6" x14ac:dyDescent="0.3">
      <c r="A151" s="284"/>
      <c r="B151" s="285"/>
      <c r="C151" s="285"/>
      <c r="D151" s="285"/>
      <c r="E151" s="285"/>
      <c r="F151" s="285"/>
      <c r="G151" s="285"/>
      <c r="H151" s="285"/>
      <c r="I151" s="285"/>
      <c r="J151" s="285"/>
      <c r="K151" s="285"/>
      <c r="L151" s="285"/>
      <c r="M151" s="285"/>
      <c r="N151" s="285"/>
      <c r="O151" s="285"/>
      <c r="P151" s="285"/>
      <c r="Q151" s="285"/>
      <c r="R151" s="285"/>
      <c r="S151" s="285"/>
      <c r="T151" s="339"/>
      <c r="U151" s="288"/>
      <c r="V151" s="5"/>
    </row>
    <row r="152" spans="1:22" ht="15.6" x14ac:dyDescent="0.3">
      <c r="A152" s="175"/>
      <c r="B152" s="334"/>
      <c r="C152" s="334"/>
      <c r="D152" s="334"/>
      <c r="E152" s="334"/>
      <c r="F152" s="334"/>
      <c r="G152" s="334"/>
      <c r="H152" s="334"/>
      <c r="I152" s="334"/>
      <c r="J152" s="334"/>
      <c r="K152" s="334"/>
      <c r="L152" s="334"/>
      <c r="M152" s="334"/>
      <c r="N152" s="334"/>
      <c r="O152" s="334"/>
      <c r="P152" s="334"/>
      <c r="Q152" s="334"/>
      <c r="R152" s="334"/>
      <c r="S152" s="334"/>
      <c r="T152" s="347"/>
      <c r="U152" s="334"/>
      <c r="V152" s="5"/>
    </row>
    <row r="153" spans="1:22" ht="15.6" x14ac:dyDescent="0.3">
      <c r="A153" s="175"/>
      <c r="B153" s="201" t="s">
        <v>24</v>
      </c>
      <c r="C153" s="177"/>
      <c r="D153" s="177"/>
      <c r="E153" s="177"/>
      <c r="F153" s="177"/>
      <c r="G153" s="177"/>
      <c r="H153" s="177"/>
      <c r="I153" s="177"/>
      <c r="J153" s="177"/>
      <c r="K153" s="177"/>
      <c r="L153" s="177"/>
      <c r="M153" s="177"/>
      <c r="N153" s="177"/>
      <c r="O153" s="177"/>
      <c r="P153" s="177"/>
      <c r="Q153" s="177"/>
      <c r="R153" s="177"/>
      <c r="S153" s="177"/>
      <c r="T153" s="194"/>
      <c r="U153" s="177"/>
      <c r="V153" s="5"/>
    </row>
    <row r="154" spans="1:22" ht="15.6" x14ac:dyDescent="0.3">
      <c r="A154" s="284"/>
      <c r="B154" s="285" t="s">
        <v>48</v>
      </c>
      <c r="C154" s="285"/>
      <c r="D154" s="285"/>
      <c r="E154" s="285"/>
      <c r="F154" s="285"/>
      <c r="G154" s="285"/>
      <c r="H154" s="285"/>
      <c r="I154" s="285"/>
      <c r="J154" s="285"/>
      <c r="K154" s="285"/>
      <c r="L154" s="285"/>
      <c r="M154" s="285"/>
      <c r="N154" s="285"/>
      <c r="O154" s="285"/>
      <c r="P154" s="285"/>
      <c r="Q154" s="285"/>
      <c r="R154" s="285"/>
      <c r="S154" s="285"/>
      <c r="T154" s="348" t="s">
        <v>124</v>
      </c>
      <c r="U154" s="288"/>
      <c r="V154" s="5"/>
    </row>
    <row r="155" spans="1:22" ht="15.6" x14ac:dyDescent="0.3">
      <c r="A155" s="284"/>
      <c r="B155" s="285" t="s">
        <v>49</v>
      </c>
      <c r="C155" s="287"/>
      <c r="D155" s="287"/>
      <c r="E155" s="287"/>
      <c r="F155" s="287"/>
      <c r="G155" s="287"/>
      <c r="H155" s="287"/>
      <c r="I155" s="287"/>
      <c r="J155" s="287"/>
      <c r="K155" s="287"/>
      <c r="L155" s="287"/>
      <c r="M155" s="287"/>
      <c r="N155" s="287"/>
      <c r="O155" s="287"/>
      <c r="P155" s="287"/>
      <c r="Q155" s="287"/>
      <c r="R155" s="287"/>
      <c r="S155" s="287"/>
      <c r="T155" s="348" t="s">
        <v>124</v>
      </c>
      <c r="U155" s="288"/>
      <c r="V155" s="5"/>
    </row>
    <row r="156" spans="1:22" ht="15.6" x14ac:dyDescent="0.3">
      <c r="A156" s="284"/>
      <c r="B156" s="285" t="s">
        <v>50</v>
      </c>
      <c r="C156" s="285"/>
      <c r="D156" s="285"/>
      <c r="E156" s="285"/>
      <c r="F156" s="285"/>
      <c r="G156" s="285"/>
      <c r="H156" s="285"/>
      <c r="I156" s="285"/>
      <c r="J156" s="285"/>
      <c r="K156" s="285"/>
      <c r="L156" s="285"/>
      <c r="M156" s="285"/>
      <c r="N156" s="285"/>
      <c r="O156" s="285"/>
      <c r="P156" s="285"/>
      <c r="Q156" s="285"/>
      <c r="R156" s="285"/>
      <c r="S156" s="285"/>
      <c r="T156" s="348" t="s">
        <v>124</v>
      </c>
      <c r="U156" s="288"/>
      <c r="V156" s="5"/>
    </row>
    <row r="157" spans="1:22" ht="15.6" x14ac:dyDescent="0.3">
      <c r="A157" s="284"/>
      <c r="B157" s="285" t="s">
        <v>51</v>
      </c>
      <c r="C157" s="285"/>
      <c r="D157" s="285"/>
      <c r="E157" s="285"/>
      <c r="F157" s="285"/>
      <c r="G157" s="285"/>
      <c r="H157" s="285"/>
      <c r="I157" s="285"/>
      <c r="J157" s="285"/>
      <c r="K157" s="285"/>
      <c r="L157" s="285"/>
      <c r="M157" s="285"/>
      <c r="N157" s="285"/>
      <c r="O157" s="285"/>
      <c r="P157" s="285"/>
      <c r="Q157" s="285"/>
      <c r="R157" s="285"/>
      <c r="S157" s="285"/>
      <c r="T157" s="348" t="s">
        <v>124</v>
      </c>
      <c r="U157" s="288"/>
      <c r="V157" s="5"/>
    </row>
    <row r="158" spans="1:22" ht="15.6" x14ac:dyDescent="0.3">
      <c r="A158" s="175"/>
      <c r="B158" s="334"/>
      <c r="C158" s="334"/>
      <c r="D158" s="334"/>
      <c r="E158" s="334"/>
      <c r="F158" s="334"/>
      <c r="G158" s="334"/>
      <c r="H158" s="334"/>
      <c r="I158" s="334"/>
      <c r="J158" s="334"/>
      <c r="K158" s="334"/>
      <c r="L158" s="334"/>
      <c r="M158" s="334"/>
      <c r="N158" s="334"/>
      <c r="O158" s="334"/>
      <c r="P158" s="334"/>
      <c r="Q158" s="334"/>
      <c r="R158" s="334"/>
      <c r="S158" s="334"/>
      <c r="T158" s="347"/>
      <c r="U158" s="334"/>
      <c r="V158" s="5"/>
    </row>
    <row r="159" spans="1:22" ht="15.6" x14ac:dyDescent="0.3">
      <c r="A159" s="175"/>
      <c r="B159" s="201" t="s">
        <v>52</v>
      </c>
      <c r="C159" s="177"/>
      <c r="D159" s="177"/>
      <c r="E159" s="177"/>
      <c r="F159" s="177"/>
      <c r="G159" s="177"/>
      <c r="H159" s="177"/>
      <c r="I159" s="177"/>
      <c r="J159" s="177"/>
      <c r="K159" s="177"/>
      <c r="L159" s="177"/>
      <c r="M159" s="177"/>
      <c r="N159" s="177"/>
      <c r="O159" s="177"/>
      <c r="P159" s="177"/>
      <c r="Q159" s="177"/>
      <c r="R159" s="177"/>
      <c r="S159" s="177"/>
      <c r="T159" s="202"/>
      <c r="U159" s="177"/>
      <c r="V159" s="5"/>
    </row>
    <row r="160" spans="1:22" ht="15.6" x14ac:dyDescent="0.3">
      <c r="A160" s="284"/>
      <c r="B160" s="285" t="s">
        <v>53</v>
      </c>
      <c r="C160" s="285"/>
      <c r="D160" s="285"/>
      <c r="E160" s="285"/>
      <c r="F160" s="285"/>
      <c r="G160" s="285"/>
      <c r="H160" s="285"/>
      <c r="I160" s="285"/>
      <c r="J160" s="285"/>
      <c r="K160" s="285"/>
      <c r="L160" s="285"/>
      <c r="M160" s="285"/>
      <c r="N160" s="285"/>
      <c r="O160" s="285"/>
      <c r="P160" s="285"/>
      <c r="Q160" s="285"/>
      <c r="R160" s="285"/>
      <c r="S160" s="285"/>
      <c r="T160" s="339">
        <v>0</v>
      </c>
      <c r="U160" s="288"/>
      <c r="V160" s="5"/>
    </row>
    <row r="161" spans="1:22" ht="15.6" x14ac:dyDescent="0.3">
      <c r="A161" s="284"/>
      <c r="B161" s="285" t="s">
        <v>54</v>
      </c>
      <c r="C161" s="285"/>
      <c r="D161" s="285"/>
      <c r="E161" s="285"/>
      <c r="F161" s="285"/>
      <c r="G161" s="285"/>
      <c r="H161" s="285"/>
      <c r="I161" s="285"/>
      <c r="J161" s="285"/>
      <c r="K161" s="285"/>
      <c r="L161" s="285"/>
      <c r="M161" s="285"/>
      <c r="N161" s="285"/>
      <c r="O161" s="285"/>
      <c r="P161" s="285"/>
      <c r="Q161" s="285"/>
      <c r="R161" s="285"/>
      <c r="S161" s="285"/>
      <c r="T161" s="339">
        <f>R112</f>
        <v>2</v>
      </c>
      <c r="U161" s="288"/>
      <c r="V161" s="5"/>
    </row>
    <row r="162" spans="1:22" ht="15.6" x14ac:dyDescent="0.3">
      <c r="A162" s="284"/>
      <c r="B162" s="285" t="s">
        <v>55</v>
      </c>
      <c r="C162" s="285"/>
      <c r="D162" s="285"/>
      <c r="E162" s="285"/>
      <c r="F162" s="285"/>
      <c r="G162" s="285"/>
      <c r="H162" s="285"/>
      <c r="I162" s="285"/>
      <c r="J162" s="285"/>
      <c r="K162" s="285"/>
      <c r="L162" s="285"/>
      <c r="M162" s="285"/>
      <c r="N162" s="285"/>
      <c r="O162" s="285"/>
      <c r="P162" s="285"/>
      <c r="Q162" s="285"/>
      <c r="R162" s="285"/>
      <c r="S162" s="285"/>
      <c r="T162" s="339">
        <f>T161+T160</f>
        <v>2</v>
      </c>
      <c r="U162" s="288"/>
      <c r="V162" s="5"/>
    </row>
    <row r="163" spans="1:22" ht="15.6" x14ac:dyDescent="0.3">
      <c r="A163" s="284"/>
      <c r="B163" s="285" t="s">
        <v>301</v>
      </c>
      <c r="C163" s="285"/>
      <c r="D163" s="285"/>
      <c r="E163" s="285"/>
      <c r="F163" s="285"/>
      <c r="G163" s="285"/>
      <c r="H163" s="285"/>
      <c r="I163" s="285"/>
      <c r="J163" s="285"/>
      <c r="K163" s="285"/>
      <c r="L163" s="285"/>
      <c r="M163" s="285"/>
      <c r="N163" s="285"/>
      <c r="O163" s="285"/>
      <c r="P163" s="285"/>
      <c r="Q163" s="285"/>
      <c r="R163" s="285"/>
      <c r="S163" s="285"/>
      <c r="T163" s="339">
        <f>T112</f>
        <v>-2</v>
      </c>
      <c r="U163" s="288"/>
      <c r="V163" s="5"/>
    </row>
    <row r="164" spans="1:22" ht="15.6" x14ac:dyDescent="0.3">
      <c r="A164" s="284"/>
      <c r="B164" s="285" t="s">
        <v>56</v>
      </c>
      <c r="C164" s="285"/>
      <c r="D164" s="285"/>
      <c r="E164" s="285"/>
      <c r="F164" s="285"/>
      <c r="G164" s="285"/>
      <c r="H164" s="285"/>
      <c r="I164" s="285"/>
      <c r="J164" s="285"/>
      <c r="K164" s="285"/>
      <c r="L164" s="285"/>
      <c r="M164" s="285"/>
      <c r="N164" s="285"/>
      <c r="O164" s="285"/>
      <c r="P164" s="285"/>
      <c r="Q164" s="285"/>
      <c r="R164" s="285"/>
      <c r="S164" s="285"/>
      <c r="T164" s="339">
        <f>T162+T163</f>
        <v>0</v>
      </c>
      <c r="U164" s="288"/>
      <c r="V164" s="5"/>
    </row>
    <row r="165" spans="1:22" ht="15.6" x14ac:dyDescent="0.3">
      <c r="A165" s="284"/>
      <c r="B165" s="285" t="s">
        <v>273</v>
      </c>
      <c r="C165" s="285"/>
      <c r="D165" s="285"/>
      <c r="E165" s="285"/>
      <c r="F165" s="285"/>
      <c r="G165" s="285"/>
      <c r="H165" s="285"/>
      <c r="I165" s="285"/>
      <c r="J165" s="285"/>
      <c r="K165" s="285"/>
      <c r="L165" s="285"/>
      <c r="M165" s="285"/>
      <c r="N165" s="285"/>
      <c r="O165" s="285"/>
      <c r="P165" s="285"/>
      <c r="Q165" s="285"/>
      <c r="R165" s="285"/>
      <c r="S165" s="285"/>
      <c r="T165" s="339">
        <f>-T99</f>
        <v>44</v>
      </c>
      <c r="U165" s="288"/>
      <c r="V165" s="5"/>
    </row>
    <row r="166" spans="1:22" ht="16.2" thickBot="1" x14ac:dyDescent="0.35">
      <c r="A166" s="175"/>
      <c r="B166" s="334"/>
      <c r="C166" s="334"/>
      <c r="D166" s="334"/>
      <c r="E166" s="334"/>
      <c r="F166" s="334"/>
      <c r="G166" s="334"/>
      <c r="H166" s="334"/>
      <c r="I166" s="334"/>
      <c r="J166" s="334"/>
      <c r="K166" s="334"/>
      <c r="L166" s="334"/>
      <c r="M166" s="334"/>
      <c r="N166" s="334"/>
      <c r="O166" s="334"/>
      <c r="P166" s="334"/>
      <c r="Q166" s="334"/>
      <c r="R166" s="334"/>
      <c r="S166" s="334"/>
      <c r="T166" s="347"/>
      <c r="U166" s="334"/>
      <c r="V166" s="5"/>
    </row>
    <row r="167" spans="1:22" ht="15.6" x14ac:dyDescent="0.3">
      <c r="A167" s="173"/>
      <c r="B167" s="174"/>
      <c r="C167" s="174"/>
      <c r="D167" s="174"/>
      <c r="E167" s="174"/>
      <c r="F167" s="174"/>
      <c r="G167" s="174"/>
      <c r="H167" s="174"/>
      <c r="I167" s="174"/>
      <c r="J167" s="174"/>
      <c r="K167" s="174"/>
      <c r="L167" s="174"/>
      <c r="M167" s="174"/>
      <c r="N167" s="174"/>
      <c r="O167" s="174"/>
      <c r="P167" s="174"/>
      <c r="Q167" s="174"/>
      <c r="R167" s="174"/>
      <c r="S167" s="174"/>
      <c r="T167" s="193"/>
      <c r="U167" s="174"/>
      <c r="V167" s="5"/>
    </row>
    <row r="168" spans="1:22" ht="15.6" x14ac:dyDescent="0.3">
      <c r="A168" s="175"/>
      <c r="B168" s="201" t="s">
        <v>57</v>
      </c>
      <c r="C168" s="177"/>
      <c r="D168" s="177"/>
      <c r="E168" s="177"/>
      <c r="F168" s="177"/>
      <c r="G168" s="177"/>
      <c r="H168" s="177"/>
      <c r="I168" s="177"/>
      <c r="J168" s="177"/>
      <c r="K168" s="177"/>
      <c r="L168" s="177"/>
      <c r="M168" s="177"/>
      <c r="N168" s="177"/>
      <c r="O168" s="177"/>
      <c r="P168" s="177"/>
      <c r="Q168" s="177"/>
      <c r="R168" s="177"/>
      <c r="S168" s="177"/>
      <c r="T168" s="194"/>
      <c r="U168" s="177"/>
      <c r="V168" s="5"/>
    </row>
    <row r="169" spans="1:22" ht="15.6" x14ac:dyDescent="0.3">
      <c r="A169" s="175"/>
      <c r="B169" s="187"/>
      <c r="C169" s="177"/>
      <c r="D169" s="177"/>
      <c r="E169" s="177"/>
      <c r="F169" s="177"/>
      <c r="G169" s="177"/>
      <c r="H169" s="177"/>
      <c r="I169" s="177"/>
      <c r="J169" s="177"/>
      <c r="K169" s="177"/>
      <c r="L169" s="177"/>
      <c r="M169" s="177"/>
      <c r="N169" s="177"/>
      <c r="O169" s="177"/>
      <c r="P169" s="177"/>
      <c r="Q169" s="177"/>
      <c r="R169" s="177"/>
      <c r="S169" s="177"/>
      <c r="T169" s="194"/>
      <c r="U169" s="177"/>
      <c r="V169" s="5"/>
    </row>
    <row r="170" spans="1:22" ht="15.6" x14ac:dyDescent="0.3">
      <c r="A170" s="284"/>
      <c r="B170" s="285" t="s">
        <v>58</v>
      </c>
      <c r="C170" s="285"/>
      <c r="D170" s="285"/>
      <c r="E170" s="285"/>
      <c r="F170" s="285"/>
      <c r="G170" s="285"/>
      <c r="H170" s="285"/>
      <c r="I170" s="285"/>
      <c r="J170" s="285"/>
      <c r="K170" s="285"/>
      <c r="L170" s="285"/>
      <c r="M170" s="285"/>
      <c r="N170" s="285"/>
      <c r="O170" s="285"/>
      <c r="P170" s="285"/>
      <c r="Q170" s="285"/>
      <c r="R170" s="285"/>
      <c r="S170" s="285"/>
      <c r="T170" s="339">
        <f>T71</f>
        <v>570611</v>
      </c>
      <c r="U170" s="288"/>
      <c r="V170" s="5"/>
    </row>
    <row r="171" spans="1:22" ht="15.6" x14ac:dyDescent="0.3">
      <c r="A171" s="284"/>
      <c r="B171" s="285" t="s">
        <v>59</v>
      </c>
      <c r="C171" s="285"/>
      <c r="D171" s="285"/>
      <c r="E171" s="285"/>
      <c r="F171" s="285"/>
      <c r="G171" s="285"/>
      <c r="H171" s="285"/>
      <c r="I171" s="285"/>
      <c r="J171" s="285"/>
      <c r="K171" s="285"/>
      <c r="L171" s="285"/>
      <c r="M171" s="285"/>
      <c r="N171" s="285"/>
      <c r="O171" s="285"/>
      <c r="P171" s="285"/>
      <c r="Q171" s="285"/>
      <c r="R171" s="285"/>
      <c r="S171" s="285"/>
      <c r="T171" s="339">
        <f>T84</f>
        <v>570611</v>
      </c>
      <c r="U171" s="288"/>
      <c r="V171" s="5"/>
    </row>
    <row r="172" spans="1:22" ht="16.2" thickBot="1" x14ac:dyDescent="0.35">
      <c r="A172" s="175"/>
      <c r="B172" s="334"/>
      <c r="C172" s="334"/>
      <c r="D172" s="334"/>
      <c r="E172" s="334"/>
      <c r="F172" s="334"/>
      <c r="G172" s="334"/>
      <c r="H172" s="334"/>
      <c r="I172" s="334"/>
      <c r="J172" s="334"/>
      <c r="K172" s="334"/>
      <c r="L172" s="334"/>
      <c r="M172" s="334"/>
      <c r="N172" s="334"/>
      <c r="O172" s="334"/>
      <c r="P172" s="334"/>
      <c r="Q172" s="334"/>
      <c r="R172" s="334"/>
      <c r="S172" s="334"/>
      <c r="T172" s="347"/>
      <c r="U172" s="334"/>
      <c r="V172" s="5"/>
    </row>
    <row r="173" spans="1:22" ht="15.6" x14ac:dyDescent="0.3">
      <c r="A173" s="173"/>
      <c r="B173" s="174"/>
      <c r="C173" s="174"/>
      <c r="D173" s="174"/>
      <c r="E173" s="174"/>
      <c r="F173" s="174"/>
      <c r="G173" s="174"/>
      <c r="H173" s="174"/>
      <c r="I173" s="174"/>
      <c r="J173" s="174"/>
      <c r="K173" s="174"/>
      <c r="L173" s="174"/>
      <c r="M173" s="174"/>
      <c r="N173" s="174"/>
      <c r="O173" s="174"/>
      <c r="P173" s="174"/>
      <c r="Q173" s="174"/>
      <c r="R173" s="174"/>
      <c r="S173" s="174"/>
      <c r="T173" s="193"/>
      <c r="U173" s="174"/>
      <c r="V173" s="5"/>
    </row>
    <row r="174" spans="1:22" ht="15.6" x14ac:dyDescent="0.3">
      <c r="A174" s="175"/>
      <c r="B174" s="201" t="s">
        <v>60</v>
      </c>
      <c r="C174" s="198"/>
      <c r="D174" s="198"/>
      <c r="E174" s="198"/>
      <c r="F174" s="198"/>
      <c r="G174" s="198"/>
      <c r="H174" s="203"/>
      <c r="I174" s="203"/>
      <c r="J174" s="203"/>
      <c r="K174" s="203"/>
      <c r="L174" s="203"/>
      <c r="M174" s="203"/>
      <c r="N174" s="203"/>
      <c r="O174" s="203"/>
      <c r="P174" s="203"/>
      <c r="Q174" s="203" t="s">
        <v>104</v>
      </c>
      <c r="R174" s="203" t="s">
        <v>183</v>
      </c>
      <c r="S174" s="179"/>
      <c r="T174" s="204" t="s">
        <v>120</v>
      </c>
      <c r="U174" s="205"/>
      <c r="V174" s="5"/>
    </row>
    <row r="175" spans="1:22" ht="15.6" x14ac:dyDescent="0.3">
      <c r="A175" s="284"/>
      <c r="B175" s="285" t="s">
        <v>61</v>
      </c>
      <c r="C175" s="285"/>
      <c r="D175" s="285"/>
      <c r="E175" s="285"/>
      <c r="F175" s="285"/>
      <c r="G175" s="285"/>
      <c r="H175" s="285"/>
      <c r="I175" s="285"/>
      <c r="J175" s="285"/>
      <c r="K175" s="285"/>
      <c r="L175" s="285"/>
      <c r="M175" s="285"/>
      <c r="N175" s="285"/>
      <c r="O175" s="285"/>
      <c r="P175" s="285"/>
      <c r="Q175" s="339">
        <v>160008</v>
      </c>
      <c r="R175" s="324"/>
      <c r="S175" s="285"/>
      <c r="T175" s="339"/>
      <c r="U175" s="288"/>
      <c r="V175" s="5"/>
    </row>
    <row r="176" spans="1:22" ht="15.6" x14ac:dyDescent="0.3">
      <c r="A176" s="284"/>
      <c r="B176" s="285" t="s">
        <v>62</v>
      </c>
      <c r="C176" s="285"/>
      <c r="D176" s="285"/>
      <c r="E176" s="285"/>
      <c r="F176" s="285"/>
      <c r="G176" s="285"/>
      <c r="H176" s="285"/>
      <c r="I176" s="285"/>
      <c r="J176" s="285"/>
      <c r="K176" s="285"/>
      <c r="L176" s="285"/>
      <c r="M176" s="285"/>
      <c r="N176" s="285"/>
      <c r="O176" s="285"/>
      <c r="P176" s="285"/>
      <c r="Q176" s="339">
        <f>+'June 11'!Q178</f>
        <v>36655</v>
      </c>
      <c r="R176" s="339">
        <f>+'June 11'!R178</f>
        <v>3447</v>
      </c>
      <c r="S176" s="285"/>
      <c r="T176" s="339">
        <f>Q176+R176</f>
        <v>40102</v>
      </c>
      <c r="U176" s="288"/>
      <c r="V176" s="5"/>
    </row>
    <row r="177" spans="1:22" ht="15.6" x14ac:dyDescent="0.3">
      <c r="A177" s="284"/>
      <c r="B177" s="285" t="s">
        <v>63</v>
      </c>
      <c r="C177" s="285"/>
      <c r="D177" s="285"/>
      <c r="E177" s="285"/>
      <c r="F177" s="285"/>
      <c r="G177" s="285"/>
      <c r="H177" s="285"/>
      <c r="I177" s="285"/>
      <c r="J177" s="285"/>
      <c r="K177" s="285"/>
      <c r="L177" s="285"/>
      <c r="M177" s="285"/>
      <c r="N177" s="285"/>
      <c r="O177" s="285"/>
      <c r="P177" s="285"/>
      <c r="Q177" s="338">
        <v>97</v>
      </c>
      <c r="R177" s="338">
        <v>0</v>
      </c>
      <c r="S177" s="285"/>
      <c r="T177" s="339">
        <f>Q177+R177</f>
        <v>97</v>
      </c>
      <c r="U177" s="288"/>
      <c r="V177" s="5"/>
    </row>
    <row r="178" spans="1:22" ht="15.6" x14ac:dyDescent="0.3">
      <c r="A178" s="284"/>
      <c r="B178" s="285" t="s">
        <v>64</v>
      </c>
      <c r="C178" s="285"/>
      <c r="D178" s="285"/>
      <c r="E178" s="285"/>
      <c r="F178" s="285"/>
      <c r="G178" s="285"/>
      <c r="H178" s="285"/>
      <c r="I178" s="285"/>
      <c r="J178" s="285"/>
      <c r="K178" s="285"/>
      <c r="L178" s="285"/>
      <c r="M178" s="285"/>
      <c r="N178" s="285"/>
      <c r="O178" s="285"/>
      <c r="P178" s="285"/>
      <c r="Q178" s="339">
        <f>Q176+Q177</f>
        <v>36752</v>
      </c>
      <c r="R178" s="339">
        <f>R177+R176</f>
        <v>3447</v>
      </c>
      <c r="S178" s="285"/>
      <c r="T178" s="339">
        <f>Q178+R178</f>
        <v>40199</v>
      </c>
      <c r="U178" s="288"/>
      <c r="V178" s="5"/>
    </row>
    <row r="179" spans="1:22" ht="15.6" x14ac:dyDescent="0.3">
      <c r="A179" s="284"/>
      <c r="B179" s="285" t="s">
        <v>65</v>
      </c>
      <c r="C179" s="285"/>
      <c r="D179" s="285"/>
      <c r="E179" s="285"/>
      <c r="F179" s="285"/>
      <c r="G179" s="285"/>
      <c r="H179" s="285"/>
      <c r="I179" s="285"/>
      <c r="J179" s="285"/>
      <c r="K179" s="285"/>
      <c r="L179" s="285"/>
      <c r="M179" s="285"/>
      <c r="N179" s="285"/>
      <c r="O179" s="285"/>
      <c r="P179" s="285"/>
      <c r="Q179" s="339">
        <f>Q175-Q178-R178</f>
        <v>119809</v>
      </c>
      <c r="R179" s="324"/>
      <c r="S179" s="285"/>
      <c r="T179" s="339"/>
      <c r="U179" s="288"/>
      <c r="V179" s="5"/>
    </row>
    <row r="180" spans="1:22" ht="16.2" thickBot="1" x14ac:dyDescent="0.35">
      <c r="A180" s="175"/>
      <c r="B180" s="334"/>
      <c r="C180" s="334"/>
      <c r="D180" s="334"/>
      <c r="E180" s="334"/>
      <c r="F180" s="334"/>
      <c r="G180" s="334"/>
      <c r="H180" s="334"/>
      <c r="I180" s="334"/>
      <c r="J180" s="334"/>
      <c r="K180" s="334"/>
      <c r="L180" s="334"/>
      <c r="M180" s="334"/>
      <c r="N180" s="334"/>
      <c r="O180" s="334"/>
      <c r="P180" s="334"/>
      <c r="Q180" s="334"/>
      <c r="R180" s="334"/>
      <c r="S180" s="334"/>
      <c r="T180" s="347"/>
      <c r="U180" s="334"/>
      <c r="V180" s="5"/>
    </row>
    <row r="181" spans="1:22" ht="15.6" x14ac:dyDescent="0.3">
      <c r="A181" s="173"/>
      <c r="B181" s="174"/>
      <c r="C181" s="174"/>
      <c r="D181" s="174"/>
      <c r="E181" s="174"/>
      <c r="F181" s="174"/>
      <c r="G181" s="174"/>
      <c r="H181" s="174"/>
      <c r="I181" s="174"/>
      <c r="J181" s="174"/>
      <c r="K181" s="174"/>
      <c r="L181" s="174"/>
      <c r="M181" s="174"/>
      <c r="N181" s="174"/>
      <c r="O181" s="174"/>
      <c r="P181" s="174"/>
      <c r="Q181" s="174"/>
      <c r="R181" s="174"/>
      <c r="S181" s="174"/>
      <c r="T181" s="193"/>
      <c r="U181" s="174"/>
      <c r="V181" s="5"/>
    </row>
    <row r="182" spans="1:22" ht="15.6" x14ac:dyDescent="0.3">
      <c r="A182" s="175"/>
      <c r="B182" s="201" t="s">
        <v>66</v>
      </c>
      <c r="C182" s="177"/>
      <c r="D182" s="177"/>
      <c r="E182" s="177"/>
      <c r="F182" s="177"/>
      <c r="G182" s="177"/>
      <c r="H182" s="177"/>
      <c r="I182" s="177"/>
      <c r="J182" s="177"/>
      <c r="K182" s="177"/>
      <c r="L182" s="177"/>
      <c r="M182" s="177"/>
      <c r="N182" s="177"/>
      <c r="O182" s="177"/>
      <c r="P182" s="177"/>
      <c r="Q182" s="177"/>
      <c r="R182" s="177"/>
      <c r="S182" s="177"/>
      <c r="T182" s="206"/>
      <c r="U182" s="177"/>
      <c r="V182" s="5"/>
    </row>
    <row r="183" spans="1:22" ht="15.6" x14ac:dyDescent="0.3">
      <c r="A183" s="284"/>
      <c r="B183" s="285" t="s">
        <v>67</v>
      </c>
      <c r="C183" s="285"/>
      <c r="D183" s="285"/>
      <c r="E183" s="285"/>
      <c r="F183" s="285"/>
      <c r="G183" s="285"/>
      <c r="H183" s="285"/>
      <c r="I183" s="285"/>
      <c r="J183" s="285"/>
      <c r="K183" s="285"/>
      <c r="L183" s="285"/>
      <c r="M183" s="285"/>
      <c r="N183" s="285"/>
      <c r="O183" s="285"/>
      <c r="P183" s="285"/>
      <c r="Q183" s="285"/>
      <c r="R183" s="285"/>
      <c r="S183" s="285"/>
      <c r="T183" s="348">
        <f>(T100+T102+T103+T104+T105)/-(T106+T107)</f>
        <v>3.2502218278615795</v>
      </c>
      <c r="U183" s="288" t="s">
        <v>121</v>
      </c>
      <c r="V183" s="5"/>
    </row>
    <row r="184" spans="1:22" ht="15.6" x14ac:dyDescent="0.3">
      <c r="A184" s="284"/>
      <c r="B184" s="285" t="s">
        <v>68</v>
      </c>
      <c r="C184" s="285"/>
      <c r="D184" s="285"/>
      <c r="E184" s="285"/>
      <c r="F184" s="285"/>
      <c r="G184" s="285"/>
      <c r="H184" s="285"/>
      <c r="I184" s="285"/>
      <c r="J184" s="285"/>
      <c r="K184" s="285"/>
      <c r="L184" s="285"/>
      <c r="M184" s="285"/>
      <c r="N184" s="285"/>
      <c r="O184" s="285"/>
      <c r="P184" s="285"/>
      <c r="Q184" s="285"/>
      <c r="R184" s="285"/>
      <c r="S184" s="285"/>
      <c r="T184" s="349">
        <v>1.6</v>
      </c>
      <c r="U184" s="288" t="s">
        <v>121</v>
      </c>
      <c r="V184" s="5"/>
    </row>
    <row r="185" spans="1:22" ht="15.6" x14ac:dyDescent="0.3">
      <c r="A185" s="284"/>
      <c r="B185" s="285" t="s">
        <v>69</v>
      </c>
      <c r="C185" s="285"/>
      <c r="D185" s="285"/>
      <c r="E185" s="285"/>
      <c r="F185" s="285"/>
      <c r="G185" s="285"/>
      <c r="H185" s="285"/>
      <c r="I185" s="285"/>
      <c r="J185" s="285"/>
      <c r="K185" s="285"/>
      <c r="L185" s="285"/>
      <c r="M185" s="285"/>
      <c r="N185" s="285"/>
      <c r="O185" s="285"/>
      <c r="P185" s="285"/>
      <c r="Q185" s="285"/>
      <c r="R185" s="285"/>
      <c r="S185" s="285"/>
      <c r="T185" s="348">
        <f>(T100+T102+T103+T104+T105+T106+T107)/-(T108+T109)</f>
        <v>10.225806451612904</v>
      </c>
      <c r="U185" s="288" t="s">
        <v>121</v>
      </c>
      <c r="V185" s="5"/>
    </row>
    <row r="186" spans="1:22" ht="15.6" x14ac:dyDescent="0.3">
      <c r="A186" s="284"/>
      <c r="B186" s="285" t="s">
        <v>70</v>
      </c>
      <c r="C186" s="285"/>
      <c r="D186" s="285"/>
      <c r="E186" s="285"/>
      <c r="F186" s="285"/>
      <c r="G186" s="285"/>
      <c r="H186" s="285"/>
      <c r="I186" s="285"/>
      <c r="J186" s="285"/>
      <c r="K186" s="285"/>
      <c r="L186" s="285"/>
      <c r="M186" s="285"/>
      <c r="N186" s="285"/>
      <c r="O186" s="285"/>
      <c r="P186" s="285"/>
      <c r="Q186" s="285"/>
      <c r="R186" s="285"/>
      <c r="S186" s="285"/>
      <c r="T186" s="349">
        <v>5.39</v>
      </c>
      <c r="U186" s="288" t="s">
        <v>121</v>
      </c>
      <c r="V186" s="5"/>
    </row>
    <row r="187" spans="1:22" ht="15.6" x14ac:dyDescent="0.3">
      <c r="A187" s="284"/>
      <c r="B187" s="285" t="s">
        <v>206</v>
      </c>
      <c r="C187" s="285"/>
      <c r="D187" s="285"/>
      <c r="E187" s="285"/>
      <c r="F187" s="285"/>
      <c r="G187" s="285"/>
      <c r="H187" s="285"/>
      <c r="I187" s="285"/>
      <c r="J187" s="285"/>
      <c r="K187" s="285"/>
      <c r="L187" s="285"/>
      <c r="M187" s="285"/>
      <c r="N187" s="285"/>
      <c r="O187" s="285"/>
      <c r="P187" s="285"/>
      <c r="Q187" s="285"/>
      <c r="R187" s="285"/>
      <c r="S187" s="285"/>
      <c r="T187" s="348">
        <f>(T100+T102+T103+T104+T105+T106+T107+T108+T109)/-(T110)</f>
        <v>8.1714285714285708</v>
      </c>
      <c r="U187" s="288" t="s">
        <v>121</v>
      </c>
      <c r="V187" s="5"/>
    </row>
    <row r="188" spans="1:22" ht="15.6" x14ac:dyDescent="0.3">
      <c r="A188" s="284"/>
      <c r="B188" s="285" t="s">
        <v>207</v>
      </c>
      <c r="C188" s="285"/>
      <c r="D188" s="285"/>
      <c r="E188" s="285"/>
      <c r="F188" s="285"/>
      <c r="G188" s="285"/>
      <c r="H188" s="285"/>
      <c r="I188" s="285"/>
      <c r="J188" s="285"/>
      <c r="K188" s="285"/>
      <c r="L188" s="285"/>
      <c r="M188" s="285"/>
      <c r="N188" s="285"/>
      <c r="O188" s="285"/>
      <c r="P188" s="285"/>
      <c r="Q188" s="285"/>
      <c r="R188" s="285"/>
      <c r="S188" s="285"/>
      <c r="T188" s="349">
        <v>4.9400000000000004</v>
      </c>
      <c r="U188" s="288" t="s">
        <v>121</v>
      </c>
      <c r="V188" s="5"/>
    </row>
    <row r="189" spans="1:22" ht="15.6" x14ac:dyDescent="0.3">
      <c r="A189" s="284"/>
      <c r="B189" s="311"/>
      <c r="C189" s="311"/>
      <c r="D189" s="311"/>
      <c r="E189" s="311"/>
      <c r="F189" s="311"/>
      <c r="G189" s="311"/>
      <c r="H189" s="311"/>
      <c r="I189" s="311"/>
      <c r="J189" s="311"/>
      <c r="K189" s="311"/>
      <c r="L189" s="311"/>
      <c r="M189" s="311"/>
      <c r="N189" s="311"/>
      <c r="O189" s="311"/>
      <c r="P189" s="311"/>
      <c r="Q189" s="311"/>
      <c r="R189" s="311"/>
      <c r="S189" s="311"/>
      <c r="T189" s="311"/>
      <c r="U189" s="317"/>
      <c r="V189" s="5"/>
    </row>
    <row r="190" spans="1:22" ht="15.6" x14ac:dyDescent="0.3">
      <c r="A190" s="175"/>
      <c r="B190" s="334"/>
      <c r="C190" s="334"/>
      <c r="D190" s="334"/>
      <c r="E190" s="334"/>
      <c r="F190" s="334"/>
      <c r="G190" s="334"/>
      <c r="H190" s="334"/>
      <c r="I190" s="334"/>
      <c r="J190" s="334"/>
      <c r="K190" s="334"/>
      <c r="L190" s="334"/>
      <c r="M190" s="334"/>
      <c r="N190" s="334"/>
      <c r="O190" s="334"/>
      <c r="P190" s="334"/>
      <c r="Q190" s="334"/>
      <c r="R190" s="334"/>
      <c r="S190" s="334"/>
      <c r="T190" s="334"/>
      <c r="U190" s="334"/>
      <c r="V190" s="5"/>
    </row>
    <row r="191" spans="1:22" ht="15.6" x14ac:dyDescent="0.3">
      <c r="A191" s="175"/>
      <c r="B191" s="177"/>
      <c r="C191" s="177"/>
      <c r="D191" s="177"/>
      <c r="E191" s="177"/>
      <c r="F191" s="177"/>
      <c r="G191" s="177"/>
      <c r="H191" s="177"/>
      <c r="I191" s="177"/>
      <c r="J191" s="177"/>
      <c r="K191" s="177"/>
      <c r="L191" s="177"/>
      <c r="M191" s="177"/>
      <c r="N191" s="177"/>
      <c r="O191" s="177"/>
      <c r="P191" s="177"/>
      <c r="Q191" s="177"/>
      <c r="R191" s="177"/>
      <c r="S191" s="177"/>
      <c r="T191" s="177"/>
      <c r="U191" s="177"/>
      <c r="V191" s="5"/>
    </row>
    <row r="192" spans="1:22" ht="18" thickBot="1" x14ac:dyDescent="0.35">
      <c r="A192" s="192"/>
      <c r="B192" s="246" t="str">
        <f>B132</f>
        <v>PM11 INVESTOR REPORT QUARTER ENDING SEPTEMBER 2011</v>
      </c>
      <c r="C192" s="207"/>
      <c r="D192" s="207"/>
      <c r="E192" s="207"/>
      <c r="F192" s="207"/>
      <c r="G192" s="207"/>
      <c r="H192" s="207"/>
      <c r="I192" s="207"/>
      <c r="J192" s="207"/>
      <c r="K192" s="207"/>
      <c r="L192" s="207"/>
      <c r="M192" s="207"/>
      <c r="N192" s="207"/>
      <c r="O192" s="207"/>
      <c r="P192" s="207"/>
      <c r="Q192" s="207"/>
      <c r="R192" s="207"/>
      <c r="S192" s="207"/>
      <c r="T192" s="207"/>
      <c r="U192" s="208"/>
      <c r="V192" s="5"/>
    </row>
    <row r="193" spans="1:22" ht="15.6" x14ac:dyDescent="0.3">
      <c r="A193" s="260"/>
      <c r="B193" s="399" t="s">
        <v>71</v>
      </c>
      <c r="C193" s="400"/>
      <c r="D193" s="400"/>
      <c r="E193" s="400"/>
      <c r="F193" s="400"/>
      <c r="G193" s="401"/>
      <c r="H193" s="401"/>
      <c r="I193" s="401"/>
      <c r="J193" s="401"/>
      <c r="K193" s="401"/>
      <c r="L193" s="401"/>
      <c r="M193" s="401"/>
      <c r="N193" s="401"/>
      <c r="O193" s="401"/>
      <c r="P193" s="401"/>
      <c r="Q193" s="401"/>
      <c r="R193" s="401">
        <v>40816</v>
      </c>
      <c r="S193" s="261"/>
      <c r="T193" s="261"/>
      <c r="U193" s="261"/>
      <c r="V193" s="5"/>
    </row>
    <row r="194" spans="1:22" ht="15.6" x14ac:dyDescent="0.3">
      <c r="A194" s="209"/>
      <c r="B194" s="210"/>
      <c r="C194" s="211"/>
      <c r="D194" s="211"/>
      <c r="E194" s="211"/>
      <c r="F194" s="211"/>
      <c r="G194" s="212"/>
      <c r="H194" s="212"/>
      <c r="I194" s="212"/>
      <c r="J194" s="212"/>
      <c r="K194" s="212"/>
      <c r="L194" s="212"/>
      <c r="M194" s="212"/>
      <c r="N194" s="212"/>
      <c r="O194" s="212"/>
      <c r="P194" s="212"/>
      <c r="Q194" s="212"/>
      <c r="R194" s="212"/>
      <c r="S194" s="177"/>
      <c r="T194" s="177"/>
      <c r="U194" s="177"/>
      <c r="V194" s="5"/>
    </row>
    <row r="195" spans="1:22" ht="15.6" x14ac:dyDescent="0.3">
      <c r="A195" s="352"/>
      <c r="B195" s="285" t="s">
        <v>72</v>
      </c>
      <c r="C195" s="353"/>
      <c r="D195" s="353"/>
      <c r="E195" s="353"/>
      <c r="F195" s="353"/>
      <c r="G195" s="329"/>
      <c r="H195" s="329"/>
      <c r="I195" s="329"/>
      <c r="J195" s="329"/>
      <c r="K195" s="329"/>
      <c r="L195" s="329"/>
      <c r="M195" s="329"/>
      <c r="N195" s="329"/>
      <c r="O195" s="329"/>
      <c r="P195" s="329"/>
      <c r="Q195" s="329"/>
      <c r="R195" s="320">
        <v>5.1569999999999998E-2</v>
      </c>
      <c r="S195" s="285"/>
      <c r="T195" s="285"/>
      <c r="U195" s="317"/>
      <c r="V195" s="5"/>
    </row>
    <row r="196" spans="1:22" ht="15.6" x14ac:dyDescent="0.3">
      <c r="A196" s="352"/>
      <c r="B196" s="285" t="s">
        <v>157</v>
      </c>
      <c r="C196" s="353"/>
      <c r="D196" s="353"/>
      <c r="E196" s="353"/>
      <c r="F196" s="353"/>
      <c r="G196" s="329"/>
      <c r="H196" s="329"/>
      <c r="I196" s="329"/>
      <c r="J196" s="329"/>
      <c r="K196" s="329"/>
      <c r="L196" s="329"/>
      <c r="M196" s="329"/>
      <c r="N196" s="329"/>
      <c r="O196" s="329"/>
      <c r="P196" s="329"/>
      <c r="Q196" s="329"/>
      <c r="R196" s="320">
        <v>4.6899999999999997E-2</v>
      </c>
      <c r="S196" s="285"/>
      <c r="T196" s="285"/>
      <c r="U196" s="317"/>
      <c r="V196" s="5"/>
    </row>
    <row r="197" spans="1:22" ht="15.6" x14ac:dyDescent="0.3">
      <c r="A197" s="352"/>
      <c r="B197" s="285" t="s">
        <v>73</v>
      </c>
      <c r="C197" s="353"/>
      <c r="D197" s="353"/>
      <c r="E197" s="353"/>
      <c r="F197" s="353"/>
      <c r="G197" s="329"/>
      <c r="H197" s="329"/>
      <c r="I197" s="329"/>
      <c r="J197" s="329"/>
      <c r="K197" s="329"/>
      <c r="L197" s="329"/>
      <c r="M197" s="329"/>
      <c r="N197" s="329"/>
      <c r="O197" s="329"/>
      <c r="P197" s="329"/>
      <c r="Q197" s="329"/>
      <c r="R197" s="320">
        <f>R195-R196</f>
        <v>4.6700000000000005E-3</v>
      </c>
      <c r="S197" s="285"/>
      <c r="T197" s="285"/>
      <c r="U197" s="317"/>
      <c r="V197" s="5"/>
    </row>
    <row r="198" spans="1:22" ht="15.6" x14ac:dyDescent="0.3">
      <c r="A198" s="352"/>
      <c r="B198" s="285" t="s">
        <v>74</v>
      </c>
      <c r="C198" s="353"/>
      <c r="D198" s="353"/>
      <c r="E198" s="353"/>
      <c r="F198" s="353"/>
      <c r="G198" s="329"/>
      <c r="H198" s="329"/>
      <c r="I198" s="329"/>
      <c r="J198" s="329"/>
      <c r="K198" s="329"/>
      <c r="L198" s="329"/>
      <c r="M198" s="329"/>
      <c r="N198" s="329"/>
      <c r="O198" s="329"/>
      <c r="P198" s="329"/>
      <c r="Q198" s="329"/>
      <c r="R198" s="320">
        <v>2.6429999999999999E-2</v>
      </c>
      <c r="S198" s="285"/>
      <c r="T198" s="285"/>
      <c r="U198" s="317"/>
      <c r="V198" s="5"/>
    </row>
    <row r="199" spans="1:22" ht="15.6" x14ac:dyDescent="0.3">
      <c r="A199" s="352"/>
      <c r="B199" s="285" t="s">
        <v>257</v>
      </c>
      <c r="C199" s="353"/>
      <c r="D199" s="353"/>
      <c r="E199" s="353"/>
      <c r="F199" s="353"/>
      <c r="G199" s="329"/>
      <c r="H199" s="329"/>
      <c r="I199" s="329"/>
      <c r="J199" s="329"/>
      <c r="K199" s="329"/>
      <c r="L199" s="329"/>
      <c r="M199" s="329"/>
      <c r="N199" s="329"/>
      <c r="O199" s="329"/>
      <c r="P199" s="329"/>
      <c r="Q199" s="329"/>
      <c r="R199" s="320">
        <f>T43</f>
        <v>1.1193591042953588E-2</v>
      </c>
      <c r="S199" s="285"/>
      <c r="T199" s="285"/>
      <c r="U199" s="317"/>
      <c r="V199" s="5"/>
    </row>
    <row r="200" spans="1:22" ht="15.6" x14ac:dyDescent="0.3">
      <c r="A200" s="352"/>
      <c r="B200" s="285" t="s">
        <v>75</v>
      </c>
      <c r="C200" s="353"/>
      <c r="D200" s="353"/>
      <c r="E200" s="353"/>
      <c r="F200" s="353"/>
      <c r="G200" s="329"/>
      <c r="H200" s="329"/>
      <c r="I200" s="329"/>
      <c r="J200" s="329"/>
      <c r="K200" s="329"/>
      <c r="L200" s="329"/>
      <c r="M200" s="329"/>
      <c r="N200" s="329"/>
      <c r="O200" s="329"/>
      <c r="P200" s="329"/>
      <c r="Q200" s="329"/>
      <c r="R200" s="320">
        <f>R198-R199</f>
        <v>1.5236408957046411E-2</v>
      </c>
      <c r="S200" s="285"/>
      <c r="T200" s="285"/>
      <c r="U200" s="317"/>
      <c r="V200" s="5"/>
    </row>
    <row r="201" spans="1:22" ht="15.6" x14ac:dyDescent="0.3">
      <c r="A201" s="352"/>
      <c r="B201" s="285" t="s">
        <v>260</v>
      </c>
      <c r="C201" s="353"/>
      <c r="D201" s="353"/>
      <c r="E201" s="353"/>
      <c r="F201" s="353"/>
      <c r="G201" s="329"/>
      <c r="H201" s="329"/>
      <c r="I201" s="329"/>
      <c r="J201" s="329"/>
      <c r="K201" s="329"/>
      <c r="L201" s="329"/>
      <c r="M201" s="329"/>
      <c r="N201" s="329"/>
      <c r="O201" s="329"/>
      <c r="P201" s="329"/>
      <c r="Q201" s="329"/>
      <c r="R201" s="320">
        <f>+T100/L71</f>
        <v>7.2171428471933235E-3</v>
      </c>
      <c r="S201" s="285"/>
      <c r="T201" s="285"/>
      <c r="U201" s="317"/>
      <c r="V201" s="5"/>
    </row>
    <row r="202" spans="1:22" ht="15.6" x14ac:dyDescent="0.3">
      <c r="A202" s="352"/>
      <c r="B202" s="285" t="s">
        <v>217</v>
      </c>
      <c r="C202" s="353"/>
      <c r="D202" s="353"/>
      <c r="E202" s="353"/>
      <c r="F202" s="353"/>
      <c r="G202" s="329"/>
      <c r="H202" s="329"/>
      <c r="I202" s="329"/>
      <c r="J202" s="329"/>
      <c r="K202" s="329"/>
      <c r="L202" s="329"/>
      <c r="M202" s="329"/>
      <c r="N202" s="329"/>
      <c r="O202" s="329"/>
      <c r="P202" s="329"/>
      <c r="Q202" s="329"/>
      <c r="R202" s="354">
        <v>15250</v>
      </c>
      <c r="S202" s="285"/>
      <c r="T202" s="285"/>
      <c r="U202" s="317"/>
      <c r="V202" s="5"/>
    </row>
    <row r="203" spans="1:22" ht="15.6" x14ac:dyDescent="0.3">
      <c r="A203" s="352"/>
      <c r="B203" s="285" t="s">
        <v>218</v>
      </c>
      <c r="C203" s="353"/>
      <c r="D203" s="353"/>
      <c r="E203" s="353"/>
      <c r="F203" s="353"/>
      <c r="G203" s="329"/>
      <c r="H203" s="329"/>
      <c r="I203" s="329"/>
      <c r="J203" s="329"/>
      <c r="K203" s="329"/>
      <c r="L203" s="329"/>
      <c r="M203" s="329"/>
      <c r="N203" s="329"/>
      <c r="O203" s="329"/>
      <c r="P203" s="329"/>
      <c r="Q203" s="329"/>
      <c r="R203" s="354">
        <v>15250</v>
      </c>
      <c r="S203" s="285"/>
      <c r="T203" s="285"/>
      <c r="U203" s="317"/>
      <c r="V203" s="5"/>
    </row>
    <row r="204" spans="1:22" ht="15.6" x14ac:dyDescent="0.3">
      <c r="A204" s="352"/>
      <c r="B204" s="285" t="s">
        <v>219</v>
      </c>
      <c r="C204" s="353"/>
      <c r="D204" s="353"/>
      <c r="E204" s="353"/>
      <c r="F204" s="353"/>
      <c r="G204" s="329"/>
      <c r="H204" s="329"/>
      <c r="I204" s="329"/>
      <c r="J204" s="329"/>
      <c r="K204" s="329"/>
      <c r="L204" s="329"/>
      <c r="M204" s="329"/>
      <c r="N204" s="329"/>
      <c r="O204" s="329"/>
      <c r="P204" s="329"/>
      <c r="Q204" s="329"/>
      <c r="R204" s="354">
        <v>15250</v>
      </c>
      <c r="S204" s="285"/>
      <c r="T204" s="285"/>
      <c r="U204" s="317"/>
      <c r="V204" s="5"/>
    </row>
    <row r="205" spans="1:22" ht="15.6" x14ac:dyDescent="0.3">
      <c r="A205" s="352"/>
      <c r="B205" s="285" t="s">
        <v>76</v>
      </c>
      <c r="C205" s="353"/>
      <c r="D205" s="353"/>
      <c r="E205" s="353"/>
      <c r="F205" s="353"/>
      <c r="G205" s="329"/>
      <c r="H205" s="329"/>
      <c r="I205" s="329"/>
      <c r="J205" s="329"/>
      <c r="K205" s="329"/>
      <c r="L205" s="329"/>
      <c r="M205" s="329"/>
      <c r="N205" s="329"/>
      <c r="O205" s="329"/>
      <c r="P205" s="329"/>
      <c r="Q205" s="329"/>
      <c r="R205" s="326">
        <v>21.18</v>
      </c>
      <c r="S205" s="285" t="s">
        <v>116</v>
      </c>
      <c r="T205" s="285"/>
      <c r="U205" s="317"/>
      <c r="V205" s="5"/>
    </row>
    <row r="206" spans="1:22" ht="15.6" x14ac:dyDescent="0.3">
      <c r="A206" s="352"/>
      <c r="B206" s="285" t="s">
        <v>77</v>
      </c>
      <c r="C206" s="353"/>
      <c r="D206" s="353"/>
      <c r="E206" s="353"/>
      <c r="F206" s="353"/>
      <c r="G206" s="329"/>
      <c r="H206" s="329"/>
      <c r="I206" s="329"/>
      <c r="J206" s="329"/>
      <c r="K206" s="329"/>
      <c r="L206" s="329"/>
      <c r="M206" s="329"/>
      <c r="N206" s="329"/>
      <c r="O206" s="329"/>
      <c r="P206" s="329"/>
      <c r="Q206" s="329"/>
      <c r="R206" s="326">
        <v>15.79</v>
      </c>
      <c r="S206" s="285" t="s">
        <v>116</v>
      </c>
      <c r="T206" s="285"/>
      <c r="U206" s="317"/>
      <c r="V206" s="5"/>
    </row>
    <row r="207" spans="1:22" ht="15.6" x14ac:dyDescent="0.3">
      <c r="A207" s="352"/>
      <c r="B207" s="285" t="s">
        <v>78</v>
      </c>
      <c r="C207" s="353"/>
      <c r="D207" s="353"/>
      <c r="E207" s="353"/>
      <c r="F207" s="353"/>
      <c r="G207" s="329"/>
      <c r="H207" s="329"/>
      <c r="I207" s="329"/>
      <c r="J207" s="329"/>
      <c r="K207" s="329"/>
      <c r="L207" s="329"/>
      <c r="M207" s="329"/>
      <c r="N207" s="329"/>
      <c r="O207" s="329"/>
      <c r="P207" s="329"/>
      <c r="Q207" s="329"/>
      <c r="R207" s="320">
        <f>N68/L68</f>
        <v>6.710462854784818E-3</v>
      </c>
      <c r="S207" s="285"/>
      <c r="T207" s="285"/>
      <c r="U207" s="317"/>
      <c r="V207" s="5"/>
    </row>
    <row r="208" spans="1:22" ht="15.6" x14ac:dyDescent="0.3">
      <c r="A208" s="352"/>
      <c r="B208" s="285" t="s">
        <v>79</v>
      </c>
      <c r="C208" s="353"/>
      <c r="D208" s="353"/>
      <c r="E208" s="353"/>
      <c r="F208" s="353"/>
      <c r="G208" s="329"/>
      <c r="H208" s="329"/>
      <c r="I208" s="329"/>
      <c r="J208" s="329"/>
      <c r="K208" s="329"/>
      <c r="L208" s="329"/>
      <c r="M208" s="329"/>
      <c r="N208" s="329"/>
      <c r="O208" s="329"/>
      <c r="P208" s="329"/>
      <c r="Q208" s="329"/>
      <c r="R208" s="320">
        <v>0.1043</v>
      </c>
      <c r="S208" s="285"/>
      <c r="T208" s="285"/>
      <c r="U208" s="317"/>
      <c r="V208" s="5"/>
    </row>
    <row r="209" spans="1:22" ht="15.6" x14ac:dyDescent="0.3">
      <c r="A209" s="209"/>
      <c r="B209" s="350"/>
      <c r="C209" s="350"/>
      <c r="D209" s="350"/>
      <c r="E209" s="350"/>
      <c r="F209" s="350"/>
      <c r="G209" s="334"/>
      <c r="H209" s="334"/>
      <c r="I209" s="334"/>
      <c r="J209" s="334"/>
      <c r="K209" s="334"/>
      <c r="L209" s="334"/>
      <c r="M209" s="334"/>
      <c r="N209" s="334"/>
      <c r="O209" s="334"/>
      <c r="P209" s="334"/>
      <c r="Q209" s="334"/>
      <c r="R209" s="347"/>
      <c r="S209" s="334"/>
      <c r="T209" s="351"/>
      <c r="U209" s="334"/>
      <c r="V209" s="5"/>
    </row>
    <row r="210" spans="1:22" ht="15.6" x14ac:dyDescent="0.3">
      <c r="A210" s="266"/>
      <c r="B210" s="395" t="s">
        <v>80</v>
      </c>
      <c r="C210" s="396"/>
      <c r="D210" s="396"/>
      <c r="E210" s="396"/>
      <c r="F210" s="402"/>
      <c r="G210" s="396"/>
      <c r="H210" s="396"/>
      <c r="I210" s="396"/>
      <c r="J210" s="396"/>
      <c r="K210" s="396"/>
      <c r="L210" s="396"/>
      <c r="M210" s="396"/>
      <c r="N210" s="396"/>
      <c r="O210" s="396"/>
      <c r="P210" s="396"/>
      <c r="Q210" s="396" t="s">
        <v>105</v>
      </c>
      <c r="R210" s="402" t="s">
        <v>112</v>
      </c>
      <c r="S210" s="223"/>
      <c r="T210" s="223"/>
      <c r="U210" s="223"/>
      <c r="V210" s="5"/>
    </row>
    <row r="211" spans="1:22" ht="15.6" x14ac:dyDescent="0.3">
      <c r="A211" s="214"/>
      <c r="B211" s="239" t="s">
        <v>81</v>
      </c>
      <c r="C211" s="243"/>
      <c r="D211" s="243"/>
      <c r="E211" s="243"/>
      <c r="F211" s="239"/>
      <c r="G211" s="239"/>
      <c r="H211" s="242"/>
      <c r="I211" s="242"/>
      <c r="J211" s="242"/>
      <c r="K211" s="242"/>
      <c r="L211" s="242"/>
      <c r="M211" s="242"/>
      <c r="N211" s="242"/>
      <c r="O211" s="242"/>
      <c r="P211" s="242"/>
      <c r="Q211" s="242">
        <v>4</v>
      </c>
      <c r="R211" s="272">
        <v>804</v>
      </c>
      <c r="S211" s="239"/>
      <c r="T211" s="273"/>
      <c r="U211" s="215"/>
      <c r="V211" s="5"/>
    </row>
    <row r="212" spans="1:22" ht="15.6" x14ac:dyDescent="0.3">
      <c r="A212" s="360"/>
      <c r="B212" s="285" t="s">
        <v>151</v>
      </c>
      <c r="C212" s="338"/>
      <c r="D212" s="338"/>
      <c r="E212" s="338"/>
      <c r="F212" s="285"/>
      <c r="G212" s="285"/>
      <c r="H212" s="293"/>
      <c r="I212" s="293"/>
      <c r="J212" s="293"/>
      <c r="K212" s="293"/>
      <c r="L212" s="293"/>
      <c r="M212" s="293"/>
      <c r="N212" s="293"/>
      <c r="O212" s="293"/>
      <c r="P212" s="293"/>
      <c r="Q212" s="361">
        <f>+P264</f>
        <v>118</v>
      </c>
      <c r="R212" s="362">
        <f>+R264</f>
        <v>18503</v>
      </c>
      <c r="S212" s="285"/>
      <c r="T212" s="363"/>
      <c r="U212" s="364"/>
      <c r="V212" s="5"/>
    </row>
    <row r="213" spans="1:22" ht="15.6" x14ac:dyDescent="0.3">
      <c r="A213" s="360"/>
      <c r="B213" s="285" t="s">
        <v>82</v>
      </c>
      <c r="C213" s="338"/>
      <c r="D213" s="338"/>
      <c r="E213" s="338"/>
      <c r="F213" s="285"/>
      <c r="G213" s="285"/>
      <c r="H213" s="293"/>
      <c r="I213" s="293"/>
      <c r="J213" s="293"/>
      <c r="K213" s="293"/>
      <c r="L213" s="293"/>
      <c r="M213" s="293"/>
      <c r="N213" s="293"/>
      <c r="O213" s="293"/>
      <c r="P213" s="293"/>
      <c r="Q213" s="361">
        <f>+P276</f>
        <v>0</v>
      </c>
      <c r="R213" s="362">
        <f>+R276</f>
        <v>0</v>
      </c>
      <c r="S213" s="285"/>
      <c r="T213" s="363"/>
      <c r="U213" s="364"/>
      <c r="V213" s="5"/>
    </row>
    <row r="214" spans="1:22" ht="15.6" x14ac:dyDescent="0.3">
      <c r="A214" s="360"/>
      <c r="B214" s="310" t="s">
        <v>83</v>
      </c>
      <c r="C214" s="365"/>
      <c r="D214" s="365"/>
      <c r="E214" s="365"/>
      <c r="F214" s="311"/>
      <c r="G214" s="311"/>
      <c r="H214" s="311"/>
      <c r="I214" s="311"/>
      <c r="J214" s="311"/>
      <c r="K214" s="311"/>
      <c r="L214" s="311"/>
      <c r="M214" s="311"/>
      <c r="N214" s="311"/>
      <c r="O214" s="311"/>
      <c r="P214" s="311"/>
      <c r="Q214" s="285"/>
      <c r="R214" s="362">
        <v>0</v>
      </c>
      <c r="S214" s="311"/>
      <c r="T214" s="366"/>
      <c r="U214" s="364"/>
      <c r="V214" s="5"/>
    </row>
    <row r="215" spans="1:22" ht="15.6" x14ac:dyDescent="0.3">
      <c r="A215" s="360"/>
      <c r="B215" s="310" t="s">
        <v>84</v>
      </c>
      <c r="C215" s="365"/>
      <c r="D215" s="365"/>
      <c r="E215" s="365"/>
      <c r="F215" s="311"/>
      <c r="G215" s="311"/>
      <c r="H215" s="311"/>
      <c r="I215" s="311"/>
      <c r="J215" s="311"/>
      <c r="K215" s="311"/>
      <c r="L215" s="311"/>
      <c r="M215" s="311"/>
      <c r="N215" s="311"/>
      <c r="O215" s="311"/>
      <c r="P215" s="311"/>
      <c r="Q215" s="285"/>
      <c r="R215" s="367" t="s">
        <v>113</v>
      </c>
      <c r="S215" s="311"/>
      <c r="T215" s="366"/>
      <c r="U215" s="364"/>
      <c r="V215" s="5"/>
    </row>
    <row r="216" spans="1:22" ht="15.6" x14ac:dyDescent="0.3">
      <c r="A216" s="368"/>
      <c r="B216" s="310" t="s">
        <v>85</v>
      </c>
      <c r="C216" s="369"/>
      <c r="D216" s="369"/>
      <c r="E216" s="369"/>
      <c r="F216" s="369"/>
      <c r="G216" s="311"/>
      <c r="H216" s="311"/>
      <c r="I216" s="311"/>
      <c r="J216" s="311"/>
      <c r="K216" s="311"/>
      <c r="L216" s="311"/>
      <c r="M216" s="311"/>
      <c r="N216" s="311"/>
      <c r="O216" s="311"/>
      <c r="P216" s="311"/>
      <c r="Q216" s="285"/>
      <c r="R216" s="362"/>
      <c r="S216" s="311"/>
      <c r="T216" s="366"/>
      <c r="U216" s="370"/>
      <c r="V216" s="5"/>
    </row>
    <row r="217" spans="1:22" ht="15.6" x14ac:dyDescent="0.3">
      <c r="A217" s="368"/>
      <c r="B217" s="285" t="s">
        <v>86</v>
      </c>
      <c r="C217" s="285"/>
      <c r="D217" s="285"/>
      <c r="E217" s="285"/>
      <c r="F217" s="285"/>
      <c r="G217" s="285"/>
      <c r="H217" s="285"/>
      <c r="I217" s="285"/>
      <c r="J217" s="285"/>
      <c r="K217" s="285"/>
      <c r="L217" s="285"/>
      <c r="M217" s="285"/>
      <c r="N217" s="285"/>
      <c r="O217" s="285"/>
      <c r="P217" s="285"/>
      <c r="Q217" s="293"/>
      <c r="R217" s="362">
        <f>T161</f>
        <v>2</v>
      </c>
      <c r="S217" s="285"/>
      <c r="T217" s="363"/>
      <c r="U217" s="370"/>
      <c r="V217" s="5"/>
    </row>
    <row r="218" spans="1:22" ht="15.6" x14ac:dyDescent="0.3">
      <c r="A218" s="360"/>
      <c r="B218" s="285" t="s">
        <v>87</v>
      </c>
      <c r="C218" s="338"/>
      <c r="D218" s="338"/>
      <c r="E218" s="338"/>
      <c r="F218" s="338"/>
      <c r="G218" s="285"/>
      <c r="H218" s="285"/>
      <c r="I218" s="285"/>
      <c r="J218" s="285"/>
      <c r="K218" s="285"/>
      <c r="L218" s="285"/>
      <c r="M218" s="285"/>
      <c r="N218" s="285"/>
      <c r="O218" s="285"/>
      <c r="P218" s="285"/>
      <c r="Q218" s="293"/>
      <c r="R218" s="362">
        <f>'June 11'!R218+R217</f>
        <v>3076</v>
      </c>
      <c r="S218" s="285"/>
      <c r="T218" s="363"/>
      <c r="U218" s="370"/>
      <c r="V218" s="5"/>
    </row>
    <row r="219" spans="1:22" ht="15.6" x14ac:dyDescent="0.3">
      <c r="A219" s="368"/>
      <c r="B219" s="310" t="s">
        <v>282</v>
      </c>
      <c r="C219" s="369"/>
      <c r="D219" s="369"/>
      <c r="E219" s="369"/>
      <c r="F219" s="369"/>
      <c r="G219" s="311"/>
      <c r="H219" s="311"/>
      <c r="I219" s="311"/>
      <c r="J219" s="311"/>
      <c r="K219" s="311"/>
      <c r="L219" s="311"/>
      <c r="M219" s="311"/>
      <c r="N219" s="311"/>
      <c r="O219" s="311"/>
      <c r="P219" s="311"/>
      <c r="Q219" s="293"/>
      <c r="R219" s="362"/>
      <c r="S219" s="311"/>
      <c r="T219" s="366"/>
      <c r="U219" s="370"/>
      <c r="V219" s="5"/>
    </row>
    <row r="220" spans="1:22" ht="15.6" x14ac:dyDescent="0.3">
      <c r="A220" s="368"/>
      <c r="B220" s="285" t="s">
        <v>280</v>
      </c>
      <c r="C220" s="369"/>
      <c r="D220" s="369"/>
      <c r="E220" s="369"/>
      <c r="F220" s="369"/>
      <c r="G220" s="311"/>
      <c r="H220" s="311"/>
      <c r="I220" s="311"/>
      <c r="J220" s="311"/>
      <c r="K220" s="311"/>
      <c r="L220" s="311"/>
      <c r="M220" s="311"/>
      <c r="N220" s="311"/>
      <c r="O220" s="311"/>
      <c r="P220" s="311"/>
      <c r="Q220" s="293">
        <v>0</v>
      </c>
      <c r="R220" s="362">
        <v>0</v>
      </c>
      <c r="S220" s="311"/>
      <c r="T220" s="366"/>
      <c r="U220" s="370"/>
      <c r="V220" s="5"/>
    </row>
    <row r="221" spans="1:22" ht="15.6" x14ac:dyDescent="0.3">
      <c r="A221" s="360"/>
      <c r="B221" s="285" t="s">
        <v>89</v>
      </c>
      <c r="C221" s="373"/>
      <c r="D221" s="373"/>
      <c r="E221" s="373"/>
      <c r="F221" s="374"/>
      <c r="G221" s="311"/>
      <c r="H221" s="311"/>
      <c r="I221" s="311"/>
      <c r="J221" s="311"/>
      <c r="K221" s="311"/>
      <c r="L221" s="311"/>
      <c r="M221" s="311"/>
      <c r="N221" s="311"/>
      <c r="O221" s="311"/>
      <c r="P221" s="311"/>
      <c r="Q221" s="285"/>
      <c r="R221" s="367">
        <v>0</v>
      </c>
      <c r="S221" s="311"/>
      <c r="T221" s="366"/>
      <c r="U221" s="370"/>
      <c r="V221" s="5"/>
    </row>
    <row r="222" spans="1:22" ht="15.6" x14ac:dyDescent="0.3">
      <c r="A222" s="360"/>
      <c r="B222" s="285" t="s">
        <v>90</v>
      </c>
      <c r="C222" s="373"/>
      <c r="D222" s="373"/>
      <c r="E222" s="373"/>
      <c r="F222" s="374"/>
      <c r="G222" s="311"/>
      <c r="H222" s="311"/>
      <c r="I222" s="311"/>
      <c r="J222" s="311"/>
      <c r="K222" s="311"/>
      <c r="L222" s="311"/>
      <c r="M222" s="311"/>
      <c r="N222" s="311"/>
      <c r="O222" s="311"/>
      <c r="P222" s="311"/>
      <c r="Q222" s="285"/>
      <c r="R222" s="367">
        <v>0</v>
      </c>
      <c r="S222" s="311"/>
      <c r="T222" s="366"/>
      <c r="U222" s="370"/>
      <c r="V222" s="5"/>
    </row>
    <row r="223" spans="1:22" ht="15.6" x14ac:dyDescent="0.3">
      <c r="A223" s="360"/>
      <c r="B223" s="310" t="s">
        <v>226</v>
      </c>
      <c r="C223" s="373"/>
      <c r="D223" s="373"/>
      <c r="E223" s="373"/>
      <c r="F223" s="374"/>
      <c r="G223" s="311"/>
      <c r="H223" s="311"/>
      <c r="I223" s="311"/>
      <c r="J223" s="311"/>
      <c r="K223" s="311"/>
      <c r="L223" s="311"/>
      <c r="M223" s="311"/>
      <c r="N223" s="311"/>
      <c r="O223" s="311"/>
      <c r="P223" s="311"/>
      <c r="Q223" s="293"/>
      <c r="R223" s="375"/>
      <c r="S223" s="311"/>
      <c r="T223" s="366"/>
      <c r="U223" s="370"/>
      <c r="V223" s="5"/>
    </row>
    <row r="224" spans="1:22" ht="15.6" x14ac:dyDescent="0.3">
      <c r="A224" s="360"/>
      <c r="B224" s="285" t="s">
        <v>280</v>
      </c>
      <c r="C224" s="373"/>
      <c r="D224" s="373"/>
      <c r="E224" s="373"/>
      <c r="F224" s="374"/>
      <c r="G224" s="311"/>
      <c r="H224" s="311"/>
      <c r="I224" s="311"/>
      <c r="J224" s="311"/>
      <c r="K224" s="311"/>
      <c r="L224" s="311"/>
      <c r="M224" s="311"/>
      <c r="N224" s="311"/>
      <c r="O224" s="311"/>
      <c r="P224" s="311"/>
      <c r="Q224" s="293">
        <v>2</v>
      </c>
      <c r="R224" s="362">
        <v>283</v>
      </c>
      <c r="S224" s="311"/>
      <c r="T224" s="366"/>
      <c r="U224" s="370"/>
      <c r="V224" s="5"/>
    </row>
    <row r="225" spans="1:23" ht="15.6" x14ac:dyDescent="0.3">
      <c r="A225" s="360"/>
      <c r="B225" s="285" t="s">
        <v>227</v>
      </c>
      <c r="C225" s="373"/>
      <c r="D225" s="373"/>
      <c r="E225" s="373"/>
      <c r="F225" s="374"/>
      <c r="G225" s="311"/>
      <c r="H225" s="311"/>
      <c r="I225" s="311"/>
      <c r="J225" s="311"/>
      <c r="K225" s="311"/>
      <c r="L225" s="311"/>
      <c r="M225" s="311"/>
      <c r="N225" s="311"/>
      <c r="O225" s="311"/>
      <c r="P225" s="311"/>
      <c r="Q225" s="293"/>
      <c r="R225" s="367">
        <v>6.93</v>
      </c>
      <c r="S225" s="311"/>
      <c r="T225" s="366"/>
      <c r="U225" s="370"/>
      <c r="V225" s="5"/>
    </row>
    <row r="226" spans="1:23" ht="15.6" x14ac:dyDescent="0.3">
      <c r="A226" s="360"/>
      <c r="B226" s="369"/>
      <c r="C226" s="373"/>
      <c r="D226" s="373"/>
      <c r="E226" s="373"/>
      <c r="F226" s="374"/>
      <c r="G226" s="311"/>
      <c r="H226" s="311"/>
      <c r="I226" s="311"/>
      <c r="J226" s="311"/>
      <c r="K226" s="311"/>
      <c r="L226" s="311"/>
      <c r="M226" s="311"/>
      <c r="N226" s="311"/>
      <c r="O226" s="311"/>
      <c r="P226" s="311"/>
      <c r="Q226" s="311"/>
      <c r="R226" s="376"/>
      <c r="S226" s="311"/>
      <c r="T226" s="366"/>
      <c r="U226" s="370"/>
      <c r="V226" s="5"/>
    </row>
    <row r="227" spans="1:23" ht="15.6" x14ac:dyDescent="0.3">
      <c r="A227" s="360"/>
      <c r="B227" s="369"/>
      <c r="C227" s="373"/>
      <c r="D227" s="373"/>
      <c r="E227" s="373"/>
      <c r="F227" s="374"/>
      <c r="G227" s="311"/>
      <c r="H227" s="311"/>
      <c r="I227" s="311"/>
      <c r="J227" s="311"/>
      <c r="K227" s="311"/>
      <c r="L227" s="311"/>
      <c r="M227" s="311"/>
      <c r="N227" s="311"/>
      <c r="O227" s="311"/>
      <c r="P227" s="311"/>
      <c r="Q227" s="311"/>
      <c r="R227" s="376"/>
      <c r="S227" s="311"/>
      <c r="T227" s="366"/>
      <c r="U227" s="370"/>
      <c r="V227" s="5"/>
    </row>
    <row r="228" spans="1:23" ht="17.399999999999999" x14ac:dyDescent="0.3">
      <c r="A228" s="360"/>
      <c r="B228" s="377" t="s">
        <v>175</v>
      </c>
      <c r="C228" s="373"/>
      <c r="D228" s="373"/>
      <c r="E228" s="373"/>
      <c r="F228" s="374"/>
      <c r="G228" s="311"/>
      <c r="H228" s="311"/>
      <c r="I228" s="311"/>
      <c r="J228" s="311"/>
      <c r="K228" s="311"/>
      <c r="L228" s="311"/>
      <c r="M228" s="311"/>
      <c r="N228" s="378" t="s">
        <v>174</v>
      </c>
      <c r="O228" s="311"/>
      <c r="P228" s="311"/>
      <c r="Q228" s="311"/>
      <c r="R228" s="376"/>
      <c r="S228" s="311"/>
      <c r="T228" s="366"/>
      <c r="U228" s="370"/>
      <c r="V228" s="5"/>
    </row>
    <row r="229" spans="1:23" ht="15.6" x14ac:dyDescent="0.3">
      <c r="A229" s="355"/>
      <c r="B229" s="350"/>
      <c r="C229" s="356"/>
      <c r="D229" s="356"/>
      <c r="E229" s="356"/>
      <c r="F229" s="357"/>
      <c r="G229" s="334"/>
      <c r="H229" s="334"/>
      <c r="I229" s="334"/>
      <c r="J229" s="334"/>
      <c r="K229" s="334"/>
      <c r="L229" s="334"/>
      <c r="M229" s="334"/>
      <c r="N229" s="334"/>
      <c r="O229" s="334"/>
      <c r="P229" s="334"/>
      <c r="Q229" s="334"/>
      <c r="R229" s="358"/>
      <c r="S229" s="334"/>
      <c r="T229" s="351"/>
      <c r="U229" s="359"/>
      <c r="V229" s="5"/>
    </row>
    <row r="230" spans="1:23" ht="15.6" x14ac:dyDescent="0.3">
      <c r="A230" s="222"/>
      <c r="B230" s="395" t="s">
        <v>295</v>
      </c>
      <c r="C230" s="396"/>
      <c r="D230" s="396"/>
      <c r="E230" s="396"/>
      <c r="F230" s="402"/>
      <c r="G230" s="396"/>
      <c r="H230" s="396"/>
      <c r="I230" s="396"/>
      <c r="J230" s="396"/>
      <c r="K230" s="396"/>
      <c r="L230" s="396"/>
      <c r="M230" s="396"/>
      <c r="N230" s="396"/>
      <c r="O230" s="396"/>
      <c r="P230" s="402" t="s">
        <v>105</v>
      </c>
      <c r="Q230" s="396" t="s">
        <v>106</v>
      </c>
      <c r="R230" s="402" t="s">
        <v>114</v>
      </c>
      <c r="S230" s="396" t="s">
        <v>106</v>
      </c>
      <c r="T230" s="223"/>
      <c r="U230" s="395"/>
      <c r="V230" s="5"/>
    </row>
    <row r="231" spans="1:23" ht="15.6" x14ac:dyDescent="0.3">
      <c r="A231" s="190"/>
      <c r="B231" s="243" t="s">
        <v>91</v>
      </c>
      <c r="C231" s="217"/>
      <c r="D231" s="217"/>
      <c r="E231" s="217"/>
      <c r="F231" s="191"/>
      <c r="G231" s="217"/>
      <c r="H231" s="217"/>
      <c r="I231" s="217"/>
      <c r="J231" s="217"/>
      <c r="K231" s="217"/>
      <c r="L231" s="217"/>
      <c r="M231" s="217"/>
      <c r="N231" s="217"/>
      <c r="O231" s="217"/>
      <c r="P231" s="338">
        <f t="shared" ref="P231:P238" si="1">+P243+P255+P267</f>
        <v>4261</v>
      </c>
      <c r="Q231" s="384">
        <f t="shared" ref="Q231:Q238" si="2">P231/$P$240</f>
        <v>0.98657096550127343</v>
      </c>
      <c r="R231" s="339">
        <f t="shared" ref="R231:R238" si="3">+R243+R255+R267</f>
        <v>560949</v>
      </c>
      <c r="S231" s="384">
        <f t="shared" ref="S231:S238" si="4">R231/$R$240</f>
        <v>0.98306727350156231</v>
      </c>
      <c r="T231" s="213"/>
      <c r="U231" s="216"/>
      <c r="V231" s="5"/>
    </row>
    <row r="232" spans="1:23" ht="15.6" x14ac:dyDescent="0.3">
      <c r="A232" s="284"/>
      <c r="B232" s="338" t="s">
        <v>92</v>
      </c>
      <c r="C232" s="382"/>
      <c r="D232" s="382"/>
      <c r="E232" s="382"/>
      <c r="F232" s="311"/>
      <c r="G232" s="383"/>
      <c r="H232" s="382"/>
      <c r="I232" s="382"/>
      <c r="J232" s="382"/>
      <c r="K232" s="382"/>
      <c r="L232" s="382"/>
      <c r="M232" s="382"/>
      <c r="N232" s="382"/>
      <c r="O232" s="382"/>
      <c r="P232" s="338">
        <f t="shared" si="1"/>
        <v>25</v>
      </c>
      <c r="Q232" s="384">
        <f t="shared" si="2"/>
        <v>5.788376939106275E-3</v>
      </c>
      <c r="R232" s="339">
        <f t="shared" si="3"/>
        <v>3853</v>
      </c>
      <c r="S232" s="384">
        <f t="shared" si="4"/>
        <v>6.7524110120554988E-3</v>
      </c>
      <c r="T232" s="366"/>
      <c r="U232" s="370"/>
      <c r="V232" s="5"/>
      <c r="W232" s="109"/>
    </row>
    <row r="233" spans="1:23" ht="15.6" x14ac:dyDescent="0.3">
      <c r="A233" s="284"/>
      <c r="B233" s="338" t="s">
        <v>93</v>
      </c>
      <c r="C233" s="382"/>
      <c r="D233" s="382"/>
      <c r="E233" s="382"/>
      <c r="F233" s="311"/>
      <c r="G233" s="383"/>
      <c r="H233" s="382"/>
      <c r="I233" s="382"/>
      <c r="J233" s="382"/>
      <c r="K233" s="382"/>
      <c r="L233" s="382"/>
      <c r="M233" s="382"/>
      <c r="N233" s="382"/>
      <c r="O233" s="382"/>
      <c r="P233" s="338">
        <f t="shared" si="1"/>
        <v>9</v>
      </c>
      <c r="Q233" s="384">
        <f t="shared" si="2"/>
        <v>2.083815698078259E-3</v>
      </c>
      <c r="R233" s="339">
        <f t="shared" si="3"/>
        <v>1284</v>
      </c>
      <c r="S233" s="384">
        <f t="shared" si="4"/>
        <v>2.2502195015518451E-3</v>
      </c>
      <c r="T233" s="366"/>
      <c r="U233" s="370"/>
      <c r="V233" s="5"/>
    </row>
    <row r="234" spans="1:23" ht="15.6" x14ac:dyDescent="0.3">
      <c r="A234" s="284"/>
      <c r="B234" s="338" t="s">
        <v>163</v>
      </c>
      <c r="C234" s="382"/>
      <c r="D234" s="382"/>
      <c r="E234" s="382"/>
      <c r="F234" s="311"/>
      <c r="G234" s="383"/>
      <c r="H234" s="382"/>
      <c r="I234" s="382"/>
      <c r="J234" s="382"/>
      <c r="K234" s="382"/>
      <c r="L234" s="382"/>
      <c r="M234" s="382"/>
      <c r="N234" s="382"/>
      <c r="O234" s="382"/>
      <c r="P234" s="338">
        <f t="shared" si="1"/>
        <v>3</v>
      </c>
      <c r="Q234" s="384">
        <f t="shared" si="2"/>
        <v>6.9460523269275292E-4</v>
      </c>
      <c r="R234" s="339">
        <f t="shared" si="3"/>
        <v>644</v>
      </c>
      <c r="S234" s="384">
        <f t="shared" si="4"/>
        <v>1.1286147655758477E-3</v>
      </c>
      <c r="T234" s="366"/>
      <c r="U234" s="370"/>
      <c r="V234" s="5"/>
      <c r="W234" s="109"/>
    </row>
    <row r="235" spans="1:23" ht="15.6" x14ac:dyDescent="0.3">
      <c r="A235" s="284"/>
      <c r="B235" s="338" t="s">
        <v>164</v>
      </c>
      <c r="C235" s="382"/>
      <c r="D235" s="382"/>
      <c r="E235" s="382"/>
      <c r="F235" s="311"/>
      <c r="G235" s="383"/>
      <c r="H235" s="382"/>
      <c r="I235" s="382"/>
      <c r="J235" s="382"/>
      <c r="K235" s="382"/>
      <c r="L235" s="382"/>
      <c r="M235" s="382"/>
      <c r="N235" s="382"/>
      <c r="O235" s="382"/>
      <c r="P235" s="338">
        <f t="shared" si="1"/>
        <v>0</v>
      </c>
      <c r="Q235" s="384">
        <f t="shared" si="2"/>
        <v>0</v>
      </c>
      <c r="R235" s="339">
        <f t="shared" si="3"/>
        <v>0</v>
      </c>
      <c r="S235" s="384">
        <f t="shared" si="4"/>
        <v>0</v>
      </c>
      <c r="T235" s="366"/>
      <c r="U235" s="370"/>
      <c r="V235" s="5"/>
    </row>
    <row r="236" spans="1:23" ht="15.6" x14ac:dyDescent="0.3">
      <c r="A236" s="284"/>
      <c r="B236" s="338" t="s">
        <v>165</v>
      </c>
      <c r="C236" s="382"/>
      <c r="D236" s="382"/>
      <c r="E236" s="382"/>
      <c r="F236" s="311"/>
      <c r="G236" s="383"/>
      <c r="H236" s="382"/>
      <c r="I236" s="382"/>
      <c r="J236" s="382"/>
      <c r="K236" s="382"/>
      <c r="L236" s="382"/>
      <c r="M236" s="382"/>
      <c r="N236" s="382"/>
      <c r="O236" s="382"/>
      <c r="P236" s="338">
        <f t="shared" si="1"/>
        <v>3</v>
      </c>
      <c r="Q236" s="384">
        <f t="shared" si="2"/>
        <v>6.9460523269275292E-4</v>
      </c>
      <c r="R236" s="339">
        <f t="shared" si="3"/>
        <v>486</v>
      </c>
      <c r="S236" s="384">
        <f t="shared" si="4"/>
        <v>8.5171859638177318E-4</v>
      </c>
      <c r="T236" s="366"/>
      <c r="U236" s="370"/>
      <c r="V236" s="5"/>
      <c r="W236" s="109"/>
    </row>
    <row r="237" spans="1:23" ht="15.6" x14ac:dyDescent="0.3">
      <c r="A237" s="284"/>
      <c r="B237" s="338" t="s">
        <v>166</v>
      </c>
      <c r="C237" s="382"/>
      <c r="D237" s="382"/>
      <c r="E237" s="382"/>
      <c r="F237" s="311"/>
      <c r="G237" s="383"/>
      <c r="H237" s="382"/>
      <c r="I237" s="382"/>
      <c r="J237" s="382"/>
      <c r="K237" s="382"/>
      <c r="L237" s="382"/>
      <c r="M237" s="382"/>
      <c r="N237" s="382"/>
      <c r="O237" s="382"/>
      <c r="P237" s="338">
        <f t="shared" si="1"/>
        <v>7</v>
      </c>
      <c r="Q237" s="384">
        <f t="shared" si="2"/>
        <v>1.6207455429497568E-3</v>
      </c>
      <c r="R237" s="339">
        <f t="shared" si="3"/>
        <v>1551</v>
      </c>
      <c r="S237" s="384">
        <f t="shared" si="4"/>
        <v>2.7181389773418317E-3</v>
      </c>
      <c r="T237" s="366"/>
      <c r="U237" s="370"/>
      <c r="V237" s="5"/>
    </row>
    <row r="238" spans="1:23" ht="15.6" x14ac:dyDescent="0.3">
      <c r="A238" s="284"/>
      <c r="B238" s="338" t="s">
        <v>167</v>
      </c>
      <c r="C238" s="382"/>
      <c r="D238" s="382"/>
      <c r="E238" s="382"/>
      <c r="F238" s="311"/>
      <c r="G238" s="383"/>
      <c r="H238" s="382"/>
      <c r="I238" s="382"/>
      <c r="J238" s="382"/>
      <c r="K238" s="382"/>
      <c r="L238" s="382"/>
      <c r="M238" s="382"/>
      <c r="N238" s="382"/>
      <c r="O238" s="382"/>
      <c r="P238" s="338">
        <f t="shared" si="1"/>
        <v>11</v>
      </c>
      <c r="Q238" s="384">
        <f t="shared" si="2"/>
        <v>2.5468858532067609E-3</v>
      </c>
      <c r="R238" s="339">
        <f t="shared" si="3"/>
        <v>1844</v>
      </c>
      <c r="S238" s="384">
        <f t="shared" si="4"/>
        <v>3.2316236455308431E-3</v>
      </c>
      <c r="T238" s="366"/>
      <c r="U238" s="370"/>
      <c r="V238" s="5"/>
      <c r="W238" s="109"/>
    </row>
    <row r="239" spans="1:23" ht="15.6" x14ac:dyDescent="0.3">
      <c r="A239" s="284"/>
      <c r="B239" s="338"/>
      <c r="C239" s="382"/>
      <c r="D239" s="382"/>
      <c r="E239" s="382"/>
      <c r="F239" s="311"/>
      <c r="G239" s="383"/>
      <c r="H239" s="382"/>
      <c r="I239" s="382"/>
      <c r="J239" s="382"/>
      <c r="K239" s="382"/>
      <c r="L239" s="382"/>
      <c r="M239" s="382"/>
      <c r="N239" s="382"/>
      <c r="O239" s="382"/>
      <c r="P239" s="338"/>
      <c r="Q239" s="384"/>
      <c r="R239" s="339"/>
      <c r="S239" s="384"/>
      <c r="T239" s="366"/>
      <c r="U239" s="370"/>
      <c r="V239" s="5"/>
    </row>
    <row r="240" spans="1:23" ht="15.6" x14ac:dyDescent="0.3">
      <c r="A240" s="284"/>
      <c r="B240" s="285" t="s">
        <v>120</v>
      </c>
      <c r="C240" s="311"/>
      <c r="D240" s="311"/>
      <c r="E240" s="311"/>
      <c r="F240" s="311"/>
      <c r="G240" s="311"/>
      <c r="H240" s="385"/>
      <c r="I240" s="385"/>
      <c r="J240" s="385"/>
      <c r="K240" s="385"/>
      <c r="L240" s="385"/>
      <c r="M240" s="385"/>
      <c r="N240" s="385"/>
      <c r="O240" s="385"/>
      <c r="P240" s="338">
        <f>SUM(P231:P239)</f>
        <v>4319</v>
      </c>
      <c r="Q240" s="384">
        <f>SUM(Q231:Q239)</f>
        <v>0.99999999999999989</v>
      </c>
      <c r="R240" s="339">
        <f>SUM(R231:R239)</f>
        <v>570611</v>
      </c>
      <c r="S240" s="384">
        <f>SUM(S231:S239)</f>
        <v>0.99999999999999989</v>
      </c>
      <c r="T240" s="311"/>
      <c r="U240" s="317"/>
      <c r="V240" s="5"/>
    </row>
    <row r="241" spans="1:23" ht="15.6" x14ac:dyDescent="0.3">
      <c r="A241" s="355"/>
      <c r="B241" s="350"/>
      <c r="C241" s="356"/>
      <c r="D241" s="356"/>
      <c r="E241" s="356"/>
      <c r="F241" s="357"/>
      <c r="G241" s="334"/>
      <c r="H241" s="334"/>
      <c r="I241" s="334"/>
      <c r="J241" s="334"/>
      <c r="K241" s="334"/>
      <c r="L241" s="334"/>
      <c r="M241" s="334"/>
      <c r="N241" s="334"/>
      <c r="O241" s="334"/>
      <c r="P241" s="334"/>
      <c r="Q241" s="334"/>
      <c r="R241" s="358"/>
      <c r="S241" s="334"/>
      <c r="T241" s="351"/>
      <c r="U241" s="359"/>
      <c r="V241" s="5"/>
    </row>
    <row r="242" spans="1:23" ht="15.6" x14ac:dyDescent="0.3">
      <c r="A242" s="222"/>
      <c r="B242" s="395" t="s">
        <v>169</v>
      </c>
      <c r="C242" s="396"/>
      <c r="D242" s="396"/>
      <c r="E242" s="396"/>
      <c r="F242" s="402"/>
      <c r="G242" s="396"/>
      <c r="H242" s="396"/>
      <c r="I242" s="396"/>
      <c r="J242" s="396"/>
      <c r="K242" s="396"/>
      <c r="L242" s="396"/>
      <c r="M242" s="396"/>
      <c r="N242" s="396"/>
      <c r="O242" s="396"/>
      <c r="P242" s="402" t="s">
        <v>105</v>
      </c>
      <c r="Q242" s="396" t="s">
        <v>106</v>
      </c>
      <c r="R242" s="402" t="s">
        <v>114</v>
      </c>
      <c r="S242" s="396" t="s">
        <v>106</v>
      </c>
      <c r="T242" s="223"/>
      <c r="U242" s="395"/>
      <c r="V242" s="5"/>
    </row>
    <row r="243" spans="1:23" ht="15.6" x14ac:dyDescent="0.3">
      <c r="A243" s="190"/>
      <c r="B243" s="243" t="s">
        <v>91</v>
      </c>
      <c r="C243" s="217"/>
      <c r="D243" s="217"/>
      <c r="E243" s="217"/>
      <c r="F243" s="191"/>
      <c r="G243" s="217"/>
      <c r="H243" s="217"/>
      <c r="I243" s="217"/>
      <c r="J243" s="217"/>
      <c r="K243" s="217"/>
      <c r="L243" s="217"/>
      <c r="M243" s="217"/>
      <c r="N243" s="217"/>
      <c r="O243" s="217"/>
      <c r="P243" s="243">
        <v>4173</v>
      </c>
      <c r="Q243" s="274">
        <f t="shared" ref="Q243:Q250" si="5">P243/$P$252</f>
        <v>0.9933349202570817</v>
      </c>
      <c r="R243" s="251">
        <v>547329</v>
      </c>
      <c r="S243" s="274">
        <f t="shared" ref="S243:S250" si="6">R243/$R$252</f>
        <v>0.99134408485296355</v>
      </c>
      <c r="T243" s="213"/>
      <c r="U243" s="216"/>
      <c r="V243" s="5"/>
    </row>
    <row r="244" spans="1:23" ht="15.6" x14ac:dyDescent="0.3">
      <c r="A244" s="284"/>
      <c r="B244" s="338" t="s">
        <v>92</v>
      </c>
      <c r="C244" s="382"/>
      <c r="D244" s="382"/>
      <c r="E244" s="382"/>
      <c r="F244" s="311"/>
      <c r="G244" s="383"/>
      <c r="H244" s="382"/>
      <c r="I244" s="382"/>
      <c r="J244" s="382"/>
      <c r="K244" s="382"/>
      <c r="L244" s="382"/>
      <c r="M244" s="382"/>
      <c r="N244" s="382"/>
      <c r="O244" s="382"/>
      <c r="P244" s="338">
        <v>23</v>
      </c>
      <c r="Q244" s="384">
        <f t="shared" si="5"/>
        <v>5.474886931682933E-3</v>
      </c>
      <c r="R244" s="339">
        <v>3680</v>
      </c>
      <c r="S244" s="384">
        <f t="shared" si="6"/>
        <v>6.6653625739891472E-3</v>
      </c>
      <c r="T244" s="366"/>
      <c r="U244" s="370"/>
      <c r="V244" s="5"/>
      <c r="W244" s="109"/>
    </row>
    <row r="245" spans="1:23" ht="15.6" x14ac:dyDescent="0.3">
      <c r="A245" s="284"/>
      <c r="B245" s="338" t="s">
        <v>93</v>
      </c>
      <c r="C245" s="382"/>
      <c r="D245" s="382"/>
      <c r="E245" s="382"/>
      <c r="F245" s="311"/>
      <c r="G245" s="383"/>
      <c r="H245" s="382"/>
      <c r="I245" s="382"/>
      <c r="J245" s="382"/>
      <c r="K245" s="382"/>
      <c r="L245" s="382"/>
      <c r="M245" s="382"/>
      <c r="N245" s="382"/>
      <c r="O245" s="382"/>
      <c r="P245" s="338">
        <v>4</v>
      </c>
      <c r="Q245" s="384">
        <f t="shared" si="5"/>
        <v>9.5215424898833611E-4</v>
      </c>
      <c r="R245" s="339">
        <v>800</v>
      </c>
      <c r="S245" s="384">
        <f t="shared" si="6"/>
        <v>1.448991863910684E-3</v>
      </c>
      <c r="T245" s="366"/>
      <c r="U245" s="370"/>
      <c r="V245" s="5"/>
    </row>
    <row r="246" spans="1:23" ht="15.6" x14ac:dyDescent="0.3">
      <c r="A246" s="284"/>
      <c r="B246" s="338" t="s">
        <v>163</v>
      </c>
      <c r="C246" s="382"/>
      <c r="D246" s="382"/>
      <c r="E246" s="382"/>
      <c r="F246" s="311"/>
      <c r="G246" s="383"/>
      <c r="H246" s="382"/>
      <c r="I246" s="382"/>
      <c r="J246" s="382"/>
      <c r="K246" s="382"/>
      <c r="L246" s="382"/>
      <c r="M246" s="382"/>
      <c r="N246" s="382"/>
      <c r="O246" s="382"/>
      <c r="P246" s="338">
        <v>0</v>
      </c>
      <c r="Q246" s="384">
        <f t="shared" si="5"/>
        <v>0</v>
      </c>
      <c r="R246" s="339">
        <v>0</v>
      </c>
      <c r="S246" s="384">
        <f t="shared" si="6"/>
        <v>0</v>
      </c>
      <c r="T246" s="366"/>
      <c r="U246" s="370"/>
      <c r="V246" s="5"/>
      <c r="W246" s="109"/>
    </row>
    <row r="247" spans="1:23" ht="15.6" x14ac:dyDescent="0.3">
      <c r="A247" s="284"/>
      <c r="B247" s="338" t="s">
        <v>164</v>
      </c>
      <c r="C247" s="382"/>
      <c r="D247" s="382"/>
      <c r="E247" s="382"/>
      <c r="F247" s="311"/>
      <c r="G247" s="383"/>
      <c r="H247" s="382"/>
      <c r="I247" s="382"/>
      <c r="J247" s="382"/>
      <c r="K247" s="382"/>
      <c r="L247" s="382"/>
      <c r="M247" s="382"/>
      <c r="N247" s="382"/>
      <c r="O247" s="382"/>
      <c r="P247" s="338">
        <v>0</v>
      </c>
      <c r="Q247" s="384">
        <f t="shared" si="5"/>
        <v>0</v>
      </c>
      <c r="R247" s="339">
        <v>0</v>
      </c>
      <c r="S247" s="384">
        <f t="shared" si="6"/>
        <v>0</v>
      </c>
      <c r="T247" s="366"/>
      <c r="U247" s="370"/>
      <c r="V247" s="5"/>
    </row>
    <row r="248" spans="1:23" ht="15.6" x14ac:dyDescent="0.3">
      <c r="A248" s="284"/>
      <c r="B248" s="338" t="s">
        <v>165</v>
      </c>
      <c r="C248" s="382"/>
      <c r="D248" s="382"/>
      <c r="E248" s="382"/>
      <c r="F248" s="311"/>
      <c r="G248" s="383"/>
      <c r="H248" s="382"/>
      <c r="I248" s="382"/>
      <c r="J248" s="382"/>
      <c r="K248" s="382"/>
      <c r="L248" s="382"/>
      <c r="M248" s="382"/>
      <c r="N248" s="382"/>
      <c r="O248" s="382"/>
      <c r="P248" s="338">
        <v>0</v>
      </c>
      <c r="Q248" s="384">
        <f t="shared" si="5"/>
        <v>0</v>
      </c>
      <c r="R248" s="339">
        <v>0</v>
      </c>
      <c r="S248" s="384">
        <f t="shared" si="6"/>
        <v>0</v>
      </c>
      <c r="T248" s="366"/>
      <c r="U248" s="370"/>
      <c r="V248" s="5"/>
      <c r="W248" s="109"/>
    </row>
    <row r="249" spans="1:23" ht="15.6" x14ac:dyDescent="0.3">
      <c r="A249" s="284"/>
      <c r="B249" s="338" t="s">
        <v>166</v>
      </c>
      <c r="C249" s="382"/>
      <c r="D249" s="382"/>
      <c r="E249" s="382"/>
      <c r="F249" s="311"/>
      <c r="G249" s="383"/>
      <c r="H249" s="382"/>
      <c r="I249" s="382"/>
      <c r="J249" s="382"/>
      <c r="K249" s="382"/>
      <c r="L249" s="382"/>
      <c r="M249" s="382"/>
      <c r="N249" s="382"/>
      <c r="O249" s="382"/>
      <c r="P249" s="338">
        <v>1</v>
      </c>
      <c r="Q249" s="384">
        <f t="shared" si="5"/>
        <v>2.3803856224708403E-4</v>
      </c>
      <c r="R249" s="339">
        <v>299</v>
      </c>
      <c r="S249" s="384">
        <f t="shared" si="6"/>
        <v>5.415607091366182E-4</v>
      </c>
      <c r="T249" s="366"/>
      <c r="U249" s="370"/>
      <c r="V249" s="5"/>
    </row>
    <row r="250" spans="1:23" ht="15.6" x14ac:dyDescent="0.3">
      <c r="A250" s="284"/>
      <c r="B250" s="338" t="s">
        <v>167</v>
      </c>
      <c r="C250" s="382"/>
      <c r="D250" s="382"/>
      <c r="E250" s="382"/>
      <c r="F250" s="311"/>
      <c r="G250" s="383"/>
      <c r="H250" s="382"/>
      <c r="I250" s="382"/>
      <c r="J250" s="382"/>
      <c r="K250" s="382"/>
      <c r="L250" s="382"/>
      <c r="M250" s="382"/>
      <c r="N250" s="382"/>
      <c r="O250" s="382"/>
      <c r="P250" s="338">
        <v>0</v>
      </c>
      <c r="Q250" s="384">
        <f t="shared" si="5"/>
        <v>0</v>
      </c>
      <c r="R250" s="339">
        <v>0</v>
      </c>
      <c r="S250" s="384">
        <f t="shared" si="6"/>
        <v>0</v>
      </c>
      <c r="T250" s="366"/>
      <c r="U250" s="370"/>
      <c r="V250" s="5"/>
      <c r="W250" s="109"/>
    </row>
    <row r="251" spans="1:23" ht="15.6" x14ac:dyDescent="0.3">
      <c r="A251" s="284"/>
      <c r="B251" s="338"/>
      <c r="C251" s="382"/>
      <c r="D251" s="382"/>
      <c r="E251" s="382"/>
      <c r="F251" s="311"/>
      <c r="G251" s="383"/>
      <c r="H251" s="382"/>
      <c r="I251" s="382"/>
      <c r="J251" s="382"/>
      <c r="K251" s="382"/>
      <c r="L251" s="382"/>
      <c r="M251" s="382"/>
      <c r="N251" s="382"/>
      <c r="O251" s="382"/>
      <c r="P251" s="338"/>
      <c r="Q251" s="384"/>
      <c r="R251" s="339"/>
      <c r="S251" s="384"/>
      <c r="T251" s="366"/>
      <c r="U251" s="370"/>
      <c r="V251" s="5"/>
    </row>
    <row r="252" spans="1:23" ht="15.6" x14ac:dyDescent="0.3">
      <c r="A252" s="284"/>
      <c r="B252" s="285" t="s">
        <v>120</v>
      </c>
      <c r="C252" s="311"/>
      <c r="D252" s="311"/>
      <c r="E252" s="311"/>
      <c r="F252" s="311"/>
      <c r="G252" s="311"/>
      <c r="H252" s="385"/>
      <c r="I252" s="385"/>
      <c r="J252" s="385"/>
      <c r="K252" s="385"/>
      <c r="L252" s="385"/>
      <c r="M252" s="385"/>
      <c r="N252" s="385"/>
      <c r="O252" s="385"/>
      <c r="P252" s="338">
        <f>SUM(P243:P251)</f>
        <v>4201</v>
      </c>
      <c r="Q252" s="384">
        <f>SUM(Q243:Q251)</f>
        <v>1</v>
      </c>
      <c r="R252" s="339">
        <f>SUM(R243:R251)</f>
        <v>552108</v>
      </c>
      <c r="S252" s="384">
        <f>SUM(S243:S251)</f>
        <v>1</v>
      </c>
      <c r="T252" s="311"/>
      <c r="U252" s="317"/>
      <c r="V252" s="5"/>
    </row>
    <row r="253" spans="1:23" ht="15.6" x14ac:dyDescent="0.3">
      <c r="A253" s="175"/>
      <c r="B253" s="334"/>
      <c r="C253" s="334"/>
      <c r="D253" s="334"/>
      <c r="E253" s="334"/>
      <c r="F253" s="334"/>
      <c r="G253" s="334"/>
      <c r="H253" s="379"/>
      <c r="I253" s="379"/>
      <c r="J253" s="379"/>
      <c r="K253" s="379"/>
      <c r="L253" s="379"/>
      <c r="M253" s="379"/>
      <c r="N253" s="379"/>
      <c r="O253" s="379"/>
      <c r="P253" s="335"/>
      <c r="Q253" s="380"/>
      <c r="R253" s="381"/>
      <c r="S253" s="380"/>
      <c r="T253" s="334"/>
      <c r="U253" s="334"/>
      <c r="V253" s="5"/>
    </row>
    <row r="254" spans="1:23" ht="15.6" x14ac:dyDescent="0.3">
      <c r="A254" s="268"/>
      <c r="B254" s="395" t="s">
        <v>267</v>
      </c>
      <c r="C254" s="396"/>
      <c r="D254" s="396"/>
      <c r="E254" s="396"/>
      <c r="F254" s="402"/>
      <c r="G254" s="396"/>
      <c r="H254" s="396"/>
      <c r="I254" s="396"/>
      <c r="J254" s="396"/>
      <c r="K254" s="396"/>
      <c r="L254" s="396"/>
      <c r="M254" s="396"/>
      <c r="N254" s="396"/>
      <c r="O254" s="396"/>
      <c r="P254" s="402" t="s">
        <v>105</v>
      </c>
      <c r="Q254" s="396" t="s">
        <v>106</v>
      </c>
      <c r="R254" s="402" t="s">
        <v>114</v>
      </c>
      <c r="S254" s="396" t="s">
        <v>106</v>
      </c>
      <c r="T254" s="269"/>
      <c r="U254" s="270"/>
      <c r="V254" s="5"/>
    </row>
    <row r="255" spans="1:23" ht="15.6" x14ac:dyDescent="0.3">
      <c r="A255" s="190"/>
      <c r="B255" s="243" t="s">
        <v>91</v>
      </c>
      <c r="C255" s="217"/>
      <c r="D255" s="217"/>
      <c r="E255" s="217"/>
      <c r="F255" s="191"/>
      <c r="G255" s="217"/>
      <c r="H255" s="217"/>
      <c r="I255" s="217"/>
      <c r="J255" s="217"/>
      <c r="K255" s="217"/>
      <c r="L255" s="217"/>
      <c r="M255" s="217"/>
      <c r="N255" s="217"/>
      <c r="O255" s="217"/>
      <c r="P255" s="243">
        <v>88</v>
      </c>
      <c r="Q255" s="274">
        <f t="shared" ref="Q255:Q262" si="7">P255/$P$264</f>
        <v>0.74576271186440679</v>
      </c>
      <c r="R255" s="251">
        <v>13620</v>
      </c>
      <c r="S255" s="274">
        <f t="shared" ref="S255:S262" si="8">R255/$R$264</f>
        <v>0.73609684915959572</v>
      </c>
      <c r="T255" s="191"/>
      <c r="U255" s="191"/>
      <c r="V255" s="5"/>
    </row>
    <row r="256" spans="1:23" ht="15.6" x14ac:dyDescent="0.3">
      <c r="A256" s="284"/>
      <c r="B256" s="338" t="s">
        <v>92</v>
      </c>
      <c r="C256" s="382"/>
      <c r="D256" s="382"/>
      <c r="E256" s="382"/>
      <c r="F256" s="311"/>
      <c r="G256" s="383"/>
      <c r="H256" s="382"/>
      <c r="I256" s="382"/>
      <c r="J256" s="382"/>
      <c r="K256" s="382"/>
      <c r="L256" s="382"/>
      <c r="M256" s="382"/>
      <c r="N256" s="382"/>
      <c r="O256" s="382"/>
      <c r="P256" s="338">
        <v>2</v>
      </c>
      <c r="Q256" s="384">
        <f t="shared" si="7"/>
        <v>1.6949152542372881E-2</v>
      </c>
      <c r="R256" s="339">
        <v>173</v>
      </c>
      <c r="S256" s="384">
        <f t="shared" si="8"/>
        <v>9.3498351618656432E-3</v>
      </c>
      <c r="T256" s="311"/>
      <c r="U256" s="317"/>
      <c r="V256" s="5"/>
    </row>
    <row r="257" spans="1:22" ht="15.6" x14ac:dyDescent="0.3">
      <c r="A257" s="284"/>
      <c r="B257" s="338" t="s">
        <v>93</v>
      </c>
      <c r="C257" s="382"/>
      <c r="D257" s="382"/>
      <c r="E257" s="382"/>
      <c r="F257" s="311"/>
      <c r="G257" s="383"/>
      <c r="H257" s="382"/>
      <c r="I257" s="382"/>
      <c r="J257" s="382"/>
      <c r="K257" s="382"/>
      <c r="L257" s="382"/>
      <c r="M257" s="382"/>
      <c r="N257" s="382"/>
      <c r="O257" s="382"/>
      <c r="P257" s="338">
        <v>5</v>
      </c>
      <c r="Q257" s="384">
        <f t="shared" si="7"/>
        <v>4.2372881355932202E-2</v>
      </c>
      <c r="R257" s="339">
        <v>484</v>
      </c>
      <c r="S257" s="384">
        <f t="shared" si="8"/>
        <v>2.615792033724261E-2</v>
      </c>
      <c r="T257" s="311"/>
      <c r="U257" s="317"/>
      <c r="V257" s="5"/>
    </row>
    <row r="258" spans="1:22" ht="15.6" x14ac:dyDescent="0.3">
      <c r="A258" s="284"/>
      <c r="B258" s="338" t="s">
        <v>163</v>
      </c>
      <c r="C258" s="382"/>
      <c r="D258" s="382"/>
      <c r="E258" s="382"/>
      <c r="F258" s="311"/>
      <c r="G258" s="383"/>
      <c r="H258" s="382"/>
      <c r="I258" s="382"/>
      <c r="J258" s="382"/>
      <c r="K258" s="382"/>
      <c r="L258" s="382"/>
      <c r="M258" s="382"/>
      <c r="N258" s="382"/>
      <c r="O258" s="382"/>
      <c r="P258" s="338">
        <v>3</v>
      </c>
      <c r="Q258" s="384">
        <f t="shared" si="7"/>
        <v>2.5423728813559324E-2</v>
      </c>
      <c r="R258" s="339">
        <v>644</v>
      </c>
      <c r="S258" s="384">
        <f t="shared" si="8"/>
        <v>3.4805166729719506E-2</v>
      </c>
      <c r="T258" s="311"/>
      <c r="U258" s="317"/>
      <c r="V258" s="5"/>
    </row>
    <row r="259" spans="1:22" ht="15.6" x14ac:dyDescent="0.3">
      <c r="A259" s="284"/>
      <c r="B259" s="338" t="s">
        <v>164</v>
      </c>
      <c r="C259" s="382"/>
      <c r="D259" s="382"/>
      <c r="E259" s="382"/>
      <c r="F259" s="311"/>
      <c r="G259" s="383"/>
      <c r="H259" s="382"/>
      <c r="I259" s="382"/>
      <c r="J259" s="382"/>
      <c r="K259" s="382"/>
      <c r="L259" s="382"/>
      <c r="M259" s="382"/>
      <c r="N259" s="382"/>
      <c r="O259" s="382"/>
      <c r="P259" s="338">
        <v>0</v>
      </c>
      <c r="Q259" s="384">
        <f t="shared" si="7"/>
        <v>0</v>
      </c>
      <c r="R259" s="339">
        <v>0</v>
      </c>
      <c r="S259" s="384">
        <f t="shared" si="8"/>
        <v>0</v>
      </c>
      <c r="T259" s="311"/>
      <c r="U259" s="317"/>
      <c r="V259" s="5"/>
    </row>
    <row r="260" spans="1:22" ht="15.6" x14ac:dyDescent="0.3">
      <c r="A260" s="284"/>
      <c r="B260" s="338" t="s">
        <v>165</v>
      </c>
      <c r="C260" s="382"/>
      <c r="D260" s="382"/>
      <c r="E260" s="382"/>
      <c r="F260" s="311"/>
      <c r="G260" s="383"/>
      <c r="H260" s="382"/>
      <c r="I260" s="382"/>
      <c r="J260" s="382"/>
      <c r="K260" s="382"/>
      <c r="L260" s="382"/>
      <c r="M260" s="382"/>
      <c r="N260" s="382"/>
      <c r="O260" s="382"/>
      <c r="P260" s="338">
        <v>3</v>
      </c>
      <c r="Q260" s="384">
        <f t="shared" si="7"/>
        <v>2.5423728813559324E-2</v>
      </c>
      <c r="R260" s="339">
        <v>486</v>
      </c>
      <c r="S260" s="384">
        <f t="shared" si="8"/>
        <v>2.6266010917148572E-2</v>
      </c>
      <c r="T260" s="311"/>
      <c r="U260" s="317"/>
      <c r="V260" s="5"/>
    </row>
    <row r="261" spans="1:22" ht="15.6" x14ac:dyDescent="0.3">
      <c r="A261" s="284"/>
      <c r="B261" s="338" t="s">
        <v>166</v>
      </c>
      <c r="C261" s="382"/>
      <c r="D261" s="382"/>
      <c r="E261" s="382"/>
      <c r="F261" s="311"/>
      <c r="G261" s="383"/>
      <c r="H261" s="382"/>
      <c r="I261" s="382"/>
      <c r="J261" s="382"/>
      <c r="K261" s="382"/>
      <c r="L261" s="382"/>
      <c r="M261" s="382"/>
      <c r="N261" s="382"/>
      <c r="O261" s="382"/>
      <c r="P261" s="338">
        <v>6</v>
      </c>
      <c r="Q261" s="384">
        <f t="shared" si="7"/>
        <v>5.0847457627118647E-2</v>
      </c>
      <c r="R261" s="339">
        <v>1252</v>
      </c>
      <c r="S261" s="384">
        <f t="shared" si="8"/>
        <v>6.7664703021131714E-2</v>
      </c>
      <c r="T261" s="311"/>
      <c r="U261" s="317"/>
      <c r="V261" s="5"/>
    </row>
    <row r="262" spans="1:22" ht="15.6" x14ac:dyDescent="0.3">
      <c r="A262" s="284"/>
      <c r="B262" s="338" t="s">
        <v>167</v>
      </c>
      <c r="C262" s="382"/>
      <c r="D262" s="382"/>
      <c r="E262" s="382"/>
      <c r="F262" s="311"/>
      <c r="G262" s="383"/>
      <c r="H262" s="382"/>
      <c r="I262" s="382"/>
      <c r="J262" s="382"/>
      <c r="K262" s="382"/>
      <c r="L262" s="382"/>
      <c r="M262" s="382"/>
      <c r="N262" s="382"/>
      <c r="O262" s="382"/>
      <c r="P262" s="338">
        <v>11</v>
      </c>
      <c r="Q262" s="384">
        <f t="shared" si="7"/>
        <v>9.3220338983050849E-2</v>
      </c>
      <c r="R262" s="339">
        <v>1844</v>
      </c>
      <c r="S262" s="384">
        <f t="shared" si="8"/>
        <v>9.9659514673296229E-2</v>
      </c>
      <c r="T262" s="311"/>
      <c r="U262" s="317"/>
      <c r="V262" s="5"/>
    </row>
    <row r="263" spans="1:22" ht="15.6" x14ac:dyDescent="0.3">
      <c r="A263" s="284"/>
      <c r="B263" s="338"/>
      <c r="C263" s="382"/>
      <c r="D263" s="382"/>
      <c r="E263" s="382"/>
      <c r="F263" s="311"/>
      <c r="G263" s="383"/>
      <c r="H263" s="382"/>
      <c r="I263" s="382"/>
      <c r="J263" s="382"/>
      <c r="K263" s="382"/>
      <c r="L263" s="382"/>
      <c r="M263" s="382"/>
      <c r="N263" s="382"/>
      <c r="O263" s="382"/>
      <c r="P263" s="338"/>
      <c r="Q263" s="384"/>
      <c r="R263" s="339"/>
      <c r="S263" s="384"/>
      <c r="T263" s="311"/>
      <c r="U263" s="317"/>
      <c r="V263" s="5"/>
    </row>
    <row r="264" spans="1:22" ht="15.6" x14ac:dyDescent="0.3">
      <c r="A264" s="284"/>
      <c r="B264" s="285" t="s">
        <v>120</v>
      </c>
      <c r="C264" s="311"/>
      <c r="D264" s="311"/>
      <c r="E264" s="311"/>
      <c r="F264" s="311"/>
      <c r="G264" s="311"/>
      <c r="H264" s="385"/>
      <c r="I264" s="385"/>
      <c r="J264" s="385"/>
      <c r="K264" s="385"/>
      <c r="L264" s="385"/>
      <c r="M264" s="385"/>
      <c r="N264" s="385"/>
      <c r="O264" s="385"/>
      <c r="P264" s="338">
        <f>SUM(P255:P263)</f>
        <v>118</v>
      </c>
      <c r="Q264" s="384">
        <f>SUM(Q255:Q263)</f>
        <v>1</v>
      </c>
      <c r="R264" s="339">
        <f>SUM(R255:R263)</f>
        <v>18503</v>
      </c>
      <c r="S264" s="384">
        <f>SUM(S255:S263)</f>
        <v>1</v>
      </c>
      <c r="T264" s="311"/>
      <c r="U264" s="317"/>
      <c r="V264" s="5"/>
    </row>
    <row r="265" spans="1:22" ht="15.6" x14ac:dyDescent="0.3">
      <c r="A265" s="175"/>
      <c r="B265" s="334"/>
      <c r="C265" s="334"/>
      <c r="D265" s="334"/>
      <c r="E265" s="334"/>
      <c r="F265" s="334"/>
      <c r="G265" s="334"/>
      <c r="H265" s="379"/>
      <c r="I265" s="379"/>
      <c r="J265" s="379"/>
      <c r="K265" s="379"/>
      <c r="L265" s="379"/>
      <c r="M265" s="379"/>
      <c r="N265" s="379"/>
      <c r="O265" s="379"/>
      <c r="P265" s="335"/>
      <c r="Q265" s="380"/>
      <c r="R265" s="381"/>
      <c r="S265" s="380"/>
      <c r="T265" s="334"/>
      <c r="U265" s="334"/>
      <c r="V265" s="5"/>
    </row>
    <row r="266" spans="1:22" ht="15.6" x14ac:dyDescent="0.3">
      <c r="A266" s="268"/>
      <c r="B266" s="395" t="s">
        <v>170</v>
      </c>
      <c r="C266" s="269"/>
      <c r="D266" s="269"/>
      <c r="E266" s="269"/>
      <c r="F266" s="269"/>
      <c r="G266" s="269"/>
      <c r="H266" s="271"/>
      <c r="I266" s="271"/>
      <c r="J266" s="271"/>
      <c r="K266" s="271"/>
      <c r="L266" s="271"/>
      <c r="M266" s="271"/>
      <c r="N266" s="271"/>
      <c r="O266" s="271"/>
      <c r="P266" s="402" t="s">
        <v>105</v>
      </c>
      <c r="Q266" s="396" t="s">
        <v>106</v>
      </c>
      <c r="R266" s="402" t="s">
        <v>114</v>
      </c>
      <c r="S266" s="396" t="s">
        <v>106</v>
      </c>
      <c r="T266" s="269"/>
      <c r="U266" s="270"/>
      <c r="V266" s="5"/>
    </row>
    <row r="267" spans="1:22" ht="15.6" x14ac:dyDescent="0.3">
      <c r="A267" s="190"/>
      <c r="B267" s="243" t="s">
        <v>91</v>
      </c>
      <c r="C267" s="239"/>
      <c r="D267" s="239"/>
      <c r="E267" s="239"/>
      <c r="F267" s="239"/>
      <c r="G267" s="239"/>
      <c r="H267" s="275"/>
      <c r="I267" s="275"/>
      <c r="J267" s="275"/>
      <c r="K267" s="275"/>
      <c r="L267" s="218"/>
      <c r="M267" s="218"/>
      <c r="N267" s="218"/>
      <c r="O267" s="218"/>
      <c r="P267" s="243">
        <v>0</v>
      </c>
      <c r="Q267" s="274">
        <v>0</v>
      </c>
      <c r="R267" s="251">
        <v>0</v>
      </c>
      <c r="S267" s="274">
        <v>0</v>
      </c>
      <c r="T267" s="239"/>
      <c r="U267" s="191"/>
      <c r="V267" s="5"/>
    </row>
    <row r="268" spans="1:22" ht="15.6" x14ac:dyDescent="0.3">
      <c r="A268" s="284"/>
      <c r="B268" s="338" t="s">
        <v>92</v>
      </c>
      <c r="C268" s="285"/>
      <c r="D268" s="285"/>
      <c r="E268" s="285"/>
      <c r="F268" s="285"/>
      <c r="G268" s="285"/>
      <c r="H268" s="387"/>
      <c r="I268" s="387"/>
      <c r="J268" s="387"/>
      <c r="K268" s="387"/>
      <c r="L268" s="385"/>
      <c r="M268" s="385"/>
      <c r="N268" s="385"/>
      <c r="O268" s="385"/>
      <c r="P268" s="338">
        <v>0</v>
      </c>
      <c r="Q268" s="384">
        <v>0</v>
      </c>
      <c r="R268" s="339">
        <v>0</v>
      </c>
      <c r="S268" s="384">
        <v>0</v>
      </c>
      <c r="T268" s="285"/>
      <c r="U268" s="317"/>
      <c r="V268" s="5"/>
    </row>
    <row r="269" spans="1:22" ht="15.6" x14ac:dyDescent="0.3">
      <c r="A269" s="284"/>
      <c r="B269" s="338" t="s">
        <v>93</v>
      </c>
      <c r="C269" s="285"/>
      <c r="D269" s="285"/>
      <c r="E269" s="285"/>
      <c r="F269" s="285"/>
      <c r="G269" s="285"/>
      <c r="H269" s="387"/>
      <c r="I269" s="387"/>
      <c r="J269" s="387"/>
      <c r="K269" s="387"/>
      <c r="L269" s="385"/>
      <c r="M269" s="385"/>
      <c r="N269" s="385"/>
      <c r="O269" s="385"/>
      <c r="P269" s="338">
        <v>0</v>
      </c>
      <c r="Q269" s="384">
        <v>0</v>
      </c>
      <c r="R269" s="339">
        <v>0</v>
      </c>
      <c r="S269" s="384">
        <v>0</v>
      </c>
      <c r="T269" s="285"/>
      <c r="U269" s="317"/>
      <c r="V269" s="5"/>
    </row>
    <row r="270" spans="1:22" ht="15.6" x14ac:dyDescent="0.3">
      <c r="A270" s="284"/>
      <c r="B270" s="338" t="s">
        <v>163</v>
      </c>
      <c r="C270" s="285"/>
      <c r="D270" s="285"/>
      <c r="E270" s="285"/>
      <c r="F270" s="285"/>
      <c r="G270" s="285"/>
      <c r="H270" s="387"/>
      <c r="I270" s="387"/>
      <c r="J270" s="387"/>
      <c r="K270" s="387"/>
      <c r="L270" s="385"/>
      <c r="M270" s="385"/>
      <c r="N270" s="385"/>
      <c r="O270" s="385"/>
      <c r="P270" s="338">
        <v>0</v>
      </c>
      <c r="Q270" s="384">
        <v>0</v>
      </c>
      <c r="R270" s="339">
        <v>0</v>
      </c>
      <c r="S270" s="384">
        <v>0</v>
      </c>
      <c r="T270" s="285"/>
      <c r="U270" s="317"/>
      <c r="V270" s="5"/>
    </row>
    <row r="271" spans="1:22" ht="15.6" x14ac:dyDescent="0.3">
      <c r="A271" s="284"/>
      <c r="B271" s="338" t="s">
        <v>164</v>
      </c>
      <c r="C271" s="285"/>
      <c r="D271" s="285"/>
      <c r="E271" s="285"/>
      <c r="F271" s="285"/>
      <c r="G271" s="285"/>
      <c r="H271" s="387"/>
      <c r="I271" s="387"/>
      <c r="J271" s="387"/>
      <c r="K271" s="387"/>
      <c r="L271" s="385"/>
      <c r="M271" s="385"/>
      <c r="N271" s="385"/>
      <c r="O271" s="385"/>
      <c r="P271" s="338">
        <v>0</v>
      </c>
      <c r="Q271" s="384">
        <v>0</v>
      </c>
      <c r="R271" s="339">
        <v>0</v>
      </c>
      <c r="S271" s="384">
        <v>0</v>
      </c>
      <c r="T271" s="285"/>
      <c r="U271" s="317"/>
      <c r="V271" s="5"/>
    </row>
    <row r="272" spans="1:22" ht="15.6" x14ac:dyDescent="0.3">
      <c r="A272" s="284"/>
      <c r="B272" s="338" t="s">
        <v>165</v>
      </c>
      <c r="C272" s="285"/>
      <c r="D272" s="285"/>
      <c r="E272" s="285"/>
      <c r="F272" s="285"/>
      <c r="G272" s="285"/>
      <c r="H272" s="387"/>
      <c r="I272" s="387"/>
      <c r="J272" s="387"/>
      <c r="K272" s="387"/>
      <c r="L272" s="385"/>
      <c r="M272" s="385"/>
      <c r="N272" s="385"/>
      <c r="O272" s="385"/>
      <c r="P272" s="338">
        <v>0</v>
      </c>
      <c r="Q272" s="384">
        <v>0</v>
      </c>
      <c r="R272" s="339">
        <v>0</v>
      </c>
      <c r="S272" s="384">
        <v>0</v>
      </c>
      <c r="T272" s="285"/>
      <c r="U272" s="317"/>
      <c r="V272" s="5"/>
    </row>
    <row r="273" spans="1:22" ht="15.6" x14ac:dyDescent="0.3">
      <c r="A273" s="284"/>
      <c r="B273" s="338" t="s">
        <v>166</v>
      </c>
      <c r="C273" s="285"/>
      <c r="D273" s="285"/>
      <c r="E273" s="285"/>
      <c r="F273" s="285"/>
      <c r="G273" s="285"/>
      <c r="H273" s="387"/>
      <c r="I273" s="387"/>
      <c r="J273" s="387"/>
      <c r="K273" s="387"/>
      <c r="L273" s="385"/>
      <c r="M273" s="385"/>
      <c r="N273" s="385"/>
      <c r="O273" s="385"/>
      <c r="P273" s="338">
        <v>0</v>
      </c>
      <c r="Q273" s="384">
        <v>0</v>
      </c>
      <c r="R273" s="339">
        <v>0</v>
      </c>
      <c r="S273" s="384">
        <v>0</v>
      </c>
      <c r="T273" s="285"/>
      <c r="U273" s="317"/>
      <c r="V273" s="5"/>
    </row>
    <row r="274" spans="1:22" ht="15.6" x14ac:dyDescent="0.3">
      <c r="A274" s="284"/>
      <c r="B274" s="338" t="s">
        <v>167</v>
      </c>
      <c r="C274" s="285"/>
      <c r="D274" s="285"/>
      <c r="E274" s="285"/>
      <c r="F274" s="285"/>
      <c r="G274" s="285"/>
      <c r="H274" s="387"/>
      <c r="I274" s="387"/>
      <c r="J274" s="387"/>
      <c r="K274" s="387"/>
      <c r="L274" s="385"/>
      <c r="M274" s="385"/>
      <c r="N274" s="385"/>
      <c r="O274" s="385"/>
      <c r="P274" s="338">
        <v>0</v>
      </c>
      <c r="Q274" s="384">
        <v>0</v>
      </c>
      <c r="R274" s="339">
        <v>0</v>
      </c>
      <c r="S274" s="384">
        <v>0</v>
      </c>
      <c r="T274" s="285"/>
      <c r="U274" s="317"/>
      <c r="V274" s="5"/>
    </row>
    <row r="275" spans="1:22" ht="15.6" x14ac:dyDescent="0.3">
      <c r="A275" s="284"/>
      <c r="B275" s="338"/>
      <c r="C275" s="285"/>
      <c r="D275" s="285"/>
      <c r="E275" s="285"/>
      <c r="F275" s="285"/>
      <c r="G275" s="285"/>
      <c r="H275" s="387"/>
      <c r="I275" s="387"/>
      <c r="J275" s="387"/>
      <c r="K275" s="387"/>
      <c r="L275" s="385"/>
      <c r="M275" s="385"/>
      <c r="N275" s="385"/>
      <c r="O275" s="385"/>
      <c r="P275" s="338"/>
      <c r="Q275" s="384"/>
      <c r="R275" s="339"/>
      <c r="S275" s="384"/>
      <c r="T275" s="285"/>
      <c r="U275" s="317"/>
      <c r="V275" s="5"/>
    </row>
    <row r="276" spans="1:22" ht="15.6" x14ac:dyDescent="0.3">
      <c r="A276" s="284"/>
      <c r="B276" s="285" t="s">
        <v>120</v>
      </c>
      <c r="C276" s="285"/>
      <c r="D276" s="285"/>
      <c r="E276" s="285"/>
      <c r="F276" s="285"/>
      <c r="G276" s="285"/>
      <c r="H276" s="387"/>
      <c r="I276" s="387"/>
      <c r="J276" s="387"/>
      <c r="K276" s="387"/>
      <c r="L276" s="385"/>
      <c r="M276" s="385"/>
      <c r="N276" s="385"/>
      <c r="O276" s="385"/>
      <c r="P276" s="338">
        <f>SUM(P267:P274)</f>
        <v>0</v>
      </c>
      <c r="Q276" s="384">
        <f>SUM(Q267:Q275)</f>
        <v>0</v>
      </c>
      <c r="R276" s="339">
        <f>SUM(R267:R274)</f>
        <v>0</v>
      </c>
      <c r="S276" s="384">
        <f>SUM(S267:S275)</f>
        <v>0</v>
      </c>
      <c r="T276" s="285"/>
      <c r="U276" s="317"/>
      <c r="V276" s="5"/>
    </row>
    <row r="277" spans="1:22" ht="15.6" x14ac:dyDescent="0.3">
      <c r="A277" s="284"/>
      <c r="B277" s="285"/>
      <c r="C277" s="285"/>
      <c r="D277" s="285"/>
      <c r="E277" s="285"/>
      <c r="F277" s="285"/>
      <c r="G277" s="285"/>
      <c r="H277" s="387"/>
      <c r="I277" s="387"/>
      <c r="J277" s="387"/>
      <c r="K277" s="387"/>
      <c r="L277" s="385"/>
      <c r="M277" s="385"/>
      <c r="N277" s="385"/>
      <c r="O277" s="385"/>
      <c r="P277" s="344"/>
      <c r="Q277" s="388"/>
      <c r="R277" s="345"/>
      <c r="S277" s="388"/>
      <c r="T277" s="311"/>
      <c r="U277" s="317"/>
      <c r="V277" s="5"/>
    </row>
    <row r="278" spans="1:22" ht="15.6" x14ac:dyDescent="0.3">
      <c r="A278" s="284"/>
      <c r="B278" s="292" t="s">
        <v>171</v>
      </c>
      <c r="C278" s="285"/>
      <c r="D278" s="285"/>
      <c r="E278" s="285"/>
      <c r="F278" s="285"/>
      <c r="G278" s="285"/>
      <c r="H278" s="387"/>
      <c r="I278" s="387"/>
      <c r="J278" s="387"/>
      <c r="K278" s="387"/>
      <c r="L278" s="385"/>
      <c r="M278" s="385"/>
      <c r="N278" s="385"/>
      <c r="O278" s="385"/>
      <c r="P278" s="403">
        <f>P276+P264+P252</f>
        <v>4319</v>
      </c>
      <c r="Q278" s="384"/>
      <c r="R278" s="404">
        <f>+R276+R264+R252</f>
        <v>570611</v>
      </c>
      <c r="S278" s="384"/>
      <c r="T278" s="311"/>
      <c r="U278" s="317"/>
      <c r="V278" s="5"/>
    </row>
    <row r="279" spans="1:22" ht="15.6" x14ac:dyDescent="0.3">
      <c r="A279" s="175"/>
      <c r="B279" s="281"/>
      <c r="C279" s="281"/>
      <c r="D279" s="281"/>
      <c r="E279" s="281"/>
      <c r="F279" s="281"/>
      <c r="G279" s="281"/>
      <c r="H279" s="386"/>
      <c r="I279" s="386"/>
      <c r="J279" s="386"/>
      <c r="K279" s="386"/>
      <c r="L279" s="379"/>
      <c r="M279" s="379"/>
      <c r="N279" s="379"/>
      <c r="O279" s="379"/>
      <c r="P279" s="379"/>
      <c r="Q279" s="379"/>
      <c r="R279" s="381"/>
      <c r="S279" s="379"/>
      <c r="T279" s="334"/>
      <c r="U279" s="334"/>
      <c r="V279" s="5"/>
    </row>
    <row r="280" spans="1:22" ht="15.6" x14ac:dyDescent="0.3">
      <c r="A280" s="175"/>
      <c r="B280" s="231"/>
      <c r="C280" s="231"/>
      <c r="D280" s="231"/>
      <c r="E280" s="231"/>
      <c r="F280" s="231"/>
      <c r="G280" s="231"/>
      <c r="H280" s="276"/>
      <c r="I280" s="276"/>
      <c r="J280" s="276"/>
      <c r="K280" s="276"/>
      <c r="L280" s="219"/>
      <c r="M280" s="219"/>
      <c r="N280" s="219"/>
      <c r="O280" s="219"/>
      <c r="P280" s="219"/>
      <c r="Q280" s="219"/>
      <c r="R280" s="220"/>
      <c r="S280" s="219"/>
      <c r="T280" s="177"/>
      <c r="U280" s="177"/>
      <c r="V280" s="5"/>
    </row>
    <row r="281" spans="1:22" ht="15.6" x14ac:dyDescent="0.3">
      <c r="A281" s="221"/>
      <c r="B281" s="230" t="s">
        <v>94</v>
      </c>
      <c r="C281" s="231"/>
      <c r="D281" s="231"/>
      <c r="E281" s="231"/>
      <c r="F281" s="236" t="s">
        <v>100</v>
      </c>
      <c r="G281" s="231"/>
      <c r="H281" s="230" t="s">
        <v>102</v>
      </c>
      <c r="I281" s="277"/>
      <c r="J281" s="277"/>
      <c r="K281" s="277"/>
      <c r="L281" s="188"/>
      <c r="M281" s="188"/>
      <c r="N281" s="188"/>
      <c r="O281" s="188"/>
      <c r="P281" s="188"/>
      <c r="Q281" s="188"/>
      <c r="R281" s="188"/>
      <c r="S281" s="188"/>
      <c r="T281" s="188"/>
      <c r="U281" s="188"/>
      <c r="V281" s="5"/>
    </row>
    <row r="282" spans="1:22" ht="15.6" x14ac:dyDescent="0.3">
      <c r="A282" s="221"/>
      <c r="B282" s="230" t="s">
        <v>95</v>
      </c>
      <c r="C282" s="230"/>
      <c r="D282" s="230"/>
      <c r="E282" s="230"/>
      <c r="F282" s="278" t="s">
        <v>154</v>
      </c>
      <c r="G282" s="230"/>
      <c r="H282" s="230" t="s">
        <v>158</v>
      </c>
      <c r="I282" s="277"/>
      <c r="J282" s="277"/>
      <c r="K282" s="277"/>
      <c r="L282" s="188"/>
      <c r="M282" s="188"/>
      <c r="N282" s="188"/>
      <c r="O282" s="188"/>
      <c r="P282" s="188"/>
      <c r="Q282" s="188"/>
      <c r="R282" s="188"/>
      <c r="S282" s="188"/>
      <c r="T282" s="188"/>
      <c r="U282" s="188"/>
      <c r="V282" s="5"/>
    </row>
    <row r="283" spans="1:22" ht="15.6" x14ac:dyDescent="0.3">
      <c r="A283" s="221"/>
      <c r="B283" s="230" t="s">
        <v>268</v>
      </c>
      <c r="C283" s="230"/>
      <c r="D283" s="230"/>
      <c r="E283" s="230"/>
      <c r="F283" s="278" t="s">
        <v>269</v>
      </c>
      <c r="G283" s="230"/>
      <c r="H283" s="230" t="s">
        <v>270</v>
      </c>
      <c r="I283" s="277"/>
      <c r="J283" s="277"/>
      <c r="K283" s="277"/>
      <c r="L283" s="188"/>
      <c r="M283" s="188"/>
      <c r="N283" s="188"/>
      <c r="O283" s="188"/>
      <c r="P283" s="188"/>
      <c r="Q283" s="188"/>
      <c r="R283" s="188"/>
      <c r="S283" s="188"/>
      <c r="T283" s="188"/>
      <c r="U283" s="188"/>
      <c r="V283" s="5"/>
    </row>
    <row r="284" spans="1:22" ht="15.6" x14ac:dyDescent="0.3">
      <c r="A284" s="221"/>
      <c r="B284" s="230" t="s">
        <v>96</v>
      </c>
      <c r="C284" s="230"/>
      <c r="D284" s="230"/>
      <c r="E284" s="230"/>
      <c r="F284" s="278" t="s">
        <v>153</v>
      </c>
      <c r="G284" s="230"/>
      <c r="H284" s="230" t="s">
        <v>159</v>
      </c>
      <c r="I284" s="277"/>
      <c r="J284" s="277"/>
      <c r="K284" s="277"/>
      <c r="L284" s="188"/>
      <c r="M284" s="188"/>
      <c r="N284" s="188"/>
      <c r="O284" s="188"/>
      <c r="P284" s="188"/>
      <c r="Q284" s="188"/>
      <c r="R284" s="188"/>
      <c r="S284" s="188"/>
      <c r="T284" s="188"/>
      <c r="U284" s="188"/>
      <c r="V284" s="5"/>
    </row>
    <row r="285" spans="1:22" ht="15.6" x14ac:dyDescent="0.3">
      <c r="A285" s="221"/>
      <c r="B285" s="230"/>
      <c r="C285" s="230"/>
      <c r="D285" s="230"/>
      <c r="E285" s="230"/>
      <c r="F285" s="230"/>
      <c r="G285" s="279"/>
      <c r="H285" s="277"/>
      <c r="I285" s="277"/>
      <c r="J285" s="277"/>
      <c r="K285" s="277"/>
      <c r="L285" s="188"/>
      <c r="M285" s="188"/>
      <c r="N285" s="188"/>
      <c r="O285" s="188"/>
      <c r="P285" s="188"/>
      <c r="Q285" s="188"/>
      <c r="R285" s="188"/>
      <c r="S285" s="188"/>
      <c r="T285" s="188"/>
      <c r="U285" s="188"/>
      <c r="V285" s="5"/>
    </row>
    <row r="286" spans="1:22" ht="15.6" x14ac:dyDescent="0.3">
      <c r="A286" s="221"/>
      <c r="B286" s="230"/>
      <c r="C286" s="230"/>
      <c r="D286" s="230"/>
      <c r="E286" s="230"/>
      <c r="F286" s="230"/>
      <c r="G286" s="279"/>
      <c r="H286" s="277"/>
      <c r="I286" s="277"/>
      <c r="J286" s="277"/>
      <c r="K286" s="277"/>
      <c r="L286" s="188"/>
      <c r="M286" s="188"/>
      <c r="N286" s="188"/>
      <c r="O286" s="188"/>
      <c r="P286" s="188"/>
      <c r="Q286" s="188"/>
      <c r="R286" s="188"/>
      <c r="S286" s="188"/>
      <c r="T286" s="188"/>
      <c r="U286" s="188"/>
      <c r="V286" s="5"/>
    </row>
    <row r="287" spans="1:22" ht="18" thickBot="1" x14ac:dyDescent="0.35">
      <c r="A287" s="221"/>
      <c r="B287" s="280" t="str">
        <f>B192</f>
        <v>PM11 INVESTOR REPORT QUARTER ENDING SEPTEMBER 2011</v>
      </c>
      <c r="C287" s="230"/>
      <c r="D287" s="230"/>
      <c r="E287" s="230"/>
      <c r="F287" s="230"/>
      <c r="G287" s="279"/>
      <c r="H287" s="277"/>
      <c r="I287" s="277"/>
      <c r="J287" s="277"/>
      <c r="K287" s="277"/>
      <c r="L287" s="188"/>
      <c r="M287" s="188"/>
      <c r="N287" s="188"/>
      <c r="O287" s="188"/>
      <c r="P287" s="188"/>
      <c r="Q287" s="188"/>
      <c r="R287" s="188"/>
      <c r="S287" s="188"/>
      <c r="T287" s="188"/>
      <c r="U287" s="188"/>
      <c r="V287" s="5"/>
    </row>
    <row r="288" spans="1:22" x14ac:dyDescent="0.25">
      <c r="A288" s="100"/>
      <c r="B288" s="100"/>
      <c r="C288" s="100"/>
      <c r="D288" s="100"/>
      <c r="E288" s="100"/>
      <c r="F288" s="100"/>
      <c r="G288" s="100"/>
      <c r="H288" s="100"/>
      <c r="I288" s="100"/>
      <c r="J288" s="100"/>
      <c r="K288" s="100"/>
      <c r="L288" s="100"/>
      <c r="M288" s="100"/>
      <c r="N288" s="100"/>
      <c r="O288" s="100"/>
      <c r="P288" s="100"/>
      <c r="Q288" s="100"/>
      <c r="R288" s="100"/>
      <c r="S288" s="100"/>
      <c r="T288" s="100"/>
      <c r="U288" s="100"/>
    </row>
  </sheetData>
  <phoneticPr fontId="0" type="noConversion"/>
  <hyperlinks>
    <hyperlink ref="N228" r:id="rId1" xr:uid="{00000000-0004-0000-1500-000000000000}"/>
    <hyperlink ref="J9" r:id="rId2" xr:uid="{00000000-0004-0000-15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4" max="21" man="1"/>
    <brk id="132" max="14" man="1"/>
    <brk id="192" max="14" man="1"/>
  </rowBreaks>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89CB31"/>
  </sheetPr>
  <dimension ref="A1:X288"/>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08984375" style="1" customWidth="1"/>
    <col min="10" max="10" width="17.81640625" style="1" customWidth="1"/>
    <col min="11" max="11" width="2.1796875" style="1" customWidth="1"/>
    <col min="12" max="12" width="14.81640625" style="1" customWidth="1"/>
    <col min="13" max="13" width="2.1796875" style="1" customWidth="1"/>
    <col min="14" max="14" width="15.54296875" style="1" customWidth="1"/>
    <col min="15" max="15" width="2.08984375" style="1" customWidth="1"/>
    <col min="16" max="16" width="15.54296875" style="1" customWidth="1"/>
    <col min="17" max="18" width="12.81640625" style="1" customWidth="1"/>
    <col min="19" max="19" width="7.81640625" style="1" customWidth="1"/>
    <col min="20" max="20" width="14.81640625" style="1" customWidth="1"/>
    <col min="21" max="21" width="11.81640625" style="1" customWidth="1"/>
    <col min="22" max="16384" width="9.81640625" style="1"/>
  </cols>
  <sheetData>
    <row r="1" spans="1:22" ht="20.399999999999999" x14ac:dyDescent="0.35">
      <c r="A1" s="173"/>
      <c r="B1" s="228" t="s">
        <v>228</v>
      </c>
      <c r="C1" s="174"/>
      <c r="D1" s="174"/>
      <c r="E1" s="174"/>
      <c r="F1" s="174"/>
      <c r="G1" s="174"/>
      <c r="H1" s="174"/>
      <c r="I1" s="174"/>
      <c r="J1" s="174"/>
      <c r="K1" s="174"/>
      <c r="L1" s="174"/>
      <c r="M1" s="174"/>
      <c r="N1" s="174"/>
      <c r="O1" s="174"/>
      <c r="P1" s="174"/>
      <c r="Q1" s="174"/>
      <c r="R1" s="174"/>
      <c r="S1" s="174"/>
      <c r="T1" s="174"/>
      <c r="U1" s="174"/>
      <c r="V1" s="5"/>
    </row>
    <row r="2" spans="1:22" ht="15.6" x14ac:dyDescent="0.3">
      <c r="A2" s="175"/>
      <c r="B2" s="176"/>
      <c r="C2" s="177"/>
      <c r="D2" s="177"/>
      <c r="E2" s="177"/>
      <c r="F2" s="177"/>
      <c r="G2" s="177"/>
      <c r="H2" s="177"/>
      <c r="I2" s="177"/>
      <c r="J2" s="177"/>
      <c r="K2" s="177"/>
      <c r="L2" s="177"/>
      <c r="M2" s="177"/>
      <c r="N2" s="177"/>
      <c r="O2" s="177"/>
      <c r="P2" s="177"/>
      <c r="Q2" s="177"/>
      <c r="R2" s="177"/>
      <c r="S2" s="177"/>
      <c r="T2" s="177"/>
      <c r="U2" s="177"/>
      <c r="V2" s="5"/>
    </row>
    <row r="3" spans="1:22" ht="15.6" x14ac:dyDescent="0.3">
      <c r="A3" s="178"/>
      <c r="B3" s="179" t="s">
        <v>229</v>
      </c>
      <c r="C3" s="177"/>
      <c r="D3" s="177"/>
      <c r="E3" s="177"/>
      <c r="F3" s="177"/>
      <c r="G3" s="177"/>
      <c r="H3" s="177"/>
      <c r="I3" s="177"/>
      <c r="J3" s="177"/>
      <c r="K3" s="177"/>
      <c r="L3" s="177"/>
      <c r="M3" s="177"/>
      <c r="N3" s="177"/>
      <c r="O3" s="177"/>
      <c r="P3" s="177"/>
      <c r="Q3" s="177"/>
      <c r="R3" s="177"/>
      <c r="S3" s="177"/>
      <c r="T3" s="177"/>
      <c r="U3" s="177"/>
      <c r="V3" s="5"/>
    </row>
    <row r="4" spans="1:22" ht="15.6" x14ac:dyDescent="0.3">
      <c r="A4" s="175"/>
      <c r="B4" s="176"/>
      <c r="C4" s="177"/>
      <c r="D4" s="177"/>
      <c r="E4" s="177"/>
      <c r="F4" s="177"/>
      <c r="G4" s="177"/>
      <c r="H4" s="177"/>
      <c r="I4" s="177"/>
      <c r="J4" s="177"/>
      <c r="K4" s="177"/>
      <c r="L4" s="177"/>
      <c r="M4" s="177"/>
      <c r="N4" s="177"/>
      <c r="O4" s="177"/>
      <c r="P4" s="177"/>
      <c r="Q4" s="177"/>
      <c r="R4" s="177"/>
      <c r="S4" s="177"/>
      <c r="T4" s="177"/>
      <c r="U4" s="177"/>
      <c r="V4" s="5"/>
    </row>
    <row r="5" spans="1:22" ht="15.6" x14ac:dyDescent="0.3">
      <c r="A5" s="175"/>
      <c r="B5" s="229" t="s">
        <v>143</v>
      </c>
      <c r="C5" s="177"/>
      <c r="D5" s="177"/>
      <c r="E5" s="177"/>
      <c r="F5" s="177"/>
      <c r="G5" s="177"/>
      <c r="H5" s="177"/>
      <c r="I5" s="177"/>
      <c r="J5" s="177"/>
      <c r="K5" s="177"/>
      <c r="L5" s="177"/>
      <c r="M5" s="177"/>
      <c r="N5" s="177"/>
      <c r="O5" s="177"/>
      <c r="P5" s="177"/>
      <c r="Q5" s="177"/>
      <c r="R5" s="177"/>
      <c r="S5" s="177"/>
      <c r="T5" s="177"/>
      <c r="U5" s="177"/>
      <c r="V5" s="5"/>
    </row>
    <row r="6" spans="1:22" ht="15.6" x14ac:dyDescent="0.3">
      <c r="A6" s="175"/>
      <c r="B6" s="229" t="s">
        <v>145</v>
      </c>
      <c r="C6" s="177"/>
      <c r="D6" s="177"/>
      <c r="E6" s="177"/>
      <c r="F6" s="177"/>
      <c r="G6" s="177"/>
      <c r="H6" s="177"/>
      <c r="I6" s="177"/>
      <c r="J6" s="177"/>
      <c r="K6" s="177"/>
      <c r="L6" s="177"/>
      <c r="M6" s="177"/>
      <c r="N6" s="177"/>
      <c r="O6" s="177"/>
      <c r="P6" s="177"/>
      <c r="Q6" s="177"/>
      <c r="R6" s="177"/>
      <c r="S6" s="177"/>
      <c r="T6" s="177"/>
      <c r="U6" s="177"/>
      <c r="V6" s="5"/>
    </row>
    <row r="7" spans="1:22" ht="15.6" x14ac:dyDescent="0.3">
      <c r="A7" s="175"/>
      <c r="B7" s="229" t="s">
        <v>144</v>
      </c>
      <c r="C7" s="177"/>
      <c r="D7" s="177"/>
      <c r="E7" s="177"/>
      <c r="F7" s="177"/>
      <c r="G7" s="177"/>
      <c r="H7" s="177"/>
      <c r="I7" s="177"/>
      <c r="J7" s="177"/>
      <c r="K7" s="177"/>
      <c r="L7" s="177"/>
      <c r="M7" s="177"/>
      <c r="N7" s="177"/>
      <c r="O7" s="177"/>
      <c r="P7" s="177"/>
      <c r="Q7" s="177"/>
      <c r="R7" s="177"/>
      <c r="S7" s="177"/>
      <c r="T7" s="177"/>
      <c r="U7" s="177"/>
      <c r="V7" s="5"/>
    </row>
    <row r="8" spans="1:22" ht="15.6" x14ac:dyDescent="0.3">
      <c r="A8" s="175"/>
      <c r="B8" s="180"/>
      <c r="C8" s="177"/>
      <c r="D8" s="177"/>
      <c r="E8" s="177"/>
      <c r="F8" s="177"/>
      <c r="G8" s="177"/>
      <c r="H8" s="177"/>
      <c r="I8" s="177"/>
      <c r="J8" s="177"/>
      <c r="K8" s="177"/>
      <c r="L8" s="177"/>
      <c r="M8" s="177"/>
      <c r="N8" s="177"/>
      <c r="O8" s="177"/>
      <c r="P8" s="177"/>
      <c r="Q8" s="177"/>
      <c r="R8" s="177"/>
      <c r="S8" s="177"/>
      <c r="T8" s="177"/>
      <c r="U8" s="177"/>
      <c r="V8" s="5"/>
    </row>
    <row r="9" spans="1:22" ht="17.399999999999999" x14ac:dyDescent="0.3">
      <c r="A9" s="175"/>
      <c r="B9" s="181" t="s">
        <v>173</v>
      </c>
      <c r="C9" s="177"/>
      <c r="D9" s="177"/>
      <c r="E9" s="177"/>
      <c r="F9" s="177"/>
      <c r="G9" s="177"/>
      <c r="H9" s="177"/>
      <c r="I9" s="177"/>
      <c r="J9" s="182" t="s">
        <v>174</v>
      </c>
      <c r="K9" s="177"/>
      <c r="L9" s="182"/>
      <c r="M9" s="177"/>
      <c r="N9" s="177"/>
      <c r="O9" s="177"/>
      <c r="P9" s="177"/>
      <c r="Q9" s="177"/>
      <c r="R9" s="177"/>
      <c r="S9" s="177"/>
      <c r="T9" s="177"/>
      <c r="U9" s="177"/>
      <c r="V9" s="5"/>
    </row>
    <row r="10" spans="1:22" ht="15.6" x14ac:dyDescent="0.3">
      <c r="A10" s="175"/>
      <c r="B10" s="180"/>
      <c r="C10" s="183"/>
      <c r="D10" s="183"/>
      <c r="E10" s="183"/>
      <c r="F10" s="177"/>
      <c r="G10" s="177"/>
      <c r="H10" s="177"/>
      <c r="I10" s="177"/>
      <c r="J10" s="177"/>
      <c r="K10" s="177"/>
      <c r="L10" s="177"/>
      <c r="M10" s="177"/>
      <c r="N10" s="177"/>
      <c r="O10" s="177"/>
      <c r="P10" s="177"/>
      <c r="Q10" s="177"/>
      <c r="R10" s="177"/>
      <c r="S10" s="177"/>
      <c r="T10" s="177"/>
      <c r="U10" s="177"/>
      <c r="V10" s="5"/>
    </row>
    <row r="11" spans="1:22" ht="15.6" x14ac:dyDescent="0.3">
      <c r="A11" s="175"/>
      <c r="B11" s="230" t="s">
        <v>0</v>
      </c>
      <c r="C11" s="177"/>
      <c r="D11" s="177"/>
      <c r="E11" s="177"/>
      <c r="F11" s="177"/>
      <c r="G11" s="177"/>
      <c r="H11" s="177"/>
      <c r="I11" s="177"/>
      <c r="J11" s="177"/>
      <c r="K11" s="177"/>
      <c r="L11" s="177"/>
      <c r="M11" s="177"/>
      <c r="N11" s="177"/>
      <c r="O11" s="177"/>
      <c r="P11" s="177"/>
      <c r="Q11" s="177"/>
      <c r="R11" s="177"/>
      <c r="S11" s="177"/>
      <c r="T11" s="177"/>
      <c r="U11" s="177"/>
      <c r="V11" s="5"/>
    </row>
    <row r="12" spans="1:22" ht="16.2" thickBot="1" x14ac:dyDescent="0.35">
      <c r="A12" s="175"/>
      <c r="B12" s="183"/>
      <c r="C12" s="177"/>
      <c r="D12" s="177"/>
      <c r="E12" s="177"/>
      <c r="F12" s="177"/>
      <c r="G12" s="177"/>
      <c r="H12" s="177"/>
      <c r="I12" s="177"/>
      <c r="J12" s="177"/>
      <c r="K12" s="177"/>
      <c r="L12" s="177"/>
      <c r="M12" s="177"/>
      <c r="N12" s="177"/>
      <c r="O12" s="177"/>
      <c r="P12" s="177"/>
      <c r="Q12" s="177"/>
      <c r="R12" s="177"/>
      <c r="S12" s="177"/>
      <c r="T12" s="177"/>
      <c r="U12" s="177"/>
      <c r="V12" s="5"/>
    </row>
    <row r="13" spans="1:22" ht="15.6" x14ac:dyDescent="0.3">
      <c r="A13" s="173"/>
      <c r="B13" s="174"/>
      <c r="C13" s="174"/>
      <c r="D13" s="174"/>
      <c r="E13" s="174"/>
      <c r="F13" s="174"/>
      <c r="G13" s="174"/>
      <c r="H13" s="174"/>
      <c r="I13" s="174"/>
      <c r="J13" s="174"/>
      <c r="K13" s="174"/>
      <c r="L13" s="174"/>
      <c r="M13" s="174"/>
      <c r="N13" s="174"/>
      <c r="O13" s="174"/>
      <c r="P13" s="174"/>
      <c r="Q13" s="174"/>
      <c r="R13" s="174"/>
      <c r="S13" s="174"/>
      <c r="T13" s="174"/>
      <c r="U13" s="174"/>
      <c r="V13" s="5"/>
    </row>
    <row r="14" spans="1:22" ht="15.6" x14ac:dyDescent="0.3">
      <c r="A14" s="175"/>
      <c r="B14" s="230" t="s">
        <v>1</v>
      </c>
      <c r="C14" s="184"/>
      <c r="D14" s="184"/>
      <c r="E14" s="184"/>
      <c r="F14" s="184"/>
      <c r="G14" s="184"/>
      <c r="H14" s="184"/>
      <c r="I14" s="184"/>
      <c r="J14" s="184"/>
      <c r="K14" s="184"/>
      <c r="L14" s="184"/>
      <c r="M14" s="184"/>
      <c r="N14" s="184"/>
      <c r="O14" s="184"/>
      <c r="P14" s="231"/>
      <c r="Q14" s="231"/>
      <c r="R14" s="231"/>
      <c r="S14" s="231"/>
      <c r="T14" s="233" t="s">
        <v>230</v>
      </c>
      <c r="U14" s="184"/>
      <c r="V14" s="5"/>
    </row>
    <row r="15" spans="1:22" ht="15.6" x14ac:dyDescent="0.3">
      <c r="A15" s="175"/>
      <c r="B15" s="230" t="s">
        <v>2</v>
      </c>
      <c r="C15" s="184"/>
      <c r="D15" s="184"/>
      <c r="E15" s="184"/>
      <c r="F15" s="184"/>
      <c r="G15" s="184"/>
      <c r="H15" s="185"/>
      <c r="I15" s="185"/>
      <c r="J15" s="185"/>
      <c r="K15" s="185"/>
      <c r="L15" s="185"/>
      <c r="M15" s="185"/>
      <c r="N15" s="185"/>
      <c r="O15" s="185"/>
      <c r="P15" s="234" t="s">
        <v>107</v>
      </c>
      <c r="Q15" s="235">
        <v>0.40749999999999997</v>
      </c>
      <c r="R15" s="236" t="s">
        <v>146</v>
      </c>
      <c r="S15" s="235">
        <v>0.59250000000000003</v>
      </c>
      <c r="T15" s="233"/>
      <c r="U15" s="184"/>
      <c r="V15" s="5"/>
    </row>
    <row r="16" spans="1:22" ht="15.6" x14ac:dyDescent="0.3">
      <c r="A16" s="175"/>
      <c r="B16" s="230" t="s">
        <v>3</v>
      </c>
      <c r="C16" s="184"/>
      <c r="D16" s="184"/>
      <c r="E16" s="184"/>
      <c r="F16" s="184"/>
      <c r="G16" s="184"/>
      <c r="H16" s="185"/>
      <c r="I16" s="185"/>
      <c r="J16" s="185"/>
      <c r="K16" s="185"/>
      <c r="L16" s="185"/>
      <c r="M16" s="185"/>
      <c r="N16" s="185"/>
      <c r="O16" s="185"/>
      <c r="P16" s="234" t="s">
        <v>107</v>
      </c>
      <c r="Q16" s="235">
        <v>0.4496</v>
      </c>
      <c r="R16" s="236" t="s">
        <v>146</v>
      </c>
      <c r="S16" s="235">
        <v>0.5504</v>
      </c>
      <c r="T16" s="233"/>
      <c r="U16" s="184"/>
      <c r="V16" s="5"/>
    </row>
    <row r="17" spans="1:22" ht="15.6" x14ac:dyDescent="0.3">
      <c r="A17" s="175"/>
      <c r="B17" s="230" t="s">
        <v>4</v>
      </c>
      <c r="C17" s="184"/>
      <c r="D17" s="184"/>
      <c r="E17" s="184"/>
      <c r="F17" s="184"/>
      <c r="G17" s="184"/>
      <c r="H17" s="184"/>
      <c r="I17" s="184"/>
      <c r="J17" s="184"/>
      <c r="K17" s="184"/>
      <c r="L17" s="184"/>
      <c r="M17" s="184"/>
      <c r="N17" s="184"/>
      <c r="O17" s="184"/>
      <c r="P17" s="231"/>
      <c r="Q17" s="231"/>
      <c r="R17" s="231"/>
      <c r="S17" s="231"/>
      <c r="T17" s="237">
        <v>38799</v>
      </c>
      <c r="U17" s="184"/>
      <c r="V17" s="5"/>
    </row>
    <row r="18" spans="1:22" ht="15.6" x14ac:dyDescent="0.3">
      <c r="A18" s="175"/>
      <c r="B18" s="230" t="s">
        <v>5</v>
      </c>
      <c r="C18" s="184"/>
      <c r="D18" s="184"/>
      <c r="E18" s="184"/>
      <c r="F18" s="184"/>
      <c r="G18" s="184"/>
      <c r="H18" s="184"/>
      <c r="I18" s="184"/>
      <c r="J18" s="184"/>
      <c r="K18" s="184"/>
      <c r="L18" s="184"/>
      <c r="M18" s="184"/>
      <c r="N18" s="184"/>
      <c r="O18" s="184"/>
      <c r="P18" s="231"/>
      <c r="Q18" s="231"/>
      <c r="R18" s="231"/>
      <c r="S18" s="231"/>
      <c r="T18" s="237">
        <v>40928</v>
      </c>
      <c r="U18" s="184"/>
      <c r="V18" s="5"/>
    </row>
    <row r="19" spans="1:22" ht="15.6" x14ac:dyDescent="0.3">
      <c r="A19" s="175"/>
      <c r="B19" s="177"/>
      <c r="C19" s="177"/>
      <c r="D19" s="177"/>
      <c r="E19" s="177"/>
      <c r="F19" s="177"/>
      <c r="G19" s="177"/>
      <c r="H19" s="177"/>
      <c r="I19" s="177"/>
      <c r="J19" s="177"/>
      <c r="K19" s="177"/>
      <c r="L19" s="177"/>
      <c r="M19" s="177"/>
      <c r="N19" s="177"/>
      <c r="O19" s="177"/>
      <c r="P19" s="177"/>
      <c r="Q19" s="177"/>
      <c r="R19" s="177"/>
      <c r="S19" s="177"/>
      <c r="T19" s="186"/>
      <c r="U19" s="177"/>
      <c r="V19" s="5"/>
    </row>
    <row r="20" spans="1:22" ht="15.6" x14ac:dyDescent="0.3">
      <c r="A20" s="175"/>
      <c r="B20" s="232" t="s">
        <v>6</v>
      </c>
      <c r="C20" s="177"/>
      <c r="D20" s="177"/>
      <c r="E20" s="177"/>
      <c r="F20" s="177"/>
      <c r="G20" s="177"/>
      <c r="H20" s="177"/>
      <c r="I20" s="177"/>
      <c r="J20" s="177"/>
      <c r="K20" s="177"/>
      <c r="L20" s="177"/>
      <c r="M20" s="177"/>
      <c r="N20" s="177"/>
      <c r="O20" s="177"/>
      <c r="P20" s="177"/>
      <c r="Q20" s="177"/>
      <c r="R20" s="238" t="s">
        <v>108</v>
      </c>
      <c r="S20" s="177"/>
      <c r="T20" s="188"/>
      <c r="U20" s="177"/>
      <c r="V20" s="5"/>
    </row>
    <row r="21" spans="1:22" ht="15.6" x14ac:dyDescent="0.3">
      <c r="A21" s="175"/>
      <c r="B21" s="177"/>
      <c r="C21" s="177"/>
      <c r="D21" s="177"/>
      <c r="E21" s="177"/>
      <c r="F21" s="177"/>
      <c r="G21" s="177"/>
      <c r="H21" s="177"/>
      <c r="I21" s="177"/>
      <c r="J21" s="177"/>
      <c r="K21" s="177"/>
      <c r="L21" s="177"/>
      <c r="M21" s="177"/>
      <c r="N21" s="177"/>
      <c r="O21" s="177"/>
      <c r="P21" s="177"/>
      <c r="Q21" s="177"/>
      <c r="R21" s="177"/>
      <c r="S21" s="177"/>
      <c r="T21" s="189"/>
      <c r="U21" s="177"/>
      <c r="V21" s="5"/>
    </row>
    <row r="22" spans="1:22" ht="15.6" x14ac:dyDescent="0.3">
      <c r="A22" s="222"/>
      <c r="B22" s="223"/>
      <c r="C22" s="224"/>
      <c r="D22" s="224" t="s">
        <v>184</v>
      </c>
      <c r="E22" s="224"/>
      <c r="F22" s="224" t="s">
        <v>185</v>
      </c>
      <c r="G22" s="224"/>
      <c r="H22" s="224" t="s">
        <v>186</v>
      </c>
      <c r="I22" s="224"/>
      <c r="J22" s="224" t="s">
        <v>187</v>
      </c>
      <c r="K22" s="224"/>
      <c r="L22" s="224" t="s">
        <v>188</v>
      </c>
      <c r="M22" s="224"/>
      <c r="N22" s="224" t="s">
        <v>189</v>
      </c>
      <c r="O22" s="224"/>
      <c r="P22" s="224"/>
      <c r="Q22" s="226"/>
      <c r="R22" s="226"/>
      <c r="S22" s="227"/>
      <c r="T22" s="227"/>
      <c r="U22" s="223"/>
      <c r="V22" s="5"/>
    </row>
    <row r="23" spans="1:22" ht="15.6" x14ac:dyDescent="0.3">
      <c r="A23" s="190"/>
      <c r="B23" s="239" t="s">
        <v>7</v>
      </c>
      <c r="C23" s="240"/>
      <c r="D23" s="240" t="s">
        <v>222</v>
      </c>
      <c r="E23" s="240"/>
      <c r="F23" s="240" t="s">
        <v>147</v>
      </c>
      <c r="G23" s="240"/>
      <c r="H23" s="240" t="s">
        <v>147</v>
      </c>
      <c r="I23" s="240"/>
      <c r="J23" s="240" t="s">
        <v>190</v>
      </c>
      <c r="K23" s="240"/>
      <c r="L23" s="240" t="s">
        <v>190</v>
      </c>
      <c r="M23" s="240"/>
      <c r="N23" s="240" t="s">
        <v>148</v>
      </c>
      <c r="O23" s="240"/>
      <c r="P23" s="240"/>
      <c r="Q23" s="240"/>
      <c r="R23" s="240"/>
      <c r="S23" s="241"/>
      <c r="T23" s="241"/>
      <c r="U23" s="239"/>
      <c r="V23" s="5"/>
    </row>
    <row r="24" spans="1:22" ht="15.6" x14ac:dyDescent="0.3">
      <c r="A24" s="284"/>
      <c r="B24" s="285" t="s">
        <v>8</v>
      </c>
      <c r="C24" s="286"/>
      <c r="D24" s="286" t="s">
        <v>223</v>
      </c>
      <c r="E24" s="286"/>
      <c r="F24" s="286" t="s">
        <v>149</v>
      </c>
      <c r="G24" s="286"/>
      <c r="H24" s="286" t="s">
        <v>149</v>
      </c>
      <c r="I24" s="286"/>
      <c r="J24" s="286" t="s">
        <v>172</v>
      </c>
      <c r="K24" s="286"/>
      <c r="L24" s="286" t="s">
        <v>172</v>
      </c>
      <c r="M24" s="286"/>
      <c r="N24" s="286" t="s">
        <v>150</v>
      </c>
      <c r="O24" s="286"/>
      <c r="P24" s="286"/>
      <c r="Q24" s="286"/>
      <c r="R24" s="286"/>
      <c r="S24" s="287"/>
      <c r="T24" s="287"/>
      <c r="U24" s="288"/>
      <c r="V24" s="5"/>
    </row>
    <row r="25" spans="1:22" ht="15.6" x14ac:dyDescent="0.3">
      <c r="A25" s="289"/>
      <c r="B25" s="285" t="s">
        <v>198</v>
      </c>
      <c r="C25" s="394"/>
      <c r="D25" s="286" t="s">
        <v>224</v>
      </c>
      <c r="E25" s="286"/>
      <c r="F25" s="286" t="s">
        <v>149</v>
      </c>
      <c r="G25" s="286"/>
      <c r="H25" s="286" t="s">
        <v>149</v>
      </c>
      <c r="I25" s="286"/>
      <c r="J25" s="286" t="s">
        <v>172</v>
      </c>
      <c r="K25" s="286"/>
      <c r="L25" s="286" t="s">
        <v>172</v>
      </c>
      <c r="M25" s="286"/>
      <c r="N25" s="286" t="s">
        <v>150</v>
      </c>
      <c r="O25" s="286"/>
      <c r="P25" s="286"/>
      <c r="Q25" s="394"/>
      <c r="R25" s="286"/>
      <c r="S25" s="287"/>
      <c r="T25" s="287"/>
      <c r="U25" s="288"/>
      <c r="V25" s="5"/>
    </row>
    <row r="26" spans="1:22" ht="15.6" x14ac:dyDescent="0.3">
      <c r="A26" s="289"/>
      <c r="B26" s="292" t="s">
        <v>9</v>
      </c>
      <c r="C26" s="394"/>
      <c r="D26" s="394" t="s">
        <v>222</v>
      </c>
      <c r="E26" s="394"/>
      <c r="F26" s="394" t="s">
        <v>147</v>
      </c>
      <c r="G26" s="394"/>
      <c r="H26" s="394" t="s">
        <v>147</v>
      </c>
      <c r="I26" s="394"/>
      <c r="J26" s="394" t="s">
        <v>190</v>
      </c>
      <c r="K26" s="394"/>
      <c r="L26" s="394" t="s">
        <v>190</v>
      </c>
      <c r="M26" s="394"/>
      <c r="N26" s="394" t="s">
        <v>148</v>
      </c>
      <c r="O26" s="394"/>
      <c r="P26" s="394"/>
      <c r="Q26" s="394"/>
      <c r="R26" s="286"/>
      <c r="S26" s="287"/>
      <c r="T26" s="287"/>
      <c r="U26" s="288"/>
      <c r="V26" s="5"/>
    </row>
    <row r="27" spans="1:22" ht="15.6" x14ac:dyDescent="0.3">
      <c r="A27" s="284"/>
      <c r="B27" s="292" t="s">
        <v>199</v>
      </c>
      <c r="C27" s="286"/>
      <c r="D27" s="394" t="s">
        <v>223</v>
      </c>
      <c r="E27" s="394"/>
      <c r="F27" s="394" t="s">
        <v>149</v>
      </c>
      <c r="G27" s="394"/>
      <c r="H27" s="394" t="s">
        <v>149</v>
      </c>
      <c r="I27" s="394"/>
      <c r="J27" s="394" t="s">
        <v>172</v>
      </c>
      <c r="K27" s="394"/>
      <c r="L27" s="394" t="s">
        <v>172</v>
      </c>
      <c r="M27" s="394"/>
      <c r="N27" s="394" t="s">
        <v>150</v>
      </c>
      <c r="O27" s="394"/>
      <c r="P27" s="394"/>
      <c r="Q27" s="286"/>
      <c r="R27" s="293"/>
      <c r="S27" s="287"/>
      <c r="T27" s="287"/>
      <c r="U27" s="288"/>
      <c r="V27" s="5"/>
    </row>
    <row r="28" spans="1:22" ht="15.6" x14ac:dyDescent="0.3">
      <c r="A28" s="284"/>
      <c r="B28" s="292" t="s">
        <v>200</v>
      </c>
      <c r="C28" s="286"/>
      <c r="D28" s="394" t="s">
        <v>302</v>
      </c>
      <c r="E28" s="394"/>
      <c r="F28" s="394" t="s">
        <v>149</v>
      </c>
      <c r="G28" s="394"/>
      <c r="H28" s="394" t="s">
        <v>149</v>
      </c>
      <c r="I28" s="394"/>
      <c r="J28" s="394" t="s">
        <v>172</v>
      </c>
      <c r="K28" s="394"/>
      <c r="L28" s="394" t="s">
        <v>172</v>
      </c>
      <c r="M28" s="394"/>
      <c r="N28" s="394" t="s">
        <v>150</v>
      </c>
      <c r="O28" s="394"/>
      <c r="P28" s="394"/>
      <c r="Q28" s="286"/>
      <c r="R28" s="293"/>
      <c r="S28" s="287"/>
      <c r="T28" s="287"/>
      <c r="U28" s="288"/>
      <c r="V28" s="5"/>
    </row>
    <row r="29" spans="1:22" ht="15.6" x14ac:dyDescent="0.3">
      <c r="A29" s="284"/>
      <c r="B29" s="285" t="s">
        <v>10</v>
      </c>
      <c r="C29" s="295"/>
      <c r="D29" s="286" t="s">
        <v>237</v>
      </c>
      <c r="E29" s="286"/>
      <c r="F29" s="293" t="s">
        <v>238</v>
      </c>
      <c r="G29" s="286"/>
      <c r="H29" s="286" t="s">
        <v>239</v>
      </c>
      <c r="I29" s="286"/>
      <c r="J29" s="286" t="s">
        <v>240</v>
      </c>
      <c r="K29" s="286"/>
      <c r="L29" s="286" t="s">
        <v>241</v>
      </c>
      <c r="M29" s="286"/>
      <c r="N29" s="286" t="s">
        <v>242</v>
      </c>
      <c r="O29" s="286"/>
      <c r="P29" s="286"/>
      <c r="Q29" s="296"/>
      <c r="R29" s="296"/>
      <c r="S29" s="297"/>
      <c r="T29" s="296"/>
      <c r="U29" s="298"/>
      <c r="V29" s="5"/>
    </row>
    <row r="30" spans="1:22" ht="15.6" x14ac:dyDescent="0.3">
      <c r="A30" s="284"/>
      <c r="B30" s="285" t="s">
        <v>10</v>
      </c>
      <c r="C30" s="295"/>
      <c r="D30" s="286" t="s">
        <v>236</v>
      </c>
      <c r="E30" s="286"/>
      <c r="F30" s="293" t="s">
        <v>124</v>
      </c>
      <c r="G30" s="286"/>
      <c r="H30" s="286" t="s">
        <v>124</v>
      </c>
      <c r="I30" s="286"/>
      <c r="J30" s="286" t="s">
        <v>124</v>
      </c>
      <c r="K30" s="286"/>
      <c r="L30" s="286" t="s">
        <v>124</v>
      </c>
      <c r="M30" s="286"/>
      <c r="N30" s="286" t="s">
        <v>124</v>
      </c>
      <c r="O30" s="286"/>
      <c r="P30" s="286"/>
      <c r="Q30" s="296"/>
      <c r="R30" s="296"/>
      <c r="S30" s="297"/>
      <c r="T30" s="296"/>
      <c r="U30" s="298"/>
      <c r="V30" s="5"/>
    </row>
    <row r="31" spans="1:22" ht="15.6" x14ac:dyDescent="0.3">
      <c r="A31" s="289"/>
      <c r="B31" s="285" t="s">
        <v>139</v>
      </c>
      <c r="C31" s="299"/>
      <c r="D31" s="300">
        <v>985000</v>
      </c>
      <c r="E31" s="295"/>
      <c r="F31" s="296">
        <v>149500</v>
      </c>
      <c r="G31" s="296"/>
      <c r="H31" s="301">
        <v>219700</v>
      </c>
      <c r="I31" s="296"/>
      <c r="J31" s="296">
        <v>16000</v>
      </c>
      <c r="K31" s="296"/>
      <c r="L31" s="301">
        <v>82400</v>
      </c>
      <c r="M31" s="296"/>
      <c r="N31" s="301">
        <v>87500</v>
      </c>
      <c r="O31" s="296"/>
      <c r="P31" s="301"/>
      <c r="Q31" s="302"/>
      <c r="R31" s="302"/>
      <c r="S31" s="303"/>
      <c r="T31" s="302"/>
      <c r="U31" s="298"/>
      <c r="V31" s="5"/>
    </row>
    <row r="32" spans="1:22" ht="15.6" x14ac:dyDescent="0.3">
      <c r="A32" s="284"/>
      <c r="B32" s="285" t="s">
        <v>138</v>
      </c>
      <c r="C32" s="295"/>
      <c r="D32" s="300">
        <f>D38*D31</f>
        <v>497391.90400000004</v>
      </c>
      <c r="E32" s="295"/>
      <c r="F32" s="296">
        <f>F38*F31</f>
        <v>75492.596399999995</v>
      </c>
      <c r="G32" s="296"/>
      <c r="H32" s="301">
        <f>H38*H31</f>
        <v>110941.29383999998</v>
      </c>
      <c r="I32" s="296"/>
      <c r="J32" s="296">
        <f>+J31</f>
        <v>16000</v>
      </c>
      <c r="K32" s="296"/>
      <c r="L32" s="301">
        <f>+L31</f>
        <v>82400</v>
      </c>
      <c r="M32" s="296"/>
      <c r="N32" s="301">
        <f>+N31</f>
        <v>87500</v>
      </c>
      <c r="O32" s="296"/>
      <c r="P32" s="301"/>
      <c r="Q32" s="296"/>
      <c r="R32" s="296"/>
      <c r="S32" s="297"/>
      <c r="T32" s="296"/>
      <c r="U32" s="298"/>
      <c r="V32" s="5"/>
    </row>
    <row r="33" spans="1:22" ht="15.6" x14ac:dyDescent="0.3">
      <c r="A33" s="284"/>
      <c r="B33" s="292" t="s">
        <v>140</v>
      </c>
      <c r="C33" s="295"/>
      <c r="D33" s="304">
        <f>D37*D31</f>
        <v>493146.75099999999</v>
      </c>
      <c r="E33" s="299"/>
      <c r="F33" s="302">
        <f>F37*F31</f>
        <v>74848.281300000002</v>
      </c>
      <c r="G33" s="302"/>
      <c r="H33" s="305">
        <f>H31*H37</f>
        <v>109994.43078000001</v>
      </c>
      <c r="I33" s="302"/>
      <c r="J33" s="302">
        <f>J31*J37</f>
        <v>16000</v>
      </c>
      <c r="K33" s="302"/>
      <c r="L33" s="305">
        <f>L31*L37</f>
        <v>82400</v>
      </c>
      <c r="M33" s="302"/>
      <c r="N33" s="305">
        <f>N31*N37</f>
        <v>87500</v>
      </c>
      <c r="O33" s="302"/>
      <c r="P33" s="305"/>
      <c r="Q33" s="296"/>
      <c r="R33" s="296"/>
      <c r="S33" s="297"/>
      <c r="T33" s="296"/>
      <c r="U33" s="298"/>
      <c r="V33" s="5"/>
    </row>
    <row r="34" spans="1:22" ht="15.6" x14ac:dyDescent="0.3">
      <c r="A34" s="289"/>
      <c r="B34" s="285" t="s">
        <v>283</v>
      </c>
      <c r="C34" s="299"/>
      <c r="D34" s="296">
        <v>567282</v>
      </c>
      <c r="E34" s="295"/>
      <c r="F34" s="296">
        <v>149500</v>
      </c>
      <c r="G34" s="296"/>
      <c r="H34" s="296">
        <v>150716</v>
      </c>
      <c r="I34" s="296"/>
      <c r="J34" s="296">
        <v>16000</v>
      </c>
      <c r="K34" s="296"/>
      <c r="L34" s="296">
        <v>56527</v>
      </c>
      <c r="M34" s="296"/>
      <c r="N34" s="296">
        <v>60025</v>
      </c>
      <c r="O34" s="296"/>
      <c r="P34" s="296"/>
      <c r="Q34" s="302"/>
      <c r="R34" s="302"/>
      <c r="S34" s="303"/>
      <c r="T34" s="296">
        <f>SUM(C34:P34)</f>
        <v>1000050</v>
      </c>
      <c r="U34" s="298"/>
      <c r="V34" s="5"/>
    </row>
    <row r="35" spans="1:22" ht="15.6" x14ac:dyDescent="0.3">
      <c r="A35" s="289"/>
      <c r="B35" s="285" t="s">
        <v>284</v>
      </c>
      <c r="C35" s="299"/>
      <c r="D35" s="296">
        <f>D38*D34</f>
        <v>286458.34932480002</v>
      </c>
      <c r="E35" s="295"/>
      <c r="F35" s="296">
        <f>F38*F34</f>
        <v>75492.596399999995</v>
      </c>
      <c r="G35" s="296"/>
      <c r="H35" s="296">
        <f>H38*H34</f>
        <v>76106.636515199993</v>
      </c>
      <c r="I35" s="296"/>
      <c r="J35" s="296">
        <f>+J34</f>
        <v>16000</v>
      </c>
      <c r="K35" s="296"/>
      <c r="L35" s="296">
        <f>+L34</f>
        <v>56527</v>
      </c>
      <c r="M35" s="296"/>
      <c r="N35" s="296">
        <f>+N34</f>
        <v>60025</v>
      </c>
      <c r="O35" s="296"/>
      <c r="P35" s="296"/>
      <c r="Q35" s="296"/>
      <c r="R35" s="296"/>
      <c r="S35" s="297"/>
      <c r="T35" s="296">
        <f>SUM(C35:P35)+1</f>
        <v>570610.58224000002</v>
      </c>
      <c r="U35" s="298"/>
      <c r="V35" s="5"/>
    </row>
    <row r="36" spans="1:22" ht="15.6" x14ac:dyDescent="0.3">
      <c r="A36" s="289"/>
      <c r="B36" s="292" t="s">
        <v>285</v>
      </c>
      <c r="C36" s="299"/>
      <c r="D36" s="302">
        <f>D37*D34</f>
        <v>284013.47736120003</v>
      </c>
      <c r="E36" s="299"/>
      <c r="F36" s="302">
        <f>F37*F34</f>
        <v>74848.281300000002</v>
      </c>
      <c r="G36" s="302"/>
      <c r="H36" s="302">
        <f>H37*H34</f>
        <v>75457.080698400008</v>
      </c>
      <c r="I36" s="302"/>
      <c r="J36" s="302">
        <f>+J34</f>
        <v>16000</v>
      </c>
      <c r="K36" s="302"/>
      <c r="L36" s="302">
        <f>+L34</f>
        <v>56527</v>
      </c>
      <c r="M36" s="302"/>
      <c r="N36" s="302">
        <f>+N34</f>
        <v>60025</v>
      </c>
      <c r="O36" s="302"/>
      <c r="P36" s="302"/>
      <c r="Q36" s="327"/>
      <c r="R36" s="327"/>
      <c r="S36" s="297"/>
      <c r="T36" s="302">
        <f>SUM(C36:P36)+1</f>
        <v>566871.8393596001</v>
      </c>
      <c r="U36" s="298"/>
      <c r="V36" s="5"/>
    </row>
    <row r="37" spans="1:22" ht="15.6" x14ac:dyDescent="0.3">
      <c r="A37" s="284"/>
      <c r="B37" s="310" t="s">
        <v>136</v>
      </c>
      <c r="C37" s="311"/>
      <c r="D37" s="312">
        <v>0.50065660000000001</v>
      </c>
      <c r="E37" s="313"/>
      <c r="F37" s="312">
        <v>0.50065740000000003</v>
      </c>
      <c r="G37" s="314"/>
      <c r="H37" s="312">
        <v>0.50065740000000003</v>
      </c>
      <c r="I37" s="314"/>
      <c r="J37" s="312">
        <v>1</v>
      </c>
      <c r="K37" s="314"/>
      <c r="L37" s="312">
        <v>1</v>
      </c>
      <c r="M37" s="314"/>
      <c r="N37" s="312">
        <v>1</v>
      </c>
      <c r="O37" s="314"/>
      <c r="P37" s="314"/>
      <c r="Q37" s="315"/>
      <c r="R37" s="315"/>
      <c r="S37" s="316"/>
      <c r="T37" s="316"/>
      <c r="U37" s="317"/>
      <c r="V37" s="5"/>
    </row>
    <row r="38" spans="1:22" ht="15.6" x14ac:dyDescent="0.3">
      <c r="A38" s="284"/>
      <c r="B38" s="310" t="s">
        <v>137</v>
      </c>
      <c r="C38" s="311"/>
      <c r="D38" s="312">
        <v>0.50496640000000004</v>
      </c>
      <c r="E38" s="313"/>
      <c r="F38" s="312">
        <v>0.50496719999999995</v>
      </c>
      <c r="G38" s="314"/>
      <c r="H38" s="312">
        <v>0.50496719999999995</v>
      </c>
      <c r="I38" s="314"/>
      <c r="J38" s="312">
        <v>1</v>
      </c>
      <c r="K38" s="312"/>
      <c r="L38" s="312">
        <v>1</v>
      </c>
      <c r="M38" s="312"/>
      <c r="N38" s="312">
        <v>1</v>
      </c>
      <c r="O38" s="314"/>
      <c r="P38" s="314"/>
      <c r="Q38" s="318"/>
      <c r="R38" s="319"/>
      <c r="S38" s="316"/>
      <c r="T38" s="318"/>
      <c r="U38" s="317"/>
      <c r="V38" s="5"/>
    </row>
    <row r="39" spans="1:22" ht="15.6" x14ac:dyDescent="0.3">
      <c r="A39" s="284"/>
      <c r="B39" s="285" t="s">
        <v>11</v>
      </c>
      <c r="C39" s="285"/>
      <c r="D39" s="293" t="s">
        <v>275</v>
      </c>
      <c r="E39" s="285"/>
      <c r="F39" s="293" t="s">
        <v>232</v>
      </c>
      <c r="G39" s="293"/>
      <c r="H39" s="293" t="s">
        <v>232</v>
      </c>
      <c r="I39" s="293"/>
      <c r="J39" s="293" t="s">
        <v>234</v>
      </c>
      <c r="K39" s="293"/>
      <c r="L39" s="293" t="s">
        <v>234</v>
      </c>
      <c r="M39" s="293"/>
      <c r="N39" s="293" t="s">
        <v>235</v>
      </c>
      <c r="O39" s="293"/>
      <c r="P39" s="293"/>
      <c r="Q39" s="320"/>
      <c r="R39" s="321"/>
      <c r="S39" s="287"/>
      <c r="T39" s="287"/>
      <c r="U39" s="288"/>
      <c r="V39" s="5"/>
    </row>
    <row r="40" spans="1:22" ht="15.6" x14ac:dyDescent="0.3">
      <c r="A40" s="284"/>
      <c r="B40" s="285" t="s">
        <v>12</v>
      </c>
      <c r="C40" s="285"/>
      <c r="D40" s="321">
        <v>3.7829999999999999E-3</v>
      </c>
      <c r="E40" s="285"/>
      <c r="F40" s="321">
        <v>1.20669E-2</v>
      </c>
      <c r="G40" s="320"/>
      <c r="H40" s="321">
        <v>1.8120000000000001E-2</v>
      </c>
      <c r="I40" s="320"/>
      <c r="J40" s="321">
        <v>1.44669E-2</v>
      </c>
      <c r="K40" s="320"/>
      <c r="L40" s="321">
        <v>2.052E-2</v>
      </c>
      <c r="M40" s="320"/>
      <c r="N40" s="321">
        <v>2.4719999999999999E-2</v>
      </c>
      <c r="O40" s="320"/>
      <c r="P40" s="321"/>
      <c r="Q40" s="320"/>
      <c r="R40" s="321"/>
      <c r="S40" s="287"/>
      <c r="T40" s="293"/>
      <c r="U40" s="288"/>
      <c r="V40" s="5"/>
    </row>
    <row r="41" spans="1:22" ht="15.6" x14ac:dyDescent="0.3">
      <c r="A41" s="284"/>
      <c r="B41" s="285" t="s">
        <v>13</v>
      </c>
      <c r="C41" s="285"/>
      <c r="D41" s="321">
        <v>3.29E-3</v>
      </c>
      <c r="E41" s="285"/>
      <c r="F41" s="321">
        <v>1.06719E-2</v>
      </c>
      <c r="G41" s="320"/>
      <c r="H41" s="321">
        <v>1.8450000000000001E-2</v>
      </c>
      <c r="I41" s="320"/>
      <c r="J41" s="321">
        <v>1.3071899999999999E-2</v>
      </c>
      <c r="K41" s="320"/>
      <c r="L41" s="321">
        <v>2.085E-2</v>
      </c>
      <c r="M41" s="320"/>
      <c r="N41" s="321">
        <v>2.5049999999999999E-2</v>
      </c>
      <c r="O41" s="320"/>
      <c r="P41" s="321"/>
      <c r="Q41" s="320"/>
      <c r="R41" s="321"/>
      <c r="S41" s="287"/>
      <c r="T41" s="320" t="s">
        <v>201</v>
      </c>
      <c r="U41" s="288"/>
      <c r="V41" s="5"/>
    </row>
    <row r="42" spans="1:22" ht="15.6" x14ac:dyDescent="0.3">
      <c r="A42" s="284"/>
      <c r="B42" s="285" t="s">
        <v>286</v>
      </c>
      <c r="C42" s="285"/>
      <c r="D42" s="293" t="s">
        <v>231</v>
      </c>
      <c r="E42" s="285"/>
      <c r="F42" s="293" t="s">
        <v>232</v>
      </c>
      <c r="G42" s="293"/>
      <c r="H42" s="293" t="s">
        <v>232</v>
      </c>
      <c r="I42" s="293"/>
      <c r="J42" s="293" t="s">
        <v>234</v>
      </c>
      <c r="K42" s="293"/>
      <c r="L42" s="293" t="s">
        <v>245</v>
      </c>
      <c r="M42" s="293"/>
      <c r="N42" s="293" t="s">
        <v>247</v>
      </c>
      <c r="O42" s="293"/>
      <c r="P42" s="293"/>
      <c r="Q42" s="320"/>
      <c r="R42" s="321"/>
      <c r="S42" s="287"/>
      <c r="T42" s="287"/>
      <c r="U42" s="288"/>
      <c r="V42" s="5"/>
    </row>
    <row r="43" spans="1:22" ht="15.6" x14ac:dyDescent="0.3">
      <c r="A43" s="284"/>
      <c r="B43" s="285" t="s">
        <v>287</v>
      </c>
      <c r="C43" s="322"/>
      <c r="D43" s="321">
        <v>1.0903100000000001E-2</v>
      </c>
      <c r="E43" s="321"/>
      <c r="F43" s="321">
        <f>+F40</f>
        <v>1.20669E-2</v>
      </c>
      <c r="G43" s="321"/>
      <c r="H43" s="321">
        <v>1.20629E-2</v>
      </c>
      <c r="I43" s="321"/>
      <c r="J43" s="321">
        <f>+J40</f>
        <v>1.44669E-2</v>
      </c>
      <c r="K43" s="321"/>
      <c r="L43" s="321">
        <v>1.47729E-2</v>
      </c>
      <c r="M43" s="321"/>
      <c r="N43" s="321">
        <v>1.9476899999999998E-2</v>
      </c>
      <c r="O43" s="320"/>
      <c r="P43" s="321"/>
      <c r="Q43" s="293"/>
      <c r="R43" s="293"/>
      <c r="S43" s="287"/>
      <c r="T43" s="320">
        <f>SUMPRODUCT(D43:N43,D35:N35)/T35</f>
        <v>1.2596947287981291E-2</v>
      </c>
      <c r="U43" s="288"/>
      <c r="V43" s="5"/>
    </row>
    <row r="44" spans="1:22" ht="15.6" x14ac:dyDescent="0.3">
      <c r="A44" s="284"/>
      <c r="B44" s="285" t="s">
        <v>288</v>
      </c>
      <c r="C44" s="322"/>
      <c r="D44" s="321">
        <v>9.5081000000000002E-3</v>
      </c>
      <c r="E44" s="321"/>
      <c r="F44" s="321">
        <f>+F41</f>
        <v>1.06719E-2</v>
      </c>
      <c r="G44" s="321"/>
      <c r="H44" s="321">
        <v>1.0667899999999999E-2</v>
      </c>
      <c r="I44" s="321"/>
      <c r="J44" s="321">
        <f>+J41</f>
        <v>1.3071899999999999E-2</v>
      </c>
      <c r="K44" s="321"/>
      <c r="L44" s="321">
        <v>1.33779E-2</v>
      </c>
      <c r="M44" s="321"/>
      <c r="N44" s="321">
        <v>1.8081900000000001E-2</v>
      </c>
      <c r="O44" s="320"/>
      <c r="P44" s="321"/>
      <c r="Q44" s="293"/>
      <c r="R44" s="293"/>
      <c r="S44" s="287"/>
      <c r="T44" s="287"/>
      <c r="U44" s="288"/>
      <c r="V44" s="5"/>
    </row>
    <row r="45" spans="1:22" ht="15.6" x14ac:dyDescent="0.3">
      <c r="A45" s="284"/>
      <c r="B45" s="285" t="s">
        <v>14</v>
      </c>
      <c r="C45" s="285"/>
      <c r="D45" s="322">
        <v>40283</v>
      </c>
      <c r="E45" s="322"/>
      <c r="F45" s="322">
        <v>40283</v>
      </c>
      <c r="G45" s="322"/>
      <c r="H45" s="322">
        <v>40283</v>
      </c>
      <c r="I45" s="322"/>
      <c r="J45" s="322">
        <v>40283</v>
      </c>
      <c r="K45" s="322"/>
      <c r="L45" s="322">
        <v>40283</v>
      </c>
      <c r="M45" s="322"/>
      <c r="N45" s="322">
        <v>40283</v>
      </c>
      <c r="O45" s="322"/>
      <c r="P45" s="322"/>
      <c r="Q45" s="293"/>
      <c r="R45" s="293"/>
      <c r="S45" s="287"/>
      <c r="T45" s="287"/>
      <c r="U45" s="288"/>
      <c r="V45" s="5"/>
    </row>
    <row r="46" spans="1:22" ht="15.6" x14ac:dyDescent="0.3">
      <c r="A46" s="284"/>
      <c r="B46" s="285" t="s">
        <v>15</v>
      </c>
      <c r="C46" s="285"/>
      <c r="D46" s="322">
        <v>40648</v>
      </c>
      <c r="E46" s="322"/>
      <c r="F46" s="322">
        <v>40648</v>
      </c>
      <c r="G46" s="322"/>
      <c r="H46" s="322">
        <v>40648</v>
      </c>
      <c r="I46" s="293"/>
      <c r="J46" s="322">
        <v>40648</v>
      </c>
      <c r="K46" s="293"/>
      <c r="L46" s="322">
        <v>40648</v>
      </c>
      <c r="M46" s="293"/>
      <c r="N46" s="322">
        <v>40648</v>
      </c>
      <c r="O46" s="293"/>
      <c r="P46" s="322"/>
      <c r="Q46" s="293"/>
      <c r="R46" s="293"/>
      <c r="S46" s="287"/>
      <c r="T46" s="287"/>
      <c r="U46" s="288"/>
      <c r="V46" s="5"/>
    </row>
    <row r="47" spans="1:22" ht="15.6" x14ac:dyDescent="0.3">
      <c r="A47" s="284"/>
      <c r="B47" s="285" t="s">
        <v>125</v>
      </c>
      <c r="C47" s="285"/>
      <c r="D47" s="293" t="s">
        <v>124</v>
      </c>
      <c r="E47" s="285"/>
      <c r="F47" s="293" t="s">
        <v>232</v>
      </c>
      <c r="G47" s="293"/>
      <c r="H47" s="293" t="s">
        <v>232</v>
      </c>
      <c r="I47" s="293"/>
      <c r="J47" s="293" t="s">
        <v>234</v>
      </c>
      <c r="K47" s="293"/>
      <c r="L47" s="293" t="s">
        <v>234</v>
      </c>
      <c r="M47" s="293"/>
      <c r="N47" s="293" t="s">
        <v>235</v>
      </c>
      <c r="O47" s="293"/>
      <c r="P47" s="293"/>
      <c r="Q47" s="324"/>
      <c r="R47" s="324"/>
      <c r="S47" s="324"/>
      <c r="T47" s="324"/>
      <c r="U47" s="288"/>
      <c r="V47" s="5"/>
    </row>
    <row r="48" spans="1:22" ht="15.6" x14ac:dyDescent="0.3">
      <c r="A48" s="284"/>
      <c r="B48" s="285" t="s">
        <v>289</v>
      </c>
      <c r="C48" s="285"/>
      <c r="D48" s="293" t="s">
        <v>208</v>
      </c>
      <c r="E48" s="285"/>
      <c r="F48" s="293" t="s">
        <v>232</v>
      </c>
      <c r="G48" s="293"/>
      <c r="H48" s="293" t="s">
        <v>232</v>
      </c>
      <c r="I48" s="293"/>
      <c r="J48" s="293" t="s">
        <v>234</v>
      </c>
      <c r="K48" s="293"/>
      <c r="L48" s="293" t="s">
        <v>245</v>
      </c>
      <c r="M48" s="293"/>
      <c r="N48" s="293" t="s">
        <v>247</v>
      </c>
      <c r="O48" s="293"/>
      <c r="P48" s="293"/>
      <c r="Q48" s="285"/>
      <c r="R48" s="285"/>
      <c r="S48" s="285"/>
      <c r="T48" s="320"/>
      <c r="U48" s="288"/>
      <c r="V48" s="5"/>
    </row>
    <row r="49" spans="1:23" ht="15.6" x14ac:dyDescent="0.3">
      <c r="A49" s="284"/>
      <c r="B49" s="285"/>
      <c r="C49" s="285"/>
      <c r="D49" s="293"/>
      <c r="E49" s="285"/>
      <c r="F49" s="293"/>
      <c r="G49" s="293"/>
      <c r="H49" s="293"/>
      <c r="I49" s="293"/>
      <c r="J49" s="293"/>
      <c r="K49" s="293"/>
      <c r="L49" s="293"/>
      <c r="M49" s="293"/>
      <c r="N49" s="293"/>
      <c r="O49" s="293"/>
      <c r="P49" s="293"/>
      <c r="Q49" s="285"/>
      <c r="R49" s="285"/>
      <c r="S49" s="285"/>
      <c r="T49" s="320" t="s">
        <v>201</v>
      </c>
      <c r="U49" s="288"/>
      <c r="V49" s="5"/>
    </row>
    <row r="50" spans="1:23" ht="15.6" x14ac:dyDescent="0.3">
      <c r="A50" s="284"/>
      <c r="B50" s="285" t="s">
        <v>176</v>
      </c>
      <c r="C50" s="285"/>
      <c r="D50" s="293"/>
      <c r="E50" s="285"/>
      <c r="F50" s="293"/>
      <c r="G50" s="293"/>
      <c r="H50" s="293"/>
      <c r="I50" s="293"/>
      <c r="J50" s="293"/>
      <c r="K50" s="293"/>
      <c r="L50" s="293"/>
      <c r="M50" s="293"/>
      <c r="N50" s="293"/>
      <c r="O50" s="293"/>
      <c r="P50" s="293"/>
      <c r="Q50" s="285"/>
      <c r="R50" s="285"/>
      <c r="S50" s="285"/>
      <c r="T50" s="320">
        <f>SUM(J34:P34)/SUM(D34:H34)</f>
        <v>0.15279804679664968</v>
      </c>
      <c r="U50" s="288"/>
      <c r="V50" s="5"/>
    </row>
    <row r="51" spans="1:23" ht="15.6" x14ac:dyDescent="0.3">
      <c r="A51" s="284"/>
      <c r="B51" s="285" t="s">
        <v>177</v>
      </c>
      <c r="C51" s="285"/>
      <c r="D51" s="285"/>
      <c r="E51" s="285"/>
      <c r="F51" s="325"/>
      <c r="G51" s="285"/>
      <c r="H51" s="285"/>
      <c r="I51" s="285"/>
      <c r="J51" s="285"/>
      <c r="K51" s="285"/>
      <c r="L51" s="285"/>
      <c r="M51" s="285"/>
      <c r="N51" s="285"/>
      <c r="O51" s="285"/>
      <c r="P51" s="285"/>
      <c r="Q51" s="285"/>
      <c r="R51" s="285"/>
      <c r="S51" s="285"/>
      <c r="T51" s="320">
        <f>SUM(J36:P36)/SUM(D36:H36)</f>
        <v>0.30519514234161921</v>
      </c>
      <c r="U51" s="288"/>
      <c r="V51" s="5"/>
    </row>
    <row r="52" spans="1:23" ht="15.6" x14ac:dyDescent="0.3">
      <c r="A52" s="284"/>
      <c r="B52" s="285" t="s">
        <v>178</v>
      </c>
      <c r="C52" s="285"/>
      <c r="D52" s="285"/>
      <c r="E52" s="285"/>
      <c r="F52" s="285"/>
      <c r="G52" s="285"/>
      <c r="H52" s="285"/>
      <c r="I52" s="285"/>
      <c r="J52" s="285"/>
      <c r="K52" s="285"/>
      <c r="L52" s="285"/>
      <c r="M52" s="285"/>
      <c r="N52" s="285"/>
      <c r="O52" s="285"/>
      <c r="P52" s="285"/>
      <c r="Q52" s="285"/>
      <c r="R52" s="293" t="s">
        <v>109</v>
      </c>
      <c r="S52" s="293" t="s">
        <v>115</v>
      </c>
      <c r="T52" s="296">
        <f>+T34/2-SUM(J34:P34)</f>
        <v>367473</v>
      </c>
      <c r="U52" s="288"/>
      <c r="V52" s="5"/>
    </row>
    <row r="53" spans="1:23" ht="15.6" x14ac:dyDescent="0.3">
      <c r="A53" s="284"/>
      <c r="B53" s="285"/>
      <c r="C53" s="285"/>
      <c r="D53" s="285"/>
      <c r="E53" s="285"/>
      <c r="F53" s="285"/>
      <c r="G53" s="285"/>
      <c r="H53" s="285"/>
      <c r="I53" s="285"/>
      <c r="J53" s="285"/>
      <c r="K53" s="285"/>
      <c r="L53" s="285"/>
      <c r="M53" s="285"/>
      <c r="N53" s="285"/>
      <c r="O53" s="285"/>
      <c r="P53" s="285"/>
      <c r="Q53" s="285"/>
      <c r="R53" s="285"/>
      <c r="S53" s="285"/>
      <c r="T53" s="326"/>
      <c r="U53" s="288"/>
      <c r="V53" s="5"/>
    </row>
    <row r="54" spans="1:23" ht="15.6" x14ac:dyDescent="0.3">
      <c r="A54" s="284"/>
      <c r="B54" s="285" t="s">
        <v>211</v>
      </c>
      <c r="C54" s="285"/>
      <c r="D54" s="285"/>
      <c r="E54" s="285"/>
      <c r="F54" s="285"/>
      <c r="G54" s="285"/>
      <c r="H54" s="285"/>
      <c r="I54" s="285"/>
      <c r="J54" s="285"/>
      <c r="K54" s="285"/>
      <c r="L54" s="285"/>
      <c r="M54" s="285"/>
      <c r="N54" s="285"/>
      <c r="O54" s="285"/>
      <c r="P54" s="285"/>
      <c r="Q54" s="285"/>
      <c r="R54" s="285"/>
      <c r="S54" s="285"/>
      <c r="T54" s="327" t="s">
        <v>212</v>
      </c>
      <c r="U54" s="288"/>
      <c r="V54" s="5"/>
    </row>
    <row r="55" spans="1:23" ht="15.6" x14ac:dyDescent="0.3">
      <c r="A55" s="284"/>
      <c r="B55" s="285" t="s">
        <v>253</v>
      </c>
      <c r="C55" s="285"/>
      <c r="D55" s="285"/>
      <c r="E55" s="285"/>
      <c r="F55" s="285"/>
      <c r="G55" s="285"/>
      <c r="H55" s="285"/>
      <c r="I55" s="285"/>
      <c r="J55" s="285"/>
      <c r="K55" s="285"/>
      <c r="L55" s="285"/>
      <c r="M55" s="285"/>
      <c r="N55" s="285"/>
      <c r="O55" s="285"/>
      <c r="P55" s="285"/>
      <c r="Q55" s="285"/>
      <c r="R55" s="293"/>
      <c r="S55" s="293"/>
      <c r="T55" s="328" t="s">
        <v>117</v>
      </c>
      <c r="U55" s="288"/>
      <c r="V55" s="5"/>
    </row>
    <row r="56" spans="1:23" ht="15.6" x14ac:dyDescent="0.3">
      <c r="A56" s="284"/>
      <c r="B56" s="292" t="s">
        <v>210</v>
      </c>
      <c r="C56" s="292"/>
      <c r="D56" s="292"/>
      <c r="E56" s="292"/>
      <c r="F56" s="292"/>
      <c r="G56" s="292"/>
      <c r="H56" s="292"/>
      <c r="I56" s="292"/>
      <c r="J56" s="292"/>
      <c r="K56" s="292"/>
      <c r="L56" s="292"/>
      <c r="M56" s="292"/>
      <c r="N56" s="292"/>
      <c r="O56" s="292"/>
      <c r="P56" s="292"/>
      <c r="Q56" s="292"/>
      <c r="R56" s="329"/>
      <c r="S56" s="329"/>
      <c r="T56" s="330">
        <v>40925</v>
      </c>
      <c r="U56" s="288"/>
      <c r="V56" s="5"/>
    </row>
    <row r="57" spans="1:23" ht="15.6" x14ac:dyDescent="0.3">
      <c r="A57" s="284"/>
      <c r="B57" s="285" t="s">
        <v>127</v>
      </c>
      <c r="C57" s="285"/>
      <c r="D57" s="285"/>
      <c r="E57" s="285"/>
      <c r="F57" s="285"/>
      <c r="G57" s="285"/>
      <c r="H57" s="331"/>
      <c r="I57" s="331"/>
      <c r="J57" s="331"/>
      <c r="K57" s="331"/>
      <c r="L57" s="331"/>
      <c r="M57" s="331"/>
      <c r="N57" s="331"/>
      <c r="O57" s="331"/>
      <c r="P57" s="285">
        <f>+T57-R57+1</f>
        <v>94</v>
      </c>
      <c r="Q57" s="331"/>
      <c r="R57" s="332">
        <v>40739</v>
      </c>
      <c r="S57" s="333"/>
      <c r="T57" s="332">
        <v>40832</v>
      </c>
      <c r="U57" s="288"/>
      <c r="V57" s="5"/>
    </row>
    <row r="58" spans="1:23" ht="15.6" x14ac:dyDescent="0.3">
      <c r="A58" s="284"/>
      <c r="B58" s="285" t="s">
        <v>128</v>
      </c>
      <c r="C58" s="285"/>
      <c r="D58" s="285"/>
      <c r="E58" s="285"/>
      <c r="F58" s="285"/>
      <c r="G58" s="285"/>
      <c r="H58" s="285"/>
      <c r="I58" s="285"/>
      <c r="J58" s="285"/>
      <c r="K58" s="285"/>
      <c r="L58" s="285"/>
      <c r="M58" s="285"/>
      <c r="N58" s="285"/>
      <c r="O58" s="285"/>
      <c r="P58" s="285">
        <f>+T58-R58+1</f>
        <v>92</v>
      </c>
      <c r="Q58" s="285"/>
      <c r="R58" s="332">
        <v>40833</v>
      </c>
      <c r="S58" s="333"/>
      <c r="T58" s="332">
        <v>40924</v>
      </c>
      <c r="U58" s="288"/>
      <c r="V58" s="5"/>
    </row>
    <row r="59" spans="1:23" ht="15.6" x14ac:dyDescent="0.3">
      <c r="A59" s="284"/>
      <c r="B59" s="285" t="s">
        <v>209</v>
      </c>
      <c r="C59" s="285"/>
      <c r="D59" s="285"/>
      <c r="E59" s="285"/>
      <c r="F59" s="285"/>
      <c r="G59" s="285"/>
      <c r="H59" s="285"/>
      <c r="I59" s="285"/>
      <c r="J59" s="285"/>
      <c r="K59" s="285"/>
      <c r="L59" s="285"/>
      <c r="M59" s="285"/>
      <c r="N59" s="285"/>
      <c r="O59" s="285"/>
      <c r="P59" s="285"/>
      <c r="Q59" s="285"/>
      <c r="R59" s="332"/>
      <c r="S59" s="333"/>
      <c r="T59" s="332" t="s">
        <v>126</v>
      </c>
      <c r="U59" s="288"/>
      <c r="V59" s="5"/>
    </row>
    <row r="60" spans="1:23" ht="15.6" x14ac:dyDescent="0.3">
      <c r="A60" s="284"/>
      <c r="B60" s="285" t="s">
        <v>249</v>
      </c>
      <c r="C60" s="285"/>
      <c r="D60" s="285"/>
      <c r="E60" s="285"/>
      <c r="F60" s="285"/>
      <c r="G60" s="285"/>
      <c r="H60" s="285"/>
      <c r="I60" s="285"/>
      <c r="J60" s="285"/>
      <c r="K60" s="285"/>
      <c r="L60" s="285"/>
      <c r="M60" s="285"/>
      <c r="N60" s="285"/>
      <c r="O60" s="285"/>
      <c r="P60" s="285"/>
      <c r="Q60" s="285"/>
      <c r="R60" s="332"/>
      <c r="S60" s="333"/>
      <c r="T60" s="332" t="s">
        <v>160</v>
      </c>
      <c r="U60" s="288"/>
      <c r="V60" s="5"/>
      <c r="W60" s="134"/>
    </row>
    <row r="61" spans="1:23" ht="15.6" x14ac:dyDescent="0.3">
      <c r="A61" s="284"/>
      <c r="B61" s="285" t="s">
        <v>16</v>
      </c>
      <c r="C61" s="285"/>
      <c r="D61" s="285"/>
      <c r="E61" s="285"/>
      <c r="F61" s="285"/>
      <c r="G61" s="285"/>
      <c r="H61" s="285"/>
      <c r="I61" s="285"/>
      <c r="J61" s="285"/>
      <c r="K61" s="285"/>
      <c r="L61" s="285"/>
      <c r="M61" s="285"/>
      <c r="N61" s="285"/>
      <c r="O61" s="285"/>
      <c r="P61" s="285"/>
      <c r="Q61" s="285"/>
      <c r="R61" s="332"/>
      <c r="S61" s="333"/>
      <c r="T61" s="332">
        <v>40911</v>
      </c>
      <c r="U61" s="288"/>
      <c r="V61" s="5"/>
    </row>
    <row r="62" spans="1:23" ht="15.6" x14ac:dyDescent="0.3">
      <c r="A62" s="175"/>
      <c r="B62" s="281"/>
      <c r="C62" s="281"/>
      <c r="D62" s="281"/>
      <c r="E62" s="281"/>
      <c r="F62" s="281"/>
      <c r="G62" s="281"/>
      <c r="H62" s="281"/>
      <c r="I62" s="281"/>
      <c r="J62" s="281"/>
      <c r="K62" s="281"/>
      <c r="L62" s="281"/>
      <c r="M62" s="281"/>
      <c r="N62" s="281"/>
      <c r="O62" s="281"/>
      <c r="P62" s="281"/>
      <c r="Q62" s="281"/>
      <c r="R62" s="282"/>
      <c r="S62" s="283"/>
      <c r="T62" s="282"/>
      <c r="U62" s="281"/>
      <c r="V62" s="5"/>
    </row>
    <row r="63" spans="1:23" ht="15.6" x14ac:dyDescent="0.3">
      <c r="A63" s="175"/>
      <c r="B63" s="231"/>
      <c r="C63" s="231"/>
      <c r="D63" s="231"/>
      <c r="E63" s="231"/>
      <c r="F63" s="231"/>
      <c r="G63" s="231"/>
      <c r="H63" s="231"/>
      <c r="I63" s="231"/>
      <c r="J63" s="231"/>
      <c r="K63" s="231"/>
      <c r="L63" s="231"/>
      <c r="M63" s="231"/>
      <c r="N63" s="231"/>
      <c r="O63" s="231"/>
      <c r="P63" s="231"/>
      <c r="Q63" s="231"/>
      <c r="R63" s="244"/>
      <c r="S63" s="245"/>
      <c r="T63" s="244"/>
      <c r="U63" s="231"/>
      <c r="V63" s="5"/>
    </row>
    <row r="64" spans="1:23" ht="18" thickBot="1" x14ac:dyDescent="0.35">
      <c r="A64" s="192"/>
      <c r="B64" s="246" t="s">
        <v>300</v>
      </c>
      <c r="C64" s="247"/>
      <c r="D64" s="247"/>
      <c r="E64" s="247"/>
      <c r="F64" s="247"/>
      <c r="G64" s="247"/>
      <c r="H64" s="247"/>
      <c r="I64" s="247"/>
      <c r="J64" s="247"/>
      <c r="K64" s="247"/>
      <c r="L64" s="247"/>
      <c r="M64" s="247"/>
      <c r="N64" s="247"/>
      <c r="O64" s="247"/>
      <c r="P64" s="247"/>
      <c r="Q64" s="247"/>
      <c r="R64" s="247"/>
      <c r="S64" s="247"/>
      <c r="T64" s="248"/>
      <c r="U64" s="249"/>
      <c r="V64" s="5"/>
    </row>
    <row r="65" spans="1:22" ht="15.6" x14ac:dyDescent="0.3">
      <c r="A65" s="222"/>
      <c r="B65" s="395" t="s">
        <v>17</v>
      </c>
      <c r="C65" s="223"/>
      <c r="D65" s="223"/>
      <c r="E65" s="223"/>
      <c r="F65" s="223"/>
      <c r="G65" s="223"/>
      <c r="H65" s="223"/>
      <c r="I65" s="223"/>
      <c r="J65" s="223"/>
      <c r="K65" s="223"/>
      <c r="L65" s="223"/>
      <c r="M65" s="223"/>
      <c r="N65" s="223"/>
      <c r="O65" s="223"/>
      <c r="P65" s="223"/>
      <c r="Q65" s="223"/>
      <c r="R65" s="223"/>
      <c r="S65" s="223"/>
      <c r="T65" s="250"/>
      <c r="U65" s="223"/>
      <c r="V65" s="5"/>
    </row>
    <row r="66" spans="1:22" ht="15.6" x14ac:dyDescent="0.3">
      <c r="A66" s="175"/>
      <c r="B66" s="183"/>
      <c r="C66" s="177"/>
      <c r="D66" s="177"/>
      <c r="E66" s="177"/>
      <c r="F66" s="177"/>
      <c r="G66" s="177"/>
      <c r="H66" s="177"/>
      <c r="I66" s="177"/>
      <c r="J66" s="177"/>
      <c r="K66" s="177"/>
      <c r="L66" s="177"/>
      <c r="M66" s="177"/>
      <c r="N66" s="177"/>
      <c r="O66" s="177"/>
      <c r="P66" s="177"/>
      <c r="Q66" s="177"/>
      <c r="R66" s="177"/>
      <c r="S66" s="177"/>
      <c r="T66" s="194"/>
      <c r="U66" s="177"/>
      <c r="V66" s="5"/>
    </row>
    <row r="67" spans="1:22" ht="46.8" x14ac:dyDescent="0.3">
      <c r="A67" s="175"/>
      <c r="B67" s="195" t="s">
        <v>18</v>
      </c>
      <c r="C67" s="196"/>
      <c r="D67" s="196"/>
      <c r="E67" s="196"/>
      <c r="F67" s="196"/>
      <c r="G67" s="196"/>
      <c r="H67" s="196"/>
      <c r="I67" s="196"/>
      <c r="J67" s="196" t="s">
        <v>97</v>
      </c>
      <c r="K67" s="196"/>
      <c r="L67" s="196" t="s">
        <v>99</v>
      </c>
      <c r="M67" s="196"/>
      <c r="N67" s="196" t="s">
        <v>101</v>
      </c>
      <c r="O67" s="196"/>
      <c r="P67" s="196" t="s">
        <v>103</v>
      </c>
      <c r="Q67" s="196"/>
      <c r="R67" s="196" t="s">
        <v>110</v>
      </c>
      <c r="S67" s="196"/>
      <c r="T67" s="197" t="s">
        <v>118</v>
      </c>
      <c r="U67" s="198"/>
      <c r="V67" s="5"/>
    </row>
    <row r="68" spans="1:22" ht="15.6" x14ac:dyDescent="0.3">
      <c r="A68" s="337"/>
      <c r="B68" s="285" t="s">
        <v>19</v>
      </c>
      <c r="C68" s="338"/>
      <c r="D68" s="338"/>
      <c r="E68" s="338"/>
      <c r="F68" s="338"/>
      <c r="G68" s="338"/>
      <c r="H68" s="338"/>
      <c r="I68" s="338"/>
      <c r="J68" s="338">
        <v>1000039</v>
      </c>
      <c r="K68" s="338"/>
      <c r="L68" s="339">
        <v>570611</v>
      </c>
      <c r="M68" s="338"/>
      <c r="N68" s="338">
        <f>3739+17</f>
        <v>3756</v>
      </c>
      <c r="O68" s="338"/>
      <c r="P68" s="338">
        <v>17</v>
      </c>
      <c r="Q68" s="338"/>
      <c r="R68" s="338">
        <v>0</v>
      </c>
      <c r="S68" s="338"/>
      <c r="T68" s="339">
        <f>+L68-N68+P68-R68</f>
        <v>566872</v>
      </c>
      <c r="U68" s="288"/>
      <c r="V68" s="5"/>
    </row>
    <row r="69" spans="1:22" ht="15.6" x14ac:dyDescent="0.3">
      <c r="A69" s="337"/>
      <c r="B69" s="285" t="s">
        <v>20</v>
      </c>
      <c r="C69" s="338"/>
      <c r="D69" s="338"/>
      <c r="E69" s="338"/>
      <c r="F69" s="338"/>
      <c r="G69" s="338"/>
      <c r="H69" s="338"/>
      <c r="I69" s="338"/>
      <c r="J69" s="338">
        <v>10</v>
      </c>
      <c r="K69" s="338"/>
      <c r="L69" s="339">
        <v>0</v>
      </c>
      <c r="M69" s="338"/>
      <c r="N69" s="338">
        <v>0</v>
      </c>
      <c r="O69" s="338"/>
      <c r="P69" s="338">
        <v>0</v>
      </c>
      <c r="Q69" s="338"/>
      <c r="R69" s="338">
        <v>0</v>
      </c>
      <c r="S69" s="338"/>
      <c r="T69" s="339">
        <v>0</v>
      </c>
      <c r="U69" s="288"/>
      <c r="V69" s="5"/>
    </row>
    <row r="70" spans="1:22" ht="15.6" x14ac:dyDescent="0.3">
      <c r="A70" s="337"/>
      <c r="B70" s="285"/>
      <c r="C70" s="338"/>
      <c r="D70" s="338"/>
      <c r="E70" s="338"/>
      <c r="F70" s="338"/>
      <c r="G70" s="338"/>
      <c r="H70" s="338"/>
      <c r="I70" s="338"/>
      <c r="J70" s="338"/>
      <c r="K70" s="338"/>
      <c r="L70" s="339"/>
      <c r="M70" s="338"/>
      <c r="N70" s="338"/>
      <c r="O70" s="338"/>
      <c r="P70" s="338"/>
      <c r="Q70" s="338"/>
      <c r="R70" s="338"/>
      <c r="S70" s="338"/>
      <c r="T70" s="339"/>
      <c r="U70" s="288"/>
      <c r="V70" s="5"/>
    </row>
    <row r="71" spans="1:22" ht="15.6" x14ac:dyDescent="0.3">
      <c r="A71" s="337"/>
      <c r="B71" s="285" t="s">
        <v>21</v>
      </c>
      <c r="C71" s="338"/>
      <c r="D71" s="338"/>
      <c r="E71" s="338"/>
      <c r="F71" s="338"/>
      <c r="G71" s="338"/>
      <c r="H71" s="338"/>
      <c r="I71" s="338"/>
      <c r="J71" s="338">
        <f>SUM(J68:J70)</f>
        <v>1000049</v>
      </c>
      <c r="K71" s="338"/>
      <c r="L71" s="338">
        <f>L68+L69</f>
        <v>570611</v>
      </c>
      <c r="M71" s="338"/>
      <c r="N71" s="338">
        <f>SUM(N68:N70)</f>
        <v>3756</v>
      </c>
      <c r="O71" s="338"/>
      <c r="P71" s="338">
        <f>SUM(P68:P70)</f>
        <v>17</v>
      </c>
      <c r="Q71" s="338"/>
      <c r="R71" s="338">
        <f>SUM(R68:R70)</f>
        <v>0</v>
      </c>
      <c r="S71" s="338"/>
      <c r="T71" s="338">
        <f>SUM(T68:T70)</f>
        <v>566872</v>
      </c>
      <c r="U71" s="288"/>
      <c r="V71" s="5"/>
    </row>
    <row r="72" spans="1:22" ht="15.6" x14ac:dyDescent="0.3">
      <c r="A72" s="175"/>
      <c r="B72" s="334"/>
      <c r="C72" s="335"/>
      <c r="D72" s="335"/>
      <c r="E72" s="335"/>
      <c r="F72" s="335"/>
      <c r="G72" s="335"/>
      <c r="H72" s="335"/>
      <c r="I72" s="335"/>
      <c r="J72" s="335"/>
      <c r="K72" s="335"/>
      <c r="L72" s="335"/>
      <c r="M72" s="335"/>
      <c r="N72" s="335"/>
      <c r="O72" s="335"/>
      <c r="P72" s="335"/>
      <c r="Q72" s="335"/>
      <c r="R72" s="335"/>
      <c r="S72" s="335"/>
      <c r="T72" s="336"/>
      <c r="U72" s="334"/>
      <c r="V72" s="5"/>
    </row>
    <row r="73" spans="1:22" ht="15.6" x14ac:dyDescent="0.3">
      <c r="A73" s="175"/>
      <c r="B73" s="179" t="s">
        <v>22</v>
      </c>
      <c r="C73" s="199"/>
      <c r="D73" s="199"/>
      <c r="E73" s="199"/>
      <c r="F73" s="199"/>
      <c r="G73" s="199"/>
      <c r="H73" s="199"/>
      <c r="I73" s="199"/>
      <c r="J73" s="199"/>
      <c r="K73" s="199"/>
      <c r="L73" s="199"/>
      <c r="M73" s="199"/>
      <c r="N73" s="199"/>
      <c r="O73" s="199"/>
      <c r="P73" s="199"/>
      <c r="Q73" s="199"/>
      <c r="R73" s="199"/>
      <c r="S73" s="199"/>
      <c r="T73" s="200"/>
      <c r="U73" s="177"/>
      <c r="V73" s="5"/>
    </row>
    <row r="74" spans="1:22" ht="15.6" x14ac:dyDescent="0.3">
      <c r="A74" s="175"/>
      <c r="B74" s="177"/>
      <c r="C74" s="199"/>
      <c r="D74" s="199"/>
      <c r="E74" s="199"/>
      <c r="F74" s="199"/>
      <c r="G74" s="199"/>
      <c r="H74" s="199"/>
      <c r="I74" s="199"/>
      <c r="J74" s="199"/>
      <c r="K74" s="199"/>
      <c r="L74" s="199"/>
      <c r="M74" s="199"/>
      <c r="N74" s="199"/>
      <c r="O74" s="199"/>
      <c r="P74" s="199"/>
      <c r="Q74" s="199"/>
      <c r="R74" s="199"/>
      <c r="S74" s="199"/>
      <c r="T74" s="200"/>
      <c r="U74" s="177"/>
      <c r="V74" s="5"/>
    </row>
    <row r="75" spans="1:22" ht="15.6" x14ac:dyDescent="0.3">
      <c r="A75" s="284"/>
      <c r="B75" s="285" t="s">
        <v>19</v>
      </c>
      <c r="C75" s="338"/>
      <c r="D75" s="338"/>
      <c r="E75" s="338"/>
      <c r="F75" s="338"/>
      <c r="G75" s="338"/>
      <c r="H75" s="338"/>
      <c r="I75" s="338"/>
      <c r="J75" s="338"/>
      <c r="K75" s="338"/>
      <c r="L75" s="338"/>
      <c r="M75" s="338"/>
      <c r="N75" s="338"/>
      <c r="O75" s="338"/>
      <c r="P75" s="338"/>
      <c r="Q75" s="338"/>
      <c r="R75" s="338"/>
      <c r="S75" s="338"/>
      <c r="T75" s="338"/>
      <c r="U75" s="288"/>
      <c r="V75" s="5"/>
    </row>
    <row r="76" spans="1:22" ht="15.6" x14ac:dyDescent="0.3">
      <c r="A76" s="284"/>
      <c r="B76" s="285" t="s">
        <v>20</v>
      </c>
      <c r="C76" s="338"/>
      <c r="D76" s="338"/>
      <c r="E76" s="338"/>
      <c r="F76" s="338"/>
      <c r="G76" s="338"/>
      <c r="H76" s="338"/>
      <c r="I76" s="338"/>
      <c r="J76" s="338"/>
      <c r="K76" s="338"/>
      <c r="L76" s="338"/>
      <c r="M76" s="338"/>
      <c r="N76" s="338"/>
      <c r="O76" s="338"/>
      <c r="P76" s="338"/>
      <c r="Q76" s="338"/>
      <c r="R76" s="338"/>
      <c r="S76" s="338"/>
      <c r="T76" s="338"/>
      <c r="U76" s="288"/>
      <c r="V76" s="5"/>
    </row>
    <row r="77" spans="1:22" ht="15.6" x14ac:dyDescent="0.3">
      <c r="A77" s="284"/>
      <c r="B77" s="285"/>
      <c r="C77" s="338"/>
      <c r="D77" s="338"/>
      <c r="E77" s="338"/>
      <c r="F77" s="338"/>
      <c r="G77" s="338"/>
      <c r="H77" s="338"/>
      <c r="I77" s="338"/>
      <c r="J77" s="338"/>
      <c r="K77" s="338"/>
      <c r="L77" s="338"/>
      <c r="M77" s="338"/>
      <c r="N77" s="338"/>
      <c r="O77" s="338"/>
      <c r="P77" s="338"/>
      <c r="Q77" s="338"/>
      <c r="R77" s="338"/>
      <c r="S77" s="338"/>
      <c r="T77" s="338"/>
      <c r="U77" s="288"/>
      <c r="V77" s="5"/>
    </row>
    <row r="78" spans="1:22" ht="15.6" x14ac:dyDescent="0.3">
      <c r="A78" s="284"/>
      <c r="B78" s="285" t="s">
        <v>21</v>
      </c>
      <c r="C78" s="338"/>
      <c r="D78" s="338"/>
      <c r="E78" s="338"/>
      <c r="F78" s="338"/>
      <c r="G78" s="338"/>
      <c r="H78" s="338"/>
      <c r="I78" s="338"/>
      <c r="J78" s="338"/>
      <c r="K78" s="338"/>
      <c r="L78" s="338"/>
      <c r="M78" s="338"/>
      <c r="N78" s="338"/>
      <c r="O78" s="338"/>
      <c r="P78" s="338"/>
      <c r="Q78" s="338"/>
      <c r="R78" s="338"/>
      <c r="S78" s="338"/>
      <c r="T78" s="338"/>
      <c r="U78" s="288"/>
      <c r="V78" s="5"/>
    </row>
    <row r="79" spans="1:22" ht="15.6" x14ac:dyDescent="0.3">
      <c r="A79" s="284"/>
      <c r="B79" s="285"/>
      <c r="C79" s="338"/>
      <c r="D79" s="338"/>
      <c r="E79" s="338"/>
      <c r="F79" s="338"/>
      <c r="G79" s="338"/>
      <c r="H79" s="338"/>
      <c r="I79" s="338"/>
      <c r="J79" s="338"/>
      <c r="K79" s="338"/>
      <c r="L79" s="338"/>
      <c r="M79" s="338"/>
      <c r="N79" s="338"/>
      <c r="O79" s="338"/>
      <c r="P79" s="338"/>
      <c r="Q79" s="338"/>
      <c r="R79" s="338"/>
      <c r="S79" s="338"/>
      <c r="T79" s="338"/>
      <c r="U79" s="288"/>
      <c r="V79" s="5"/>
    </row>
    <row r="80" spans="1:22" ht="15.6" x14ac:dyDescent="0.3">
      <c r="A80" s="284"/>
      <c r="B80" s="285" t="s">
        <v>23</v>
      </c>
      <c r="C80" s="338"/>
      <c r="D80" s="338"/>
      <c r="E80" s="338"/>
      <c r="F80" s="338"/>
      <c r="G80" s="338"/>
      <c r="H80" s="338"/>
      <c r="I80" s="338"/>
      <c r="J80" s="338">
        <v>0</v>
      </c>
      <c r="K80" s="338"/>
      <c r="L80" s="338">
        <v>0</v>
      </c>
      <c r="M80" s="338"/>
      <c r="N80" s="338"/>
      <c r="O80" s="338"/>
      <c r="P80" s="338"/>
      <c r="Q80" s="338"/>
      <c r="R80" s="338"/>
      <c r="S80" s="338"/>
      <c r="T80" s="339">
        <v>0</v>
      </c>
      <c r="U80" s="288"/>
      <c r="V80" s="5"/>
    </row>
    <row r="81" spans="1:22" ht="15.6" x14ac:dyDescent="0.3">
      <c r="A81" s="284"/>
      <c r="B81" s="285" t="s">
        <v>123</v>
      </c>
      <c r="C81" s="338"/>
      <c r="D81" s="338"/>
      <c r="E81" s="338"/>
      <c r="F81" s="338"/>
      <c r="G81" s="338"/>
      <c r="H81" s="338"/>
      <c r="I81" s="338"/>
      <c r="J81" s="338">
        <v>0</v>
      </c>
      <c r="K81" s="338"/>
      <c r="L81" s="338">
        <v>0</v>
      </c>
      <c r="M81" s="338"/>
      <c r="N81" s="338"/>
      <c r="O81" s="338"/>
      <c r="P81" s="338"/>
      <c r="Q81" s="338"/>
      <c r="R81" s="338"/>
      <c r="S81" s="338"/>
      <c r="T81" s="338">
        <f>SUM(J81:P81)</f>
        <v>0</v>
      </c>
      <c r="U81" s="288"/>
      <c r="V81" s="5"/>
    </row>
    <row r="82" spans="1:22" ht="15.6" x14ac:dyDescent="0.3">
      <c r="A82" s="284"/>
      <c r="B82" s="285" t="s">
        <v>152</v>
      </c>
      <c r="C82" s="338"/>
      <c r="D82" s="338"/>
      <c r="E82" s="338"/>
      <c r="F82" s="338"/>
      <c r="G82" s="338"/>
      <c r="H82" s="338"/>
      <c r="I82" s="338"/>
      <c r="J82" s="338">
        <v>1</v>
      </c>
      <c r="K82" s="338"/>
      <c r="L82" s="338">
        <v>0</v>
      </c>
      <c r="M82" s="338"/>
      <c r="N82" s="338">
        <v>0</v>
      </c>
      <c r="O82" s="338"/>
      <c r="P82" s="338"/>
      <c r="Q82" s="338"/>
      <c r="R82" s="338"/>
      <c r="S82" s="338"/>
      <c r="T82" s="338">
        <f>+L82+N82</f>
        <v>0</v>
      </c>
      <c r="U82" s="288"/>
      <c r="V82" s="5"/>
    </row>
    <row r="83" spans="1:22" ht="15.6" x14ac:dyDescent="0.3">
      <c r="A83" s="284"/>
      <c r="B83" s="285" t="s">
        <v>25</v>
      </c>
      <c r="C83" s="338"/>
      <c r="D83" s="338"/>
      <c r="E83" s="338"/>
      <c r="F83" s="338"/>
      <c r="G83" s="338"/>
      <c r="H83" s="338"/>
      <c r="I83" s="338"/>
      <c r="J83" s="338">
        <v>0</v>
      </c>
      <c r="K83" s="338"/>
      <c r="L83" s="338">
        <v>0</v>
      </c>
      <c r="M83" s="338"/>
      <c r="N83" s="338"/>
      <c r="O83" s="338"/>
      <c r="P83" s="338"/>
      <c r="Q83" s="338"/>
      <c r="R83" s="338"/>
      <c r="S83" s="338"/>
      <c r="T83" s="338">
        <v>0</v>
      </c>
      <c r="U83" s="288"/>
      <c r="V83" s="5"/>
    </row>
    <row r="84" spans="1:22" ht="15.6" x14ac:dyDescent="0.3">
      <c r="A84" s="284"/>
      <c r="B84" s="285" t="s">
        <v>26</v>
      </c>
      <c r="C84" s="338"/>
      <c r="D84" s="338"/>
      <c r="E84" s="338"/>
      <c r="F84" s="338"/>
      <c r="G84" s="338"/>
      <c r="H84" s="338"/>
      <c r="I84" s="338"/>
      <c r="J84" s="338">
        <f>SUM(J71:J83)</f>
        <v>1000050</v>
      </c>
      <c r="K84" s="338"/>
      <c r="L84" s="338">
        <f>SUM(L71:L83)</f>
        <v>570611</v>
      </c>
      <c r="M84" s="338"/>
      <c r="N84" s="338"/>
      <c r="O84" s="338"/>
      <c r="P84" s="338"/>
      <c r="Q84" s="338"/>
      <c r="R84" s="338"/>
      <c r="S84" s="338"/>
      <c r="T84" s="338">
        <f>SUM(T71:T83)</f>
        <v>566872</v>
      </c>
      <c r="U84" s="288"/>
      <c r="V84" s="5"/>
    </row>
    <row r="85" spans="1:22" ht="15.6" x14ac:dyDescent="0.3">
      <c r="A85" s="175"/>
      <c r="B85" s="334"/>
      <c r="C85" s="335"/>
      <c r="D85" s="335"/>
      <c r="E85" s="335"/>
      <c r="F85" s="335"/>
      <c r="G85" s="335"/>
      <c r="H85" s="335"/>
      <c r="I85" s="335"/>
      <c r="J85" s="335"/>
      <c r="K85" s="335"/>
      <c r="L85" s="335"/>
      <c r="M85" s="335"/>
      <c r="N85" s="335"/>
      <c r="O85" s="335"/>
      <c r="P85" s="335"/>
      <c r="Q85" s="335"/>
      <c r="R85" s="335"/>
      <c r="S85" s="335"/>
      <c r="T85" s="336"/>
      <c r="U85" s="334"/>
      <c r="V85" s="5"/>
    </row>
    <row r="86" spans="1:22" ht="15.6" x14ac:dyDescent="0.3">
      <c r="A86" s="175"/>
      <c r="B86" s="177"/>
      <c r="C86" s="177"/>
      <c r="D86" s="177"/>
      <c r="E86" s="177"/>
      <c r="F86" s="177"/>
      <c r="G86" s="177"/>
      <c r="H86" s="177"/>
      <c r="I86" s="177"/>
      <c r="J86" s="177"/>
      <c r="K86" s="177"/>
      <c r="L86" s="177"/>
      <c r="M86" s="177"/>
      <c r="N86" s="177"/>
      <c r="O86" s="177"/>
      <c r="P86" s="177"/>
      <c r="Q86" s="177"/>
      <c r="R86" s="177"/>
      <c r="S86" s="177"/>
      <c r="T86" s="177"/>
      <c r="U86" s="177"/>
      <c r="V86" s="5"/>
    </row>
    <row r="87" spans="1:22" ht="15.6" x14ac:dyDescent="0.3">
      <c r="A87" s="222"/>
      <c r="B87" s="395" t="s">
        <v>27</v>
      </c>
      <c r="C87" s="395"/>
      <c r="D87" s="395"/>
      <c r="E87" s="395"/>
      <c r="F87" s="395"/>
      <c r="G87" s="395"/>
      <c r="H87" s="396"/>
      <c r="I87" s="396"/>
      <c r="J87" s="397" t="s">
        <v>98</v>
      </c>
      <c r="K87" s="396"/>
      <c r="L87" s="398">
        <f>+R193</f>
        <v>40907</v>
      </c>
      <c r="M87" s="396"/>
      <c r="N87" s="396"/>
      <c r="O87" s="396"/>
      <c r="P87" s="396"/>
      <c r="Q87" s="396"/>
      <c r="R87" s="396" t="s">
        <v>111</v>
      </c>
      <c r="S87" s="396"/>
      <c r="T87" s="396" t="s">
        <v>119</v>
      </c>
      <c r="U87" s="223"/>
      <c r="V87" s="5"/>
    </row>
    <row r="88" spans="1:22" ht="15.6" x14ac:dyDescent="0.3">
      <c r="A88" s="190"/>
      <c r="B88" s="239" t="s">
        <v>28</v>
      </c>
      <c r="C88" s="239"/>
      <c r="D88" s="239"/>
      <c r="E88" s="239"/>
      <c r="F88" s="239"/>
      <c r="G88" s="239"/>
      <c r="H88" s="239"/>
      <c r="I88" s="239"/>
      <c r="J88" s="239"/>
      <c r="K88" s="239"/>
      <c r="L88" s="239"/>
      <c r="M88" s="239"/>
      <c r="N88" s="239"/>
      <c r="O88" s="239"/>
      <c r="P88" s="239"/>
      <c r="Q88" s="239"/>
      <c r="R88" s="243">
        <v>0</v>
      </c>
      <c r="S88" s="239"/>
      <c r="T88" s="251">
        <v>0</v>
      </c>
      <c r="U88" s="239"/>
      <c r="V88" s="5"/>
    </row>
    <row r="89" spans="1:22" ht="15.6" x14ac:dyDescent="0.3">
      <c r="A89" s="284"/>
      <c r="B89" s="285" t="s">
        <v>29</v>
      </c>
      <c r="C89" s="285"/>
      <c r="D89" s="285"/>
      <c r="E89" s="285"/>
      <c r="F89" s="285"/>
      <c r="G89" s="285"/>
      <c r="H89" s="324"/>
      <c r="I89" s="341"/>
      <c r="J89" s="324"/>
      <c r="K89" s="285"/>
      <c r="L89" s="342"/>
      <c r="M89" s="285"/>
      <c r="N89" s="285"/>
      <c r="O89" s="285"/>
      <c r="P89" s="285"/>
      <c r="Q89" s="285"/>
      <c r="R89" s="338">
        <f>3756-199</f>
        <v>3557</v>
      </c>
      <c r="S89" s="285"/>
      <c r="T89" s="339"/>
      <c r="U89" s="288"/>
      <c r="V89" s="5"/>
    </row>
    <row r="90" spans="1:22" ht="15.6" x14ac:dyDescent="0.3">
      <c r="A90" s="284"/>
      <c r="B90" s="285" t="s">
        <v>225</v>
      </c>
      <c r="C90" s="285"/>
      <c r="D90" s="285"/>
      <c r="E90" s="285"/>
      <c r="F90" s="285"/>
      <c r="G90" s="285"/>
      <c r="H90" s="324"/>
      <c r="I90" s="341"/>
      <c r="J90" s="324"/>
      <c r="K90" s="285"/>
      <c r="L90" s="342"/>
      <c r="M90" s="285"/>
      <c r="N90" s="285"/>
      <c r="O90" s="285"/>
      <c r="P90" s="285"/>
      <c r="Q90" s="285"/>
      <c r="R90" s="338"/>
      <c r="S90" s="285"/>
      <c r="T90" s="339">
        <f>2052+2502-312-291</f>
        <v>3951</v>
      </c>
      <c r="U90" s="288"/>
      <c r="V90" s="5"/>
    </row>
    <row r="91" spans="1:22" ht="15.6" x14ac:dyDescent="0.3">
      <c r="A91" s="284"/>
      <c r="B91" s="285" t="s">
        <v>220</v>
      </c>
      <c r="C91" s="285"/>
      <c r="D91" s="285"/>
      <c r="E91" s="285"/>
      <c r="F91" s="285"/>
      <c r="G91" s="285"/>
      <c r="H91" s="324"/>
      <c r="I91" s="341"/>
      <c r="J91" s="324"/>
      <c r="K91" s="285"/>
      <c r="L91" s="342"/>
      <c r="M91" s="285"/>
      <c r="N91" s="285"/>
      <c r="O91" s="285"/>
      <c r="P91" s="285"/>
      <c r="Q91" s="285"/>
      <c r="R91" s="338"/>
      <c r="S91" s="285"/>
      <c r="T91" s="339">
        <f>25+15</f>
        <v>40</v>
      </c>
      <c r="U91" s="288"/>
      <c r="V91" s="5"/>
    </row>
    <row r="92" spans="1:22" ht="15.6" x14ac:dyDescent="0.3">
      <c r="A92" s="284"/>
      <c r="B92" s="285" t="s">
        <v>221</v>
      </c>
      <c r="C92" s="285"/>
      <c r="D92" s="285"/>
      <c r="E92" s="285"/>
      <c r="F92" s="285"/>
      <c r="G92" s="285"/>
      <c r="H92" s="324"/>
      <c r="I92" s="341"/>
      <c r="J92" s="324"/>
      <c r="K92" s="285"/>
      <c r="L92" s="342"/>
      <c r="M92" s="285"/>
      <c r="N92" s="285"/>
      <c r="O92" s="285"/>
      <c r="P92" s="285"/>
      <c r="Q92" s="285"/>
      <c r="R92" s="338"/>
      <c r="S92" s="285"/>
      <c r="T92" s="339">
        <v>33</v>
      </c>
      <c r="U92" s="288"/>
      <c r="V92" s="5"/>
    </row>
    <row r="93" spans="1:22" ht="15.6" x14ac:dyDescent="0.3">
      <c r="A93" s="284"/>
      <c r="B93" s="285" t="s">
        <v>261</v>
      </c>
      <c r="C93" s="285"/>
      <c r="D93" s="285"/>
      <c r="E93" s="285"/>
      <c r="F93" s="285"/>
      <c r="G93" s="285"/>
      <c r="H93" s="324"/>
      <c r="I93" s="341"/>
      <c r="J93" s="324"/>
      <c r="K93" s="285"/>
      <c r="L93" s="342"/>
      <c r="M93" s="285"/>
      <c r="N93" s="285"/>
      <c r="O93" s="285"/>
      <c r="P93" s="285"/>
      <c r="Q93" s="285"/>
      <c r="R93" s="338"/>
      <c r="S93" s="285"/>
      <c r="T93" s="339">
        <v>0</v>
      </c>
      <c r="U93" s="288"/>
      <c r="V93" s="5"/>
    </row>
    <row r="94" spans="1:22" ht="15.6" x14ac:dyDescent="0.3">
      <c r="A94" s="284"/>
      <c r="B94" s="285" t="s">
        <v>141</v>
      </c>
      <c r="C94" s="285"/>
      <c r="D94" s="285"/>
      <c r="E94" s="285"/>
      <c r="F94" s="285"/>
      <c r="G94" s="285"/>
      <c r="H94" s="285"/>
      <c r="I94" s="285"/>
      <c r="J94" s="285"/>
      <c r="K94" s="285"/>
      <c r="L94" s="285"/>
      <c r="M94" s="285"/>
      <c r="N94" s="285"/>
      <c r="O94" s="285"/>
      <c r="P94" s="285"/>
      <c r="Q94" s="285"/>
      <c r="R94" s="338"/>
      <c r="S94" s="285"/>
      <c r="T94" s="339">
        <v>0</v>
      </c>
      <c r="U94" s="288"/>
      <c r="V94" s="5"/>
    </row>
    <row r="95" spans="1:22" ht="15.6" x14ac:dyDescent="0.3">
      <c r="A95" s="284"/>
      <c r="B95" s="285" t="s">
        <v>250</v>
      </c>
      <c r="C95" s="285"/>
      <c r="D95" s="285"/>
      <c r="E95" s="285"/>
      <c r="F95" s="285"/>
      <c r="G95" s="285"/>
      <c r="H95" s="285"/>
      <c r="I95" s="285"/>
      <c r="J95" s="285"/>
      <c r="K95" s="285"/>
      <c r="L95" s="285"/>
      <c r="M95" s="285"/>
      <c r="N95" s="285"/>
      <c r="O95" s="285"/>
      <c r="P95" s="285"/>
      <c r="Q95" s="285"/>
      <c r="R95" s="338"/>
      <c r="S95" s="285"/>
      <c r="T95" s="339">
        <v>335</v>
      </c>
      <c r="U95" s="288"/>
      <c r="V95" s="5"/>
    </row>
    <row r="96" spans="1:22" ht="15.6" x14ac:dyDescent="0.3">
      <c r="A96" s="284"/>
      <c r="B96" s="285" t="s">
        <v>30</v>
      </c>
      <c r="C96" s="285"/>
      <c r="D96" s="285"/>
      <c r="E96" s="285"/>
      <c r="F96" s="285"/>
      <c r="G96" s="285"/>
      <c r="H96" s="285"/>
      <c r="I96" s="285"/>
      <c r="J96" s="285"/>
      <c r="K96" s="285"/>
      <c r="L96" s="285"/>
      <c r="M96" s="285"/>
      <c r="N96" s="285"/>
      <c r="O96" s="285"/>
      <c r="P96" s="285"/>
      <c r="Q96" s="285"/>
      <c r="R96" s="338">
        <f>SUM(R88:R95)</f>
        <v>3557</v>
      </c>
      <c r="S96" s="285"/>
      <c r="T96" s="338">
        <f>SUM(T88:T95)</f>
        <v>4359</v>
      </c>
      <c r="U96" s="288"/>
      <c r="V96" s="5"/>
    </row>
    <row r="97" spans="1:24" ht="15.6" x14ac:dyDescent="0.3">
      <c r="A97" s="284"/>
      <c r="B97" s="285" t="s">
        <v>168</v>
      </c>
      <c r="C97" s="285"/>
      <c r="D97" s="285"/>
      <c r="E97" s="285"/>
      <c r="F97" s="285"/>
      <c r="G97" s="285"/>
      <c r="H97" s="285"/>
      <c r="I97" s="285"/>
      <c r="J97" s="285"/>
      <c r="K97" s="285"/>
      <c r="L97" s="285"/>
      <c r="M97" s="285"/>
      <c r="N97" s="285"/>
      <c r="O97" s="285"/>
      <c r="P97" s="285"/>
      <c r="Q97" s="285"/>
      <c r="R97" s="338">
        <v>-3</v>
      </c>
      <c r="S97" s="285"/>
      <c r="T97" s="338">
        <f>-R97</f>
        <v>3</v>
      </c>
      <c r="U97" s="288"/>
      <c r="V97" s="5"/>
    </row>
    <row r="98" spans="1:24" ht="15.6" x14ac:dyDescent="0.3">
      <c r="A98" s="284"/>
      <c r="B98" s="285" t="s">
        <v>31</v>
      </c>
      <c r="C98" s="285"/>
      <c r="D98" s="285"/>
      <c r="E98" s="285"/>
      <c r="F98" s="285"/>
      <c r="G98" s="285"/>
      <c r="H98" s="285"/>
      <c r="I98" s="285"/>
      <c r="J98" s="285"/>
      <c r="K98" s="285"/>
      <c r="L98" s="285"/>
      <c r="M98" s="285"/>
      <c r="N98" s="285"/>
      <c r="O98" s="285"/>
      <c r="P98" s="285"/>
      <c r="Q98" s="285"/>
      <c r="R98" s="338">
        <f>-T98</f>
        <v>0</v>
      </c>
      <c r="S98" s="285"/>
      <c r="T98" s="339">
        <v>0</v>
      </c>
      <c r="U98" s="288"/>
      <c r="V98" s="5"/>
    </row>
    <row r="99" spans="1:24" ht="15.6" x14ac:dyDescent="0.3">
      <c r="A99" s="284"/>
      <c r="B99" s="285" t="s">
        <v>273</v>
      </c>
      <c r="C99" s="285"/>
      <c r="D99" s="285"/>
      <c r="E99" s="285"/>
      <c r="F99" s="285"/>
      <c r="G99" s="285"/>
      <c r="H99" s="285"/>
      <c r="I99" s="285"/>
      <c r="J99" s="285"/>
      <c r="K99" s="285"/>
      <c r="L99" s="285"/>
      <c r="M99" s="285"/>
      <c r="N99" s="285"/>
      <c r="O99" s="285"/>
      <c r="P99" s="285"/>
      <c r="Q99" s="285"/>
      <c r="R99" s="338"/>
      <c r="S99" s="285"/>
      <c r="T99" s="339">
        <v>93</v>
      </c>
      <c r="U99" s="288"/>
      <c r="V99" s="5"/>
    </row>
    <row r="100" spans="1:24" ht="15.6" x14ac:dyDescent="0.3">
      <c r="A100" s="284"/>
      <c r="B100" s="285" t="s">
        <v>32</v>
      </c>
      <c r="C100" s="285"/>
      <c r="D100" s="285"/>
      <c r="E100" s="285"/>
      <c r="F100" s="285"/>
      <c r="G100" s="285"/>
      <c r="H100" s="285"/>
      <c r="I100" s="285"/>
      <c r="J100" s="285"/>
      <c r="K100" s="285"/>
      <c r="L100" s="285"/>
      <c r="M100" s="285"/>
      <c r="N100" s="285"/>
      <c r="O100" s="285"/>
      <c r="P100" s="285"/>
      <c r="Q100" s="285"/>
      <c r="R100" s="338">
        <f>R96+R98+R97</f>
        <v>3554</v>
      </c>
      <c r="S100" s="285"/>
      <c r="T100" s="338">
        <f>T96+T98+T97+T99</f>
        <v>4455</v>
      </c>
      <c r="U100" s="288"/>
      <c r="V100" s="5"/>
    </row>
    <row r="101" spans="1:24" ht="15.6" x14ac:dyDescent="0.3">
      <c r="A101" s="284"/>
      <c r="B101" s="343" t="s">
        <v>33</v>
      </c>
      <c r="C101" s="311"/>
      <c r="D101" s="311"/>
      <c r="E101" s="311"/>
      <c r="F101" s="311"/>
      <c r="G101" s="311"/>
      <c r="H101" s="311"/>
      <c r="I101" s="311"/>
      <c r="J101" s="311"/>
      <c r="K101" s="311"/>
      <c r="L101" s="311"/>
      <c r="M101" s="311"/>
      <c r="N101" s="311"/>
      <c r="O101" s="311"/>
      <c r="P101" s="311"/>
      <c r="Q101" s="311"/>
      <c r="R101" s="344"/>
      <c r="S101" s="311"/>
      <c r="T101" s="345"/>
      <c r="U101" s="317"/>
      <c r="V101" s="5"/>
    </row>
    <row r="102" spans="1:24" ht="15.6" x14ac:dyDescent="0.3">
      <c r="A102" s="337">
        <v>1</v>
      </c>
      <c r="B102" s="285" t="s">
        <v>34</v>
      </c>
      <c r="C102" s="285"/>
      <c r="D102" s="285"/>
      <c r="E102" s="285"/>
      <c r="F102" s="285"/>
      <c r="G102" s="285"/>
      <c r="H102" s="285"/>
      <c r="I102" s="285"/>
      <c r="J102" s="285"/>
      <c r="K102" s="285"/>
      <c r="L102" s="285"/>
      <c r="M102" s="285"/>
      <c r="N102" s="285"/>
      <c r="O102" s="285"/>
      <c r="P102" s="285"/>
      <c r="Q102" s="285"/>
      <c r="R102" s="285"/>
      <c r="S102" s="285"/>
      <c r="T102" s="339">
        <v>0</v>
      </c>
      <c r="U102" s="288"/>
      <c r="V102" s="5"/>
    </row>
    <row r="103" spans="1:24" ht="15.6" x14ac:dyDescent="0.3">
      <c r="A103" s="337">
        <f>+A102+1</f>
        <v>2</v>
      </c>
      <c r="B103" s="285" t="s">
        <v>255</v>
      </c>
      <c r="C103" s="285"/>
      <c r="D103" s="285"/>
      <c r="E103" s="285"/>
      <c r="F103" s="285"/>
      <c r="G103" s="285"/>
      <c r="H103" s="285"/>
      <c r="I103" s="285"/>
      <c r="J103" s="285"/>
      <c r="K103" s="285"/>
      <c r="L103" s="285"/>
      <c r="M103" s="285"/>
      <c r="N103" s="285"/>
      <c r="O103" s="285"/>
      <c r="P103" s="285"/>
      <c r="Q103" s="285"/>
      <c r="R103" s="285"/>
      <c r="S103" s="285"/>
      <c r="T103" s="339">
        <v>-2</v>
      </c>
      <c r="U103" s="288"/>
      <c r="V103" s="5"/>
    </row>
    <row r="104" spans="1:24" ht="15.6" x14ac:dyDescent="0.3">
      <c r="A104" s="337">
        <f>+A103+1</f>
        <v>3</v>
      </c>
      <c r="B104" s="285" t="s">
        <v>213</v>
      </c>
      <c r="C104" s="285"/>
      <c r="D104" s="285"/>
      <c r="E104" s="285"/>
      <c r="F104" s="285"/>
      <c r="G104" s="285"/>
      <c r="H104" s="285"/>
      <c r="I104" s="285"/>
      <c r="J104" s="285"/>
      <c r="K104" s="285"/>
      <c r="L104" s="285"/>
      <c r="M104" s="285"/>
      <c r="N104" s="285"/>
      <c r="O104" s="285"/>
      <c r="P104" s="285"/>
      <c r="Q104" s="285"/>
      <c r="R104" s="285"/>
      <c r="S104" s="285"/>
      <c r="T104" s="339">
        <f>-218-229-7</f>
        <v>-454</v>
      </c>
      <c r="U104" s="288"/>
      <c r="V104" s="5"/>
    </row>
    <row r="105" spans="1:24" ht="15.6" x14ac:dyDescent="0.3">
      <c r="A105" s="337" t="s">
        <v>133</v>
      </c>
      <c r="B105" s="285" t="s">
        <v>122</v>
      </c>
      <c r="C105" s="285"/>
      <c r="D105" s="285"/>
      <c r="E105" s="285"/>
      <c r="F105" s="285"/>
      <c r="G105" s="285"/>
      <c r="H105" s="285"/>
      <c r="I105" s="285"/>
      <c r="J105" s="285"/>
      <c r="K105" s="285"/>
      <c r="L105" s="285"/>
      <c r="M105" s="285"/>
      <c r="N105" s="285"/>
      <c r="O105" s="285"/>
      <c r="P105" s="285"/>
      <c r="Q105" s="285"/>
      <c r="R105" s="285"/>
      <c r="S105" s="285"/>
      <c r="T105" s="339">
        <v>-47</v>
      </c>
      <c r="U105" s="288"/>
      <c r="V105" s="5"/>
    </row>
    <row r="106" spans="1:24" ht="15.6" x14ac:dyDescent="0.3">
      <c r="A106" s="337" t="s">
        <v>134</v>
      </c>
      <c r="B106" s="285" t="s">
        <v>194</v>
      </c>
      <c r="C106" s="285"/>
      <c r="D106" s="285"/>
      <c r="E106" s="285"/>
      <c r="F106" s="285"/>
      <c r="G106" s="285"/>
      <c r="H106" s="285"/>
      <c r="I106" s="285"/>
      <c r="J106" s="285"/>
      <c r="K106" s="285"/>
      <c r="L106" s="285"/>
      <c r="M106" s="285"/>
      <c r="N106" s="285"/>
      <c r="O106" s="285"/>
      <c r="P106" s="285"/>
      <c r="Q106" s="285"/>
      <c r="R106" s="285"/>
      <c r="S106" s="285"/>
      <c r="T106" s="339">
        <f>-1248+230</f>
        <v>-1018</v>
      </c>
      <c r="U106" s="288"/>
      <c r="V106" s="5"/>
      <c r="W106" s="109"/>
    </row>
    <row r="107" spans="1:24" ht="15.6" x14ac:dyDescent="0.3">
      <c r="A107" s="337" t="s">
        <v>156</v>
      </c>
      <c r="B107" s="285" t="s">
        <v>191</v>
      </c>
      <c r="C107" s="285"/>
      <c r="D107" s="285"/>
      <c r="E107" s="285"/>
      <c r="F107" s="285"/>
      <c r="G107" s="285"/>
      <c r="H107" s="285"/>
      <c r="I107" s="285"/>
      <c r="J107" s="285"/>
      <c r="K107" s="285"/>
      <c r="L107" s="285"/>
      <c r="M107" s="285"/>
      <c r="N107" s="285"/>
      <c r="O107" s="285"/>
      <c r="P107" s="285"/>
      <c r="Q107" s="285"/>
      <c r="R107" s="285"/>
      <c r="S107" s="285"/>
      <c r="T107" s="339">
        <v>-230</v>
      </c>
      <c r="U107" s="288"/>
      <c r="V107" s="5"/>
      <c r="W107" s="109"/>
    </row>
    <row r="108" spans="1:24" ht="15.6" x14ac:dyDescent="0.3">
      <c r="A108" s="337" t="s">
        <v>214</v>
      </c>
      <c r="B108" s="285" t="s">
        <v>192</v>
      </c>
      <c r="C108" s="285"/>
      <c r="D108" s="285"/>
      <c r="E108" s="285"/>
      <c r="F108" s="285"/>
      <c r="G108" s="285"/>
      <c r="H108" s="285"/>
      <c r="I108" s="285"/>
      <c r="J108" s="285"/>
      <c r="K108" s="285"/>
      <c r="L108" s="285"/>
      <c r="M108" s="285"/>
      <c r="N108" s="285"/>
      <c r="O108" s="285"/>
      <c r="P108" s="285"/>
      <c r="Q108" s="285"/>
      <c r="R108" s="285"/>
      <c r="S108" s="285"/>
      <c r="T108" s="339">
        <v>-211</v>
      </c>
      <c r="U108" s="288"/>
      <c r="V108" s="5"/>
      <c r="W108" s="109"/>
      <c r="X108" s="109"/>
    </row>
    <row r="109" spans="1:24" ht="15.6" x14ac:dyDescent="0.3">
      <c r="A109" s="337" t="s">
        <v>215</v>
      </c>
      <c r="B109" s="285" t="s">
        <v>193</v>
      </c>
      <c r="C109" s="285"/>
      <c r="D109" s="285"/>
      <c r="E109" s="285"/>
      <c r="F109" s="285"/>
      <c r="G109" s="285"/>
      <c r="H109" s="285"/>
      <c r="I109" s="285"/>
      <c r="J109" s="285"/>
      <c r="K109" s="285"/>
      <c r="L109" s="285"/>
      <c r="M109" s="285"/>
      <c r="N109" s="285"/>
      <c r="O109" s="285"/>
      <c r="P109" s="285"/>
      <c r="Q109" s="285"/>
      <c r="R109" s="285"/>
      <c r="S109" s="285"/>
      <c r="T109" s="339">
        <v>-58</v>
      </c>
      <c r="U109" s="288"/>
      <c r="V109" s="169"/>
      <c r="W109" s="109"/>
    </row>
    <row r="110" spans="1:24" ht="15.6" x14ac:dyDescent="0.3">
      <c r="A110" s="337" t="s">
        <v>216</v>
      </c>
      <c r="B110" s="285" t="s">
        <v>204</v>
      </c>
      <c r="C110" s="285"/>
      <c r="D110" s="285"/>
      <c r="E110" s="285"/>
      <c r="F110" s="285"/>
      <c r="G110" s="285"/>
      <c r="H110" s="285"/>
      <c r="I110" s="285"/>
      <c r="J110" s="285"/>
      <c r="K110" s="285"/>
      <c r="L110" s="285"/>
      <c r="M110" s="285"/>
      <c r="N110" s="285"/>
      <c r="O110" s="285"/>
      <c r="P110" s="285"/>
      <c r="Q110" s="285"/>
      <c r="R110" s="285"/>
      <c r="S110" s="285"/>
      <c r="T110" s="339">
        <v>-295</v>
      </c>
      <c r="U110" s="288"/>
      <c r="V110" s="5"/>
      <c r="W110" s="109"/>
    </row>
    <row r="111" spans="1:24" ht="15.6" x14ac:dyDescent="0.3">
      <c r="A111" s="337">
        <v>7</v>
      </c>
      <c r="B111" s="285" t="s">
        <v>35</v>
      </c>
      <c r="C111" s="285"/>
      <c r="D111" s="285"/>
      <c r="E111" s="285"/>
      <c r="F111" s="285"/>
      <c r="G111" s="285"/>
      <c r="H111" s="285"/>
      <c r="I111" s="285"/>
      <c r="J111" s="285"/>
      <c r="K111" s="285"/>
      <c r="L111" s="285"/>
      <c r="M111" s="285"/>
      <c r="N111" s="285"/>
      <c r="O111" s="285"/>
      <c r="P111" s="285"/>
      <c r="Q111" s="285"/>
      <c r="R111" s="285"/>
      <c r="S111" s="285"/>
      <c r="T111" s="339">
        <v>-10</v>
      </c>
      <c r="U111" s="288"/>
      <c r="V111" s="5"/>
    </row>
    <row r="112" spans="1:24" ht="15.6" x14ac:dyDescent="0.3">
      <c r="A112" s="337">
        <f t="shared" ref="A112:A117" si="0">+A111+1</f>
        <v>8</v>
      </c>
      <c r="B112" s="285" t="s">
        <v>46</v>
      </c>
      <c r="C112" s="285"/>
      <c r="D112" s="285"/>
      <c r="E112" s="285"/>
      <c r="F112" s="285"/>
      <c r="G112" s="285"/>
      <c r="H112" s="285"/>
      <c r="I112" s="285"/>
      <c r="J112" s="285"/>
      <c r="K112" s="285"/>
      <c r="L112" s="285"/>
      <c r="M112" s="285"/>
      <c r="N112" s="285"/>
      <c r="O112" s="285"/>
      <c r="P112" s="285"/>
      <c r="Q112" s="285"/>
      <c r="R112" s="338">
        <f>-T112</f>
        <v>199</v>
      </c>
      <c r="S112" s="285"/>
      <c r="T112" s="339">
        <v>-199</v>
      </c>
      <c r="U112" s="288"/>
      <c r="V112" s="5"/>
    </row>
    <row r="113" spans="1:22" ht="15.6" x14ac:dyDescent="0.3">
      <c r="A113" s="337">
        <f t="shared" si="0"/>
        <v>9</v>
      </c>
      <c r="B113" s="285" t="s">
        <v>131</v>
      </c>
      <c r="C113" s="285"/>
      <c r="D113" s="285"/>
      <c r="E113" s="285"/>
      <c r="F113" s="285"/>
      <c r="G113" s="285"/>
      <c r="H113" s="285"/>
      <c r="I113" s="285"/>
      <c r="J113" s="285"/>
      <c r="K113" s="285"/>
      <c r="L113" s="285"/>
      <c r="M113" s="285"/>
      <c r="N113" s="285"/>
      <c r="O113" s="285"/>
      <c r="P113" s="285"/>
      <c r="Q113" s="285"/>
      <c r="R113" s="285"/>
      <c r="S113" s="285"/>
      <c r="T113" s="339">
        <v>0</v>
      </c>
      <c r="U113" s="288"/>
      <c r="V113" s="5"/>
    </row>
    <row r="114" spans="1:22" ht="15.6" x14ac:dyDescent="0.3">
      <c r="A114" s="337">
        <f t="shared" si="0"/>
        <v>10</v>
      </c>
      <c r="B114" s="285" t="s">
        <v>36</v>
      </c>
      <c r="C114" s="285"/>
      <c r="D114" s="285"/>
      <c r="E114" s="285"/>
      <c r="F114" s="285"/>
      <c r="G114" s="285"/>
      <c r="H114" s="285"/>
      <c r="I114" s="285"/>
      <c r="J114" s="285"/>
      <c r="K114" s="285"/>
      <c r="L114" s="285"/>
      <c r="M114" s="285"/>
      <c r="N114" s="285"/>
      <c r="O114" s="285"/>
      <c r="P114" s="285"/>
      <c r="Q114" s="285"/>
      <c r="R114" s="285"/>
      <c r="S114" s="285"/>
      <c r="T114" s="339">
        <v>0</v>
      </c>
      <c r="U114" s="288"/>
      <c r="V114" s="5"/>
    </row>
    <row r="115" spans="1:22" ht="15.6" x14ac:dyDescent="0.3">
      <c r="A115" s="337">
        <f t="shared" si="0"/>
        <v>11</v>
      </c>
      <c r="B115" s="285" t="s">
        <v>37</v>
      </c>
      <c r="C115" s="285"/>
      <c r="D115" s="285"/>
      <c r="E115" s="285"/>
      <c r="F115" s="285"/>
      <c r="G115" s="285"/>
      <c r="H115" s="285"/>
      <c r="I115" s="285"/>
      <c r="J115" s="285"/>
      <c r="K115" s="285"/>
      <c r="L115" s="285"/>
      <c r="M115" s="285"/>
      <c r="N115" s="285"/>
      <c r="O115" s="285"/>
      <c r="P115" s="285"/>
      <c r="Q115" s="285"/>
      <c r="R115" s="285"/>
      <c r="S115" s="285"/>
      <c r="T115" s="339">
        <v>0</v>
      </c>
      <c r="U115" s="288"/>
      <c r="V115" s="5"/>
    </row>
    <row r="116" spans="1:22" ht="15.6" x14ac:dyDescent="0.3">
      <c r="A116" s="337">
        <f t="shared" si="0"/>
        <v>12</v>
      </c>
      <c r="B116" s="285" t="s">
        <v>155</v>
      </c>
      <c r="C116" s="285"/>
      <c r="D116" s="285"/>
      <c r="E116" s="285"/>
      <c r="F116" s="285"/>
      <c r="G116" s="285"/>
      <c r="H116" s="285"/>
      <c r="I116" s="285"/>
      <c r="J116" s="285"/>
      <c r="K116" s="285"/>
      <c r="L116" s="285"/>
      <c r="M116" s="285"/>
      <c r="N116" s="285"/>
      <c r="O116" s="285"/>
      <c r="P116" s="285"/>
      <c r="Q116" s="285"/>
      <c r="R116" s="285"/>
      <c r="S116" s="285"/>
      <c r="T116" s="339">
        <v>-218</v>
      </c>
      <c r="U116" s="288"/>
      <c r="V116" s="5"/>
    </row>
    <row r="117" spans="1:22" ht="15.6" x14ac:dyDescent="0.3">
      <c r="A117" s="337">
        <f t="shared" si="0"/>
        <v>13</v>
      </c>
      <c r="B117" s="285" t="s">
        <v>132</v>
      </c>
      <c r="C117" s="285"/>
      <c r="D117" s="285"/>
      <c r="E117" s="285"/>
      <c r="F117" s="285"/>
      <c r="G117" s="285"/>
      <c r="H117" s="285"/>
      <c r="I117" s="285"/>
      <c r="J117" s="285"/>
      <c r="K117" s="285"/>
      <c r="L117" s="285"/>
      <c r="M117" s="285"/>
      <c r="N117" s="285"/>
      <c r="O117" s="285"/>
      <c r="P117" s="285"/>
      <c r="Q117" s="285"/>
      <c r="R117" s="285"/>
      <c r="S117" s="285"/>
      <c r="T117" s="339">
        <f>-T100-SUM(T102:T116)</f>
        <v>-1713</v>
      </c>
      <c r="U117" s="288"/>
      <c r="V117" s="5"/>
    </row>
    <row r="118" spans="1:22" ht="15.6" x14ac:dyDescent="0.3">
      <c r="A118" s="284"/>
      <c r="B118" s="343" t="s">
        <v>38</v>
      </c>
      <c r="C118" s="311"/>
      <c r="D118" s="311"/>
      <c r="E118" s="311"/>
      <c r="F118" s="311"/>
      <c r="G118" s="311"/>
      <c r="H118" s="311"/>
      <c r="I118" s="311"/>
      <c r="J118" s="311"/>
      <c r="K118" s="311"/>
      <c r="L118" s="311"/>
      <c r="M118" s="311"/>
      <c r="N118" s="311"/>
      <c r="O118" s="311"/>
      <c r="P118" s="311"/>
      <c r="Q118" s="311"/>
      <c r="R118" s="311"/>
      <c r="S118" s="311"/>
      <c r="T118" s="346"/>
      <c r="U118" s="317"/>
      <c r="V118" s="5"/>
    </row>
    <row r="119" spans="1:22" ht="15.6" x14ac:dyDescent="0.3">
      <c r="A119" s="337"/>
      <c r="B119" s="285" t="s">
        <v>180</v>
      </c>
      <c r="C119" s="285"/>
      <c r="D119" s="285"/>
      <c r="E119" s="285"/>
      <c r="F119" s="285"/>
      <c r="G119" s="285"/>
      <c r="H119" s="285"/>
      <c r="I119" s="285"/>
      <c r="J119" s="285"/>
      <c r="K119" s="285"/>
      <c r="L119" s="285"/>
      <c r="M119" s="285"/>
      <c r="N119" s="285"/>
      <c r="O119" s="285"/>
      <c r="P119" s="285"/>
      <c r="Q119" s="285"/>
      <c r="R119" s="338">
        <f>-R177</f>
        <v>0</v>
      </c>
      <c r="S119" s="338"/>
      <c r="T119" s="339"/>
      <c r="U119" s="288"/>
      <c r="V119" s="5"/>
    </row>
    <row r="120" spans="1:22" ht="15.6" x14ac:dyDescent="0.3">
      <c r="A120" s="337"/>
      <c r="B120" s="285" t="s">
        <v>181</v>
      </c>
      <c r="C120" s="285"/>
      <c r="D120" s="285"/>
      <c r="E120" s="285"/>
      <c r="F120" s="285"/>
      <c r="G120" s="285"/>
      <c r="H120" s="285"/>
      <c r="I120" s="285"/>
      <c r="J120" s="285"/>
      <c r="K120" s="285"/>
      <c r="L120" s="285"/>
      <c r="M120" s="285"/>
      <c r="N120" s="285"/>
      <c r="O120" s="285"/>
      <c r="P120" s="285"/>
      <c r="Q120" s="285"/>
      <c r="R120" s="338">
        <v>-14</v>
      </c>
      <c r="S120" s="338"/>
      <c r="T120" s="339"/>
      <c r="U120" s="288"/>
      <c r="V120" s="5"/>
    </row>
    <row r="121" spans="1:22" ht="15.6" x14ac:dyDescent="0.3">
      <c r="A121" s="337"/>
      <c r="B121" s="285" t="s">
        <v>39</v>
      </c>
      <c r="C121" s="285"/>
      <c r="D121" s="285"/>
      <c r="E121" s="285"/>
      <c r="F121" s="285"/>
      <c r="G121" s="285"/>
      <c r="H121" s="285"/>
      <c r="I121" s="285"/>
      <c r="J121" s="285"/>
      <c r="K121" s="285"/>
      <c r="L121" s="285"/>
      <c r="M121" s="285"/>
      <c r="N121" s="285"/>
      <c r="O121" s="285"/>
      <c r="P121" s="285"/>
      <c r="Q121" s="285"/>
      <c r="R121" s="338">
        <f>-Q177</f>
        <v>0</v>
      </c>
      <c r="S121" s="338"/>
      <c r="T121" s="339"/>
      <c r="U121" s="288"/>
      <c r="V121" s="5"/>
    </row>
    <row r="122" spans="1:22" ht="15.6" x14ac:dyDescent="0.3">
      <c r="A122" s="337"/>
      <c r="B122" s="285" t="s">
        <v>205</v>
      </c>
      <c r="C122" s="285"/>
      <c r="D122" s="285"/>
      <c r="E122" s="285"/>
      <c r="F122" s="285"/>
      <c r="G122" s="285"/>
      <c r="H122" s="285"/>
      <c r="I122" s="285"/>
      <c r="J122" s="285"/>
      <c r="K122" s="285"/>
      <c r="L122" s="285"/>
      <c r="M122" s="285"/>
      <c r="N122" s="285"/>
      <c r="O122" s="285"/>
      <c r="P122" s="285"/>
      <c r="Q122" s="285"/>
      <c r="R122" s="338">
        <v>-2445</v>
      </c>
      <c r="S122" s="338"/>
      <c r="T122" s="339"/>
      <c r="U122" s="288"/>
      <c r="V122" s="5"/>
    </row>
    <row r="123" spans="1:22" ht="15.6" x14ac:dyDescent="0.3">
      <c r="A123" s="337"/>
      <c r="B123" s="285" t="s">
        <v>203</v>
      </c>
      <c r="C123" s="285"/>
      <c r="D123" s="285"/>
      <c r="E123" s="285"/>
      <c r="F123" s="285"/>
      <c r="G123" s="285"/>
      <c r="H123" s="285"/>
      <c r="I123" s="285"/>
      <c r="J123" s="285"/>
      <c r="K123" s="285"/>
      <c r="L123" s="285"/>
      <c r="M123" s="285"/>
      <c r="N123" s="285"/>
      <c r="O123" s="285"/>
      <c r="P123" s="285"/>
      <c r="Q123" s="285"/>
      <c r="R123" s="338">
        <v>-644</v>
      </c>
      <c r="S123" s="338"/>
      <c r="T123" s="339"/>
      <c r="U123" s="288"/>
      <c r="V123" s="5"/>
    </row>
    <row r="124" spans="1:22" ht="15.6" x14ac:dyDescent="0.3">
      <c r="A124" s="337"/>
      <c r="B124" s="285" t="s">
        <v>202</v>
      </c>
      <c r="C124" s="285"/>
      <c r="D124" s="285"/>
      <c r="E124" s="285"/>
      <c r="F124" s="285"/>
      <c r="G124" s="285"/>
      <c r="H124" s="285"/>
      <c r="I124" s="285"/>
      <c r="J124" s="285"/>
      <c r="K124" s="285"/>
      <c r="L124" s="285"/>
      <c r="M124" s="285"/>
      <c r="N124" s="285"/>
      <c r="O124" s="285"/>
      <c r="P124" s="285"/>
      <c r="Q124" s="285"/>
      <c r="R124" s="338">
        <v>-650</v>
      </c>
      <c r="S124" s="338"/>
      <c r="T124" s="339"/>
      <c r="U124" s="288"/>
      <c r="V124" s="5"/>
    </row>
    <row r="125" spans="1:22" ht="15.6" x14ac:dyDescent="0.3">
      <c r="A125" s="337"/>
      <c r="B125" s="285" t="s">
        <v>197</v>
      </c>
      <c r="C125" s="285"/>
      <c r="D125" s="285"/>
      <c r="E125" s="285"/>
      <c r="F125" s="285"/>
      <c r="G125" s="285"/>
      <c r="H125" s="285"/>
      <c r="I125" s="285"/>
      <c r="J125" s="285"/>
      <c r="K125" s="285"/>
      <c r="L125" s="285"/>
      <c r="M125" s="285"/>
      <c r="N125" s="285"/>
      <c r="O125" s="285"/>
      <c r="P125" s="285"/>
      <c r="Q125" s="285"/>
      <c r="R125" s="338">
        <v>0</v>
      </c>
      <c r="S125" s="338"/>
      <c r="T125" s="339"/>
      <c r="U125" s="288"/>
      <c r="V125" s="5"/>
    </row>
    <row r="126" spans="1:22" ht="15.6" x14ac:dyDescent="0.3">
      <c r="A126" s="337"/>
      <c r="B126" s="285" t="s">
        <v>196</v>
      </c>
      <c r="C126" s="285"/>
      <c r="D126" s="285"/>
      <c r="E126" s="285"/>
      <c r="F126" s="285"/>
      <c r="G126" s="285"/>
      <c r="H126" s="285"/>
      <c r="I126" s="285"/>
      <c r="J126" s="285"/>
      <c r="K126" s="285"/>
      <c r="L126" s="285"/>
      <c r="M126" s="285"/>
      <c r="N126" s="285"/>
      <c r="O126" s="285"/>
      <c r="P126" s="285"/>
      <c r="Q126" s="285"/>
      <c r="R126" s="338">
        <v>0</v>
      </c>
      <c r="S126" s="338"/>
      <c r="T126" s="339"/>
      <c r="U126" s="288"/>
      <c r="V126" s="5"/>
    </row>
    <row r="127" spans="1:22" ht="15.6" x14ac:dyDescent="0.3">
      <c r="A127" s="337"/>
      <c r="B127" s="285" t="s">
        <v>195</v>
      </c>
      <c r="C127" s="285"/>
      <c r="D127" s="285"/>
      <c r="E127" s="285"/>
      <c r="F127" s="285"/>
      <c r="G127" s="285"/>
      <c r="H127" s="285"/>
      <c r="I127" s="285"/>
      <c r="J127" s="285"/>
      <c r="K127" s="285"/>
      <c r="L127" s="285"/>
      <c r="M127" s="285"/>
      <c r="N127" s="285"/>
      <c r="O127" s="285"/>
      <c r="P127" s="285"/>
      <c r="Q127" s="285"/>
      <c r="R127" s="338">
        <v>0</v>
      </c>
      <c r="S127" s="338"/>
      <c r="T127" s="339"/>
      <c r="U127" s="288"/>
      <c r="V127" s="5"/>
    </row>
    <row r="128" spans="1:22" ht="15.6" x14ac:dyDescent="0.3">
      <c r="A128" s="337"/>
      <c r="B128" s="285" t="s">
        <v>40</v>
      </c>
      <c r="C128" s="285"/>
      <c r="D128" s="285"/>
      <c r="E128" s="285"/>
      <c r="F128" s="285"/>
      <c r="G128" s="285"/>
      <c r="H128" s="285"/>
      <c r="I128" s="285"/>
      <c r="J128" s="285"/>
      <c r="K128" s="285"/>
      <c r="L128" s="285"/>
      <c r="M128" s="285"/>
      <c r="N128" s="285"/>
      <c r="O128" s="285"/>
      <c r="P128" s="285"/>
      <c r="Q128" s="285"/>
      <c r="R128" s="338">
        <f>SUM(R119:R127)</f>
        <v>-3753</v>
      </c>
      <c r="S128" s="338"/>
      <c r="T128" s="338">
        <f>SUM(T101:T126)</f>
        <v>-4455</v>
      </c>
      <c r="U128" s="288"/>
      <c r="V128" s="5"/>
    </row>
    <row r="129" spans="1:23" ht="15.6" x14ac:dyDescent="0.3">
      <c r="A129" s="337"/>
      <c r="B129" s="285" t="s">
        <v>41</v>
      </c>
      <c r="C129" s="285"/>
      <c r="D129" s="285"/>
      <c r="E129" s="285"/>
      <c r="F129" s="285"/>
      <c r="G129" s="285"/>
      <c r="H129" s="285"/>
      <c r="I129" s="285"/>
      <c r="J129" s="285"/>
      <c r="K129" s="285"/>
      <c r="L129" s="285"/>
      <c r="M129" s="285"/>
      <c r="N129" s="285"/>
      <c r="O129" s="285"/>
      <c r="P129" s="285"/>
      <c r="Q129" s="285"/>
      <c r="R129" s="338">
        <f>R100+R128+R112</f>
        <v>0</v>
      </c>
      <c r="S129" s="338"/>
      <c r="T129" s="338">
        <f>T100+T128</f>
        <v>0</v>
      </c>
      <c r="U129" s="288"/>
      <c r="V129" s="5"/>
    </row>
    <row r="130" spans="1:23" ht="15.6" x14ac:dyDescent="0.3">
      <c r="A130" s="256"/>
      <c r="B130" s="281"/>
      <c r="C130" s="281"/>
      <c r="D130" s="281"/>
      <c r="E130" s="281"/>
      <c r="F130" s="281"/>
      <c r="G130" s="281"/>
      <c r="H130" s="281"/>
      <c r="I130" s="281"/>
      <c r="J130" s="281"/>
      <c r="K130" s="281"/>
      <c r="L130" s="281"/>
      <c r="M130" s="281"/>
      <c r="N130" s="281"/>
      <c r="O130" s="281"/>
      <c r="P130" s="281"/>
      <c r="Q130" s="281"/>
      <c r="R130" s="340"/>
      <c r="S130" s="340"/>
      <c r="T130" s="340"/>
      <c r="U130" s="281"/>
      <c r="V130" s="5"/>
    </row>
    <row r="131" spans="1:23" ht="15.6" x14ac:dyDescent="0.3">
      <c r="A131" s="256"/>
      <c r="B131" s="231"/>
      <c r="C131" s="231"/>
      <c r="D131" s="231"/>
      <c r="E131" s="231"/>
      <c r="F131" s="231"/>
      <c r="G131" s="231"/>
      <c r="H131" s="231"/>
      <c r="I131" s="231"/>
      <c r="J131" s="231"/>
      <c r="K131" s="231"/>
      <c r="L131" s="231"/>
      <c r="M131" s="231"/>
      <c r="N131" s="231"/>
      <c r="O131" s="231"/>
      <c r="P131" s="231"/>
      <c r="Q131" s="231"/>
      <c r="R131" s="231"/>
      <c r="S131" s="231"/>
      <c r="T131" s="257"/>
      <c r="U131" s="231"/>
      <c r="V131" s="5"/>
    </row>
    <row r="132" spans="1:23" ht="18" thickBot="1" x14ac:dyDescent="0.35">
      <c r="A132" s="258"/>
      <c r="B132" s="246" t="str">
        <f>B64</f>
        <v>PM11 INVESTOR REPORT QUARTER ENDING DECEMBER 2011</v>
      </c>
      <c r="C132" s="247"/>
      <c r="D132" s="247"/>
      <c r="E132" s="247"/>
      <c r="F132" s="247"/>
      <c r="G132" s="247"/>
      <c r="H132" s="247"/>
      <c r="I132" s="247"/>
      <c r="J132" s="247"/>
      <c r="K132" s="247"/>
      <c r="L132" s="247"/>
      <c r="M132" s="247"/>
      <c r="N132" s="247"/>
      <c r="O132" s="247"/>
      <c r="P132" s="247"/>
      <c r="Q132" s="247"/>
      <c r="R132" s="247"/>
      <c r="S132" s="247"/>
      <c r="T132" s="259"/>
      <c r="U132" s="249"/>
      <c r="V132" s="5"/>
    </row>
    <row r="133" spans="1:23" ht="15.6" x14ac:dyDescent="0.3">
      <c r="A133" s="260"/>
      <c r="B133" s="399" t="s">
        <v>42</v>
      </c>
      <c r="C133" s="261"/>
      <c r="D133" s="261"/>
      <c r="E133" s="261"/>
      <c r="F133" s="261"/>
      <c r="G133" s="261"/>
      <c r="H133" s="261"/>
      <c r="I133" s="261"/>
      <c r="J133" s="261"/>
      <c r="K133" s="261"/>
      <c r="L133" s="261"/>
      <c r="M133" s="261"/>
      <c r="N133" s="261"/>
      <c r="O133" s="261"/>
      <c r="P133" s="261"/>
      <c r="Q133" s="261"/>
      <c r="R133" s="261"/>
      <c r="S133" s="261"/>
      <c r="T133" s="262"/>
      <c r="U133" s="261"/>
      <c r="V133" s="5"/>
    </row>
    <row r="134" spans="1:23" ht="15.6" x14ac:dyDescent="0.3">
      <c r="A134" s="175"/>
      <c r="B134" s="187"/>
      <c r="C134" s="177"/>
      <c r="D134" s="177"/>
      <c r="E134" s="177"/>
      <c r="F134" s="177"/>
      <c r="G134" s="177"/>
      <c r="H134" s="177"/>
      <c r="I134" s="177"/>
      <c r="J134" s="177"/>
      <c r="K134" s="177"/>
      <c r="L134" s="177"/>
      <c r="M134" s="177"/>
      <c r="N134" s="177"/>
      <c r="O134" s="177"/>
      <c r="P134" s="177"/>
      <c r="Q134" s="177"/>
      <c r="R134" s="177"/>
      <c r="S134" s="177"/>
      <c r="T134" s="194"/>
      <c r="U134" s="177"/>
      <c r="V134" s="5"/>
    </row>
    <row r="135" spans="1:23" ht="15.6" x14ac:dyDescent="0.3">
      <c r="A135" s="175"/>
      <c r="B135" s="201" t="s">
        <v>43</v>
      </c>
      <c r="C135" s="177"/>
      <c r="D135" s="177"/>
      <c r="E135" s="177"/>
      <c r="F135" s="177"/>
      <c r="G135" s="177"/>
      <c r="H135" s="177"/>
      <c r="I135" s="177"/>
      <c r="J135" s="177"/>
      <c r="K135" s="177"/>
      <c r="L135" s="177"/>
      <c r="M135" s="177"/>
      <c r="N135" s="177"/>
      <c r="O135" s="177"/>
      <c r="P135" s="177"/>
      <c r="Q135" s="177"/>
      <c r="R135" s="177"/>
      <c r="S135" s="177"/>
      <c r="T135" s="194"/>
      <c r="U135" s="177"/>
      <c r="V135" s="5"/>
    </row>
    <row r="136" spans="1:23" ht="15.6" x14ac:dyDescent="0.3">
      <c r="A136" s="284"/>
      <c r="B136" s="285" t="s">
        <v>44</v>
      </c>
      <c r="C136" s="285"/>
      <c r="D136" s="285"/>
      <c r="E136" s="285"/>
      <c r="F136" s="285"/>
      <c r="G136" s="285"/>
      <c r="H136" s="285"/>
      <c r="I136" s="285"/>
      <c r="J136" s="285"/>
      <c r="K136" s="285"/>
      <c r="L136" s="285"/>
      <c r="M136" s="285"/>
      <c r="N136" s="285"/>
      <c r="O136" s="285"/>
      <c r="P136" s="285"/>
      <c r="Q136" s="285"/>
      <c r="R136" s="285"/>
      <c r="S136" s="285"/>
      <c r="T136" s="339">
        <f>+T34*0.019</f>
        <v>19000.95</v>
      </c>
      <c r="U136" s="288"/>
      <c r="V136" s="5"/>
    </row>
    <row r="137" spans="1:23" ht="15.6" x14ac:dyDescent="0.3">
      <c r="A137" s="284"/>
      <c r="B137" s="285" t="s">
        <v>45</v>
      </c>
      <c r="C137" s="285"/>
      <c r="D137" s="285"/>
      <c r="E137" s="285"/>
      <c r="F137" s="285"/>
      <c r="G137" s="285"/>
      <c r="H137" s="285"/>
      <c r="I137" s="285"/>
      <c r="J137" s="285"/>
      <c r="K137" s="285"/>
      <c r="L137" s="285"/>
      <c r="M137" s="285"/>
      <c r="N137" s="285"/>
      <c r="O137" s="285"/>
      <c r="P137" s="285"/>
      <c r="Q137" s="285"/>
      <c r="R137" s="285"/>
      <c r="S137" s="285"/>
      <c r="T137" s="339">
        <v>19001</v>
      </c>
      <c r="U137" s="288"/>
      <c r="V137" s="5"/>
    </row>
    <row r="138" spans="1:23" ht="15.6" x14ac:dyDescent="0.3">
      <c r="A138" s="284"/>
      <c r="B138" s="285" t="s">
        <v>142</v>
      </c>
      <c r="C138" s="285"/>
      <c r="D138" s="285"/>
      <c r="E138" s="285"/>
      <c r="F138" s="285"/>
      <c r="G138" s="285"/>
      <c r="H138" s="285"/>
      <c r="I138" s="285"/>
      <c r="J138" s="285"/>
      <c r="K138" s="285"/>
      <c r="L138" s="285"/>
      <c r="M138" s="285"/>
      <c r="N138" s="285"/>
      <c r="O138" s="285"/>
      <c r="P138" s="285"/>
      <c r="Q138" s="285"/>
      <c r="R138" s="285"/>
      <c r="S138" s="285"/>
      <c r="T138" s="339">
        <v>0</v>
      </c>
      <c r="U138" s="288"/>
      <c r="V138" s="5"/>
    </row>
    <row r="139" spans="1:23" ht="15.6" x14ac:dyDescent="0.3">
      <c r="A139" s="284"/>
      <c r="B139" s="285" t="s">
        <v>129</v>
      </c>
      <c r="C139" s="285"/>
      <c r="D139" s="285"/>
      <c r="E139" s="285"/>
      <c r="F139" s="285"/>
      <c r="G139" s="285"/>
      <c r="H139" s="285"/>
      <c r="I139" s="285"/>
      <c r="J139" s="285"/>
      <c r="K139" s="285"/>
      <c r="L139" s="285"/>
      <c r="M139" s="285"/>
      <c r="N139" s="285"/>
      <c r="O139" s="285"/>
      <c r="P139" s="285"/>
      <c r="Q139" s="285"/>
      <c r="R139" s="285"/>
      <c r="S139" s="285"/>
      <c r="T139" s="339">
        <v>0</v>
      </c>
      <c r="U139" s="288"/>
      <c r="V139" s="5"/>
    </row>
    <row r="140" spans="1:23" ht="15.6" x14ac:dyDescent="0.3">
      <c r="A140" s="284"/>
      <c r="B140" s="285" t="s">
        <v>130</v>
      </c>
      <c r="C140" s="285"/>
      <c r="D140" s="285"/>
      <c r="E140" s="285"/>
      <c r="F140" s="285"/>
      <c r="G140" s="285"/>
      <c r="H140" s="285"/>
      <c r="I140" s="285"/>
      <c r="J140" s="285"/>
      <c r="K140" s="285"/>
      <c r="L140" s="285"/>
      <c r="M140" s="285"/>
      <c r="N140" s="285"/>
      <c r="O140" s="285"/>
      <c r="P140" s="285"/>
      <c r="Q140" s="285"/>
      <c r="R140" s="285"/>
      <c r="S140" s="285"/>
      <c r="T140" s="339">
        <v>0</v>
      </c>
      <c r="U140" s="288"/>
      <c r="V140" s="5"/>
    </row>
    <row r="141" spans="1:23" ht="15.6" x14ac:dyDescent="0.3">
      <c r="A141" s="284"/>
      <c r="B141" s="285" t="s">
        <v>182</v>
      </c>
      <c r="C141" s="285"/>
      <c r="D141" s="285"/>
      <c r="E141" s="285"/>
      <c r="F141" s="285"/>
      <c r="G141" s="285"/>
      <c r="H141" s="285"/>
      <c r="I141" s="285"/>
      <c r="J141" s="285"/>
      <c r="K141" s="285"/>
      <c r="L141" s="285"/>
      <c r="M141" s="285"/>
      <c r="N141" s="285"/>
      <c r="O141" s="285"/>
      <c r="P141" s="285"/>
      <c r="Q141" s="285"/>
      <c r="R141" s="285"/>
      <c r="S141" s="285"/>
      <c r="T141" s="339">
        <v>0</v>
      </c>
      <c r="U141" s="288"/>
      <c r="V141" s="5"/>
    </row>
    <row r="142" spans="1:23" ht="15.6" x14ac:dyDescent="0.3">
      <c r="A142" s="284"/>
      <c r="B142" s="285" t="s">
        <v>46</v>
      </c>
      <c r="C142" s="285"/>
      <c r="D142" s="285"/>
      <c r="E142" s="285"/>
      <c r="F142" s="285"/>
      <c r="G142" s="285"/>
      <c r="H142" s="285"/>
      <c r="I142" s="285"/>
      <c r="J142" s="285"/>
      <c r="K142" s="285"/>
      <c r="L142" s="285"/>
      <c r="M142" s="285"/>
      <c r="N142" s="285"/>
      <c r="O142" s="285"/>
      <c r="P142" s="285"/>
      <c r="Q142" s="285"/>
      <c r="R142" s="285"/>
      <c r="S142" s="285"/>
      <c r="T142" s="339">
        <v>0</v>
      </c>
      <c r="U142" s="288"/>
      <c r="V142" s="5"/>
    </row>
    <row r="143" spans="1:23" ht="15.6" x14ac:dyDescent="0.3">
      <c r="A143" s="284"/>
      <c r="B143" s="285" t="s">
        <v>135</v>
      </c>
      <c r="C143" s="285"/>
      <c r="D143" s="285"/>
      <c r="E143" s="285"/>
      <c r="F143" s="285"/>
      <c r="G143" s="285"/>
      <c r="H143" s="285"/>
      <c r="I143" s="285"/>
      <c r="J143" s="285"/>
      <c r="K143" s="285"/>
      <c r="L143" s="285"/>
      <c r="M143" s="285"/>
      <c r="N143" s="285"/>
      <c r="O143" s="285"/>
      <c r="P143" s="285"/>
      <c r="Q143" s="285"/>
      <c r="R143" s="285"/>
      <c r="S143" s="285"/>
      <c r="T143" s="339">
        <v>0</v>
      </c>
      <c r="U143" s="288"/>
      <c r="V143" s="5"/>
    </row>
    <row r="144" spans="1:23" ht="15.6" x14ac:dyDescent="0.3">
      <c r="A144" s="284"/>
      <c r="B144" s="285" t="s">
        <v>251</v>
      </c>
      <c r="C144" s="285"/>
      <c r="D144" s="285"/>
      <c r="E144" s="285"/>
      <c r="F144" s="285"/>
      <c r="G144" s="285"/>
      <c r="H144" s="285"/>
      <c r="I144" s="285"/>
      <c r="J144" s="285"/>
      <c r="K144" s="285"/>
      <c r="L144" s="285"/>
      <c r="M144" s="285"/>
      <c r="N144" s="285"/>
      <c r="O144" s="285"/>
      <c r="P144" s="285"/>
      <c r="Q144" s="285"/>
      <c r="R144" s="285"/>
      <c r="S144" s="285"/>
      <c r="T144" s="339">
        <v>0</v>
      </c>
      <c r="U144" s="288"/>
      <c r="V144" s="5"/>
      <c r="W144" s="109"/>
    </row>
    <row r="145" spans="1:22" ht="15.6" x14ac:dyDescent="0.3">
      <c r="A145" s="284"/>
      <c r="B145" s="285" t="s">
        <v>47</v>
      </c>
      <c r="C145" s="285"/>
      <c r="D145" s="285"/>
      <c r="E145" s="285"/>
      <c r="F145" s="285"/>
      <c r="G145" s="285"/>
      <c r="H145" s="285"/>
      <c r="I145" s="285"/>
      <c r="J145" s="285"/>
      <c r="K145" s="285"/>
      <c r="L145" s="285"/>
      <c r="M145" s="285"/>
      <c r="N145" s="285"/>
      <c r="O145" s="285"/>
      <c r="P145" s="285"/>
      <c r="Q145" s="285"/>
      <c r="R145" s="285"/>
      <c r="S145" s="285"/>
      <c r="T145" s="339">
        <f>SUM(T137:T144)</f>
        <v>19001</v>
      </c>
      <c r="U145" s="288"/>
      <c r="V145" s="5"/>
    </row>
    <row r="146" spans="1:22" ht="15.6" x14ac:dyDescent="0.3">
      <c r="A146" s="284"/>
      <c r="B146" s="311"/>
      <c r="C146" s="311"/>
      <c r="D146" s="311"/>
      <c r="E146" s="311"/>
      <c r="F146" s="311"/>
      <c r="G146" s="311"/>
      <c r="H146" s="311"/>
      <c r="I146" s="311"/>
      <c r="J146" s="311"/>
      <c r="K146" s="311"/>
      <c r="L146" s="311"/>
      <c r="M146" s="311"/>
      <c r="N146" s="311"/>
      <c r="O146" s="311"/>
      <c r="P146" s="311"/>
      <c r="Q146" s="311"/>
      <c r="R146" s="311"/>
      <c r="S146" s="311"/>
      <c r="T146" s="345"/>
      <c r="U146" s="317"/>
      <c r="V146" s="5"/>
    </row>
    <row r="147" spans="1:22" ht="15.6" x14ac:dyDescent="0.3">
      <c r="A147" s="284"/>
      <c r="B147" s="343" t="s">
        <v>262</v>
      </c>
      <c r="C147" s="311"/>
      <c r="D147" s="311"/>
      <c r="E147" s="311"/>
      <c r="F147" s="311"/>
      <c r="G147" s="311"/>
      <c r="H147" s="311"/>
      <c r="I147" s="311"/>
      <c r="J147" s="311"/>
      <c r="K147" s="311"/>
      <c r="L147" s="311"/>
      <c r="M147" s="311"/>
      <c r="N147" s="311"/>
      <c r="O147" s="311"/>
      <c r="P147" s="311"/>
      <c r="Q147" s="311"/>
      <c r="R147" s="311"/>
      <c r="S147" s="311"/>
      <c r="T147" s="345"/>
      <c r="U147" s="317"/>
      <c r="V147" s="5"/>
    </row>
    <row r="148" spans="1:22" ht="15.6" x14ac:dyDescent="0.3">
      <c r="A148" s="284"/>
      <c r="B148" s="285" t="s">
        <v>263</v>
      </c>
      <c r="C148" s="285"/>
      <c r="D148" s="285"/>
      <c r="E148" s="285"/>
      <c r="F148" s="285"/>
      <c r="G148" s="285"/>
      <c r="H148" s="285"/>
      <c r="I148" s="285"/>
      <c r="J148" s="285"/>
      <c r="K148" s="285"/>
      <c r="L148" s="285"/>
      <c r="M148" s="285"/>
      <c r="N148" s="285"/>
      <c r="O148" s="285"/>
      <c r="P148" s="285"/>
      <c r="Q148" s="285"/>
      <c r="R148" s="285"/>
      <c r="S148" s="285"/>
      <c r="T148" s="339">
        <v>0</v>
      </c>
      <c r="U148" s="288"/>
      <c r="V148" s="5"/>
    </row>
    <row r="149" spans="1:22" ht="15.6" x14ac:dyDescent="0.3">
      <c r="A149" s="284"/>
      <c r="B149" s="285" t="s">
        <v>179</v>
      </c>
      <c r="C149" s="285"/>
      <c r="D149" s="285"/>
      <c r="E149" s="285"/>
      <c r="F149" s="285"/>
      <c r="G149" s="285"/>
      <c r="H149" s="285"/>
      <c r="I149" s="285"/>
      <c r="J149" s="285"/>
      <c r="K149" s="285"/>
      <c r="L149" s="285"/>
      <c r="M149" s="285"/>
      <c r="N149" s="285"/>
      <c r="O149" s="285"/>
      <c r="P149" s="285"/>
      <c r="Q149" s="285"/>
      <c r="R149" s="285"/>
      <c r="S149" s="285"/>
      <c r="T149" s="339">
        <v>0</v>
      </c>
      <c r="U149" s="288"/>
      <c r="V149" s="5"/>
    </row>
    <row r="150" spans="1:22" ht="15.6" x14ac:dyDescent="0.3">
      <c r="A150" s="284"/>
      <c r="B150" s="285" t="s">
        <v>264</v>
      </c>
      <c r="C150" s="285"/>
      <c r="D150" s="285"/>
      <c r="E150" s="285"/>
      <c r="F150" s="285"/>
      <c r="G150" s="285"/>
      <c r="H150" s="285"/>
      <c r="I150" s="285"/>
      <c r="J150" s="285"/>
      <c r="K150" s="285"/>
      <c r="L150" s="285"/>
      <c r="M150" s="285"/>
      <c r="N150" s="285"/>
      <c r="O150" s="285"/>
      <c r="P150" s="285"/>
      <c r="Q150" s="285"/>
      <c r="R150" s="285"/>
      <c r="S150" s="285"/>
      <c r="T150" s="339">
        <v>0</v>
      </c>
      <c r="U150" s="288"/>
      <c r="V150" s="5"/>
    </row>
    <row r="151" spans="1:22" ht="15.6" x14ac:dyDescent="0.3">
      <c r="A151" s="284"/>
      <c r="B151" s="285"/>
      <c r="C151" s="285"/>
      <c r="D151" s="285"/>
      <c r="E151" s="285"/>
      <c r="F151" s="285"/>
      <c r="G151" s="285"/>
      <c r="H151" s="285"/>
      <c r="I151" s="285"/>
      <c r="J151" s="285"/>
      <c r="K151" s="285"/>
      <c r="L151" s="285"/>
      <c r="M151" s="285"/>
      <c r="N151" s="285"/>
      <c r="O151" s="285"/>
      <c r="P151" s="285"/>
      <c r="Q151" s="285"/>
      <c r="R151" s="285"/>
      <c r="S151" s="285"/>
      <c r="T151" s="339"/>
      <c r="U151" s="288"/>
      <c r="V151" s="5"/>
    </row>
    <row r="152" spans="1:22" ht="15.6" x14ac:dyDescent="0.3">
      <c r="A152" s="175"/>
      <c r="B152" s="334"/>
      <c r="C152" s="334"/>
      <c r="D152" s="334"/>
      <c r="E152" s="334"/>
      <c r="F152" s="334"/>
      <c r="G152" s="334"/>
      <c r="H152" s="334"/>
      <c r="I152" s="334"/>
      <c r="J152" s="334"/>
      <c r="K152" s="334"/>
      <c r="L152" s="334"/>
      <c r="M152" s="334"/>
      <c r="N152" s="334"/>
      <c r="O152" s="334"/>
      <c r="P152" s="334"/>
      <c r="Q152" s="334"/>
      <c r="R152" s="334"/>
      <c r="S152" s="334"/>
      <c r="T152" s="347"/>
      <c r="U152" s="334"/>
      <c r="V152" s="5"/>
    </row>
    <row r="153" spans="1:22" ht="15.6" x14ac:dyDescent="0.3">
      <c r="A153" s="175"/>
      <c r="B153" s="201" t="s">
        <v>24</v>
      </c>
      <c r="C153" s="177"/>
      <c r="D153" s="177"/>
      <c r="E153" s="177"/>
      <c r="F153" s="177"/>
      <c r="G153" s="177"/>
      <c r="H153" s="177"/>
      <c r="I153" s="177"/>
      <c r="J153" s="177"/>
      <c r="K153" s="177"/>
      <c r="L153" s="177"/>
      <c r="M153" s="177"/>
      <c r="N153" s="177"/>
      <c r="O153" s="177"/>
      <c r="P153" s="177"/>
      <c r="Q153" s="177"/>
      <c r="R153" s="177"/>
      <c r="S153" s="177"/>
      <c r="T153" s="194"/>
      <c r="U153" s="177"/>
      <c r="V153" s="5"/>
    </row>
    <row r="154" spans="1:22" ht="15.6" x14ac:dyDescent="0.3">
      <c r="A154" s="284"/>
      <c r="B154" s="285" t="s">
        <v>48</v>
      </c>
      <c r="C154" s="285"/>
      <c r="D154" s="285"/>
      <c r="E154" s="285"/>
      <c r="F154" s="285"/>
      <c r="G154" s="285"/>
      <c r="H154" s="285"/>
      <c r="I154" s="285"/>
      <c r="J154" s="285"/>
      <c r="K154" s="285"/>
      <c r="L154" s="285"/>
      <c r="M154" s="285"/>
      <c r="N154" s="285"/>
      <c r="O154" s="285"/>
      <c r="P154" s="285"/>
      <c r="Q154" s="285"/>
      <c r="R154" s="285"/>
      <c r="S154" s="285"/>
      <c r="T154" s="348" t="s">
        <v>124</v>
      </c>
      <c r="U154" s="288"/>
      <c r="V154" s="5"/>
    </row>
    <row r="155" spans="1:22" ht="15.6" x14ac:dyDescent="0.3">
      <c r="A155" s="284"/>
      <c r="B155" s="285" t="s">
        <v>49</v>
      </c>
      <c r="C155" s="287"/>
      <c r="D155" s="287"/>
      <c r="E155" s="287"/>
      <c r="F155" s="287"/>
      <c r="G155" s="287"/>
      <c r="H155" s="287"/>
      <c r="I155" s="287"/>
      <c r="J155" s="287"/>
      <c r="K155" s="287"/>
      <c r="L155" s="287"/>
      <c r="M155" s="287"/>
      <c r="N155" s="287"/>
      <c r="O155" s="287"/>
      <c r="P155" s="287"/>
      <c r="Q155" s="287"/>
      <c r="R155" s="287"/>
      <c r="S155" s="287"/>
      <c r="T155" s="348" t="s">
        <v>124</v>
      </c>
      <c r="U155" s="288"/>
      <c r="V155" s="5"/>
    </row>
    <row r="156" spans="1:22" ht="15.6" x14ac:dyDescent="0.3">
      <c r="A156" s="284"/>
      <c r="B156" s="285" t="s">
        <v>50</v>
      </c>
      <c r="C156" s="285"/>
      <c r="D156" s="285"/>
      <c r="E156" s="285"/>
      <c r="F156" s="285"/>
      <c r="G156" s="285"/>
      <c r="H156" s="285"/>
      <c r="I156" s="285"/>
      <c r="J156" s="285"/>
      <c r="K156" s="285"/>
      <c r="L156" s="285"/>
      <c r="M156" s="285"/>
      <c r="N156" s="285"/>
      <c r="O156" s="285"/>
      <c r="P156" s="285"/>
      <c r="Q156" s="285"/>
      <c r="R156" s="285"/>
      <c r="S156" s="285"/>
      <c r="T156" s="348" t="s">
        <v>124</v>
      </c>
      <c r="U156" s="288"/>
      <c r="V156" s="5"/>
    </row>
    <row r="157" spans="1:22" ht="15.6" x14ac:dyDescent="0.3">
      <c r="A157" s="284"/>
      <c r="B157" s="285" t="s">
        <v>51</v>
      </c>
      <c r="C157" s="285"/>
      <c r="D157" s="285"/>
      <c r="E157" s="285"/>
      <c r="F157" s="285"/>
      <c r="G157" s="285"/>
      <c r="H157" s="285"/>
      <c r="I157" s="285"/>
      <c r="J157" s="285"/>
      <c r="K157" s="285"/>
      <c r="L157" s="285"/>
      <c r="M157" s="285"/>
      <c r="N157" s="285"/>
      <c r="O157" s="285"/>
      <c r="P157" s="285"/>
      <c r="Q157" s="285"/>
      <c r="R157" s="285"/>
      <c r="S157" s="285"/>
      <c r="T157" s="348" t="s">
        <v>124</v>
      </c>
      <c r="U157" s="288"/>
      <c r="V157" s="5"/>
    </row>
    <row r="158" spans="1:22" ht="15.6" x14ac:dyDescent="0.3">
      <c r="A158" s="175"/>
      <c r="B158" s="334"/>
      <c r="C158" s="334"/>
      <c r="D158" s="334"/>
      <c r="E158" s="334"/>
      <c r="F158" s="334"/>
      <c r="G158" s="334"/>
      <c r="H158" s="334"/>
      <c r="I158" s="334"/>
      <c r="J158" s="334"/>
      <c r="K158" s="334"/>
      <c r="L158" s="334"/>
      <c r="M158" s="334"/>
      <c r="N158" s="334"/>
      <c r="O158" s="334"/>
      <c r="P158" s="334"/>
      <c r="Q158" s="334"/>
      <c r="R158" s="334"/>
      <c r="S158" s="334"/>
      <c r="T158" s="347"/>
      <c r="U158" s="334"/>
      <c r="V158" s="5"/>
    </row>
    <row r="159" spans="1:22" ht="15.6" x14ac:dyDescent="0.3">
      <c r="A159" s="175"/>
      <c r="B159" s="201" t="s">
        <v>52</v>
      </c>
      <c r="C159" s="177"/>
      <c r="D159" s="177"/>
      <c r="E159" s="177"/>
      <c r="F159" s="177"/>
      <c r="G159" s="177"/>
      <c r="H159" s="177"/>
      <c r="I159" s="177"/>
      <c r="J159" s="177"/>
      <c r="K159" s="177"/>
      <c r="L159" s="177"/>
      <c r="M159" s="177"/>
      <c r="N159" s="177"/>
      <c r="O159" s="177"/>
      <c r="P159" s="177"/>
      <c r="Q159" s="177"/>
      <c r="R159" s="177"/>
      <c r="S159" s="177"/>
      <c r="T159" s="202"/>
      <c r="U159" s="177"/>
      <c r="V159" s="5"/>
    </row>
    <row r="160" spans="1:22" ht="15.6" x14ac:dyDescent="0.3">
      <c r="A160" s="284"/>
      <c r="B160" s="285" t="s">
        <v>53</v>
      </c>
      <c r="C160" s="285"/>
      <c r="D160" s="285"/>
      <c r="E160" s="285"/>
      <c r="F160" s="285"/>
      <c r="G160" s="285"/>
      <c r="H160" s="285"/>
      <c r="I160" s="285"/>
      <c r="J160" s="285"/>
      <c r="K160" s="285"/>
      <c r="L160" s="285"/>
      <c r="M160" s="285"/>
      <c r="N160" s="285"/>
      <c r="O160" s="285"/>
      <c r="P160" s="285"/>
      <c r="Q160" s="285"/>
      <c r="R160" s="285"/>
      <c r="S160" s="285"/>
      <c r="T160" s="339">
        <v>0</v>
      </c>
      <c r="U160" s="288"/>
      <c r="V160" s="5"/>
    </row>
    <row r="161" spans="1:22" ht="15.6" x14ac:dyDescent="0.3">
      <c r="A161" s="284"/>
      <c r="B161" s="285" t="s">
        <v>54</v>
      </c>
      <c r="C161" s="285"/>
      <c r="D161" s="285"/>
      <c r="E161" s="285"/>
      <c r="F161" s="285"/>
      <c r="G161" s="285"/>
      <c r="H161" s="285"/>
      <c r="I161" s="285"/>
      <c r="J161" s="285"/>
      <c r="K161" s="285"/>
      <c r="L161" s="285"/>
      <c r="M161" s="285"/>
      <c r="N161" s="285"/>
      <c r="O161" s="285"/>
      <c r="P161" s="285"/>
      <c r="Q161" s="285"/>
      <c r="R161" s="285"/>
      <c r="S161" s="285"/>
      <c r="T161" s="339">
        <f>R112</f>
        <v>199</v>
      </c>
      <c r="U161" s="288"/>
      <c r="V161" s="5"/>
    </row>
    <row r="162" spans="1:22" ht="15.6" x14ac:dyDescent="0.3">
      <c r="A162" s="284"/>
      <c r="B162" s="285" t="s">
        <v>55</v>
      </c>
      <c r="C162" s="285"/>
      <c r="D162" s="285"/>
      <c r="E162" s="285"/>
      <c r="F162" s="285"/>
      <c r="G162" s="285"/>
      <c r="H162" s="285"/>
      <c r="I162" s="285"/>
      <c r="J162" s="285"/>
      <c r="K162" s="285"/>
      <c r="L162" s="285"/>
      <c r="M162" s="285"/>
      <c r="N162" s="285"/>
      <c r="O162" s="285"/>
      <c r="P162" s="285"/>
      <c r="Q162" s="285"/>
      <c r="R162" s="285"/>
      <c r="S162" s="285"/>
      <c r="T162" s="339">
        <f>T161+T160</f>
        <v>199</v>
      </c>
      <c r="U162" s="288"/>
      <c r="V162" s="5"/>
    </row>
    <row r="163" spans="1:22" ht="15.6" x14ac:dyDescent="0.3">
      <c r="A163" s="284"/>
      <c r="B163" s="285" t="s">
        <v>301</v>
      </c>
      <c r="C163" s="285"/>
      <c r="D163" s="285"/>
      <c r="E163" s="285"/>
      <c r="F163" s="285"/>
      <c r="G163" s="285"/>
      <c r="H163" s="285"/>
      <c r="I163" s="285"/>
      <c r="J163" s="285"/>
      <c r="K163" s="285"/>
      <c r="L163" s="285"/>
      <c r="M163" s="285"/>
      <c r="N163" s="285"/>
      <c r="O163" s="285"/>
      <c r="P163" s="285"/>
      <c r="Q163" s="285"/>
      <c r="R163" s="285"/>
      <c r="S163" s="285"/>
      <c r="T163" s="339">
        <f>T112</f>
        <v>-199</v>
      </c>
      <c r="U163" s="288"/>
      <c r="V163" s="5"/>
    </row>
    <row r="164" spans="1:22" ht="15.6" x14ac:dyDescent="0.3">
      <c r="A164" s="284"/>
      <c r="B164" s="285" t="s">
        <v>56</v>
      </c>
      <c r="C164" s="285"/>
      <c r="D164" s="285"/>
      <c r="E164" s="285"/>
      <c r="F164" s="285"/>
      <c r="G164" s="285"/>
      <c r="H164" s="285"/>
      <c r="I164" s="285"/>
      <c r="J164" s="285"/>
      <c r="K164" s="285"/>
      <c r="L164" s="285"/>
      <c r="M164" s="285"/>
      <c r="N164" s="285"/>
      <c r="O164" s="285"/>
      <c r="P164" s="285"/>
      <c r="Q164" s="285"/>
      <c r="R164" s="285"/>
      <c r="S164" s="285"/>
      <c r="T164" s="339">
        <f>T162+T163</f>
        <v>0</v>
      </c>
      <c r="U164" s="288"/>
      <c r="V164" s="5"/>
    </row>
    <row r="165" spans="1:22" ht="15.6" x14ac:dyDescent="0.3">
      <c r="A165" s="284"/>
      <c r="B165" s="285" t="s">
        <v>273</v>
      </c>
      <c r="C165" s="285"/>
      <c r="D165" s="285"/>
      <c r="E165" s="285"/>
      <c r="F165" s="285"/>
      <c r="G165" s="285"/>
      <c r="H165" s="285"/>
      <c r="I165" s="285"/>
      <c r="J165" s="285"/>
      <c r="K165" s="285"/>
      <c r="L165" s="285"/>
      <c r="M165" s="285"/>
      <c r="N165" s="285"/>
      <c r="O165" s="285"/>
      <c r="P165" s="285"/>
      <c r="Q165" s="285"/>
      <c r="R165" s="285"/>
      <c r="S165" s="285"/>
      <c r="T165" s="339">
        <v>0</v>
      </c>
      <c r="U165" s="288"/>
      <c r="V165" s="5"/>
    </row>
    <row r="166" spans="1:22" ht="16.2" thickBot="1" x14ac:dyDescent="0.35">
      <c r="A166" s="175"/>
      <c r="B166" s="334"/>
      <c r="C166" s="334"/>
      <c r="D166" s="334"/>
      <c r="E166" s="334"/>
      <c r="F166" s="334"/>
      <c r="G166" s="334"/>
      <c r="H166" s="334"/>
      <c r="I166" s="334"/>
      <c r="J166" s="334"/>
      <c r="K166" s="334"/>
      <c r="L166" s="334"/>
      <c r="M166" s="334"/>
      <c r="N166" s="334"/>
      <c r="O166" s="334"/>
      <c r="P166" s="334"/>
      <c r="Q166" s="334"/>
      <c r="R166" s="334"/>
      <c r="S166" s="334"/>
      <c r="T166" s="347"/>
      <c r="U166" s="334"/>
      <c r="V166" s="5"/>
    </row>
    <row r="167" spans="1:22" ht="15.6" x14ac:dyDescent="0.3">
      <c r="A167" s="173"/>
      <c r="B167" s="174"/>
      <c r="C167" s="174"/>
      <c r="D167" s="174"/>
      <c r="E167" s="174"/>
      <c r="F167" s="174"/>
      <c r="G167" s="174"/>
      <c r="H167" s="174"/>
      <c r="I167" s="174"/>
      <c r="J167" s="174"/>
      <c r="K167" s="174"/>
      <c r="L167" s="174"/>
      <c r="M167" s="174"/>
      <c r="N167" s="174"/>
      <c r="O167" s="174"/>
      <c r="P167" s="174"/>
      <c r="Q167" s="174"/>
      <c r="R167" s="174"/>
      <c r="S167" s="174"/>
      <c r="T167" s="193"/>
      <c r="U167" s="174"/>
      <c r="V167" s="5"/>
    </row>
    <row r="168" spans="1:22" ht="15.6" x14ac:dyDescent="0.3">
      <c r="A168" s="175"/>
      <c r="B168" s="201" t="s">
        <v>57</v>
      </c>
      <c r="C168" s="177"/>
      <c r="D168" s="177"/>
      <c r="E168" s="177"/>
      <c r="F168" s="177"/>
      <c r="G168" s="177"/>
      <c r="H168" s="177"/>
      <c r="I168" s="177"/>
      <c r="J168" s="177"/>
      <c r="K168" s="177"/>
      <c r="L168" s="177"/>
      <c r="M168" s="177"/>
      <c r="N168" s="177"/>
      <c r="O168" s="177"/>
      <c r="P168" s="177"/>
      <c r="Q168" s="177"/>
      <c r="R168" s="177"/>
      <c r="S168" s="177"/>
      <c r="T168" s="194"/>
      <c r="U168" s="177"/>
      <c r="V168" s="5"/>
    </row>
    <row r="169" spans="1:22" ht="15.6" x14ac:dyDescent="0.3">
      <c r="A169" s="175"/>
      <c r="B169" s="187"/>
      <c r="C169" s="177"/>
      <c r="D169" s="177"/>
      <c r="E169" s="177"/>
      <c r="F169" s="177"/>
      <c r="G169" s="177"/>
      <c r="H169" s="177"/>
      <c r="I169" s="177"/>
      <c r="J169" s="177"/>
      <c r="K169" s="177"/>
      <c r="L169" s="177"/>
      <c r="M169" s="177"/>
      <c r="N169" s="177"/>
      <c r="O169" s="177"/>
      <c r="P169" s="177"/>
      <c r="Q169" s="177"/>
      <c r="R169" s="177"/>
      <c r="S169" s="177"/>
      <c r="T169" s="194"/>
      <c r="U169" s="177"/>
      <c r="V169" s="5"/>
    </row>
    <row r="170" spans="1:22" ht="15.6" x14ac:dyDescent="0.3">
      <c r="A170" s="284"/>
      <c r="B170" s="285" t="s">
        <v>58</v>
      </c>
      <c r="C170" s="285"/>
      <c r="D170" s="285"/>
      <c r="E170" s="285"/>
      <c r="F170" s="285"/>
      <c r="G170" s="285"/>
      <c r="H170" s="285"/>
      <c r="I170" s="285"/>
      <c r="J170" s="285"/>
      <c r="K170" s="285"/>
      <c r="L170" s="285"/>
      <c r="M170" s="285"/>
      <c r="N170" s="285"/>
      <c r="O170" s="285"/>
      <c r="P170" s="285"/>
      <c r="Q170" s="285"/>
      <c r="R170" s="285"/>
      <c r="S170" s="285"/>
      <c r="T170" s="339">
        <f>T71</f>
        <v>566872</v>
      </c>
      <c r="U170" s="288"/>
      <c r="V170" s="5"/>
    </row>
    <row r="171" spans="1:22" ht="15.6" x14ac:dyDescent="0.3">
      <c r="A171" s="284"/>
      <c r="B171" s="285" t="s">
        <v>59</v>
      </c>
      <c r="C171" s="285"/>
      <c r="D171" s="285"/>
      <c r="E171" s="285"/>
      <c r="F171" s="285"/>
      <c r="G171" s="285"/>
      <c r="H171" s="285"/>
      <c r="I171" s="285"/>
      <c r="J171" s="285"/>
      <c r="K171" s="285"/>
      <c r="L171" s="285"/>
      <c r="M171" s="285"/>
      <c r="N171" s="285"/>
      <c r="O171" s="285"/>
      <c r="P171" s="285"/>
      <c r="Q171" s="285"/>
      <c r="R171" s="285"/>
      <c r="S171" s="285"/>
      <c r="T171" s="339">
        <f>T84</f>
        <v>566872</v>
      </c>
      <c r="U171" s="288"/>
      <c r="V171" s="5"/>
    </row>
    <row r="172" spans="1:22" ht="16.2" thickBot="1" x14ac:dyDescent="0.35">
      <c r="A172" s="175"/>
      <c r="B172" s="334"/>
      <c r="C172" s="334"/>
      <c r="D172" s="334"/>
      <c r="E172" s="334"/>
      <c r="F172" s="334"/>
      <c r="G172" s="334"/>
      <c r="H172" s="334"/>
      <c r="I172" s="334"/>
      <c r="J172" s="334"/>
      <c r="K172" s="334"/>
      <c r="L172" s="334"/>
      <c r="M172" s="334"/>
      <c r="N172" s="334"/>
      <c r="O172" s="334"/>
      <c r="P172" s="334"/>
      <c r="Q172" s="334"/>
      <c r="R172" s="334"/>
      <c r="S172" s="334"/>
      <c r="T172" s="347"/>
      <c r="U172" s="334"/>
      <c r="V172" s="5"/>
    </row>
    <row r="173" spans="1:22" ht="15.6" x14ac:dyDescent="0.3">
      <c r="A173" s="173"/>
      <c r="B173" s="174"/>
      <c r="C173" s="174"/>
      <c r="D173" s="174"/>
      <c r="E173" s="174"/>
      <c r="F173" s="174"/>
      <c r="G173" s="174"/>
      <c r="H173" s="174"/>
      <c r="I173" s="174"/>
      <c r="J173" s="174"/>
      <c r="K173" s="174"/>
      <c r="L173" s="174"/>
      <c r="M173" s="174"/>
      <c r="N173" s="174"/>
      <c r="O173" s="174"/>
      <c r="P173" s="174"/>
      <c r="Q173" s="174"/>
      <c r="R173" s="174"/>
      <c r="S173" s="174"/>
      <c r="T173" s="193"/>
      <c r="U173" s="174"/>
      <c r="V173" s="5"/>
    </row>
    <row r="174" spans="1:22" ht="15.6" x14ac:dyDescent="0.3">
      <c r="A174" s="175"/>
      <c r="B174" s="201" t="s">
        <v>60</v>
      </c>
      <c r="C174" s="198"/>
      <c r="D174" s="198"/>
      <c r="E174" s="198"/>
      <c r="F174" s="198"/>
      <c r="G174" s="198"/>
      <c r="H174" s="203"/>
      <c r="I174" s="203"/>
      <c r="J174" s="203"/>
      <c r="K174" s="203"/>
      <c r="L174" s="203"/>
      <c r="M174" s="203"/>
      <c r="N174" s="203"/>
      <c r="O174" s="203"/>
      <c r="P174" s="203"/>
      <c r="Q174" s="203" t="s">
        <v>104</v>
      </c>
      <c r="R174" s="203" t="s">
        <v>183</v>
      </c>
      <c r="S174" s="179"/>
      <c r="T174" s="204" t="s">
        <v>120</v>
      </c>
      <c r="U174" s="205"/>
      <c r="V174" s="5"/>
    </row>
    <row r="175" spans="1:22" ht="15.6" x14ac:dyDescent="0.3">
      <c r="A175" s="284"/>
      <c r="B175" s="285" t="s">
        <v>61</v>
      </c>
      <c r="C175" s="285"/>
      <c r="D175" s="285"/>
      <c r="E175" s="285"/>
      <c r="F175" s="285"/>
      <c r="G175" s="285"/>
      <c r="H175" s="285"/>
      <c r="I175" s="285"/>
      <c r="J175" s="285"/>
      <c r="K175" s="285"/>
      <c r="L175" s="285"/>
      <c r="M175" s="285"/>
      <c r="N175" s="285"/>
      <c r="O175" s="285"/>
      <c r="P175" s="285"/>
      <c r="Q175" s="339">
        <v>160008</v>
      </c>
      <c r="R175" s="324"/>
      <c r="S175" s="285"/>
      <c r="T175" s="339"/>
      <c r="U175" s="288"/>
      <c r="V175" s="5"/>
    </row>
    <row r="176" spans="1:22" ht="15.6" x14ac:dyDescent="0.3">
      <c r="A176" s="284"/>
      <c r="B176" s="285" t="s">
        <v>62</v>
      </c>
      <c r="C176" s="285"/>
      <c r="D176" s="285"/>
      <c r="E176" s="285"/>
      <c r="F176" s="285"/>
      <c r="G176" s="285"/>
      <c r="H176" s="285"/>
      <c r="I176" s="285"/>
      <c r="J176" s="285"/>
      <c r="K176" s="285"/>
      <c r="L176" s="285"/>
      <c r="M176" s="285"/>
      <c r="N176" s="285"/>
      <c r="O176" s="285"/>
      <c r="P176" s="285"/>
      <c r="Q176" s="339">
        <f>+'Sept 11'!Q178</f>
        <v>36752</v>
      </c>
      <c r="R176" s="339">
        <f>+'Sept 11'!R178</f>
        <v>3447</v>
      </c>
      <c r="S176" s="285"/>
      <c r="T176" s="339">
        <f>Q176+R176</f>
        <v>40199</v>
      </c>
      <c r="U176" s="288"/>
      <c r="V176" s="5"/>
    </row>
    <row r="177" spans="1:22" ht="15.6" x14ac:dyDescent="0.3">
      <c r="A177" s="284"/>
      <c r="B177" s="285" t="s">
        <v>63</v>
      </c>
      <c r="C177" s="285"/>
      <c r="D177" s="285"/>
      <c r="E177" s="285"/>
      <c r="F177" s="285"/>
      <c r="G177" s="285"/>
      <c r="H177" s="285"/>
      <c r="I177" s="285"/>
      <c r="J177" s="285"/>
      <c r="K177" s="285"/>
      <c r="L177" s="285"/>
      <c r="M177" s="285"/>
      <c r="N177" s="285"/>
      <c r="O177" s="285"/>
      <c r="P177" s="285"/>
      <c r="Q177" s="338">
        <v>0</v>
      </c>
      <c r="R177" s="338">
        <v>0</v>
      </c>
      <c r="S177" s="285"/>
      <c r="T177" s="339">
        <f>Q177+R177</f>
        <v>0</v>
      </c>
      <c r="U177" s="288"/>
      <c r="V177" s="5"/>
    </row>
    <row r="178" spans="1:22" ht="15.6" x14ac:dyDescent="0.3">
      <c r="A178" s="284"/>
      <c r="B178" s="285" t="s">
        <v>64</v>
      </c>
      <c r="C178" s="285"/>
      <c r="D178" s="285"/>
      <c r="E178" s="285"/>
      <c r="F178" s="285"/>
      <c r="G178" s="285"/>
      <c r="H178" s="285"/>
      <c r="I178" s="285"/>
      <c r="J178" s="285"/>
      <c r="K178" s="285"/>
      <c r="L178" s="285"/>
      <c r="M178" s="285"/>
      <c r="N178" s="285"/>
      <c r="O178" s="285"/>
      <c r="P178" s="285"/>
      <c r="Q178" s="339">
        <f>Q176+Q177</f>
        <v>36752</v>
      </c>
      <c r="R178" s="339">
        <f>R177+R176</f>
        <v>3447</v>
      </c>
      <c r="S178" s="285"/>
      <c r="T178" s="339">
        <f>Q178+R178</f>
        <v>40199</v>
      </c>
      <c r="U178" s="288"/>
      <c r="V178" s="5"/>
    </row>
    <row r="179" spans="1:22" ht="15.6" x14ac:dyDescent="0.3">
      <c r="A179" s="284"/>
      <c r="B179" s="285" t="s">
        <v>65</v>
      </c>
      <c r="C179" s="285"/>
      <c r="D179" s="285"/>
      <c r="E179" s="285"/>
      <c r="F179" s="285"/>
      <c r="G179" s="285"/>
      <c r="H179" s="285"/>
      <c r="I179" s="285"/>
      <c r="J179" s="285"/>
      <c r="K179" s="285"/>
      <c r="L179" s="285"/>
      <c r="M179" s="285"/>
      <c r="N179" s="285"/>
      <c r="O179" s="285"/>
      <c r="P179" s="285"/>
      <c r="Q179" s="339">
        <f>Q175-Q178-R178</f>
        <v>119809</v>
      </c>
      <c r="R179" s="324"/>
      <c r="S179" s="285"/>
      <c r="T179" s="339"/>
      <c r="U179" s="288"/>
      <c r="V179" s="5"/>
    </row>
    <row r="180" spans="1:22" ht="16.2" thickBot="1" x14ac:dyDescent="0.35">
      <c r="A180" s="175"/>
      <c r="B180" s="334"/>
      <c r="C180" s="334"/>
      <c r="D180" s="334"/>
      <c r="E180" s="334"/>
      <c r="F180" s="334"/>
      <c r="G180" s="334"/>
      <c r="H180" s="334"/>
      <c r="I180" s="334"/>
      <c r="J180" s="334"/>
      <c r="K180" s="334"/>
      <c r="L180" s="334"/>
      <c r="M180" s="334"/>
      <c r="N180" s="334"/>
      <c r="O180" s="334"/>
      <c r="P180" s="334"/>
      <c r="Q180" s="334"/>
      <c r="R180" s="334"/>
      <c r="S180" s="334"/>
      <c r="T180" s="347"/>
      <c r="U180" s="334"/>
      <c r="V180" s="5"/>
    </row>
    <row r="181" spans="1:22" ht="15.6" x14ac:dyDescent="0.3">
      <c r="A181" s="173"/>
      <c r="B181" s="174"/>
      <c r="C181" s="174"/>
      <c r="D181" s="174"/>
      <c r="E181" s="174"/>
      <c r="F181" s="174"/>
      <c r="G181" s="174"/>
      <c r="H181" s="174"/>
      <c r="I181" s="174"/>
      <c r="J181" s="174"/>
      <c r="K181" s="174"/>
      <c r="L181" s="174"/>
      <c r="M181" s="174"/>
      <c r="N181" s="174"/>
      <c r="O181" s="174"/>
      <c r="P181" s="174"/>
      <c r="Q181" s="174"/>
      <c r="R181" s="174"/>
      <c r="S181" s="174"/>
      <c r="T181" s="193"/>
      <c r="U181" s="174"/>
      <c r="V181" s="5"/>
    </row>
    <row r="182" spans="1:22" ht="15.6" x14ac:dyDescent="0.3">
      <c r="A182" s="175"/>
      <c r="B182" s="201" t="s">
        <v>66</v>
      </c>
      <c r="C182" s="177"/>
      <c r="D182" s="177"/>
      <c r="E182" s="177"/>
      <c r="F182" s="177"/>
      <c r="G182" s="177"/>
      <c r="H182" s="177"/>
      <c r="I182" s="177"/>
      <c r="J182" s="177"/>
      <c r="K182" s="177"/>
      <c r="L182" s="177"/>
      <c r="M182" s="177"/>
      <c r="N182" s="177"/>
      <c r="O182" s="177"/>
      <c r="P182" s="177"/>
      <c r="Q182" s="177"/>
      <c r="R182" s="177"/>
      <c r="S182" s="177"/>
      <c r="T182" s="206"/>
      <c r="U182" s="177"/>
      <c r="V182" s="5"/>
    </row>
    <row r="183" spans="1:22" ht="15.6" x14ac:dyDescent="0.3">
      <c r="A183" s="284"/>
      <c r="B183" s="285" t="s">
        <v>67</v>
      </c>
      <c r="C183" s="285"/>
      <c r="D183" s="285"/>
      <c r="E183" s="285"/>
      <c r="F183" s="285"/>
      <c r="G183" s="285"/>
      <c r="H183" s="285"/>
      <c r="I183" s="285"/>
      <c r="J183" s="285"/>
      <c r="K183" s="285"/>
      <c r="L183" s="285"/>
      <c r="M183" s="285"/>
      <c r="N183" s="285"/>
      <c r="O183" s="285"/>
      <c r="P183" s="285"/>
      <c r="Q183" s="285"/>
      <c r="R183" s="285"/>
      <c r="S183" s="285"/>
      <c r="T183" s="348">
        <f>(T100+T102+T103+T104+T105)/-(T106+T107)</f>
        <v>3.1666666666666665</v>
      </c>
      <c r="U183" s="288" t="s">
        <v>121</v>
      </c>
      <c r="V183" s="5"/>
    </row>
    <row r="184" spans="1:22" ht="15.6" x14ac:dyDescent="0.3">
      <c r="A184" s="284"/>
      <c r="B184" s="285" t="s">
        <v>68</v>
      </c>
      <c r="C184" s="285"/>
      <c r="D184" s="285"/>
      <c r="E184" s="285"/>
      <c r="F184" s="285"/>
      <c r="G184" s="285"/>
      <c r="H184" s="285"/>
      <c r="I184" s="285"/>
      <c r="J184" s="285"/>
      <c r="K184" s="285"/>
      <c r="L184" s="285"/>
      <c r="M184" s="285"/>
      <c r="N184" s="285"/>
      <c r="O184" s="285"/>
      <c r="P184" s="285"/>
      <c r="Q184" s="285"/>
      <c r="R184" s="285"/>
      <c r="S184" s="285"/>
      <c r="T184" s="349">
        <v>1.61</v>
      </c>
      <c r="U184" s="288" t="s">
        <v>121</v>
      </c>
      <c r="V184" s="5"/>
    </row>
    <row r="185" spans="1:22" ht="15.6" x14ac:dyDescent="0.3">
      <c r="A185" s="284"/>
      <c r="B185" s="285" t="s">
        <v>69</v>
      </c>
      <c r="C185" s="285"/>
      <c r="D185" s="285"/>
      <c r="E185" s="285"/>
      <c r="F185" s="285"/>
      <c r="G185" s="285"/>
      <c r="H185" s="285"/>
      <c r="I185" s="285"/>
      <c r="J185" s="285"/>
      <c r="K185" s="285"/>
      <c r="L185" s="285"/>
      <c r="M185" s="285"/>
      <c r="N185" s="285"/>
      <c r="O185" s="285"/>
      <c r="P185" s="285"/>
      <c r="Q185" s="285"/>
      <c r="R185" s="285"/>
      <c r="S185" s="285"/>
      <c r="T185" s="348">
        <f>(T100+T102+T103+T104+T105+T106+T107)/-(T108+T109)</f>
        <v>10.052044609665428</v>
      </c>
      <c r="U185" s="288" t="s">
        <v>121</v>
      </c>
      <c r="V185" s="5"/>
    </row>
    <row r="186" spans="1:22" ht="15.6" x14ac:dyDescent="0.3">
      <c r="A186" s="284"/>
      <c r="B186" s="285" t="s">
        <v>70</v>
      </c>
      <c r="C186" s="285"/>
      <c r="D186" s="285"/>
      <c r="E186" s="285"/>
      <c r="F186" s="285"/>
      <c r="G186" s="285"/>
      <c r="H186" s="285"/>
      <c r="I186" s="285"/>
      <c r="J186" s="285"/>
      <c r="K186" s="285"/>
      <c r="L186" s="285"/>
      <c r="M186" s="285"/>
      <c r="N186" s="285"/>
      <c r="O186" s="285"/>
      <c r="P186" s="285"/>
      <c r="Q186" s="285"/>
      <c r="R186" s="285"/>
      <c r="S186" s="285"/>
      <c r="T186" s="349">
        <v>5.47</v>
      </c>
      <c r="U186" s="288" t="s">
        <v>121</v>
      </c>
      <c r="V186" s="5"/>
    </row>
    <row r="187" spans="1:22" ht="15.6" x14ac:dyDescent="0.3">
      <c r="A187" s="284"/>
      <c r="B187" s="285" t="s">
        <v>206</v>
      </c>
      <c r="C187" s="285"/>
      <c r="D187" s="285"/>
      <c r="E187" s="285"/>
      <c r="F187" s="285"/>
      <c r="G187" s="285"/>
      <c r="H187" s="285"/>
      <c r="I187" s="285"/>
      <c r="J187" s="285"/>
      <c r="K187" s="285"/>
      <c r="L187" s="285"/>
      <c r="M187" s="285"/>
      <c r="N187" s="285"/>
      <c r="O187" s="285"/>
      <c r="P187" s="285"/>
      <c r="Q187" s="285"/>
      <c r="R187" s="285"/>
      <c r="S187" s="285"/>
      <c r="T187" s="348">
        <f>(T100+T102+T103+T104+T105+T106+T107+T108+T109)/-(T110)</f>
        <v>8.2542372881355934</v>
      </c>
      <c r="U187" s="288" t="s">
        <v>121</v>
      </c>
      <c r="V187" s="5"/>
    </row>
    <row r="188" spans="1:22" ht="15.6" x14ac:dyDescent="0.3">
      <c r="A188" s="284"/>
      <c r="B188" s="285" t="s">
        <v>207</v>
      </c>
      <c r="C188" s="285"/>
      <c r="D188" s="285"/>
      <c r="E188" s="285"/>
      <c r="F188" s="285"/>
      <c r="G188" s="285"/>
      <c r="H188" s="285"/>
      <c r="I188" s="285"/>
      <c r="J188" s="285"/>
      <c r="K188" s="285"/>
      <c r="L188" s="285"/>
      <c r="M188" s="285"/>
      <c r="N188" s="285"/>
      <c r="O188" s="285"/>
      <c r="P188" s="285"/>
      <c r="Q188" s="285"/>
      <c r="R188" s="285"/>
      <c r="S188" s="285"/>
      <c r="T188" s="349">
        <v>5.01</v>
      </c>
      <c r="U188" s="288" t="s">
        <v>121</v>
      </c>
      <c r="V188" s="5"/>
    </row>
    <row r="189" spans="1:22" ht="15.6" x14ac:dyDescent="0.3">
      <c r="A189" s="284"/>
      <c r="B189" s="311"/>
      <c r="C189" s="311"/>
      <c r="D189" s="311"/>
      <c r="E189" s="311"/>
      <c r="F189" s="311"/>
      <c r="G189" s="311"/>
      <c r="H189" s="311"/>
      <c r="I189" s="311"/>
      <c r="J189" s="311"/>
      <c r="K189" s="311"/>
      <c r="L189" s="311"/>
      <c r="M189" s="311"/>
      <c r="N189" s="311"/>
      <c r="O189" s="311"/>
      <c r="P189" s="311"/>
      <c r="Q189" s="311"/>
      <c r="R189" s="311"/>
      <c r="S189" s="311"/>
      <c r="T189" s="311"/>
      <c r="U189" s="317"/>
      <c r="V189" s="5"/>
    </row>
    <row r="190" spans="1:22" ht="15.6" x14ac:dyDescent="0.3">
      <c r="A190" s="175"/>
      <c r="B190" s="334"/>
      <c r="C190" s="334"/>
      <c r="D190" s="334"/>
      <c r="E190" s="334"/>
      <c r="F190" s="334"/>
      <c r="G190" s="334"/>
      <c r="H190" s="334"/>
      <c r="I190" s="334"/>
      <c r="J190" s="334"/>
      <c r="K190" s="334"/>
      <c r="L190" s="334"/>
      <c r="M190" s="334"/>
      <c r="N190" s="334"/>
      <c r="O190" s="334"/>
      <c r="P190" s="334"/>
      <c r="Q190" s="334"/>
      <c r="R190" s="334"/>
      <c r="S190" s="334"/>
      <c r="T190" s="334"/>
      <c r="U190" s="334"/>
      <c r="V190" s="5"/>
    </row>
    <row r="191" spans="1:22" ht="15.6" x14ac:dyDescent="0.3">
      <c r="A191" s="175"/>
      <c r="B191" s="177"/>
      <c r="C191" s="177"/>
      <c r="D191" s="177"/>
      <c r="E191" s="177"/>
      <c r="F191" s="177"/>
      <c r="G191" s="177"/>
      <c r="H191" s="177"/>
      <c r="I191" s="177"/>
      <c r="J191" s="177"/>
      <c r="K191" s="177"/>
      <c r="L191" s="177"/>
      <c r="M191" s="177"/>
      <c r="N191" s="177"/>
      <c r="O191" s="177"/>
      <c r="P191" s="177"/>
      <c r="Q191" s="177"/>
      <c r="R191" s="177"/>
      <c r="S191" s="177"/>
      <c r="T191" s="177"/>
      <c r="U191" s="177"/>
      <c r="V191" s="5"/>
    </row>
    <row r="192" spans="1:22" ht="18" thickBot="1" x14ac:dyDescent="0.35">
      <c r="A192" s="192"/>
      <c r="B192" s="246" t="str">
        <f>B132</f>
        <v>PM11 INVESTOR REPORT QUARTER ENDING DECEMBER 2011</v>
      </c>
      <c r="C192" s="207"/>
      <c r="D192" s="207"/>
      <c r="E192" s="207"/>
      <c r="F192" s="207"/>
      <c r="G192" s="207"/>
      <c r="H192" s="207"/>
      <c r="I192" s="207"/>
      <c r="J192" s="207"/>
      <c r="K192" s="207"/>
      <c r="L192" s="207"/>
      <c r="M192" s="207"/>
      <c r="N192" s="207"/>
      <c r="O192" s="207"/>
      <c r="P192" s="207"/>
      <c r="Q192" s="207"/>
      <c r="R192" s="207"/>
      <c r="S192" s="207"/>
      <c r="T192" s="207"/>
      <c r="U192" s="208"/>
      <c r="V192" s="5"/>
    </row>
    <row r="193" spans="1:22" ht="15.6" x14ac:dyDescent="0.3">
      <c r="A193" s="260"/>
      <c r="B193" s="399" t="s">
        <v>71</v>
      </c>
      <c r="C193" s="400"/>
      <c r="D193" s="400"/>
      <c r="E193" s="400"/>
      <c r="F193" s="400"/>
      <c r="G193" s="401"/>
      <c r="H193" s="401"/>
      <c r="I193" s="401"/>
      <c r="J193" s="401"/>
      <c r="K193" s="401"/>
      <c r="L193" s="401"/>
      <c r="M193" s="401"/>
      <c r="N193" s="401"/>
      <c r="O193" s="401"/>
      <c r="P193" s="401"/>
      <c r="Q193" s="401"/>
      <c r="R193" s="401">
        <v>40907</v>
      </c>
      <c r="S193" s="261"/>
      <c r="T193" s="261"/>
      <c r="U193" s="261"/>
      <c r="V193" s="5"/>
    </row>
    <row r="194" spans="1:22" ht="15.6" x14ac:dyDescent="0.3">
      <c r="A194" s="209"/>
      <c r="B194" s="210"/>
      <c r="C194" s="211"/>
      <c r="D194" s="211"/>
      <c r="E194" s="211"/>
      <c r="F194" s="211"/>
      <c r="G194" s="212"/>
      <c r="H194" s="212"/>
      <c r="I194" s="212"/>
      <c r="J194" s="212"/>
      <c r="K194" s="212"/>
      <c r="L194" s="212"/>
      <c r="M194" s="212"/>
      <c r="N194" s="212"/>
      <c r="O194" s="212"/>
      <c r="P194" s="212"/>
      <c r="Q194" s="212"/>
      <c r="R194" s="212"/>
      <c r="S194" s="177"/>
      <c r="T194" s="177"/>
      <c r="U194" s="177"/>
      <c r="V194" s="5"/>
    </row>
    <row r="195" spans="1:22" ht="15.6" x14ac:dyDescent="0.3">
      <c r="A195" s="352"/>
      <c r="B195" s="285" t="s">
        <v>72</v>
      </c>
      <c r="C195" s="353"/>
      <c r="D195" s="353"/>
      <c r="E195" s="353"/>
      <c r="F195" s="353"/>
      <c r="G195" s="329"/>
      <c r="H195" s="329"/>
      <c r="I195" s="329"/>
      <c r="J195" s="329"/>
      <c r="K195" s="329"/>
      <c r="L195" s="329"/>
      <c r="M195" s="329"/>
      <c r="N195" s="329"/>
      <c r="O195" s="329"/>
      <c r="P195" s="329"/>
      <c r="Q195" s="329"/>
      <c r="R195" s="320">
        <v>5.1569999999999998E-2</v>
      </c>
      <c r="S195" s="285"/>
      <c r="T195" s="285"/>
      <c r="U195" s="317"/>
      <c r="V195" s="5"/>
    </row>
    <row r="196" spans="1:22" ht="15.6" x14ac:dyDescent="0.3">
      <c r="A196" s="352"/>
      <c r="B196" s="285" t="s">
        <v>157</v>
      </c>
      <c r="C196" s="353"/>
      <c r="D196" s="353"/>
      <c r="E196" s="353"/>
      <c r="F196" s="353"/>
      <c r="G196" s="329"/>
      <c r="H196" s="329"/>
      <c r="I196" s="329"/>
      <c r="J196" s="329"/>
      <c r="K196" s="329"/>
      <c r="L196" s="329"/>
      <c r="M196" s="329"/>
      <c r="N196" s="329"/>
      <c r="O196" s="329"/>
      <c r="P196" s="329"/>
      <c r="Q196" s="329"/>
      <c r="R196" s="320">
        <v>4.6899999999999997E-2</v>
      </c>
      <c r="S196" s="285"/>
      <c r="T196" s="285"/>
      <c r="U196" s="317"/>
      <c r="V196" s="5"/>
    </row>
    <row r="197" spans="1:22" ht="15.6" x14ac:dyDescent="0.3">
      <c r="A197" s="352"/>
      <c r="B197" s="285" t="s">
        <v>73</v>
      </c>
      <c r="C197" s="353"/>
      <c r="D197" s="353"/>
      <c r="E197" s="353"/>
      <c r="F197" s="353"/>
      <c r="G197" s="329"/>
      <c r="H197" s="329"/>
      <c r="I197" s="329"/>
      <c r="J197" s="329"/>
      <c r="K197" s="329"/>
      <c r="L197" s="329"/>
      <c r="M197" s="329"/>
      <c r="N197" s="329"/>
      <c r="O197" s="329"/>
      <c r="P197" s="329"/>
      <c r="Q197" s="329"/>
      <c r="R197" s="320">
        <f>R195-R196</f>
        <v>4.6700000000000005E-3</v>
      </c>
      <c r="S197" s="285"/>
      <c r="T197" s="285"/>
      <c r="U197" s="317"/>
      <c r="V197" s="5"/>
    </row>
    <row r="198" spans="1:22" ht="15.6" x14ac:dyDescent="0.3">
      <c r="A198" s="352"/>
      <c r="B198" s="285" t="s">
        <v>74</v>
      </c>
      <c r="C198" s="353"/>
      <c r="D198" s="353"/>
      <c r="E198" s="353"/>
      <c r="F198" s="353"/>
      <c r="G198" s="329"/>
      <c r="H198" s="329"/>
      <c r="I198" s="329"/>
      <c r="J198" s="329"/>
      <c r="K198" s="329"/>
      <c r="L198" s="329"/>
      <c r="M198" s="329"/>
      <c r="N198" s="329"/>
      <c r="O198" s="329"/>
      <c r="P198" s="329"/>
      <c r="Q198" s="329"/>
      <c r="R198" s="320">
        <v>2.768E-2</v>
      </c>
      <c r="S198" s="285"/>
      <c r="T198" s="285"/>
      <c r="U198" s="317"/>
      <c r="V198" s="5"/>
    </row>
    <row r="199" spans="1:22" ht="15.6" x14ac:dyDescent="0.3">
      <c r="A199" s="352"/>
      <c r="B199" s="285" t="s">
        <v>257</v>
      </c>
      <c r="C199" s="353"/>
      <c r="D199" s="353"/>
      <c r="E199" s="353"/>
      <c r="F199" s="353"/>
      <c r="G199" s="329"/>
      <c r="H199" s="329"/>
      <c r="I199" s="329"/>
      <c r="J199" s="329"/>
      <c r="K199" s="329"/>
      <c r="L199" s="329"/>
      <c r="M199" s="329"/>
      <c r="N199" s="329"/>
      <c r="O199" s="329"/>
      <c r="P199" s="329"/>
      <c r="Q199" s="329"/>
      <c r="R199" s="320">
        <f>T43</f>
        <v>1.2596947287981291E-2</v>
      </c>
      <c r="S199" s="285"/>
      <c r="T199" s="285"/>
      <c r="U199" s="317"/>
      <c r="V199" s="5"/>
    </row>
    <row r="200" spans="1:22" ht="15.6" x14ac:dyDescent="0.3">
      <c r="A200" s="352"/>
      <c r="B200" s="285" t="s">
        <v>75</v>
      </c>
      <c r="C200" s="353"/>
      <c r="D200" s="353"/>
      <c r="E200" s="353"/>
      <c r="F200" s="353"/>
      <c r="G200" s="329"/>
      <c r="H200" s="329"/>
      <c r="I200" s="329"/>
      <c r="J200" s="329"/>
      <c r="K200" s="329"/>
      <c r="L200" s="329"/>
      <c r="M200" s="329"/>
      <c r="N200" s="329"/>
      <c r="O200" s="329"/>
      <c r="P200" s="329"/>
      <c r="Q200" s="329"/>
      <c r="R200" s="320">
        <f>R198-R199</f>
        <v>1.5083052712018709E-2</v>
      </c>
      <c r="S200" s="285"/>
      <c r="T200" s="285"/>
      <c r="U200" s="317"/>
      <c r="V200" s="5"/>
    </row>
    <row r="201" spans="1:22" ht="15.6" x14ac:dyDescent="0.3">
      <c r="A201" s="352"/>
      <c r="B201" s="285" t="s">
        <v>260</v>
      </c>
      <c r="C201" s="353"/>
      <c r="D201" s="353"/>
      <c r="E201" s="353"/>
      <c r="F201" s="353"/>
      <c r="G201" s="329"/>
      <c r="H201" s="329"/>
      <c r="I201" s="329"/>
      <c r="J201" s="329"/>
      <c r="K201" s="329"/>
      <c r="L201" s="329"/>
      <c r="M201" s="329"/>
      <c r="N201" s="329"/>
      <c r="O201" s="329"/>
      <c r="P201" s="329"/>
      <c r="Q201" s="329"/>
      <c r="R201" s="320">
        <f>+T100/L71</f>
        <v>7.8074204668329211E-3</v>
      </c>
      <c r="S201" s="285"/>
      <c r="T201" s="285"/>
      <c r="U201" s="317"/>
      <c r="V201" s="5"/>
    </row>
    <row r="202" spans="1:22" ht="15.6" x14ac:dyDescent="0.3">
      <c r="A202" s="352"/>
      <c r="B202" s="285" t="s">
        <v>217</v>
      </c>
      <c r="C202" s="353"/>
      <c r="D202" s="353"/>
      <c r="E202" s="353"/>
      <c r="F202" s="353"/>
      <c r="G202" s="329"/>
      <c r="H202" s="329"/>
      <c r="I202" s="329"/>
      <c r="J202" s="329"/>
      <c r="K202" s="329"/>
      <c r="L202" s="329"/>
      <c r="M202" s="329"/>
      <c r="N202" s="329"/>
      <c r="O202" s="329"/>
      <c r="P202" s="329"/>
      <c r="Q202" s="329"/>
      <c r="R202" s="354">
        <v>15250</v>
      </c>
      <c r="S202" s="285"/>
      <c r="T202" s="285"/>
      <c r="U202" s="317"/>
      <c r="V202" s="5"/>
    </row>
    <row r="203" spans="1:22" ht="15.6" x14ac:dyDescent="0.3">
      <c r="A203" s="352"/>
      <c r="B203" s="285" t="s">
        <v>218</v>
      </c>
      <c r="C203" s="353"/>
      <c r="D203" s="353"/>
      <c r="E203" s="353"/>
      <c r="F203" s="353"/>
      <c r="G203" s="329"/>
      <c r="H203" s="329"/>
      <c r="I203" s="329"/>
      <c r="J203" s="329"/>
      <c r="K203" s="329"/>
      <c r="L203" s="329"/>
      <c r="M203" s="329"/>
      <c r="N203" s="329"/>
      <c r="O203" s="329"/>
      <c r="P203" s="329"/>
      <c r="Q203" s="329"/>
      <c r="R203" s="354">
        <v>15250</v>
      </c>
      <c r="S203" s="285"/>
      <c r="T203" s="285"/>
      <c r="U203" s="317"/>
      <c r="V203" s="5"/>
    </row>
    <row r="204" spans="1:22" ht="15.6" x14ac:dyDescent="0.3">
      <c r="A204" s="352"/>
      <c r="B204" s="285" t="s">
        <v>219</v>
      </c>
      <c r="C204" s="353"/>
      <c r="D204" s="353"/>
      <c r="E204" s="353"/>
      <c r="F204" s="353"/>
      <c r="G204" s="329"/>
      <c r="H204" s="329"/>
      <c r="I204" s="329"/>
      <c r="J204" s="329"/>
      <c r="K204" s="329"/>
      <c r="L204" s="329"/>
      <c r="M204" s="329"/>
      <c r="N204" s="329"/>
      <c r="O204" s="329"/>
      <c r="P204" s="329"/>
      <c r="Q204" s="329"/>
      <c r="R204" s="354">
        <v>15250</v>
      </c>
      <c r="S204" s="285"/>
      <c r="T204" s="285"/>
      <c r="U204" s="317"/>
      <c r="V204" s="5"/>
    </row>
    <row r="205" spans="1:22" ht="15.6" x14ac:dyDescent="0.3">
      <c r="A205" s="352"/>
      <c r="B205" s="285" t="s">
        <v>76</v>
      </c>
      <c r="C205" s="353"/>
      <c r="D205" s="353"/>
      <c r="E205" s="353"/>
      <c r="F205" s="353"/>
      <c r="G205" s="329"/>
      <c r="H205" s="329"/>
      <c r="I205" s="329"/>
      <c r="J205" s="329"/>
      <c r="K205" s="329"/>
      <c r="L205" s="329"/>
      <c r="M205" s="329"/>
      <c r="N205" s="329"/>
      <c r="O205" s="329"/>
      <c r="P205" s="329"/>
      <c r="Q205" s="329"/>
      <c r="R205" s="326">
        <v>21.18</v>
      </c>
      <c r="S205" s="285" t="s">
        <v>116</v>
      </c>
      <c r="T205" s="285"/>
      <c r="U205" s="317"/>
      <c r="V205" s="5"/>
    </row>
    <row r="206" spans="1:22" ht="15.6" x14ac:dyDescent="0.3">
      <c r="A206" s="352"/>
      <c r="B206" s="285" t="s">
        <v>77</v>
      </c>
      <c r="C206" s="353"/>
      <c r="D206" s="353"/>
      <c r="E206" s="353"/>
      <c r="F206" s="353"/>
      <c r="G206" s="329"/>
      <c r="H206" s="329"/>
      <c r="I206" s="329"/>
      <c r="J206" s="329"/>
      <c r="K206" s="329"/>
      <c r="L206" s="329"/>
      <c r="M206" s="329"/>
      <c r="N206" s="329"/>
      <c r="O206" s="329"/>
      <c r="P206" s="329"/>
      <c r="Q206" s="329"/>
      <c r="R206" s="326">
        <v>15.54</v>
      </c>
      <c r="S206" s="285" t="s">
        <v>116</v>
      </c>
      <c r="T206" s="285"/>
      <c r="U206" s="317"/>
      <c r="V206" s="5"/>
    </row>
    <row r="207" spans="1:22" ht="15.6" x14ac:dyDescent="0.3">
      <c r="A207" s="352"/>
      <c r="B207" s="285" t="s">
        <v>78</v>
      </c>
      <c r="C207" s="353"/>
      <c r="D207" s="353"/>
      <c r="E207" s="353"/>
      <c r="F207" s="353"/>
      <c r="G207" s="329"/>
      <c r="H207" s="329"/>
      <c r="I207" s="329"/>
      <c r="J207" s="329"/>
      <c r="K207" s="329"/>
      <c r="L207" s="329"/>
      <c r="M207" s="329"/>
      <c r="N207" s="329"/>
      <c r="O207" s="329"/>
      <c r="P207" s="329"/>
      <c r="Q207" s="329"/>
      <c r="R207" s="320">
        <f>N68/L68</f>
        <v>6.582417794259136E-3</v>
      </c>
      <c r="S207" s="285"/>
      <c r="T207" s="285"/>
      <c r="U207" s="317"/>
      <c r="V207" s="5"/>
    </row>
    <row r="208" spans="1:22" ht="15.6" x14ac:dyDescent="0.3">
      <c r="A208" s="352"/>
      <c r="B208" s="285" t="s">
        <v>79</v>
      </c>
      <c r="C208" s="353"/>
      <c r="D208" s="353"/>
      <c r="E208" s="353"/>
      <c r="F208" s="353"/>
      <c r="G208" s="329"/>
      <c r="H208" s="329"/>
      <c r="I208" s="329"/>
      <c r="J208" s="329"/>
      <c r="K208" s="329"/>
      <c r="L208" s="329"/>
      <c r="M208" s="329"/>
      <c r="N208" s="329"/>
      <c r="O208" s="329"/>
      <c r="P208" s="329"/>
      <c r="Q208" s="329"/>
      <c r="R208" s="320">
        <v>0.1011</v>
      </c>
      <c r="S208" s="285"/>
      <c r="T208" s="285"/>
      <c r="U208" s="317"/>
      <c r="V208" s="5"/>
    </row>
    <row r="209" spans="1:22" ht="15.6" x14ac:dyDescent="0.3">
      <c r="A209" s="209"/>
      <c r="B209" s="350"/>
      <c r="C209" s="350"/>
      <c r="D209" s="350"/>
      <c r="E209" s="350"/>
      <c r="F209" s="350"/>
      <c r="G209" s="334"/>
      <c r="H209" s="334"/>
      <c r="I209" s="334"/>
      <c r="J209" s="334"/>
      <c r="K209" s="334"/>
      <c r="L209" s="334"/>
      <c r="M209" s="334"/>
      <c r="N209" s="334"/>
      <c r="O209" s="334"/>
      <c r="P209" s="334"/>
      <c r="Q209" s="334"/>
      <c r="R209" s="347"/>
      <c r="S209" s="334"/>
      <c r="T209" s="351"/>
      <c r="U209" s="334"/>
      <c r="V209" s="5"/>
    </row>
    <row r="210" spans="1:22" ht="15.6" x14ac:dyDescent="0.3">
      <c r="A210" s="266"/>
      <c r="B210" s="395" t="s">
        <v>80</v>
      </c>
      <c r="C210" s="396"/>
      <c r="D210" s="396"/>
      <c r="E210" s="396"/>
      <c r="F210" s="402"/>
      <c r="G210" s="396"/>
      <c r="H210" s="396"/>
      <c r="I210" s="396"/>
      <c r="J210" s="396"/>
      <c r="K210" s="396"/>
      <c r="L210" s="396"/>
      <c r="M210" s="396"/>
      <c r="N210" s="396"/>
      <c r="O210" s="396"/>
      <c r="P210" s="396"/>
      <c r="Q210" s="396" t="s">
        <v>105</v>
      </c>
      <c r="R210" s="402" t="s">
        <v>112</v>
      </c>
      <c r="S210" s="223"/>
      <c r="T210" s="223"/>
      <c r="U210" s="223"/>
      <c r="V210" s="5"/>
    </row>
    <row r="211" spans="1:22" ht="15.6" x14ac:dyDescent="0.3">
      <c r="A211" s="214"/>
      <c r="B211" s="239" t="s">
        <v>81</v>
      </c>
      <c r="C211" s="243"/>
      <c r="D211" s="243"/>
      <c r="E211" s="243"/>
      <c r="F211" s="239"/>
      <c r="G211" s="239"/>
      <c r="H211" s="242"/>
      <c r="I211" s="242"/>
      <c r="J211" s="242"/>
      <c r="K211" s="242"/>
      <c r="L211" s="242"/>
      <c r="M211" s="242"/>
      <c r="N211" s="242"/>
      <c r="O211" s="242"/>
      <c r="P211" s="242"/>
      <c r="Q211" s="242">
        <v>1</v>
      </c>
      <c r="R211" s="272">
        <v>177</v>
      </c>
      <c r="S211" s="239"/>
      <c r="T211" s="273"/>
      <c r="U211" s="215"/>
      <c r="V211" s="5"/>
    </row>
    <row r="212" spans="1:22" ht="15.6" x14ac:dyDescent="0.3">
      <c r="A212" s="360"/>
      <c r="B212" s="285" t="s">
        <v>151</v>
      </c>
      <c r="C212" s="338"/>
      <c r="D212" s="338"/>
      <c r="E212" s="338"/>
      <c r="F212" s="285"/>
      <c r="G212" s="285"/>
      <c r="H212" s="293"/>
      <c r="I212" s="293"/>
      <c r="J212" s="293"/>
      <c r="K212" s="293"/>
      <c r="L212" s="293"/>
      <c r="M212" s="293"/>
      <c r="N212" s="293"/>
      <c r="O212" s="293"/>
      <c r="P212" s="293"/>
      <c r="Q212" s="361">
        <f>+P264</f>
        <v>121</v>
      </c>
      <c r="R212" s="362">
        <f>+R264</f>
        <v>18870</v>
      </c>
      <c r="S212" s="285"/>
      <c r="T212" s="363"/>
      <c r="U212" s="364"/>
      <c r="V212" s="5"/>
    </row>
    <row r="213" spans="1:22" ht="15.6" x14ac:dyDescent="0.3">
      <c r="A213" s="360"/>
      <c r="B213" s="285" t="s">
        <v>82</v>
      </c>
      <c r="C213" s="338"/>
      <c r="D213" s="338"/>
      <c r="E213" s="338"/>
      <c r="F213" s="285"/>
      <c r="G213" s="285"/>
      <c r="H213" s="293"/>
      <c r="I213" s="293"/>
      <c r="J213" s="293"/>
      <c r="K213" s="293"/>
      <c r="L213" s="293"/>
      <c r="M213" s="293"/>
      <c r="N213" s="293"/>
      <c r="O213" s="293"/>
      <c r="P213" s="293"/>
      <c r="Q213" s="361">
        <f>+P276</f>
        <v>0</v>
      </c>
      <c r="R213" s="362">
        <f>+R276</f>
        <v>0</v>
      </c>
      <c r="S213" s="285"/>
      <c r="T213" s="363"/>
      <c r="U213" s="364"/>
      <c r="V213" s="5"/>
    </row>
    <row r="214" spans="1:22" ht="15.6" x14ac:dyDescent="0.3">
      <c r="A214" s="360"/>
      <c r="B214" s="310" t="s">
        <v>83</v>
      </c>
      <c r="C214" s="365"/>
      <c r="D214" s="365"/>
      <c r="E214" s="365"/>
      <c r="F214" s="311"/>
      <c r="G214" s="311"/>
      <c r="H214" s="311"/>
      <c r="I214" s="311"/>
      <c r="J214" s="311"/>
      <c r="K214" s="311"/>
      <c r="L214" s="311"/>
      <c r="M214" s="311"/>
      <c r="N214" s="311"/>
      <c r="O214" s="311"/>
      <c r="P214" s="311"/>
      <c r="Q214" s="285"/>
      <c r="R214" s="362">
        <v>0</v>
      </c>
      <c r="S214" s="311"/>
      <c r="T214" s="366"/>
      <c r="U214" s="364"/>
      <c r="V214" s="5"/>
    </row>
    <row r="215" spans="1:22" ht="15.6" x14ac:dyDescent="0.3">
      <c r="A215" s="360"/>
      <c r="B215" s="310" t="s">
        <v>84</v>
      </c>
      <c r="C215" s="365"/>
      <c r="D215" s="365"/>
      <c r="E215" s="365"/>
      <c r="F215" s="311"/>
      <c r="G215" s="311"/>
      <c r="H215" s="311"/>
      <c r="I215" s="311"/>
      <c r="J215" s="311"/>
      <c r="K215" s="311"/>
      <c r="L215" s="311"/>
      <c r="M215" s="311"/>
      <c r="N215" s="311"/>
      <c r="O215" s="311"/>
      <c r="P215" s="311"/>
      <c r="Q215" s="285"/>
      <c r="R215" s="367" t="s">
        <v>113</v>
      </c>
      <c r="S215" s="311"/>
      <c r="T215" s="366"/>
      <c r="U215" s="364"/>
      <c r="V215" s="5"/>
    </row>
    <row r="216" spans="1:22" ht="15.6" x14ac:dyDescent="0.3">
      <c r="A216" s="368"/>
      <c r="B216" s="310" t="s">
        <v>85</v>
      </c>
      <c r="C216" s="369"/>
      <c r="D216" s="369"/>
      <c r="E216" s="369"/>
      <c r="F216" s="369"/>
      <c r="G216" s="311"/>
      <c r="H216" s="311"/>
      <c r="I216" s="311"/>
      <c r="J216" s="311"/>
      <c r="K216" s="311"/>
      <c r="L216" s="311"/>
      <c r="M216" s="311"/>
      <c r="N216" s="311"/>
      <c r="O216" s="311"/>
      <c r="P216" s="311"/>
      <c r="Q216" s="285"/>
      <c r="R216" s="362"/>
      <c r="S216" s="311"/>
      <c r="T216" s="366"/>
      <c r="U216" s="370"/>
      <c r="V216" s="5"/>
    </row>
    <row r="217" spans="1:22" ht="15.6" x14ac:dyDescent="0.3">
      <c r="A217" s="368"/>
      <c r="B217" s="285" t="s">
        <v>86</v>
      </c>
      <c r="C217" s="285"/>
      <c r="D217" s="285"/>
      <c r="E217" s="285"/>
      <c r="F217" s="285"/>
      <c r="G217" s="285"/>
      <c r="H217" s="285"/>
      <c r="I217" s="285"/>
      <c r="J217" s="285"/>
      <c r="K217" s="285"/>
      <c r="L217" s="285"/>
      <c r="M217" s="285"/>
      <c r="N217" s="285"/>
      <c r="O217" s="285"/>
      <c r="P217" s="285"/>
      <c r="Q217" s="293"/>
      <c r="R217" s="362">
        <f>T161</f>
        <v>199</v>
      </c>
      <c r="S217" s="285"/>
      <c r="T217" s="363"/>
      <c r="U217" s="370"/>
      <c r="V217" s="5"/>
    </row>
    <row r="218" spans="1:22" ht="15.6" x14ac:dyDescent="0.3">
      <c r="A218" s="360"/>
      <c r="B218" s="285" t="s">
        <v>87</v>
      </c>
      <c r="C218" s="338"/>
      <c r="D218" s="338"/>
      <c r="E218" s="338"/>
      <c r="F218" s="338"/>
      <c r="G218" s="285"/>
      <c r="H218" s="285"/>
      <c r="I218" s="285"/>
      <c r="J218" s="285"/>
      <c r="K218" s="285"/>
      <c r="L218" s="285"/>
      <c r="M218" s="285"/>
      <c r="N218" s="285"/>
      <c r="O218" s="285"/>
      <c r="P218" s="285"/>
      <c r="Q218" s="293"/>
      <c r="R218" s="362">
        <f>'Sept 11'!R218+R217</f>
        <v>3275</v>
      </c>
      <c r="S218" s="285"/>
      <c r="T218" s="363"/>
      <c r="U218" s="370"/>
      <c r="V218" s="5"/>
    </row>
    <row r="219" spans="1:22" ht="15.6" x14ac:dyDescent="0.3">
      <c r="A219" s="368"/>
      <c r="B219" s="310" t="s">
        <v>282</v>
      </c>
      <c r="C219" s="369"/>
      <c r="D219" s="369"/>
      <c r="E219" s="369"/>
      <c r="F219" s="369"/>
      <c r="G219" s="311"/>
      <c r="H219" s="311"/>
      <c r="I219" s="311"/>
      <c r="J219" s="311"/>
      <c r="K219" s="311"/>
      <c r="L219" s="311"/>
      <c r="M219" s="311"/>
      <c r="N219" s="311"/>
      <c r="O219" s="311"/>
      <c r="P219" s="311"/>
      <c r="Q219" s="293"/>
      <c r="R219" s="362"/>
      <c r="S219" s="311"/>
      <c r="T219" s="366"/>
      <c r="U219" s="370"/>
      <c r="V219" s="5"/>
    </row>
    <row r="220" spans="1:22" ht="15.6" x14ac:dyDescent="0.3">
      <c r="A220" s="368"/>
      <c r="B220" s="285" t="s">
        <v>280</v>
      </c>
      <c r="C220" s="369"/>
      <c r="D220" s="369"/>
      <c r="E220" s="369"/>
      <c r="F220" s="369"/>
      <c r="G220" s="311"/>
      <c r="H220" s="311"/>
      <c r="I220" s="311"/>
      <c r="J220" s="311"/>
      <c r="K220" s="311"/>
      <c r="L220" s="311"/>
      <c r="M220" s="311"/>
      <c r="N220" s="311"/>
      <c r="O220" s="311"/>
      <c r="P220" s="311"/>
      <c r="Q220" s="293">
        <v>0</v>
      </c>
      <c r="R220" s="362">
        <v>0</v>
      </c>
      <c r="S220" s="311"/>
      <c r="T220" s="366"/>
      <c r="U220" s="370"/>
      <c r="V220" s="5"/>
    </row>
    <row r="221" spans="1:22" ht="15.6" x14ac:dyDescent="0.3">
      <c r="A221" s="360"/>
      <c r="B221" s="285" t="s">
        <v>89</v>
      </c>
      <c r="C221" s="373"/>
      <c r="D221" s="373"/>
      <c r="E221" s="373"/>
      <c r="F221" s="374"/>
      <c r="G221" s="311"/>
      <c r="H221" s="311"/>
      <c r="I221" s="311"/>
      <c r="J221" s="311"/>
      <c r="K221" s="311"/>
      <c r="L221" s="311"/>
      <c r="M221" s="311"/>
      <c r="N221" s="311"/>
      <c r="O221" s="311"/>
      <c r="P221" s="311"/>
      <c r="Q221" s="285"/>
      <c r="R221" s="367">
        <v>0</v>
      </c>
      <c r="S221" s="311"/>
      <c r="T221" s="366"/>
      <c r="U221" s="370"/>
      <c r="V221" s="5"/>
    </row>
    <row r="222" spans="1:22" ht="15.6" x14ac:dyDescent="0.3">
      <c r="A222" s="360"/>
      <c r="B222" s="285" t="s">
        <v>90</v>
      </c>
      <c r="C222" s="373"/>
      <c r="D222" s="373"/>
      <c r="E222" s="373"/>
      <c r="F222" s="374"/>
      <c r="G222" s="311"/>
      <c r="H222" s="311"/>
      <c r="I222" s="311"/>
      <c r="J222" s="311"/>
      <c r="K222" s="311"/>
      <c r="L222" s="311"/>
      <c r="M222" s="311"/>
      <c r="N222" s="311"/>
      <c r="O222" s="311"/>
      <c r="P222" s="311"/>
      <c r="Q222" s="285"/>
      <c r="R222" s="367">
        <v>0</v>
      </c>
      <c r="S222" s="311"/>
      <c r="T222" s="366"/>
      <c r="U222" s="370"/>
      <c r="V222" s="5"/>
    </row>
    <row r="223" spans="1:22" ht="15.6" x14ac:dyDescent="0.3">
      <c r="A223" s="360"/>
      <c r="B223" s="310" t="s">
        <v>226</v>
      </c>
      <c r="C223" s="373"/>
      <c r="D223" s="373"/>
      <c r="E223" s="373"/>
      <c r="F223" s="374"/>
      <c r="G223" s="311"/>
      <c r="H223" s="311"/>
      <c r="I223" s="311"/>
      <c r="J223" s="311"/>
      <c r="K223" s="311"/>
      <c r="L223" s="311"/>
      <c r="M223" s="311"/>
      <c r="N223" s="311"/>
      <c r="O223" s="311"/>
      <c r="P223" s="311"/>
      <c r="Q223" s="293"/>
      <c r="R223" s="375"/>
      <c r="S223" s="311"/>
      <c r="T223" s="366"/>
      <c r="U223" s="370"/>
      <c r="V223" s="5"/>
    </row>
    <row r="224" spans="1:22" ht="15.6" x14ac:dyDescent="0.3">
      <c r="A224" s="360"/>
      <c r="B224" s="285" t="s">
        <v>280</v>
      </c>
      <c r="C224" s="373"/>
      <c r="D224" s="373"/>
      <c r="E224" s="373"/>
      <c r="F224" s="374"/>
      <c r="G224" s="311"/>
      <c r="H224" s="311"/>
      <c r="I224" s="311"/>
      <c r="J224" s="311"/>
      <c r="K224" s="311"/>
      <c r="L224" s="311"/>
      <c r="M224" s="311"/>
      <c r="N224" s="311"/>
      <c r="O224" s="311"/>
      <c r="P224" s="311"/>
      <c r="Q224" s="293">
        <v>2</v>
      </c>
      <c r="R224" s="362">
        <v>385</v>
      </c>
      <c r="S224" s="311"/>
      <c r="T224" s="366"/>
      <c r="U224" s="370"/>
      <c r="V224" s="5"/>
    </row>
    <row r="225" spans="1:23" ht="15.6" x14ac:dyDescent="0.3">
      <c r="A225" s="360"/>
      <c r="B225" s="285" t="s">
        <v>227</v>
      </c>
      <c r="C225" s="373"/>
      <c r="D225" s="373"/>
      <c r="E225" s="373"/>
      <c r="F225" s="374"/>
      <c r="G225" s="311"/>
      <c r="H225" s="311"/>
      <c r="I225" s="311"/>
      <c r="J225" s="311"/>
      <c r="K225" s="311"/>
      <c r="L225" s="311"/>
      <c r="M225" s="311"/>
      <c r="N225" s="311"/>
      <c r="O225" s="311"/>
      <c r="P225" s="311"/>
      <c r="Q225" s="293"/>
      <c r="R225" s="367">
        <v>9.65</v>
      </c>
      <c r="S225" s="311"/>
      <c r="T225" s="366"/>
      <c r="U225" s="370"/>
      <c r="V225" s="5"/>
    </row>
    <row r="226" spans="1:23" ht="15.6" x14ac:dyDescent="0.3">
      <c r="A226" s="360"/>
      <c r="B226" s="369"/>
      <c r="C226" s="373"/>
      <c r="D226" s="373"/>
      <c r="E226" s="373"/>
      <c r="F226" s="374"/>
      <c r="G226" s="311"/>
      <c r="H226" s="311"/>
      <c r="I226" s="311"/>
      <c r="J226" s="311"/>
      <c r="K226" s="311"/>
      <c r="L226" s="311"/>
      <c r="M226" s="311"/>
      <c r="N226" s="311"/>
      <c r="O226" s="311"/>
      <c r="P226" s="311"/>
      <c r="Q226" s="311"/>
      <c r="R226" s="376"/>
      <c r="S226" s="311"/>
      <c r="T226" s="366"/>
      <c r="U226" s="370"/>
      <c r="V226" s="5"/>
    </row>
    <row r="227" spans="1:23" ht="15.6" x14ac:dyDescent="0.3">
      <c r="A227" s="360"/>
      <c r="B227" s="369"/>
      <c r="C227" s="373"/>
      <c r="D227" s="373"/>
      <c r="E227" s="373"/>
      <c r="F227" s="374"/>
      <c r="G227" s="311"/>
      <c r="H227" s="311"/>
      <c r="I227" s="311"/>
      <c r="J227" s="311"/>
      <c r="K227" s="311"/>
      <c r="L227" s="311"/>
      <c r="M227" s="311"/>
      <c r="N227" s="311"/>
      <c r="O227" s="311"/>
      <c r="P227" s="311"/>
      <c r="Q227" s="311"/>
      <c r="R227" s="376"/>
      <c r="S227" s="311"/>
      <c r="T227" s="366"/>
      <c r="U227" s="370"/>
      <c r="V227" s="5"/>
    </row>
    <row r="228" spans="1:23" ht="17.399999999999999" x14ac:dyDescent="0.3">
      <c r="A228" s="360"/>
      <c r="B228" s="377" t="s">
        <v>175</v>
      </c>
      <c r="C228" s="373"/>
      <c r="D228" s="373"/>
      <c r="E228" s="373"/>
      <c r="F228" s="374"/>
      <c r="G228" s="311"/>
      <c r="H228" s="311"/>
      <c r="I228" s="311"/>
      <c r="J228" s="311"/>
      <c r="K228" s="311"/>
      <c r="L228" s="311"/>
      <c r="M228" s="311"/>
      <c r="N228" s="378" t="s">
        <v>174</v>
      </c>
      <c r="O228" s="311"/>
      <c r="P228" s="311"/>
      <c r="Q228" s="311"/>
      <c r="R228" s="376"/>
      <c r="S228" s="311"/>
      <c r="T228" s="366"/>
      <c r="U228" s="370"/>
      <c r="V228" s="5"/>
    </row>
    <row r="229" spans="1:23" ht="15.6" x14ac:dyDescent="0.3">
      <c r="A229" s="355"/>
      <c r="B229" s="350"/>
      <c r="C229" s="356"/>
      <c r="D229" s="356"/>
      <c r="E229" s="356"/>
      <c r="F229" s="357"/>
      <c r="G229" s="334"/>
      <c r="H229" s="334"/>
      <c r="I229" s="334"/>
      <c r="J229" s="334"/>
      <c r="K229" s="334"/>
      <c r="L229" s="334"/>
      <c r="M229" s="334"/>
      <c r="N229" s="334"/>
      <c r="O229" s="334"/>
      <c r="P229" s="334"/>
      <c r="Q229" s="334"/>
      <c r="R229" s="358"/>
      <c r="S229" s="334"/>
      <c r="T229" s="351"/>
      <c r="U229" s="359"/>
      <c r="V229" s="5"/>
    </row>
    <row r="230" spans="1:23" ht="15.6" x14ac:dyDescent="0.3">
      <c r="A230" s="222"/>
      <c r="B230" s="395" t="s">
        <v>295</v>
      </c>
      <c r="C230" s="396"/>
      <c r="D230" s="396"/>
      <c r="E230" s="396"/>
      <c r="F230" s="402"/>
      <c r="G230" s="396"/>
      <c r="H230" s="396"/>
      <c r="I230" s="396"/>
      <c r="J230" s="396"/>
      <c r="K230" s="396"/>
      <c r="L230" s="396"/>
      <c r="M230" s="396"/>
      <c r="N230" s="396"/>
      <c r="O230" s="396"/>
      <c r="P230" s="402" t="s">
        <v>105</v>
      </c>
      <c r="Q230" s="396" t="s">
        <v>106</v>
      </c>
      <c r="R230" s="402" t="s">
        <v>114</v>
      </c>
      <c r="S230" s="396" t="s">
        <v>106</v>
      </c>
      <c r="T230" s="223"/>
      <c r="U230" s="395"/>
      <c r="V230" s="5"/>
    </row>
    <row r="231" spans="1:23" ht="15.6" x14ac:dyDescent="0.3">
      <c r="A231" s="190"/>
      <c r="B231" s="243" t="s">
        <v>91</v>
      </c>
      <c r="C231" s="217"/>
      <c r="D231" s="217"/>
      <c r="E231" s="217"/>
      <c r="F231" s="191"/>
      <c r="G231" s="217"/>
      <c r="H231" s="217"/>
      <c r="I231" s="217"/>
      <c r="J231" s="217"/>
      <c r="K231" s="217"/>
      <c r="L231" s="217"/>
      <c r="M231" s="217"/>
      <c r="N231" s="217"/>
      <c r="O231" s="217"/>
      <c r="P231" s="338">
        <f t="shared" ref="P231:P238" si="1">+P243+P255+P267</f>
        <v>4227</v>
      </c>
      <c r="Q231" s="384">
        <f t="shared" ref="Q231:Q238" si="2">P231/$P$240</f>
        <v>0.98325191905094211</v>
      </c>
      <c r="R231" s="339">
        <f t="shared" ref="R231:R238" si="3">+R243+R255+R267</f>
        <v>556446</v>
      </c>
      <c r="S231" s="384">
        <f t="shared" ref="S231:S238" si="4">R231/$R$240</f>
        <v>0.98160784092352416</v>
      </c>
      <c r="T231" s="213"/>
      <c r="U231" s="216"/>
      <c r="V231" s="5"/>
    </row>
    <row r="232" spans="1:23" ht="15.6" x14ac:dyDescent="0.3">
      <c r="A232" s="284"/>
      <c r="B232" s="338" t="s">
        <v>92</v>
      </c>
      <c r="C232" s="382"/>
      <c r="D232" s="382"/>
      <c r="E232" s="382"/>
      <c r="F232" s="311"/>
      <c r="G232" s="383"/>
      <c r="H232" s="382"/>
      <c r="I232" s="382"/>
      <c r="J232" s="382"/>
      <c r="K232" s="382"/>
      <c r="L232" s="382"/>
      <c r="M232" s="382"/>
      <c r="N232" s="382"/>
      <c r="O232" s="382"/>
      <c r="P232" s="338">
        <f t="shared" si="1"/>
        <v>43</v>
      </c>
      <c r="Q232" s="384">
        <f t="shared" si="2"/>
        <v>1.0002326122354036E-2</v>
      </c>
      <c r="R232" s="339">
        <f t="shared" si="3"/>
        <v>5435</v>
      </c>
      <c r="S232" s="384">
        <f t="shared" si="4"/>
        <v>9.5877023384467741E-3</v>
      </c>
      <c r="T232" s="366"/>
      <c r="U232" s="370"/>
      <c r="V232" s="5"/>
      <c r="W232" s="109"/>
    </row>
    <row r="233" spans="1:23" ht="15.6" x14ac:dyDescent="0.3">
      <c r="A233" s="284"/>
      <c r="B233" s="338" t="s">
        <v>93</v>
      </c>
      <c r="C233" s="382"/>
      <c r="D233" s="382"/>
      <c r="E233" s="382"/>
      <c r="F233" s="311"/>
      <c r="G233" s="383"/>
      <c r="H233" s="382"/>
      <c r="I233" s="382"/>
      <c r="J233" s="382"/>
      <c r="K233" s="382"/>
      <c r="L233" s="382"/>
      <c r="M233" s="382"/>
      <c r="N233" s="382"/>
      <c r="O233" s="382"/>
      <c r="P233" s="338">
        <f t="shared" si="1"/>
        <v>9</v>
      </c>
      <c r="Q233" s="384">
        <f t="shared" si="2"/>
        <v>2.0935101186322401E-3</v>
      </c>
      <c r="R233" s="339">
        <f t="shared" si="3"/>
        <v>1547</v>
      </c>
      <c r="S233" s="384">
        <f t="shared" si="4"/>
        <v>2.7290111347888059E-3</v>
      </c>
      <c r="T233" s="366"/>
      <c r="U233" s="370"/>
      <c r="V233" s="5"/>
    </row>
    <row r="234" spans="1:23" ht="15.6" x14ac:dyDescent="0.3">
      <c r="A234" s="284"/>
      <c r="B234" s="338" t="s">
        <v>163</v>
      </c>
      <c r="C234" s="382"/>
      <c r="D234" s="382"/>
      <c r="E234" s="382"/>
      <c r="F234" s="311"/>
      <c r="G234" s="383"/>
      <c r="H234" s="382"/>
      <c r="I234" s="382"/>
      <c r="J234" s="382"/>
      <c r="K234" s="382"/>
      <c r="L234" s="382"/>
      <c r="M234" s="382"/>
      <c r="N234" s="382"/>
      <c r="O234" s="382"/>
      <c r="P234" s="338">
        <f t="shared" si="1"/>
        <v>2</v>
      </c>
      <c r="Q234" s="384">
        <f t="shared" si="2"/>
        <v>4.6522447080716444E-4</v>
      </c>
      <c r="R234" s="339">
        <f t="shared" si="3"/>
        <v>90</v>
      </c>
      <c r="S234" s="384">
        <f t="shared" si="4"/>
        <v>1.587660000846752E-4</v>
      </c>
      <c r="T234" s="366"/>
      <c r="U234" s="370"/>
      <c r="V234" s="5"/>
      <c r="W234" s="109"/>
    </row>
    <row r="235" spans="1:23" ht="15.6" x14ac:dyDescent="0.3">
      <c r="A235" s="284"/>
      <c r="B235" s="338" t="s">
        <v>164</v>
      </c>
      <c r="C235" s="382"/>
      <c r="D235" s="382"/>
      <c r="E235" s="382"/>
      <c r="F235" s="311"/>
      <c r="G235" s="383"/>
      <c r="H235" s="382"/>
      <c r="I235" s="382"/>
      <c r="J235" s="382"/>
      <c r="K235" s="382"/>
      <c r="L235" s="382"/>
      <c r="M235" s="382"/>
      <c r="N235" s="382"/>
      <c r="O235" s="382"/>
      <c r="P235" s="338">
        <f t="shared" si="1"/>
        <v>1</v>
      </c>
      <c r="Q235" s="384">
        <f t="shared" si="2"/>
        <v>2.3261223540358222E-4</v>
      </c>
      <c r="R235" s="339">
        <f t="shared" si="3"/>
        <v>68</v>
      </c>
      <c r="S235" s="384">
        <f t="shared" si="4"/>
        <v>1.1995653339731015E-4</v>
      </c>
      <c r="T235" s="366"/>
      <c r="U235" s="370"/>
      <c r="V235" s="5"/>
    </row>
    <row r="236" spans="1:23" ht="15.6" x14ac:dyDescent="0.3">
      <c r="A236" s="284"/>
      <c r="B236" s="338" t="s">
        <v>165</v>
      </c>
      <c r="C236" s="382"/>
      <c r="D236" s="382"/>
      <c r="E236" s="382"/>
      <c r="F236" s="311"/>
      <c r="G236" s="383"/>
      <c r="H236" s="382"/>
      <c r="I236" s="382"/>
      <c r="J236" s="382"/>
      <c r="K236" s="382"/>
      <c r="L236" s="382"/>
      <c r="M236" s="382"/>
      <c r="N236" s="382"/>
      <c r="O236" s="382"/>
      <c r="P236" s="338">
        <f t="shared" si="1"/>
        <v>0</v>
      </c>
      <c r="Q236" s="384">
        <f t="shared" si="2"/>
        <v>0</v>
      </c>
      <c r="R236" s="339">
        <f t="shared" si="3"/>
        <v>0</v>
      </c>
      <c r="S236" s="384">
        <f t="shared" si="4"/>
        <v>0</v>
      </c>
      <c r="T236" s="366"/>
      <c r="U236" s="370"/>
      <c r="V236" s="5"/>
      <c r="W236" s="109"/>
    </row>
    <row r="237" spans="1:23" ht="15.6" x14ac:dyDescent="0.3">
      <c r="A237" s="284"/>
      <c r="B237" s="338" t="s">
        <v>166</v>
      </c>
      <c r="C237" s="382"/>
      <c r="D237" s="382"/>
      <c r="E237" s="382"/>
      <c r="F237" s="311"/>
      <c r="G237" s="383"/>
      <c r="H237" s="382"/>
      <c r="I237" s="382"/>
      <c r="J237" s="382"/>
      <c r="K237" s="382"/>
      <c r="L237" s="382"/>
      <c r="M237" s="382"/>
      <c r="N237" s="382"/>
      <c r="O237" s="382"/>
      <c r="P237" s="338">
        <f t="shared" si="1"/>
        <v>4</v>
      </c>
      <c r="Q237" s="384">
        <f t="shared" si="2"/>
        <v>9.3044894161432889E-4</v>
      </c>
      <c r="R237" s="339">
        <f t="shared" si="3"/>
        <v>713</v>
      </c>
      <c r="S237" s="384">
        <f t="shared" si="4"/>
        <v>1.2577795340041492E-3</v>
      </c>
      <c r="T237" s="366"/>
      <c r="U237" s="370"/>
      <c r="V237" s="5"/>
    </row>
    <row r="238" spans="1:23" ht="15.6" x14ac:dyDescent="0.3">
      <c r="A238" s="284"/>
      <c r="B238" s="338" t="s">
        <v>167</v>
      </c>
      <c r="C238" s="382"/>
      <c r="D238" s="382"/>
      <c r="E238" s="382"/>
      <c r="F238" s="311"/>
      <c r="G238" s="383"/>
      <c r="H238" s="382"/>
      <c r="I238" s="382"/>
      <c r="J238" s="382"/>
      <c r="K238" s="382"/>
      <c r="L238" s="382"/>
      <c r="M238" s="382"/>
      <c r="N238" s="382"/>
      <c r="O238" s="382"/>
      <c r="P238" s="338">
        <f t="shared" si="1"/>
        <v>13</v>
      </c>
      <c r="Q238" s="384">
        <f t="shared" si="2"/>
        <v>3.0239590602465691E-3</v>
      </c>
      <c r="R238" s="339">
        <f t="shared" si="3"/>
        <v>2573</v>
      </c>
      <c r="S238" s="384">
        <f t="shared" si="4"/>
        <v>4.5389435357541036E-3</v>
      </c>
      <c r="T238" s="366"/>
      <c r="U238" s="370"/>
      <c r="V238" s="5"/>
      <c r="W238" s="109"/>
    </row>
    <row r="239" spans="1:23" ht="15.6" x14ac:dyDescent="0.3">
      <c r="A239" s="284"/>
      <c r="B239" s="338"/>
      <c r="C239" s="382"/>
      <c r="D239" s="382"/>
      <c r="E239" s="382"/>
      <c r="F239" s="311"/>
      <c r="G239" s="383"/>
      <c r="H239" s="382"/>
      <c r="I239" s="382"/>
      <c r="J239" s="382"/>
      <c r="K239" s="382"/>
      <c r="L239" s="382"/>
      <c r="M239" s="382"/>
      <c r="N239" s="382"/>
      <c r="O239" s="382"/>
      <c r="P239" s="338"/>
      <c r="Q239" s="384"/>
      <c r="R239" s="339"/>
      <c r="S239" s="384"/>
      <c r="T239" s="366"/>
      <c r="U239" s="370"/>
      <c r="V239" s="5"/>
    </row>
    <row r="240" spans="1:23" ht="15.6" x14ac:dyDescent="0.3">
      <c r="A240" s="284"/>
      <c r="B240" s="285" t="s">
        <v>120</v>
      </c>
      <c r="C240" s="311"/>
      <c r="D240" s="311"/>
      <c r="E240" s="311"/>
      <c r="F240" s="311"/>
      <c r="G240" s="311"/>
      <c r="H240" s="385"/>
      <c r="I240" s="385"/>
      <c r="J240" s="385"/>
      <c r="K240" s="385"/>
      <c r="L240" s="385"/>
      <c r="M240" s="385"/>
      <c r="N240" s="385"/>
      <c r="O240" s="385"/>
      <c r="P240" s="338">
        <f>SUM(P231:P239)</f>
        <v>4299</v>
      </c>
      <c r="Q240" s="384">
        <f>SUM(Q231:Q239)</f>
        <v>1.0000000000000002</v>
      </c>
      <c r="R240" s="339">
        <f>SUM(R231:R239)</f>
        <v>566872</v>
      </c>
      <c r="S240" s="384">
        <f>SUM(S231:S239)</f>
        <v>1</v>
      </c>
      <c r="T240" s="311"/>
      <c r="U240" s="317"/>
      <c r="V240" s="5"/>
    </row>
    <row r="241" spans="1:23" ht="15.6" x14ac:dyDescent="0.3">
      <c r="A241" s="355"/>
      <c r="B241" s="350"/>
      <c r="C241" s="356"/>
      <c r="D241" s="356"/>
      <c r="E241" s="356"/>
      <c r="F241" s="357"/>
      <c r="G241" s="334"/>
      <c r="H241" s="334"/>
      <c r="I241" s="334"/>
      <c r="J241" s="334"/>
      <c r="K241" s="334"/>
      <c r="L241" s="334"/>
      <c r="M241" s="334"/>
      <c r="N241" s="334"/>
      <c r="O241" s="334"/>
      <c r="P241" s="334"/>
      <c r="Q241" s="334"/>
      <c r="R241" s="358"/>
      <c r="S241" s="334"/>
      <c r="T241" s="351"/>
      <c r="U241" s="359"/>
      <c r="V241" s="5"/>
    </row>
    <row r="242" spans="1:23" ht="15.6" x14ac:dyDescent="0.3">
      <c r="A242" s="222"/>
      <c r="B242" s="395" t="s">
        <v>169</v>
      </c>
      <c r="C242" s="396"/>
      <c r="D242" s="396"/>
      <c r="E242" s="396"/>
      <c r="F242" s="402"/>
      <c r="G242" s="396"/>
      <c r="H242" s="396"/>
      <c r="I242" s="396"/>
      <c r="J242" s="396"/>
      <c r="K242" s="396"/>
      <c r="L242" s="396"/>
      <c r="M242" s="396"/>
      <c r="N242" s="396"/>
      <c r="O242" s="396"/>
      <c r="P242" s="402" t="s">
        <v>105</v>
      </c>
      <c r="Q242" s="396" t="s">
        <v>106</v>
      </c>
      <c r="R242" s="402" t="s">
        <v>114</v>
      </c>
      <c r="S242" s="396" t="s">
        <v>106</v>
      </c>
      <c r="T242" s="223"/>
      <c r="U242" s="395"/>
      <c r="V242" s="5"/>
    </row>
    <row r="243" spans="1:23" ht="15.6" x14ac:dyDescent="0.3">
      <c r="A243" s="190"/>
      <c r="B243" s="243" t="s">
        <v>91</v>
      </c>
      <c r="C243" s="217"/>
      <c r="D243" s="217"/>
      <c r="E243" s="217"/>
      <c r="F243" s="191"/>
      <c r="G243" s="217"/>
      <c r="H243" s="217"/>
      <c r="I243" s="217"/>
      <c r="J243" s="217"/>
      <c r="K243" s="217"/>
      <c r="L243" s="217"/>
      <c r="M243" s="217"/>
      <c r="N243" s="217"/>
      <c r="O243" s="217"/>
      <c r="P243" s="243">
        <v>4141</v>
      </c>
      <c r="Q243" s="274">
        <f t="shared" ref="Q243:Q250" si="5">P243/$P$252</f>
        <v>0.9911440880804212</v>
      </c>
      <c r="R243" s="251">
        <v>543085</v>
      </c>
      <c r="S243" s="274">
        <f t="shared" ref="S243:S250" si="6">R243/$R$252</f>
        <v>0.99102740500947073</v>
      </c>
      <c r="T243" s="213"/>
      <c r="U243" s="216"/>
      <c r="V243" s="5"/>
    </row>
    <row r="244" spans="1:23" ht="15.6" x14ac:dyDescent="0.3">
      <c r="A244" s="284"/>
      <c r="B244" s="338" t="s">
        <v>92</v>
      </c>
      <c r="C244" s="382"/>
      <c r="D244" s="382"/>
      <c r="E244" s="382"/>
      <c r="F244" s="311"/>
      <c r="G244" s="383"/>
      <c r="H244" s="382"/>
      <c r="I244" s="382"/>
      <c r="J244" s="382"/>
      <c r="K244" s="382"/>
      <c r="L244" s="382"/>
      <c r="M244" s="382"/>
      <c r="N244" s="382"/>
      <c r="O244" s="382"/>
      <c r="P244" s="338">
        <v>33</v>
      </c>
      <c r="Q244" s="384">
        <f t="shared" si="5"/>
        <v>7.8985160363810435E-3</v>
      </c>
      <c r="R244" s="339">
        <v>4095</v>
      </c>
      <c r="S244" s="384">
        <f t="shared" si="6"/>
        <v>7.4726004649618063E-3</v>
      </c>
      <c r="T244" s="366"/>
      <c r="U244" s="370"/>
      <c r="V244" s="5"/>
      <c r="W244" s="109"/>
    </row>
    <row r="245" spans="1:23" ht="15.6" x14ac:dyDescent="0.3">
      <c r="A245" s="284"/>
      <c r="B245" s="338" t="s">
        <v>93</v>
      </c>
      <c r="C245" s="382"/>
      <c r="D245" s="382"/>
      <c r="E245" s="382"/>
      <c r="F245" s="311"/>
      <c r="G245" s="383"/>
      <c r="H245" s="382"/>
      <c r="I245" s="382"/>
      <c r="J245" s="382"/>
      <c r="K245" s="382"/>
      <c r="L245" s="382"/>
      <c r="M245" s="382"/>
      <c r="N245" s="382"/>
      <c r="O245" s="382"/>
      <c r="P245" s="338">
        <v>2</v>
      </c>
      <c r="Q245" s="384">
        <f t="shared" si="5"/>
        <v>4.7869794159885112E-4</v>
      </c>
      <c r="R245" s="339">
        <v>485</v>
      </c>
      <c r="S245" s="384">
        <f t="shared" si="6"/>
        <v>8.8503326630194785E-4</v>
      </c>
      <c r="T245" s="366"/>
      <c r="U245" s="370"/>
      <c r="V245" s="5"/>
    </row>
    <row r="246" spans="1:23" ht="15.6" x14ac:dyDescent="0.3">
      <c r="A246" s="284"/>
      <c r="B246" s="338" t="s">
        <v>163</v>
      </c>
      <c r="C246" s="382"/>
      <c r="D246" s="382"/>
      <c r="E246" s="382"/>
      <c r="F246" s="311"/>
      <c r="G246" s="383"/>
      <c r="H246" s="382"/>
      <c r="I246" s="382"/>
      <c r="J246" s="382"/>
      <c r="K246" s="382"/>
      <c r="L246" s="382"/>
      <c r="M246" s="382"/>
      <c r="N246" s="382"/>
      <c r="O246" s="382"/>
      <c r="P246" s="338">
        <v>1</v>
      </c>
      <c r="Q246" s="384">
        <f t="shared" si="5"/>
        <v>2.3934897079942556E-4</v>
      </c>
      <c r="R246" s="339">
        <v>38</v>
      </c>
      <c r="S246" s="384">
        <f t="shared" si="6"/>
        <v>6.9342812617472201E-5</v>
      </c>
      <c r="T246" s="366"/>
      <c r="U246" s="370"/>
      <c r="V246" s="5"/>
      <c r="W246" s="109"/>
    </row>
    <row r="247" spans="1:23" ht="15.6" x14ac:dyDescent="0.3">
      <c r="A247" s="284"/>
      <c r="B247" s="338" t="s">
        <v>164</v>
      </c>
      <c r="C247" s="382"/>
      <c r="D247" s="382"/>
      <c r="E247" s="382"/>
      <c r="F247" s="311"/>
      <c r="G247" s="383"/>
      <c r="H247" s="382"/>
      <c r="I247" s="382"/>
      <c r="J247" s="382"/>
      <c r="K247" s="382"/>
      <c r="L247" s="382"/>
      <c r="M247" s="382"/>
      <c r="N247" s="382"/>
      <c r="O247" s="382"/>
      <c r="P247" s="338">
        <v>0</v>
      </c>
      <c r="Q247" s="384">
        <f t="shared" si="5"/>
        <v>0</v>
      </c>
      <c r="R247" s="339">
        <v>0</v>
      </c>
      <c r="S247" s="384">
        <f t="shared" si="6"/>
        <v>0</v>
      </c>
      <c r="T247" s="366"/>
      <c r="U247" s="370"/>
      <c r="V247" s="5"/>
    </row>
    <row r="248" spans="1:23" ht="15.6" x14ac:dyDescent="0.3">
      <c r="A248" s="284"/>
      <c r="B248" s="338" t="s">
        <v>165</v>
      </c>
      <c r="C248" s="382"/>
      <c r="D248" s="382"/>
      <c r="E248" s="382"/>
      <c r="F248" s="311"/>
      <c r="G248" s="383"/>
      <c r="H248" s="382"/>
      <c r="I248" s="382"/>
      <c r="J248" s="382"/>
      <c r="K248" s="382"/>
      <c r="L248" s="382"/>
      <c r="M248" s="382"/>
      <c r="N248" s="382"/>
      <c r="O248" s="382"/>
      <c r="P248" s="338">
        <v>0</v>
      </c>
      <c r="Q248" s="384">
        <f t="shared" si="5"/>
        <v>0</v>
      </c>
      <c r="R248" s="339">
        <v>0</v>
      </c>
      <c r="S248" s="384">
        <f t="shared" si="6"/>
        <v>0</v>
      </c>
      <c r="T248" s="366"/>
      <c r="U248" s="370"/>
      <c r="V248" s="5"/>
      <c r="W248" s="109"/>
    </row>
    <row r="249" spans="1:23" ht="15.6" x14ac:dyDescent="0.3">
      <c r="A249" s="284"/>
      <c r="B249" s="338" t="s">
        <v>166</v>
      </c>
      <c r="C249" s="382"/>
      <c r="D249" s="382"/>
      <c r="E249" s="382"/>
      <c r="F249" s="311"/>
      <c r="G249" s="383"/>
      <c r="H249" s="382"/>
      <c r="I249" s="382"/>
      <c r="J249" s="382"/>
      <c r="K249" s="382"/>
      <c r="L249" s="382"/>
      <c r="M249" s="382"/>
      <c r="N249" s="382"/>
      <c r="O249" s="382"/>
      <c r="P249" s="338">
        <v>1</v>
      </c>
      <c r="Q249" s="384">
        <f t="shared" si="5"/>
        <v>2.3934897079942556E-4</v>
      </c>
      <c r="R249" s="339">
        <v>299</v>
      </c>
      <c r="S249" s="384">
        <f t="shared" si="6"/>
        <v>5.4561844664800492E-4</v>
      </c>
      <c r="T249" s="366"/>
      <c r="U249" s="370"/>
      <c r="V249" s="5"/>
    </row>
    <row r="250" spans="1:23" ht="15.6" x14ac:dyDescent="0.3">
      <c r="A250" s="284"/>
      <c r="B250" s="338" t="s">
        <v>167</v>
      </c>
      <c r="C250" s="382"/>
      <c r="D250" s="382"/>
      <c r="E250" s="382"/>
      <c r="F250" s="311"/>
      <c r="G250" s="383"/>
      <c r="H250" s="382"/>
      <c r="I250" s="382"/>
      <c r="J250" s="382"/>
      <c r="K250" s="382"/>
      <c r="L250" s="382"/>
      <c r="M250" s="382"/>
      <c r="N250" s="382"/>
      <c r="O250" s="382"/>
      <c r="P250" s="338">
        <v>0</v>
      </c>
      <c r="Q250" s="384">
        <f t="shared" si="5"/>
        <v>0</v>
      </c>
      <c r="R250" s="339">
        <v>0</v>
      </c>
      <c r="S250" s="384">
        <f t="shared" si="6"/>
        <v>0</v>
      </c>
      <c r="T250" s="366"/>
      <c r="U250" s="370"/>
      <c r="V250" s="5"/>
      <c r="W250" s="109"/>
    </row>
    <row r="251" spans="1:23" ht="15.6" x14ac:dyDescent="0.3">
      <c r="A251" s="284"/>
      <c r="B251" s="338"/>
      <c r="C251" s="382"/>
      <c r="D251" s="382"/>
      <c r="E251" s="382"/>
      <c r="F251" s="311"/>
      <c r="G251" s="383"/>
      <c r="H251" s="382"/>
      <c r="I251" s="382"/>
      <c r="J251" s="382"/>
      <c r="K251" s="382"/>
      <c r="L251" s="382"/>
      <c r="M251" s="382"/>
      <c r="N251" s="382"/>
      <c r="O251" s="382"/>
      <c r="P251" s="338"/>
      <c r="Q251" s="384"/>
      <c r="R251" s="339"/>
      <c r="S251" s="384"/>
      <c r="T251" s="366"/>
      <c r="U251" s="370"/>
      <c r="V251" s="5"/>
    </row>
    <row r="252" spans="1:23" ht="15.6" x14ac:dyDescent="0.3">
      <c r="A252" s="284"/>
      <c r="B252" s="285" t="s">
        <v>120</v>
      </c>
      <c r="C252" s="311"/>
      <c r="D252" s="311"/>
      <c r="E252" s="311"/>
      <c r="F252" s="311"/>
      <c r="G252" s="311"/>
      <c r="H252" s="385"/>
      <c r="I252" s="385"/>
      <c r="J252" s="385"/>
      <c r="K252" s="385"/>
      <c r="L252" s="385"/>
      <c r="M252" s="385"/>
      <c r="N252" s="385"/>
      <c r="O252" s="385"/>
      <c r="P252" s="338">
        <f>SUM(P243:P251)</f>
        <v>4178</v>
      </c>
      <c r="Q252" s="384">
        <f>SUM(Q243:Q251)</f>
        <v>1</v>
      </c>
      <c r="R252" s="339">
        <f>SUM(R243:R251)</f>
        <v>548002</v>
      </c>
      <c r="S252" s="384">
        <f>SUM(S243:S251)</f>
        <v>1</v>
      </c>
      <c r="T252" s="311"/>
      <c r="U252" s="317"/>
      <c r="V252" s="5"/>
    </row>
    <row r="253" spans="1:23" ht="15.6" x14ac:dyDescent="0.3">
      <c r="A253" s="175"/>
      <c r="B253" s="334"/>
      <c r="C253" s="334"/>
      <c r="D253" s="334"/>
      <c r="E253" s="334"/>
      <c r="F253" s="334"/>
      <c r="G253" s="334"/>
      <c r="H253" s="379"/>
      <c r="I253" s="379"/>
      <c r="J253" s="379"/>
      <c r="K253" s="379"/>
      <c r="L253" s="379"/>
      <c r="M253" s="379"/>
      <c r="N253" s="379"/>
      <c r="O253" s="379"/>
      <c r="P253" s="335"/>
      <c r="Q253" s="380"/>
      <c r="R253" s="381"/>
      <c r="S253" s="380"/>
      <c r="T253" s="334"/>
      <c r="U253" s="334"/>
      <c r="V253" s="5"/>
    </row>
    <row r="254" spans="1:23" ht="15.6" x14ac:dyDescent="0.3">
      <c r="A254" s="268"/>
      <c r="B254" s="395" t="s">
        <v>267</v>
      </c>
      <c r="C254" s="396"/>
      <c r="D254" s="396"/>
      <c r="E254" s="396"/>
      <c r="F254" s="402"/>
      <c r="G254" s="396"/>
      <c r="H254" s="396"/>
      <c r="I254" s="396"/>
      <c r="J254" s="396"/>
      <c r="K254" s="396"/>
      <c r="L254" s="396"/>
      <c r="M254" s="396"/>
      <c r="N254" s="396"/>
      <c r="O254" s="396"/>
      <c r="P254" s="402" t="s">
        <v>105</v>
      </c>
      <c r="Q254" s="396" t="s">
        <v>106</v>
      </c>
      <c r="R254" s="402" t="s">
        <v>114</v>
      </c>
      <c r="S254" s="396" t="s">
        <v>106</v>
      </c>
      <c r="T254" s="269"/>
      <c r="U254" s="270"/>
      <c r="V254" s="5"/>
    </row>
    <row r="255" spans="1:23" ht="15.6" x14ac:dyDescent="0.3">
      <c r="A255" s="190"/>
      <c r="B255" s="243" t="s">
        <v>91</v>
      </c>
      <c r="C255" s="217"/>
      <c r="D255" s="217"/>
      <c r="E255" s="217"/>
      <c r="F255" s="191"/>
      <c r="G255" s="217"/>
      <c r="H255" s="217"/>
      <c r="I255" s="217"/>
      <c r="J255" s="217"/>
      <c r="K255" s="217"/>
      <c r="L255" s="217"/>
      <c r="M255" s="217"/>
      <c r="N255" s="217"/>
      <c r="O255" s="217"/>
      <c r="P255" s="243">
        <v>86</v>
      </c>
      <c r="Q255" s="274">
        <f t="shared" ref="Q255:Q262" si="7">P255/$P$264</f>
        <v>0.71074380165289253</v>
      </c>
      <c r="R255" s="251">
        <v>13361</v>
      </c>
      <c r="S255" s="274">
        <f t="shared" ref="S255:S262" si="8">R255/$R$264</f>
        <v>0.7080551139374669</v>
      </c>
      <c r="T255" s="191"/>
      <c r="U255" s="191"/>
      <c r="V255" s="5"/>
    </row>
    <row r="256" spans="1:23" ht="15.6" x14ac:dyDescent="0.3">
      <c r="A256" s="284"/>
      <c r="B256" s="338" t="s">
        <v>92</v>
      </c>
      <c r="C256" s="382"/>
      <c r="D256" s="382"/>
      <c r="E256" s="382"/>
      <c r="F256" s="311"/>
      <c r="G256" s="383"/>
      <c r="H256" s="382"/>
      <c r="I256" s="382"/>
      <c r="J256" s="382"/>
      <c r="K256" s="382"/>
      <c r="L256" s="382"/>
      <c r="M256" s="382"/>
      <c r="N256" s="382"/>
      <c r="O256" s="382"/>
      <c r="P256" s="338">
        <v>10</v>
      </c>
      <c r="Q256" s="384">
        <f t="shared" si="7"/>
        <v>8.2644628099173556E-2</v>
      </c>
      <c r="R256" s="339">
        <v>1340</v>
      </c>
      <c r="S256" s="384">
        <f t="shared" si="8"/>
        <v>7.101218865924748E-2</v>
      </c>
      <c r="T256" s="311"/>
      <c r="U256" s="317"/>
      <c r="V256" s="5"/>
    </row>
    <row r="257" spans="1:22" ht="15.6" x14ac:dyDescent="0.3">
      <c r="A257" s="284"/>
      <c r="B257" s="338" t="s">
        <v>93</v>
      </c>
      <c r="C257" s="382"/>
      <c r="D257" s="382"/>
      <c r="E257" s="382"/>
      <c r="F257" s="311"/>
      <c r="G257" s="383"/>
      <c r="H257" s="382"/>
      <c r="I257" s="382"/>
      <c r="J257" s="382"/>
      <c r="K257" s="382"/>
      <c r="L257" s="382"/>
      <c r="M257" s="382"/>
      <c r="N257" s="382"/>
      <c r="O257" s="382"/>
      <c r="P257" s="338">
        <v>7</v>
      </c>
      <c r="Q257" s="384">
        <f t="shared" si="7"/>
        <v>5.7851239669421489E-2</v>
      </c>
      <c r="R257" s="339">
        <v>1062</v>
      </c>
      <c r="S257" s="384">
        <f t="shared" si="8"/>
        <v>5.6279809220985688E-2</v>
      </c>
      <c r="T257" s="311"/>
      <c r="U257" s="317"/>
      <c r="V257" s="5"/>
    </row>
    <row r="258" spans="1:22" ht="15.6" x14ac:dyDescent="0.3">
      <c r="A258" s="284"/>
      <c r="B258" s="338" t="s">
        <v>163</v>
      </c>
      <c r="C258" s="382"/>
      <c r="D258" s="382"/>
      <c r="E258" s="382"/>
      <c r="F258" s="311"/>
      <c r="G258" s="383"/>
      <c r="H258" s="382"/>
      <c r="I258" s="382"/>
      <c r="J258" s="382"/>
      <c r="K258" s="382"/>
      <c r="L258" s="382"/>
      <c r="M258" s="382"/>
      <c r="N258" s="382"/>
      <c r="O258" s="382"/>
      <c r="P258" s="338">
        <v>1</v>
      </c>
      <c r="Q258" s="384">
        <f t="shared" si="7"/>
        <v>8.2644628099173556E-3</v>
      </c>
      <c r="R258" s="339">
        <v>52</v>
      </c>
      <c r="S258" s="384">
        <f t="shared" si="8"/>
        <v>2.7556968733439321E-3</v>
      </c>
      <c r="T258" s="311"/>
      <c r="U258" s="317"/>
      <c r="V258" s="5"/>
    </row>
    <row r="259" spans="1:22" ht="15.6" x14ac:dyDescent="0.3">
      <c r="A259" s="284"/>
      <c r="B259" s="338" t="s">
        <v>164</v>
      </c>
      <c r="C259" s="382"/>
      <c r="D259" s="382"/>
      <c r="E259" s="382"/>
      <c r="F259" s="311"/>
      <c r="G259" s="383"/>
      <c r="H259" s="382"/>
      <c r="I259" s="382"/>
      <c r="J259" s="382"/>
      <c r="K259" s="382"/>
      <c r="L259" s="382"/>
      <c r="M259" s="382"/>
      <c r="N259" s="382"/>
      <c r="O259" s="382"/>
      <c r="P259" s="338">
        <v>1</v>
      </c>
      <c r="Q259" s="384">
        <f t="shared" si="7"/>
        <v>8.2644628099173556E-3</v>
      </c>
      <c r="R259" s="339">
        <v>68</v>
      </c>
      <c r="S259" s="384">
        <f t="shared" si="8"/>
        <v>3.6036036036036037E-3</v>
      </c>
      <c r="T259" s="311"/>
      <c r="U259" s="317"/>
      <c r="V259" s="5"/>
    </row>
    <row r="260" spans="1:22" ht="15.6" x14ac:dyDescent="0.3">
      <c r="A260" s="284"/>
      <c r="B260" s="338" t="s">
        <v>165</v>
      </c>
      <c r="C260" s="382"/>
      <c r="D260" s="382"/>
      <c r="E260" s="382"/>
      <c r="F260" s="311"/>
      <c r="G260" s="383"/>
      <c r="H260" s="382"/>
      <c r="I260" s="382"/>
      <c r="J260" s="382"/>
      <c r="K260" s="382"/>
      <c r="L260" s="382"/>
      <c r="M260" s="382"/>
      <c r="N260" s="382"/>
      <c r="O260" s="382"/>
      <c r="P260" s="338">
        <v>0</v>
      </c>
      <c r="Q260" s="384">
        <f t="shared" si="7"/>
        <v>0</v>
      </c>
      <c r="R260" s="339">
        <v>0</v>
      </c>
      <c r="S260" s="384">
        <f t="shared" si="8"/>
        <v>0</v>
      </c>
      <c r="T260" s="311"/>
      <c r="U260" s="317"/>
      <c r="V260" s="5"/>
    </row>
    <row r="261" spans="1:22" ht="15.6" x14ac:dyDescent="0.3">
      <c r="A261" s="284"/>
      <c r="B261" s="338" t="s">
        <v>166</v>
      </c>
      <c r="C261" s="382"/>
      <c r="D261" s="382"/>
      <c r="E261" s="382"/>
      <c r="F261" s="311"/>
      <c r="G261" s="383"/>
      <c r="H261" s="382"/>
      <c r="I261" s="382"/>
      <c r="J261" s="382"/>
      <c r="K261" s="382"/>
      <c r="L261" s="382"/>
      <c r="M261" s="382"/>
      <c r="N261" s="382"/>
      <c r="O261" s="382"/>
      <c r="P261" s="338">
        <v>3</v>
      </c>
      <c r="Q261" s="384">
        <f t="shared" si="7"/>
        <v>2.4793388429752067E-2</v>
      </c>
      <c r="R261" s="339">
        <v>414</v>
      </c>
      <c r="S261" s="384">
        <f t="shared" si="8"/>
        <v>2.1939586645468998E-2</v>
      </c>
      <c r="T261" s="311"/>
      <c r="U261" s="317"/>
      <c r="V261" s="5"/>
    </row>
    <row r="262" spans="1:22" ht="15.6" x14ac:dyDescent="0.3">
      <c r="A262" s="284"/>
      <c r="B262" s="338" t="s">
        <v>167</v>
      </c>
      <c r="C262" s="382"/>
      <c r="D262" s="382"/>
      <c r="E262" s="382"/>
      <c r="F262" s="311"/>
      <c r="G262" s="383"/>
      <c r="H262" s="382"/>
      <c r="I262" s="382"/>
      <c r="J262" s="382"/>
      <c r="K262" s="382"/>
      <c r="L262" s="382"/>
      <c r="M262" s="382"/>
      <c r="N262" s="382"/>
      <c r="O262" s="382"/>
      <c r="P262" s="338">
        <v>13</v>
      </c>
      <c r="Q262" s="384">
        <f t="shared" si="7"/>
        <v>0.10743801652892562</v>
      </c>
      <c r="R262" s="339">
        <v>2573</v>
      </c>
      <c r="S262" s="384">
        <f t="shared" si="8"/>
        <v>0.13635400105988341</v>
      </c>
      <c r="T262" s="311"/>
      <c r="U262" s="317"/>
      <c r="V262" s="5"/>
    </row>
    <row r="263" spans="1:22" ht="15.6" x14ac:dyDescent="0.3">
      <c r="A263" s="284"/>
      <c r="B263" s="338"/>
      <c r="C263" s="382"/>
      <c r="D263" s="382"/>
      <c r="E263" s="382"/>
      <c r="F263" s="311"/>
      <c r="G263" s="383"/>
      <c r="H263" s="382"/>
      <c r="I263" s="382"/>
      <c r="J263" s="382"/>
      <c r="K263" s="382"/>
      <c r="L263" s="382"/>
      <c r="M263" s="382"/>
      <c r="N263" s="382"/>
      <c r="O263" s="382"/>
      <c r="P263" s="338"/>
      <c r="Q263" s="384"/>
      <c r="R263" s="339"/>
      <c r="S263" s="384"/>
      <c r="T263" s="311"/>
      <c r="U263" s="317"/>
      <c r="V263" s="5"/>
    </row>
    <row r="264" spans="1:22" ht="15.6" x14ac:dyDescent="0.3">
      <c r="A264" s="284"/>
      <c r="B264" s="285" t="s">
        <v>120</v>
      </c>
      <c r="C264" s="311"/>
      <c r="D264" s="311"/>
      <c r="E264" s="311"/>
      <c r="F264" s="311"/>
      <c r="G264" s="311"/>
      <c r="H264" s="385"/>
      <c r="I264" s="385"/>
      <c r="J264" s="385"/>
      <c r="K264" s="385"/>
      <c r="L264" s="385"/>
      <c r="M264" s="385"/>
      <c r="N264" s="385"/>
      <c r="O264" s="385"/>
      <c r="P264" s="338">
        <f>SUM(P255:P263)</f>
        <v>121</v>
      </c>
      <c r="Q264" s="384">
        <f>SUM(Q255:Q263)</f>
        <v>1</v>
      </c>
      <c r="R264" s="339">
        <f>SUM(R255:R263)</f>
        <v>18870</v>
      </c>
      <c r="S264" s="384">
        <f>SUM(S255:S263)</f>
        <v>1</v>
      </c>
      <c r="T264" s="311"/>
      <c r="U264" s="317"/>
      <c r="V264" s="5"/>
    </row>
    <row r="265" spans="1:22" ht="15.6" x14ac:dyDescent="0.3">
      <c r="A265" s="175"/>
      <c r="B265" s="334"/>
      <c r="C265" s="334"/>
      <c r="D265" s="334"/>
      <c r="E265" s="334"/>
      <c r="F265" s="334"/>
      <c r="G265" s="334"/>
      <c r="H265" s="379"/>
      <c r="I265" s="379"/>
      <c r="J265" s="379"/>
      <c r="K265" s="379"/>
      <c r="L265" s="379"/>
      <c r="M265" s="379"/>
      <c r="N265" s="379"/>
      <c r="O265" s="379"/>
      <c r="P265" s="335"/>
      <c r="Q265" s="380"/>
      <c r="R265" s="381"/>
      <c r="S265" s="380"/>
      <c r="T265" s="334"/>
      <c r="U265" s="334"/>
      <c r="V265" s="5"/>
    </row>
    <row r="266" spans="1:22" ht="15.6" x14ac:dyDescent="0.3">
      <c r="A266" s="268"/>
      <c r="B266" s="395" t="s">
        <v>170</v>
      </c>
      <c r="C266" s="269"/>
      <c r="D266" s="269"/>
      <c r="E266" s="269"/>
      <c r="F266" s="269"/>
      <c r="G266" s="269"/>
      <c r="H266" s="271"/>
      <c r="I266" s="271"/>
      <c r="J266" s="271"/>
      <c r="K266" s="271"/>
      <c r="L266" s="271"/>
      <c r="M266" s="271"/>
      <c r="N266" s="271"/>
      <c r="O266" s="271"/>
      <c r="P266" s="402" t="s">
        <v>105</v>
      </c>
      <c r="Q266" s="396" t="s">
        <v>106</v>
      </c>
      <c r="R266" s="402" t="s">
        <v>114</v>
      </c>
      <c r="S266" s="396" t="s">
        <v>106</v>
      </c>
      <c r="T266" s="269"/>
      <c r="U266" s="270"/>
      <c r="V266" s="5"/>
    </row>
    <row r="267" spans="1:22" ht="15.6" x14ac:dyDescent="0.3">
      <c r="A267" s="190"/>
      <c r="B267" s="243" t="s">
        <v>91</v>
      </c>
      <c r="C267" s="239"/>
      <c r="D267" s="239"/>
      <c r="E267" s="239"/>
      <c r="F267" s="239"/>
      <c r="G267" s="239"/>
      <c r="H267" s="275"/>
      <c r="I267" s="275"/>
      <c r="J267" s="275"/>
      <c r="K267" s="275"/>
      <c r="L267" s="218"/>
      <c r="M267" s="218"/>
      <c r="N267" s="218"/>
      <c r="O267" s="218"/>
      <c r="P267" s="243">
        <v>0</v>
      </c>
      <c r="Q267" s="274">
        <v>0</v>
      </c>
      <c r="R267" s="251">
        <v>0</v>
      </c>
      <c r="S267" s="274">
        <v>0</v>
      </c>
      <c r="T267" s="239"/>
      <c r="U267" s="191"/>
      <c r="V267" s="5"/>
    </row>
    <row r="268" spans="1:22" ht="15.6" x14ac:dyDescent="0.3">
      <c r="A268" s="284"/>
      <c r="B268" s="338" t="s">
        <v>92</v>
      </c>
      <c r="C268" s="285"/>
      <c r="D268" s="285"/>
      <c r="E268" s="285"/>
      <c r="F268" s="285"/>
      <c r="G268" s="285"/>
      <c r="H268" s="387"/>
      <c r="I268" s="387"/>
      <c r="J268" s="387"/>
      <c r="K268" s="387"/>
      <c r="L268" s="385"/>
      <c r="M268" s="385"/>
      <c r="N268" s="385"/>
      <c r="O268" s="385"/>
      <c r="P268" s="338">
        <v>0</v>
      </c>
      <c r="Q268" s="384">
        <v>0</v>
      </c>
      <c r="R268" s="339">
        <v>0</v>
      </c>
      <c r="S268" s="384">
        <v>0</v>
      </c>
      <c r="T268" s="285"/>
      <c r="U268" s="317"/>
      <c r="V268" s="5"/>
    </row>
    <row r="269" spans="1:22" ht="15.6" x14ac:dyDescent="0.3">
      <c r="A269" s="284"/>
      <c r="B269" s="338" t="s">
        <v>93</v>
      </c>
      <c r="C269" s="285"/>
      <c r="D269" s="285"/>
      <c r="E269" s="285"/>
      <c r="F269" s="285"/>
      <c r="G269" s="285"/>
      <c r="H269" s="387"/>
      <c r="I269" s="387"/>
      <c r="J269" s="387"/>
      <c r="K269" s="387"/>
      <c r="L269" s="385"/>
      <c r="M269" s="385"/>
      <c r="N269" s="385"/>
      <c r="O269" s="385"/>
      <c r="P269" s="338">
        <v>0</v>
      </c>
      <c r="Q269" s="384">
        <v>0</v>
      </c>
      <c r="R269" s="339">
        <v>0</v>
      </c>
      <c r="S269" s="384">
        <v>0</v>
      </c>
      <c r="T269" s="285"/>
      <c r="U269" s="317"/>
      <c r="V269" s="5"/>
    </row>
    <row r="270" spans="1:22" ht="15.6" x14ac:dyDescent="0.3">
      <c r="A270" s="284"/>
      <c r="B270" s="338" t="s">
        <v>163</v>
      </c>
      <c r="C270" s="285"/>
      <c r="D270" s="285"/>
      <c r="E270" s="285"/>
      <c r="F270" s="285"/>
      <c r="G270" s="285"/>
      <c r="H270" s="387"/>
      <c r="I270" s="387"/>
      <c r="J270" s="387"/>
      <c r="K270" s="387"/>
      <c r="L270" s="385"/>
      <c r="M270" s="385"/>
      <c r="N270" s="385"/>
      <c r="O270" s="385"/>
      <c r="P270" s="338">
        <v>0</v>
      </c>
      <c r="Q270" s="384">
        <v>0</v>
      </c>
      <c r="R270" s="339">
        <v>0</v>
      </c>
      <c r="S270" s="384">
        <v>0</v>
      </c>
      <c r="T270" s="285"/>
      <c r="U270" s="317"/>
      <c r="V270" s="5"/>
    </row>
    <row r="271" spans="1:22" ht="15.6" x14ac:dyDescent="0.3">
      <c r="A271" s="284"/>
      <c r="B271" s="338" t="s">
        <v>164</v>
      </c>
      <c r="C271" s="285"/>
      <c r="D271" s="285"/>
      <c r="E271" s="285"/>
      <c r="F271" s="285"/>
      <c r="G271" s="285"/>
      <c r="H271" s="387"/>
      <c r="I271" s="387"/>
      <c r="J271" s="387"/>
      <c r="K271" s="387"/>
      <c r="L271" s="385"/>
      <c r="M271" s="385"/>
      <c r="N271" s="385"/>
      <c r="O271" s="385"/>
      <c r="P271" s="338">
        <v>0</v>
      </c>
      <c r="Q271" s="384">
        <v>0</v>
      </c>
      <c r="R271" s="339">
        <v>0</v>
      </c>
      <c r="S271" s="384">
        <v>0</v>
      </c>
      <c r="T271" s="285"/>
      <c r="U271" s="317"/>
      <c r="V271" s="5"/>
    </row>
    <row r="272" spans="1:22" ht="15.6" x14ac:dyDescent="0.3">
      <c r="A272" s="284"/>
      <c r="B272" s="338" t="s">
        <v>165</v>
      </c>
      <c r="C272" s="285"/>
      <c r="D272" s="285"/>
      <c r="E272" s="285"/>
      <c r="F272" s="285"/>
      <c r="G272" s="285"/>
      <c r="H272" s="387"/>
      <c r="I272" s="387"/>
      <c r="J272" s="387"/>
      <c r="K272" s="387"/>
      <c r="L272" s="385"/>
      <c r="M272" s="385"/>
      <c r="N272" s="385"/>
      <c r="O272" s="385"/>
      <c r="P272" s="338">
        <v>0</v>
      </c>
      <c r="Q272" s="384">
        <v>0</v>
      </c>
      <c r="R272" s="339">
        <v>0</v>
      </c>
      <c r="S272" s="384">
        <v>0</v>
      </c>
      <c r="T272" s="285"/>
      <c r="U272" s="317"/>
      <c r="V272" s="5"/>
    </row>
    <row r="273" spans="1:22" ht="15.6" x14ac:dyDescent="0.3">
      <c r="A273" s="284"/>
      <c r="B273" s="338" t="s">
        <v>166</v>
      </c>
      <c r="C273" s="285"/>
      <c r="D273" s="285"/>
      <c r="E273" s="285"/>
      <c r="F273" s="285"/>
      <c r="G273" s="285"/>
      <c r="H273" s="387"/>
      <c r="I273" s="387"/>
      <c r="J273" s="387"/>
      <c r="K273" s="387"/>
      <c r="L273" s="385"/>
      <c r="M273" s="385"/>
      <c r="N273" s="385"/>
      <c r="O273" s="385"/>
      <c r="P273" s="338">
        <v>0</v>
      </c>
      <c r="Q273" s="384">
        <v>0</v>
      </c>
      <c r="R273" s="339">
        <v>0</v>
      </c>
      <c r="S273" s="384">
        <v>0</v>
      </c>
      <c r="T273" s="285"/>
      <c r="U273" s="317"/>
      <c r="V273" s="5"/>
    </row>
    <row r="274" spans="1:22" ht="15.6" x14ac:dyDescent="0.3">
      <c r="A274" s="284"/>
      <c r="B274" s="338" t="s">
        <v>167</v>
      </c>
      <c r="C274" s="285"/>
      <c r="D274" s="285"/>
      <c r="E274" s="285"/>
      <c r="F274" s="285"/>
      <c r="G274" s="285"/>
      <c r="H274" s="387"/>
      <c r="I274" s="387"/>
      <c r="J274" s="387"/>
      <c r="K274" s="387"/>
      <c r="L274" s="385"/>
      <c r="M274" s="385"/>
      <c r="N274" s="385"/>
      <c r="O274" s="385"/>
      <c r="P274" s="338">
        <v>0</v>
      </c>
      <c r="Q274" s="384">
        <v>0</v>
      </c>
      <c r="R274" s="339">
        <v>0</v>
      </c>
      <c r="S274" s="384">
        <v>0</v>
      </c>
      <c r="T274" s="285"/>
      <c r="U274" s="317"/>
      <c r="V274" s="5"/>
    </row>
    <row r="275" spans="1:22" ht="15.6" x14ac:dyDescent="0.3">
      <c r="A275" s="284"/>
      <c r="B275" s="338"/>
      <c r="C275" s="285"/>
      <c r="D275" s="285"/>
      <c r="E275" s="285"/>
      <c r="F275" s="285"/>
      <c r="G275" s="285"/>
      <c r="H275" s="387"/>
      <c r="I275" s="387"/>
      <c r="J275" s="387"/>
      <c r="K275" s="387"/>
      <c r="L275" s="385"/>
      <c r="M275" s="385"/>
      <c r="N275" s="385"/>
      <c r="O275" s="385"/>
      <c r="P275" s="338"/>
      <c r="Q275" s="384"/>
      <c r="R275" s="339"/>
      <c r="S275" s="384"/>
      <c r="T275" s="285"/>
      <c r="U275" s="317"/>
      <c r="V275" s="5"/>
    </row>
    <row r="276" spans="1:22" ht="15.6" x14ac:dyDescent="0.3">
      <c r="A276" s="284"/>
      <c r="B276" s="285" t="s">
        <v>120</v>
      </c>
      <c r="C276" s="285"/>
      <c r="D276" s="285"/>
      <c r="E276" s="285"/>
      <c r="F276" s="285"/>
      <c r="G276" s="285"/>
      <c r="H276" s="387"/>
      <c r="I276" s="387"/>
      <c r="J276" s="387"/>
      <c r="K276" s="387"/>
      <c r="L276" s="385"/>
      <c r="M276" s="385"/>
      <c r="N276" s="385"/>
      <c r="O276" s="385"/>
      <c r="P276" s="338">
        <f>SUM(P267:P274)</f>
        <v>0</v>
      </c>
      <c r="Q276" s="384">
        <f>SUM(Q267:Q275)</f>
        <v>0</v>
      </c>
      <c r="R276" s="339">
        <f>SUM(R267:R274)</f>
        <v>0</v>
      </c>
      <c r="S276" s="384">
        <f>SUM(S267:S275)</f>
        <v>0</v>
      </c>
      <c r="T276" s="285"/>
      <c r="U276" s="317"/>
      <c r="V276" s="5"/>
    </row>
    <row r="277" spans="1:22" ht="15.6" x14ac:dyDescent="0.3">
      <c r="A277" s="284"/>
      <c r="B277" s="285"/>
      <c r="C277" s="285"/>
      <c r="D277" s="285"/>
      <c r="E277" s="285"/>
      <c r="F277" s="285"/>
      <c r="G277" s="285"/>
      <c r="H277" s="387"/>
      <c r="I277" s="387"/>
      <c r="J277" s="387"/>
      <c r="K277" s="387"/>
      <c r="L277" s="385"/>
      <c r="M277" s="385"/>
      <c r="N277" s="385"/>
      <c r="O277" s="385"/>
      <c r="P277" s="344"/>
      <c r="Q277" s="388"/>
      <c r="R277" s="345"/>
      <c r="S277" s="388"/>
      <c r="T277" s="311"/>
      <c r="U277" s="317"/>
      <c r="V277" s="5"/>
    </row>
    <row r="278" spans="1:22" ht="15.6" x14ac:dyDescent="0.3">
      <c r="A278" s="284"/>
      <c r="B278" s="292" t="s">
        <v>171</v>
      </c>
      <c r="C278" s="285"/>
      <c r="D278" s="285"/>
      <c r="E278" s="285"/>
      <c r="F278" s="285"/>
      <c r="G278" s="285"/>
      <c r="H278" s="387"/>
      <c r="I278" s="387"/>
      <c r="J278" s="387"/>
      <c r="K278" s="387"/>
      <c r="L278" s="385"/>
      <c r="M278" s="385"/>
      <c r="N278" s="385"/>
      <c r="O278" s="385"/>
      <c r="P278" s="403">
        <f>P276+P264+P252</f>
        <v>4299</v>
      </c>
      <c r="Q278" s="384"/>
      <c r="R278" s="404">
        <f>+R276+R264+R252</f>
        <v>566872</v>
      </c>
      <c r="S278" s="384"/>
      <c r="T278" s="311"/>
      <c r="U278" s="317"/>
      <c r="V278" s="5"/>
    </row>
    <row r="279" spans="1:22" ht="15.6" x14ac:dyDescent="0.3">
      <c r="A279" s="175"/>
      <c r="B279" s="281"/>
      <c r="C279" s="281"/>
      <c r="D279" s="281"/>
      <c r="E279" s="281"/>
      <c r="F279" s="281"/>
      <c r="G279" s="281"/>
      <c r="H279" s="386"/>
      <c r="I279" s="386"/>
      <c r="J279" s="386"/>
      <c r="K279" s="386"/>
      <c r="L279" s="379"/>
      <c r="M279" s="379"/>
      <c r="N279" s="379"/>
      <c r="O279" s="379"/>
      <c r="P279" s="379"/>
      <c r="Q279" s="379"/>
      <c r="R279" s="381"/>
      <c r="S279" s="379"/>
      <c r="T279" s="334"/>
      <c r="U279" s="334"/>
      <c r="V279" s="5"/>
    </row>
    <row r="280" spans="1:22" ht="15.6" x14ac:dyDescent="0.3">
      <c r="A280" s="175"/>
      <c r="B280" s="231"/>
      <c r="C280" s="231"/>
      <c r="D280" s="231"/>
      <c r="E280" s="231"/>
      <c r="F280" s="231"/>
      <c r="G280" s="231"/>
      <c r="H280" s="276"/>
      <c r="I280" s="276"/>
      <c r="J280" s="276"/>
      <c r="K280" s="276"/>
      <c r="L280" s="219"/>
      <c r="M280" s="219"/>
      <c r="N280" s="219"/>
      <c r="O280" s="219"/>
      <c r="P280" s="219"/>
      <c r="Q280" s="219"/>
      <c r="R280" s="220"/>
      <c r="S280" s="219"/>
      <c r="T280" s="177"/>
      <c r="U280" s="177"/>
      <c r="V280" s="5"/>
    </row>
    <row r="281" spans="1:22" ht="15.6" x14ac:dyDescent="0.3">
      <c r="A281" s="221"/>
      <c r="B281" s="230" t="s">
        <v>94</v>
      </c>
      <c r="C281" s="231"/>
      <c r="D281" s="231"/>
      <c r="E281" s="231"/>
      <c r="F281" s="236" t="s">
        <v>100</v>
      </c>
      <c r="G281" s="231"/>
      <c r="H281" s="230" t="s">
        <v>102</v>
      </c>
      <c r="I281" s="277"/>
      <c r="J281" s="277"/>
      <c r="K281" s="277"/>
      <c r="L281" s="188"/>
      <c r="M281" s="188"/>
      <c r="N281" s="188"/>
      <c r="O281" s="188"/>
      <c r="P281" s="188"/>
      <c r="Q281" s="188"/>
      <c r="R281" s="188"/>
      <c r="S281" s="188"/>
      <c r="T281" s="188"/>
      <c r="U281" s="188"/>
      <c r="V281" s="5"/>
    </row>
    <row r="282" spans="1:22" ht="15.6" x14ac:dyDescent="0.3">
      <c r="A282" s="221"/>
      <c r="B282" s="230" t="s">
        <v>95</v>
      </c>
      <c r="C282" s="230"/>
      <c r="D282" s="230"/>
      <c r="E282" s="230"/>
      <c r="F282" s="278" t="s">
        <v>154</v>
      </c>
      <c r="G282" s="230"/>
      <c r="H282" s="230" t="s">
        <v>158</v>
      </c>
      <c r="I282" s="277"/>
      <c r="J282" s="277"/>
      <c r="K282" s="277"/>
      <c r="L282" s="188"/>
      <c r="M282" s="188"/>
      <c r="N282" s="188"/>
      <c r="O282" s="188"/>
      <c r="P282" s="188"/>
      <c r="Q282" s="188"/>
      <c r="R282" s="188"/>
      <c r="S282" s="188"/>
      <c r="T282" s="188"/>
      <c r="U282" s="188"/>
      <c r="V282" s="5"/>
    </row>
    <row r="283" spans="1:22" ht="15.6" x14ac:dyDescent="0.3">
      <c r="A283" s="221"/>
      <c r="B283" s="230" t="s">
        <v>268</v>
      </c>
      <c r="C283" s="230"/>
      <c r="D283" s="230"/>
      <c r="E283" s="230"/>
      <c r="F283" s="278" t="s">
        <v>269</v>
      </c>
      <c r="G283" s="230"/>
      <c r="H283" s="230" t="s">
        <v>270</v>
      </c>
      <c r="I283" s="277"/>
      <c r="J283" s="277"/>
      <c r="K283" s="277"/>
      <c r="L283" s="188"/>
      <c r="M283" s="188"/>
      <c r="N283" s="188"/>
      <c r="O283" s="188"/>
      <c r="P283" s="188"/>
      <c r="Q283" s="188"/>
      <c r="R283" s="188"/>
      <c r="S283" s="188"/>
      <c r="T283" s="188"/>
      <c r="U283" s="188"/>
      <c r="V283" s="5"/>
    </row>
    <row r="284" spans="1:22" ht="15.6" x14ac:dyDescent="0.3">
      <c r="A284" s="221"/>
      <c r="B284" s="230" t="s">
        <v>96</v>
      </c>
      <c r="C284" s="230"/>
      <c r="D284" s="230"/>
      <c r="E284" s="230"/>
      <c r="F284" s="278" t="s">
        <v>153</v>
      </c>
      <c r="G284" s="230"/>
      <c r="H284" s="230" t="s">
        <v>159</v>
      </c>
      <c r="I284" s="277"/>
      <c r="J284" s="277"/>
      <c r="K284" s="277"/>
      <c r="L284" s="188"/>
      <c r="M284" s="188"/>
      <c r="N284" s="188"/>
      <c r="O284" s="188"/>
      <c r="P284" s="188"/>
      <c r="Q284" s="188"/>
      <c r="R284" s="188"/>
      <c r="S284" s="188"/>
      <c r="T284" s="188"/>
      <c r="U284" s="188"/>
      <c r="V284" s="5"/>
    </row>
    <row r="285" spans="1:22" ht="15.6" x14ac:dyDescent="0.3">
      <c r="A285" s="221"/>
      <c r="B285" s="230"/>
      <c r="C285" s="230"/>
      <c r="D285" s="230"/>
      <c r="E285" s="230"/>
      <c r="F285" s="230"/>
      <c r="G285" s="279"/>
      <c r="H285" s="277"/>
      <c r="I285" s="277"/>
      <c r="J285" s="277"/>
      <c r="K285" s="277"/>
      <c r="L285" s="188"/>
      <c r="M285" s="188"/>
      <c r="N285" s="188"/>
      <c r="O285" s="188"/>
      <c r="P285" s="188"/>
      <c r="Q285" s="188"/>
      <c r="R285" s="188"/>
      <c r="S285" s="188"/>
      <c r="T285" s="188"/>
      <c r="U285" s="188"/>
      <c r="V285" s="5"/>
    </row>
    <row r="286" spans="1:22" ht="15.6" x14ac:dyDescent="0.3">
      <c r="A286" s="221"/>
      <c r="B286" s="230"/>
      <c r="C286" s="230"/>
      <c r="D286" s="230"/>
      <c r="E286" s="230"/>
      <c r="F286" s="230"/>
      <c r="G286" s="279"/>
      <c r="H286" s="277"/>
      <c r="I286" s="277"/>
      <c r="J286" s="277"/>
      <c r="K286" s="277"/>
      <c r="L286" s="188"/>
      <c r="M286" s="188"/>
      <c r="N286" s="188"/>
      <c r="O286" s="188"/>
      <c r="P286" s="188"/>
      <c r="Q286" s="188"/>
      <c r="R286" s="188"/>
      <c r="S286" s="188"/>
      <c r="T286" s="188"/>
      <c r="U286" s="188"/>
      <c r="V286" s="5"/>
    </row>
    <row r="287" spans="1:22" ht="18" thickBot="1" x14ac:dyDescent="0.35">
      <c r="A287" s="221"/>
      <c r="B287" s="280" t="str">
        <f>B192</f>
        <v>PM11 INVESTOR REPORT QUARTER ENDING DECEMBER 2011</v>
      </c>
      <c r="C287" s="230"/>
      <c r="D287" s="230"/>
      <c r="E287" s="230"/>
      <c r="F287" s="230"/>
      <c r="G287" s="279"/>
      <c r="H287" s="277"/>
      <c r="I287" s="277"/>
      <c r="J287" s="277"/>
      <c r="K287" s="277"/>
      <c r="L287" s="188"/>
      <c r="M287" s="188"/>
      <c r="N287" s="188"/>
      <c r="O287" s="188"/>
      <c r="P287" s="188"/>
      <c r="Q287" s="188"/>
      <c r="R287" s="188"/>
      <c r="S287" s="188"/>
      <c r="T287" s="188"/>
      <c r="U287" s="188"/>
      <c r="V287" s="5"/>
    </row>
    <row r="288" spans="1:22" x14ac:dyDescent="0.25">
      <c r="A288" s="100"/>
      <c r="B288" s="100"/>
      <c r="C288" s="100"/>
      <c r="D288" s="100"/>
      <c r="E288" s="100"/>
      <c r="F288" s="100"/>
      <c r="G288" s="100"/>
      <c r="H288" s="100"/>
      <c r="I288" s="100"/>
      <c r="J288" s="100"/>
      <c r="K288" s="100"/>
      <c r="L288" s="100"/>
      <c r="M288" s="100"/>
      <c r="N288" s="100"/>
      <c r="O288" s="100"/>
      <c r="P288" s="100"/>
      <c r="Q288" s="100"/>
      <c r="R288" s="100"/>
      <c r="S288" s="100"/>
      <c r="T288" s="100"/>
      <c r="U288" s="100"/>
    </row>
  </sheetData>
  <hyperlinks>
    <hyperlink ref="N228" r:id="rId1" xr:uid="{00000000-0004-0000-1600-000000000000}"/>
    <hyperlink ref="J9" r:id="rId2" xr:uid="{00000000-0004-0000-16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4" max="21" man="1"/>
    <brk id="132" max="14" man="1"/>
    <brk id="192" max="14" man="1"/>
  </rowBreaks>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2D2926"/>
  </sheetPr>
  <dimension ref="A1:X288"/>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08984375" style="1" customWidth="1"/>
    <col min="10" max="10" width="17.81640625" style="1" customWidth="1"/>
    <col min="11" max="11" width="2.1796875" style="1" customWidth="1"/>
    <col min="12" max="12" width="14.81640625" style="1" customWidth="1"/>
    <col min="13" max="13" width="2.1796875" style="1" customWidth="1"/>
    <col min="14" max="14" width="15.54296875" style="1" customWidth="1"/>
    <col min="15" max="15" width="2.08984375" style="1" customWidth="1"/>
    <col min="16" max="16" width="15.54296875" style="1" customWidth="1"/>
    <col min="17" max="18" width="12.81640625" style="1" customWidth="1"/>
    <col min="19" max="19" width="7.81640625" style="1" customWidth="1"/>
    <col min="20" max="20" width="14.81640625" style="1" customWidth="1"/>
    <col min="21" max="21" width="11.81640625" style="1" customWidth="1"/>
    <col min="22" max="16384" width="9.81640625" style="1"/>
  </cols>
  <sheetData>
    <row r="1" spans="1:22" ht="20.399999999999999" x14ac:dyDescent="0.35">
      <c r="A1" s="173"/>
      <c r="B1" s="228" t="s">
        <v>228</v>
      </c>
      <c r="C1" s="174"/>
      <c r="D1" s="174"/>
      <c r="E1" s="174"/>
      <c r="F1" s="174"/>
      <c r="G1" s="174"/>
      <c r="H1" s="174"/>
      <c r="I1" s="174"/>
      <c r="J1" s="174"/>
      <c r="K1" s="174"/>
      <c r="L1" s="174"/>
      <c r="M1" s="174"/>
      <c r="N1" s="174"/>
      <c r="O1" s="174"/>
      <c r="P1" s="174"/>
      <c r="Q1" s="174"/>
      <c r="R1" s="174"/>
      <c r="S1" s="174"/>
      <c r="T1" s="174"/>
      <c r="U1" s="174"/>
      <c r="V1" s="5"/>
    </row>
    <row r="2" spans="1:22" ht="15.6" x14ac:dyDescent="0.3">
      <c r="A2" s="175"/>
      <c r="B2" s="176"/>
      <c r="C2" s="177"/>
      <c r="D2" s="177"/>
      <c r="E2" s="177"/>
      <c r="F2" s="177"/>
      <c r="G2" s="177"/>
      <c r="H2" s="177"/>
      <c r="I2" s="177"/>
      <c r="J2" s="177"/>
      <c r="K2" s="177"/>
      <c r="L2" s="177"/>
      <c r="M2" s="177"/>
      <c r="N2" s="177"/>
      <c r="O2" s="177"/>
      <c r="P2" s="177"/>
      <c r="Q2" s="177"/>
      <c r="R2" s="177"/>
      <c r="S2" s="177"/>
      <c r="T2" s="177"/>
      <c r="U2" s="177"/>
      <c r="V2" s="5"/>
    </row>
    <row r="3" spans="1:22" ht="15.6" x14ac:dyDescent="0.3">
      <c r="A3" s="178"/>
      <c r="B3" s="179" t="s">
        <v>229</v>
      </c>
      <c r="C3" s="177"/>
      <c r="D3" s="177"/>
      <c r="E3" s="177"/>
      <c r="F3" s="177"/>
      <c r="G3" s="177"/>
      <c r="H3" s="177"/>
      <c r="I3" s="177"/>
      <c r="J3" s="177"/>
      <c r="K3" s="177"/>
      <c r="L3" s="177"/>
      <c r="M3" s="177"/>
      <c r="N3" s="177"/>
      <c r="O3" s="177"/>
      <c r="P3" s="177"/>
      <c r="Q3" s="177"/>
      <c r="R3" s="177"/>
      <c r="S3" s="177"/>
      <c r="T3" s="177"/>
      <c r="U3" s="177"/>
      <c r="V3" s="5"/>
    </row>
    <row r="4" spans="1:22" ht="15.6" x14ac:dyDescent="0.3">
      <c r="A4" s="175"/>
      <c r="B4" s="176"/>
      <c r="C4" s="177"/>
      <c r="D4" s="177"/>
      <c r="E4" s="177"/>
      <c r="F4" s="177"/>
      <c r="G4" s="177"/>
      <c r="H4" s="177"/>
      <c r="I4" s="177"/>
      <c r="J4" s="177"/>
      <c r="K4" s="177"/>
      <c r="L4" s="177"/>
      <c r="M4" s="177"/>
      <c r="N4" s="177"/>
      <c r="O4" s="177"/>
      <c r="P4" s="177"/>
      <c r="Q4" s="177"/>
      <c r="R4" s="177"/>
      <c r="S4" s="177"/>
      <c r="T4" s="177"/>
      <c r="U4" s="177"/>
      <c r="V4" s="5"/>
    </row>
    <row r="5" spans="1:22" ht="15.6" x14ac:dyDescent="0.3">
      <c r="A5" s="175"/>
      <c r="B5" s="229" t="s">
        <v>143</v>
      </c>
      <c r="C5" s="177"/>
      <c r="D5" s="177"/>
      <c r="E5" s="177"/>
      <c r="F5" s="177"/>
      <c r="G5" s="177"/>
      <c r="H5" s="177"/>
      <c r="I5" s="177"/>
      <c r="J5" s="177"/>
      <c r="K5" s="177"/>
      <c r="L5" s="177"/>
      <c r="M5" s="177"/>
      <c r="N5" s="177"/>
      <c r="O5" s="177"/>
      <c r="P5" s="177"/>
      <c r="Q5" s="177"/>
      <c r="R5" s="177"/>
      <c r="S5" s="177"/>
      <c r="T5" s="177"/>
      <c r="U5" s="177"/>
      <c r="V5" s="5"/>
    </row>
    <row r="6" spans="1:22" ht="15.6" x14ac:dyDescent="0.3">
      <c r="A6" s="175"/>
      <c r="B6" s="229" t="s">
        <v>145</v>
      </c>
      <c r="C6" s="177"/>
      <c r="D6" s="177"/>
      <c r="E6" s="177"/>
      <c r="F6" s="177"/>
      <c r="G6" s="177"/>
      <c r="H6" s="177"/>
      <c r="I6" s="177"/>
      <c r="J6" s="177"/>
      <c r="K6" s="177"/>
      <c r="L6" s="177"/>
      <c r="M6" s="177"/>
      <c r="N6" s="177"/>
      <c r="O6" s="177"/>
      <c r="P6" s="177"/>
      <c r="Q6" s="177"/>
      <c r="R6" s="177"/>
      <c r="S6" s="177"/>
      <c r="T6" s="177"/>
      <c r="U6" s="177"/>
      <c r="V6" s="5"/>
    </row>
    <row r="7" spans="1:22" ht="15.6" x14ac:dyDescent="0.3">
      <c r="A7" s="175"/>
      <c r="B7" s="229" t="s">
        <v>144</v>
      </c>
      <c r="C7" s="177"/>
      <c r="D7" s="177"/>
      <c r="E7" s="177"/>
      <c r="F7" s="177"/>
      <c r="G7" s="177"/>
      <c r="H7" s="177"/>
      <c r="I7" s="177"/>
      <c r="J7" s="177"/>
      <c r="K7" s="177"/>
      <c r="L7" s="177"/>
      <c r="M7" s="177"/>
      <c r="N7" s="177"/>
      <c r="O7" s="177"/>
      <c r="P7" s="177"/>
      <c r="Q7" s="177"/>
      <c r="R7" s="177"/>
      <c r="S7" s="177"/>
      <c r="T7" s="177"/>
      <c r="U7" s="177"/>
      <c r="V7" s="5"/>
    </row>
    <row r="8" spans="1:22" ht="15.6" x14ac:dyDescent="0.3">
      <c r="A8" s="175"/>
      <c r="B8" s="180"/>
      <c r="C8" s="177"/>
      <c r="D8" s="177"/>
      <c r="E8" s="177"/>
      <c r="F8" s="177"/>
      <c r="G8" s="177"/>
      <c r="H8" s="177"/>
      <c r="I8" s="177"/>
      <c r="J8" s="177"/>
      <c r="K8" s="177"/>
      <c r="L8" s="177"/>
      <c r="M8" s="177"/>
      <c r="N8" s="177"/>
      <c r="O8" s="177"/>
      <c r="P8" s="177"/>
      <c r="Q8" s="177"/>
      <c r="R8" s="177"/>
      <c r="S8" s="177"/>
      <c r="T8" s="177"/>
      <c r="U8" s="177"/>
      <c r="V8" s="5"/>
    </row>
    <row r="9" spans="1:22" ht="17.399999999999999" x14ac:dyDescent="0.3">
      <c r="A9" s="175"/>
      <c r="B9" s="181" t="s">
        <v>173</v>
      </c>
      <c r="C9" s="177"/>
      <c r="D9" s="177"/>
      <c r="E9" s="177"/>
      <c r="F9" s="177"/>
      <c r="G9" s="177"/>
      <c r="H9" s="177"/>
      <c r="I9" s="177"/>
      <c r="J9" s="182" t="s">
        <v>174</v>
      </c>
      <c r="K9" s="177"/>
      <c r="L9" s="182"/>
      <c r="M9" s="177"/>
      <c r="N9" s="177"/>
      <c r="O9" s="177"/>
      <c r="P9" s="177"/>
      <c r="Q9" s="177"/>
      <c r="R9" s="177"/>
      <c r="S9" s="177"/>
      <c r="T9" s="177"/>
      <c r="U9" s="177"/>
      <c r="V9" s="5"/>
    </row>
    <row r="10" spans="1:22" ht="15.6" x14ac:dyDescent="0.3">
      <c r="A10" s="175"/>
      <c r="B10" s="180"/>
      <c r="C10" s="183"/>
      <c r="D10" s="183"/>
      <c r="E10" s="183"/>
      <c r="F10" s="177"/>
      <c r="G10" s="177"/>
      <c r="H10" s="177"/>
      <c r="I10" s="177"/>
      <c r="J10" s="177"/>
      <c r="K10" s="177"/>
      <c r="L10" s="177"/>
      <c r="M10" s="177"/>
      <c r="N10" s="177"/>
      <c r="O10" s="177"/>
      <c r="P10" s="177"/>
      <c r="Q10" s="177"/>
      <c r="R10" s="177"/>
      <c r="S10" s="177"/>
      <c r="T10" s="177"/>
      <c r="U10" s="177"/>
      <c r="V10" s="5"/>
    </row>
    <row r="11" spans="1:22" ht="15.6" x14ac:dyDescent="0.3">
      <c r="A11" s="175"/>
      <c r="B11" s="230" t="s">
        <v>0</v>
      </c>
      <c r="C11" s="177"/>
      <c r="D11" s="177"/>
      <c r="E11" s="177"/>
      <c r="F11" s="177"/>
      <c r="G11" s="177"/>
      <c r="H11" s="177"/>
      <c r="I11" s="177"/>
      <c r="J11" s="177"/>
      <c r="K11" s="177"/>
      <c r="L11" s="177"/>
      <c r="M11" s="177"/>
      <c r="N11" s="177"/>
      <c r="O11" s="177"/>
      <c r="P11" s="177"/>
      <c r="Q11" s="177"/>
      <c r="R11" s="177"/>
      <c r="S11" s="177"/>
      <c r="T11" s="177"/>
      <c r="U11" s="177"/>
      <c r="V11" s="5"/>
    </row>
    <row r="12" spans="1:22" ht="16.2" thickBot="1" x14ac:dyDescent="0.35">
      <c r="A12" s="175"/>
      <c r="B12" s="183"/>
      <c r="C12" s="177"/>
      <c r="D12" s="177"/>
      <c r="E12" s="177"/>
      <c r="F12" s="177"/>
      <c r="G12" s="177"/>
      <c r="H12" s="177"/>
      <c r="I12" s="177"/>
      <c r="J12" s="177"/>
      <c r="K12" s="177"/>
      <c r="L12" s="177"/>
      <c r="M12" s="177"/>
      <c r="N12" s="177"/>
      <c r="O12" s="177"/>
      <c r="P12" s="177"/>
      <c r="Q12" s="177"/>
      <c r="R12" s="177"/>
      <c r="S12" s="177"/>
      <c r="T12" s="177"/>
      <c r="U12" s="177"/>
      <c r="V12" s="5"/>
    </row>
    <row r="13" spans="1:22" ht="15.6" x14ac:dyDescent="0.3">
      <c r="A13" s="173"/>
      <c r="B13" s="174"/>
      <c r="C13" s="174"/>
      <c r="D13" s="174"/>
      <c r="E13" s="174"/>
      <c r="F13" s="174"/>
      <c r="G13" s="174"/>
      <c r="H13" s="174"/>
      <c r="I13" s="174"/>
      <c r="J13" s="174"/>
      <c r="K13" s="174"/>
      <c r="L13" s="174"/>
      <c r="M13" s="174"/>
      <c r="N13" s="174"/>
      <c r="O13" s="174"/>
      <c r="P13" s="174"/>
      <c r="Q13" s="174"/>
      <c r="R13" s="174"/>
      <c r="S13" s="174"/>
      <c r="T13" s="174"/>
      <c r="U13" s="174"/>
      <c r="V13" s="5"/>
    </row>
    <row r="14" spans="1:22" ht="15.6" x14ac:dyDescent="0.3">
      <c r="A14" s="175"/>
      <c r="B14" s="230" t="s">
        <v>1</v>
      </c>
      <c r="C14" s="184"/>
      <c r="D14" s="184"/>
      <c r="E14" s="184"/>
      <c r="F14" s="184"/>
      <c r="G14" s="184"/>
      <c r="H14" s="184"/>
      <c r="I14" s="184"/>
      <c r="J14" s="184"/>
      <c r="K14" s="184"/>
      <c r="L14" s="184"/>
      <c r="M14" s="184"/>
      <c r="N14" s="184"/>
      <c r="O14" s="184"/>
      <c r="P14" s="231"/>
      <c r="Q14" s="231"/>
      <c r="R14" s="231"/>
      <c r="S14" s="231"/>
      <c r="T14" s="233" t="s">
        <v>230</v>
      </c>
      <c r="U14" s="184"/>
      <c r="V14" s="5"/>
    </row>
    <row r="15" spans="1:22" ht="15.6" x14ac:dyDescent="0.3">
      <c r="A15" s="175"/>
      <c r="B15" s="230" t="s">
        <v>2</v>
      </c>
      <c r="C15" s="184"/>
      <c r="D15" s="184"/>
      <c r="E15" s="184"/>
      <c r="F15" s="184"/>
      <c r="G15" s="184"/>
      <c r="H15" s="185"/>
      <c r="I15" s="185"/>
      <c r="J15" s="185"/>
      <c r="K15" s="185"/>
      <c r="L15" s="185"/>
      <c r="M15" s="185"/>
      <c r="N15" s="185"/>
      <c r="O15" s="185"/>
      <c r="P15" s="234" t="s">
        <v>107</v>
      </c>
      <c r="Q15" s="235">
        <v>0.40749999999999997</v>
      </c>
      <c r="R15" s="236" t="s">
        <v>146</v>
      </c>
      <c r="S15" s="235">
        <v>0.59250000000000003</v>
      </c>
      <c r="T15" s="233"/>
      <c r="U15" s="184"/>
      <c r="V15" s="5"/>
    </row>
    <row r="16" spans="1:22" ht="15.6" x14ac:dyDescent="0.3">
      <c r="A16" s="175"/>
      <c r="B16" s="230" t="s">
        <v>3</v>
      </c>
      <c r="C16" s="184"/>
      <c r="D16" s="184"/>
      <c r="E16" s="184"/>
      <c r="F16" s="184"/>
      <c r="G16" s="184"/>
      <c r="H16" s="185"/>
      <c r="I16" s="185"/>
      <c r="J16" s="185"/>
      <c r="K16" s="185"/>
      <c r="L16" s="185"/>
      <c r="M16" s="185"/>
      <c r="N16" s="185"/>
      <c r="O16" s="185"/>
      <c r="P16" s="234" t="s">
        <v>107</v>
      </c>
      <c r="Q16" s="235">
        <v>0.4481</v>
      </c>
      <c r="R16" s="236" t="s">
        <v>146</v>
      </c>
      <c r="S16" s="235">
        <v>0.55189999999999995</v>
      </c>
      <c r="T16" s="233"/>
      <c r="U16" s="184"/>
      <c r="V16" s="5"/>
    </row>
    <row r="17" spans="1:22" ht="15.6" x14ac:dyDescent="0.3">
      <c r="A17" s="175"/>
      <c r="B17" s="230" t="s">
        <v>4</v>
      </c>
      <c r="C17" s="184"/>
      <c r="D17" s="184"/>
      <c r="E17" s="184"/>
      <c r="F17" s="184"/>
      <c r="G17" s="184"/>
      <c r="H17" s="184"/>
      <c r="I17" s="184"/>
      <c r="J17" s="184"/>
      <c r="K17" s="184"/>
      <c r="L17" s="184"/>
      <c r="M17" s="184"/>
      <c r="N17" s="184"/>
      <c r="O17" s="184"/>
      <c r="P17" s="231"/>
      <c r="Q17" s="231"/>
      <c r="R17" s="231"/>
      <c r="S17" s="231"/>
      <c r="T17" s="237">
        <v>38799</v>
      </c>
      <c r="U17" s="184"/>
      <c r="V17" s="5"/>
    </row>
    <row r="18" spans="1:22" ht="15.6" x14ac:dyDescent="0.3">
      <c r="A18" s="175"/>
      <c r="B18" s="230" t="s">
        <v>5</v>
      </c>
      <c r="C18" s="184"/>
      <c r="D18" s="184"/>
      <c r="E18" s="184"/>
      <c r="F18" s="184"/>
      <c r="G18" s="184"/>
      <c r="H18" s="184"/>
      <c r="I18" s="184"/>
      <c r="J18" s="184"/>
      <c r="K18" s="184"/>
      <c r="L18" s="184"/>
      <c r="M18" s="184"/>
      <c r="N18" s="184"/>
      <c r="O18" s="184"/>
      <c r="P18" s="231"/>
      <c r="Q18" s="231"/>
      <c r="R18" s="231"/>
      <c r="S18" s="231"/>
      <c r="T18" s="237">
        <v>41019</v>
      </c>
      <c r="U18" s="184"/>
      <c r="V18" s="5"/>
    </row>
    <row r="19" spans="1:22" ht="15.6" x14ac:dyDescent="0.3">
      <c r="A19" s="175"/>
      <c r="B19" s="177"/>
      <c r="C19" s="177"/>
      <c r="D19" s="177"/>
      <c r="E19" s="177"/>
      <c r="F19" s="177"/>
      <c r="G19" s="177"/>
      <c r="H19" s="177"/>
      <c r="I19" s="177"/>
      <c r="J19" s="177"/>
      <c r="K19" s="177"/>
      <c r="L19" s="177"/>
      <c r="M19" s="177"/>
      <c r="N19" s="177"/>
      <c r="O19" s="177"/>
      <c r="P19" s="177"/>
      <c r="Q19" s="177"/>
      <c r="R19" s="177"/>
      <c r="S19" s="177"/>
      <c r="T19" s="186"/>
      <c r="U19" s="177"/>
      <c r="V19" s="5"/>
    </row>
    <row r="20" spans="1:22" ht="15.6" x14ac:dyDescent="0.3">
      <c r="A20" s="175"/>
      <c r="B20" s="232" t="s">
        <v>6</v>
      </c>
      <c r="C20" s="177"/>
      <c r="D20" s="177"/>
      <c r="E20" s="177"/>
      <c r="F20" s="177"/>
      <c r="G20" s="177"/>
      <c r="H20" s="177"/>
      <c r="I20" s="177"/>
      <c r="J20" s="177"/>
      <c r="K20" s="177"/>
      <c r="L20" s="177"/>
      <c r="M20" s="177"/>
      <c r="N20" s="177"/>
      <c r="O20" s="177"/>
      <c r="P20" s="177"/>
      <c r="Q20" s="177"/>
      <c r="R20" s="238" t="s">
        <v>108</v>
      </c>
      <c r="S20" s="177"/>
      <c r="T20" s="188"/>
      <c r="U20" s="177"/>
      <c r="V20" s="5"/>
    </row>
    <row r="21" spans="1:22" ht="15.6" x14ac:dyDescent="0.3">
      <c r="A21" s="175"/>
      <c r="B21" s="177"/>
      <c r="C21" s="177"/>
      <c r="D21" s="177"/>
      <c r="E21" s="177"/>
      <c r="F21" s="177"/>
      <c r="G21" s="177"/>
      <c r="H21" s="177"/>
      <c r="I21" s="177"/>
      <c r="J21" s="177"/>
      <c r="K21" s="177"/>
      <c r="L21" s="177"/>
      <c r="M21" s="177"/>
      <c r="N21" s="177"/>
      <c r="O21" s="177"/>
      <c r="P21" s="177"/>
      <c r="Q21" s="177"/>
      <c r="R21" s="177"/>
      <c r="S21" s="177"/>
      <c r="T21" s="189"/>
      <c r="U21" s="177"/>
      <c r="V21" s="5"/>
    </row>
    <row r="22" spans="1:22" ht="15.6" x14ac:dyDescent="0.3">
      <c r="A22" s="222"/>
      <c r="B22" s="223"/>
      <c r="C22" s="224"/>
      <c r="D22" s="224" t="s">
        <v>184</v>
      </c>
      <c r="E22" s="224"/>
      <c r="F22" s="224" t="s">
        <v>185</v>
      </c>
      <c r="G22" s="224"/>
      <c r="H22" s="224" t="s">
        <v>186</v>
      </c>
      <c r="I22" s="224"/>
      <c r="J22" s="224" t="s">
        <v>187</v>
      </c>
      <c r="K22" s="224"/>
      <c r="L22" s="224" t="s">
        <v>188</v>
      </c>
      <c r="M22" s="224"/>
      <c r="N22" s="224" t="s">
        <v>189</v>
      </c>
      <c r="O22" s="224"/>
      <c r="P22" s="224"/>
      <c r="Q22" s="226"/>
      <c r="R22" s="226"/>
      <c r="S22" s="227"/>
      <c r="T22" s="227"/>
      <c r="U22" s="223"/>
      <c r="V22" s="5"/>
    </row>
    <row r="23" spans="1:22" ht="15.6" x14ac:dyDescent="0.3">
      <c r="A23" s="190"/>
      <c r="B23" s="239" t="s">
        <v>7</v>
      </c>
      <c r="C23" s="240"/>
      <c r="D23" s="240" t="s">
        <v>222</v>
      </c>
      <c r="E23" s="240"/>
      <c r="F23" s="240" t="s">
        <v>147</v>
      </c>
      <c r="G23" s="240"/>
      <c r="H23" s="240" t="s">
        <v>147</v>
      </c>
      <c r="I23" s="240"/>
      <c r="J23" s="240" t="s">
        <v>190</v>
      </c>
      <c r="K23" s="240"/>
      <c r="L23" s="240" t="s">
        <v>190</v>
      </c>
      <c r="M23" s="240"/>
      <c r="N23" s="240" t="s">
        <v>148</v>
      </c>
      <c r="O23" s="240"/>
      <c r="P23" s="240"/>
      <c r="Q23" s="240"/>
      <c r="R23" s="240"/>
      <c r="S23" s="241"/>
      <c r="T23" s="241"/>
      <c r="U23" s="239"/>
      <c r="V23" s="5"/>
    </row>
    <row r="24" spans="1:22" ht="15.6" x14ac:dyDescent="0.3">
      <c r="A24" s="284"/>
      <c r="B24" s="285" t="s">
        <v>8</v>
      </c>
      <c r="C24" s="286"/>
      <c r="D24" s="286" t="s">
        <v>223</v>
      </c>
      <c r="E24" s="286"/>
      <c r="F24" s="286" t="s">
        <v>149</v>
      </c>
      <c r="G24" s="286"/>
      <c r="H24" s="286" t="s">
        <v>149</v>
      </c>
      <c r="I24" s="286"/>
      <c r="J24" s="286" t="s">
        <v>172</v>
      </c>
      <c r="K24" s="286"/>
      <c r="L24" s="286" t="s">
        <v>172</v>
      </c>
      <c r="M24" s="286"/>
      <c r="N24" s="286" t="s">
        <v>150</v>
      </c>
      <c r="O24" s="286"/>
      <c r="P24" s="286"/>
      <c r="Q24" s="286"/>
      <c r="R24" s="286"/>
      <c r="S24" s="287"/>
      <c r="T24" s="287"/>
      <c r="U24" s="288"/>
      <c r="V24" s="5"/>
    </row>
    <row r="25" spans="1:22" ht="15.6" x14ac:dyDescent="0.3">
      <c r="A25" s="289"/>
      <c r="B25" s="285" t="s">
        <v>198</v>
      </c>
      <c r="C25" s="394"/>
      <c r="D25" s="286" t="s">
        <v>224</v>
      </c>
      <c r="E25" s="286"/>
      <c r="F25" s="286" t="s">
        <v>149</v>
      </c>
      <c r="G25" s="286"/>
      <c r="H25" s="286" t="s">
        <v>149</v>
      </c>
      <c r="I25" s="286"/>
      <c r="J25" s="286" t="s">
        <v>172</v>
      </c>
      <c r="K25" s="286"/>
      <c r="L25" s="286" t="s">
        <v>172</v>
      </c>
      <c r="M25" s="286"/>
      <c r="N25" s="286" t="s">
        <v>150</v>
      </c>
      <c r="O25" s="286"/>
      <c r="P25" s="286"/>
      <c r="Q25" s="394"/>
      <c r="R25" s="286"/>
      <c r="S25" s="287"/>
      <c r="T25" s="287"/>
      <c r="U25" s="288"/>
      <c r="V25" s="5"/>
    </row>
    <row r="26" spans="1:22" ht="15.6" x14ac:dyDescent="0.3">
      <c r="A26" s="289"/>
      <c r="B26" s="292" t="s">
        <v>9</v>
      </c>
      <c r="C26" s="394"/>
      <c r="D26" s="394" t="s">
        <v>222</v>
      </c>
      <c r="E26" s="394"/>
      <c r="F26" s="394" t="s">
        <v>147</v>
      </c>
      <c r="G26" s="394"/>
      <c r="H26" s="394" t="s">
        <v>147</v>
      </c>
      <c r="I26" s="394"/>
      <c r="J26" s="394" t="s">
        <v>190</v>
      </c>
      <c r="K26" s="394"/>
      <c r="L26" s="394" t="s">
        <v>190</v>
      </c>
      <c r="M26" s="394"/>
      <c r="N26" s="394" t="s">
        <v>148</v>
      </c>
      <c r="O26" s="394"/>
      <c r="P26" s="394"/>
      <c r="Q26" s="394"/>
      <c r="R26" s="286"/>
      <c r="S26" s="287"/>
      <c r="T26" s="287"/>
      <c r="U26" s="288"/>
      <c r="V26" s="5"/>
    </row>
    <row r="27" spans="1:22" ht="15.6" x14ac:dyDescent="0.3">
      <c r="A27" s="284"/>
      <c r="B27" s="292" t="s">
        <v>199</v>
      </c>
      <c r="C27" s="286"/>
      <c r="D27" s="394" t="s">
        <v>304</v>
      </c>
      <c r="E27" s="394"/>
      <c r="F27" s="394" t="s">
        <v>149</v>
      </c>
      <c r="G27" s="394"/>
      <c r="H27" s="394" t="s">
        <v>149</v>
      </c>
      <c r="I27" s="394"/>
      <c r="J27" s="394" t="s">
        <v>172</v>
      </c>
      <c r="K27" s="394"/>
      <c r="L27" s="394" t="s">
        <v>172</v>
      </c>
      <c r="M27" s="394"/>
      <c r="N27" s="394" t="s">
        <v>150</v>
      </c>
      <c r="O27" s="394"/>
      <c r="P27" s="394"/>
      <c r="Q27" s="286"/>
      <c r="R27" s="293"/>
      <c r="S27" s="287"/>
      <c r="T27" s="287"/>
      <c r="U27" s="288"/>
      <c r="V27" s="5"/>
    </row>
    <row r="28" spans="1:22" ht="15.6" x14ac:dyDescent="0.3">
      <c r="A28" s="284"/>
      <c r="B28" s="292" t="s">
        <v>200</v>
      </c>
      <c r="C28" s="286"/>
      <c r="D28" s="394" t="s">
        <v>302</v>
      </c>
      <c r="E28" s="394"/>
      <c r="F28" s="394" t="s">
        <v>149</v>
      </c>
      <c r="G28" s="394"/>
      <c r="H28" s="394" t="s">
        <v>149</v>
      </c>
      <c r="I28" s="394"/>
      <c r="J28" s="394" t="s">
        <v>172</v>
      </c>
      <c r="K28" s="394"/>
      <c r="L28" s="394" t="s">
        <v>172</v>
      </c>
      <c r="M28" s="394"/>
      <c r="N28" s="394" t="s">
        <v>150</v>
      </c>
      <c r="O28" s="394"/>
      <c r="P28" s="394"/>
      <c r="Q28" s="286"/>
      <c r="R28" s="293"/>
      <c r="S28" s="287"/>
      <c r="T28" s="287"/>
      <c r="U28" s="288"/>
      <c r="V28" s="5"/>
    </row>
    <row r="29" spans="1:22" ht="15.6" x14ac:dyDescent="0.3">
      <c r="A29" s="284"/>
      <c r="B29" s="285" t="s">
        <v>10</v>
      </c>
      <c r="C29" s="295"/>
      <c r="D29" s="286" t="s">
        <v>237</v>
      </c>
      <c r="E29" s="286"/>
      <c r="F29" s="293" t="s">
        <v>238</v>
      </c>
      <c r="G29" s="286"/>
      <c r="H29" s="286" t="s">
        <v>239</v>
      </c>
      <c r="I29" s="286"/>
      <c r="J29" s="286" t="s">
        <v>240</v>
      </c>
      <c r="K29" s="286"/>
      <c r="L29" s="286" t="s">
        <v>241</v>
      </c>
      <c r="M29" s="286"/>
      <c r="N29" s="286" t="s">
        <v>242</v>
      </c>
      <c r="O29" s="286"/>
      <c r="P29" s="286"/>
      <c r="Q29" s="296"/>
      <c r="R29" s="296"/>
      <c r="S29" s="297"/>
      <c r="T29" s="296"/>
      <c r="U29" s="298"/>
      <c r="V29" s="5"/>
    </row>
    <row r="30" spans="1:22" ht="15.6" x14ac:dyDescent="0.3">
      <c r="A30" s="284"/>
      <c r="B30" s="285" t="s">
        <v>10</v>
      </c>
      <c r="C30" s="295"/>
      <c r="D30" s="286" t="s">
        <v>236</v>
      </c>
      <c r="E30" s="286"/>
      <c r="F30" s="293" t="s">
        <v>124</v>
      </c>
      <c r="G30" s="286"/>
      <c r="H30" s="286" t="s">
        <v>124</v>
      </c>
      <c r="I30" s="286"/>
      <c r="J30" s="286" t="s">
        <v>124</v>
      </c>
      <c r="K30" s="286"/>
      <c r="L30" s="286" t="s">
        <v>124</v>
      </c>
      <c r="M30" s="286"/>
      <c r="N30" s="286" t="s">
        <v>124</v>
      </c>
      <c r="O30" s="286"/>
      <c r="P30" s="286"/>
      <c r="Q30" s="296"/>
      <c r="R30" s="296"/>
      <c r="S30" s="297"/>
      <c r="T30" s="296"/>
      <c r="U30" s="298"/>
      <c r="V30" s="5"/>
    </row>
    <row r="31" spans="1:22" ht="15.6" x14ac:dyDescent="0.3">
      <c r="A31" s="289"/>
      <c r="B31" s="285" t="s">
        <v>139</v>
      </c>
      <c r="C31" s="299"/>
      <c r="D31" s="300">
        <v>985000</v>
      </c>
      <c r="E31" s="295"/>
      <c r="F31" s="296">
        <v>149500</v>
      </c>
      <c r="G31" s="296"/>
      <c r="H31" s="301">
        <v>219700</v>
      </c>
      <c r="I31" s="296"/>
      <c r="J31" s="296">
        <v>16000</v>
      </c>
      <c r="K31" s="296"/>
      <c r="L31" s="301">
        <v>82400</v>
      </c>
      <c r="M31" s="296"/>
      <c r="N31" s="301">
        <v>87500</v>
      </c>
      <c r="O31" s="296"/>
      <c r="P31" s="301"/>
      <c r="Q31" s="302"/>
      <c r="R31" s="302"/>
      <c r="S31" s="303"/>
      <c r="T31" s="302"/>
      <c r="U31" s="298"/>
      <c r="V31" s="5"/>
    </row>
    <row r="32" spans="1:22" ht="15.6" x14ac:dyDescent="0.3">
      <c r="A32" s="284"/>
      <c r="B32" s="285" t="s">
        <v>138</v>
      </c>
      <c r="C32" s="295"/>
      <c r="D32" s="300">
        <f>D38*D31</f>
        <v>493146.75099999999</v>
      </c>
      <c r="E32" s="295"/>
      <c r="F32" s="296">
        <f>F38*F31</f>
        <v>74848.281300000002</v>
      </c>
      <c r="G32" s="296"/>
      <c r="H32" s="301">
        <f>H38*H31</f>
        <v>109994.43078000001</v>
      </c>
      <c r="I32" s="296"/>
      <c r="J32" s="296">
        <f>+J31</f>
        <v>16000</v>
      </c>
      <c r="K32" s="296"/>
      <c r="L32" s="301">
        <f>+L31</f>
        <v>82400</v>
      </c>
      <c r="M32" s="296"/>
      <c r="N32" s="301">
        <f>+N31</f>
        <v>87500</v>
      </c>
      <c r="O32" s="296"/>
      <c r="P32" s="301"/>
      <c r="Q32" s="296"/>
      <c r="R32" s="296"/>
      <c r="S32" s="297"/>
      <c r="T32" s="296"/>
      <c r="U32" s="298"/>
      <c r="V32" s="5"/>
    </row>
    <row r="33" spans="1:22" ht="15.6" x14ac:dyDescent="0.3">
      <c r="A33" s="284"/>
      <c r="B33" s="292" t="s">
        <v>140</v>
      </c>
      <c r="C33" s="295"/>
      <c r="D33" s="304">
        <f>D37*D31</f>
        <v>488778.67</v>
      </c>
      <c r="E33" s="299"/>
      <c r="F33" s="302">
        <f>F37*F31</f>
        <v>74185.308600000004</v>
      </c>
      <c r="G33" s="302"/>
      <c r="H33" s="305">
        <f>H31*H37</f>
        <v>109020.14916</v>
      </c>
      <c r="I33" s="302"/>
      <c r="J33" s="302">
        <f>J31*J37</f>
        <v>16000</v>
      </c>
      <c r="K33" s="302"/>
      <c r="L33" s="305">
        <f>L31*L37</f>
        <v>82400</v>
      </c>
      <c r="M33" s="302"/>
      <c r="N33" s="305">
        <f>N31*N37</f>
        <v>87500</v>
      </c>
      <c r="O33" s="302"/>
      <c r="P33" s="305"/>
      <c r="Q33" s="296"/>
      <c r="R33" s="296"/>
      <c r="S33" s="297"/>
      <c r="T33" s="296"/>
      <c r="U33" s="298"/>
      <c r="V33" s="5"/>
    </row>
    <row r="34" spans="1:22" ht="15.6" x14ac:dyDescent="0.3">
      <c r="A34" s="289"/>
      <c r="B34" s="285" t="s">
        <v>283</v>
      </c>
      <c r="C34" s="299"/>
      <c r="D34" s="296">
        <v>567282</v>
      </c>
      <c r="E34" s="295"/>
      <c r="F34" s="296">
        <v>149500</v>
      </c>
      <c r="G34" s="296"/>
      <c r="H34" s="296">
        <v>150716</v>
      </c>
      <c r="I34" s="296"/>
      <c r="J34" s="296">
        <v>16000</v>
      </c>
      <c r="K34" s="296"/>
      <c r="L34" s="296">
        <v>56527</v>
      </c>
      <c r="M34" s="296"/>
      <c r="N34" s="296">
        <v>60025</v>
      </c>
      <c r="O34" s="296"/>
      <c r="P34" s="296"/>
      <c r="Q34" s="302"/>
      <c r="R34" s="302"/>
      <c r="S34" s="303"/>
      <c r="T34" s="296">
        <f>SUM(C34:P34)</f>
        <v>1000050</v>
      </c>
      <c r="U34" s="298"/>
      <c r="V34" s="5"/>
    </row>
    <row r="35" spans="1:22" ht="15.6" x14ac:dyDescent="0.3">
      <c r="A35" s="289"/>
      <c r="B35" s="285" t="s">
        <v>284</v>
      </c>
      <c r="C35" s="299"/>
      <c r="D35" s="296">
        <f>D38*D34</f>
        <v>284013.47736120003</v>
      </c>
      <c r="E35" s="295"/>
      <c r="F35" s="296">
        <f>F38*F34</f>
        <v>74848.281300000002</v>
      </c>
      <c r="G35" s="296"/>
      <c r="H35" s="296">
        <f>H38*H34</f>
        <v>75457.080698400008</v>
      </c>
      <c r="I35" s="296"/>
      <c r="J35" s="296">
        <f>+J34</f>
        <v>16000</v>
      </c>
      <c r="K35" s="296"/>
      <c r="L35" s="296">
        <f>+L34</f>
        <v>56527</v>
      </c>
      <c r="M35" s="296"/>
      <c r="N35" s="296">
        <f>+N34</f>
        <v>60025</v>
      </c>
      <c r="O35" s="296"/>
      <c r="P35" s="296"/>
      <c r="Q35" s="296"/>
      <c r="R35" s="296"/>
      <c r="S35" s="297"/>
      <c r="T35" s="296">
        <f>SUM(C35:P35)+1</f>
        <v>566871.8393596001</v>
      </c>
      <c r="U35" s="298"/>
      <c r="V35" s="5"/>
    </row>
    <row r="36" spans="1:22" ht="15.6" x14ac:dyDescent="0.3">
      <c r="A36" s="289"/>
      <c r="B36" s="292" t="s">
        <v>285</v>
      </c>
      <c r="C36" s="299"/>
      <c r="D36" s="302">
        <f>D37*D34</f>
        <v>281497.80860400002</v>
      </c>
      <c r="E36" s="299"/>
      <c r="F36" s="302">
        <f>F37*F34</f>
        <v>74185.308600000004</v>
      </c>
      <c r="G36" s="302"/>
      <c r="H36" s="302">
        <f>H37*H34</f>
        <v>74788.715524800005</v>
      </c>
      <c r="I36" s="302"/>
      <c r="J36" s="302">
        <f>+J34</f>
        <v>16000</v>
      </c>
      <c r="K36" s="302"/>
      <c r="L36" s="302">
        <f>+L34</f>
        <v>56527</v>
      </c>
      <c r="M36" s="302"/>
      <c r="N36" s="302">
        <f>+N34</f>
        <v>60025</v>
      </c>
      <c r="O36" s="302"/>
      <c r="P36" s="302"/>
      <c r="Q36" s="327"/>
      <c r="R36" s="327"/>
      <c r="S36" s="297"/>
      <c r="T36" s="302">
        <f>SUM(C36:P36)+1</f>
        <v>563024.83272880001</v>
      </c>
      <c r="U36" s="298"/>
      <c r="V36" s="5"/>
    </row>
    <row r="37" spans="1:22" ht="15.6" x14ac:dyDescent="0.3">
      <c r="A37" s="284"/>
      <c r="B37" s="310" t="s">
        <v>136</v>
      </c>
      <c r="C37" s="311"/>
      <c r="D37" s="312">
        <v>0.496222</v>
      </c>
      <c r="E37" s="313"/>
      <c r="F37" s="312">
        <v>0.49622280000000002</v>
      </c>
      <c r="G37" s="314"/>
      <c r="H37" s="312">
        <v>0.49622280000000002</v>
      </c>
      <c r="I37" s="314"/>
      <c r="J37" s="312">
        <v>1</v>
      </c>
      <c r="K37" s="314"/>
      <c r="L37" s="312">
        <v>1</v>
      </c>
      <c r="M37" s="314"/>
      <c r="N37" s="312">
        <v>1</v>
      </c>
      <c r="O37" s="314"/>
      <c r="P37" s="314"/>
      <c r="Q37" s="315"/>
      <c r="R37" s="315"/>
      <c r="S37" s="316"/>
      <c r="T37" s="316"/>
      <c r="U37" s="317"/>
      <c r="V37" s="5"/>
    </row>
    <row r="38" spans="1:22" ht="15.6" x14ac:dyDescent="0.3">
      <c r="A38" s="284"/>
      <c r="B38" s="310" t="s">
        <v>137</v>
      </c>
      <c r="C38" s="311"/>
      <c r="D38" s="312">
        <v>0.50065660000000001</v>
      </c>
      <c r="E38" s="313"/>
      <c r="F38" s="312">
        <v>0.50065740000000003</v>
      </c>
      <c r="G38" s="314"/>
      <c r="H38" s="312">
        <v>0.50065740000000003</v>
      </c>
      <c r="I38" s="314"/>
      <c r="J38" s="312">
        <v>1</v>
      </c>
      <c r="K38" s="312"/>
      <c r="L38" s="312">
        <v>1</v>
      </c>
      <c r="M38" s="312"/>
      <c r="N38" s="312">
        <v>1</v>
      </c>
      <c r="O38" s="314"/>
      <c r="P38" s="314"/>
      <c r="Q38" s="318"/>
      <c r="R38" s="319"/>
      <c r="S38" s="316"/>
      <c r="T38" s="318"/>
      <c r="U38" s="317"/>
      <c r="V38" s="5"/>
    </row>
    <row r="39" spans="1:22" ht="15.6" x14ac:dyDescent="0.3">
      <c r="A39" s="284"/>
      <c r="B39" s="285" t="s">
        <v>11</v>
      </c>
      <c r="C39" s="285"/>
      <c r="D39" s="293" t="s">
        <v>275</v>
      </c>
      <c r="E39" s="285"/>
      <c r="F39" s="293" t="s">
        <v>232</v>
      </c>
      <c r="G39" s="293"/>
      <c r="H39" s="293" t="s">
        <v>232</v>
      </c>
      <c r="I39" s="293"/>
      <c r="J39" s="293" t="s">
        <v>234</v>
      </c>
      <c r="K39" s="293"/>
      <c r="L39" s="293" t="s">
        <v>234</v>
      </c>
      <c r="M39" s="293"/>
      <c r="N39" s="293" t="s">
        <v>235</v>
      </c>
      <c r="O39" s="293"/>
      <c r="P39" s="293"/>
      <c r="Q39" s="320"/>
      <c r="R39" s="321"/>
      <c r="S39" s="287"/>
      <c r="T39" s="287"/>
      <c r="U39" s="288"/>
      <c r="V39" s="5"/>
    </row>
    <row r="40" spans="1:22" ht="15.6" x14ac:dyDescent="0.3">
      <c r="A40" s="284"/>
      <c r="B40" s="285" t="s">
        <v>12</v>
      </c>
      <c r="C40" s="285"/>
      <c r="D40" s="321">
        <v>3.4175E-3</v>
      </c>
      <c r="E40" s="285"/>
      <c r="F40" s="321">
        <v>1.3295599999999999E-2</v>
      </c>
      <c r="G40" s="320"/>
      <c r="H40" s="321">
        <v>1.4710000000000001E-2</v>
      </c>
      <c r="I40" s="320"/>
      <c r="J40" s="321">
        <v>1.5695600000000001E-2</v>
      </c>
      <c r="K40" s="320"/>
      <c r="L40" s="321">
        <v>1.711E-2</v>
      </c>
      <c r="M40" s="320"/>
      <c r="N40" s="321">
        <v>2.1309999999999999E-2</v>
      </c>
      <c r="O40" s="320"/>
      <c r="P40" s="321"/>
      <c r="Q40" s="320"/>
      <c r="R40" s="321"/>
      <c r="S40" s="287"/>
      <c r="T40" s="293"/>
      <c r="U40" s="288"/>
      <c r="V40" s="5"/>
    </row>
    <row r="41" spans="1:22" ht="15.6" x14ac:dyDescent="0.3">
      <c r="A41" s="284"/>
      <c r="B41" s="285" t="s">
        <v>13</v>
      </c>
      <c r="C41" s="285"/>
      <c r="D41" s="321">
        <v>3.7829999999999999E-3</v>
      </c>
      <c r="E41" s="285"/>
      <c r="F41" s="321">
        <v>1.20669E-2</v>
      </c>
      <c r="G41" s="320"/>
      <c r="H41" s="321">
        <v>1.8120000000000001E-2</v>
      </c>
      <c r="I41" s="320"/>
      <c r="J41" s="321">
        <v>1.44669E-2</v>
      </c>
      <c r="K41" s="320"/>
      <c r="L41" s="321">
        <v>2.052E-2</v>
      </c>
      <c r="M41" s="320"/>
      <c r="N41" s="321">
        <v>2.4719999999999999E-2</v>
      </c>
      <c r="O41" s="320"/>
      <c r="P41" s="321"/>
      <c r="Q41" s="320"/>
      <c r="R41" s="321"/>
      <c r="S41" s="287"/>
      <c r="T41" s="320" t="s">
        <v>201</v>
      </c>
      <c r="U41" s="288"/>
      <c r="V41" s="5"/>
    </row>
    <row r="42" spans="1:22" ht="15.6" x14ac:dyDescent="0.3">
      <c r="A42" s="284"/>
      <c r="B42" s="285" t="s">
        <v>286</v>
      </c>
      <c r="C42" s="285"/>
      <c r="D42" s="293" t="s">
        <v>231</v>
      </c>
      <c r="E42" s="285"/>
      <c r="F42" s="293" t="s">
        <v>232</v>
      </c>
      <c r="G42" s="293"/>
      <c r="H42" s="293" t="s">
        <v>232</v>
      </c>
      <c r="I42" s="293"/>
      <c r="J42" s="293" t="s">
        <v>234</v>
      </c>
      <c r="K42" s="293"/>
      <c r="L42" s="293" t="s">
        <v>245</v>
      </c>
      <c r="M42" s="293"/>
      <c r="N42" s="293" t="s">
        <v>247</v>
      </c>
      <c r="O42" s="293"/>
      <c r="P42" s="293"/>
      <c r="Q42" s="320"/>
      <c r="R42" s="321"/>
      <c r="S42" s="287"/>
      <c r="T42" s="287"/>
      <c r="U42" s="288"/>
      <c r="V42" s="5"/>
    </row>
    <row r="43" spans="1:22" ht="15.6" x14ac:dyDescent="0.3">
      <c r="A43" s="284"/>
      <c r="B43" s="285" t="s">
        <v>287</v>
      </c>
      <c r="C43" s="322"/>
      <c r="D43" s="321">
        <v>1.21318E-2</v>
      </c>
      <c r="E43" s="321"/>
      <c r="F43" s="321">
        <f>+F40</f>
        <v>1.3295599999999999E-2</v>
      </c>
      <c r="G43" s="321"/>
      <c r="H43" s="321">
        <v>1.3291600000000001E-2</v>
      </c>
      <c r="I43" s="321"/>
      <c r="J43" s="321">
        <f>+J40</f>
        <v>1.5695600000000001E-2</v>
      </c>
      <c r="K43" s="321"/>
      <c r="L43" s="321">
        <v>1.6001600000000001E-2</v>
      </c>
      <c r="M43" s="321"/>
      <c r="N43" s="321">
        <v>2.0705600000000001E-2</v>
      </c>
      <c r="O43" s="320"/>
      <c r="P43" s="321"/>
      <c r="Q43" s="293"/>
      <c r="R43" s="293"/>
      <c r="S43" s="287"/>
      <c r="T43" s="320">
        <f>SUMPRODUCT(D43:N43,D35:N35)/T35</f>
        <v>1.3834164948770676E-2</v>
      </c>
      <c r="U43" s="288"/>
      <c r="V43" s="5"/>
    </row>
    <row r="44" spans="1:22" ht="15.6" x14ac:dyDescent="0.3">
      <c r="A44" s="284"/>
      <c r="B44" s="285" t="s">
        <v>288</v>
      </c>
      <c r="C44" s="322"/>
      <c r="D44" s="321">
        <v>1.0903100000000001E-2</v>
      </c>
      <c r="E44" s="321"/>
      <c r="F44" s="321">
        <f>+F41</f>
        <v>1.20669E-2</v>
      </c>
      <c r="G44" s="321"/>
      <c r="H44" s="321">
        <v>1.20629E-2</v>
      </c>
      <c r="I44" s="321"/>
      <c r="J44" s="321">
        <f>+J41</f>
        <v>1.44669E-2</v>
      </c>
      <c r="K44" s="321"/>
      <c r="L44" s="321">
        <v>1.47729E-2</v>
      </c>
      <c r="M44" s="321"/>
      <c r="N44" s="321">
        <v>1.9476899999999998E-2</v>
      </c>
      <c r="O44" s="320"/>
      <c r="P44" s="321"/>
      <c r="Q44" s="293"/>
      <c r="R44" s="293"/>
      <c r="S44" s="287"/>
      <c r="T44" s="287"/>
      <c r="U44" s="288"/>
      <c r="V44" s="5"/>
    </row>
    <row r="45" spans="1:22" ht="15.6" x14ac:dyDescent="0.3">
      <c r="A45" s="284"/>
      <c r="B45" s="285" t="s">
        <v>14</v>
      </c>
      <c r="C45" s="285"/>
      <c r="D45" s="322">
        <v>40283</v>
      </c>
      <c r="E45" s="322"/>
      <c r="F45" s="322">
        <v>40283</v>
      </c>
      <c r="G45" s="322"/>
      <c r="H45" s="322">
        <v>40283</v>
      </c>
      <c r="I45" s="322"/>
      <c r="J45" s="322">
        <v>40283</v>
      </c>
      <c r="K45" s="322"/>
      <c r="L45" s="322">
        <v>40283</v>
      </c>
      <c r="M45" s="322"/>
      <c r="N45" s="322">
        <v>40283</v>
      </c>
      <c r="O45" s="322"/>
      <c r="P45" s="322"/>
      <c r="Q45" s="293"/>
      <c r="R45" s="293"/>
      <c r="S45" s="287"/>
      <c r="T45" s="287"/>
      <c r="U45" s="288"/>
      <c r="V45" s="5"/>
    </row>
    <row r="46" spans="1:22" ht="15.6" x14ac:dyDescent="0.3">
      <c r="A46" s="284"/>
      <c r="B46" s="285" t="s">
        <v>15</v>
      </c>
      <c r="C46" s="285"/>
      <c r="D46" s="322">
        <v>40648</v>
      </c>
      <c r="E46" s="322"/>
      <c r="F46" s="322">
        <v>40648</v>
      </c>
      <c r="G46" s="322"/>
      <c r="H46" s="322">
        <v>40648</v>
      </c>
      <c r="I46" s="293"/>
      <c r="J46" s="322">
        <v>40648</v>
      </c>
      <c r="K46" s="293"/>
      <c r="L46" s="322">
        <v>40648</v>
      </c>
      <c r="M46" s="293"/>
      <c r="N46" s="322">
        <v>40648</v>
      </c>
      <c r="O46" s="293"/>
      <c r="P46" s="322"/>
      <c r="Q46" s="293"/>
      <c r="R46" s="293"/>
      <c r="S46" s="287"/>
      <c r="T46" s="287"/>
      <c r="U46" s="288"/>
      <c r="V46" s="5"/>
    </row>
    <row r="47" spans="1:22" ht="15.6" x14ac:dyDescent="0.3">
      <c r="A47" s="284"/>
      <c r="B47" s="285" t="s">
        <v>125</v>
      </c>
      <c r="C47" s="285"/>
      <c r="D47" s="293" t="s">
        <v>124</v>
      </c>
      <c r="E47" s="285"/>
      <c r="F47" s="293" t="s">
        <v>232</v>
      </c>
      <c r="G47" s="293"/>
      <c r="H47" s="293" t="s">
        <v>232</v>
      </c>
      <c r="I47" s="293"/>
      <c r="J47" s="293" t="s">
        <v>234</v>
      </c>
      <c r="K47" s="293"/>
      <c r="L47" s="293" t="s">
        <v>234</v>
      </c>
      <c r="M47" s="293"/>
      <c r="N47" s="293" t="s">
        <v>235</v>
      </c>
      <c r="O47" s="293"/>
      <c r="P47" s="293"/>
      <c r="Q47" s="324"/>
      <c r="R47" s="324"/>
      <c r="S47" s="324"/>
      <c r="T47" s="324"/>
      <c r="U47" s="288"/>
      <c r="V47" s="5"/>
    </row>
    <row r="48" spans="1:22" ht="15.6" x14ac:dyDescent="0.3">
      <c r="A48" s="284"/>
      <c r="B48" s="285" t="s">
        <v>289</v>
      </c>
      <c r="C48" s="285"/>
      <c r="D48" s="293" t="s">
        <v>208</v>
      </c>
      <c r="E48" s="285"/>
      <c r="F48" s="293" t="s">
        <v>232</v>
      </c>
      <c r="G48" s="293"/>
      <c r="H48" s="293" t="s">
        <v>232</v>
      </c>
      <c r="I48" s="293"/>
      <c r="J48" s="293" t="s">
        <v>234</v>
      </c>
      <c r="K48" s="293"/>
      <c r="L48" s="293" t="s">
        <v>245</v>
      </c>
      <c r="M48" s="293"/>
      <c r="N48" s="293" t="s">
        <v>247</v>
      </c>
      <c r="O48" s="293"/>
      <c r="P48" s="293"/>
      <c r="Q48" s="285"/>
      <c r="R48" s="285"/>
      <c r="S48" s="285"/>
      <c r="T48" s="320"/>
      <c r="U48" s="288"/>
      <c r="V48" s="5"/>
    </row>
    <row r="49" spans="1:23" ht="15.6" x14ac:dyDescent="0.3">
      <c r="A49" s="284"/>
      <c r="B49" s="285"/>
      <c r="C49" s="285"/>
      <c r="D49" s="293"/>
      <c r="E49" s="285"/>
      <c r="F49" s="293"/>
      <c r="G49" s="293"/>
      <c r="H49" s="293"/>
      <c r="I49" s="293"/>
      <c r="J49" s="293"/>
      <c r="K49" s="293"/>
      <c r="L49" s="293"/>
      <c r="M49" s="293"/>
      <c r="N49" s="293"/>
      <c r="O49" s="293"/>
      <c r="P49" s="293"/>
      <c r="Q49" s="285"/>
      <c r="R49" s="285"/>
      <c r="S49" s="285"/>
      <c r="T49" s="320" t="s">
        <v>201</v>
      </c>
      <c r="U49" s="288"/>
      <c r="V49" s="5"/>
    </row>
    <row r="50" spans="1:23" ht="15.6" x14ac:dyDescent="0.3">
      <c r="A50" s="284"/>
      <c r="B50" s="285" t="s">
        <v>176</v>
      </c>
      <c r="C50" s="285"/>
      <c r="D50" s="293"/>
      <c r="E50" s="285"/>
      <c r="F50" s="293"/>
      <c r="G50" s="293"/>
      <c r="H50" s="293"/>
      <c r="I50" s="293"/>
      <c r="J50" s="293"/>
      <c r="K50" s="293"/>
      <c r="L50" s="293"/>
      <c r="M50" s="293"/>
      <c r="N50" s="293"/>
      <c r="O50" s="293"/>
      <c r="P50" s="293"/>
      <c r="Q50" s="285"/>
      <c r="R50" s="285"/>
      <c r="S50" s="285"/>
      <c r="T50" s="320">
        <f>SUM(J34:P34)/SUM(D34:H34)</f>
        <v>0.15279804679664968</v>
      </c>
      <c r="U50" s="288"/>
      <c r="V50" s="5"/>
    </row>
    <row r="51" spans="1:23" ht="15.6" x14ac:dyDescent="0.3">
      <c r="A51" s="284"/>
      <c r="B51" s="285" t="s">
        <v>177</v>
      </c>
      <c r="C51" s="285"/>
      <c r="D51" s="285"/>
      <c r="E51" s="285"/>
      <c r="F51" s="325"/>
      <c r="G51" s="285"/>
      <c r="H51" s="285"/>
      <c r="I51" s="285"/>
      <c r="J51" s="285"/>
      <c r="K51" s="285"/>
      <c r="L51" s="285"/>
      <c r="M51" s="285"/>
      <c r="N51" s="285"/>
      <c r="O51" s="285"/>
      <c r="P51" s="285"/>
      <c r="Q51" s="285"/>
      <c r="R51" s="285"/>
      <c r="S51" s="285"/>
      <c r="T51" s="320">
        <f>SUM(J36:P36)/SUM(D36:H36)</f>
        <v>0.30792258615329332</v>
      </c>
      <c r="U51" s="288"/>
      <c r="V51" s="5"/>
    </row>
    <row r="52" spans="1:23" ht="15.6" x14ac:dyDescent="0.3">
      <c r="A52" s="284"/>
      <c r="B52" s="285" t="s">
        <v>178</v>
      </c>
      <c r="C52" s="285"/>
      <c r="D52" s="285"/>
      <c r="E52" s="285"/>
      <c r="F52" s="285"/>
      <c r="G52" s="285"/>
      <c r="H52" s="285"/>
      <c r="I52" s="285"/>
      <c r="J52" s="285"/>
      <c r="K52" s="285"/>
      <c r="L52" s="285"/>
      <c r="M52" s="285"/>
      <c r="N52" s="285"/>
      <c r="O52" s="285"/>
      <c r="P52" s="285"/>
      <c r="Q52" s="285"/>
      <c r="R52" s="293" t="s">
        <v>109</v>
      </c>
      <c r="S52" s="293" t="s">
        <v>115</v>
      </c>
      <c r="T52" s="296">
        <f>+T34/2-SUM(J34:P34)</f>
        <v>367473</v>
      </c>
      <c r="U52" s="288"/>
      <c r="V52" s="5"/>
    </row>
    <row r="53" spans="1:23" ht="15.6" x14ac:dyDescent="0.3">
      <c r="A53" s="284"/>
      <c r="B53" s="285"/>
      <c r="C53" s="285"/>
      <c r="D53" s="285"/>
      <c r="E53" s="285"/>
      <c r="F53" s="285"/>
      <c r="G53" s="285"/>
      <c r="H53" s="285"/>
      <c r="I53" s="285"/>
      <c r="J53" s="285"/>
      <c r="K53" s="285"/>
      <c r="L53" s="285"/>
      <c r="M53" s="285"/>
      <c r="N53" s="285"/>
      <c r="O53" s="285"/>
      <c r="P53" s="285"/>
      <c r="Q53" s="285"/>
      <c r="R53" s="285"/>
      <c r="S53" s="285"/>
      <c r="T53" s="326"/>
      <c r="U53" s="288"/>
      <c r="V53" s="5"/>
    </row>
    <row r="54" spans="1:23" ht="15.6" x14ac:dyDescent="0.3">
      <c r="A54" s="284"/>
      <c r="B54" s="285" t="s">
        <v>211</v>
      </c>
      <c r="C54" s="285"/>
      <c r="D54" s="285"/>
      <c r="E54" s="285"/>
      <c r="F54" s="285"/>
      <c r="G54" s="285"/>
      <c r="H54" s="285"/>
      <c r="I54" s="285"/>
      <c r="J54" s="285"/>
      <c r="K54" s="285"/>
      <c r="L54" s="285"/>
      <c r="M54" s="285"/>
      <c r="N54" s="285"/>
      <c r="O54" s="285"/>
      <c r="P54" s="285"/>
      <c r="Q54" s="285"/>
      <c r="R54" s="285"/>
      <c r="S54" s="285"/>
      <c r="T54" s="327" t="s">
        <v>212</v>
      </c>
      <c r="U54" s="288"/>
      <c r="V54" s="5"/>
    </row>
    <row r="55" spans="1:23" ht="15.6" x14ac:dyDescent="0.3">
      <c r="A55" s="284"/>
      <c r="B55" s="285" t="s">
        <v>253</v>
      </c>
      <c r="C55" s="285"/>
      <c r="D55" s="285"/>
      <c r="E55" s="285"/>
      <c r="F55" s="285"/>
      <c r="G55" s="285"/>
      <c r="H55" s="285"/>
      <c r="I55" s="285"/>
      <c r="J55" s="285"/>
      <c r="K55" s="285"/>
      <c r="L55" s="285"/>
      <c r="M55" s="285"/>
      <c r="N55" s="285"/>
      <c r="O55" s="285"/>
      <c r="P55" s="285"/>
      <c r="Q55" s="285"/>
      <c r="R55" s="293"/>
      <c r="S55" s="293"/>
      <c r="T55" s="328" t="s">
        <v>117</v>
      </c>
      <c r="U55" s="288"/>
      <c r="V55" s="5"/>
    </row>
    <row r="56" spans="1:23" ht="15.6" x14ac:dyDescent="0.3">
      <c r="A56" s="284"/>
      <c r="B56" s="292" t="s">
        <v>210</v>
      </c>
      <c r="C56" s="292"/>
      <c r="D56" s="292"/>
      <c r="E56" s="292"/>
      <c r="F56" s="292"/>
      <c r="G56" s="292"/>
      <c r="H56" s="292"/>
      <c r="I56" s="292"/>
      <c r="J56" s="292"/>
      <c r="K56" s="292"/>
      <c r="L56" s="292"/>
      <c r="M56" s="292"/>
      <c r="N56" s="292"/>
      <c r="O56" s="292"/>
      <c r="P56" s="292"/>
      <c r="Q56" s="292"/>
      <c r="R56" s="329"/>
      <c r="S56" s="329"/>
      <c r="T56" s="330">
        <v>41015</v>
      </c>
      <c r="U56" s="288"/>
      <c r="V56" s="5"/>
    </row>
    <row r="57" spans="1:23" ht="15.6" x14ac:dyDescent="0.3">
      <c r="A57" s="284"/>
      <c r="B57" s="285" t="s">
        <v>127</v>
      </c>
      <c r="C57" s="285"/>
      <c r="D57" s="285"/>
      <c r="E57" s="285"/>
      <c r="F57" s="285"/>
      <c r="G57" s="285"/>
      <c r="H57" s="331"/>
      <c r="I57" s="331"/>
      <c r="J57" s="331"/>
      <c r="K57" s="331"/>
      <c r="L57" s="331"/>
      <c r="M57" s="331"/>
      <c r="N57" s="331"/>
      <c r="O57" s="331"/>
      <c r="P57" s="285">
        <f>+T57-R57+1</f>
        <v>92</v>
      </c>
      <c r="Q57" s="331"/>
      <c r="R57" s="332">
        <v>40833</v>
      </c>
      <c r="S57" s="333"/>
      <c r="T57" s="332">
        <v>40924</v>
      </c>
      <c r="U57" s="288"/>
      <c r="V57" s="5"/>
    </row>
    <row r="58" spans="1:23" ht="15.6" x14ac:dyDescent="0.3">
      <c r="A58" s="284"/>
      <c r="B58" s="285" t="s">
        <v>128</v>
      </c>
      <c r="C58" s="285"/>
      <c r="D58" s="285"/>
      <c r="E58" s="285"/>
      <c r="F58" s="285"/>
      <c r="G58" s="285"/>
      <c r="H58" s="285"/>
      <c r="I58" s="285"/>
      <c r="J58" s="285"/>
      <c r="K58" s="285"/>
      <c r="L58" s="285"/>
      <c r="M58" s="285"/>
      <c r="N58" s="285"/>
      <c r="O58" s="285"/>
      <c r="P58" s="285">
        <f>+T58-R58+1</f>
        <v>90</v>
      </c>
      <c r="Q58" s="285"/>
      <c r="R58" s="332">
        <v>40925</v>
      </c>
      <c r="S58" s="333"/>
      <c r="T58" s="332">
        <v>41014</v>
      </c>
      <c r="U58" s="288"/>
      <c r="V58" s="5"/>
    </row>
    <row r="59" spans="1:23" ht="15.6" x14ac:dyDescent="0.3">
      <c r="A59" s="284"/>
      <c r="B59" s="285" t="s">
        <v>209</v>
      </c>
      <c r="C59" s="285"/>
      <c r="D59" s="285"/>
      <c r="E59" s="285"/>
      <c r="F59" s="285"/>
      <c r="G59" s="285"/>
      <c r="H59" s="285"/>
      <c r="I59" s="285"/>
      <c r="J59" s="285"/>
      <c r="K59" s="285"/>
      <c r="L59" s="285"/>
      <c r="M59" s="285"/>
      <c r="N59" s="285"/>
      <c r="O59" s="285"/>
      <c r="P59" s="285"/>
      <c r="Q59" s="285"/>
      <c r="R59" s="332"/>
      <c r="S59" s="333"/>
      <c r="T59" s="332" t="s">
        <v>126</v>
      </c>
      <c r="U59" s="288"/>
      <c r="V59" s="5"/>
    </row>
    <row r="60" spans="1:23" ht="15.6" x14ac:dyDescent="0.3">
      <c r="A60" s="284"/>
      <c r="B60" s="285" t="s">
        <v>249</v>
      </c>
      <c r="C60" s="285"/>
      <c r="D60" s="285"/>
      <c r="E60" s="285"/>
      <c r="F60" s="285"/>
      <c r="G60" s="285"/>
      <c r="H60" s="285"/>
      <c r="I60" s="285"/>
      <c r="J60" s="285"/>
      <c r="K60" s="285"/>
      <c r="L60" s="285"/>
      <c r="M60" s="285"/>
      <c r="N60" s="285"/>
      <c r="O60" s="285"/>
      <c r="P60" s="285"/>
      <c r="Q60" s="285"/>
      <c r="R60" s="332"/>
      <c r="S60" s="333"/>
      <c r="T60" s="332" t="s">
        <v>160</v>
      </c>
      <c r="U60" s="288"/>
      <c r="V60" s="5"/>
      <c r="W60" s="134"/>
    </row>
    <row r="61" spans="1:23" ht="15.6" x14ac:dyDescent="0.3">
      <c r="A61" s="284"/>
      <c r="B61" s="285" t="s">
        <v>16</v>
      </c>
      <c r="C61" s="285"/>
      <c r="D61" s="285"/>
      <c r="E61" s="285"/>
      <c r="F61" s="285"/>
      <c r="G61" s="285"/>
      <c r="H61" s="285"/>
      <c r="I61" s="285"/>
      <c r="J61" s="285"/>
      <c r="K61" s="285"/>
      <c r="L61" s="285"/>
      <c r="M61" s="285"/>
      <c r="N61" s="285"/>
      <c r="O61" s="285"/>
      <c r="P61" s="285"/>
      <c r="Q61" s="285"/>
      <c r="R61" s="332"/>
      <c r="S61" s="333"/>
      <c r="T61" s="332">
        <v>41001</v>
      </c>
      <c r="U61" s="288"/>
      <c r="V61" s="5"/>
    </row>
    <row r="62" spans="1:23" ht="15.6" x14ac:dyDescent="0.3">
      <c r="A62" s="175"/>
      <c r="B62" s="281"/>
      <c r="C62" s="281"/>
      <c r="D62" s="281"/>
      <c r="E62" s="281"/>
      <c r="F62" s="281"/>
      <c r="G62" s="281"/>
      <c r="H62" s="281"/>
      <c r="I62" s="281"/>
      <c r="J62" s="281"/>
      <c r="K62" s="281"/>
      <c r="L62" s="281"/>
      <c r="M62" s="281"/>
      <c r="N62" s="281"/>
      <c r="O62" s="281"/>
      <c r="P62" s="281"/>
      <c r="Q62" s="281"/>
      <c r="R62" s="282"/>
      <c r="S62" s="283"/>
      <c r="T62" s="282"/>
      <c r="U62" s="281"/>
      <c r="V62" s="5"/>
    </row>
    <row r="63" spans="1:23" ht="15.6" x14ac:dyDescent="0.3">
      <c r="A63" s="175"/>
      <c r="B63" s="231"/>
      <c r="C63" s="231"/>
      <c r="D63" s="231"/>
      <c r="E63" s="231"/>
      <c r="F63" s="231"/>
      <c r="G63" s="231"/>
      <c r="H63" s="231"/>
      <c r="I63" s="231"/>
      <c r="J63" s="231"/>
      <c r="K63" s="231"/>
      <c r="L63" s="231"/>
      <c r="M63" s="231"/>
      <c r="N63" s="231"/>
      <c r="O63" s="231"/>
      <c r="P63" s="231"/>
      <c r="Q63" s="231"/>
      <c r="R63" s="244"/>
      <c r="S63" s="245"/>
      <c r="T63" s="244"/>
      <c r="U63" s="231"/>
      <c r="V63" s="5"/>
    </row>
    <row r="64" spans="1:23" ht="18" thickBot="1" x14ac:dyDescent="0.35">
      <c r="A64" s="192"/>
      <c r="B64" s="246" t="s">
        <v>303</v>
      </c>
      <c r="C64" s="247"/>
      <c r="D64" s="247"/>
      <c r="E64" s="247"/>
      <c r="F64" s="247"/>
      <c r="G64" s="247"/>
      <c r="H64" s="247"/>
      <c r="I64" s="247"/>
      <c r="J64" s="247"/>
      <c r="K64" s="247"/>
      <c r="L64" s="247"/>
      <c r="M64" s="247"/>
      <c r="N64" s="247"/>
      <c r="O64" s="247"/>
      <c r="P64" s="247"/>
      <c r="Q64" s="247"/>
      <c r="R64" s="247"/>
      <c r="S64" s="247"/>
      <c r="T64" s="248"/>
      <c r="U64" s="249"/>
      <c r="V64" s="5"/>
    </row>
    <row r="65" spans="1:22" ht="15.6" x14ac:dyDescent="0.3">
      <c r="A65" s="222"/>
      <c r="B65" s="395" t="s">
        <v>17</v>
      </c>
      <c r="C65" s="223"/>
      <c r="D65" s="223"/>
      <c r="E65" s="223"/>
      <c r="F65" s="223"/>
      <c r="G65" s="223"/>
      <c r="H65" s="223"/>
      <c r="I65" s="223"/>
      <c r="J65" s="223"/>
      <c r="K65" s="223"/>
      <c r="L65" s="223"/>
      <c r="M65" s="223"/>
      <c r="N65" s="223"/>
      <c r="O65" s="223"/>
      <c r="P65" s="223"/>
      <c r="Q65" s="223"/>
      <c r="R65" s="223"/>
      <c r="S65" s="223"/>
      <c r="T65" s="250"/>
      <c r="U65" s="223"/>
      <c r="V65" s="5"/>
    </row>
    <row r="66" spans="1:22" ht="15.6" x14ac:dyDescent="0.3">
      <c r="A66" s="175"/>
      <c r="B66" s="183"/>
      <c r="C66" s="177"/>
      <c r="D66" s="177"/>
      <c r="E66" s="177"/>
      <c r="F66" s="177"/>
      <c r="G66" s="177"/>
      <c r="H66" s="177"/>
      <c r="I66" s="177"/>
      <c r="J66" s="177"/>
      <c r="K66" s="177"/>
      <c r="L66" s="177"/>
      <c r="M66" s="177"/>
      <c r="N66" s="177"/>
      <c r="O66" s="177"/>
      <c r="P66" s="177"/>
      <c r="Q66" s="177"/>
      <c r="R66" s="177"/>
      <c r="S66" s="177"/>
      <c r="T66" s="194"/>
      <c r="U66" s="177"/>
      <c r="V66" s="5"/>
    </row>
    <row r="67" spans="1:22" ht="46.8" x14ac:dyDescent="0.3">
      <c r="A67" s="175"/>
      <c r="B67" s="195" t="s">
        <v>18</v>
      </c>
      <c r="C67" s="196"/>
      <c r="D67" s="196"/>
      <c r="E67" s="196"/>
      <c r="F67" s="196"/>
      <c r="G67" s="196"/>
      <c r="H67" s="196"/>
      <c r="I67" s="196"/>
      <c r="J67" s="196" t="s">
        <v>97</v>
      </c>
      <c r="K67" s="196"/>
      <c r="L67" s="196" t="s">
        <v>99</v>
      </c>
      <c r="M67" s="196"/>
      <c r="N67" s="196" t="s">
        <v>101</v>
      </c>
      <c r="O67" s="196"/>
      <c r="P67" s="196" t="s">
        <v>103</v>
      </c>
      <c r="Q67" s="196"/>
      <c r="R67" s="196" t="s">
        <v>110</v>
      </c>
      <c r="S67" s="196"/>
      <c r="T67" s="197" t="s">
        <v>118</v>
      </c>
      <c r="U67" s="198"/>
      <c r="V67" s="5"/>
    </row>
    <row r="68" spans="1:22" ht="15.6" x14ac:dyDescent="0.3">
      <c r="A68" s="337"/>
      <c r="B68" s="285" t="s">
        <v>19</v>
      </c>
      <c r="C68" s="338"/>
      <c r="D68" s="338"/>
      <c r="E68" s="338"/>
      <c r="F68" s="338"/>
      <c r="G68" s="338"/>
      <c r="H68" s="338"/>
      <c r="I68" s="338"/>
      <c r="J68" s="338">
        <v>1000039</v>
      </c>
      <c r="K68" s="338"/>
      <c r="L68" s="339">
        <v>566872</v>
      </c>
      <c r="M68" s="338"/>
      <c r="N68" s="338">
        <f>3847+20+125</f>
        <v>3992</v>
      </c>
      <c r="O68" s="338"/>
      <c r="P68" s="338">
        <f>20+125</f>
        <v>145</v>
      </c>
      <c r="Q68" s="338"/>
      <c r="R68" s="338">
        <v>0</v>
      </c>
      <c r="S68" s="338"/>
      <c r="T68" s="339">
        <f>+L68-N68+P68-R68</f>
        <v>563025</v>
      </c>
      <c r="U68" s="288"/>
      <c r="V68" s="5"/>
    </row>
    <row r="69" spans="1:22" ht="15.6" x14ac:dyDescent="0.3">
      <c r="A69" s="337"/>
      <c r="B69" s="285" t="s">
        <v>20</v>
      </c>
      <c r="C69" s="338"/>
      <c r="D69" s="338"/>
      <c r="E69" s="338"/>
      <c r="F69" s="338"/>
      <c r="G69" s="338"/>
      <c r="H69" s="338"/>
      <c r="I69" s="338"/>
      <c r="J69" s="338">
        <v>10</v>
      </c>
      <c r="K69" s="338"/>
      <c r="L69" s="339">
        <v>0</v>
      </c>
      <c r="M69" s="338"/>
      <c r="N69" s="338">
        <v>0</v>
      </c>
      <c r="O69" s="338"/>
      <c r="P69" s="338">
        <v>0</v>
      </c>
      <c r="Q69" s="338"/>
      <c r="R69" s="338">
        <v>0</v>
      </c>
      <c r="S69" s="338"/>
      <c r="T69" s="339">
        <v>0</v>
      </c>
      <c r="U69" s="288"/>
      <c r="V69" s="5"/>
    </row>
    <row r="70" spans="1:22" ht="15.6" x14ac:dyDescent="0.3">
      <c r="A70" s="337"/>
      <c r="B70" s="285"/>
      <c r="C70" s="338"/>
      <c r="D70" s="338"/>
      <c r="E70" s="338"/>
      <c r="F70" s="338"/>
      <c r="G70" s="338"/>
      <c r="H70" s="338"/>
      <c r="I70" s="338"/>
      <c r="J70" s="338"/>
      <c r="K70" s="338"/>
      <c r="L70" s="339"/>
      <c r="M70" s="338"/>
      <c r="N70" s="338"/>
      <c r="O70" s="338"/>
      <c r="P70" s="338"/>
      <c r="Q70" s="338"/>
      <c r="R70" s="338"/>
      <c r="S70" s="338"/>
      <c r="T70" s="339"/>
      <c r="U70" s="288"/>
      <c r="V70" s="5"/>
    </row>
    <row r="71" spans="1:22" ht="15.6" x14ac:dyDescent="0.3">
      <c r="A71" s="337"/>
      <c r="B71" s="285" t="s">
        <v>21</v>
      </c>
      <c r="C71" s="338"/>
      <c r="D71" s="338"/>
      <c r="E71" s="338"/>
      <c r="F71" s="338"/>
      <c r="G71" s="338"/>
      <c r="H71" s="338"/>
      <c r="I71" s="338"/>
      <c r="J71" s="338">
        <f>SUM(J68:J70)</f>
        <v>1000049</v>
      </c>
      <c r="K71" s="338"/>
      <c r="L71" s="338">
        <f>L68+L69</f>
        <v>566872</v>
      </c>
      <c r="M71" s="338"/>
      <c r="N71" s="338">
        <f>SUM(N68:N70)</f>
        <v>3992</v>
      </c>
      <c r="O71" s="338"/>
      <c r="P71" s="338">
        <f>SUM(P68:P70)</f>
        <v>145</v>
      </c>
      <c r="Q71" s="338"/>
      <c r="R71" s="338">
        <f>SUM(R68:R70)</f>
        <v>0</v>
      </c>
      <c r="S71" s="338"/>
      <c r="T71" s="338">
        <f>SUM(T68:T70)</f>
        <v>563025</v>
      </c>
      <c r="U71" s="288"/>
      <c r="V71" s="5"/>
    </row>
    <row r="72" spans="1:22" ht="15.6" x14ac:dyDescent="0.3">
      <c r="A72" s="175"/>
      <c r="B72" s="334"/>
      <c r="C72" s="335"/>
      <c r="D72" s="335"/>
      <c r="E72" s="335"/>
      <c r="F72" s="335"/>
      <c r="G72" s="335"/>
      <c r="H72" s="335"/>
      <c r="I72" s="335"/>
      <c r="J72" s="335"/>
      <c r="K72" s="335"/>
      <c r="L72" s="335"/>
      <c r="M72" s="335"/>
      <c r="N72" s="335"/>
      <c r="O72" s="335"/>
      <c r="P72" s="335"/>
      <c r="Q72" s="335"/>
      <c r="R72" s="335"/>
      <c r="S72" s="335"/>
      <c r="T72" s="336"/>
      <c r="U72" s="334"/>
      <c r="V72" s="5"/>
    </row>
    <row r="73" spans="1:22" ht="15.6" x14ac:dyDescent="0.3">
      <c r="A73" s="175"/>
      <c r="B73" s="179" t="s">
        <v>22</v>
      </c>
      <c r="C73" s="199"/>
      <c r="D73" s="199"/>
      <c r="E73" s="199"/>
      <c r="F73" s="199"/>
      <c r="G73" s="199"/>
      <c r="H73" s="199"/>
      <c r="I73" s="199"/>
      <c r="J73" s="199"/>
      <c r="K73" s="199"/>
      <c r="L73" s="199"/>
      <c r="M73" s="199"/>
      <c r="N73" s="199"/>
      <c r="O73" s="199"/>
      <c r="P73" s="199"/>
      <c r="Q73" s="199"/>
      <c r="R73" s="199"/>
      <c r="S73" s="199"/>
      <c r="T73" s="200"/>
      <c r="U73" s="177"/>
      <c r="V73" s="5"/>
    </row>
    <row r="74" spans="1:22" ht="15.6" x14ac:dyDescent="0.3">
      <c r="A74" s="175"/>
      <c r="B74" s="177"/>
      <c r="C74" s="199"/>
      <c r="D74" s="199"/>
      <c r="E74" s="199"/>
      <c r="F74" s="199"/>
      <c r="G74" s="199"/>
      <c r="H74" s="199"/>
      <c r="I74" s="199"/>
      <c r="J74" s="199"/>
      <c r="K74" s="199"/>
      <c r="L74" s="199"/>
      <c r="M74" s="199"/>
      <c r="N74" s="199"/>
      <c r="O74" s="199"/>
      <c r="P74" s="199"/>
      <c r="Q74" s="199"/>
      <c r="R74" s="199"/>
      <c r="S74" s="199"/>
      <c r="T74" s="200"/>
      <c r="U74" s="177"/>
      <c r="V74" s="5"/>
    </row>
    <row r="75" spans="1:22" ht="15.6" x14ac:dyDescent="0.3">
      <c r="A75" s="284"/>
      <c r="B75" s="285" t="s">
        <v>19</v>
      </c>
      <c r="C75" s="338"/>
      <c r="D75" s="338"/>
      <c r="E75" s="338"/>
      <c r="F75" s="338"/>
      <c r="G75" s="338"/>
      <c r="H75" s="338"/>
      <c r="I75" s="338"/>
      <c r="J75" s="338"/>
      <c r="K75" s="338"/>
      <c r="L75" s="338"/>
      <c r="M75" s="338"/>
      <c r="N75" s="338"/>
      <c r="O75" s="338"/>
      <c r="P75" s="338"/>
      <c r="Q75" s="338"/>
      <c r="R75" s="338"/>
      <c r="S75" s="338"/>
      <c r="T75" s="338"/>
      <c r="U75" s="288"/>
      <c r="V75" s="5"/>
    </row>
    <row r="76" spans="1:22" ht="15.6" x14ac:dyDescent="0.3">
      <c r="A76" s="284"/>
      <c r="B76" s="285" t="s">
        <v>20</v>
      </c>
      <c r="C76" s="338"/>
      <c r="D76" s="338"/>
      <c r="E76" s="338"/>
      <c r="F76" s="338"/>
      <c r="G76" s="338"/>
      <c r="H76" s="338"/>
      <c r="I76" s="338"/>
      <c r="J76" s="338"/>
      <c r="K76" s="338"/>
      <c r="L76" s="338"/>
      <c r="M76" s="338"/>
      <c r="N76" s="338"/>
      <c r="O76" s="338"/>
      <c r="P76" s="338"/>
      <c r="Q76" s="338"/>
      <c r="R76" s="338"/>
      <c r="S76" s="338"/>
      <c r="T76" s="338"/>
      <c r="U76" s="288"/>
      <c r="V76" s="5"/>
    </row>
    <row r="77" spans="1:22" ht="15.6" x14ac:dyDescent="0.3">
      <c r="A77" s="284"/>
      <c r="B77" s="285"/>
      <c r="C77" s="338"/>
      <c r="D77" s="338"/>
      <c r="E77" s="338"/>
      <c r="F77" s="338"/>
      <c r="G77" s="338"/>
      <c r="H77" s="338"/>
      <c r="I77" s="338"/>
      <c r="J77" s="338"/>
      <c r="K77" s="338"/>
      <c r="L77" s="338"/>
      <c r="M77" s="338"/>
      <c r="N77" s="338"/>
      <c r="O77" s="338"/>
      <c r="P77" s="338"/>
      <c r="Q77" s="338"/>
      <c r="R77" s="338"/>
      <c r="S77" s="338"/>
      <c r="T77" s="338"/>
      <c r="U77" s="288"/>
      <c r="V77" s="5"/>
    </row>
    <row r="78" spans="1:22" ht="15.6" x14ac:dyDescent="0.3">
      <c r="A78" s="284"/>
      <c r="B78" s="285" t="s">
        <v>21</v>
      </c>
      <c r="C78" s="338"/>
      <c r="D78" s="338"/>
      <c r="E78" s="338"/>
      <c r="F78" s="338"/>
      <c r="G78" s="338"/>
      <c r="H78" s="338"/>
      <c r="I78" s="338"/>
      <c r="J78" s="338"/>
      <c r="K78" s="338"/>
      <c r="L78" s="338"/>
      <c r="M78" s="338"/>
      <c r="N78" s="338"/>
      <c r="O78" s="338"/>
      <c r="P78" s="338"/>
      <c r="Q78" s="338"/>
      <c r="R78" s="338"/>
      <c r="S78" s="338"/>
      <c r="T78" s="338"/>
      <c r="U78" s="288"/>
      <c r="V78" s="5"/>
    </row>
    <row r="79" spans="1:22" ht="15.6" x14ac:dyDescent="0.3">
      <c r="A79" s="284"/>
      <c r="B79" s="285"/>
      <c r="C79" s="338"/>
      <c r="D79" s="338"/>
      <c r="E79" s="338"/>
      <c r="F79" s="338"/>
      <c r="G79" s="338"/>
      <c r="H79" s="338"/>
      <c r="I79" s="338"/>
      <c r="J79" s="338"/>
      <c r="K79" s="338"/>
      <c r="L79" s="338"/>
      <c r="M79" s="338"/>
      <c r="N79" s="338"/>
      <c r="O79" s="338"/>
      <c r="P79" s="338"/>
      <c r="Q79" s="338"/>
      <c r="R79" s="338"/>
      <c r="S79" s="338"/>
      <c r="T79" s="338"/>
      <c r="U79" s="288"/>
      <c r="V79" s="5"/>
    </row>
    <row r="80" spans="1:22" ht="15.6" x14ac:dyDescent="0.3">
      <c r="A80" s="284"/>
      <c r="B80" s="285" t="s">
        <v>23</v>
      </c>
      <c r="C80" s="338"/>
      <c r="D80" s="338"/>
      <c r="E80" s="338"/>
      <c r="F80" s="338"/>
      <c r="G80" s="338"/>
      <c r="H80" s="338"/>
      <c r="I80" s="338"/>
      <c r="J80" s="338">
        <v>0</v>
      </c>
      <c r="K80" s="338"/>
      <c r="L80" s="338">
        <v>0</v>
      </c>
      <c r="M80" s="338"/>
      <c r="N80" s="338"/>
      <c r="O80" s="338"/>
      <c r="P80" s="338"/>
      <c r="Q80" s="338"/>
      <c r="R80" s="338"/>
      <c r="S80" s="338"/>
      <c r="T80" s="339">
        <v>0</v>
      </c>
      <c r="U80" s="288"/>
      <c r="V80" s="5"/>
    </row>
    <row r="81" spans="1:22" ht="15.6" x14ac:dyDescent="0.3">
      <c r="A81" s="284"/>
      <c r="B81" s="285" t="s">
        <v>123</v>
      </c>
      <c r="C81" s="338"/>
      <c r="D81" s="338"/>
      <c r="E81" s="338"/>
      <c r="F81" s="338"/>
      <c r="G81" s="338"/>
      <c r="H81" s="338"/>
      <c r="I81" s="338"/>
      <c r="J81" s="338">
        <v>0</v>
      </c>
      <c r="K81" s="338"/>
      <c r="L81" s="338">
        <v>0</v>
      </c>
      <c r="M81" s="338"/>
      <c r="N81" s="338"/>
      <c r="O81" s="338"/>
      <c r="P81" s="338"/>
      <c r="Q81" s="338"/>
      <c r="R81" s="338"/>
      <c r="S81" s="338"/>
      <c r="T81" s="338">
        <f>SUM(J81:P81)</f>
        <v>0</v>
      </c>
      <c r="U81" s="288"/>
      <c r="V81" s="5"/>
    </row>
    <row r="82" spans="1:22" ht="15.6" x14ac:dyDescent="0.3">
      <c r="A82" s="284"/>
      <c r="B82" s="285" t="s">
        <v>152</v>
      </c>
      <c r="C82" s="338"/>
      <c r="D82" s="338"/>
      <c r="E82" s="338"/>
      <c r="F82" s="338"/>
      <c r="G82" s="338"/>
      <c r="H82" s="338"/>
      <c r="I82" s="338"/>
      <c r="J82" s="338">
        <v>1</v>
      </c>
      <c r="K82" s="338"/>
      <c r="L82" s="338">
        <v>0</v>
      </c>
      <c r="M82" s="338"/>
      <c r="N82" s="338">
        <v>0</v>
      </c>
      <c r="O82" s="338"/>
      <c r="P82" s="338"/>
      <c r="Q82" s="338"/>
      <c r="R82" s="338"/>
      <c r="S82" s="338"/>
      <c r="T82" s="338">
        <f>+L82+N82</f>
        <v>0</v>
      </c>
      <c r="U82" s="288"/>
      <c r="V82" s="5"/>
    </row>
    <row r="83" spans="1:22" ht="15.6" x14ac:dyDescent="0.3">
      <c r="A83" s="284"/>
      <c r="B83" s="285" t="s">
        <v>25</v>
      </c>
      <c r="C83" s="338"/>
      <c r="D83" s="338"/>
      <c r="E83" s="338"/>
      <c r="F83" s="338"/>
      <c r="G83" s="338"/>
      <c r="H83" s="338"/>
      <c r="I83" s="338"/>
      <c r="J83" s="338">
        <v>0</v>
      </c>
      <c r="K83" s="338"/>
      <c r="L83" s="338">
        <v>0</v>
      </c>
      <c r="M83" s="338"/>
      <c r="N83" s="338"/>
      <c r="O83" s="338"/>
      <c r="P83" s="338"/>
      <c r="Q83" s="338"/>
      <c r="R83" s="338"/>
      <c r="S83" s="338"/>
      <c r="T83" s="338">
        <v>0</v>
      </c>
      <c r="U83" s="288"/>
      <c r="V83" s="5"/>
    </row>
    <row r="84" spans="1:22" ht="15.6" x14ac:dyDescent="0.3">
      <c r="A84" s="284"/>
      <c r="B84" s="285" t="s">
        <v>26</v>
      </c>
      <c r="C84" s="338"/>
      <c r="D84" s="338"/>
      <c r="E84" s="338"/>
      <c r="F84" s="338"/>
      <c r="G84" s="338"/>
      <c r="H84" s="338"/>
      <c r="I84" s="338"/>
      <c r="J84" s="338">
        <f>SUM(J71:J83)</f>
        <v>1000050</v>
      </c>
      <c r="K84" s="338"/>
      <c r="L84" s="338">
        <f>SUM(L71:L83)</f>
        <v>566872</v>
      </c>
      <c r="M84" s="338"/>
      <c r="N84" s="338"/>
      <c r="O84" s="338"/>
      <c r="P84" s="338"/>
      <c r="Q84" s="338"/>
      <c r="R84" s="338"/>
      <c r="S84" s="338"/>
      <c r="T84" s="338">
        <f>SUM(T71:T83)</f>
        <v>563025</v>
      </c>
      <c r="U84" s="288"/>
      <c r="V84" s="5"/>
    </row>
    <row r="85" spans="1:22" ht="15.6" x14ac:dyDescent="0.3">
      <c r="A85" s="175"/>
      <c r="B85" s="334"/>
      <c r="C85" s="335"/>
      <c r="D85" s="335"/>
      <c r="E85" s="335"/>
      <c r="F85" s="335"/>
      <c r="G85" s="335"/>
      <c r="H85" s="335"/>
      <c r="I85" s="335"/>
      <c r="J85" s="335"/>
      <c r="K85" s="335"/>
      <c r="L85" s="335"/>
      <c r="M85" s="335"/>
      <c r="N85" s="335"/>
      <c r="O85" s="335"/>
      <c r="P85" s="335"/>
      <c r="Q85" s="335"/>
      <c r="R85" s="335"/>
      <c r="S85" s="335"/>
      <c r="T85" s="336"/>
      <c r="U85" s="334"/>
      <c r="V85" s="5"/>
    </row>
    <row r="86" spans="1:22" ht="15.6" x14ac:dyDescent="0.3">
      <c r="A86" s="175"/>
      <c r="B86" s="177"/>
      <c r="C86" s="177"/>
      <c r="D86" s="177"/>
      <c r="E86" s="177"/>
      <c r="F86" s="177"/>
      <c r="G86" s="177"/>
      <c r="H86" s="177"/>
      <c r="I86" s="177"/>
      <c r="J86" s="177"/>
      <c r="K86" s="177"/>
      <c r="L86" s="177"/>
      <c r="M86" s="177"/>
      <c r="N86" s="177"/>
      <c r="O86" s="177"/>
      <c r="P86" s="177"/>
      <c r="Q86" s="177"/>
      <c r="R86" s="177"/>
      <c r="S86" s="177"/>
      <c r="T86" s="177"/>
      <c r="U86" s="177"/>
      <c r="V86" s="5"/>
    </row>
    <row r="87" spans="1:22" ht="15.6" x14ac:dyDescent="0.3">
      <c r="A87" s="222"/>
      <c r="B87" s="395" t="s">
        <v>27</v>
      </c>
      <c r="C87" s="395"/>
      <c r="D87" s="395"/>
      <c r="E87" s="395"/>
      <c r="F87" s="395"/>
      <c r="G87" s="395"/>
      <c r="H87" s="396"/>
      <c r="I87" s="396"/>
      <c r="J87" s="397" t="s">
        <v>98</v>
      </c>
      <c r="K87" s="396"/>
      <c r="L87" s="398">
        <f>+R193</f>
        <v>40998</v>
      </c>
      <c r="M87" s="396"/>
      <c r="N87" s="396"/>
      <c r="O87" s="396"/>
      <c r="P87" s="396"/>
      <c r="Q87" s="396"/>
      <c r="R87" s="396" t="s">
        <v>111</v>
      </c>
      <c r="S87" s="396"/>
      <c r="T87" s="396" t="s">
        <v>119</v>
      </c>
      <c r="U87" s="223"/>
      <c r="V87" s="5"/>
    </row>
    <row r="88" spans="1:22" ht="15.6" x14ac:dyDescent="0.3">
      <c r="A88" s="190"/>
      <c r="B88" s="239" t="s">
        <v>28</v>
      </c>
      <c r="C88" s="239"/>
      <c r="D88" s="239"/>
      <c r="E88" s="239"/>
      <c r="F88" s="239"/>
      <c r="G88" s="239"/>
      <c r="H88" s="239"/>
      <c r="I88" s="239"/>
      <c r="J88" s="239"/>
      <c r="K88" s="239"/>
      <c r="L88" s="239"/>
      <c r="M88" s="239"/>
      <c r="N88" s="239"/>
      <c r="O88" s="239"/>
      <c r="P88" s="239"/>
      <c r="Q88" s="239"/>
      <c r="R88" s="243">
        <v>0</v>
      </c>
      <c r="S88" s="239"/>
      <c r="T88" s="251">
        <v>0</v>
      </c>
      <c r="U88" s="239"/>
      <c r="V88" s="5"/>
    </row>
    <row r="89" spans="1:22" ht="15.6" x14ac:dyDescent="0.3">
      <c r="A89" s="284"/>
      <c r="B89" s="285" t="s">
        <v>29</v>
      </c>
      <c r="C89" s="285"/>
      <c r="D89" s="285"/>
      <c r="E89" s="285"/>
      <c r="F89" s="285"/>
      <c r="G89" s="285"/>
      <c r="H89" s="324"/>
      <c r="I89" s="341"/>
      <c r="J89" s="324"/>
      <c r="K89" s="285"/>
      <c r="L89" s="342"/>
      <c r="M89" s="285"/>
      <c r="N89" s="285"/>
      <c r="O89" s="285"/>
      <c r="P89" s="285"/>
      <c r="Q89" s="285"/>
      <c r="R89" s="338">
        <f>3992-155</f>
        <v>3837</v>
      </c>
      <c r="S89" s="285"/>
      <c r="T89" s="339"/>
      <c r="U89" s="288"/>
      <c r="V89" s="5"/>
    </row>
    <row r="90" spans="1:22" ht="15.6" x14ac:dyDescent="0.3">
      <c r="A90" s="284"/>
      <c r="B90" s="285" t="s">
        <v>225</v>
      </c>
      <c r="C90" s="285"/>
      <c r="D90" s="285"/>
      <c r="E90" s="285"/>
      <c r="F90" s="285"/>
      <c r="G90" s="285"/>
      <c r="H90" s="324"/>
      <c r="I90" s="341"/>
      <c r="J90" s="324"/>
      <c r="K90" s="285"/>
      <c r="L90" s="342"/>
      <c r="M90" s="285"/>
      <c r="N90" s="285"/>
      <c r="O90" s="285"/>
      <c r="P90" s="285"/>
      <c r="Q90" s="285"/>
      <c r="R90" s="338"/>
      <c r="S90" s="285"/>
      <c r="T90" s="339">
        <f>2455+2578-649-368</f>
        <v>4016</v>
      </c>
      <c r="U90" s="288"/>
      <c r="V90" s="5"/>
    </row>
    <row r="91" spans="1:22" ht="15.6" x14ac:dyDescent="0.3">
      <c r="A91" s="284"/>
      <c r="B91" s="285" t="s">
        <v>220</v>
      </c>
      <c r="C91" s="285"/>
      <c r="D91" s="285"/>
      <c r="E91" s="285"/>
      <c r="F91" s="285"/>
      <c r="G91" s="285"/>
      <c r="H91" s="324"/>
      <c r="I91" s="341"/>
      <c r="J91" s="324"/>
      <c r="K91" s="285"/>
      <c r="L91" s="342"/>
      <c r="M91" s="285"/>
      <c r="N91" s="285"/>
      <c r="O91" s="285"/>
      <c r="P91" s="285"/>
      <c r="Q91" s="285"/>
      <c r="R91" s="338"/>
      <c r="S91" s="285"/>
      <c r="T91" s="339">
        <f>22+18</f>
        <v>40</v>
      </c>
      <c r="U91" s="288"/>
      <c r="V91" s="5"/>
    </row>
    <row r="92" spans="1:22" ht="15.6" x14ac:dyDescent="0.3">
      <c r="A92" s="284"/>
      <c r="B92" s="285" t="s">
        <v>221</v>
      </c>
      <c r="C92" s="285"/>
      <c r="D92" s="285"/>
      <c r="E92" s="285"/>
      <c r="F92" s="285"/>
      <c r="G92" s="285"/>
      <c r="H92" s="324"/>
      <c r="I92" s="341"/>
      <c r="J92" s="324"/>
      <c r="K92" s="285"/>
      <c r="L92" s="342"/>
      <c r="M92" s="285"/>
      <c r="N92" s="285"/>
      <c r="O92" s="285"/>
      <c r="P92" s="285"/>
      <c r="Q92" s="285"/>
      <c r="R92" s="338"/>
      <c r="S92" s="285"/>
      <c r="T92" s="339">
        <v>67</v>
      </c>
      <c r="U92" s="288"/>
      <c r="V92" s="5"/>
    </row>
    <row r="93" spans="1:22" ht="15.6" x14ac:dyDescent="0.3">
      <c r="A93" s="284"/>
      <c r="B93" s="285" t="s">
        <v>261</v>
      </c>
      <c r="C93" s="285"/>
      <c r="D93" s="285"/>
      <c r="E93" s="285"/>
      <c r="F93" s="285"/>
      <c r="G93" s="285"/>
      <c r="H93" s="324"/>
      <c r="I93" s="341"/>
      <c r="J93" s="324"/>
      <c r="K93" s="285"/>
      <c r="L93" s="342"/>
      <c r="M93" s="285"/>
      <c r="N93" s="285"/>
      <c r="O93" s="285"/>
      <c r="P93" s="285"/>
      <c r="Q93" s="285"/>
      <c r="R93" s="338"/>
      <c r="S93" s="285"/>
      <c r="T93" s="339">
        <v>0</v>
      </c>
      <c r="U93" s="288"/>
      <c r="V93" s="5"/>
    </row>
    <row r="94" spans="1:22" ht="15.6" x14ac:dyDescent="0.3">
      <c r="A94" s="284"/>
      <c r="B94" s="285" t="s">
        <v>141</v>
      </c>
      <c r="C94" s="285"/>
      <c r="D94" s="285"/>
      <c r="E94" s="285"/>
      <c r="F94" s="285"/>
      <c r="G94" s="285"/>
      <c r="H94" s="285"/>
      <c r="I94" s="285"/>
      <c r="J94" s="285"/>
      <c r="K94" s="285"/>
      <c r="L94" s="285"/>
      <c r="M94" s="285"/>
      <c r="N94" s="285"/>
      <c r="O94" s="285"/>
      <c r="P94" s="285"/>
      <c r="Q94" s="285"/>
      <c r="R94" s="338"/>
      <c r="S94" s="285"/>
      <c r="T94" s="339">
        <v>0</v>
      </c>
      <c r="U94" s="288"/>
      <c r="V94" s="5"/>
    </row>
    <row r="95" spans="1:22" ht="15.6" x14ac:dyDescent="0.3">
      <c r="A95" s="284"/>
      <c r="B95" s="285" t="s">
        <v>250</v>
      </c>
      <c r="C95" s="285"/>
      <c r="D95" s="285"/>
      <c r="E95" s="285"/>
      <c r="F95" s="285"/>
      <c r="G95" s="285"/>
      <c r="H95" s="285"/>
      <c r="I95" s="285"/>
      <c r="J95" s="285"/>
      <c r="K95" s="285"/>
      <c r="L95" s="285"/>
      <c r="M95" s="285"/>
      <c r="N95" s="285"/>
      <c r="O95" s="285"/>
      <c r="P95" s="285"/>
      <c r="Q95" s="285"/>
      <c r="R95" s="338"/>
      <c r="S95" s="285"/>
      <c r="T95" s="339">
        <v>323</v>
      </c>
      <c r="U95" s="288"/>
      <c r="V95" s="5"/>
    </row>
    <row r="96" spans="1:22" ht="15.6" x14ac:dyDescent="0.3">
      <c r="A96" s="284"/>
      <c r="B96" s="285" t="s">
        <v>30</v>
      </c>
      <c r="C96" s="285"/>
      <c r="D96" s="285"/>
      <c r="E96" s="285"/>
      <c r="F96" s="285"/>
      <c r="G96" s="285"/>
      <c r="H96" s="285"/>
      <c r="I96" s="285"/>
      <c r="J96" s="285"/>
      <c r="K96" s="285"/>
      <c r="L96" s="285"/>
      <c r="M96" s="285"/>
      <c r="N96" s="285"/>
      <c r="O96" s="285"/>
      <c r="P96" s="285"/>
      <c r="Q96" s="285"/>
      <c r="R96" s="338">
        <f>SUM(R88:R95)</f>
        <v>3837</v>
      </c>
      <c r="S96" s="285"/>
      <c r="T96" s="338">
        <f>SUM(T88:T95)</f>
        <v>4446</v>
      </c>
      <c r="U96" s="288"/>
      <c r="V96" s="5"/>
    </row>
    <row r="97" spans="1:24" ht="15.6" x14ac:dyDescent="0.3">
      <c r="A97" s="284"/>
      <c r="B97" s="285" t="s">
        <v>168</v>
      </c>
      <c r="C97" s="285"/>
      <c r="D97" s="285"/>
      <c r="E97" s="285"/>
      <c r="F97" s="285"/>
      <c r="G97" s="285"/>
      <c r="H97" s="285"/>
      <c r="I97" s="285"/>
      <c r="J97" s="285"/>
      <c r="K97" s="285"/>
      <c r="L97" s="285"/>
      <c r="M97" s="285"/>
      <c r="N97" s="285"/>
      <c r="O97" s="285"/>
      <c r="P97" s="285"/>
      <c r="Q97" s="285"/>
      <c r="R97" s="338">
        <v>-5</v>
      </c>
      <c r="S97" s="285"/>
      <c r="T97" s="338">
        <f>-R97</f>
        <v>5</v>
      </c>
      <c r="U97" s="288"/>
      <c r="V97" s="5"/>
    </row>
    <row r="98" spans="1:24" ht="15.6" x14ac:dyDescent="0.3">
      <c r="A98" s="284"/>
      <c r="B98" s="285" t="s">
        <v>31</v>
      </c>
      <c r="C98" s="285"/>
      <c r="D98" s="285"/>
      <c r="E98" s="285"/>
      <c r="F98" s="285"/>
      <c r="G98" s="285"/>
      <c r="H98" s="285"/>
      <c r="I98" s="285"/>
      <c r="J98" s="285"/>
      <c r="K98" s="285"/>
      <c r="L98" s="285"/>
      <c r="M98" s="285"/>
      <c r="N98" s="285"/>
      <c r="O98" s="285"/>
      <c r="P98" s="285"/>
      <c r="Q98" s="285"/>
      <c r="R98" s="338">
        <f>-T98</f>
        <v>0</v>
      </c>
      <c r="S98" s="285"/>
      <c r="T98" s="339">
        <v>0</v>
      </c>
      <c r="U98" s="288"/>
      <c r="V98" s="5"/>
    </row>
    <row r="99" spans="1:24" ht="15.6" x14ac:dyDescent="0.3">
      <c r="A99" s="284"/>
      <c r="B99" s="285" t="s">
        <v>273</v>
      </c>
      <c r="C99" s="285"/>
      <c r="D99" s="285"/>
      <c r="E99" s="285"/>
      <c r="F99" s="285"/>
      <c r="G99" s="285"/>
      <c r="H99" s="285"/>
      <c r="I99" s="285"/>
      <c r="J99" s="285"/>
      <c r="K99" s="285"/>
      <c r="L99" s="285"/>
      <c r="M99" s="285"/>
      <c r="N99" s="285"/>
      <c r="O99" s="285"/>
      <c r="P99" s="285"/>
      <c r="Q99" s="285"/>
      <c r="R99" s="338"/>
      <c r="S99" s="285"/>
      <c r="T99" s="339">
        <v>57</v>
      </c>
      <c r="U99" s="288"/>
      <c r="V99" s="5"/>
    </row>
    <row r="100" spans="1:24" ht="15.6" x14ac:dyDescent="0.3">
      <c r="A100" s="284"/>
      <c r="B100" s="285" t="s">
        <v>32</v>
      </c>
      <c r="C100" s="285"/>
      <c r="D100" s="285"/>
      <c r="E100" s="285"/>
      <c r="F100" s="285"/>
      <c r="G100" s="285"/>
      <c r="H100" s="285"/>
      <c r="I100" s="285"/>
      <c r="J100" s="285"/>
      <c r="K100" s="285"/>
      <c r="L100" s="285"/>
      <c r="M100" s="285"/>
      <c r="N100" s="285"/>
      <c r="O100" s="285"/>
      <c r="P100" s="285"/>
      <c r="Q100" s="285"/>
      <c r="R100" s="338">
        <f>R96+R98+R97</f>
        <v>3832</v>
      </c>
      <c r="S100" s="285"/>
      <c r="T100" s="338">
        <f>T96+T98+T97+T99</f>
        <v>4508</v>
      </c>
      <c r="U100" s="288"/>
      <c r="V100" s="5"/>
    </row>
    <row r="101" spans="1:24" ht="15.6" x14ac:dyDescent="0.3">
      <c r="A101" s="284"/>
      <c r="B101" s="343" t="s">
        <v>33</v>
      </c>
      <c r="C101" s="311"/>
      <c r="D101" s="311"/>
      <c r="E101" s="311"/>
      <c r="F101" s="311"/>
      <c r="G101" s="311"/>
      <c r="H101" s="311"/>
      <c r="I101" s="311"/>
      <c r="J101" s="311"/>
      <c r="K101" s="311"/>
      <c r="L101" s="311"/>
      <c r="M101" s="311"/>
      <c r="N101" s="311"/>
      <c r="O101" s="311"/>
      <c r="P101" s="311"/>
      <c r="Q101" s="311"/>
      <c r="R101" s="344"/>
      <c r="S101" s="311"/>
      <c r="T101" s="345"/>
      <c r="U101" s="317"/>
      <c r="V101" s="5"/>
    </row>
    <row r="102" spans="1:24" ht="15.6" x14ac:dyDescent="0.3">
      <c r="A102" s="337">
        <v>1</v>
      </c>
      <c r="B102" s="285" t="s">
        <v>34</v>
      </c>
      <c r="C102" s="285"/>
      <c r="D102" s="285"/>
      <c r="E102" s="285"/>
      <c r="F102" s="285"/>
      <c r="G102" s="285"/>
      <c r="H102" s="285"/>
      <c r="I102" s="285"/>
      <c r="J102" s="285"/>
      <c r="K102" s="285"/>
      <c r="L102" s="285"/>
      <c r="M102" s="285"/>
      <c r="N102" s="285"/>
      <c r="O102" s="285"/>
      <c r="P102" s="285"/>
      <c r="Q102" s="285"/>
      <c r="R102" s="285"/>
      <c r="S102" s="285"/>
      <c r="T102" s="339">
        <v>0</v>
      </c>
      <c r="U102" s="288"/>
      <c r="V102" s="5"/>
    </row>
    <row r="103" spans="1:24" ht="15.6" x14ac:dyDescent="0.3">
      <c r="A103" s="337">
        <f>+A102+1</f>
        <v>2</v>
      </c>
      <c r="B103" s="285" t="s">
        <v>255</v>
      </c>
      <c r="C103" s="285"/>
      <c r="D103" s="285"/>
      <c r="E103" s="285"/>
      <c r="F103" s="285"/>
      <c r="G103" s="285"/>
      <c r="H103" s="285"/>
      <c r="I103" s="285"/>
      <c r="J103" s="285"/>
      <c r="K103" s="285"/>
      <c r="L103" s="285"/>
      <c r="M103" s="285"/>
      <c r="N103" s="285"/>
      <c r="O103" s="285"/>
      <c r="P103" s="285"/>
      <c r="Q103" s="285"/>
      <c r="R103" s="285"/>
      <c r="S103" s="285"/>
      <c r="T103" s="339">
        <v>-2</v>
      </c>
      <c r="U103" s="288"/>
      <c r="V103" s="5"/>
    </row>
    <row r="104" spans="1:24" ht="15.6" x14ac:dyDescent="0.3">
      <c r="A104" s="337">
        <f>+A103+1</f>
        <v>3</v>
      </c>
      <c r="B104" s="285" t="s">
        <v>213</v>
      </c>
      <c r="C104" s="285"/>
      <c r="D104" s="285"/>
      <c r="E104" s="285"/>
      <c r="F104" s="285"/>
      <c r="G104" s="285"/>
      <c r="H104" s="285"/>
      <c r="I104" s="285"/>
      <c r="J104" s="285"/>
      <c r="K104" s="285"/>
      <c r="L104" s="285"/>
      <c r="M104" s="285"/>
      <c r="N104" s="285"/>
      <c r="O104" s="285"/>
      <c r="P104" s="285"/>
      <c r="Q104" s="285"/>
      <c r="R104" s="285"/>
      <c r="S104" s="285"/>
      <c r="T104" s="339">
        <f>-214-164-7</f>
        <v>-385</v>
      </c>
      <c r="U104" s="288"/>
      <c r="V104" s="5"/>
    </row>
    <row r="105" spans="1:24" ht="15.6" x14ac:dyDescent="0.3">
      <c r="A105" s="337" t="s">
        <v>133</v>
      </c>
      <c r="B105" s="285" t="s">
        <v>122</v>
      </c>
      <c r="C105" s="285"/>
      <c r="D105" s="285"/>
      <c r="E105" s="285"/>
      <c r="F105" s="285"/>
      <c r="G105" s="285"/>
      <c r="H105" s="285"/>
      <c r="I105" s="285"/>
      <c r="J105" s="285"/>
      <c r="K105" s="285"/>
      <c r="L105" s="285"/>
      <c r="M105" s="285"/>
      <c r="N105" s="285"/>
      <c r="O105" s="285"/>
      <c r="P105" s="285"/>
      <c r="Q105" s="285"/>
      <c r="R105" s="285"/>
      <c r="S105" s="285"/>
      <c r="T105" s="339">
        <v>-45</v>
      </c>
      <c r="U105" s="288"/>
      <c r="V105" s="5"/>
    </row>
    <row r="106" spans="1:24" ht="15.6" x14ac:dyDescent="0.3">
      <c r="A106" s="337" t="s">
        <v>134</v>
      </c>
      <c r="B106" s="285" t="s">
        <v>194</v>
      </c>
      <c r="C106" s="285"/>
      <c r="D106" s="285"/>
      <c r="E106" s="285"/>
      <c r="F106" s="285"/>
      <c r="G106" s="285"/>
      <c r="H106" s="285"/>
      <c r="I106" s="285"/>
      <c r="J106" s="285"/>
      <c r="K106" s="285"/>
      <c r="L106" s="285"/>
      <c r="M106" s="285"/>
      <c r="N106" s="285"/>
      <c r="O106" s="285"/>
      <c r="P106" s="285"/>
      <c r="Q106" s="285"/>
      <c r="R106" s="285"/>
      <c r="S106" s="285"/>
      <c r="T106" s="339">
        <f>-1342+245</f>
        <v>-1097</v>
      </c>
      <c r="U106" s="288"/>
      <c r="V106" s="5"/>
      <c r="W106" s="109"/>
    </row>
    <row r="107" spans="1:24" ht="15.6" x14ac:dyDescent="0.3">
      <c r="A107" s="337" t="s">
        <v>156</v>
      </c>
      <c r="B107" s="285" t="s">
        <v>191</v>
      </c>
      <c r="C107" s="285"/>
      <c r="D107" s="285"/>
      <c r="E107" s="285"/>
      <c r="F107" s="285"/>
      <c r="G107" s="285"/>
      <c r="H107" s="285"/>
      <c r="I107" s="285"/>
      <c r="J107" s="285"/>
      <c r="K107" s="285"/>
      <c r="L107" s="285"/>
      <c r="M107" s="285"/>
      <c r="N107" s="285"/>
      <c r="O107" s="285"/>
      <c r="P107" s="285"/>
      <c r="Q107" s="285"/>
      <c r="R107" s="285"/>
      <c r="S107" s="285"/>
      <c r="T107" s="339">
        <v>-245</v>
      </c>
      <c r="U107" s="288"/>
      <c r="V107" s="5"/>
      <c r="W107" s="109"/>
    </row>
    <row r="108" spans="1:24" ht="15.6" x14ac:dyDescent="0.3">
      <c r="A108" s="337" t="s">
        <v>214</v>
      </c>
      <c r="B108" s="285" t="s">
        <v>192</v>
      </c>
      <c r="C108" s="285"/>
      <c r="D108" s="285"/>
      <c r="E108" s="285"/>
      <c r="F108" s="285"/>
      <c r="G108" s="285"/>
      <c r="H108" s="285"/>
      <c r="I108" s="285"/>
      <c r="J108" s="285"/>
      <c r="K108" s="285"/>
      <c r="L108" s="285"/>
      <c r="M108" s="285"/>
      <c r="N108" s="285"/>
      <c r="O108" s="285"/>
      <c r="P108" s="285"/>
      <c r="Q108" s="285"/>
      <c r="R108" s="285"/>
      <c r="S108" s="285"/>
      <c r="T108" s="339">
        <v>-223</v>
      </c>
      <c r="U108" s="288"/>
      <c r="V108" s="5"/>
      <c r="W108" s="109"/>
      <c r="X108" s="109"/>
    </row>
    <row r="109" spans="1:24" ht="15.6" x14ac:dyDescent="0.3">
      <c r="A109" s="337" t="s">
        <v>215</v>
      </c>
      <c r="B109" s="285" t="s">
        <v>193</v>
      </c>
      <c r="C109" s="285"/>
      <c r="D109" s="285"/>
      <c r="E109" s="285"/>
      <c r="F109" s="285"/>
      <c r="G109" s="285"/>
      <c r="H109" s="285"/>
      <c r="I109" s="285"/>
      <c r="J109" s="285"/>
      <c r="K109" s="285"/>
      <c r="L109" s="285"/>
      <c r="M109" s="285"/>
      <c r="N109" s="285"/>
      <c r="O109" s="285"/>
      <c r="P109" s="285"/>
      <c r="Q109" s="285"/>
      <c r="R109" s="285"/>
      <c r="S109" s="285"/>
      <c r="T109" s="339">
        <v>-62</v>
      </c>
      <c r="U109" s="288"/>
      <c r="V109" s="169"/>
      <c r="W109" s="109"/>
    </row>
    <row r="110" spans="1:24" ht="15.6" x14ac:dyDescent="0.3">
      <c r="A110" s="337" t="s">
        <v>216</v>
      </c>
      <c r="B110" s="285" t="s">
        <v>204</v>
      </c>
      <c r="C110" s="285"/>
      <c r="D110" s="285"/>
      <c r="E110" s="285"/>
      <c r="F110" s="285"/>
      <c r="G110" s="285"/>
      <c r="H110" s="285"/>
      <c r="I110" s="285"/>
      <c r="J110" s="285"/>
      <c r="K110" s="285"/>
      <c r="L110" s="285"/>
      <c r="M110" s="285"/>
      <c r="N110" s="285"/>
      <c r="O110" s="285"/>
      <c r="P110" s="285"/>
      <c r="Q110" s="285"/>
      <c r="R110" s="285"/>
      <c r="S110" s="285"/>
      <c r="T110" s="339">
        <v>-306</v>
      </c>
      <c r="U110" s="288"/>
      <c r="V110" s="5"/>
      <c r="W110" s="109"/>
    </row>
    <row r="111" spans="1:24" ht="15.6" x14ac:dyDescent="0.3">
      <c r="A111" s="337">
        <v>7</v>
      </c>
      <c r="B111" s="285" t="s">
        <v>35</v>
      </c>
      <c r="C111" s="285"/>
      <c r="D111" s="285"/>
      <c r="E111" s="285"/>
      <c r="F111" s="285"/>
      <c r="G111" s="285"/>
      <c r="H111" s="285"/>
      <c r="I111" s="285"/>
      <c r="J111" s="285"/>
      <c r="K111" s="285"/>
      <c r="L111" s="285"/>
      <c r="M111" s="285"/>
      <c r="N111" s="285"/>
      <c r="O111" s="285"/>
      <c r="P111" s="285"/>
      <c r="Q111" s="285"/>
      <c r="R111" s="285"/>
      <c r="S111" s="285"/>
      <c r="T111" s="339">
        <v>-10</v>
      </c>
      <c r="U111" s="288"/>
      <c r="V111" s="5"/>
    </row>
    <row r="112" spans="1:24" ht="15.6" x14ac:dyDescent="0.3">
      <c r="A112" s="337">
        <f t="shared" ref="A112:A117" si="0">+A111+1</f>
        <v>8</v>
      </c>
      <c r="B112" s="285" t="s">
        <v>46</v>
      </c>
      <c r="C112" s="285"/>
      <c r="D112" s="285"/>
      <c r="E112" s="285"/>
      <c r="F112" s="285"/>
      <c r="G112" s="285"/>
      <c r="H112" s="285"/>
      <c r="I112" s="285"/>
      <c r="J112" s="285"/>
      <c r="K112" s="285"/>
      <c r="L112" s="285"/>
      <c r="M112" s="285"/>
      <c r="N112" s="285"/>
      <c r="O112" s="285"/>
      <c r="P112" s="285"/>
      <c r="Q112" s="285"/>
      <c r="R112" s="338">
        <f>-T112</f>
        <v>155</v>
      </c>
      <c r="S112" s="285"/>
      <c r="T112" s="339">
        <v>-155</v>
      </c>
      <c r="U112" s="288"/>
      <c r="V112" s="5"/>
    </row>
    <row r="113" spans="1:22" ht="15.6" x14ac:dyDescent="0.3">
      <c r="A113" s="337">
        <f t="shared" si="0"/>
        <v>9</v>
      </c>
      <c r="B113" s="285" t="s">
        <v>131</v>
      </c>
      <c r="C113" s="285"/>
      <c r="D113" s="285"/>
      <c r="E113" s="285"/>
      <c r="F113" s="285"/>
      <c r="G113" s="285"/>
      <c r="H113" s="285"/>
      <c r="I113" s="285"/>
      <c r="J113" s="285"/>
      <c r="K113" s="285"/>
      <c r="L113" s="285"/>
      <c r="M113" s="285"/>
      <c r="N113" s="285"/>
      <c r="O113" s="285"/>
      <c r="P113" s="285"/>
      <c r="Q113" s="285"/>
      <c r="R113" s="285"/>
      <c r="S113" s="285"/>
      <c r="T113" s="339">
        <v>0</v>
      </c>
      <c r="U113" s="288"/>
      <c r="V113" s="5"/>
    </row>
    <row r="114" spans="1:22" ht="15.6" x14ac:dyDescent="0.3">
      <c r="A114" s="337">
        <f t="shared" si="0"/>
        <v>10</v>
      </c>
      <c r="B114" s="285" t="s">
        <v>36</v>
      </c>
      <c r="C114" s="285"/>
      <c r="D114" s="285"/>
      <c r="E114" s="285"/>
      <c r="F114" s="285"/>
      <c r="G114" s="285"/>
      <c r="H114" s="285"/>
      <c r="I114" s="285"/>
      <c r="J114" s="285"/>
      <c r="K114" s="285"/>
      <c r="L114" s="285"/>
      <c r="M114" s="285"/>
      <c r="N114" s="285"/>
      <c r="O114" s="285"/>
      <c r="P114" s="285"/>
      <c r="Q114" s="285"/>
      <c r="R114" s="285"/>
      <c r="S114" s="285"/>
      <c r="T114" s="339">
        <v>0</v>
      </c>
      <c r="U114" s="288"/>
      <c r="V114" s="5"/>
    </row>
    <row r="115" spans="1:22" ht="15.6" x14ac:dyDescent="0.3">
      <c r="A115" s="337">
        <f t="shared" si="0"/>
        <v>11</v>
      </c>
      <c r="B115" s="285" t="s">
        <v>37</v>
      </c>
      <c r="C115" s="285"/>
      <c r="D115" s="285"/>
      <c r="E115" s="285"/>
      <c r="F115" s="285"/>
      <c r="G115" s="285"/>
      <c r="H115" s="285"/>
      <c r="I115" s="285"/>
      <c r="J115" s="285"/>
      <c r="K115" s="285"/>
      <c r="L115" s="285"/>
      <c r="M115" s="285"/>
      <c r="N115" s="285"/>
      <c r="O115" s="285"/>
      <c r="P115" s="285"/>
      <c r="Q115" s="285"/>
      <c r="R115" s="285"/>
      <c r="S115" s="285"/>
      <c r="T115" s="339">
        <v>0</v>
      </c>
      <c r="U115" s="288"/>
      <c r="V115" s="5"/>
    </row>
    <row r="116" spans="1:22" ht="15.6" x14ac:dyDescent="0.3">
      <c r="A116" s="337">
        <f t="shared" si="0"/>
        <v>12</v>
      </c>
      <c r="B116" s="285" t="s">
        <v>155</v>
      </c>
      <c r="C116" s="285"/>
      <c r="D116" s="285"/>
      <c r="E116" s="285"/>
      <c r="F116" s="285"/>
      <c r="G116" s="285"/>
      <c r="H116" s="285"/>
      <c r="I116" s="285"/>
      <c r="J116" s="285"/>
      <c r="K116" s="285"/>
      <c r="L116" s="285"/>
      <c r="M116" s="285"/>
      <c r="N116" s="285"/>
      <c r="O116" s="285"/>
      <c r="P116" s="285"/>
      <c r="Q116" s="285"/>
      <c r="R116" s="285"/>
      <c r="S116" s="285"/>
      <c r="T116" s="339">
        <v>-214</v>
      </c>
      <c r="U116" s="288"/>
      <c r="V116" s="5"/>
    </row>
    <row r="117" spans="1:22" ht="15.6" x14ac:dyDescent="0.3">
      <c r="A117" s="337">
        <f t="shared" si="0"/>
        <v>13</v>
      </c>
      <c r="B117" s="285" t="s">
        <v>132</v>
      </c>
      <c r="C117" s="285"/>
      <c r="D117" s="285"/>
      <c r="E117" s="285"/>
      <c r="F117" s="285"/>
      <c r="G117" s="285"/>
      <c r="H117" s="285"/>
      <c r="I117" s="285"/>
      <c r="J117" s="285"/>
      <c r="K117" s="285"/>
      <c r="L117" s="285"/>
      <c r="M117" s="285"/>
      <c r="N117" s="285"/>
      <c r="O117" s="285"/>
      <c r="P117" s="285"/>
      <c r="Q117" s="285"/>
      <c r="R117" s="285"/>
      <c r="S117" s="285"/>
      <c r="T117" s="339">
        <f>-T100-SUM(T102:T116)</f>
        <v>-1764</v>
      </c>
      <c r="U117" s="288"/>
      <c r="V117" s="5"/>
    </row>
    <row r="118" spans="1:22" ht="15.6" x14ac:dyDescent="0.3">
      <c r="A118" s="284"/>
      <c r="B118" s="343" t="s">
        <v>38</v>
      </c>
      <c r="C118" s="311"/>
      <c r="D118" s="311"/>
      <c r="E118" s="311"/>
      <c r="F118" s="311"/>
      <c r="G118" s="311"/>
      <c r="H118" s="311"/>
      <c r="I118" s="311"/>
      <c r="J118" s="311"/>
      <c r="K118" s="311"/>
      <c r="L118" s="311"/>
      <c r="M118" s="311"/>
      <c r="N118" s="311"/>
      <c r="O118" s="311"/>
      <c r="P118" s="311"/>
      <c r="Q118" s="311"/>
      <c r="R118" s="311"/>
      <c r="S118" s="311"/>
      <c r="T118" s="346"/>
      <c r="U118" s="317"/>
      <c r="V118" s="5"/>
    </row>
    <row r="119" spans="1:22" ht="15.6" x14ac:dyDescent="0.3">
      <c r="A119" s="337"/>
      <c r="B119" s="285" t="s">
        <v>180</v>
      </c>
      <c r="C119" s="285"/>
      <c r="D119" s="285"/>
      <c r="E119" s="285"/>
      <c r="F119" s="285"/>
      <c r="G119" s="285"/>
      <c r="H119" s="285"/>
      <c r="I119" s="285"/>
      <c r="J119" s="285"/>
      <c r="K119" s="285"/>
      <c r="L119" s="285"/>
      <c r="M119" s="285"/>
      <c r="N119" s="285"/>
      <c r="O119" s="285"/>
      <c r="P119" s="285"/>
      <c r="Q119" s="285"/>
      <c r="R119" s="338">
        <f>-R177</f>
        <v>0</v>
      </c>
      <c r="S119" s="338"/>
      <c r="T119" s="339"/>
      <c r="U119" s="288"/>
      <c r="V119" s="5"/>
    </row>
    <row r="120" spans="1:22" ht="15.6" x14ac:dyDescent="0.3">
      <c r="A120" s="337"/>
      <c r="B120" s="285" t="s">
        <v>181</v>
      </c>
      <c r="C120" s="285"/>
      <c r="D120" s="285"/>
      <c r="E120" s="285"/>
      <c r="F120" s="285"/>
      <c r="G120" s="285"/>
      <c r="H120" s="285"/>
      <c r="I120" s="285"/>
      <c r="J120" s="285"/>
      <c r="K120" s="285"/>
      <c r="L120" s="285"/>
      <c r="M120" s="285"/>
      <c r="N120" s="285"/>
      <c r="O120" s="285"/>
      <c r="P120" s="285"/>
      <c r="Q120" s="285"/>
      <c r="R120" s="338">
        <v>-120</v>
      </c>
      <c r="S120" s="338"/>
      <c r="T120" s="339"/>
      <c r="U120" s="288"/>
      <c r="V120" s="5"/>
    </row>
    <row r="121" spans="1:22" ht="15.6" x14ac:dyDescent="0.3">
      <c r="A121" s="337"/>
      <c r="B121" s="285" t="s">
        <v>39</v>
      </c>
      <c r="C121" s="285"/>
      <c r="D121" s="285"/>
      <c r="E121" s="285"/>
      <c r="F121" s="285"/>
      <c r="G121" s="285"/>
      <c r="H121" s="285"/>
      <c r="I121" s="285"/>
      <c r="J121" s="285"/>
      <c r="K121" s="285"/>
      <c r="L121" s="285"/>
      <c r="M121" s="285"/>
      <c r="N121" s="285"/>
      <c r="O121" s="285"/>
      <c r="P121" s="285"/>
      <c r="Q121" s="285"/>
      <c r="R121" s="338">
        <f>-Q177</f>
        <v>-20</v>
      </c>
      <c r="S121" s="338"/>
      <c r="T121" s="339"/>
      <c r="U121" s="288"/>
      <c r="V121" s="5"/>
    </row>
    <row r="122" spans="1:22" ht="15.6" x14ac:dyDescent="0.3">
      <c r="A122" s="337"/>
      <c r="B122" s="285" t="s">
        <v>205</v>
      </c>
      <c r="C122" s="285"/>
      <c r="D122" s="285"/>
      <c r="E122" s="285"/>
      <c r="F122" s="285"/>
      <c r="G122" s="285"/>
      <c r="H122" s="285"/>
      <c r="I122" s="285"/>
      <c r="J122" s="285"/>
      <c r="K122" s="285"/>
      <c r="L122" s="285"/>
      <c r="M122" s="285"/>
      <c r="N122" s="285"/>
      <c r="O122" s="285"/>
      <c r="P122" s="285"/>
      <c r="Q122" s="285"/>
      <c r="R122" s="338">
        <v>-2516</v>
      </c>
      <c r="S122" s="338"/>
      <c r="T122" s="339"/>
      <c r="U122" s="288"/>
      <c r="V122" s="5"/>
    </row>
    <row r="123" spans="1:22" ht="15.6" x14ac:dyDescent="0.3">
      <c r="A123" s="337"/>
      <c r="B123" s="285" t="s">
        <v>203</v>
      </c>
      <c r="C123" s="285"/>
      <c r="D123" s="285"/>
      <c r="E123" s="285"/>
      <c r="F123" s="285"/>
      <c r="G123" s="285"/>
      <c r="H123" s="285"/>
      <c r="I123" s="285"/>
      <c r="J123" s="285"/>
      <c r="K123" s="285"/>
      <c r="L123" s="285"/>
      <c r="M123" s="285"/>
      <c r="N123" s="285"/>
      <c r="O123" s="285"/>
      <c r="P123" s="285"/>
      <c r="Q123" s="285"/>
      <c r="R123" s="338">
        <v>-663</v>
      </c>
      <c r="S123" s="338"/>
      <c r="T123" s="339"/>
      <c r="U123" s="288"/>
      <c r="V123" s="5"/>
    </row>
    <row r="124" spans="1:22" ht="15.6" x14ac:dyDescent="0.3">
      <c r="A124" s="337"/>
      <c r="B124" s="285" t="s">
        <v>202</v>
      </c>
      <c r="C124" s="285"/>
      <c r="D124" s="285"/>
      <c r="E124" s="285"/>
      <c r="F124" s="285"/>
      <c r="G124" s="285"/>
      <c r="H124" s="285"/>
      <c r="I124" s="285"/>
      <c r="J124" s="285"/>
      <c r="K124" s="285"/>
      <c r="L124" s="285"/>
      <c r="M124" s="285"/>
      <c r="N124" s="285"/>
      <c r="O124" s="285"/>
      <c r="P124" s="285"/>
      <c r="Q124" s="285"/>
      <c r="R124" s="338">
        <v>-668</v>
      </c>
      <c r="S124" s="338"/>
      <c r="T124" s="339"/>
      <c r="U124" s="288"/>
      <c r="V124" s="5"/>
    </row>
    <row r="125" spans="1:22" ht="15.6" x14ac:dyDescent="0.3">
      <c r="A125" s="337"/>
      <c r="B125" s="285" t="s">
        <v>197</v>
      </c>
      <c r="C125" s="285"/>
      <c r="D125" s="285"/>
      <c r="E125" s="285"/>
      <c r="F125" s="285"/>
      <c r="G125" s="285"/>
      <c r="H125" s="285"/>
      <c r="I125" s="285"/>
      <c r="J125" s="285"/>
      <c r="K125" s="285"/>
      <c r="L125" s="285"/>
      <c r="M125" s="285"/>
      <c r="N125" s="285"/>
      <c r="O125" s="285"/>
      <c r="P125" s="285"/>
      <c r="Q125" s="285"/>
      <c r="R125" s="338">
        <v>0</v>
      </c>
      <c r="S125" s="338"/>
      <c r="T125" s="339"/>
      <c r="U125" s="288"/>
      <c r="V125" s="5"/>
    </row>
    <row r="126" spans="1:22" ht="15.6" x14ac:dyDescent="0.3">
      <c r="A126" s="337"/>
      <c r="B126" s="285" t="s">
        <v>196</v>
      </c>
      <c r="C126" s="285"/>
      <c r="D126" s="285"/>
      <c r="E126" s="285"/>
      <c r="F126" s="285"/>
      <c r="G126" s="285"/>
      <c r="H126" s="285"/>
      <c r="I126" s="285"/>
      <c r="J126" s="285"/>
      <c r="K126" s="285"/>
      <c r="L126" s="285"/>
      <c r="M126" s="285"/>
      <c r="N126" s="285"/>
      <c r="O126" s="285"/>
      <c r="P126" s="285"/>
      <c r="Q126" s="285"/>
      <c r="R126" s="338">
        <v>0</v>
      </c>
      <c r="S126" s="338"/>
      <c r="T126" s="339"/>
      <c r="U126" s="288"/>
      <c r="V126" s="5"/>
    </row>
    <row r="127" spans="1:22" ht="15.6" x14ac:dyDescent="0.3">
      <c r="A127" s="337"/>
      <c r="B127" s="285" t="s">
        <v>195</v>
      </c>
      <c r="C127" s="285"/>
      <c r="D127" s="285"/>
      <c r="E127" s="285"/>
      <c r="F127" s="285"/>
      <c r="G127" s="285"/>
      <c r="H127" s="285"/>
      <c r="I127" s="285"/>
      <c r="J127" s="285"/>
      <c r="K127" s="285"/>
      <c r="L127" s="285"/>
      <c r="M127" s="285"/>
      <c r="N127" s="285"/>
      <c r="O127" s="285"/>
      <c r="P127" s="285"/>
      <c r="Q127" s="285"/>
      <c r="R127" s="338">
        <v>0</v>
      </c>
      <c r="S127" s="338"/>
      <c r="T127" s="339"/>
      <c r="U127" s="288"/>
      <c r="V127" s="5"/>
    </row>
    <row r="128" spans="1:22" ht="15.6" x14ac:dyDescent="0.3">
      <c r="A128" s="337"/>
      <c r="B128" s="285" t="s">
        <v>40</v>
      </c>
      <c r="C128" s="285"/>
      <c r="D128" s="285"/>
      <c r="E128" s="285"/>
      <c r="F128" s="285"/>
      <c r="G128" s="285"/>
      <c r="H128" s="285"/>
      <c r="I128" s="285"/>
      <c r="J128" s="285"/>
      <c r="K128" s="285"/>
      <c r="L128" s="285"/>
      <c r="M128" s="285"/>
      <c r="N128" s="285"/>
      <c r="O128" s="285"/>
      <c r="P128" s="285"/>
      <c r="Q128" s="285"/>
      <c r="R128" s="338">
        <f>SUM(R119:R127)</f>
        <v>-3987</v>
      </c>
      <c r="S128" s="338"/>
      <c r="T128" s="338">
        <f>SUM(T101:T126)</f>
        <v>-4508</v>
      </c>
      <c r="U128" s="288"/>
      <c r="V128" s="5"/>
    </row>
    <row r="129" spans="1:23" ht="15.6" x14ac:dyDescent="0.3">
      <c r="A129" s="337"/>
      <c r="B129" s="285" t="s">
        <v>41</v>
      </c>
      <c r="C129" s="285"/>
      <c r="D129" s="285"/>
      <c r="E129" s="285"/>
      <c r="F129" s="285"/>
      <c r="G129" s="285"/>
      <c r="H129" s="285"/>
      <c r="I129" s="285"/>
      <c r="J129" s="285"/>
      <c r="K129" s="285"/>
      <c r="L129" s="285"/>
      <c r="M129" s="285"/>
      <c r="N129" s="285"/>
      <c r="O129" s="285"/>
      <c r="P129" s="285"/>
      <c r="Q129" s="285"/>
      <c r="R129" s="338">
        <f>R100+R128+R112</f>
        <v>0</v>
      </c>
      <c r="S129" s="338"/>
      <c r="T129" s="338">
        <f>T100+T128</f>
        <v>0</v>
      </c>
      <c r="U129" s="288"/>
      <c r="V129" s="5"/>
    </row>
    <row r="130" spans="1:23" ht="15.6" x14ac:dyDescent="0.3">
      <c r="A130" s="256"/>
      <c r="B130" s="281"/>
      <c r="C130" s="281"/>
      <c r="D130" s="281"/>
      <c r="E130" s="281"/>
      <c r="F130" s="281"/>
      <c r="G130" s="281"/>
      <c r="H130" s="281"/>
      <c r="I130" s="281"/>
      <c r="J130" s="281"/>
      <c r="K130" s="281"/>
      <c r="L130" s="281"/>
      <c r="M130" s="281"/>
      <c r="N130" s="281"/>
      <c r="O130" s="281"/>
      <c r="P130" s="281"/>
      <c r="Q130" s="281"/>
      <c r="R130" s="340"/>
      <c r="S130" s="340"/>
      <c r="T130" s="340"/>
      <c r="U130" s="281"/>
      <c r="V130" s="5"/>
    </row>
    <row r="131" spans="1:23" ht="15.6" x14ac:dyDescent="0.3">
      <c r="A131" s="256"/>
      <c r="B131" s="231"/>
      <c r="C131" s="231"/>
      <c r="D131" s="231"/>
      <c r="E131" s="231"/>
      <c r="F131" s="231"/>
      <c r="G131" s="231"/>
      <c r="H131" s="231"/>
      <c r="I131" s="231"/>
      <c r="J131" s="231"/>
      <c r="K131" s="231"/>
      <c r="L131" s="231"/>
      <c r="M131" s="231"/>
      <c r="N131" s="231"/>
      <c r="O131" s="231"/>
      <c r="P131" s="231"/>
      <c r="Q131" s="231"/>
      <c r="R131" s="231"/>
      <c r="S131" s="231"/>
      <c r="T131" s="257"/>
      <c r="U131" s="231"/>
      <c r="V131" s="5"/>
    </row>
    <row r="132" spans="1:23" ht="18" thickBot="1" x14ac:dyDescent="0.35">
      <c r="A132" s="258"/>
      <c r="B132" s="246" t="str">
        <f>B64</f>
        <v>PM11 INVESTOR REPORT QUARTER ENDING MARCH 2012</v>
      </c>
      <c r="C132" s="247"/>
      <c r="D132" s="247"/>
      <c r="E132" s="247"/>
      <c r="F132" s="247"/>
      <c r="G132" s="247"/>
      <c r="H132" s="247"/>
      <c r="I132" s="247"/>
      <c r="J132" s="247"/>
      <c r="K132" s="247"/>
      <c r="L132" s="247"/>
      <c r="M132" s="247"/>
      <c r="N132" s="247"/>
      <c r="O132" s="247"/>
      <c r="P132" s="247"/>
      <c r="Q132" s="247"/>
      <c r="R132" s="247"/>
      <c r="S132" s="247"/>
      <c r="T132" s="259"/>
      <c r="U132" s="249"/>
      <c r="V132" s="5"/>
    </row>
    <row r="133" spans="1:23" ht="15.6" x14ac:dyDescent="0.3">
      <c r="A133" s="260"/>
      <c r="B133" s="399" t="s">
        <v>42</v>
      </c>
      <c r="C133" s="261"/>
      <c r="D133" s="261"/>
      <c r="E133" s="261"/>
      <c r="F133" s="261"/>
      <c r="G133" s="261"/>
      <c r="H133" s="261"/>
      <c r="I133" s="261"/>
      <c r="J133" s="261"/>
      <c r="K133" s="261"/>
      <c r="L133" s="261"/>
      <c r="M133" s="261"/>
      <c r="N133" s="261"/>
      <c r="O133" s="261"/>
      <c r="P133" s="261"/>
      <c r="Q133" s="261"/>
      <c r="R133" s="261"/>
      <c r="S133" s="261"/>
      <c r="T133" s="262"/>
      <c r="U133" s="261"/>
      <c r="V133" s="5"/>
    </row>
    <row r="134" spans="1:23" ht="15.6" x14ac:dyDescent="0.3">
      <c r="A134" s="175"/>
      <c r="B134" s="187"/>
      <c r="C134" s="177"/>
      <c r="D134" s="177"/>
      <c r="E134" s="177"/>
      <c r="F134" s="177"/>
      <c r="G134" s="177"/>
      <c r="H134" s="177"/>
      <c r="I134" s="177"/>
      <c r="J134" s="177"/>
      <c r="K134" s="177"/>
      <c r="L134" s="177"/>
      <c r="M134" s="177"/>
      <c r="N134" s="177"/>
      <c r="O134" s="177"/>
      <c r="P134" s="177"/>
      <c r="Q134" s="177"/>
      <c r="R134" s="177"/>
      <c r="S134" s="177"/>
      <c r="T134" s="194"/>
      <c r="U134" s="177"/>
      <c r="V134" s="5"/>
    </row>
    <row r="135" spans="1:23" ht="15.6" x14ac:dyDescent="0.3">
      <c r="A135" s="175"/>
      <c r="B135" s="201" t="s">
        <v>43</v>
      </c>
      <c r="C135" s="177"/>
      <c r="D135" s="177"/>
      <c r="E135" s="177"/>
      <c r="F135" s="177"/>
      <c r="G135" s="177"/>
      <c r="H135" s="177"/>
      <c r="I135" s="177"/>
      <c r="J135" s="177"/>
      <c r="K135" s="177"/>
      <c r="L135" s="177"/>
      <c r="M135" s="177"/>
      <c r="N135" s="177"/>
      <c r="O135" s="177"/>
      <c r="P135" s="177"/>
      <c r="Q135" s="177"/>
      <c r="R135" s="177"/>
      <c r="S135" s="177"/>
      <c r="T135" s="194"/>
      <c r="U135" s="177"/>
      <c r="V135" s="5"/>
    </row>
    <row r="136" spans="1:23" ht="15.6" x14ac:dyDescent="0.3">
      <c r="A136" s="284"/>
      <c r="B136" s="285" t="s">
        <v>44</v>
      </c>
      <c r="C136" s="285"/>
      <c r="D136" s="285"/>
      <c r="E136" s="285"/>
      <c r="F136" s="285"/>
      <c r="G136" s="285"/>
      <c r="H136" s="285"/>
      <c r="I136" s="285"/>
      <c r="J136" s="285"/>
      <c r="K136" s="285"/>
      <c r="L136" s="285"/>
      <c r="M136" s="285"/>
      <c r="N136" s="285"/>
      <c r="O136" s="285"/>
      <c r="P136" s="285"/>
      <c r="Q136" s="285"/>
      <c r="R136" s="285"/>
      <c r="S136" s="285"/>
      <c r="T136" s="339">
        <f>+T34*0.019</f>
        <v>19000.95</v>
      </c>
      <c r="U136" s="288"/>
      <c r="V136" s="5"/>
    </row>
    <row r="137" spans="1:23" ht="15.6" x14ac:dyDescent="0.3">
      <c r="A137" s="284"/>
      <c r="B137" s="285" t="s">
        <v>45</v>
      </c>
      <c r="C137" s="285"/>
      <c r="D137" s="285"/>
      <c r="E137" s="285"/>
      <c r="F137" s="285"/>
      <c r="G137" s="285"/>
      <c r="H137" s="285"/>
      <c r="I137" s="285"/>
      <c r="J137" s="285"/>
      <c r="K137" s="285"/>
      <c r="L137" s="285"/>
      <c r="M137" s="285"/>
      <c r="N137" s="285"/>
      <c r="O137" s="285"/>
      <c r="P137" s="285"/>
      <c r="Q137" s="285"/>
      <c r="R137" s="285"/>
      <c r="S137" s="285"/>
      <c r="T137" s="339">
        <v>19001</v>
      </c>
      <c r="U137" s="288"/>
      <c r="V137" s="5"/>
    </row>
    <row r="138" spans="1:23" ht="15.6" x14ac:dyDescent="0.3">
      <c r="A138" s="284"/>
      <c r="B138" s="285" t="s">
        <v>142</v>
      </c>
      <c r="C138" s="285"/>
      <c r="D138" s="285"/>
      <c r="E138" s="285"/>
      <c r="F138" s="285"/>
      <c r="G138" s="285"/>
      <c r="H138" s="285"/>
      <c r="I138" s="285"/>
      <c r="J138" s="285"/>
      <c r="K138" s="285"/>
      <c r="L138" s="285"/>
      <c r="M138" s="285"/>
      <c r="N138" s="285"/>
      <c r="O138" s="285"/>
      <c r="P138" s="285"/>
      <c r="Q138" s="285"/>
      <c r="R138" s="285"/>
      <c r="S138" s="285"/>
      <c r="T138" s="339">
        <v>0</v>
      </c>
      <c r="U138" s="288"/>
      <c r="V138" s="5"/>
    </row>
    <row r="139" spans="1:23" ht="15.6" x14ac:dyDescent="0.3">
      <c r="A139" s="284"/>
      <c r="B139" s="285" t="s">
        <v>129</v>
      </c>
      <c r="C139" s="285"/>
      <c r="D139" s="285"/>
      <c r="E139" s="285"/>
      <c r="F139" s="285"/>
      <c r="G139" s="285"/>
      <c r="H139" s="285"/>
      <c r="I139" s="285"/>
      <c r="J139" s="285"/>
      <c r="K139" s="285"/>
      <c r="L139" s="285"/>
      <c r="M139" s="285"/>
      <c r="N139" s="285"/>
      <c r="O139" s="285"/>
      <c r="P139" s="285"/>
      <c r="Q139" s="285"/>
      <c r="R139" s="285"/>
      <c r="S139" s="285"/>
      <c r="T139" s="339">
        <v>0</v>
      </c>
      <c r="U139" s="288"/>
      <c r="V139" s="5"/>
    </row>
    <row r="140" spans="1:23" ht="15.6" x14ac:dyDescent="0.3">
      <c r="A140" s="284"/>
      <c r="B140" s="285" t="s">
        <v>130</v>
      </c>
      <c r="C140" s="285"/>
      <c r="D140" s="285"/>
      <c r="E140" s="285"/>
      <c r="F140" s="285"/>
      <c r="G140" s="285"/>
      <c r="H140" s="285"/>
      <c r="I140" s="285"/>
      <c r="J140" s="285"/>
      <c r="K140" s="285"/>
      <c r="L140" s="285"/>
      <c r="M140" s="285"/>
      <c r="N140" s="285"/>
      <c r="O140" s="285"/>
      <c r="P140" s="285"/>
      <c r="Q140" s="285"/>
      <c r="R140" s="285"/>
      <c r="S140" s="285"/>
      <c r="T140" s="339">
        <v>0</v>
      </c>
      <c r="U140" s="288"/>
      <c r="V140" s="5"/>
    </row>
    <row r="141" spans="1:23" ht="15.6" x14ac:dyDescent="0.3">
      <c r="A141" s="284"/>
      <c r="B141" s="285" t="s">
        <v>182</v>
      </c>
      <c r="C141" s="285"/>
      <c r="D141" s="285"/>
      <c r="E141" s="285"/>
      <c r="F141" s="285"/>
      <c r="G141" s="285"/>
      <c r="H141" s="285"/>
      <c r="I141" s="285"/>
      <c r="J141" s="285"/>
      <c r="K141" s="285"/>
      <c r="L141" s="285"/>
      <c r="M141" s="285"/>
      <c r="N141" s="285"/>
      <c r="O141" s="285"/>
      <c r="P141" s="285"/>
      <c r="Q141" s="285"/>
      <c r="R141" s="285"/>
      <c r="S141" s="285"/>
      <c r="T141" s="339">
        <v>0</v>
      </c>
      <c r="U141" s="288"/>
      <c r="V141" s="5"/>
    </row>
    <row r="142" spans="1:23" ht="15.6" x14ac:dyDescent="0.3">
      <c r="A142" s="284"/>
      <c r="B142" s="285" t="s">
        <v>46</v>
      </c>
      <c r="C142" s="285"/>
      <c r="D142" s="285"/>
      <c r="E142" s="285"/>
      <c r="F142" s="285"/>
      <c r="G142" s="285"/>
      <c r="H142" s="285"/>
      <c r="I142" s="285"/>
      <c r="J142" s="285"/>
      <c r="K142" s="285"/>
      <c r="L142" s="285"/>
      <c r="M142" s="285"/>
      <c r="N142" s="285"/>
      <c r="O142" s="285"/>
      <c r="P142" s="285"/>
      <c r="Q142" s="285"/>
      <c r="R142" s="285"/>
      <c r="S142" s="285"/>
      <c r="T142" s="339">
        <v>0</v>
      </c>
      <c r="U142" s="288"/>
      <c r="V142" s="5"/>
    </row>
    <row r="143" spans="1:23" ht="15.6" x14ac:dyDescent="0.3">
      <c r="A143" s="284"/>
      <c r="B143" s="285" t="s">
        <v>135</v>
      </c>
      <c r="C143" s="285"/>
      <c r="D143" s="285"/>
      <c r="E143" s="285"/>
      <c r="F143" s="285"/>
      <c r="G143" s="285"/>
      <c r="H143" s="285"/>
      <c r="I143" s="285"/>
      <c r="J143" s="285"/>
      <c r="K143" s="285"/>
      <c r="L143" s="285"/>
      <c r="M143" s="285"/>
      <c r="N143" s="285"/>
      <c r="O143" s="285"/>
      <c r="P143" s="285"/>
      <c r="Q143" s="285"/>
      <c r="R143" s="285"/>
      <c r="S143" s="285"/>
      <c r="T143" s="339">
        <v>0</v>
      </c>
      <c r="U143" s="288"/>
      <c r="V143" s="5"/>
    </row>
    <row r="144" spans="1:23" ht="15.6" x14ac:dyDescent="0.3">
      <c r="A144" s="284"/>
      <c r="B144" s="285" t="s">
        <v>251</v>
      </c>
      <c r="C144" s="285"/>
      <c r="D144" s="285"/>
      <c r="E144" s="285"/>
      <c r="F144" s="285"/>
      <c r="G144" s="285"/>
      <c r="H144" s="285"/>
      <c r="I144" s="285"/>
      <c r="J144" s="285"/>
      <c r="K144" s="285"/>
      <c r="L144" s="285"/>
      <c r="M144" s="285"/>
      <c r="N144" s="285"/>
      <c r="O144" s="285"/>
      <c r="P144" s="285"/>
      <c r="Q144" s="285"/>
      <c r="R144" s="285"/>
      <c r="S144" s="285"/>
      <c r="T144" s="339">
        <v>0</v>
      </c>
      <c r="U144" s="288"/>
      <c r="V144" s="5"/>
      <c r="W144" s="109"/>
    </row>
    <row r="145" spans="1:22" ht="15.6" x14ac:dyDescent="0.3">
      <c r="A145" s="284"/>
      <c r="B145" s="285" t="s">
        <v>47</v>
      </c>
      <c r="C145" s="285"/>
      <c r="D145" s="285"/>
      <c r="E145" s="285"/>
      <c r="F145" s="285"/>
      <c r="G145" s="285"/>
      <c r="H145" s="285"/>
      <c r="I145" s="285"/>
      <c r="J145" s="285"/>
      <c r="K145" s="285"/>
      <c r="L145" s="285"/>
      <c r="M145" s="285"/>
      <c r="N145" s="285"/>
      <c r="O145" s="285"/>
      <c r="P145" s="285"/>
      <c r="Q145" s="285"/>
      <c r="R145" s="285"/>
      <c r="S145" s="285"/>
      <c r="T145" s="339">
        <f>SUM(T137:T144)</f>
        <v>19001</v>
      </c>
      <c r="U145" s="288"/>
      <c r="V145" s="5"/>
    </row>
    <row r="146" spans="1:22" ht="15.6" x14ac:dyDescent="0.3">
      <c r="A146" s="284"/>
      <c r="B146" s="311"/>
      <c r="C146" s="311"/>
      <c r="D146" s="311"/>
      <c r="E146" s="311"/>
      <c r="F146" s="311"/>
      <c r="G146" s="311"/>
      <c r="H146" s="311"/>
      <c r="I146" s="311"/>
      <c r="J146" s="311"/>
      <c r="K146" s="311"/>
      <c r="L146" s="311"/>
      <c r="M146" s="311"/>
      <c r="N146" s="311"/>
      <c r="O146" s="311"/>
      <c r="P146" s="311"/>
      <c r="Q146" s="311"/>
      <c r="R146" s="311"/>
      <c r="S146" s="311"/>
      <c r="T146" s="345"/>
      <c r="U146" s="317"/>
      <c r="V146" s="5"/>
    </row>
    <row r="147" spans="1:22" ht="15.6" x14ac:dyDescent="0.3">
      <c r="A147" s="284"/>
      <c r="B147" s="343" t="s">
        <v>262</v>
      </c>
      <c r="C147" s="311"/>
      <c r="D147" s="311"/>
      <c r="E147" s="311"/>
      <c r="F147" s="311"/>
      <c r="G147" s="311"/>
      <c r="H147" s="311"/>
      <c r="I147" s="311"/>
      <c r="J147" s="311"/>
      <c r="K147" s="311"/>
      <c r="L147" s="311"/>
      <c r="M147" s="311"/>
      <c r="N147" s="311"/>
      <c r="O147" s="311"/>
      <c r="P147" s="311"/>
      <c r="Q147" s="311"/>
      <c r="R147" s="311"/>
      <c r="S147" s="311"/>
      <c r="T147" s="345"/>
      <c r="U147" s="317"/>
      <c r="V147" s="5"/>
    </row>
    <row r="148" spans="1:22" ht="15.6" x14ac:dyDescent="0.3">
      <c r="A148" s="284"/>
      <c r="B148" s="285" t="s">
        <v>263</v>
      </c>
      <c r="C148" s="285"/>
      <c r="D148" s="285"/>
      <c r="E148" s="285"/>
      <c r="F148" s="285"/>
      <c r="G148" s="285"/>
      <c r="H148" s="285"/>
      <c r="I148" s="285"/>
      <c r="J148" s="285"/>
      <c r="K148" s="285"/>
      <c r="L148" s="285"/>
      <c r="M148" s="285"/>
      <c r="N148" s="285"/>
      <c r="O148" s="285"/>
      <c r="P148" s="285"/>
      <c r="Q148" s="285"/>
      <c r="R148" s="285"/>
      <c r="S148" s="285"/>
      <c r="T148" s="339">
        <v>0</v>
      </c>
      <c r="U148" s="288"/>
      <c r="V148" s="5"/>
    </row>
    <row r="149" spans="1:22" ht="15.6" x14ac:dyDescent="0.3">
      <c r="A149" s="284"/>
      <c r="B149" s="285" t="s">
        <v>179</v>
      </c>
      <c r="C149" s="285"/>
      <c r="D149" s="285"/>
      <c r="E149" s="285"/>
      <c r="F149" s="285"/>
      <c r="G149" s="285"/>
      <c r="H149" s="285"/>
      <c r="I149" s="285"/>
      <c r="J149" s="285"/>
      <c r="K149" s="285"/>
      <c r="L149" s="285"/>
      <c r="M149" s="285"/>
      <c r="N149" s="285"/>
      <c r="O149" s="285"/>
      <c r="P149" s="285"/>
      <c r="Q149" s="285"/>
      <c r="R149" s="285"/>
      <c r="S149" s="285"/>
      <c r="T149" s="339">
        <v>0</v>
      </c>
      <c r="U149" s="288"/>
      <c r="V149" s="5"/>
    </row>
    <row r="150" spans="1:22" ht="15.6" x14ac:dyDescent="0.3">
      <c r="A150" s="284"/>
      <c r="B150" s="285" t="s">
        <v>264</v>
      </c>
      <c r="C150" s="285"/>
      <c r="D150" s="285"/>
      <c r="E150" s="285"/>
      <c r="F150" s="285"/>
      <c r="G150" s="285"/>
      <c r="H150" s="285"/>
      <c r="I150" s="285"/>
      <c r="J150" s="285"/>
      <c r="K150" s="285"/>
      <c r="L150" s="285"/>
      <c r="M150" s="285"/>
      <c r="N150" s="285"/>
      <c r="O150" s="285"/>
      <c r="P150" s="285"/>
      <c r="Q150" s="285"/>
      <c r="R150" s="285"/>
      <c r="S150" s="285"/>
      <c r="T150" s="339">
        <v>0</v>
      </c>
      <c r="U150" s="288"/>
      <c r="V150" s="5"/>
    </row>
    <row r="151" spans="1:22" ht="15.6" x14ac:dyDescent="0.3">
      <c r="A151" s="284"/>
      <c r="B151" s="285"/>
      <c r="C151" s="285"/>
      <c r="D151" s="285"/>
      <c r="E151" s="285"/>
      <c r="F151" s="285"/>
      <c r="G151" s="285"/>
      <c r="H151" s="285"/>
      <c r="I151" s="285"/>
      <c r="J151" s="285"/>
      <c r="K151" s="285"/>
      <c r="L151" s="285"/>
      <c r="M151" s="285"/>
      <c r="N151" s="285"/>
      <c r="O151" s="285"/>
      <c r="P151" s="285"/>
      <c r="Q151" s="285"/>
      <c r="R151" s="285"/>
      <c r="S151" s="285"/>
      <c r="T151" s="339"/>
      <c r="U151" s="288"/>
      <c r="V151" s="5"/>
    </row>
    <row r="152" spans="1:22" ht="15.6" x14ac:dyDescent="0.3">
      <c r="A152" s="175"/>
      <c r="B152" s="334"/>
      <c r="C152" s="334"/>
      <c r="D152" s="334"/>
      <c r="E152" s="334"/>
      <c r="F152" s="334"/>
      <c r="G152" s="334"/>
      <c r="H152" s="334"/>
      <c r="I152" s="334"/>
      <c r="J152" s="334"/>
      <c r="K152" s="334"/>
      <c r="L152" s="334"/>
      <c r="M152" s="334"/>
      <c r="N152" s="334"/>
      <c r="O152" s="334"/>
      <c r="P152" s="334"/>
      <c r="Q152" s="334"/>
      <c r="R152" s="334"/>
      <c r="S152" s="334"/>
      <c r="T152" s="347"/>
      <c r="U152" s="334"/>
      <c r="V152" s="5"/>
    </row>
    <row r="153" spans="1:22" ht="15.6" x14ac:dyDescent="0.3">
      <c r="A153" s="175"/>
      <c r="B153" s="201" t="s">
        <v>24</v>
      </c>
      <c r="C153" s="177"/>
      <c r="D153" s="177"/>
      <c r="E153" s="177"/>
      <c r="F153" s="177"/>
      <c r="G153" s="177"/>
      <c r="H153" s="177"/>
      <c r="I153" s="177"/>
      <c r="J153" s="177"/>
      <c r="K153" s="177"/>
      <c r="L153" s="177"/>
      <c r="M153" s="177"/>
      <c r="N153" s="177"/>
      <c r="O153" s="177"/>
      <c r="P153" s="177"/>
      <c r="Q153" s="177"/>
      <c r="R153" s="177"/>
      <c r="S153" s="177"/>
      <c r="T153" s="194"/>
      <c r="U153" s="177"/>
      <c r="V153" s="5"/>
    </row>
    <row r="154" spans="1:22" ht="15.6" x14ac:dyDescent="0.3">
      <c r="A154" s="284"/>
      <c r="B154" s="285" t="s">
        <v>48</v>
      </c>
      <c r="C154" s="285"/>
      <c r="D154" s="285"/>
      <c r="E154" s="285"/>
      <c r="F154" s="285"/>
      <c r="G154" s="285"/>
      <c r="H154" s="285"/>
      <c r="I154" s="285"/>
      <c r="J154" s="285"/>
      <c r="K154" s="285"/>
      <c r="L154" s="285"/>
      <c r="M154" s="285"/>
      <c r="N154" s="285"/>
      <c r="O154" s="285"/>
      <c r="P154" s="285"/>
      <c r="Q154" s="285"/>
      <c r="R154" s="285"/>
      <c r="S154" s="285"/>
      <c r="T154" s="348" t="s">
        <v>124</v>
      </c>
      <c r="U154" s="288"/>
      <c r="V154" s="5"/>
    </row>
    <row r="155" spans="1:22" ht="15.6" x14ac:dyDescent="0.3">
      <c r="A155" s="284"/>
      <c r="B155" s="285" t="s">
        <v>49</v>
      </c>
      <c r="C155" s="287"/>
      <c r="D155" s="287"/>
      <c r="E155" s="287"/>
      <c r="F155" s="287"/>
      <c r="G155" s="287"/>
      <c r="H155" s="287"/>
      <c r="I155" s="287"/>
      <c r="J155" s="287"/>
      <c r="K155" s="287"/>
      <c r="L155" s="287"/>
      <c r="M155" s="287"/>
      <c r="N155" s="287"/>
      <c r="O155" s="287"/>
      <c r="P155" s="287"/>
      <c r="Q155" s="287"/>
      <c r="R155" s="287"/>
      <c r="S155" s="287"/>
      <c r="T155" s="348" t="s">
        <v>124</v>
      </c>
      <c r="U155" s="288"/>
      <c r="V155" s="5"/>
    </row>
    <row r="156" spans="1:22" ht="15.6" x14ac:dyDescent="0.3">
      <c r="A156" s="284"/>
      <c r="B156" s="285" t="s">
        <v>50</v>
      </c>
      <c r="C156" s="285"/>
      <c r="D156" s="285"/>
      <c r="E156" s="285"/>
      <c r="F156" s="285"/>
      <c r="G156" s="285"/>
      <c r="H156" s="285"/>
      <c r="I156" s="285"/>
      <c r="J156" s="285"/>
      <c r="K156" s="285"/>
      <c r="L156" s="285"/>
      <c r="M156" s="285"/>
      <c r="N156" s="285"/>
      <c r="O156" s="285"/>
      <c r="P156" s="285"/>
      <c r="Q156" s="285"/>
      <c r="R156" s="285"/>
      <c r="S156" s="285"/>
      <c r="T156" s="348" t="s">
        <v>124</v>
      </c>
      <c r="U156" s="288"/>
      <c r="V156" s="5"/>
    </row>
    <row r="157" spans="1:22" ht="15.6" x14ac:dyDescent="0.3">
      <c r="A157" s="284"/>
      <c r="B157" s="285" t="s">
        <v>51</v>
      </c>
      <c r="C157" s="285"/>
      <c r="D157" s="285"/>
      <c r="E157" s="285"/>
      <c r="F157" s="285"/>
      <c r="G157" s="285"/>
      <c r="H157" s="285"/>
      <c r="I157" s="285"/>
      <c r="J157" s="285"/>
      <c r="K157" s="285"/>
      <c r="L157" s="285"/>
      <c r="M157" s="285"/>
      <c r="N157" s="285"/>
      <c r="O157" s="285"/>
      <c r="P157" s="285"/>
      <c r="Q157" s="285"/>
      <c r="R157" s="285"/>
      <c r="S157" s="285"/>
      <c r="T157" s="348" t="s">
        <v>124</v>
      </c>
      <c r="U157" s="288"/>
      <c r="V157" s="5"/>
    </row>
    <row r="158" spans="1:22" ht="15.6" x14ac:dyDescent="0.3">
      <c r="A158" s="175"/>
      <c r="B158" s="334"/>
      <c r="C158" s="334"/>
      <c r="D158" s="334"/>
      <c r="E158" s="334"/>
      <c r="F158" s="334"/>
      <c r="G158" s="334"/>
      <c r="H158" s="334"/>
      <c r="I158" s="334"/>
      <c r="J158" s="334"/>
      <c r="K158" s="334"/>
      <c r="L158" s="334"/>
      <c r="M158" s="334"/>
      <c r="N158" s="334"/>
      <c r="O158" s="334"/>
      <c r="P158" s="334"/>
      <c r="Q158" s="334"/>
      <c r="R158" s="334"/>
      <c r="S158" s="334"/>
      <c r="T158" s="347"/>
      <c r="U158" s="334"/>
      <c r="V158" s="5"/>
    </row>
    <row r="159" spans="1:22" ht="15.6" x14ac:dyDescent="0.3">
      <c r="A159" s="175"/>
      <c r="B159" s="201" t="s">
        <v>52</v>
      </c>
      <c r="C159" s="177"/>
      <c r="D159" s="177"/>
      <c r="E159" s="177"/>
      <c r="F159" s="177"/>
      <c r="G159" s="177"/>
      <c r="H159" s="177"/>
      <c r="I159" s="177"/>
      <c r="J159" s="177"/>
      <c r="K159" s="177"/>
      <c r="L159" s="177"/>
      <c r="M159" s="177"/>
      <c r="N159" s="177"/>
      <c r="O159" s="177"/>
      <c r="P159" s="177"/>
      <c r="Q159" s="177"/>
      <c r="R159" s="177"/>
      <c r="S159" s="177"/>
      <c r="T159" s="202"/>
      <c r="U159" s="177"/>
      <c r="V159" s="5"/>
    </row>
    <row r="160" spans="1:22" ht="15.6" x14ac:dyDescent="0.3">
      <c r="A160" s="284"/>
      <c r="B160" s="285" t="s">
        <v>53</v>
      </c>
      <c r="C160" s="285"/>
      <c r="D160" s="285"/>
      <c r="E160" s="285"/>
      <c r="F160" s="285"/>
      <c r="G160" s="285"/>
      <c r="H160" s="285"/>
      <c r="I160" s="285"/>
      <c r="J160" s="285"/>
      <c r="K160" s="285"/>
      <c r="L160" s="285"/>
      <c r="M160" s="285"/>
      <c r="N160" s="285"/>
      <c r="O160" s="285"/>
      <c r="P160" s="285"/>
      <c r="Q160" s="285"/>
      <c r="R160" s="285"/>
      <c r="S160" s="285"/>
      <c r="T160" s="339">
        <v>0</v>
      </c>
      <c r="U160" s="288"/>
      <c r="V160" s="5"/>
    </row>
    <row r="161" spans="1:22" ht="15.6" x14ac:dyDescent="0.3">
      <c r="A161" s="284"/>
      <c r="B161" s="285" t="s">
        <v>54</v>
      </c>
      <c r="C161" s="285"/>
      <c r="D161" s="285"/>
      <c r="E161" s="285"/>
      <c r="F161" s="285"/>
      <c r="G161" s="285"/>
      <c r="H161" s="285"/>
      <c r="I161" s="285"/>
      <c r="J161" s="285"/>
      <c r="K161" s="285"/>
      <c r="L161" s="285"/>
      <c r="M161" s="285"/>
      <c r="N161" s="285"/>
      <c r="O161" s="285"/>
      <c r="P161" s="285"/>
      <c r="Q161" s="285"/>
      <c r="R161" s="285"/>
      <c r="S161" s="285"/>
      <c r="T161" s="339">
        <f>R112</f>
        <v>155</v>
      </c>
      <c r="U161" s="288"/>
      <c r="V161" s="5"/>
    </row>
    <row r="162" spans="1:22" ht="15.6" x14ac:dyDescent="0.3">
      <c r="A162" s="284"/>
      <c r="B162" s="285" t="s">
        <v>55</v>
      </c>
      <c r="C162" s="285"/>
      <c r="D162" s="285"/>
      <c r="E162" s="285"/>
      <c r="F162" s="285"/>
      <c r="G162" s="285"/>
      <c r="H162" s="285"/>
      <c r="I162" s="285"/>
      <c r="J162" s="285"/>
      <c r="K162" s="285"/>
      <c r="L162" s="285"/>
      <c r="M162" s="285"/>
      <c r="N162" s="285"/>
      <c r="O162" s="285"/>
      <c r="P162" s="285"/>
      <c r="Q162" s="285"/>
      <c r="R162" s="285"/>
      <c r="S162" s="285"/>
      <c r="T162" s="339">
        <f>T161+T160</f>
        <v>155</v>
      </c>
      <c r="U162" s="288"/>
      <c r="V162" s="5"/>
    </row>
    <row r="163" spans="1:22" ht="15.6" x14ac:dyDescent="0.3">
      <c r="A163" s="284"/>
      <c r="B163" s="285" t="s">
        <v>301</v>
      </c>
      <c r="C163" s="285"/>
      <c r="D163" s="285"/>
      <c r="E163" s="285"/>
      <c r="F163" s="285"/>
      <c r="G163" s="285"/>
      <c r="H163" s="285"/>
      <c r="I163" s="285"/>
      <c r="J163" s="285"/>
      <c r="K163" s="285"/>
      <c r="L163" s="285"/>
      <c r="M163" s="285"/>
      <c r="N163" s="285"/>
      <c r="O163" s="285"/>
      <c r="P163" s="285"/>
      <c r="Q163" s="285"/>
      <c r="R163" s="285"/>
      <c r="S163" s="285"/>
      <c r="T163" s="339">
        <f>T112</f>
        <v>-155</v>
      </c>
      <c r="U163" s="288"/>
      <c r="V163" s="5"/>
    </row>
    <row r="164" spans="1:22" ht="15.6" x14ac:dyDescent="0.3">
      <c r="A164" s="284"/>
      <c r="B164" s="285" t="s">
        <v>56</v>
      </c>
      <c r="C164" s="285"/>
      <c r="D164" s="285"/>
      <c r="E164" s="285"/>
      <c r="F164" s="285"/>
      <c r="G164" s="285"/>
      <c r="H164" s="285"/>
      <c r="I164" s="285"/>
      <c r="J164" s="285"/>
      <c r="K164" s="285"/>
      <c r="L164" s="285"/>
      <c r="M164" s="285"/>
      <c r="N164" s="285"/>
      <c r="O164" s="285"/>
      <c r="P164" s="285"/>
      <c r="Q164" s="285"/>
      <c r="R164" s="285"/>
      <c r="S164" s="285"/>
      <c r="T164" s="339">
        <f>T162+T163</f>
        <v>0</v>
      </c>
      <c r="U164" s="288"/>
      <c r="V164" s="5"/>
    </row>
    <row r="165" spans="1:22" ht="15.6" x14ac:dyDescent="0.3">
      <c r="A165" s="284"/>
      <c r="B165" s="285" t="s">
        <v>273</v>
      </c>
      <c r="C165" s="285"/>
      <c r="D165" s="285"/>
      <c r="E165" s="285"/>
      <c r="F165" s="285"/>
      <c r="G165" s="285"/>
      <c r="H165" s="285"/>
      <c r="I165" s="285"/>
      <c r="J165" s="285"/>
      <c r="K165" s="285"/>
      <c r="L165" s="285"/>
      <c r="M165" s="285"/>
      <c r="N165" s="285"/>
      <c r="O165" s="285"/>
      <c r="P165" s="285"/>
      <c r="Q165" s="285"/>
      <c r="R165" s="285"/>
      <c r="S165" s="285"/>
      <c r="T165" s="339">
        <v>0</v>
      </c>
      <c r="U165" s="288"/>
      <c r="V165" s="5"/>
    </row>
    <row r="166" spans="1:22" ht="16.2" thickBot="1" x14ac:dyDescent="0.35">
      <c r="A166" s="175"/>
      <c r="B166" s="334"/>
      <c r="C166" s="334"/>
      <c r="D166" s="334"/>
      <c r="E166" s="334"/>
      <c r="F166" s="334"/>
      <c r="G166" s="334"/>
      <c r="H166" s="334"/>
      <c r="I166" s="334"/>
      <c r="J166" s="334"/>
      <c r="K166" s="334"/>
      <c r="L166" s="334"/>
      <c r="M166" s="334"/>
      <c r="N166" s="334"/>
      <c r="O166" s="334"/>
      <c r="P166" s="334"/>
      <c r="Q166" s="334"/>
      <c r="R166" s="334"/>
      <c r="S166" s="334"/>
      <c r="T166" s="347"/>
      <c r="U166" s="334"/>
      <c r="V166" s="5"/>
    </row>
    <row r="167" spans="1:22" ht="15.6" x14ac:dyDescent="0.3">
      <c r="A167" s="173"/>
      <c r="B167" s="174"/>
      <c r="C167" s="174"/>
      <c r="D167" s="174"/>
      <c r="E167" s="174"/>
      <c r="F167" s="174"/>
      <c r="G167" s="174"/>
      <c r="H167" s="174"/>
      <c r="I167" s="174"/>
      <c r="J167" s="174"/>
      <c r="K167" s="174"/>
      <c r="L167" s="174"/>
      <c r="M167" s="174"/>
      <c r="N167" s="174"/>
      <c r="O167" s="174"/>
      <c r="P167" s="174"/>
      <c r="Q167" s="174"/>
      <c r="R167" s="174"/>
      <c r="S167" s="174"/>
      <c r="T167" s="193"/>
      <c r="U167" s="174"/>
      <c r="V167" s="5"/>
    </row>
    <row r="168" spans="1:22" ht="15.6" x14ac:dyDescent="0.3">
      <c r="A168" s="175"/>
      <c r="B168" s="201" t="s">
        <v>57</v>
      </c>
      <c r="C168" s="177"/>
      <c r="D168" s="177"/>
      <c r="E168" s="177"/>
      <c r="F168" s="177"/>
      <c r="G168" s="177"/>
      <c r="H168" s="177"/>
      <c r="I168" s="177"/>
      <c r="J168" s="177"/>
      <c r="K168" s="177"/>
      <c r="L168" s="177"/>
      <c r="M168" s="177"/>
      <c r="N168" s="177"/>
      <c r="O168" s="177"/>
      <c r="P168" s="177"/>
      <c r="Q168" s="177"/>
      <c r="R168" s="177"/>
      <c r="S168" s="177"/>
      <c r="T168" s="194"/>
      <c r="U168" s="177"/>
      <c r="V168" s="5"/>
    </row>
    <row r="169" spans="1:22" ht="15.6" x14ac:dyDescent="0.3">
      <c r="A169" s="175"/>
      <c r="B169" s="187"/>
      <c r="C169" s="177"/>
      <c r="D169" s="177"/>
      <c r="E169" s="177"/>
      <c r="F169" s="177"/>
      <c r="G169" s="177"/>
      <c r="H169" s="177"/>
      <c r="I169" s="177"/>
      <c r="J169" s="177"/>
      <c r="K169" s="177"/>
      <c r="L169" s="177"/>
      <c r="M169" s="177"/>
      <c r="N169" s="177"/>
      <c r="O169" s="177"/>
      <c r="P169" s="177"/>
      <c r="Q169" s="177"/>
      <c r="R169" s="177"/>
      <c r="S169" s="177"/>
      <c r="T169" s="194"/>
      <c r="U169" s="177"/>
      <c r="V169" s="5"/>
    </row>
    <row r="170" spans="1:22" ht="15.6" x14ac:dyDescent="0.3">
      <c r="A170" s="284"/>
      <c r="B170" s="285" t="s">
        <v>58</v>
      </c>
      <c r="C170" s="285"/>
      <c r="D170" s="285"/>
      <c r="E170" s="285"/>
      <c r="F170" s="285"/>
      <c r="G170" s="285"/>
      <c r="H170" s="285"/>
      <c r="I170" s="285"/>
      <c r="J170" s="285"/>
      <c r="K170" s="285"/>
      <c r="L170" s="285"/>
      <c r="M170" s="285"/>
      <c r="N170" s="285"/>
      <c r="O170" s="285"/>
      <c r="P170" s="285"/>
      <c r="Q170" s="285"/>
      <c r="R170" s="285"/>
      <c r="S170" s="285"/>
      <c r="T170" s="339">
        <f>T71</f>
        <v>563025</v>
      </c>
      <c r="U170" s="288"/>
      <c r="V170" s="5"/>
    </row>
    <row r="171" spans="1:22" ht="15.6" x14ac:dyDescent="0.3">
      <c r="A171" s="284"/>
      <c r="B171" s="285" t="s">
        <v>59</v>
      </c>
      <c r="C171" s="285"/>
      <c r="D171" s="285"/>
      <c r="E171" s="285"/>
      <c r="F171" s="285"/>
      <c r="G171" s="285"/>
      <c r="H171" s="285"/>
      <c r="I171" s="285"/>
      <c r="J171" s="285"/>
      <c r="K171" s="285"/>
      <c r="L171" s="285"/>
      <c r="M171" s="285"/>
      <c r="N171" s="285"/>
      <c r="O171" s="285"/>
      <c r="P171" s="285"/>
      <c r="Q171" s="285"/>
      <c r="R171" s="285"/>
      <c r="S171" s="285"/>
      <c r="T171" s="339">
        <f>T84</f>
        <v>563025</v>
      </c>
      <c r="U171" s="288"/>
      <c r="V171" s="5"/>
    </row>
    <row r="172" spans="1:22" ht="16.2" thickBot="1" x14ac:dyDescent="0.35">
      <c r="A172" s="175"/>
      <c r="B172" s="334"/>
      <c r="C172" s="334"/>
      <c r="D172" s="334"/>
      <c r="E172" s="334"/>
      <c r="F172" s="334"/>
      <c r="G172" s="334"/>
      <c r="H172" s="334"/>
      <c r="I172" s="334"/>
      <c r="J172" s="334"/>
      <c r="K172" s="334"/>
      <c r="L172" s="334"/>
      <c r="M172" s="334"/>
      <c r="N172" s="334"/>
      <c r="O172" s="334"/>
      <c r="P172" s="334"/>
      <c r="Q172" s="334"/>
      <c r="R172" s="334"/>
      <c r="S172" s="334"/>
      <c r="T172" s="347"/>
      <c r="U172" s="334"/>
      <c r="V172" s="5"/>
    </row>
    <row r="173" spans="1:22" ht="15.6" x14ac:dyDescent="0.3">
      <c r="A173" s="173"/>
      <c r="B173" s="174"/>
      <c r="C173" s="174"/>
      <c r="D173" s="174"/>
      <c r="E173" s="174"/>
      <c r="F173" s="174"/>
      <c r="G173" s="174"/>
      <c r="H173" s="174"/>
      <c r="I173" s="174"/>
      <c r="J173" s="174"/>
      <c r="K173" s="174"/>
      <c r="L173" s="174"/>
      <c r="M173" s="174"/>
      <c r="N173" s="174"/>
      <c r="O173" s="174"/>
      <c r="P173" s="174"/>
      <c r="Q173" s="174"/>
      <c r="R173" s="174"/>
      <c r="S173" s="174"/>
      <c r="T173" s="193"/>
      <c r="U173" s="174"/>
      <c r="V173" s="5"/>
    </row>
    <row r="174" spans="1:22" ht="15.6" x14ac:dyDescent="0.3">
      <c r="A174" s="175"/>
      <c r="B174" s="201" t="s">
        <v>60</v>
      </c>
      <c r="C174" s="198"/>
      <c r="D174" s="198"/>
      <c r="E174" s="198"/>
      <c r="F174" s="198"/>
      <c r="G174" s="198"/>
      <c r="H174" s="203"/>
      <c r="I174" s="203"/>
      <c r="J174" s="203"/>
      <c r="K174" s="203"/>
      <c r="L174" s="203"/>
      <c r="M174" s="203"/>
      <c r="N174" s="203"/>
      <c r="O174" s="203"/>
      <c r="P174" s="203"/>
      <c r="Q174" s="203" t="s">
        <v>104</v>
      </c>
      <c r="R174" s="203" t="s">
        <v>183</v>
      </c>
      <c r="S174" s="179"/>
      <c r="T174" s="204" t="s">
        <v>120</v>
      </c>
      <c r="U174" s="205"/>
      <c r="V174" s="5"/>
    </row>
    <row r="175" spans="1:22" ht="15.6" x14ac:dyDescent="0.3">
      <c r="A175" s="284"/>
      <c r="B175" s="285" t="s">
        <v>61</v>
      </c>
      <c r="C175" s="285"/>
      <c r="D175" s="285"/>
      <c r="E175" s="285"/>
      <c r="F175" s="285"/>
      <c r="G175" s="285"/>
      <c r="H175" s="285"/>
      <c r="I175" s="285"/>
      <c r="J175" s="285"/>
      <c r="K175" s="285"/>
      <c r="L175" s="285"/>
      <c r="M175" s="285"/>
      <c r="N175" s="285"/>
      <c r="O175" s="285"/>
      <c r="P175" s="285"/>
      <c r="Q175" s="339">
        <v>160008</v>
      </c>
      <c r="R175" s="324"/>
      <c r="S175" s="285"/>
      <c r="T175" s="339"/>
      <c r="U175" s="288"/>
      <c r="V175" s="5"/>
    </row>
    <row r="176" spans="1:22" ht="15.6" x14ac:dyDescent="0.3">
      <c r="A176" s="284"/>
      <c r="B176" s="285" t="s">
        <v>62</v>
      </c>
      <c r="C176" s="285"/>
      <c r="D176" s="285"/>
      <c r="E176" s="285"/>
      <c r="F176" s="285"/>
      <c r="G176" s="285"/>
      <c r="H176" s="285"/>
      <c r="I176" s="285"/>
      <c r="J176" s="285"/>
      <c r="K176" s="285"/>
      <c r="L176" s="285"/>
      <c r="M176" s="285"/>
      <c r="N176" s="285"/>
      <c r="O176" s="285"/>
      <c r="P176" s="285"/>
      <c r="Q176" s="339">
        <f>+'Dec 11'!Q178</f>
        <v>36752</v>
      </c>
      <c r="R176" s="339">
        <f>+'Dec 11'!R178</f>
        <v>3447</v>
      </c>
      <c r="S176" s="285"/>
      <c r="T176" s="339">
        <f>Q176+R176</f>
        <v>40199</v>
      </c>
      <c r="U176" s="288"/>
      <c r="V176" s="5"/>
    </row>
    <row r="177" spans="1:22" ht="15.6" x14ac:dyDescent="0.3">
      <c r="A177" s="284"/>
      <c r="B177" s="285" t="s">
        <v>63</v>
      </c>
      <c r="C177" s="285"/>
      <c r="D177" s="285"/>
      <c r="E177" s="285"/>
      <c r="F177" s="285"/>
      <c r="G177" s="285"/>
      <c r="H177" s="285"/>
      <c r="I177" s="285"/>
      <c r="J177" s="285"/>
      <c r="K177" s="285"/>
      <c r="L177" s="285"/>
      <c r="M177" s="285"/>
      <c r="N177" s="285"/>
      <c r="O177" s="285"/>
      <c r="P177" s="285"/>
      <c r="Q177" s="338">
        <v>20</v>
      </c>
      <c r="R177" s="338">
        <v>0</v>
      </c>
      <c r="S177" s="285"/>
      <c r="T177" s="339">
        <f>Q177+R177</f>
        <v>20</v>
      </c>
      <c r="U177" s="288"/>
      <c r="V177" s="5"/>
    </row>
    <row r="178" spans="1:22" ht="15.6" x14ac:dyDescent="0.3">
      <c r="A178" s="284"/>
      <c r="B178" s="285" t="s">
        <v>64</v>
      </c>
      <c r="C178" s="285"/>
      <c r="D178" s="285"/>
      <c r="E178" s="285"/>
      <c r="F178" s="285"/>
      <c r="G178" s="285"/>
      <c r="H178" s="285"/>
      <c r="I178" s="285"/>
      <c r="J178" s="285"/>
      <c r="K178" s="285"/>
      <c r="L178" s="285"/>
      <c r="M178" s="285"/>
      <c r="N178" s="285"/>
      <c r="O178" s="285"/>
      <c r="P178" s="285"/>
      <c r="Q178" s="339">
        <f>Q176+Q177</f>
        <v>36772</v>
      </c>
      <c r="R178" s="339">
        <f>R177+R176</f>
        <v>3447</v>
      </c>
      <c r="S178" s="285"/>
      <c r="T178" s="339">
        <f>Q178+R178</f>
        <v>40219</v>
      </c>
      <c r="U178" s="288"/>
      <c r="V178" s="5"/>
    </row>
    <row r="179" spans="1:22" ht="15.6" x14ac:dyDescent="0.3">
      <c r="A179" s="284"/>
      <c r="B179" s="285" t="s">
        <v>65</v>
      </c>
      <c r="C179" s="285"/>
      <c r="D179" s="285"/>
      <c r="E179" s="285"/>
      <c r="F179" s="285"/>
      <c r="G179" s="285"/>
      <c r="H179" s="285"/>
      <c r="I179" s="285"/>
      <c r="J179" s="285"/>
      <c r="K179" s="285"/>
      <c r="L179" s="285"/>
      <c r="M179" s="285"/>
      <c r="N179" s="285"/>
      <c r="O179" s="285"/>
      <c r="P179" s="285"/>
      <c r="Q179" s="339">
        <f>Q175-Q178-R178</f>
        <v>119789</v>
      </c>
      <c r="R179" s="324"/>
      <c r="S179" s="285"/>
      <c r="T179" s="339"/>
      <c r="U179" s="288"/>
      <c r="V179" s="5"/>
    </row>
    <row r="180" spans="1:22" ht="16.2" thickBot="1" x14ac:dyDescent="0.35">
      <c r="A180" s="175"/>
      <c r="B180" s="334"/>
      <c r="C180" s="334"/>
      <c r="D180" s="334"/>
      <c r="E180" s="334"/>
      <c r="F180" s="334"/>
      <c r="G180" s="334"/>
      <c r="H180" s="334"/>
      <c r="I180" s="334"/>
      <c r="J180" s="334"/>
      <c r="K180" s="334"/>
      <c r="L180" s="334"/>
      <c r="M180" s="334"/>
      <c r="N180" s="334"/>
      <c r="O180" s="334"/>
      <c r="P180" s="334"/>
      <c r="Q180" s="334"/>
      <c r="R180" s="334"/>
      <c r="S180" s="334"/>
      <c r="T180" s="347"/>
      <c r="U180" s="334"/>
      <c r="V180" s="5"/>
    </row>
    <row r="181" spans="1:22" ht="15.6" x14ac:dyDescent="0.3">
      <c r="A181" s="173"/>
      <c r="B181" s="174"/>
      <c r="C181" s="174"/>
      <c r="D181" s="174"/>
      <c r="E181" s="174"/>
      <c r="F181" s="174"/>
      <c r="G181" s="174"/>
      <c r="H181" s="174"/>
      <c r="I181" s="174"/>
      <c r="J181" s="174"/>
      <c r="K181" s="174"/>
      <c r="L181" s="174"/>
      <c r="M181" s="174"/>
      <c r="N181" s="174"/>
      <c r="O181" s="174"/>
      <c r="P181" s="174"/>
      <c r="Q181" s="174"/>
      <c r="R181" s="174"/>
      <c r="S181" s="174"/>
      <c r="T181" s="193"/>
      <c r="U181" s="174"/>
      <c r="V181" s="5"/>
    </row>
    <row r="182" spans="1:22" ht="15.6" x14ac:dyDescent="0.3">
      <c r="A182" s="175"/>
      <c r="B182" s="201" t="s">
        <v>66</v>
      </c>
      <c r="C182" s="177"/>
      <c r="D182" s="177"/>
      <c r="E182" s="177"/>
      <c r="F182" s="177"/>
      <c r="G182" s="177"/>
      <c r="H182" s="177"/>
      <c r="I182" s="177"/>
      <c r="J182" s="177"/>
      <c r="K182" s="177"/>
      <c r="L182" s="177"/>
      <c r="M182" s="177"/>
      <c r="N182" s="177"/>
      <c r="O182" s="177"/>
      <c r="P182" s="177"/>
      <c r="Q182" s="177"/>
      <c r="R182" s="177"/>
      <c r="S182" s="177"/>
      <c r="T182" s="206"/>
      <c r="U182" s="177"/>
      <c r="V182" s="5"/>
    </row>
    <row r="183" spans="1:22" ht="15.6" x14ac:dyDescent="0.3">
      <c r="A183" s="284"/>
      <c r="B183" s="285" t="s">
        <v>67</v>
      </c>
      <c r="C183" s="285"/>
      <c r="D183" s="285"/>
      <c r="E183" s="285"/>
      <c r="F183" s="285"/>
      <c r="G183" s="285"/>
      <c r="H183" s="285"/>
      <c r="I183" s="285"/>
      <c r="J183" s="285"/>
      <c r="K183" s="285"/>
      <c r="L183" s="285"/>
      <c r="M183" s="285"/>
      <c r="N183" s="285"/>
      <c r="O183" s="285"/>
      <c r="P183" s="285"/>
      <c r="Q183" s="285"/>
      <c r="R183" s="285"/>
      <c r="S183" s="285"/>
      <c r="T183" s="348">
        <f>(T100+T102+T103+T104+T105)/-(T106+T107)</f>
        <v>3.0372578241430701</v>
      </c>
      <c r="U183" s="288" t="s">
        <v>121</v>
      </c>
      <c r="V183" s="5"/>
    </row>
    <row r="184" spans="1:22" ht="15.6" x14ac:dyDescent="0.3">
      <c r="A184" s="284"/>
      <c r="B184" s="285" t="s">
        <v>68</v>
      </c>
      <c r="C184" s="285"/>
      <c r="D184" s="285"/>
      <c r="E184" s="285"/>
      <c r="F184" s="285"/>
      <c r="G184" s="285"/>
      <c r="H184" s="285"/>
      <c r="I184" s="285"/>
      <c r="J184" s="285"/>
      <c r="K184" s="285"/>
      <c r="L184" s="285"/>
      <c r="M184" s="285"/>
      <c r="N184" s="285"/>
      <c r="O184" s="285"/>
      <c r="P184" s="285"/>
      <c r="Q184" s="285"/>
      <c r="R184" s="285"/>
      <c r="S184" s="285"/>
      <c r="T184" s="349">
        <v>1.63</v>
      </c>
      <c r="U184" s="288" t="s">
        <v>121</v>
      </c>
      <c r="V184" s="5"/>
    </row>
    <row r="185" spans="1:22" ht="15.6" x14ac:dyDescent="0.3">
      <c r="A185" s="284"/>
      <c r="B185" s="285" t="s">
        <v>69</v>
      </c>
      <c r="C185" s="285"/>
      <c r="D185" s="285"/>
      <c r="E185" s="285"/>
      <c r="F185" s="285"/>
      <c r="G185" s="285"/>
      <c r="H185" s="285"/>
      <c r="I185" s="285"/>
      <c r="J185" s="285"/>
      <c r="K185" s="285"/>
      <c r="L185" s="285"/>
      <c r="M185" s="285"/>
      <c r="N185" s="285"/>
      <c r="O185" s="285"/>
      <c r="P185" s="285"/>
      <c r="Q185" s="285"/>
      <c r="R185" s="285"/>
      <c r="S185" s="285"/>
      <c r="T185" s="348">
        <f>(T100+T102+T103+T104+T105+T106+T107)/-(T108+T109)</f>
        <v>9.5929824561403514</v>
      </c>
      <c r="U185" s="288" t="s">
        <v>121</v>
      </c>
      <c r="V185" s="5"/>
    </row>
    <row r="186" spans="1:22" ht="15.6" x14ac:dyDescent="0.3">
      <c r="A186" s="284"/>
      <c r="B186" s="285" t="s">
        <v>70</v>
      </c>
      <c r="C186" s="285"/>
      <c r="D186" s="285"/>
      <c r="E186" s="285"/>
      <c r="F186" s="285"/>
      <c r="G186" s="285"/>
      <c r="H186" s="285"/>
      <c r="I186" s="285"/>
      <c r="J186" s="285"/>
      <c r="K186" s="285"/>
      <c r="L186" s="285"/>
      <c r="M186" s="285"/>
      <c r="N186" s="285"/>
      <c r="O186" s="285"/>
      <c r="P186" s="285"/>
      <c r="Q186" s="285"/>
      <c r="R186" s="285"/>
      <c r="S186" s="285"/>
      <c r="T186" s="349">
        <v>5.55</v>
      </c>
      <c r="U186" s="288" t="s">
        <v>121</v>
      </c>
      <c r="V186" s="5"/>
    </row>
    <row r="187" spans="1:22" ht="15.6" x14ac:dyDescent="0.3">
      <c r="A187" s="284"/>
      <c r="B187" s="285" t="s">
        <v>206</v>
      </c>
      <c r="C187" s="285"/>
      <c r="D187" s="285"/>
      <c r="E187" s="285"/>
      <c r="F187" s="285"/>
      <c r="G187" s="285"/>
      <c r="H187" s="285"/>
      <c r="I187" s="285"/>
      <c r="J187" s="285"/>
      <c r="K187" s="285"/>
      <c r="L187" s="285"/>
      <c r="M187" s="285"/>
      <c r="N187" s="285"/>
      <c r="O187" s="285"/>
      <c r="P187" s="285"/>
      <c r="Q187" s="285"/>
      <c r="R187" s="285"/>
      <c r="S187" s="285"/>
      <c r="T187" s="348">
        <f>(T100+T102+T103+T104+T105+T106+T107+T108+T109)/-(T110)</f>
        <v>8.0032679738562091</v>
      </c>
      <c r="U187" s="288" t="s">
        <v>121</v>
      </c>
      <c r="V187" s="5"/>
    </row>
    <row r="188" spans="1:22" ht="15.6" x14ac:dyDescent="0.3">
      <c r="A188" s="284"/>
      <c r="B188" s="285" t="s">
        <v>207</v>
      </c>
      <c r="C188" s="285"/>
      <c r="D188" s="285"/>
      <c r="E188" s="285"/>
      <c r="F188" s="285"/>
      <c r="G188" s="285"/>
      <c r="H188" s="285"/>
      <c r="I188" s="285"/>
      <c r="J188" s="285"/>
      <c r="K188" s="285"/>
      <c r="L188" s="285"/>
      <c r="M188" s="285"/>
      <c r="N188" s="285"/>
      <c r="O188" s="285"/>
      <c r="P188" s="285"/>
      <c r="Q188" s="285"/>
      <c r="R188" s="285"/>
      <c r="S188" s="285"/>
      <c r="T188" s="349">
        <v>5.08</v>
      </c>
      <c r="U188" s="288" t="s">
        <v>121</v>
      </c>
      <c r="V188" s="5"/>
    </row>
    <row r="189" spans="1:22" ht="15.6" x14ac:dyDescent="0.3">
      <c r="A189" s="284"/>
      <c r="B189" s="311"/>
      <c r="C189" s="311"/>
      <c r="D189" s="311"/>
      <c r="E189" s="311"/>
      <c r="F189" s="311"/>
      <c r="G189" s="311"/>
      <c r="H189" s="311"/>
      <c r="I189" s="311"/>
      <c r="J189" s="311"/>
      <c r="K189" s="311"/>
      <c r="L189" s="311"/>
      <c r="M189" s="311"/>
      <c r="N189" s="311"/>
      <c r="O189" s="311"/>
      <c r="P189" s="311"/>
      <c r="Q189" s="311"/>
      <c r="R189" s="311"/>
      <c r="S189" s="311"/>
      <c r="T189" s="311"/>
      <c r="U189" s="317"/>
      <c r="V189" s="5"/>
    </row>
    <row r="190" spans="1:22" ht="15.6" x14ac:dyDescent="0.3">
      <c r="A190" s="175"/>
      <c r="B190" s="334"/>
      <c r="C190" s="334"/>
      <c r="D190" s="334"/>
      <c r="E190" s="334"/>
      <c r="F190" s="334"/>
      <c r="G190" s="334"/>
      <c r="H190" s="334"/>
      <c r="I190" s="334"/>
      <c r="J190" s="334"/>
      <c r="K190" s="334"/>
      <c r="L190" s="334"/>
      <c r="M190" s="334"/>
      <c r="N190" s="334"/>
      <c r="O190" s="334"/>
      <c r="P190" s="334"/>
      <c r="Q190" s="334"/>
      <c r="R190" s="334"/>
      <c r="S190" s="334"/>
      <c r="T190" s="334"/>
      <c r="U190" s="334"/>
      <c r="V190" s="5"/>
    </row>
    <row r="191" spans="1:22" ht="15.6" x14ac:dyDescent="0.3">
      <c r="A191" s="175"/>
      <c r="B191" s="177"/>
      <c r="C191" s="177"/>
      <c r="D191" s="177"/>
      <c r="E191" s="177"/>
      <c r="F191" s="177"/>
      <c r="G191" s="177"/>
      <c r="H191" s="177"/>
      <c r="I191" s="177"/>
      <c r="J191" s="177"/>
      <c r="K191" s="177"/>
      <c r="L191" s="177"/>
      <c r="M191" s="177"/>
      <c r="N191" s="177"/>
      <c r="O191" s="177"/>
      <c r="P191" s="177"/>
      <c r="Q191" s="177"/>
      <c r="R191" s="177"/>
      <c r="S191" s="177"/>
      <c r="T191" s="177"/>
      <c r="U191" s="177"/>
      <c r="V191" s="5"/>
    </row>
    <row r="192" spans="1:22" ht="18" thickBot="1" x14ac:dyDescent="0.35">
      <c r="A192" s="192"/>
      <c r="B192" s="246" t="str">
        <f>B132</f>
        <v>PM11 INVESTOR REPORT QUARTER ENDING MARCH 2012</v>
      </c>
      <c r="C192" s="207"/>
      <c r="D192" s="207"/>
      <c r="E192" s="207"/>
      <c r="F192" s="207"/>
      <c r="G192" s="207"/>
      <c r="H192" s="207"/>
      <c r="I192" s="207"/>
      <c r="J192" s="207"/>
      <c r="K192" s="207"/>
      <c r="L192" s="207"/>
      <c r="M192" s="207"/>
      <c r="N192" s="207"/>
      <c r="O192" s="207"/>
      <c r="P192" s="207"/>
      <c r="Q192" s="207"/>
      <c r="R192" s="207"/>
      <c r="S192" s="207"/>
      <c r="T192" s="207"/>
      <c r="U192" s="208"/>
      <c r="V192" s="5"/>
    </row>
    <row r="193" spans="1:22" ht="15.6" x14ac:dyDescent="0.3">
      <c r="A193" s="260"/>
      <c r="B193" s="399" t="s">
        <v>71</v>
      </c>
      <c r="C193" s="400"/>
      <c r="D193" s="400"/>
      <c r="E193" s="400"/>
      <c r="F193" s="400"/>
      <c r="G193" s="401"/>
      <c r="H193" s="401"/>
      <c r="I193" s="401"/>
      <c r="J193" s="401"/>
      <c r="K193" s="401"/>
      <c r="L193" s="401"/>
      <c r="M193" s="401"/>
      <c r="N193" s="401"/>
      <c r="O193" s="401"/>
      <c r="P193" s="401"/>
      <c r="Q193" s="401"/>
      <c r="R193" s="401">
        <v>40998</v>
      </c>
      <c r="S193" s="261"/>
      <c r="T193" s="261"/>
      <c r="U193" s="261"/>
      <c r="V193" s="5"/>
    </row>
    <row r="194" spans="1:22" ht="15.6" x14ac:dyDescent="0.3">
      <c r="A194" s="209"/>
      <c r="B194" s="210"/>
      <c r="C194" s="211"/>
      <c r="D194" s="211"/>
      <c r="E194" s="211"/>
      <c r="F194" s="211"/>
      <c r="G194" s="212"/>
      <c r="H194" s="212"/>
      <c r="I194" s="212"/>
      <c r="J194" s="212"/>
      <c r="K194" s="212"/>
      <c r="L194" s="212"/>
      <c r="M194" s="212"/>
      <c r="N194" s="212"/>
      <c r="O194" s="212"/>
      <c r="P194" s="212"/>
      <c r="Q194" s="212"/>
      <c r="R194" s="212"/>
      <c r="S194" s="177"/>
      <c r="T194" s="177"/>
      <c r="U194" s="177"/>
      <c r="V194" s="5"/>
    </row>
    <row r="195" spans="1:22" ht="15.6" x14ac:dyDescent="0.3">
      <c r="A195" s="352"/>
      <c r="B195" s="285" t="s">
        <v>72</v>
      </c>
      <c r="C195" s="353"/>
      <c r="D195" s="353"/>
      <c r="E195" s="353"/>
      <c r="F195" s="353"/>
      <c r="G195" s="329"/>
      <c r="H195" s="329"/>
      <c r="I195" s="329"/>
      <c r="J195" s="329"/>
      <c r="K195" s="329"/>
      <c r="L195" s="329"/>
      <c r="M195" s="329"/>
      <c r="N195" s="329"/>
      <c r="O195" s="329"/>
      <c r="P195" s="329"/>
      <c r="Q195" s="329"/>
      <c r="R195" s="320">
        <v>5.1569999999999998E-2</v>
      </c>
      <c r="S195" s="285"/>
      <c r="T195" s="285"/>
      <c r="U195" s="317"/>
      <c r="V195" s="5"/>
    </row>
    <row r="196" spans="1:22" ht="15.6" x14ac:dyDescent="0.3">
      <c r="A196" s="352"/>
      <c r="B196" s="285" t="s">
        <v>157</v>
      </c>
      <c r="C196" s="353"/>
      <c r="D196" s="353"/>
      <c r="E196" s="353"/>
      <c r="F196" s="353"/>
      <c r="G196" s="329"/>
      <c r="H196" s="329"/>
      <c r="I196" s="329"/>
      <c r="J196" s="329"/>
      <c r="K196" s="329"/>
      <c r="L196" s="329"/>
      <c r="M196" s="329"/>
      <c r="N196" s="329"/>
      <c r="O196" s="329"/>
      <c r="P196" s="329"/>
      <c r="Q196" s="329"/>
      <c r="R196" s="320">
        <v>4.6899999999999997E-2</v>
      </c>
      <c r="S196" s="285"/>
      <c r="T196" s="285"/>
      <c r="U196" s="317"/>
      <c r="V196" s="5"/>
    </row>
    <row r="197" spans="1:22" ht="15.6" x14ac:dyDescent="0.3">
      <c r="A197" s="352"/>
      <c r="B197" s="285" t="s">
        <v>73</v>
      </c>
      <c r="C197" s="353"/>
      <c r="D197" s="353"/>
      <c r="E197" s="353"/>
      <c r="F197" s="353"/>
      <c r="G197" s="329"/>
      <c r="H197" s="329"/>
      <c r="I197" s="329"/>
      <c r="J197" s="329"/>
      <c r="K197" s="329"/>
      <c r="L197" s="329"/>
      <c r="M197" s="329"/>
      <c r="N197" s="329"/>
      <c r="O197" s="329"/>
      <c r="P197" s="329"/>
      <c r="Q197" s="329"/>
      <c r="R197" s="320">
        <f>R195-R196</f>
        <v>4.6700000000000005E-3</v>
      </c>
      <c r="S197" s="285"/>
      <c r="T197" s="285"/>
      <c r="U197" s="317"/>
      <c r="V197" s="5"/>
    </row>
    <row r="198" spans="1:22" ht="15.6" x14ac:dyDescent="0.3">
      <c r="A198" s="352"/>
      <c r="B198" s="285" t="s">
        <v>74</v>
      </c>
      <c r="C198" s="353"/>
      <c r="D198" s="353"/>
      <c r="E198" s="353"/>
      <c r="F198" s="353"/>
      <c r="G198" s="329"/>
      <c r="H198" s="329"/>
      <c r="I198" s="329"/>
      <c r="J198" s="329"/>
      <c r="K198" s="329"/>
      <c r="L198" s="329"/>
      <c r="M198" s="329"/>
      <c r="N198" s="329"/>
      <c r="O198" s="329"/>
      <c r="P198" s="329"/>
      <c r="Q198" s="329"/>
      <c r="R198" s="320">
        <v>2.8219999999999999E-2</v>
      </c>
      <c r="S198" s="285"/>
      <c r="T198" s="285"/>
      <c r="U198" s="317"/>
      <c r="V198" s="5"/>
    </row>
    <row r="199" spans="1:22" ht="15.6" x14ac:dyDescent="0.3">
      <c r="A199" s="352"/>
      <c r="B199" s="285" t="s">
        <v>257</v>
      </c>
      <c r="C199" s="353"/>
      <c r="D199" s="353"/>
      <c r="E199" s="353"/>
      <c r="F199" s="353"/>
      <c r="G199" s="329"/>
      <c r="H199" s="329"/>
      <c r="I199" s="329"/>
      <c r="J199" s="329"/>
      <c r="K199" s="329"/>
      <c r="L199" s="329"/>
      <c r="M199" s="329"/>
      <c r="N199" s="329"/>
      <c r="O199" s="329"/>
      <c r="P199" s="329"/>
      <c r="Q199" s="329"/>
      <c r="R199" s="320">
        <f>T43</f>
        <v>1.3834164948770676E-2</v>
      </c>
      <c r="S199" s="285"/>
      <c r="T199" s="285"/>
      <c r="U199" s="317"/>
      <c r="V199" s="5"/>
    </row>
    <row r="200" spans="1:22" ht="15.6" x14ac:dyDescent="0.3">
      <c r="A200" s="352"/>
      <c r="B200" s="285" t="s">
        <v>75</v>
      </c>
      <c r="C200" s="353"/>
      <c r="D200" s="353"/>
      <c r="E200" s="353"/>
      <c r="F200" s="353"/>
      <c r="G200" s="329"/>
      <c r="H200" s="329"/>
      <c r="I200" s="329"/>
      <c r="J200" s="329"/>
      <c r="K200" s="329"/>
      <c r="L200" s="329"/>
      <c r="M200" s="329"/>
      <c r="N200" s="329"/>
      <c r="O200" s="329"/>
      <c r="P200" s="329"/>
      <c r="Q200" s="329"/>
      <c r="R200" s="320">
        <f>R198-R199</f>
        <v>1.4385835051229322E-2</v>
      </c>
      <c r="S200" s="285"/>
      <c r="T200" s="285"/>
      <c r="U200" s="317"/>
      <c r="V200" s="5"/>
    </row>
    <row r="201" spans="1:22" ht="15.6" x14ac:dyDescent="0.3">
      <c r="A201" s="352"/>
      <c r="B201" s="285" t="s">
        <v>260</v>
      </c>
      <c r="C201" s="353"/>
      <c r="D201" s="353"/>
      <c r="E201" s="353"/>
      <c r="F201" s="353"/>
      <c r="G201" s="329"/>
      <c r="H201" s="329"/>
      <c r="I201" s="329"/>
      <c r="J201" s="329"/>
      <c r="K201" s="329"/>
      <c r="L201" s="329"/>
      <c r="M201" s="329"/>
      <c r="N201" s="329"/>
      <c r="O201" s="329"/>
      <c r="P201" s="329"/>
      <c r="Q201" s="329"/>
      <c r="R201" s="320">
        <f>+T100/L71</f>
        <v>7.9524125375746192E-3</v>
      </c>
      <c r="S201" s="285"/>
      <c r="T201" s="285"/>
      <c r="U201" s="317"/>
      <c r="V201" s="5"/>
    </row>
    <row r="202" spans="1:22" ht="15.6" x14ac:dyDescent="0.3">
      <c r="A202" s="352"/>
      <c r="B202" s="285" t="s">
        <v>217</v>
      </c>
      <c r="C202" s="353"/>
      <c r="D202" s="353"/>
      <c r="E202" s="353"/>
      <c r="F202" s="353"/>
      <c r="G202" s="329"/>
      <c r="H202" s="329"/>
      <c r="I202" s="329"/>
      <c r="J202" s="329"/>
      <c r="K202" s="329"/>
      <c r="L202" s="329"/>
      <c r="M202" s="329"/>
      <c r="N202" s="329"/>
      <c r="O202" s="329"/>
      <c r="P202" s="329"/>
      <c r="Q202" s="329"/>
      <c r="R202" s="354">
        <v>15250</v>
      </c>
      <c r="S202" s="285"/>
      <c r="T202" s="285"/>
      <c r="U202" s="317"/>
      <c r="V202" s="5"/>
    </row>
    <row r="203" spans="1:22" ht="15.6" x14ac:dyDescent="0.3">
      <c r="A203" s="352"/>
      <c r="B203" s="285" t="s">
        <v>218</v>
      </c>
      <c r="C203" s="353"/>
      <c r="D203" s="353"/>
      <c r="E203" s="353"/>
      <c r="F203" s="353"/>
      <c r="G203" s="329"/>
      <c r="H203" s="329"/>
      <c r="I203" s="329"/>
      <c r="J203" s="329"/>
      <c r="K203" s="329"/>
      <c r="L203" s="329"/>
      <c r="M203" s="329"/>
      <c r="N203" s="329"/>
      <c r="O203" s="329"/>
      <c r="P203" s="329"/>
      <c r="Q203" s="329"/>
      <c r="R203" s="354">
        <v>15250</v>
      </c>
      <c r="S203" s="285"/>
      <c r="T203" s="285"/>
      <c r="U203" s="317"/>
      <c r="V203" s="5"/>
    </row>
    <row r="204" spans="1:22" ht="15.6" x14ac:dyDescent="0.3">
      <c r="A204" s="352"/>
      <c r="B204" s="285" t="s">
        <v>219</v>
      </c>
      <c r="C204" s="353"/>
      <c r="D204" s="353"/>
      <c r="E204" s="353"/>
      <c r="F204" s="353"/>
      <c r="G204" s="329"/>
      <c r="H204" s="329"/>
      <c r="I204" s="329"/>
      <c r="J204" s="329"/>
      <c r="K204" s="329"/>
      <c r="L204" s="329"/>
      <c r="M204" s="329"/>
      <c r="N204" s="329"/>
      <c r="O204" s="329"/>
      <c r="P204" s="329"/>
      <c r="Q204" s="329"/>
      <c r="R204" s="354">
        <v>15250</v>
      </c>
      <c r="S204" s="285"/>
      <c r="T204" s="285"/>
      <c r="U204" s="317"/>
      <c r="V204" s="5"/>
    </row>
    <row r="205" spans="1:22" ht="15.6" x14ac:dyDescent="0.3">
      <c r="A205" s="352"/>
      <c r="B205" s="285" t="s">
        <v>76</v>
      </c>
      <c r="C205" s="353"/>
      <c r="D205" s="353"/>
      <c r="E205" s="353"/>
      <c r="F205" s="353"/>
      <c r="G205" s="329"/>
      <c r="H205" s="329"/>
      <c r="I205" s="329"/>
      <c r="J205" s="329"/>
      <c r="K205" s="329"/>
      <c r="L205" s="329"/>
      <c r="M205" s="329"/>
      <c r="N205" s="329"/>
      <c r="O205" s="329"/>
      <c r="P205" s="329"/>
      <c r="Q205" s="329"/>
      <c r="R205" s="326">
        <v>21.18</v>
      </c>
      <c r="S205" s="285" t="s">
        <v>116</v>
      </c>
      <c r="T205" s="285"/>
      <c r="U205" s="317"/>
      <c r="V205" s="5"/>
    </row>
    <row r="206" spans="1:22" ht="15.6" x14ac:dyDescent="0.3">
      <c r="A206" s="352"/>
      <c r="B206" s="285" t="s">
        <v>77</v>
      </c>
      <c r="C206" s="353"/>
      <c r="D206" s="353"/>
      <c r="E206" s="353"/>
      <c r="F206" s="353"/>
      <c r="G206" s="329"/>
      <c r="H206" s="329"/>
      <c r="I206" s="329"/>
      <c r="J206" s="329"/>
      <c r="K206" s="329"/>
      <c r="L206" s="329"/>
      <c r="M206" s="329"/>
      <c r="N206" s="329"/>
      <c r="O206" s="329"/>
      <c r="P206" s="329"/>
      <c r="Q206" s="329"/>
      <c r="R206" s="326">
        <v>15.32</v>
      </c>
      <c r="S206" s="285" t="s">
        <v>116</v>
      </c>
      <c r="T206" s="285"/>
      <c r="U206" s="317"/>
      <c r="V206" s="5"/>
    </row>
    <row r="207" spans="1:22" ht="15.6" x14ac:dyDescent="0.3">
      <c r="A207" s="352"/>
      <c r="B207" s="285" t="s">
        <v>78</v>
      </c>
      <c r="C207" s="353"/>
      <c r="D207" s="353"/>
      <c r="E207" s="353"/>
      <c r="F207" s="353"/>
      <c r="G207" s="329"/>
      <c r="H207" s="329"/>
      <c r="I207" s="329"/>
      <c r="J207" s="329"/>
      <c r="K207" s="329"/>
      <c r="L207" s="329"/>
      <c r="M207" s="329"/>
      <c r="N207" s="329"/>
      <c r="O207" s="329"/>
      <c r="P207" s="329"/>
      <c r="Q207" s="329"/>
      <c r="R207" s="320">
        <f>N68/L68</f>
        <v>7.0421541370891492E-3</v>
      </c>
      <c r="S207" s="285"/>
      <c r="T207" s="285"/>
      <c r="U207" s="317"/>
      <c r="V207" s="5"/>
    </row>
    <row r="208" spans="1:22" ht="15.6" x14ac:dyDescent="0.3">
      <c r="A208" s="352"/>
      <c r="B208" s="285" t="s">
        <v>79</v>
      </c>
      <c r="C208" s="353"/>
      <c r="D208" s="353"/>
      <c r="E208" s="353"/>
      <c r="F208" s="353"/>
      <c r="G208" s="329"/>
      <c r="H208" s="329"/>
      <c r="I208" s="329"/>
      <c r="J208" s="329"/>
      <c r="K208" s="329"/>
      <c r="L208" s="329"/>
      <c r="M208" s="329"/>
      <c r="N208" s="329"/>
      <c r="O208" s="329"/>
      <c r="P208" s="329"/>
      <c r="Q208" s="329"/>
      <c r="R208" s="320">
        <v>9.8199999999999996E-2</v>
      </c>
      <c r="S208" s="285"/>
      <c r="T208" s="285"/>
      <c r="U208" s="317"/>
      <c r="V208" s="5"/>
    </row>
    <row r="209" spans="1:22" ht="15.6" x14ac:dyDescent="0.3">
      <c r="A209" s="209"/>
      <c r="B209" s="350"/>
      <c r="C209" s="350"/>
      <c r="D209" s="350"/>
      <c r="E209" s="350"/>
      <c r="F209" s="350"/>
      <c r="G209" s="334"/>
      <c r="H209" s="334"/>
      <c r="I209" s="334"/>
      <c r="J209" s="334"/>
      <c r="K209" s="334"/>
      <c r="L209" s="334"/>
      <c r="M209" s="334"/>
      <c r="N209" s="334"/>
      <c r="O209" s="334"/>
      <c r="P209" s="334"/>
      <c r="Q209" s="334"/>
      <c r="R209" s="347"/>
      <c r="S209" s="334"/>
      <c r="T209" s="351"/>
      <c r="U209" s="334"/>
      <c r="V209" s="5"/>
    </row>
    <row r="210" spans="1:22" ht="15.6" x14ac:dyDescent="0.3">
      <c r="A210" s="266"/>
      <c r="B210" s="395" t="s">
        <v>80</v>
      </c>
      <c r="C210" s="396"/>
      <c r="D210" s="396"/>
      <c r="E210" s="396"/>
      <c r="F210" s="402"/>
      <c r="G210" s="396"/>
      <c r="H210" s="396"/>
      <c r="I210" s="396"/>
      <c r="J210" s="396"/>
      <c r="K210" s="396"/>
      <c r="L210" s="396"/>
      <c r="M210" s="396"/>
      <c r="N210" s="396"/>
      <c r="O210" s="396"/>
      <c r="P210" s="396"/>
      <c r="Q210" s="396" t="s">
        <v>105</v>
      </c>
      <c r="R210" s="402" t="s">
        <v>112</v>
      </c>
      <c r="S210" s="223"/>
      <c r="T210" s="223"/>
      <c r="U210" s="223"/>
      <c r="V210" s="5"/>
    </row>
    <row r="211" spans="1:22" ht="15.6" x14ac:dyDescent="0.3">
      <c r="A211" s="214"/>
      <c r="B211" s="239" t="s">
        <v>81</v>
      </c>
      <c r="C211" s="243"/>
      <c r="D211" s="243"/>
      <c r="E211" s="243"/>
      <c r="F211" s="239"/>
      <c r="G211" s="239"/>
      <c r="H211" s="242"/>
      <c r="I211" s="242"/>
      <c r="J211" s="242"/>
      <c r="K211" s="242"/>
      <c r="L211" s="242"/>
      <c r="M211" s="242"/>
      <c r="N211" s="242"/>
      <c r="O211" s="242"/>
      <c r="P211" s="242"/>
      <c r="Q211" s="242">
        <v>1</v>
      </c>
      <c r="R211" s="272">
        <v>177</v>
      </c>
      <c r="S211" s="239"/>
      <c r="T211" s="273"/>
      <c r="U211" s="215"/>
      <c r="V211" s="5"/>
    </row>
    <row r="212" spans="1:22" ht="15.6" x14ac:dyDescent="0.3">
      <c r="A212" s="360"/>
      <c r="B212" s="285" t="s">
        <v>151</v>
      </c>
      <c r="C212" s="338"/>
      <c r="D212" s="338"/>
      <c r="E212" s="338"/>
      <c r="F212" s="285"/>
      <c r="G212" s="285"/>
      <c r="H212" s="293"/>
      <c r="I212" s="293"/>
      <c r="J212" s="293"/>
      <c r="K212" s="293"/>
      <c r="L212" s="293"/>
      <c r="M212" s="293"/>
      <c r="N212" s="293"/>
      <c r="O212" s="293"/>
      <c r="P212" s="293"/>
      <c r="Q212" s="361">
        <f>+P264</f>
        <v>116</v>
      </c>
      <c r="R212" s="362">
        <f>+R264</f>
        <v>18149</v>
      </c>
      <c r="S212" s="285"/>
      <c r="T212" s="363"/>
      <c r="U212" s="364"/>
      <c r="V212" s="5"/>
    </row>
    <row r="213" spans="1:22" ht="15.6" x14ac:dyDescent="0.3">
      <c r="A213" s="360"/>
      <c r="B213" s="285" t="s">
        <v>82</v>
      </c>
      <c r="C213" s="338"/>
      <c r="D213" s="338"/>
      <c r="E213" s="338"/>
      <c r="F213" s="285"/>
      <c r="G213" s="285"/>
      <c r="H213" s="293"/>
      <c r="I213" s="293"/>
      <c r="J213" s="293"/>
      <c r="K213" s="293"/>
      <c r="L213" s="293"/>
      <c r="M213" s="293"/>
      <c r="N213" s="293"/>
      <c r="O213" s="293"/>
      <c r="P213" s="293"/>
      <c r="Q213" s="361">
        <f>+P276</f>
        <v>1</v>
      </c>
      <c r="R213" s="362">
        <f>+R276</f>
        <v>125</v>
      </c>
      <c r="S213" s="285"/>
      <c r="T213" s="363"/>
      <c r="U213" s="364"/>
      <c r="V213" s="5"/>
    </row>
    <row r="214" spans="1:22" ht="15.6" x14ac:dyDescent="0.3">
      <c r="A214" s="360"/>
      <c r="B214" s="310" t="s">
        <v>83</v>
      </c>
      <c r="C214" s="365"/>
      <c r="D214" s="365"/>
      <c r="E214" s="365"/>
      <c r="F214" s="311"/>
      <c r="G214" s="311"/>
      <c r="H214" s="311"/>
      <c r="I214" s="311"/>
      <c r="J214" s="311"/>
      <c r="K214" s="311"/>
      <c r="L214" s="311"/>
      <c r="M214" s="311"/>
      <c r="N214" s="311"/>
      <c r="O214" s="311"/>
      <c r="P214" s="311"/>
      <c r="Q214" s="285"/>
      <c r="R214" s="362">
        <v>0</v>
      </c>
      <c r="S214" s="311"/>
      <c r="T214" s="366"/>
      <c r="U214" s="364"/>
      <c r="V214" s="5"/>
    </row>
    <row r="215" spans="1:22" ht="15.6" x14ac:dyDescent="0.3">
      <c r="A215" s="360"/>
      <c r="B215" s="310" t="s">
        <v>84</v>
      </c>
      <c r="C215" s="365"/>
      <c r="D215" s="365"/>
      <c r="E215" s="365"/>
      <c r="F215" s="311"/>
      <c r="G215" s="311"/>
      <c r="H215" s="311"/>
      <c r="I215" s="311"/>
      <c r="J215" s="311"/>
      <c r="K215" s="311"/>
      <c r="L215" s="311"/>
      <c r="M215" s="311"/>
      <c r="N215" s="311"/>
      <c r="O215" s="311"/>
      <c r="P215" s="311"/>
      <c r="Q215" s="285"/>
      <c r="R215" s="367" t="s">
        <v>113</v>
      </c>
      <c r="S215" s="311"/>
      <c r="T215" s="366"/>
      <c r="U215" s="364"/>
      <c r="V215" s="5"/>
    </row>
    <row r="216" spans="1:22" ht="15.6" x14ac:dyDescent="0.3">
      <c r="A216" s="368"/>
      <c r="B216" s="310" t="s">
        <v>85</v>
      </c>
      <c r="C216" s="369"/>
      <c r="D216" s="369"/>
      <c r="E216" s="369"/>
      <c r="F216" s="369"/>
      <c r="G216" s="311"/>
      <c r="H216" s="311"/>
      <c r="I216" s="311"/>
      <c r="J216" s="311"/>
      <c r="K216" s="311"/>
      <c r="L216" s="311"/>
      <c r="M216" s="311"/>
      <c r="N216" s="311"/>
      <c r="O216" s="311"/>
      <c r="P216" s="311"/>
      <c r="Q216" s="285"/>
      <c r="R216" s="362"/>
      <c r="S216" s="311"/>
      <c r="T216" s="366"/>
      <c r="U216" s="370"/>
      <c r="V216" s="5"/>
    </row>
    <row r="217" spans="1:22" ht="15.6" x14ac:dyDescent="0.3">
      <c r="A217" s="368"/>
      <c r="B217" s="285" t="s">
        <v>86</v>
      </c>
      <c r="C217" s="285"/>
      <c r="D217" s="285"/>
      <c r="E217" s="285"/>
      <c r="F217" s="285"/>
      <c r="G217" s="285"/>
      <c r="H217" s="285"/>
      <c r="I217" s="285"/>
      <c r="J217" s="285"/>
      <c r="K217" s="285"/>
      <c r="L217" s="285"/>
      <c r="M217" s="285"/>
      <c r="N217" s="285"/>
      <c r="O217" s="285"/>
      <c r="P217" s="285"/>
      <c r="Q217" s="293"/>
      <c r="R217" s="362">
        <f>T161</f>
        <v>155</v>
      </c>
      <c r="S217" s="285"/>
      <c r="T217" s="363"/>
      <c r="U217" s="370"/>
      <c r="V217" s="5"/>
    </row>
    <row r="218" spans="1:22" ht="15.6" x14ac:dyDescent="0.3">
      <c r="A218" s="360"/>
      <c r="B218" s="285" t="s">
        <v>87</v>
      </c>
      <c r="C218" s="338"/>
      <c r="D218" s="338"/>
      <c r="E218" s="338"/>
      <c r="F218" s="338"/>
      <c r="G218" s="285"/>
      <c r="H218" s="285"/>
      <c r="I218" s="285"/>
      <c r="J218" s="285"/>
      <c r="K218" s="285"/>
      <c r="L218" s="285"/>
      <c r="M218" s="285"/>
      <c r="N218" s="285"/>
      <c r="O218" s="285"/>
      <c r="P218" s="285"/>
      <c r="Q218" s="293"/>
      <c r="R218" s="362">
        <f>'Dec 11'!R218+R217</f>
        <v>3430</v>
      </c>
      <c r="S218" s="285"/>
      <c r="T218" s="363"/>
      <c r="U218" s="370"/>
      <c r="V218" s="5"/>
    </row>
    <row r="219" spans="1:22" ht="15.6" x14ac:dyDescent="0.3">
      <c r="A219" s="368"/>
      <c r="B219" s="310" t="s">
        <v>282</v>
      </c>
      <c r="C219" s="369"/>
      <c r="D219" s="369"/>
      <c r="E219" s="369"/>
      <c r="F219" s="369"/>
      <c r="G219" s="311"/>
      <c r="H219" s="311"/>
      <c r="I219" s="311"/>
      <c r="J219" s="311"/>
      <c r="K219" s="311"/>
      <c r="L219" s="311"/>
      <c r="M219" s="311"/>
      <c r="N219" s="311"/>
      <c r="O219" s="311"/>
      <c r="P219" s="311"/>
      <c r="Q219" s="293"/>
      <c r="R219" s="362"/>
      <c r="S219" s="311"/>
      <c r="T219" s="366"/>
      <c r="U219" s="370"/>
      <c r="V219" s="5"/>
    </row>
    <row r="220" spans="1:22" ht="15.6" x14ac:dyDescent="0.3">
      <c r="A220" s="368"/>
      <c r="B220" s="285" t="s">
        <v>280</v>
      </c>
      <c r="C220" s="369"/>
      <c r="D220" s="369"/>
      <c r="E220" s="369"/>
      <c r="F220" s="369"/>
      <c r="G220" s="311"/>
      <c r="H220" s="311"/>
      <c r="I220" s="311"/>
      <c r="J220" s="311"/>
      <c r="K220" s="311"/>
      <c r="L220" s="311"/>
      <c r="M220" s="311"/>
      <c r="N220" s="311"/>
      <c r="O220" s="311"/>
      <c r="P220" s="311"/>
      <c r="Q220" s="293">
        <v>0</v>
      </c>
      <c r="R220" s="362">
        <v>0</v>
      </c>
      <c r="S220" s="311"/>
      <c r="T220" s="366"/>
      <c r="U220" s="370"/>
      <c r="V220" s="5"/>
    </row>
    <row r="221" spans="1:22" ht="15.6" x14ac:dyDescent="0.3">
      <c r="A221" s="360"/>
      <c r="B221" s="285" t="s">
        <v>89</v>
      </c>
      <c r="C221" s="373"/>
      <c r="D221" s="373"/>
      <c r="E221" s="373"/>
      <c r="F221" s="374"/>
      <c r="G221" s="311"/>
      <c r="H221" s="311"/>
      <c r="I221" s="311"/>
      <c r="J221" s="311"/>
      <c r="K221" s="311"/>
      <c r="L221" s="311"/>
      <c r="M221" s="311"/>
      <c r="N221" s="311"/>
      <c r="O221" s="311"/>
      <c r="P221" s="311"/>
      <c r="Q221" s="285"/>
      <c r="R221" s="367">
        <v>0</v>
      </c>
      <c r="S221" s="311"/>
      <c r="T221" s="366"/>
      <c r="U221" s="370"/>
      <c r="V221" s="5"/>
    </row>
    <row r="222" spans="1:22" ht="15.6" x14ac:dyDescent="0.3">
      <c r="A222" s="360"/>
      <c r="B222" s="285" t="s">
        <v>90</v>
      </c>
      <c r="C222" s="373"/>
      <c r="D222" s="373"/>
      <c r="E222" s="373"/>
      <c r="F222" s="374"/>
      <c r="G222" s="311"/>
      <c r="H222" s="311"/>
      <c r="I222" s="311"/>
      <c r="J222" s="311"/>
      <c r="K222" s="311"/>
      <c r="L222" s="311"/>
      <c r="M222" s="311"/>
      <c r="N222" s="311"/>
      <c r="O222" s="311"/>
      <c r="P222" s="311"/>
      <c r="Q222" s="285"/>
      <c r="R222" s="367">
        <v>0</v>
      </c>
      <c r="S222" s="311"/>
      <c r="T222" s="366"/>
      <c r="U222" s="370"/>
      <c r="V222" s="5"/>
    </row>
    <row r="223" spans="1:22" ht="15.6" x14ac:dyDescent="0.3">
      <c r="A223" s="360"/>
      <c r="B223" s="310" t="s">
        <v>226</v>
      </c>
      <c r="C223" s="373"/>
      <c r="D223" s="373"/>
      <c r="E223" s="373"/>
      <c r="F223" s="374"/>
      <c r="G223" s="311"/>
      <c r="H223" s="311"/>
      <c r="I223" s="311"/>
      <c r="J223" s="311"/>
      <c r="K223" s="311"/>
      <c r="L223" s="311"/>
      <c r="M223" s="311"/>
      <c r="N223" s="311"/>
      <c r="O223" s="311"/>
      <c r="P223" s="311"/>
      <c r="Q223" s="293"/>
      <c r="R223" s="375"/>
      <c r="S223" s="311"/>
      <c r="T223" s="366"/>
      <c r="U223" s="370"/>
      <c r="V223" s="5"/>
    </row>
    <row r="224" spans="1:22" ht="15.6" x14ac:dyDescent="0.3">
      <c r="A224" s="360"/>
      <c r="B224" s="285" t="s">
        <v>280</v>
      </c>
      <c r="C224" s="373"/>
      <c r="D224" s="373"/>
      <c r="E224" s="373"/>
      <c r="F224" s="374"/>
      <c r="G224" s="311"/>
      <c r="H224" s="311"/>
      <c r="I224" s="311"/>
      <c r="J224" s="311"/>
      <c r="K224" s="311"/>
      <c r="L224" s="311"/>
      <c r="M224" s="311"/>
      <c r="N224" s="311"/>
      <c r="O224" s="311"/>
      <c r="P224" s="311"/>
      <c r="Q224" s="293">
        <v>3</v>
      </c>
      <c r="R224" s="362">
        <v>362</v>
      </c>
      <c r="S224" s="311"/>
      <c r="T224" s="366"/>
      <c r="U224" s="370"/>
      <c r="V224" s="5"/>
    </row>
    <row r="225" spans="1:23" ht="15.6" x14ac:dyDescent="0.3">
      <c r="A225" s="360"/>
      <c r="B225" s="285" t="s">
        <v>227</v>
      </c>
      <c r="C225" s="373"/>
      <c r="D225" s="373"/>
      <c r="E225" s="373"/>
      <c r="F225" s="374"/>
      <c r="G225" s="311"/>
      <c r="H225" s="311"/>
      <c r="I225" s="311"/>
      <c r="J225" s="311"/>
      <c r="K225" s="311"/>
      <c r="L225" s="311"/>
      <c r="M225" s="311"/>
      <c r="N225" s="311"/>
      <c r="O225" s="311"/>
      <c r="P225" s="311"/>
      <c r="Q225" s="293"/>
      <c r="R225" s="367">
        <v>4.6100000000000003</v>
      </c>
      <c r="S225" s="311"/>
      <c r="T225" s="366"/>
      <c r="U225" s="370"/>
      <c r="V225" s="5"/>
    </row>
    <row r="226" spans="1:23" ht="15.6" x14ac:dyDescent="0.3">
      <c r="A226" s="360"/>
      <c r="B226" s="369"/>
      <c r="C226" s="373"/>
      <c r="D226" s="373"/>
      <c r="E226" s="373"/>
      <c r="F226" s="374"/>
      <c r="G226" s="311"/>
      <c r="H226" s="311"/>
      <c r="I226" s="311"/>
      <c r="J226" s="311"/>
      <c r="K226" s="311"/>
      <c r="L226" s="311"/>
      <c r="M226" s="311"/>
      <c r="N226" s="311"/>
      <c r="O226" s="311"/>
      <c r="P226" s="311"/>
      <c r="Q226" s="311"/>
      <c r="R226" s="376"/>
      <c r="S226" s="311"/>
      <c r="T226" s="366"/>
      <c r="U226" s="370"/>
      <c r="V226" s="5"/>
    </row>
    <row r="227" spans="1:23" ht="15.6" x14ac:dyDescent="0.3">
      <c r="A227" s="360"/>
      <c r="B227" s="369"/>
      <c r="C227" s="373"/>
      <c r="D227" s="373"/>
      <c r="E227" s="373"/>
      <c r="F227" s="374"/>
      <c r="G227" s="311"/>
      <c r="H227" s="311"/>
      <c r="I227" s="311"/>
      <c r="J227" s="311"/>
      <c r="K227" s="311"/>
      <c r="L227" s="311"/>
      <c r="M227" s="311"/>
      <c r="N227" s="311"/>
      <c r="O227" s="311"/>
      <c r="P227" s="311"/>
      <c r="Q227" s="311"/>
      <c r="R227" s="376"/>
      <c r="S227" s="311"/>
      <c r="T227" s="366"/>
      <c r="U227" s="370"/>
      <c r="V227" s="5"/>
    </row>
    <row r="228" spans="1:23" ht="17.399999999999999" x14ac:dyDescent="0.3">
      <c r="A228" s="360"/>
      <c r="B228" s="377" t="s">
        <v>175</v>
      </c>
      <c r="C228" s="373"/>
      <c r="D228" s="373"/>
      <c r="E228" s="373"/>
      <c r="F228" s="374"/>
      <c r="G228" s="311"/>
      <c r="H228" s="311"/>
      <c r="I228" s="311"/>
      <c r="J228" s="311"/>
      <c r="K228" s="311"/>
      <c r="L228" s="311"/>
      <c r="M228" s="311"/>
      <c r="N228" s="378" t="s">
        <v>174</v>
      </c>
      <c r="O228" s="311"/>
      <c r="P228" s="311"/>
      <c r="Q228" s="311"/>
      <c r="R228" s="376"/>
      <c r="S228" s="311"/>
      <c r="T228" s="366"/>
      <c r="U228" s="370"/>
      <c r="V228" s="5"/>
    </row>
    <row r="229" spans="1:23" ht="15.6" x14ac:dyDescent="0.3">
      <c r="A229" s="355"/>
      <c r="B229" s="350"/>
      <c r="C229" s="356"/>
      <c r="D229" s="356"/>
      <c r="E229" s="356"/>
      <c r="F229" s="357"/>
      <c r="G229" s="334"/>
      <c r="H229" s="334"/>
      <c r="I229" s="334"/>
      <c r="J229" s="334"/>
      <c r="K229" s="334"/>
      <c r="L229" s="334"/>
      <c r="M229" s="334"/>
      <c r="N229" s="334"/>
      <c r="O229" s="334"/>
      <c r="P229" s="334"/>
      <c r="Q229" s="334"/>
      <c r="R229" s="358"/>
      <c r="S229" s="334"/>
      <c r="T229" s="351"/>
      <c r="U229" s="359"/>
      <c r="V229" s="5"/>
    </row>
    <row r="230" spans="1:23" ht="15.6" x14ac:dyDescent="0.3">
      <c r="A230" s="222"/>
      <c r="B230" s="395" t="s">
        <v>295</v>
      </c>
      <c r="C230" s="396"/>
      <c r="D230" s="396"/>
      <c r="E230" s="396"/>
      <c r="F230" s="402"/>
      <c r="G230" s="396"/>
      <c r="H230" s="396"/>
      <c r="I230" s="396"/>
      <c r="J230" s="396"/>
      <c r="K230" s="396"/>
      <c r="L230" s="396"/>
      <c r="M230" s="396"/>
      <c r="N230" s="396"/>
      <c r="O230" s="396"/>
      <c r="P230" s="402" t="s">
        <v>105</v>
      </c>
      <c r="Q230" s="396" t="s">
        <v>106</v>
      </c>
      <c r="R230" s="402" t="s">
        <v>114</v>
      </c>
      <c r="S230" s="396" t="s">
        <v>106</v>
      </c>
      <c r="T230" s="223"/>
      <c r="U230" s="395"/>
      <c r="V230" s="5"/>
    </row>
    <row r="231" spans="1:23" ht="15.6" x14ac:dyDescent="0.3">
      <c r="A231" s="190"/>
      <c r="B231" s="243" t="s">
        <v>91</v>
      </c>
      <c r="C231" s="217"/>
      <c r="D231" s="217"/>
      <c r="E231" s="217"/>
      <c r="F231" s="191"/>
      <c r="G231" s="217"/>
      <c r="H231" s="217"/>
      <c r="I231" s="217"/>
      <c r="J231" s="217"/>
      <c r="K231" s="217"/>
      <c r="L231" s="217"/>
      <c r="M231" s="217"/>
      <c r="N231" s="217"/>
      <c r="O231" s="217"/>
      <c r="P231" s="338">
        <f t="shared" ref="P231:P238" si="1">+P243+P255+P267</f>
        <v>4212</v>
      </c>
      <c r="Q231" s="384">
        <f t="shared" ref="Q231:Q238" si="2">P231/$P$240</f>
        <v>0.98457223001402527</v>
      </c>
      <c r="R231" s="339">
        <f t="shared" ref="R231:R238" si="3">+R243+R255+R267</f>
        <v>554145</v>
      </c>
      <c r="S231" s="384">
        <f t="shared" ref="S231:S238" si="4">R231/$R$240</f>
        <v>0.98422805381643796</v>
      </c>
      <c r="T231" s="213"/>
      <c r="U231" s="216"/>
      <c r="V231" s="5"/>
    </row>
    <row r="232" spans="1:23" ht="15.6" x14ac:dyDescent="0.3">
      <c r="A232" s="284"/>
      <c r="B232" s="338" t="s">
        <v>92</v>
      </c>
      <c r="C232" s="382"/>
      <c r="D232" s="382"/>
      <c r="E232" s="382"/>
      <c r="F232" s="311"/>
      <c r="G232" s="383"/>
      <c r="H232" s="382"/>
      <c r="I232" s="382"/>
      <c r="J232" s="382"/>
      <c r="K232" s="382"/>
      <c r="L232" s="382"/>
      <c r="M232" s="382"/>
      <c r="N232" s="382"/>
      <c r="O232" s="382"/>
      <c r="P232" s="338">
        <f t="shared" si="1"/>
        <v>41</v>
      </c>
      <c r="Q232" s="384">
        <f t="shared" si="2"/>
        <v>9.5839177185600751E-3</v>
      </c>
      <c r="R232" s="339">
        <f t="shared" si="3"/>
        <v>4538</v>
      </c>
      <c r="S232" s="384">
        <f t="shared" si="4"/>
        <v>8.0600328582212163E-3</v>
      </c>
      <c r="T232" s="366"/>
      <c r="U232" s="370"/>
      <c r="V232" s="5"/>
      <c r="W232" s="109"/>
    </row>
    <row r="233" spans="1:23" ht="15.6" x14ac:dyDescent="0.3">
      <c r="A233" s="284"/>
      <c r="B233" s="338" t="s">
        <v>93</v>
      </c>
      <c r="C233" s="382"/>
      <c r="D233" s="382"/>
      <c r="E233" s="382"/>
      <c r="F233" s="311"/>
      <c r="G233" s="383"/>
      <c r="H233" s="382"/>
      <c r="I233" s="382"/>
      <c r="J233" s="382"/>
      <c r="K233" s="382"/>
      <c r="L233" s="382"/>
      <c r="M233" s="382"/>
      <c r="N233" s="382"/>
      <c r="O233" s="382"/>
      <c r="P233" s="338">
        <f t="shared" si="1"/>
        <v>8</v>
      </c>
      <c r="Q233" s="384">
        <f t="shared" si="2"/>
        <v>1.8700327255726976E-3</v>
      </c>
      <c r="R233" s="339">
        <f t="shared" si="3"/>
        <v>1210</v>
      </c>
      <c r="S233" s="384">
        <f t="shared" si="4"/>
        <v>2.1491052795168954E-3</v>
      </c>
      <c r="T233" s="366"/>
      <c r="U233" s="370"/>
      <c r="V233" s="5"/>
    </row>
    <row r="234" spans="1:23" ht="15.6" x14ac:dyDescent="0.3">
      <c r="A234" s="284"/>
      <c r="B234" s="338" t="s">
        <v>163</v>
      </c>
      <c r="C234" s="382"/>
      <c r="D234" s="382"/>
      <c r="E234" s="382"/>
      <c r="F234" s="311"/>
      <c r="G234" s="383"/>
      <c r="H234" s="382"/>
      <c r="I234" s="382"/>
      <c r="J234" s="382"/>
      <c r="K234" s="382"/>
      <c r="L234" s="382"/>
      <c r="M234" s="382"/>
      <c r="N234" s="382"/>
      <c r="O234" s="382"/>
      <c r="P234" s="338">
        <f t="shared" si="1"/>
        <v>0</v>
      </c>
      <c r="Q234" s="384">
        <f t="shared" si="2"/>
        <v>0</v>
      </c>
      <c r="R234" s="339">
        <f t="shared" si="3"/>
        <v>0</v>
      </c>
      <c r="S234" s="384">
        <f t="shared" si="4"/>
        <v>0</v>
      </c>
      <c r="T234" s="366"/>
      <c r="U234" s="370"/>
      <c r="V234" s="5"/>
      <c r="W234" s="109"/>
    </row>
    <row r="235" spans="1:23" ht="15.6" x14ac:dyDescent="0.3">
      <c r="A235" s="284"/>
      <c r="B235" s="338" t="s">
        <v>164</v>
      </c>
      <c r="C235" s="382"/>
      <c r="D235" s="382"/>
      <c r="E235" s="382"/>
      <c r="F235" s="311"/>
      <c r="G235" s="383"/>
      <c r="H235" s="382"/>
      <c r="I235" s="382"/>
      <c r="J235" s="382"/>
      <c r="K235" s="382"/>
      <c r="L235" s="382"/>
      <c r="M235" s="382"/>
      <c r="N235" s="382"/>
      <c r="O235" s="382"/>
      <c r="P235" s="338">
        <f t="shared" si="1"/>
        <v>0</v>
      </c>
      <c r="Q235" s="384">
        <f t="shared" si="2"/>
        <v>0</v>
      </c>
      <c r="R235" s="339">
        <f t="shared" si="3"/>
        <v>0</v>
      </c>
      <c r="S235" s="384">
        <f t="shared" si="4"/>
        <v>0</v>
      </c>
      <c r="T235" s="366"/>
      <c r="U235" s="370"/>
      <c r="V235" s="5"/>
    </row>
    <row r="236" spans="1:23" ht="15.6" x14ac:dyDescent="0.3">
      <c r="A236" s="284"/>
      <c r="B236" s="338" t="s">
        <v>165</v>
      </c>
      <c r="C236" s="382"/>
      <c r="D236" s="382"/>
      <c r="E236" s="382"/>
      <c r="F236" s="311"/>
      <c r="G236" s="383"/>
      <c r="H236" s="382"/>
      <c r="I236" s="382"/>
      <c r="J236" s="382"/>
      <c r="K236" s="382"/>
      <c r="L236" s="382"/>
      <c r="M236" s="382"/>
      <c r="N236" s="382"/>
      <c r="O236" s="382"/>
      <c r="P236" s="338">
        <f t="shared" si="1"/>
        <v>0</v>
      </c>
      <c r="Q236" s="384">
        <f t="shared" si="2"/>
        <v>0</v>
      </c>
      <c r="R236" s="339">
        <f t="shared" si="3"/>
        <v>0</v>
      </c>
      <c r="S236" s="384">
        <f t="shared" si="4"/>
        <v>0</v>
      </c>
      <c r="T236" s="366"/>
      <c r="U236" s="370"/>
      <c r="V236" s="5"/>
      <c r="W236" s="109"/>
    </row>
    <row r="237" spans="1:23" ht="15.6" x14ac:dyDescent="0.3">
      <c r="A237" s="284"/>
      <c r="B237" s="338" t="s">
        <v>166</v>
      </c>
      <c r="C237" s="382"/>
      <c r="D237" s="382"/>
      <c r="E237" s="382"/>
      <c r="F237" s="311"/>
      <c r="G237" s="383"/>
      <c r="H237" s="382"/>
      <c r="I237" s="382"/>
      <c r="J237" s="382"/>
      <c r="K237" s="382"/>
      <c r="L237" s="382"/>
      <c r="M237" s="382"/>
      <c r="N237" s="382"/>
      <c r="O237" s="382"/>
      <c r="P237" s="338">
        <f t="shared" si="1"/>
        <v>7</v>
      </c>
      <c r="Q237" s="384">
        <f t="shared" si="2"/>
        <v>1.6362786348761104E-3</v>
      </c>
      <c r="R237" s="339">
        <f t="shared" si="3"/>
        <v>1005</v>
      </c>
      <c r="S237" s="384">
        <f t="shared" si="4"/>
        <v>1.7850006660450246E-3</v>
      </c>
      <c r="T237" s="366"/>
      <c r="U237" s="370"/>
      <c r="V237" s="5"/>
    </row>
    <row r="238" spans="1:23" ht="15.6" x14ac:dyDescent="0.3">
      <c r="A238" s="284"/>
      <c r="B238" s="338" t="s">
        <v>167</v>
      </c>
      <c r="C238" s="382"/>
      <c r="D238" s="382"/>
      <c r="E238" s="382"/>
      <c r="F238" s="311"/>
      <c r="G238" s="383"/>
      <c r="H238" s="382"/>
      <c r="I238" s="382"/>
      <c r="J238" s="382"/>
      <c r="K238" s="382"/>
      <c r="L238" s="382"/>
      <c r="M238" s="382"/>
      <c r="N238" s="382"/>
      <c r="O238" s="382"/>
      <c r="P238" s="338">
        <f t="shared" si="1"/>
        <v>10</v>
      </c>
      <c r="Q238" s="384">
        <f t="shared" si="2"/>
        <v>2.3375409069658717E-3</v>
      </c>
      <c r="R238" s="339">
        <f t="shared" si="3"/>
        <v>2127</v>
      </c>
      <c r="S238" s="384">
        <f t="shared" si="4"/>
        <v>3.7778073797788731E-3</v>
      </c>
      <c r="T238" s="366"/>
      <c r="U238" s="370"/>
      <c r="V238" s="5"/>
      <c r="W238" s="109"/>
    </row>
    <row r="239" spans="1:23" ht="15.6" x14ac:dyDescent="0.3">
      <c r="A239" s="284"/>
      <c r="B239" s="338"/>
      <c r="C239" s="382"/>
      <c r="D239" s="382"/>
      <c r="E239" s="382"/>
      <c r="F239" s="311"/>
      <c r="G239" s="383"/>
      <c r="H239" s="382"/>
      <c r="I239" s="382"/>
      <c r="J239" s="382"/>
      <c r="K239" s="382"/>
      <c r="L239" s="382"/>
      <c r="M239" s="382"/>
      <c r="N239" s="382"/>
      <c r="O239" s="382"/>
      <c r="P239" s="338"/>
      <c r="Q239" s="384"/>
      <c r="R239" s="339"/>
      <c r="S239" s="384"/>
      <c r="T239" s="366"/>
      <c r="U239" s="370"/>
      <c r="V239" s="5"/>
    </row>
    <row r="240" spans="1:23" ht="15.6" x14ac:dyDescent="0.3">
      <c r="A240" s="284"/>
      <c r="B240" s="285" t="s">
        <v>120</v>
      </c>
      <c r="C240" s="311"/>
      <c r="D240" s="311"/>
      <c r="E240" s="311"/>
      <c r="F240" s="311"/>
      <c r="G240" s="311"/>
      <c r="H240" s="385"/>
      <c r="I240" s="385"/>
      <c r="J240" s="385"/>
      <c r="K240" s="385"/>
      <c r="L240" s="385"/>
      <c r="M240" s="385"/>
      <c r="N240" s="385"/>
      <c r="O240" s="385"/>
      <c r="P240" s="338">
        <f>SUM(P231:P239)</f>
        <v>4278</v>
      </c>
      <c r="Q240" s="384">
        <f>SUM(Q231:Q239)</f>
        <v>1</v>
      </c>
      <c r="R240" s="339">
        <f>SUM(R231:R239)</f>
        <v>563025</v>
      </c>
      <c r="S240" s="384">
        <f>SUM(S231:S239)</f>
        <v>1</v>
      </c>
      <c r="T240" s="311"/>
      <c r="U240" s="317"/>
      <c r="V240" s="5"/>
    </row>
    <row r="241" spans="1:23" ht="15.6" x14ac:dyDescent="0.3">
      <c r="A241" s="355"/>
      <c r="B241" s="350"/>
      <c r="C241" s="356"/>
      <c r="D241" s="356"/>
      <c r="E241" s="356"/>
      <c r="F241" s="357"/>
      <c r="G241" s="334"/>
      <c r="H241" s="334"/>
      <c r="I241" s="334"/>
      <c r="J241" s="334"/>
      <c r="K241" s="334"/>
      <c r="L241" s="334"/>
      <c r="M241" s="334"/>
      <c r="N241" s="334"/>
      <c r="O241" s="334"/>
      <c r="P241" s="334"/>
      <c r="Q241" s="334"/>
      <c r="R241" s="358"/>
      <c r="S241" s="334"/>
      <c r="T241" s="351"/>
      <c r="U241" s="359"/>
      <c r="V241" s="5"/>
    </row>
    <row r="242" spans="1:23" ht="15.6" x14ac:dyDescent="0.3">
      <c r="A242" s="222"/>
      <c r="B242" s="395" t="s">
        <v>169</v>
      </c>
      <c r="C242" s="396"/>
      <c r="D242" s="396"/>
      <c r="E242" s="396"/>
      <c r="F242" s="402"/>
      <c r="G242" s="396"/>
      <c r="H242" s="396"/>
      <c r="I242" s="396"/>
      <c r="J242" s="396"/>
      <c r="K242" s="396"/>
      <c r="L242" s="396"/>
      <c r="M242" s="396"/>
      <c r="N242" s="396"/>
      <c r="O242" s="396"/>
      <c r="P242" s="402" t="s">
        <v>105</v>
      </c>
      <c r="Q242" s="396" t="s">
        <v>106</v>
      </c>
      <c r="R242" s="402" t="s">
        <v>114</v>
      </c>
      <c r="S242" s="396" t="s">
        <v>106</v>
      </c>
      <c r="T242" s="223"/>
      <c r="U242" s="395"/>
      <c r="V242" s="5"/>
    </row>
    <row r="243" spans="1:23" ht="15.6" x14ac:dyDescent="0.3">
      <c r="A243" s="190"/>
      <c r="B243" s="243" t="s">
        <v>91</v>
      </c>
      <c r="C243" s="217"/>
      <c r="D243" s="217"/>
      <c r="E243" s="217"/>
      <c r="F243" s="191"/>
      <c r="G243" s="217"/>
      <c r="H243" s="217"/>
      <c r="I243" s="217"/>
      <c r="J243" s="217"/>
      <c r="K243" s="217"/>
      <c r="L243" s="217"/>
      <c r="M243" s="217"/>
      <c r="N243" s="217"/>
      <c r="O243" s="217"/>
      <c r="P243" s="243">
        <v>4121</v>
      </c>
      <c r="Q243" s="274">
        <f t="shared" ref="Q243:Q250" si="5">P243/$P$252</f>
        <v>0.99038692621965874</v>
      </c>
      <c r="R243" s="251">
        <v>540014</v>
      </c>
      <c r="S243" s="274">
        <f t="shared" ref="S243:S250" si="6">R243/$R$252</f>
        <v>0.99130428397561454</v>
      </c>
      <c r="T243" s="213"/>
      <c r="U243" s="216"/>
      <c r="V243" s="5"/>
    </row>
    <row r="244" spans="1:23" ht="15.6" x14ac:dyDescent="0.3">
      <c r="A244" s="284"/>
      <c r="B244" s="338" t="s">
        <v>92</v>
      </c>
      <c r="C244" s="382"/>
      <c r="D244" s="382"/>
      <c r="E244" s="382"/>
      <c r="F244" s="311"/>
      <c r="G244" s="383"/>
      <c r="H244" s="382"/>
      <c r="I244" s="382"/>
      <c r="J244" s="382"/>
      <c r="K244" s="382"/>
      <c r="L244" s="382"/>
      <c r="M244" s="382"/>
      <c r="N244" s="382"/>
      <c r="O244" s="382"/>
      <c r="P244" s="338">
        <v>38</v>
      </c>
      <c r="Q244" s="384">
        <f t="shared" si="5"/>
        <v>9.1324200913242004E-3</v>
      </c>
      <c r="R244" s="339">
        <v>4222</v>
      </c>
      <c r="S244" s="384">
        <f t="shared" si="6"/>
        <v>7.7503299672694497E-3</v>
      </c>
      <c r="T244" s="366"/>
      <c r="U244" s="370"/>
      <c r="V244" s="5"/>
      <c r="W244" s="109"/>
    </row>
    <row r="245" spans="1:23" ht="15.6" x14ac:dyDescent="0.3">
      <c r="A245" s="284"/>
      <c r="B245" s="338" t="s">
        <v>93</v>
      </c>
      <c r="C245" s="382"/>
      <c r="D245" s="382"/>
      <c r="E245" s="382"/>
      <c r="F245" s="311"/>
      <c r="G245" s="383"/>
      <c r="H245" s="382"/>
      <c r="I245" s="382"/>
      <c r="J245" s="382"/>
      <c r="K245" s="382"/>
      <c r="L245" s="382"/>
      <c r="M245" s="382"/>
      <c r="N245" s="382"/>
      <c r="O245" s="382"/>
      <c r="P245" s="338">
        <v>1</v>
      </c>
      <c r="Q245" s="384">
        <f t="shared" si="5"/>
        <v>2.4032684450853159E-4</v>
      </c>
      <c r="R245" s="339">
        <v>216</v>
      </c>
      <c r="S245" s="384">
        <f t="shared" si="6"/>
        <v>3.9651143366418784E-4</v>
      </c>
      <c r="T245" s="366"/>
      <c r="U245" s="370"/>
      <c r="V245" s="5"/>
    </row>
    <row r="246" spans="1:23" ht="15.6" x14ac:dyDescent="0.3">
      <c r="A246" s="284"/>
      <c r="B246" s="338" t="s">
        <v>163</v>
      </c>
      <c r="C246" s="382"/>
      <c r="D246" s="382"/>
      <c r="E246" s="382"/>
      <c r="F246" s="311"/>
      <c r="G246" s="383"/>
      <c r="H246" s="382"/>
      <c r="I246" s="382"/>
      <c r="J246" s="382"/>
      <c r="K246" s="382"/>
      <c r="L246" s="382"/>
      <c r="M246" s="382"/>
      <c r="N246" s="382"/>
      <c r="O246" s="382"/>
      <c r="P246" s="338">
        <v>0</v>
      </c>
      <c r="Q246" s="384">
        <f t="shared" si="5"/>
        <v>0</v>
      </c>
      <c r="R246" s="339">
        <v>0</v>
      </c>
      <c r="S246" s="384">
        <f t="shared" si="6"/>
        <v>0</v>
      </c>
      <c r="T246" s="366"/>
      <c r="U246" s="370"/>
      <c r="V246" s="5"/>
      <c r="W246" s="109"/>
    </row>
    <row r="247" spans="1:23" ht="15.6" x14ac:dyDescent="0.3">
      <c r="A247" s="284"/>
      <c r="B247" s="338" t="s">
        <v>164</v>
      </c>
      <c r="C247" s="382"/>
      <c r="D247" s="382"/>
      <c r="E247" s="382"/>
      <c r="F247" s="311"/>
      <c r="G247" s="383"/>
      <c r="H247" s="382"/>
      <c r="I247" s="382"/>
      <c r="J247" s="382"/>
      <c r="K247" s="382"/>
      <c r="L247" s="382"/>
      <c r="M247" s="382"/>
      <c r="N247" s="382"/>
      <c r="O247" s="382"/>
      <c r="P247" s="338">
        <v>0</v>
      </c>
      <c r="Q247" s="384">
        <f t="shared" si="5"/>
        <v>0</v>
      </c>
      <c r="R247" s="339">
        <v>0</v>
      </c>
      <c r="S247" s="384">
        <f t="shared" si="6"/>
        <v>0</v>
      </c>
      <c r="T247" s="366"/>
      <c r="U247" s="370"/>
      <c r="V247" s="5"/>
    </row>
    <row r="248" spans="1:23" ht="15.6" x14ac:dyDescent="0.3">
      <c r="A248" s="284"/>
      <c r="B248" s="338" t="s">
        <v>165</v>
      </c>
      <c r="C248" s="382"/>
      <c r="D248" s="382"/>
      <c r="E248" s="382"/>
      <c r="F248" s="311"/>
      <c r="G248" s="383"/>
      <c r="H248" s="382"/>
      <c r="I248" s="382"/>
      <c r="J248" s="382"/>
      <c r="K248" s="382"/>
      <c r="L248" s="382"/>
      <c r="M248" s="382"/>
      <c r="N248" s="382"/>
      <c r="O248" s="382"/>
      <c r="P248" s="338">
        <v>0</v>
      </c>
      <c r="Q248" s="384">
        <f t="shared" si="5"/>
        <v>0</v>
      </c>
      <c r="R248" s="339">
        <v>0</v>
      </c>
      <c r="S248" s="384">
        <f t="shared" si="6"/>
        <v>0</v>
      </c>
      <c r="T248" s="366"/>
      <c r="U248" s="370"/>
      <c r="V248" s="5"/>
      <c r="W248" s="109"/>
    </row>
    <row r="249" spans="1:23" ht="15.6" x14ac:dyDescent="0.3">
      <c r="A249" s="284"/>
      <c r="B249" s="338" t="s">
        <v>166</v>
      </c>
      <c r="C249" s="382"/>
      <c r="D249" s="382"/>
      <c r="E249" s="382"/>
      <c r="F249" s="311"/>
      <c r="G249" s="383"/>
      <c r="H249" s="382"/>
      <c r="I249" s="382"/>
      <c r="J249" s="382"/>
      <c r="K249" s="382"/>
      <c r="L249" s="382"/>
      <c r="M249" s="382"/>
      <c r="N249" s="382"/>
      <c r="O249" s="382"/>
      <c r="P249" s="338">
        <v>1</v>
      </c>
      <c r="Q249" s="384">
        <f t="shared" si="5"/>
        <v>2.4032684450853159E-4</v>
      </c>
      <c r="R249" s="339">
        <v>299</v>
      </c>
      <c r="S249" s="384">
        <f t="shared" si="6"/>
        <v>5.4887462345181565E-4</v>
      </c>
      <c r="T249" s="366"/>
      <c r="U249" s="370"/>
      <c r="V249" s="5"/>
    </row>
    <row r="250" spans="1:23" ht="15.6" x14ac:dyDescent="0.3">
      <c r="A250" s="284"/>
      <c r="B250" s="338" t="s">
        <v>167</v>
      </c>
      <c r="C250" s="382"/>
      <c r="D250" s="382"/>
      <c r="E250" s="382"/>
      <c r="F250" s="311"/>
      <c r="G250" s="383"/>
      <c r="H250" s="382"/>
      <c r="I250" s="382"/>
      <c r="J250" s="382"/>
      <c r="K250" s="382"/>
      <c r="L250" s="382"/>
      <c r="M250" s="382"/>
      <c r="N250" s="382"/>
      <c r="O250" s="382"/>
      <c r="P250" s="338">
        <v>0</v>
      </c>
      <c r="Q250" s="384">
        <f t="shared" si="5"/>
        <v>0</v>
      </c>
      <c r="R250" s="339">
        <v>0</v>
      </c>
      <c r="S250" s="384">
        <f t="shared" si="6"/>
        <v>0</v>
      </c>
      <c r="T250" s="366"/>
      <c r="U250" s="370"/>
      <c r="V250" s="5"/>
      <c r="W250" s="109"/>
    </row>
    <row r="251" spans="1:23" ht="15.6" x14ac:dyDescent="0.3">
      <c r="A251" s="284"/>
      <c r="B251" s="338"/>
      <c r="C251" s="382"/>
      <c r="D251" s="382"/>
      <c r="E251" s="382"/>
      <c r="F251" s="311"/>
      <c r="G251" s="383"/>
      <c r="H251" s="382"/>
      <c r="I251" s="382"/>
      <c r="J251" s="382"/>
      <c r="K251" s="382"/>
      <c r="L251" s="382"/>
      <c r="M251" s="382"/>
      <c r="N251" s="382"/>
      <c r="O251" s="382"/>
      <c r="P251" s="338"/>
      <c r="Q251" s="384"/>
      <c r="R251" s="339"/>
      <c r="S251" s="384"/>
      <c r="T251" s="366"/>
      <c r="U251" s="370"/>
      <c r="V251" s="5"/>
    </row>
    <row r="252" spans="1:23" ht="15.6" x14ac:dyDescent="0.3">
      <c r="A252" s="284"/>
      <c r="B252" s="285" t="s">
        <v>120</v>
      </c>
      <c r="C252" s="311"/>
      <c r="D252" s="311"/>
      <c r="E252" s="311"/>
      <c r="F252" s="311"/>
      <c r="G252" s="311"/>
      <c r="H252" s="385"/>
      <c r="I252" s="385"/>
      <c r="J252" s="385"/>
      <c r="K252" s="385"/>
      <c r="L252" s="385"/>
      <c r="M252" s="385"/>
      <c r="N252" s="385"/>
      <c r="O252" s="385"/>
      <c r="P252" s="338">
        <f>SUM(P243:P251)</f>
        <v>4161</v>
      </c>
      <c r="Q252" s="384">
        <f>SUM(Q243:Q251)</f>
        <v>1</v>
      </c>
      <c r="R252" s="339">
        <f>SUM(R243:R251)</f>
        <v>544751</v>
      </c>
      <c r="S252" s="384">
        <f>SUM(S243:S251)</f>
        <v>0.99999999999999989</v>
      </c>
      <c r="T252" s="311"/>
      <c r="U252" s="317"/>
      <c r="V252" s="5"/>
    </row>
    <row r="253" spans="1:23" ht="15.6" x14ac:dyDescent="0.3">
      <c r="A253" s="175"/>
      <c r="B253" s="334"/>
      <c r="C253" s="334"/>
      <c r="D253" s="334"/>
      <c r="E253" s="334"/>
      <c r="F253" s="334"/>
      <c r="G253" s="334"/>
      <c r="H253" s="379"/>
      <c r="I253" s="379"/>
      <c r="J253" s="379"/>
      <c r="K253" s="379"/>
      <c r="L253" s="379"/>
      <c r="M253" s="379"/>
      <c r="N253" s="379"/>
      <c r="O253" s="379"/>
      <c r="P253" s="335"/>
      <c r="Q253" s="380"/>
      <c r="R253" s="381"/>
      <c r="S253" s="380"/>
      <c r="T253" s="334"/>
      <c r="U253" s="334"/>
      <c r="V253" s="5"/>
    </row>
    <row r="254" spans="1:23" ht="15.6" x14ac:dyDescent="0.3">
      <c r="A254" s="268"/>
      <c r="B254" s="395" t="s">
        <v>267</v>
      </c>
      <c r="C254" s="396"/>
      <c r="D254" s="396"/>
      <c r="E254" s="396"/>
      <c r="F254" s="402"/>
      <c r="G254" s="396"/>
      <c r="H254" s="396"/>
      <c r="I254" s="396"/>
      <c r="J254" s="396"/>
      <c r="K254" s="396"/>
      <c r="L254" s="396"/>
      <c r="M254" s="396"/>
      <c r="N254" s="396"/>
      <c r="O254" s="396"/>
      <c r="P254" s="402" t="s">
        <v>105</v>
      </c>
      <c r="Q254" s="396" t="s">
        <v>106</v>
      </c>
      <c r="R254" s="402" t="s">
        <v>114</v>
      </c>
      <c r="S254" s="396" t="s">
        <v>106</v>
      </c>
      <c r="T254" s="269"/>
      <c r="U254" s="270"/>
      <c r="V254" s="5"/>
    </row>
    <row r="255" spans="1:23" ht="15.6" x14ac:dyDescent="0.3">
      <c r="A255" s="190"/>
      <c r="B255" s="243" t="s">
        <v>91</v>
      </c>
      <c r="C255" s="217"/>
      <c r="D255" s="217"/>
      <c r="E255" s="217"/>
      <c r="F255" s="191"/>
      <c r="G255" s="217"/>
      <c r="H255" s="217"/>
      <c r="I255" s="217"/>
      <c r="J255" s="217"/>
      <c r="K255" s="217"/>
      <c r="L255" s="217"/>
      <c r="M255" s="217"/>
      <c r="N255" s="217"/>
      <c r="O255" s="217"/>
      <c r="P255" s="243">
        <v>91</v>
      </c>
      <c r="Q255" s="274">
        <f t="shared" ref="Q255:Q262" si="7">P255/$P$264</f>
        <v>0.78448275862068961</v>
      </c>
      <c r="R255" s="251">
        <v>14131</v>
      </c>
      <c r="S255" s="274">
        <f t="shared" ref="S255:S262" si="8">R255/$R$264</f>
        <v>0.77861039175712166</v>
      </c>
      <c r="T255" s="191"/>
      <c r="U255" s="191"/>
      <c r="V255" s="5"/>
    </row>
    <row r="256" spans="1:23" ht="15.6" x14ac:dyDescent="0.3">
      <c r="A256" s="284"/>
      <c r="B256" s="338" t="s">
        <v>92</v>
      </c>
      <c r="C256" s="382"/>
      <c r="D256" s="382"/>
      <c r="E256" s="382"/>
      <c r="F256" s="311"/>
      <c r="G256" s="383"/>
      <c r="H256" s="382"/>
      <c r="I256" s="382"/>
      <c r="J256" s="382"/>
      <c r="K256" s="382"/>
      <c r="L256" s="382"/>
      <c r="M256" s="382"/>
      <c r="N256" s="382"/>
      <c r="O256" s="382"/>
      <c r="P256" s="338">
        <v>3</v>
      </c>
      <c r="Q256" s="384">
        <f t="shared" si="7"/>
        <v>2.5862068965517241E-2</v>
      </c>
      <c r="R256" s="339">
        <v>316</v>
      </c>
      <c r="S256" s="384">
        <f t="shared" si="8"/>
        <v>1.7411427626866493E-2</v>
      </c>
      <c r="T256" s="311"/>
      <c r="U256" s="317"/>
      <c r="V256" s="5"/>
    </row>
    <row r="257" spans="1:22" ht="15.6" x14ac:dyDescent="0.3">
      <c r="A257" s="284"/>
      <c r="B257" s="338" t="s">
        <v>93</v>
      </c>
      <c r="C257" s="382"/>
      <c r="D257" s="382"/>
      <c r="E257" s="382"/>
      <c r="F257" s="311"/>
      <c r="G257" s="383"/>
      <c r="H257" s="382"/>
      <c r="I257" s="382"/>
      <c r="J257" s="382"/>
      <c r="K257" s="382"/>
      <c r="L257" s="382"/>
      <c r="M257" s="382"/>
      <c r="N257" s="382"/>
      <c r="O257" s="382"/>
      <c r="P257" s="338">
        <v>6</v>
      </c>
      <c r="Q257" s="384">
        <f t="shared" si="7"/>
        <v>5.1724137931034482E-2</v>
      </c>
      <c r="R257" s="339">
        <v>869</v>
      </c>
      <c r="S257" s="384">
        <f t="shared" si="8"/>
        <v>4.7881425973882862E-2</v>
      </c>
      <c r="T257" s="311"/>
      <c r="U257" s="317"/>
      <c r="V257" s="5"/>
    </row>
    <row r="258" spans="1:22" ht="15.6" x14ac:dyDescent="0.3">
      <c r="A258" s="284"/>
      <c r="B258" s="338" t="s">
        <v>163</v>
      </c>
      <c r="C258" s="382"/>
      <c r="D258" s="382"/>
      <c r="E258" s="382"/>
      <c r="F258" s="311"/>
      <c r="G258" s="383"/>
      <c r="H258" s="382"/>
      <c r="I258" s="382"/>
      <c r="J258" s="382"/>
      <c r="K258" s="382"/>
      <c r="L258" s="382"/>
      <c r="M258" s="382"/>
      <c r="N258" s="382"/>
      <c r="O258" s="382"/>
      <c r="P258" s="338">
        <v>0</v>
      </c>
      <c r="Q258" s="384">
        <f t="shared" si="7"/>
        <v>0</v>
      </c>
      <c r="R258" s="339">
        <v>0</v>
      </c>
      <c r="S258" s="384">
        <f t="shared" si="8"/>
        <v>0</v>
      </c>
      <c r="T258" s="311"/>
      <c r="U258" s="317"/>
      <c r="V258" s="5"/>
    </row>
    <row r="259" spans="1:22" ht="15.6" x14ac:dyDescent="0.3">
      <c r="A259" s="284"/>
      <c r="B259" s="338" t="s">
        <v>164</v>
      </c>
      <c r="C259" s="382"/>
      <c r="D259" s="382"/>
      <c r="E259" s="382"/>
      <c r="F259" s="311"/>
      <c r="G259" s="383"/>
      <c r="H259" s="382"/>
      <c r="I259" s="382"/>
      <c r="J259" s="382"/>
      <c r="K259" s="382"/>
      <c r="L259" s="382"/>
      <c r="M259" s="382"/>
      <c r="N259" s="382"/>
      <c r="O259" s="382"/>
      <c r="P259" s="338">
        <v>0</v>
      </c>
      <c r="Q259" s="384">
        <f t="shared" si="7"/>
        <v>0</v>
      </c>
      <c r="R259" s="339">
        <v>0</v>
      </c>
      <c r="S259" s="384">
        <f t="shared" si="8"/>
        <v>0</v>
      </c>
      <c r="T259" s="311"/>
      <c r="U259" s="317"/>
      <c r="V259" s="5"/>
    </row>
    <row r="260" spans="1:22" ht="15.6" x14ac:dyDescent="0.3">
      <c r="A260" s="284"/>
      <c r="B260" s="338" t="s">
        <v>165</v>
      </c>
      <c r="C260" s="382"/>
      <c r="D260" s="382"/>
      <c r="E260" s="382"/>
      <c r="F260" s="311"/>
      <c r="G260" s="383"/>
      <c r="H260" s="382"/>
      <c r="I260" s="382"/>
      <c r="J260" s="382"/>
      <c r="K260" s="382"/>
      <c r="L260" s="382"/>
      <c r="M260" s="382"/>
      <c r="N260" s="382"/>
      <c r="O260" s="382"/>
      <c r="P260" s="338">
        <v>0</v>
      </c>
      <c r="Q260" s="384">
        <f t="shared" si="7"/>
        <v>0</v>
      </c>
      <c r="R260" s="339">
        <v>0</v>
      </c>
      <c r="S260" s="384">
        <f t="shared" si="8"/>
        <v>0</v>
      </c>
      <c r="T260" s="311"/>
      <c r="U260" s="317"/>
      <c r="V260" s="5"/>
    </row>
    <row r="261" spans="1:22" ht="15.6" x14ac:dyDescent="0.3">
      <c r="A261" s="284"/>
      <c r="B261" s="338" t="s">
        <v>166</v>
      </c>
      <c r="C261" s="382"/>
      <c r="D261" s="382"/>
      <c r="E261" s="382"/>
      <c r="F261" s="311"/>
      <c r="G261" s="383"/>
      <c r="H261" s="382"/>
      <c r="I261" s="382"/>
      <c r="J261" s="382"/>
      <c r="K261" s="382"/>
      <c r="L261" s="382"/>
      <c r="M261" s="382"/>
      <c r="N261" s="382"/>
      <c r="O261" s="382"/>
      <c r="P261" s="338">
        <v>6</v>
      </c>
      <c r="Q261" s="384">
        <f t="shared" si="7"/>
        <v>5.1724137931034482E-2</v>
      </c>
      <c r="R261" s="339">
        <v>706</v>
      </c>
      <c r="S261" s="384">
        <f t="shared" si="8"/>
        <v>3.8900214887872611E-2</v>
      </c>
      <c r="T261" s="311"/>
      <c r="U261" s="317"/>
      <c r="V261" s="5"/>
    </row>
    <row r="262" spans="1:22" ht="15.6" x14ac:dyDescent="0.3">
      <c r="A262" s="284"/>
      <c r="B262" s="338" t="s">
        <v>167</v>
      </c>
      <c r="C262" s="382"/>
      <c r="D262" s="382"/>
      <c r="E262" s="382"/>
      <c r="F262" s="311"/>
      <c r="G262" s="383"/>
      <c r="H262" s="382"/>
      <c r="I262" s="382"/>
      <c r="J262" s="382"/>
      <c r="K262" s="382"/>
      <c r="L262" s="382"/>
      <c r="M262" s="382"/>
      <c r="N262" s="382"/>
      <c r="O262" s="382"/>
      <c r="P262" s="338">
        <v>10</v>
      </c>
      <c r="Q262" s="384">
        <f t="shared" si="7"/>
        <v>8.6206896551724144E-2</v>
      </c>
      <c r="R262" s="339">
        <v>2127</v>
      </c>
      <c r="S262" s="384">
        <f t="shared" si="8"/>
        <v>0.11719653975425644</v>
      </c>
      <c r="T262" s="311"/>
      <c r="U262" s="317"/>
      <c r="V262" s="5"/>
    </row>
    <row r="263" spans="1:22" ht="15.6" x14ac:dyDescent="0.3">
      <c r="A263" s="284"/>
      <c r="B263" s="338"/>
      <c r="C263" s="382"/>
      <c r="D263" s="382"/>
      <c r="E263" s="382"/>
      <c r="F263" s="311"/>
      <c r="G263" s="383"/>
      <c r="H263" s="382"/>
      <c r="I263" s="382"/>
      <c r="J263" s="382"/>
      <c r="K263" s="382"/>
      <c r="L263" s="382"/>
      <c r="M263" s="382"/>
      <c r="N263" s="382"/>
      <c r="O263" s="382"/>
      <c r="P263" s="338"/>
      <c r="Q263" s="384"/>
      <c r="R263" s="339"/>
      <c r="S263" s="384"/>
      <c r="T263" s="311"/>
      <c r="U263" s="317"/>
      <c r="V263" s="5"/>
    </row>
    <row r="264" spans="1:22" ht="15.6" x14ac:dyDescent="0.3">
      <c r="A264" s="284"/>
      <c r="B264" s="285" t="s">
        <v>120</v>
      </c>
      <c r="C264" s="311"/>
      <c r="D264" s="311"/>
      <c r="E264" s="311"/>
      <c r="F264" s="311"/>
      <c r="G264" s="311"/>
      <c r="H264" s="385"/>
      <c r="I264" s="385"/>
      <c r="J264" s="385"/>
      <c r="K264" s="385"/>
      <c r="L264" s="385"/>
      <c r="M264" s="385"/>
      <c r="N264" s="385"/>
      <c r="O264" s="385"/>
      <c r="P264" s="338">
        <f>SUM(P255:P263)</f>
        <v>116</v>
      </c>
      <c r="Q264" s="384">
        <f>SUM(Q255:Q263)</f>
        <v>1</v>
      </c>
      <c r="R264" s="339">
        <f>SUM(R255:R263)</f>
        <v>18149</v>
      </c>
      <c r="S264" s="384">
        <f>SUM(S255:S263)</f>
        <v>1.0000000000000002</v>
      </c>
      <c r="T264" s="311"/>
      <c r="U264" s="317"/>
      <c r="V264" s="5"/>
    </row>
    <row r="265" spans="1:22" ht="15.6" x14ac:dyDescent="0.3">
      <c r="A265" s="175"/>
      <c r="B265" s="334"/>
      <c r="C265" s="334"/>
      <c r="D265" s="334"/>
      <c r="E265" s="334"/>
      <c r="F265" s="334"/>
      <c r="G265" s="334"/>
      <c r="H265" s="379"/>
      <c r="I265" s="379"/>
      <c r="J265" s="379"/>
      <c r="K265" s="379"/>
      <c r="L265" s="379"/>
      <c r="M265" s="379"/>
      <c r="N265" s="379"/>
      <c r="O265" s="379"/>
      <c r="P265" s="335"/>
      <c r="Q265" s="380"/>
      <c r="R265" s="381"/>
      <c r="S265" s="380"/>
      <c r="T265" s="334"/>
      <c r="U265" s="334"/>
      <c r="V265" s="5"/>
    </row>
    <row r="266" spans="1:22" ht="15.6" x14ac:dyDescent="0.3">
      <c r="A266" s="268"/>
      <c r="B266" s="395" t="s">
        <v>170</v>
      </c>
      <c r="C266" s="269"/>
      <c r="D266" s="269"/>
      <c r="E266" s="269"/>
      <c r="F266" s="269"/>
      <c r="G266" s="269"/>
      <c r="H266" s="271"/>
      <c r="I266" s="271"/>
      <c r="J266" s="271"/>
      <c r="K266" s="271"/>
      <c r="L266" s="271"/>
      <c r="M266" s="271"/>
      <c r="N266" s="271"/>
      <c r="O266" s="271"/>
      <c r="P266" s="402" t="s">
        <v>105</v>
      </c>
      <c r="Q266" s="396" t="s">
        <v>106</v>
      </c>
      <c r="R266" s="402" t="s">
        <v>114</v>
      </c>
      <c r="S266" s="396" t="s">
        <v>106</v>
      </c>
      <c r="T266" s="269"/>
      <c r="U266" s="270"/>
      <c r="V266" s="5"/>
    </row>
    <row r="267" spans="1:22" ht="15.6" x14ac:dyDescent="0.3">
      <c r="A267" s="190"/>
      <c r="B267" s="243" t="s">
        <v>91</v>
      </c>
      <c r="C267" s="239"/>
      <c r="D267" s="239"/>
      <c r="E267" s="239"/>
      <c r="F267" s="239"/>
      <c r="G267" s="239"/>
      <c r="H267" s="275"/>
      <c r="I267" s="275"/>
      <c r="J267" s="275"/>
      <c r="K267" s="275"/>
      <c r="L267" s="218"/>
      <c r="M267" s="218"/>
      <c r="N267" s="218"/>
      <c r="O267" s="218"/>
      <c r="P267" s="243">
        <v>0</v>
      </c>
      <c r="Q267" s="274">
        <v>0</v>
      </c>
      <c r="R267" s="251">
        <v>0</v>
      </c>
      <c r="S267" s="274">
        <v>0</v>
      </c>
      <c r="T267" s="239"/>
      <c r="U267" s="191"/>
      <c r="V267" s="5"/>
    </row>
    <row r="268" spans="1:22" ht="15.6" x14ac:dyDescent="0.3">
      <c r="A268" s="284"/>
      <c r="B268" s="338" t="s">
        <v>92</v>
      </c>
      <c r="C268" s="285"/>
      <c r="D268" s="285"/>
      <c r="E268" s="285"/>
      <c r="F268" s="285"/>
      <c r="G268" s="285"/>
      <c r="H268" s="387"/>
      <c r="I268" s="387"/>
      <c r="J268" s="387"/>
      <c r="K268" s="387"/>
      <c r="L268" s="385"/>
      <c r="M268" s="385"/>
      <c r="N268" s="385"/>
      <c r="O268" s="385"/>
      <c r="P268" s="338">
        <v>0</v>
      </c>
      <c r="Q268" s="384">
        <v>0</v>
      </c>
      <c r="R268" s="339">
        <v>0</v>
      </c>
      <c r="S268" s="384">
        <v>0</v>
      </c>
      <c r="T268" s="285"/>
      <c r="U268" s="317"/>
      <c r="V268" s="5"/>
    </row>
    <row r="269" spans="1:22" ht="15.6" x14ac:dyDescent="0.3">
      <c r="A269" s="284"/>
      <c r="B269" s="338" t="s">
        <v>93</v>
      </c>
      <c r="C269" s="285"/>
      <c r="D269" s="285"/>
      <c r="E269" s="285"/>
      <c r="F269" s="285"/>
      <c r="G269" s="285"/>
      <c r="H269" s="387"/>
      <c r="I269" s="387"/>
      <c r="J269" s="387"/>
      <c r="K269" s="387"/>
      <c r="L269" s="385"/>
      <c r="M269" s="385"/>
      <c r="N269" s="385"/>
      <c r="O269" s="385"/>
      <c r="P269" s="338">
        <v>1</v>
      </c>
      <c r="Q269" s="384">
        <f>P269/P276</f>
        <v>1</v>
      </c>
      <c r="R269" s="339">
        <v>125</v>
      </c>
      <c r="S269" s="384">
        <f>R269/R276</f>
        <v>1</v>
      </c>
      <c r="T269" s="285"/>
      <c r="U269" s="317"/>
      <c r="V269" s="5"/>
    </row>
    <row r="270" spans="1:22" ht="15.6" x14ac:dyDescent="0.3">
      <c r="A270" s="284"/>
      <c r="B270" s="338" t="s">
        <v>163</v>
      </c>
      <c r="C270" s="285"/>
      <c r="D270" s="285"/>
      <c r="E270" s="285"/>
      <c r="F270" s="285"/>
      <c r="G270" s="285"/>
      <c r="H270" s="387"/>
      <c r="I270" s="387"/>
      <c r="J270" s="387"/>
      <c r="K270" s="387"/>
      <c r="L270" s="385"/>
      <c r="M270" s="385"/>
      <c r="N270" s="385"/>
      <c r="O270" s="385"/>
      <c r="P270" s="338">
        <v>0</v>
      </c>
      <c r="Q270" s="384">
        <v>0</v>
      </c>
      <c r="R270" s="339">
        <v>0</v>
      </c>
      <c r="S270" s="384">
        <v>0</v>
      </c>
      <c r="T270" s="285"/>
      <c r="U270" s="317"/>
      <c r="V270" s="5"/>
    </row>
    <row r="271" spans="1:22" ht="15.6" x14ac:dyDescent="0.3">
      <c r="A271" s="284"/>
      <c r="B271" s="338" t="s">
        <v>164</v>
      </c>
      <c r="C271" s="285"/>
      <c r="D271" s="285"/>
      <c r="E271" s="285"/>
      <c r="F271" s="285"/>
      <c r="G271" s="285"/>
      <c r="H271" s="387"/>
      <c r="I271" s="387"/>
      <c r="J271" s="387"/>
      <c r="K271" s="387"/>
      <c r="L271" s="385"/>
      <c r="M271" s="385"/>
      <c r="N271" s="385"/>
      <c r="O271" s="385"/>
      <c r="P271" s="338">
        <v>0</v>
      </c>
      <c r="Q271" s="384">
        <v>0</v>
      </c>
      <c r="R271" s="339">
        <v>0</v>
      </c>
      <c r="S271" s="384">
        <v>0</v>
      </c>
      <c r="T271" s="285"/>
      <c r="U271" s="317"/>
      <c r="V271" s="5"/>
    </row>
    <row r="272" spans="1:22" ht="15.6" x14ac:dyDescent="0.3">
      <c r="A272" s="284"/>
      <c r="B272" s="338" t="s">
        <v>165</v>
      </c>
      <c r="C272" s="285"/>
      <c r="D272" s="285"/>
      <c r="E272" s="285"/>
      <c r="F272" s="285"/>
      <c r="G272" s="285"/>
      <c r="H272" s="387"/>
      <c r="I272" s="387"/>
      <c r="J272" s="387"/>
      <c r="K272" s="387"/>
      <c r="L272" s="385"/>
      <c r="M272" s="385"/>
      <c r="N272" s="385"/>
      <c r="O272" s="385"/>
      <c r="P272" s="338">
        <v>0</v>
      </c>
      <c r="Q272" s="384">
        <v>0</v>
      </c>
      <c r="R272" s="339">
        <v>0</v>
      </c>
      <c r="S272" s="384">
        <v>0</v>
      </c>
      <c r="T272" s="285"/>
      <c r="U272" s="317"/>
      <c r="V272" s="5"/>
    </row>
    <row r="273" spans="1:22" ht="15.6" x14ac:dyDescent="0.3">
      <c r="A273" s="284"/>
      <c r="B273" s="338" t="s">
        <v>166</v>
      </c>
      <c r="C273" s="285"/>
      <c r="D273" s="285"/>
      <c r="E273" s="285"/>
      <c r="F273" s="285"/>
      <c r="G273" s="285"/>
      <c r="H273" s="387"/>
      <c r="I273" s="387"/>
      <c r="J273" s="387"/>
      <c r="K273" s="387"/>
      <c r="L273" s="385"/>
      <c r="M273" s="385"/>
      <c r="N273" s="385"/>
      <c r="O273" s="385"/>
      <c r="P273" s="338">
        <v>0</v>
      </c>
      <c r="Q273" s="384">
        <v>0</v>
      </c>
      <c r="R273" s="339">
        <v>0</v>
      </c>
      <c r="S273" s="384">
        <v>0</v>
      </c>
      <c r="T273" s="285"/>
      <c r="U273" s="317"/>
      <c r="V273" s="5"/>
    </row>
    <row r="274" spans="1:22" ht="15.6" x14ac:dyDescent="0.3">
      <c r="A274" s="284"/>
      <c r="B274" s="338" t="s">
        <v>167</v>
      </c>
      <c r="C274" s="285"/>
      <c r="D274" s="285"/>
      <c r="E274" s="285"/>
      <c r="F274" s="285"/>
      <c r="G274" s="285"/>
      <c r="H274" s="387"/>
      <c r="I274" s="387"/>
      <c r="J274" s="387"/>
      <c r="K274" s="387"/>
      <c r="L274" s="385"/>
      <c r="M274" s="385"/>
      <c r="N274" s="385"/>
      <c r="O274" s="385"/>
      <c r="P274" s="338">
        <v>0</v>
      </c>
      <c r="Q274" s="384">
        <v>0</v>
      </c>
      <c r="R274" s="339">
        <v>0</v>
      </c>
      <c r="S274" s="384">
        <v>0</v>
      </c>
      <c r="T274" s="285"/>
      <c r="U274" s="317"/>
      <c r="V274" s="5"/>
    </row>
    <row r="275" spans="1:22" ht="15.6" x14ac:dyDescent="0.3">
      <c r="A275" s="284"/>
      <c r="B275" s="338"/>
      <c r="C275" s="285"/>
      <c r="D275" s="285"/>
      <c r="E275" s="285"/>
      <c r="F275" s="285"/>
      <c r="G275" s="285"/>
      <c r="H275" s="387"/>
      <c r="I275" s="387"/>
      <c r="J275" s="387"/>
      <c r="K275" s="387"/>
      <c r="L275" s="385"/>
      <c r="M275" s="385"/>
      <c r="N275" s="385"/>
      <c r="O275" s="385"/>
      <c r="P275" s="338"/>
      <c r="Q275" s="384"/>
      <c r="R275" s="339"/>
      <c r="S275" s="384"/>
      <c r="T275" s="285"/>
      <c r="U275" s="317"/>
      <c r="V275" s="5"/>
    </row>
    <row r="276" spans="1:22" ht="15.6" x14ac:dyDescent="0.3">
      <c r="A276" s="284"/>
      <c r="B276" s="285" t="s">
        <v>120</v>
      </c>
      <c r="C276" s="285"/>
      <c r="D276" s="285"/>
      <c r="E276" s="285"/>
      <c r="F276" s="285"/>
      <c r="G276" s="285"/>
      <c r="H276" s="387"/>
      <c r="I276" s="387"/>
      <c r="J276" s="387"/>
      <c r="K276" s="387"/>
      <c r="L276" s="385"/>
      <c r="M276" s="385"/>
      <c r="N276" s="385"/>
      <c r="O276" s="385"/>
      <c r="P276" s="338">
        <f>SUM(P267:P274)</f>
        <v>1</v>
      </c>
      <c r="Q276" s="384">
        <f>SUM(Q267:Q275)</f>
        <v>1</v>
      </c>
      <c r="R276" s="339">
        <f>SUM(R267:R274)</f>
        <v>125</v>
      </c>
      <c r="S276" s="384">
        <f>SUM(S267:S275)</f>
        <v>1</v>
      </c>
      <c r="T276" s="285"/>
      <c r="U276" s="317"/>
      <c r="V276" s="5"/>
    </row>
    <row r="277" spans="1:22" ht="15.6" x14ac:dyDescent="0.3">
      <c r="A277" s="284"/>
      <c r="B277" s="285"/>
      <c r="C277" s="285"/>
      <c r="D277" s="285"/>
      <c r="E277" s="285"/>
      <c r="F277" s="285"/>
      <c r="G277" s="285"/>
      <c r="H277" s="387"/>
      <c r="I277" s="387"/>
      <c r="J277" s="387"/>
      <c r="K277" s="387"/>
      <c r="L277" s="385"/>
      <c r="M277" s="385"/>
      <c r="N277" s="385"/>
      <c r="O277" s="385"/>
      <c r="P277" s="344"/>
      <c r="Q277" s="388"/>
      <c r="R277" s="345"/>
      <c r="S277" s="388"/>
      <c r="T277" s="311"/>
      <c r="U277" s="317"/>
      <c r="V277" s="5"/>
    </row>
    <row r="278" spans="1:22" ht="15.6" x14ac:dyDescent="0.3">
      <c r="A278" s="284"/>
      <c r="B278" s="292" t="s">
        <v>171</v>
      </c>
      <c r="C278" s="285"/>
      <c r="D278" s="285"/>
      <c r="E278" s="285"/>
      <c r="F278" s="285"/>
      <c r="G278" s="285"/>
      <c r="H278" s="387"/>
      <c r="I278" s="387"/>
      <c r="J278" s="387"/>
      <c r="K278" s="387"/>
      <c r="L278" s="385"/>
      <c r="M278" s="385"/>
      <c r="N278" s="385"/>
      <c r="O278" s="385"/>
      <c r="P278" s="403">
        <f>P276+P264+P252</f>
        <v>4278</v>
      </c>
      <c r="Q278" s="384"/>
      <c r="R278" s="404">
        <f>+R276+R264+R252</f>
        <v>563025</v>
      </c>
      <c r="S278" s="384"/>
      <c r="T278" s="311"/>
      <c r="U278" s="317"/>
      <c r="V278" s="5"/>
    </row>
    <row r="279" spans="1:22" ht="15.6" x14ac:dyDescent="0.3">
      <c r="A279" s="175"/>
      <c r="B279" s="281"/>
      <c r="C279" s="281"/>
      <c r="D279" s="281"/>
      <c r="E279" s="281"/>
      <c r="F279" s="281"/>
      <c r="G279" s="281"/>
      <c r="H279" s="386"/>
      <c r="I279" s="386"/>
      <c r="J279" s="386"/>
      <c r="K279" s="386"/>
      <c r="L279" s="379"/>
      <c r="M279" s="379"/>
      <c r="N279" s="379"/>
      <c r="O279" s="379"/>
      <c r="P279" s="379"/>
      <c r="Q279" s="379"/>
      <c r="R279" s="381"/>
      <c r="S279" s="379"/>
      <c r="T279" s="334"/>
      <c r="U279" s="334"/>
      <c r="V279" s="5"/>
    </row>
    <row r="280" spans="1:22" ht="15.6" x14ac:dyDescent="0.3">
      <c r="A280" s="175"/>
      <c r="B280" s="231"/>
      <c r="C280" s="231"/>
      <c r="D280" s="231"/>
      <c r="E280" s="231"/>
      <c r="F280" s="231"/>
      <c r="G280" s="231"/>
      <c r="H280" s="276"/>
      <c r="I280" s="276"/>
      <c r="J280" s="276"/>
      <c r="K280" s="276"/>
      <c r="L280" s="219"/>
      <c r="M280" s="219"/>
      <c r="N280" s="219"/>
      <c r="O280" s="219"/>
      <c r="P280" s="219"/>
      <c r="Q280" s="219"/>
      <c r="R280" s="220"/>
      <c r="S280" s="219"/>
      <c r="T280" s="177"/>
      <c r="U280" s="177"/>
      <c r="V280" s="5"/>
    </row>
    <row r="281" spans="1:22" ht="15.6" x14ac:dyDescent="0.3">
      <c r="A281" s="221"/>
      <c r="B281" s="230" t="s">
        <v>94</v>
      </c>
      <c r="C281" s="231"/>
      <c r="D281" s="231"/>
      <c r="E281" s="231"/>
      <c r="F281" s="236" t="s">
        <v>100</v>
      </c>
      <c r="G281" s="231"/>
      <c r="H281" s="230" t="s">
        <v>102</v>
      </c>
      <c r="I281" s="277"/>
      <c r="J281" s="277"/>
      <c r="K281" s="277"/>
      <c r="L281" s="188"/>
      <c r="M281" s="188"/>
      <c r="N281" s="188"/>
      <c r="O281" s="188"/>
      <c r="P281" s="188"/>
      <c r="Q281" s="188"/>
      <c r="R281" s="188"/>
      <c r="S281" s="188"/>
      <c r="T281" s="188"/>
      <c r="U281" s="188"/>
      <c r="V281" s="5"/>
    </row>
    <row r="282" spans="1:22" ht="15.6" x14ac:dyDescent="0.3">
      <c r="A282" s="221"/>
      <c r="B282" s="230" t="s">
        <v>95</v>
      </c>
      <c r="C282" s="230"/>
      <c r="D282" s="230"/>
      <c r="E282" s="230"/>
      <c r="F282" s="278" t="s">
        <v>154</v>
      </c>
      <c r="G282" s="230"/>
      <c r="H282" s="230" t="s">
        <v>158</v>
      </c>
      <c r="I282" s="277"/>
      <c r="J282" s="277"/>
      <c r="K282" s="277"/>
      <c r="L282" s="188"/>
      <c r="M282" s="188"/>
      <c r="N282" s="188"/>
      <c r="O282" s="188"/>
      <c r="P282" s="188"/>
      <c r="Q282" s="188"/>
      <c r="R282" s="188"/>
      <c r="S282" s="188"/>
      <c r="T282" s="188"/>
      <c r="U282" s="188"/>
      <c r="V282" s="5"/>
    </row>
    <row r="283" spans="1:22" ht="15.6" x14ac:dyDescent="0.3">
      <c r="A283" s="221"/>
      <c r="B283" s="230" t="s">
        <v>268</v>
      </c>
      <c r="C283" s="230"/>
      <c r="D283" s="230"/>
      <c r="E283" s="230"/>
      <c r="F283" s="278" t="s">
        <v>269</v>
      </c>
      <c r="G283" s="230"/>
      <c r="H283" s="230" t="s">
        <v>270</v>
      </c>
      <c r="I283" s="277"/>
      <c r="J283" s="277"/>
      <c r="K283" s="277"/>
      <c r="L283" s="188"/>
      <c r="M283" s="188"/>
      <c r="N283" s="188"/>
      <c r="O283" s="188"/>
      <c r="P283" s="188"/>
      <c r="Q283" s="188"/>
      <c r="R283" s="188"/>
      <c r="S283" s="188"/>
      <c r="T283" s="188"/>
      <c r="U283" s="188"/>
      <c r="V283" s="5"/>
    </row>
    <row r="284" spans="1:22" ht="15.6" x14ac:dyDescent="0.3">
      <c r="A284" s="221"/>
      <c r="B284" s="230" t="s">
        <v>96</v>
      </c>
      <c r="C284" s="230"/>
      <c r="D284" s="230"/>
      <c r="E284" s="230"/>
      <c r="F284" s="278" t="s">
        <v>153</v>
      </c>
      <c r="G284" s="230"/>
      <c r="H284" s="230" t="s">
        <v>159</v>
      </c>
      <c r="I284" s="277"/>
      <c r="J284" s="277"/>
      <c r="K284" s="277"/>
      <c r="L284" s="188"/>
      <c r="M284" s="188"/>
      <c r="N284" s="188"/>
      <c r="O284" s="188"/>
      <c r="P284" s="188"/>
      <c r="Q284" s="188"/>
      <c r="R284" s="188"/>
      <c r="S284" s="188"/>
      <c r="T284" s="188"/>
      <c r="U284" s="188"/>
      <c r="V284" s="5"/>
    </row>
    <row r="285" spans="1:22" ht="15.6" x14ac:dyDescent="0.3">
      <c r="A285" s="221"/>
      <c r="B285" s="230"/>
      <c r="C285" s="230"/>
      <c r="D285" s="230"/>
      <c r="E285" s="230"/>
      <c r="F285" s="230"/>
      <c r="G285" s="279"/>
      <c r="H285" s="277"/>
      <c r="I285" s="277"/>
      <c r="J285" s="277"/>
      <c r="K285" s="277"/>
      <c r="L285" s="188"/>
      <c r="M285" s="188"/>
      <c r="N285" s="188"/>
      <c r="O285" s="188"/>
      <c r="P285" s="188"/>
      <c r="Q285" s="188"/>
      <c r="R285" s="188"/>
      <c r="S285" s="188"/>
      <c r="T285" s="188"/>
      <c r="U285" s="188"/>
      <c r="V285" s="5"/>
    </row>
    <row r="286" spans="1:22" ht="15.6" x14ac:dyDescent="0.3">
      <c r="A286" s="221"/>
      <c r="B286" s="230"/>
      <c r="C286" s="230"/>
      <c r="D286" s="230"/>
      <c r="E286" s="230"/>
      <c r="F286" s="230"/>
      <c r="G286" s="279"/>
      <c r="H286" s="277"/>
      <c r="I286" s="277"/>
      <c r="J286" s="277"/>
      <c r="K286" s="277"/>
      <c r="L286" s="188"/>
      <c r="M286" s="188"/>
      <c r="N286" s="188"/>
      <c r="O286" s="188"/>
      <c r="P286" s="188"/>
      <c r="Q286" s="188"/>
      <c r="R286" s="188"/>
      <c r="S286" s="188"/>
      <c r="T286" s="188"/>
      <c r="U286" s="188"/>
      <c r="V286" s="5"/>
    </row>
    <row r="287" spans="1:22" ht="18" thickBot="1" x14ac:dyDescent="0.35">
      <c r="A287" s="221"/>
      <c r="B287" s="280" t="str">
        <f>B192</f>
        <v>PM11 INVESTOR REPORT QUARTER ENDING MARCH 2012</v>
      </c>
      <c r="C287" s="230"/>
      <c r="D287" s="230"/>
      <c r="E287" s="230"/>
      <c r="F287" s="230"/>
      <c r="G287" s="279"/>
      <c r="H287" s="277"/>
      <c r="I287" s="277"/>
      <c r="J287" s="277"/>
      <c r="K287" s="277"/>
      <c r="L287" s="188"/>
      <c r="M287" s="188"/>
      <c r="N287" s="188"/>
      <c r="O287" s="188"/>
      <c r="P287" s="188"/>
      <c r="Q287" s="188"/>
      <c r="R287" s="188"/>
      <c r="S287" s="188"/>
      <c r="T287" s="188"/>
      <c r="U287" s="188"/>
      <c r="V287" s="5"/>
    </row>
    <row r="288" spans="1:22" x14ac:dyDescent="0.25">
      <c r="A288" s="100"/>
      <c r="B288" s="100"/>
      <c r="C288" s="100"/>
      <c r="D288" s="100"/>
      <c r="E288" s="100"/>
      <c r="F288" s="100"/>
      <c r="G288" s="100"/>
      <c r="H288" s="100"/>
      <c r="I288" s="100"/>
      <c r="J288" s="100"/>
      <c r="K288" s="100"/>
      <c r="L288" s="100"/>
      <c r="M288" s="100"/>
      <c r="N288" s="100"/>
      <c r="O288" s="100"/>
      <c r="P288" s="100"/>
      <c r="Q288" s="100"/>
      <c r="R288" s="100"/>
      <c r="S288" s="100"/>
      <c r="T288" s="100"/>
      <c r="U288" s="100"/>
    </row>
  </sheetData>
  <hyperlinks>
    <hyperlink ref="N228" r:id="rId1" xr:uid="{00000000-0004-0000-1700-000000000000}"/>
    <hyperlink ref="J9" r:id="rId2" xr:uid="{00000000-0004-0000-17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4" max="21" man="1"/>
    <brk id="132" max="14" man="1"/>
    <brk id="192" max="14" man="1"/>
  </rowBreaks>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89CB31"/>
  </sheetPr>
  <dimension ref="A1:X288"/>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08984375" style="1" customWidth="1"/>
    <col min="10" max="10" width="17.81640625" style="1" customWidth="1"/>
    <col min="11" max="11" width="2.1796875" style="1" customWidth="1"/>
    <col min="12" max="12" width="14.81640625" style="1" customWidth="1"/>
    <col min="13" max="13" width="2.1796875" style="1" customWidth="1"/>
    <col min="14" max="14" width="15.54296875" style="1" customWidth="1"/>
    <col min="15" max="15" width="2.08984375" style="1" customWidth="1"/>
    <col min="16" max="16" width="15.54296875" style="1" customWidth="1"/>
    <col min="17" max="18" width="12.81640625" style="1" customWidth="1"/>
    <col min="19" max="19" width="7.81640625" style="1" customWidth="1"/>
    <col min="20" max="20" width="14.81640625" style="1" customWidth="1"/>
    <col min="21" max="21" width="11.81640625" style="1" customWidth="1"/>
    <col min="22" max="16384" width="9.81640625" style="1"/>
  </cols>
  <sheetData>
    <row r="1" spans="1:22" ht="20.399999999999999" x14ac:dyDescent="0.35">
      <c r="A1" s="173"/>
      <c r="B1" s="228" t="s">
        <v>228</v>
      </c>
      <c r="C1" s="174"/>
      <c r="D1" s="174"/>
      <c r="E1" s="174"/>
      <c r="F1" s="174"/>
      <c r="G1" s="174"/>
      <c r="H1" s="174"/>
      <c r="I1" s="174"/>
      <c r="J1" s="174"/>
      <c r="K1" s="174"/>
      <c r="L1" s="174"/>
      <c r="M1" s="174"/>
      <c r="N1" s="174"/>
      <c r="O1" s="174"/>
      <c r="P1" s="174"/>
      <c r="Q1" s="174"/>
      <c r="R1" s="174"/>
      <c r="S1" s="174"/>
      <c r="T1" s="174"/>
      <c r="U1" s="174"/>
      <c r="V1" s="5"/>
    </row>
    <row r="2" spans="1:22" ht="15.6" x14ac:dyDescent="0.3">
      <c r="A2" s="175"/>
      <c r="B2" s="176"/>
      <c r="C2" s="177"/>
      <c r="D2" s="177"/>
      <c r="E2" s="177"/>
      <c r="F2" s="177"/>
      <c r="G2" s="177"/>
      <c r="H2" s="177"/>
      <c r="I2" s="177"/>
      <c r="J2" s="177"/>
      <c r="K2" s="177"/>
      <c r="L2" s="177"/>
      <c r="M2" s="177"/>
      <c r="N2" s="177"/>
      <c r="O2" s="177"/>
      <c r="P2" s="177"/>
      <c r="Q2" s="177"/>
      <c r="R2" s="177"/>
      <c r="S2" s="177"/>
      <c r="T2" s="177"/>
      <c r="U2" s="177"/>
      <c r="V2" s="5"/>
    </row>
    <row r="3" spans="1:22" ht="15.6" x14ac:dyDescent="0.3">
      <c r="A3" s="178"/>
      <c r="B3" s="179" t="s">
        <v>229</v>
      </c>
      <c r="C3" s="177"/>
      <c r="D3" s="177"/>
      <c r="E3" s="177"/>
      <c r="F3" s="177"/>
      <c r="G3" s="177"/>
      <c r="H3" s="177"/>
      <c r="I3" s="177"/>
      <c r="J3" s="177"/>
      <c r="K3" s="177"/>
      <c r="L3" s="177"/>
      <c r="M3" s="177"/>
      <c r="N3" s="177"/>
      <c r="O3" s="177"/>
      <c r="P3" s="177"/>
      <c r="Q3" s="177"/>
      <c r="R3" s="177"/>
      <c r="S3" s="177"/>
      <c r="T3" s="177"/>
      <c r="U3" s="177"/>
      <c r="V3" s="5"/>
    </row>
    <row r="4" spans="1:22" ht="15.6" x14ac:dyDescent="0.3">
      <c r="A4" s="175"/>
      <c r="B4" s="176"/>
      <c r="C4" s="177"/>
      <c r="D4" s="177"/>
      <c r="E4" s="177"/>
      <c r="F4" s="177"/>
      <c r="G4" s="177"/>
      <c r="H4" s="177"/>
      <c r="I4" s="177"/>
      <c r="J4" s="177"/>
      <c r="K4" s="177"/>
      <c r="L4" s="177"/>
      <c r="M4" s="177"/>
      <c r="N4" s="177"/>
      <c r="O4" s="177"/>
      <c r="P4" s="177"/>
      <c r="Q4" s="177"/>
      <c r="R4" s="177"/>
      <c r="S4" s="177"/>
      <c r="T4" s="177"/>
      <c r="U4" s="177"/>
      <c r="V4" s="5"/>
    </row>
    <row r="5" spans="1:22" ht="15.6" x14ac:dyDescent="0.3">
      <c r="A5" s="175"/>
      <c r="B5" s="229" t="s">
        <v>143</v>
      </c>
      <c r="C5" s="177"/>
      <c r="D5" s="177"/>
      <c r="E5" s="177"/>
      <c r="F5" s="177"/>
      <c r="G5" s="177"/>
      <c r="H5" s="177"/>
      <c r="I5" s="177"/>
      <c r="J5" s="177"/>
      <c r="K5" s="177"/>
      <c r="L5" s="177"/>
      <c r="M5" s="177"/>
      <c r="N5" s="177"/>
      <c r="O5" s="177"/>
      <c r="P5" s="177"/>
      <c r="Q5" s="177"/>
      <c r="R5" s="177"/>
      <c r="S5" s="177"/>
      <c r="T5" s="177"/>
      <c r="U5" s="177"/>
      <c r="V5" s="5"/>
    </row>
    <row r="6" spans="1:22" ht="15.6" x14ac:dyDescent="0.3">
      <c r="A6" s="175"/>
      <c r="B6" s="229" t="s">
        <v>145</v>
      </c>
      <c r="C6" s="177"/>
      <c r="D6" s="177"/>
      <c r="E6" s="177"/>
      <c r="F6" s="177"/>
      <c r="G6" s="177"/>
      <c r="H6" s="177"/>
      <c r="I6" s="177"/>
      <c r="J6" s="177"/>
      <c r="K6" s="177"/>
      <c r="L6" s="177"/>
      <c r="M6" s="177"/>
      <c r="N6" s="177"/>
      <c r="O6" s="177"/>
      <c r="P6" s="177"/>
      <c r="Q6" s="177"/>
      <c r="R6" s="177"/>
      <c r="S6" s="177"/>
      <c r="T6" s="177"/>
      <c r="U6" s="177"/>
      <c r="V6" s="5"/>
    </row>
    <row r="7" spans="1:22" ht="15.6" x14ac:dyDescent="0.3">
      <c r="A7" s="175"/>
      <c r="B7" s="229" t="s">
        <v>144</v>
      </c>
      <c r="C7" s="177"/>
      <c r="D7" s="177"/>
      <c r="E7" s="177"/>
      <c r="F7" s="177"/>
      <c r="G7" s="177"/>
      <c r="H7" s="177"/>
      <c r="I7" s="177"/>
      <c r="J7" s="177"/>
      <c r="K7" s="177"/>
      <c r="L7" s="177"/>
      <c r="M7" s="177"/>
      <c r="N7" s="177"/>
      <c r="O7" s="177"/>
      <c r="P7" s="177"/>
      <c r="Q7" s="177"/>
      <c r="R7" s="177"/>
      <c r="S7" s="177"/>
      <c r="T7" s="177"/>
      <c r="U7" s="177"/>
      <c r="V7" s="5"/>
    </row>
    <row r="8" spans="1:22" ht="15.6" x14ac:dyDescent="0.3">
      <c r="A8" s="175"/>
      <c r="B8" s="180"/>
      <c r="C8" s="177"/>
      <c r="D8" s="177"/>
      <c r="E8" s="177"/>
      <c r="F8" s="177"/>
      <c r="G8" s="177"/>
      <c r="H8" s="177"/>
      <c r="I8" s="177"/>
      <c r="J8" s="177"/>
      <c r="K8" s="177"/>
      <c r="L8" s="177"/>
      <c r="M8" s="177"/>
      <c r="N8" s="177"/>
      <c r="O8" s="177"/>
      <c r="P8" s="177"/>
      <c r="Q8" s="177"/>
      <c r="R8" s="177"/>
      <c r="S8" s="177"/>
      <c r="T8" s="177"/>
      <c r="U8" s="177"/>
      <c r="V8" s="5"/>
    </row>
    <row r="9" spans="1:22" ht="17.399999999999999" x14ac:dyDescent="0.3">
      <c r="A9" s="175"/>
      <c r="B9" s="181" t="s">
        <v>173</v>
      </c>
      <c r="C9" s="177"/>
      <c r="D9" s="177"/>
      <c r="E9" s="177"/>
      <c r="F9" s="177"/>
      <c r="G9" s="177"/>
      <c r="H9" s="177"/>
      <c r="I9" s="177"/>
      <c r="J9" s="182" t="s">
        <v>174</v>
      </c>
      <c r="K9" s="177"/>
      <c r="L9" s="182"/>
      <c r="M9" s="177"/>
      <c r="N9" s="177"/>
      <c r="O9" s="177"/>
      <c r="P9" s="177"/>
      <c r="Q9" s="177"/>
      <c r="R9" s="177"/>
      <c r="S9" s="177"/>
      <c r="T9" s="177"/>
      <c r="U9" s="177"/>
      <c r="V9" s="5"/>
    </row>
    <row r="10" spans="1:22" ht="15.6" x14ac:dyDescent="0.3">
      <c r="A10" s="175"/>
      <c r="B10" s="180"/>
      <c r="C10" s="183"/>
      <c r="D10" s="183"/>
      <c r="E10" s="183"/>
      <c r="F10" s="177"/>
      <c r="G10" s="177"/>
      <c r="H10" s="177"/>
      <c r="I10" s="177"/>
      <c r="J10" s="177"/>
      <c r="K10" s="177"/>
      <c r="L10" s="177"/>
      <c r="M10" s="177"/>
      <c r="N10" s="177"/>
      <c r="O10" s="177"/>
      <c r="P10" s="177"/>
      <c r="Q10" s="177"/>
      <c r="R10" s="177"/>
      <c r="S10" s="177"/>
      <c r="T10" s="177"/>
      <c r="U10" s="177"/>
      <c r="V10" s="5"/>
    </row>
    <row r="11" spans="1:22" ht="15.6" x14ac:dyDescent="0.3">
      <c r="A11" s="175"/>
      <c r="B11" s="230" t="s">
        <v>0</v>
      </c>
      <c r="C11" s="177"/>
      <c r="D11" s="177"/>
      <c r="E11" s="177"/>
      <c r="F11" s="177"/>
      <c r="G11" s="177"/>
      <c r="H11" s="177"/>
      <c r="I11" s="177"/>
      <c r="J11" s="177"/>
      <c r="K11" s="177"/>
      <c r="L11" s="177"/>
      <c r="M11" s="177"/>
      <c r="N11" s="177"/>
      <c r="O11" s="177"/>
      <c r="P11" s="177"/>
      <c r="Q11" s="177"/>
      <c r="R11" s="177"/>
      <c r="S11" s="177"/>
      <c r="T11" s="177"/>
      <c r="U11" s="177"/>
      <c r="V11" s="5"/>
    </row>
    <row r="12" spans="1:22" ht="16.2" thickBot="1" x14ac:dyDescent="0.35">
      <c r="A12" s="175"/>
      <c r="B12" s="183"/>
      <c r="C12" s="177"/>
      <c r="D12" s="177"/>
      <c r="E12" s="177"/>
      <c r="F12" s="177"/>
      <c r="G12" s="177"/>
      <c r="H12" s="177"/>
      <c r="I12" s="177"/>
      <c r="J12" s="177"/>
      <c r="K12" s="177"/>
      <c r="L12" s="177"/>
      <c r="M12" s="177"/>
      <c r="N12" s="177"/>
      <c r="O12" s="177"/>
      <c r="P12" s="177"/>
      <c r="Q12" s="177"/>
      <c r="R12" s="177"/>
      <c r="S12" s="177"/>
      <c r="T12" s="177"/>
      <c r="U12" s="177"/>
      <c r="V12" s="5"/>
    </row>
    <row r="13" spans="1:22" ht="15.6" x14ac:dyDescent="0.3">
      <c r="A13" s="173"/>
      <c r="B13" s="174"/>
      <c r="C13" s="174"/>
      <c r="D13" s="174"/>
      <c r="E13" s="174"/>
      <c r="F13" s="174"/>
      <c r="G13" s="174"/>
      <c r="H13" s="174"/>
      <c r="I13" s="174"/>
      <c r="J13" s="174"/>
      <c r="K13" s="174"/>
      <c r="L13" s="174"/>
      <c r="M13" s="174"/>
      <c r="N13" s="174"/>
      <c r="O13" s="174"/>
      <c r="P13" s="174"/>
      <c r="Q13" s="174"/>
      <c r="R13" s="174"/>
      <c r="S13" s="174"/>
      <c r="T13" s="174"/>
      <c r="U13" s="174"/>
      <c r="V13" s="5"/>
    </row>
    <row r="14" spans="1:22" ht="15.6" x14ac:dyDescent="0.3">
      <c r="A14" s="175"/>
      <c r="B14" s="230" t="s">
        <v>1</v>
      </c>
      <c r="C14" s="184"/>
      <c r="D14" s="184"/>
      <c r="E14" s="184"/>
      <c r="F14" s="184"/>
      <c r="G14" s="184"/>
      <c r="H14" s="184"/>
      <c r="I14" s="184"/>
      <c r="J14" s="184"/>
      <c r="K14" s="184"/>
      <c r="L14" s="184"/>
      <c r="M14" s="184"/>
      <c r="N14" s="184"/>
      <c r="O14" s="184"/>
      <c r="P14" s="231"/>
      <c r="Q14" s="231"/>
      <c r="R14" s="231"/>
      <c r="S14" s="231"/>
      <c r="T14" s="233" t="s">
        <v>230</v>
      </c>
      <c r="U14" s="184"/>
      <c r="V14" s="5"/>
    </row>
    <row r="15" spans="1:22" ht="15.6" x14ac:dyDescent="0.3">
      <c r="A15" s="175"/>
      <c r="B15" s="230" t="s">
        <v>2</v>
      </c>
      <c r="C15" s="184"/>
      <c r="D15" s="184"/>
      <c r="E15" s="184"/>
      <c r="F15" s="184"/>
      <c r="G15" s="184"/>
      <c r="H15" s="185"/>
      <c r="I15" s="185"/>
      <c r="J15" s="185"/>
      <c r="K15" s="185"/>
      <c r="L15" s="185"/>
      <c r="M15" s="185"/>
      <c r="N15" s="185"/>
      <c r="O15" s="185"/>
      <c r="P15" s="234" t="s">
        <v>107</v>
      </c>
      <c r="Q15" s="235">
        <v>0.40749999999999997</v>
      </c>
      <c r="R15" s="236" t="s">
        <v>146</v>
      </c>
      <c r="S15" s="235">
        <v>0.59250000000000003</v>
      </c>
      <c r="T15" s="233"/>
      <c r="U15" s="184"/>
      <c r="V15" s="5"/>
    </row>
    <row r="16" spans="1:22" ht="15.6" x14ac:dyDescent="0.3">
      <c r="A16" s="175"/>
      <c r="B16" s="230" t="s">
        <v>3</v>
      </c>
      <c r="C16" s="184"/>
      <c r="D16" s="184"/>
      <c r="E16" s="184"/>
      <c r="F16" s="184"/>
      <c r="G16" s="184"/>
      <c r="H16" s="185"/>
      <c r="I16" s="185"/>
      <c r="J16" s="185"/>
      <c r="K16" s="185"/>
      <c r="L16" s="185"/>
      <c r="M16" s="185"/>
      <c r="N16" s="185"/>
      <c r="O16" s="185"/>
      <c r="P16" s="234" t="s">
        <v>107</v>
      </c>
      <c r="Q16" s="235">
        <v>0.4501</v>
      </c>
      <c r="R16" s="236" t="s">
        <v>146</v>
      </c>
      <c r="S16" s="235">
        <v>0.54990000000000006</v>
      </c>
      <c r="T16" s="233"/>
      <c r="U16" s="184"/>
      <c r="V16" s="5"/>
    </row>
    <row r="17" spans="1:22" ht="15.6" x14ac:dyDescent="0.3">
      <c r="A17" s="175"/>
      <c r="B17" s="230" t="s">
        <v>4</v>
      </c>
      <c r="C17" s="184"/>
      <c r="D17" s="184"/>
      <c r="E17" s="184"/>
      <c r="F17" s="184"/>
      <c r="G17" s="184"/>
      <c r="H17" s="184"/>
      <c r="I17" s="184"/>
      <c r="J17" s="184"/>
      <c r="K17" s="184"/>
      <c r="L17" s="184"/>
      <c r="M17" s="184"/>
      <c r="N17" s="184"/>
      <c r="O17" s="184"/>
      <c r="P17" s="231"/>
      <c r="Q17" s="231"/>
      <c r="R17" s="231"/>
      <c r="S17" s="231"/>
      <c r="T17" s="237">
        <v>38799</v>
      </c>
      <c r="U17" s="184"/>
      <c r="V17" s="5"/>
    </row>
    <row r="18" spans="1:22" ht="15.6" x14ac:dyDescent="0.3">
      <c r="A18" s="175"/>
      <c r="B18" s="230" t="s">
        <v>5</v>
      </c>
      <c r="C18" s="184"/>
      <c r="D18" s="184"/>
      <c r="E18" s="184"/>
      <c r="F18" s="184"/>
      <c r="G18" s="184"/>
      <c r="H18" s="184"/>
      <c r="I18" s="184"/>
      <c r="J18" s="184"/>
      <c r="K18" s="184"/>
      <c r="L18" s="184"/>
      <c r="M18" s="184"/>
      <c r="N18" s="184"/>
      <c r="O18" s="184"/>
      <c r="P18" s="231"/>
      <c r="Q18" s="231"/>
      <c r="R18" s="231"/>
      <c r="S18" s="231"/>
      <c r="T18" s="237">
        <v>41108</v>
      </c>
      <c r="U18" s="184"/>
      <c r="V18" s="5"/>
    </row>
    <row r="19" spans="1:22" ht="15.6" x14ac:dyDescent="0.3">
      <c r="A19" s="175"/>
      <c r="B19" s="177"/>
      <c r="C19" s="177"/>
      <c r="D19" s="177"/>
      <c r="E19" s="177"/>
      <c r="F19" s="177"/>
      <c r="G19" s="177"/>
      <c r="H19" s="177"/>
      <c r="I19" s="177"/>
      <c r="J19" s="177"/>
      <c r="K19" s="177"/>
      <c r="L19" s="177"/>
      <c r="M19" s="177"/>
      <c r="N19" s="177"/>
      <c r="O19" s="177"/>
      <c r="P19" s="177"/>
      <c r="Q19" s="177"/>
      <c r="R19" s="177"/>
      <c r="S19" s="177"/>
      <c r="T19" s="186"/>
      <c r="U19" s="177"/>
      <c r="V19" s="5"/>
    </row>
    <row r="20" spans="1:22" ht="15.6" x14ac:dyDescent="0.3">
      <c r="A20" s="175"/>
      <c r="B20" s="232" t="s">
        <v>6</v>
      </c>
      <c r="C20" s="177"/>
      <c r="D20" s="177"/>
      <c r="E20" s="177"/>
      <c r="F20" s="177"/>
      <c r="G20" s="177"/>
      <c r="H20" s="177"/>
      <c r="I20" s="177"/>
      <c r="J20" s="177"/>
      <c r="K20" s="177"/>
      <c r="L20" s="177"/>
      <c r="M20" s="177"/>
      <c r="N20" s="177"/>
      <c r="O20" s="177"/>
      <c r="P20" s="177"/>
      <c r="Q20" s="177"/>
      <c r="R20" s="238" t="s">
        <v>108</v>
      </c>
      <c r="S20" s="177"/>
      <c r="T20" s="188"/>
      <c r="U20" s="177"/>
      <c r="V20" s="5"/>
    </row>
    <row r="21" spans="1:22" ht="15.6" x14ac:dyDescent="0.3">
      <c r="A21" s="175"/>
      <c r="B21" s="177"/>
      <c r="C21" s="177"/>
      <c r="D21" s="177"/>
      <c r="E21" s="177"/>
      <c r="F21" s="177"/>
      <c r="G21" s="177"/>
      <c r="H21" s="177"/>
      <c r="I21" s="177"/>
      <c r="J21" s="177"/>
      <c r="K21" s="177"/>
      <c r="L21" s="177"/>
      <c r="M21" s="177"/>
      <c r="N21" s="177"/>
      <c r="O21" s="177"/>
      <c r="P21" s="177"/>
      <c r="Q21" s="177"/>
      <c r="R21" s="177"/>
      <c r="S21" s="177"/>
      <c r="T21" s="189"/>
      <c r="U21" s="177"/>
      <c r="V21" s="5"/>
    </row>
    <row r="22" spans="1:22" ht="15.6" x14ac:dyDescent="0.3">
      <c r="A22" s="222"/>
      <c r="B22" s="223"/>
      <c r="C22" s="224"/>
      <c r="D22" s="224" t="s">
        <v>184</v>
      </c>
      <c r="E22" s="224"/>
      <c r="F22" s="224" t="s">
        <v>185</v>
      </c>
      <c r="G22" s="224"/>
      <c r="H22" s="224" t="s">
        <v>186</v>
      </c>
      <c r="I22" s="224"/>
      <c r="J22" s="224" t="s">
        <v>187</v>
      </c>
      <c r="K22" s="224"/>
      <c r="L22" s="224" t="s">
        <v>188</v>
      </c>
      <c r="M22" s="224"/>
      <c r="N22" s="224" t="s">
        <v>189</v>
      </c>
      <c r="O22" s="224"/>
      <c r="P22" s="224"/>
      <c r="Q22" s="226"/>
      <c r="R22" s="226"/>
      <c r="S22" s="227"/>
      <c r="T22" s="227"/>
      <c r="U22" s="223"/>
      <c r="V22" s="5"/>
    </row>
    <row r="23" spans="1:22" ht="15.6" x14ac:dyDescent="0.3">
      <c r="A23" s="190"/>
      <c r="B23" s="239" t="s">
        <v>7</v>
      </c>
      <c r="C23" s="240"/>
      <c r="D23" s="240" t="s">
        <v>222</v>
      </c>
      <c r="E23" s="240"/>
      <c r="F23" s="240" t="s">
        <v>147</v>
      </c>
      <c r="G23" s="240"/>
      <c r="H23" s="240" t="s">
        <v>147</v>
      </c>
      <c r="I23" s="240"/>
      <c r="J23" s="240" t="s">
        <v>190</v>
      </c>
      <c r="K23" s="240"/>
      <c r="L23" s="240" t="s">
        <v>190</v>
      </c>
      <c r="M23" s="240"/>
      <c r="N23" s="240" t="s">
        <v>148</v>
      </c>
      <c r="O23" s="240"/>
      <c r="P23" s="240"/>
      <c r="Q23" s="240"/>
      <c r="R23" s="240"/>
      <c r="S23" s="241"/>
      <c r="T23" s="241"/>
      <c r="U23" s="239"/>
      <c r="V23" s="5"/>
    </row>
    <row r="24" spans="1:22" ht="15.6" x14ac:dyDescent="0.3">
      <c r="A24" s="284"/>
      <c r="B24" s="285" t="s">
        <v>8</v>
      </c>
      <c r="C24" s="286"/>
      <c r="D24" s="286" t="s">
        <v>223</v>
      </c>
      <c r="E24" s="286"/>
      <c r="F24" s="286" t="s">
        <v>149</v>
      </c>
      <c r="G24" s="286"/>
      <c r="H24" s="286" t="s">
        <v>149</v>
      </c>
      <c r="I24" s="286"/>
      <c r="J24" s="286" t="s">
        <v>172</v>
      </c>
      <c r="K24" s="286"/>
      <c r="L24" s="286" t="s">
        <v>172</v>
      </c>
      <c r="M24" s="286"/>
      <c r="N24" s="286" t="s">
        <v>150</v>
      </c>
      <c r="O24" s="286"/>
      <c r="P24" s="286"/>
      <c r="Q24" s="286"/>
      <c r="R24" s="286"/>
      <c r="S24" s="287"/>
      <c r="T24" s="287"/>
      <c r="U24" s="288"/>
      <c r="V24" s="5"/>
    </row>
    <row r="25" spans="1:22" ht="15.6" x14ac:dyDescent="0.3">
      <c r="A25" s="289"/>
      <c r="B25" s="285" t="s">
        <v>198</v>
      </c>
      <c r="C25" s="394"/>
      <c r="D25" s="286" t="s">
        <v>224</v>
      </c>
      <c r="E25" s="286"/>
      <c r="F25" s="286" t="s">
        <v>149</v>
      </c>
      <c r="G25" s="286"/>
      <c r="H25" s="286" t="s">
        <v>149</v>
      </c>
      <c r="I25" s="286"/>
      <c r="J25" s="286" t="s">
        <v>172</v>
      </c>
      <c r="K25" s="286"/>
      <c r="L25" s="286" t="s">
        <v>172</v>
      </c>
      <c r="M25" s="286"/>
      <c r="N25" s="286" t="s">
        <v>150</v>
      </c>
      <c r="O25" s="286"/>
      <c r="P25" s="286"/>
      <c r="Q25" s="394"/>
      <c r="R25" s="286"/>
      <c r="S25" s="287"/>
      <c r="T25" s="287"/>
      <c r="U25" s="288"/>
      <c r="V25" s="5"/>
    </row>
    <row r="26" spans="1:22" ht="15.6" x14ac:dyDescent="0.3">
      <c r="A26" s="289"/>
      <c r="B26" s="292" t="s">
        <v>9</v>
      </c>
      <c r="C26" s="394"/>
      <c r="D26" s="394" t="s">
        <v>306</v>
      </c>
      <c r="E26" s="394"/>
      <c r="F26" s="394" t="s">
        <v>147</v>
      </c>
      <c r="G26" s="394"/>
      <c r="H26" s="394" t="s">
        <v>147</v>
      </c>
      <c r="I26" s="394"/>
      <c r="J26" s="394" t="s">
        <v>190</v>
      </c>
      <c r="K26" s="394"/>
      <c r="L26" s="394" t="s">
        <v>190</v>
      </c>
      <c r="M26" s="394"/>
      <c r="N26" s="394" t="s">
        <v>148</v>
      </c>
      <c r="O26" s="394"/>
      <c r="P26" s="394"/>
      <c r="Q26" s="394"/>
      <c r="R26" s="286"/>
      <c r="S26" s="287"/>
      <c r="T26" s="287"/>
      <c r="U26" s="288"/>
      <c r="V26" s="5"/>
    </row>
    <row r="27" spans="1:22" ht="15.6" x14ac:dyDescent="0.3">
      <c r="A27" s="284"/>
      <c r="B27" s="292" t="s">
        <v>199</v>
      </c>
      <c r="C27" s="286"/>
      <c r="D27" s="394" t="s">
        <v>307</v>
      </c>
      <c r="E27" s="394"/>
      <c r="F27" s="394" t="s">
        <v>172</v>
      </c>
      <c r="G27" s="394"/>
      <c r="H27" s="394" t="s">
        <v>172</v>
      </c>
      <c r="I27" s="394"/>
      <c r="J27" s="394" t="s">
        <v>150</v>
      </c>
      <c r="K27" s="394"/>
      <c r="L27" s="394" t="s">
        <v>150</v>
      </c>
      <c r="M27" s="394"/>
      <c r="N27" s="394" t="s">
        <v>308</v>
      </c>
      <c r="O27" s="394"/>
      <c r="P27" s="394"/>
      <c r="Q27" s="286"/>
      <c r="R27" s="293"/>
      <c r="S27" s="287"/>
      <c r="T27" s="287"/>
      <c r="U27" s="288"/>
      <c r="V27" s="5"/>
    </row>
    <row r="28" spans="1:22" ht="15.6" x14ac:dyDescent="0.3">
      <c r="A28" s="284"/>
      <c r="B28" s="292" t="s">
        <v>200</v>
      </c>
      <c r="C28" s="286"/>
      <c r="D28" s="394" t="s">
        <v>302</v>
      </c>
      <c r="E28" s="394"/>
      <c r="F28" s="394" t="s">
        <v>149</v>
      </c>
      <c r="G28" s="394"/>
      <c r="H28" s="394" t="s">
        <v>149</v>
      </c>
      <c r="I28" s="394"/>
      <c r="J28" s="394" t="s">
        <v>172</v>
      </c>
      <c r="K28" s="394"/>
      <c r="L28" s="394" t="s">
        <v>172</v>
      </c>
      <c r="M28" s="394"/>
      <c r="N28" s="394" t="s">
        <v>150</v>
      </c>
      <c r="O28" s="394"/>
      <c r="P28" s="394"/>
      <c r="Q28" s="286"/>
      <c r="R28" s="293"/>
      <c r="S28" s="287"/>
      <c r="T28" s="287"/>
      <c r="U28" s="288"/>
      <c r="V28" s="5"/>
    </row>
    <row r="29" spans="1:22" ht="15.6" x14ac:dyDescent="0.3">
      <c r="A29" s="284"/>
      <c r="B29" s="285" t="s">
        <v>10</v>
      </c>
      <c r="C29" s="295"/>
      <c r="D29" s="286" t="s">
        <v>237</v>
      </c>
      <c r="E29" s="286"/>
      <c r="F29" s="293" t="s">
        <v>238</v>
      </c>
      <c r="G29" s="286"/>
      <c r="H29" s="286" t="s">
        <v>239</v>
      </c>
      <c r="I29" s="286"/>
      <c r="J29" s="286" t="s">
        <v>240</v>
      </c>
      <c r="K29" s="286"/>
      <c r="L29" s="286" t="s">
        <v>241</v>
      </c>
      <c r="M29" s="286"/>
      <c r="N29" s="286" t="s">
        <v>242</v>
      </c>
      <c r="O29" s="286"/>
      <c r="P29" s="286"/>
      <c r="Q29" s="296"/>
      <c r="R29" s="296"/>
      <c r="S29" s="297"/>
      <c r="T29" s="296"/>
      <c r="U29" s="298"/>
      <c r="V29" s="5"/>
    </row>
    <row r="30" spans="1:22" ht="15.6" x14ac:dyDescent="0.3">
      <c r="A30" s="284"/>
      <c r="B30" s="285" t="s">
        <v>10</v>
      </c>
      <c r="C30" s="295"/>
      <c r="D30" s="286" t="s">
        <v>236</v>
      </c>
      <c r="E30" s="286"/>
      <c r="F30" s="293" t="s">
        <v>124</v>
      </c>
      <c r="G30" s="286"/>
      <c r="H30" s="286" t="s">
        <v>124</v>
      </c>
      <c r="I30" s="286"/>
      <c r="J30" s="286" t="s">
        <v>124</v>
      </c>
      <c r="K30" s="286"/>
      <c r="L30" s="286" t="s">
        <v>124</v>
      </c>
      <c r="M30" s="286"/>
      <c r="N30" s="286" t="s">
        <v>124</v>
      </c>
      <c r="O30" s="286"/>
      <c r="P30" s="286"/>
      <c r="Q30" s="296"/>
      <c r="R30" s="296"/>
      <c r="S30" s="297"/>
      <c r="T30" s="296"/>
      <c r="U30" s="298"/>
      <c r="V30" s="5"/>
    </row>
    <row r="31" spans="1:22" ht="15.6" x14ac:dyDescent="0.3">
      <c r="A31" s="289"/>
      <c r="B31" s="285" t="s">
        <v>139</v>
      </c>
      <c r="C31" s="299"/>
      <c r="D31" s="300">
        <v>985000</v>
      </c>
      <c r="E31" s="295"/>
      <c r="F31" s="296">
        <v>149500</v>
      </c>
      <c r="G31" s="296"/>
      <c r="H31" s="301">
        <v>219700</v>
      </c>
      <c r="I31" s="296"/>
      <c r="J31" s="296">
        <v>16000</v>
      </c>
      <c r="K31" s="296"/>
      <c r="L31" s="301">
        <v>82400</v>
      </c>
      <c r="M31" s="296"/>
      <c r="N31" s="301">
        <v>87500</v>
      </c>
      <c r="O31" s="296"/>
      <c r="P31" s="301"/>
      <c r="Q31" s="302"/>
      <c r="R31" s="302"/>
      <c r="S31" s="303"/>
      <c r="T31" s="302"/>
      <c r="U31" s="298"/>
      <c r="V31" s="5"/>
    </row>
    <row r="32" spans="1:22" ht="15.6" x14ac:dyDescent="0.3">
      <c r="A32" s="284"/>
      <c r="B32" s="285" t="s">
        <v>138</v>
      </c>
      <c r="C32" s="295"/>
      <c r="D32" s="300">
        <f>D38*D31</f>
        <v>488778.67</v>
      </c>
      <c r="E32" s="295"/>
      <c r="F32" s="296">
        <f>F38*F31</f>
        <v>74185.308600000004</v>
      </c>
      <c r="G32" s="296"/>
      <c r="H32" s="301">
        <f>H38*H31</f>
        <v>109020.14916</v>
      </c>
      <c r="I32" s="296"/>
      <c r="J32" s="296">
        <f>+J31</f>
        <v>16000</v>
      </c>
      <c r="K32" s="296"/>
      <c r="L32" s="301">
        <f>+L31</f>
        <v>82400</v>
      </c>
      <c r="M32" s="296"/>
      <c r="N32" s="301">
        <f>+N31</f>
        <v>87500</v>
      </c>
      <c r="O32" s="296"/>
      <c r="P32" s="301"/>
      <c r="Q32" s="296"/>
      <c r="R32" s="296"/>
      <c r="S32" s="297"/>
      <c r="T32" s="296"/>
      <c r="U32" s="298"/>
      <c r="V32" s="5"/>
    </row>
    <row r="33" spans="1:22" ht="15.6" x14ac:dyDescent="0.3">
      <c r="A33" s="284"/>
      <c r="B33" s="292" t="s">
        <v>140</v>
      </c>
      <c r="C33" s="295"/>
      <c r="D33" s="304">
        <f>D37*D31</f>
        <v>484361.24050000001</v>
      </c>
      <c r="E33" s="299"/>
      <c r="F33" s="302">
        <f>F37*F31</f>
        <v>73514.8609</v>
      </c>
      <c r="G33" s="302"/>
      <c r="H33" s="305">
        <f>H31*H37</f>
        <v>108034.88254000001</v>
      </c>
      <c r="I33" s="302"/>
      <c r="J33" s="302">
        <f>J31*J37</f>
        <v>16000</v>
      </c>
      <c r="K33" s="302"/>
      <c r="L33" s="305">
        <f>L31*L37</f>
        <v>82400</v>
      </c>
      <c r="M33" s="302"/>
      <c r="N33" s="305">
        <f>N31*N37</f>
        <v>87500</v>
      </c>
      <c r="O33" s="302"/>
      <c r="P33" s="305"/>
      <c r="Q33" s="296"/>
      <c r="R33" s="296"/>
      <c r="S33" s="297"/>
      <c r="T33" s="296"/>
      <c r="U33" s="298"/>
      <c r="V33" s="5"/>
    </row>
    <row r="34" spans="1:22" ht="15.6" x14ac:dyDescent="0.3">
      <c r="A34" s="289"/>
      <c r="B34" s="285" t="s">
        <v>283</v>
      </c>
      <c r="C34" s="299"/>
      <c r="D34" s="296">
        <v>567282</v>
      </c>
      <c r="E34" s="295"/>
      <c r="F34" s="296">
        <v>149500</v>
      </c>
      <c r="G34" s="296"/>
      <c r="H34" s="296">
        <v>150716</v>
      </c>
      <c r="I34" s="296"/>
      <c r="J34" s="296">
        <v>16000</v>
      </c>
      <c r="K34" s="296"/>
      <c r="L34" s="296">
        <v>56527</v>
      </c>
      <c r="M34" s="296"/>
      <c r="N34" s="296">
        <v>60025</v>
      </c>
      <c r="O34" s="296"/>
      <c r="P34" s="296"/>
      <c r="Q34" s="302"/>
      <c r="R34" s="302"/>
      <c r="S34" s="303"/>
      <c r="T34" s="296">
        <f>SUM(C34:P34)</f>
        <v>1000050</v>
      </c>
      <c r="U34" s="298"/>
      <c r="V34" s="5"/>
    </row>
    <row r="35" spans="1:22" ht="15.6" x14ac:dyDescent="0.3">
      <c r="A35" s="289"/>
      <c r="B35" s="285" t="s">
        <v>284</v>
      </c>
      <c r="C35" s="299"/>
      <c r="D35" s="296">
        <f>D38*D34</f>
        <v>281497.80860400002</v>
      </c>
      <c r="E35" s="295"/>
      <c r="F35" s="296">
        <f>F38*F34</f>
        <v>74185.308600000004</v>
      </c>
      <c r="G35" s="296"/>
      <c r="H35" s="296">
        <f>H38*H34</f>
        <v>74788.715524800005</v>
      </c>
      <c r="I35" s="296"/>
      <c r="J35" s="296">
        <f>+J34</f>
        <v>16000</v>
      </c>
      <c r="K35" s="296"/>
      <c r="L35" s="296">
        <f>+L34</f>
        <v>56527</v>
      </c>
      <c r="M35" s="296"/>
      <c r="N35" s="296">
        <f>+N34</f>
        <v>60025</v>
      </c>
      <c r="O35" s="296"/>
      <c r="P35" s="296"/>
      <c r="Q35" s="296"/>
      <c r="R35" s="296"/>
      <c r="S35" s="297"/>
      <c r="T35" s="296">
        <f>SUM(C35:P35)+1</f>
        <v>563024.83272880001</v>
      </c>
      <c r="U35" s="298"/>
      <c r="V35" s="5"/>
    </row>
    <row r="36" spans="1:22" ht="15.6" x14ac:dyDescent="0.3">
      <c r="A36" s="289"/>
      <c r="B36" s="292" t="s">
        <v>285</v>
      </c>
      <c r="C36" s="299"/>
      <c r="D36" s="302">
        <f>D37*D34</f>
        <v>278953.71901860001</v>
      </c>
      <c r="E36" s="299"/>
      <c r="F36" s="302">
        <f>F37*F34</f>
        <v>73514.8609</v>
      </c>
      <c r="G36" s="302"/>
      <c r="H36" s="302">
        <f>H37*H34</f>
        <v>74112.814551200005</v>
      </c>
      <c r="I36" s="302"/>
      <c r="J36" s="302">
        <f>+J34</f>
        <v>16000</v>
      </c>
      <c r="K36" s="302"/>
      <c r="L36" s="302">
        <f>+L34</f>
        <v>56527</v>
      </c>
      <c r="M36" s="302"/>
      <c r="N36" s="302">
        <f>+N34</f>
        <v>60025</v>
      </c>
      <c r="O36" s="302"/>
      <c r="P36" s="302"/>
      <c r="Q36" s="327"/>
      <c r="R36" s="327"/>
      <c r="S36" s="297"/>
      <c r="T36" s="302">
        <f>SUM(C36:P36)+1</f>
        <v>559134.39446980006</v>
      </c>
      <c r="U36" s="298"/>
      <c r="V36" s="5"/>
    </row>
    <row r="37" spans="1:22" ht="15.6" x14ac:dyDescent="0.3">
      <c r="A37" s="284"/>
      <c r="B37" s="310" t="s">
        <v>136</v>
      </c>
      <c r="C37" s="311"/>
      <c r="D37" s="312">
        <v>0.49173729999999999</v>
      </c>
      <c r="E37" s="313"/>
      <c r="F37" s="312">
        <v>0.49173820000000001</v>
      </c>
      <c r="G37" s="314"/>
      <c r="H37" s="312">
        <v>0.49173820000000001</v>
      </c>
      <c r="I37" s="314"/>
      <c r="J37" s="312">
        <v>1</v>
      </c>
      <c r="K37" s="314"/>
      <c r="L37" s="312">
        <v>1</v>
      </c>
      <c r="M37" s="314"/>
      <c r="N37" s="312">
        <v>1</v>
      </c>
      <c r="O37" s="314"/>
      <c r="P37" s="314"/>
      <c r="Q37" s="315"/>
      <c r="R37" s="315"/>
      <c r="S37" s="316"/>
      <c r="T37" s="316"/>
      <c r="U37" s="317"/>
      <c r="V37" s="5"/>
    </row>
    <row r="38" spans="1:22" ht="15.6" x14ac:dyDescent="0.3">
      <c r="A38" s="284"/>
      <c r="B38" s="310" t="s">
        <v>137</v>
      </c>
      <c r="C38" s="311"/>
      <c r="D38" s="312">
        <v>0.496222</v>
      </c>
      <c r="E38" s="313"/>
      <c r="F38" s="312">
        <v>0.49622280000000002</v>
      </c>
      <c r="G38" s="314"/>
      <c r="H38" s="312">
        <v>0.49622280000000002</v>
      </c>
      <c r="I38" s="314"/>
      <c r="J38" s="312">
        <v>1</v>
      </c>
      <c r="K38" s="312"/>
      <c r="L38" s="312">
        <v>1</v>
      </c>
      <c r="M38" s="312"/>
      <c r="N38" s="312">
        <v>1</v>
      </c>
      <c r="O38" s="314"/>
      <c r="P38" s="314"/>
      <c r="Q38" s="318"/>
      <c r="R38" s="319"/>
      <c r="S38" s="316"/>
      <c r="T38" s="318"/>
      <c r="U38" s="317"/>
      <c r="V38" s="5"/>
    </row>
    <row r="39" spans="1:22" ht="15.6" x14ac:dyDescent="0.3">
      <c r="A39" s="284"/>
      <c r="B39" s="285" t="s">
        <v>11</v>
      </c>
      <c r="C39" s="285"/>
      <c r="D39" s="293" t="s">
        <v>275</v>
      </c>
      <c r="E39" s="285"/>
      <c r="F39" s="293" t="s">
        <v>232</v>
      </c>
      <c r="G39" s="293"/>
      <c r="H39" s="293" t="s">
        <v>232</v>
      </c>
      <c r="I39" s="293"/>
      <c r="J39" s="293" t="s">
        <v>234</v>
      </c>
      <c r="K39" s="293"/>
      <c r="L39" s="293" t="s">
        <v>234</v>
      </c>
      <c r="M39" s="293"/>
      <c r="N39" s="293" t="s">
        <v>235</v>
      </c>
      <c r="O39" s="293"/>
      <c r="P39" s="293"/>
      <c r="Q39" s="320"/>
      <c r="R39" s="321"/>
      <c r="S39" s="287"/>
      <c r="T39" s="287"/>
      <c r="U39" s="288"/>
      <c r="V39" s="5"/>
    </row>
    <row r="40" spans="1:22" ht="15.6" x14ac:dyDescent="0.3">
      <c r="A40" s="284"/>
      <c r="B40" s="285" t="s">
        <v>12</v>
      </c>
      <c r="C40" s="285"/>
      <c r="D40" s="321">
        <v>3.4175E-3</v>
      </c>
      <c r="E40" s="285"/>
      <c r="F40" s="321">
        <v>1.2574999999999999E-2</v>
      </c>
      <c r="G40" s="320"/>
      <c r="H40" s="321">
        <v>9.9699999999999997E-3</v>
      </c>
      <c r="I40" s="320"/>
      <c r="J40" s="321">
        <v>1.4975E-2</v>
      </c>
      <c r="K40" s="320"/>
      <c r="L40" s="321">
        <v>1.2370000000000001E-2</v>
      </c>
      <c r="M40" s="320"/>
      <c r="N40" s="321">
        <v>1.6570000000000001E-2</v>
      </c>
      <c r="O40" s="320"/>
      <c r="P40" s="321"/>
      <c r="Q40" s="320"/>
      <c r="R40" s="321"/>
      <c r="S40" s="287"/>
      <c r="T40" s="293"/>
      <c r="U40" s="288"/>
      <c r="V40" s="5"/>
    </row>
    <row r="41" spans="1:22" ht="15.6" x14ac:dyDescent="0.3">
      <c r="A41" s="284"/>
      <c r="B41" s="285" t="s">
        <v>13</v>
      </c>
      <c r="C41" s="285"/>
      <c r="D41" s="321">
        <v>3.4175E-3</v>
      </c>
      <c r="E41" s="285"/>
      <c r="F41" s="321">
        <v>1.3295599999999999E-2</v>
      </c>
      <c r="G41" s="320"/>
      <c r="H41" s="321">
        <v>1.4710000000000001E-2</v>
      </c>
      <c r="I41" s="320"/>
      <c r="J41" s="321">
        <v>1.5695600000000001E-2</v>
      </c>
      <c r="K41" s="320"/>
      <c r="L41" s="321">
        <v>1.711E-2</v>
      </c>
      <c r="M41" s="320"/>
      <c r="N41" s="321">
        <v>2.1309999999999999E-2</v>
      </c>
      <c r="O41" s="320"/>
      <c r="P41" s="321"/>
      <c r="Q41" s="320"/>
      <c r="R41" s="321"/>
      <c r="S41" s="287"/>
      <c r="T41" s="320" t="s">
        <v>201</v>
      </c>
      <c r="U41" s="288"/>
      <c r="V41" s="5"/>
    </row>
    <row r="42" spans="1:22" ht="15.6" x14ac:dyDescent="0.3">
      <c r="A42" s="284"/>
      <c r="B42" s="285" t="s">
        <v>286</v>
      </c>
      <c r="C42" s="285"/>
      <c r="D42" s="293" t="s">
        <v>231</v>
      </c>
      <c r="E42" s="285"/>
      <c r="F42" s="293" t="s">
        <v>232</v>
      </c>
      <c r="G42" s="293"/>
      <c r="H42" s="293" t="s">
        <v>232</v>
      </c>
      <c r="I42" s="293"/>
      <c r="J42" s="293" t="s">
        <v>234</v>
      </c>
      <c r="K42" s="293"/>
      <c r="L42" s="293" t="s">
        <v>245</v>
      </c>
      <c r="M42" s="293"/>
      <c r="N42" s="293" t="s">
        <v>247</v>
      </c>
      <c r="O42" s="293"/>
      <c r="P42" s="293"/>
      <c r="Q42" s="320"/>
      <c r="R42" s="321"/>
      <c r="S42" s="287"/>
      <c r="T42" s="287"/>
      <c r="U42" s="288"/>
      <c r="V42" s="5"/>
    </row>
    <row r="43" spans="1:22" ht="15.6" x14ac:dyDescent="0.3">
      <c r="A43" s="284"/>
      <c r="B43" s="285" t="s">
        <v>287</v>
      </c>
      <c r="C43" s="322"/>
      <c r="D43" s="321">
        <v>1.14112E-2</v>
      </c>
      <c r="E43" s="321"/>
      <c r="F43" s="321">
        <f>+F40</f>
        <v>1.2574999999999999E-2</v>
      </c>
      <c r="G43" s="321"/>
      <c r="H43" s="321">
        <v>1.2571000000000001E-2</v>
      </c>
      <c r="I43" s="321"/>
      <c r="J43" s="321">
        <f>+J40</f>
        <v>1.4975E-2</v>
      </c>
      <c r="K43" s="321"/>
      <c r="L43" s="321">
        <v>1.5280999999999999E-2</v>
      </c>
      <c r="M43" s="321"/>
      <c r="N43" s="321">
        <v>1.9984999999999999E-2</v>
      </c>
      <c r="O43" s="320"/>
      <c r="P43" s="321"/>
      <c r="Q43" s="293"/>
      <c r="R43" s="293"/>
      <c r="S43" s="287"/>
      <c r="T43" s="320">
        <f>SUMPRODUCT(D43:N43,D35:N35)/T35</f>
        <v>1.3122450866404387E-2</v>
      </c>
      <c r="U43" s="288"/>
      <c r="V43" s="5"/>
    </row>
    <row r="44" spans="1:22" ht="15.6" x14ac:dyDescent="0.3">
      <c r="A44" s="284"/>
      <c r="B44" s="285" t="s">
        <v>288</v>
      </c>
      <c r="C44" s="322"/>
      <c r="D44" s="321">
        <v>1.21318E-2</v>
      </c>
      <c r="E44" s="321"/>
      <c r="F44" s="321">
        <f>+F41</f>
        <v>1.3295599999999999E-2</v>
      </c>
      <c r="G44" s="321"/>
      <c r="H44" s="321">
        <v>1.3291600000000001E-2</v>
      </c>
      <c r="I44" s="321"/>
      <c r="J44" s="321">
        <f>+J41</f>
        <v>1.5695600000000001E-2</v>
      </c>
      <c r="K44" s="321"/>
      <c r="L44" s="321">
        <v>1.6001600000000001E-2</v>
      </c>
      <c r="M44" s="321"/>
      <c r="N44" s="321">
        <v>2.0705600000000001E-2</v>
      </c>
      <c r="O44" s="320"/>
      <c r="P44" s="321"/>
      <c r="Q44" s="293"/>
      <c r="R44" s="293"/>
      <c r="S44" s="287"/>
      <c r="T44" s="287"/>
      <c r="U44" s="288"/>
      <c r="V44" s="5"/>
    </row>
    <row r="45" spans="1:22" ht="15.6" x14ac:dyDescent="0.3">
      <c r="A45" s="284"/>
      <c r="B45" s="285" t="s">
        <v>14</v>
      </c>
      <c r="C45" s="285"/>
      <c r="D45" s="322">
        <v>40283</v>
      </c>
      <c r="E45" s="322"/>
      <c r="F45" s="322">
        <v>40283</v>
      </c>
      <c r="G45" s="322"/>
      <c r="H45" s="322">
        <v>40283</v>
      </c>
      <c r="I45" s="322"/>
      <c r="J45" s="322">
        <v>40283</v>
      </c>
      <c r="K45" s="322"/>
      <c r="L45" s="322">
        <v>40283</v>
      </c>
      <c r="M45" s="322"/>
      <c r="N45" s="322">
        <v>40283</v>
      </c>
      <c r="O45" s="322"/>
      <c r="P45" s="322"/>
      <c r="Q45" s="293"/>
      <c r="R45" s="293"/>
      <c r="S45" s="287"/>
      <c r="T45" s="287"/>
      <c r="U45" s="288"/>
      <c r="V45" s="5"/>
    </row>
    <row r="46" spans="1:22" ht="15.6" x14ac:dyDescent="0.3">
      <c r="A46" s="284"/>
      <c r="B46" s="285" t="s">
        <v>15</v>
      </c>
      <c r="C46" s="285"/>
      <c r="D46" s="322">
        <v>40648</v>
      </c>
      <c r="E46" s="322"/>
      <c r="F46" s="322">
        <v>40648</v>
      </c>
      <c r="G46" s="322"/>
      <c r="H46" s="322">
        <v>40648</v>
      </c>
      <c r="I46" s="293"/>
      <c r="J46" s="322">
        <v>40648</v>
      </c>
      <c r="K46" s="293"/>
      <c r="L46" s="322">
        <v>40648</v>
      </c>
      <c r="M46" s="293"/>
      <c r="N46" s="322">
        <v>40648</v>
      </c>
      <c r="O46" s="293"/>
      <c r="P46" s="322"/>
      <c r="Q46" s="293"/>
      <c r="R46" s="293"/>
      <c r="S46" s="287"/>
      <c r="T46" s="287"/>
      <c r="U46" s="288"/>
      <c r="V46" s="5"/>
    </row>
    <row r="47" spans="1:22" ht="15.6" x14ac:dyDescent="0.3">
      <c r="A47" s="284"/>
      <c r="B47" s="285" t="s">
        <v>125</v>
      </c>
      <c r="C47" s="285"/>
      <c r="D47" s="293" t="s">
        <v>124</v>
      </c>
      <c r="E47" s="285"/>
      <c r="F47" s="293" t="s">
        <v>232</v>
      </c>
      <c r="G47" s="293"/>
      <c r="H47" s="293" t="s">
        <v>232</v>
      </c>
      <c r="I47" s="293"/>
      <c r="J47" s="293" t="s">
        <v>234</v>
      </c>
      <c r="K47" s="293"/>
      <c r="L47" s="293" t="s">
        <v>234</v>
      </c>
      <c r="M47" s="293"/>
      <c r="N47" s="293" t="s">
        <v>235</v>
      </c>
      <c r="O47" s="293"/>
      <c r="P47" s="293"/>
      <c r="Q47" s="324"/>
      <c r="R47" s="324"/>
      <c r="S47" s="324"/>
      <c r="T47" s="324"/>
      <c r="U47" s="288"/>
      <c r="V47" s="5"/>
    </row>
    <row r="48" spans="1:22" ht="15.6" x14ac:dyDescent="0.3">
      <c r="A48" s="284"/>
      <c r="B48" s="285" t="s">
        <v>289</v>
      </c>
      <c r="C48" s="285"/>
      <c r="D48" s="293" t="s">
        <v>208</v>
      </c>
      <c r="E48" s="285"/>
      <c r="F48" s="293" t="s">
        <v>232</v>
      </c>
      <c r="G48" s="293"/>
      <c r="H48" s="293" t="s">
        <v>232</v>
      </c>
      <c r="I48" s="293"/>
      <c r="J48" s="293" t="s">
        <v>234</v>
      </c>
      <c r="K48" s="293"/>
      <c r="L48" s="293" t="s">
        <v>245</v>
      </c>
      <c r="M48" s="293"/>
      <c r="N48" s="293" t="s">
        <v>247</v>
      </c>
      <c r="O48" s="293"/>
      <c r="P48" s="293"/>
      <c r="Q48" s="285"/>
      <c r="R48" s="285"/>
      <c r="S48" s="285"/>
      <c r="T48" s="320"/>
      <c r="U48" s="288"/>
      <c r="V48" s="5"/>
    </row>
    <row r="49" spans="1:23" ht="15.6" x14ac:dyDescent="0.3">
      <c r="A49" s="284"/>
      <c r="B49" s="285"/>
      <c r="C49" s="285"/>
      <c r="D49" s="293"/>
      <c r="E49" s="285"/>
      <c r="F49" s="293"/>
      <c r="G49" s="293"/>
      <c r="H49" s="293"/>
      <c r="I49" s="293"/>
      <c r="J49" s="293"/>
      <c r="K49" s="293"/>
      <c r="L49" s="293"/>
      <c r="M49" s="293"/>
      <c r="N49" s="293"/>
      <c r="O49" s="293"/>
      <c r="P49" s="293"/>
      <c r="Q49" s="285"/>
      <c r="R49" s="285"/>
      <c r="S49" s="285"/>
      <c r="T49" s="320" t="s">
        <v>201</v>
      </c>
      <c r="U49" s="288"/>
      <c r="V49" s="5"/>
    </row>
    <row r="50" spans="1:23" ht="15.6" x14ac:dyDescent="0.3">
      <c r="A50" s="284"/>
      <c r="B50" s="285" t="s">
        <v>176</v>
      </c>
      <c r="C50" s="285"/>
      <c r="D50" s="293"/>
      <c r="E50" s="285"/>
      <c r="F50" s="293"/>
      <c r="G50" s="293"/>
      <c r="H50" s="293"/>
      <c r="I50" s="293"/>
      <c r="J50" s="293"/>
      <c r="K50" s="293"/>
      <c r="L50" s="293"/>
      <c r="M50" s="293"/>
      <c r="N50" s="293"/>
      <c r="O50" s="293"/>
      <c r="P50" s="293"/>
      <c r="Q50" s="285"/>
      <c r="R50" s="285"/>
      <c r="S50" s="285"/>
      <c r="T50" s="320">
        <f>SUM(J34:P34)/SUM(D34:H34)</f>
        <v>0.15279804679664968</v>
      </c>
      <c r="U50" s="288"/>
      <c r="V50" s="5"/>
    </row>
    <row r="51" spans="1:23" ht="15.6" x14ac:dyDescent="0.3">
      <c r="A51" s="284"/>
      <c r="B51" s="285" t="s">
        <v>177</v>
      </c>
      <c r="C51" s="285"/>
      <c r="D51" s="285"/>
      <c r="E51" s="285"/>
      <c r="F51" s="325"/>
      <c r="G51" s="285"/>
      <c r="H51" s="285"/>
      <c r="I51" s="285"/>
      <c r="J51" s="285"/>
      <c r="K51" s="285"/>
      <c r="L51" s="285"/>
      <c r="M51" s="285"/>
      <c r="N51" s="285"/>
      <c r="O51" s="285"/>
      <c r="P51" s="285"/>
      <c r="Q51" s="285"/>
      <c r="R51" s="285"/>
      <c r="S51" s="285"/>
      <c r="T51" s="320">
        <f>SUM(J36:P36)/SUM(D36:H36)</f>
        <v>0.31073085164614245</v>
      </c>
      <c r="U51" s="288"/>
      <c r="V51" s="5"/>
    </row>
    <row r="52" spans="1:23" ht="15.6" x14ac:dyDescent="0.3">
      <c r="A52" s="284"/>
      <c r="B52" s="285" t="s">
        <v>178</v>
      </c>
      <c r="C52" s="285"/>
      <c r="D52" s="285"/>
      <c r="E52" s="285"/>
      <c r="F52" s="285"/>
      <c r="G52" s="285"/>
      <c r="H52" s="285"/>
      <c r="I52" s="285"/>
      <c r="J52" s="285"/>
      <c r="K52" s="285"/>
      <c r="L52" s="285"/>
      <c r="M52" s="285"/>
      <c r="N52" s="285"/>
      <c r="O52" s="285"/>
      <c r="P52" s="285"/>
      <c r="Q52" s="285"/>
      <c r="R52" s="293" t="s">
        <v>109</v>
      </c>
      <c r="S52" s="293" t="s">
        <v>115</v>
      </c>
      <c r="T52" s="296">
        <f>+T34/2-SUM(J34:P34)</f>
        <v>367473</v>
      </c>
      <c r="U52" s="288"/>
      <c r="V52" s="5"/>
    </row>
    <row r="53" spans="1:23" ht="15.6" x14ac:dyDescent="0.3">
      <c r="A53" s="284"/>
      <c r="B53" s="285"/>
      <c r="C53" s="285"/>
      <c r="D53" s="285"/>
      <c r="E53" s="285"/>
      <c r="F53" s="285"/>
      <c r="G53" s="285"/>
      <c r="H53" s="285"/>
      <c r="I53" s="285"/>
      <c r="J53" s="285"/>
      <c r="K53" s="285"/>
      <c r="L53" s="285"/>
      <c r="M53" s="285"/>
      <c r="N53" s="285"/>
      <c r="O53" s="285"/>
      <c r="P53" s="285"/>
      <c r="Q53" s="285"/>
      <c r="R53" s="285"/>
      <c r="S53" s="285"/>
      <c r="T53" s="326"/>
      <c r="U53" s="288"/>
      <c r="V53" s="5"/>
    </row>
    <row r="54" spans="1:23" ht="15.6" x14ac:dyDescent="0.3">
      <c r="A54" s="284"/>
      <c r="B54" s="285" t="s">
        <v>211</v>
      </c>
      <c r="C54" s="285"/>
      <c r="D54" s="285"/>
      <c r="E54" s="285"/>
      <c r="F54" s="285"/>
      <c r="G54" s="285"/>
      <c r="H54" s="285"/>
      <c r="I54" s="285"/>
      <c r="J54" s="285"/>
      <c r="K54" s="285"/>
      <c r="L54" s="285"/>
      <c r="M54" s="285"/>
      <c r="N54" s="285"/>
      <c r="O54" s="285"/>
      <c r="P54" s="285"/>
      <c r="Q54" s="285"/>
      <c r="R54" s="285"/>
      <c r="S54" s="285"/>
      <c r="T54" s="327" t="s">
        <v>212</v>
      </c>
      <c r="U54" s="288"/>
      <c r="V54" s="5"/>
    </row>
    <row r="55" spans="1:23" ht="15.6" x14ac:dyDescent="0.3">
      <c r="A55" s="284"/>
      <c r="B55" s="285" t="s">
        <v>253</v>
      </c>
      <c r="C55" s="285"/>
      <c r="D55" s="285"/>
      <c r="E55" s="285"/>
      <c r="F55" s="285"/>
      <c r="G55" s="285"/>
      <c r="H55" s="285"/>
      <c r="I55" s="285"/>
      <c r="J55" s="285"/>
      <c r="K55" s="285"/>
      <c r="L55" s="285"/>
      <c r="M55" s="285"/>
      <c r="N55" s="285"/>
      <c r="O55" s="285"/>
      <c r="P55" s="285"/>
      <c r="Q55" s="285"/>
      <c r="R55" s="293"/>
      <c r="S55" s="293"/>
      <c r="T55" s="328" t="s">
        <v>117</v>
      </c>
      <c r="U55" s="288"/>
      <c r="V55" s="5"/>
    </row>
    <row r="56" spans="1:23" ht="15.6" x14ac:dyDescent="0.3">
      <c r="A56" s="284"/>
      <c r="B56" s="292" t="s">
        <v>210</v>
      </c>
      <c r="C56" s="292"/>
      <c r="D56" s="292"/>
      <c r="E56" s="292"/>
      <c r="F56" s="292"/>
      <c r="G56" s="292"/>
      <c r="H56" s="292"/>
      <c r="I56" s="292"/>
      <c r="J56" s="292"/>
      <c r="K56" s="292"/>
      <c r="L56" s="292"/>
      <c r="M56" s="292"/>
      <c r="N56" s="292"/>
      <c r="O56" s="292"/>
      <c r="P56" s="292"/>
      <c r="Q56" s="292"/>
      <c r="R56" s="329"/>
      <c r="S56" s="329"/>
      <c r="T56" s="330">
        <v>41106</v>
      </c>
      <c r="U56" s="288"/>
      <c r="V56" s="5"/>
    </row>
    <row r="57" spans="1:23" ht="15.6" x14ac:dyDescent="0.3">
      <c r="A57" s="284"/>
      <c r="B57" s="285" t="s">
        <v>127</v>
      </c>
      <c r="C57" s="285"/>
      <c r="D57" s="285"/>
      <c r="E57" s="285"/>
      <c r="F57" s="285"/>
      <c r="G57" s="285"/>
      <c r="H57" s="331"/>
      <c r="I57" s="331"/>
      <c r="J57" s="331"/>
      <c r="K57" s="331"/>
      <c r="L57" s="331"/>
      <c r="M57" s="331"/>
      <c r="N57" s="331"/>
      <c r="O57" s="331"/>
      <c r="P57" s="285">
        <f>+T57-R57+1</f>
        <v>90</v>
      </c>
      <c r="Q57" s="331"/>
      <c r="R57" s="332">
        <v>40925</v>
      </c>
      <c r="S57" s="333"/>
      <c r="T57" s="332">
        <v>41014</v>
      </c>
      <c r="U57" s="288"/>
      <c r="V57" s="5"/>
    </row>
    <row r="58" spans="1:23" ht="15.6" x14ac:dyDescent="0.3">
      <c r="A58" s="284"/>
      <c r="B58" s="285" t="s">
        <v>128</v>
      </c>
      <c r="C58" s="285"/>
      <c r="D58" s="285"/>
      <c r="E58" s="285"/>
      <c r="F58" s="285"/>
      <c r="G58" s="285"/>
      <c r="H58" s="285"/>
      <c r="I58" s="285"/>
      <c r="J58" s="285"/>
      <c r="K58" s="285"/>
      <c r="L58" s="285"/>
      <c r="M58" s="285"/>
      <c r="N58" s="285"/>
      <c r="O58" s="285"/>
      <c r="P58" s="285">
        <f>+T58-R58+1</f>
        <v>91</v>
      </c>
      <c r="Q58" s="285"/>
      <c r="R58" s="332">
        <v>41015</v>
      </c>
      <c r="S58" s="333"/>
      <c r="T58" s="332">
        <v>41105</v>
      </c>
      <c r="U58" s="288"/>
      <c r="V58" s="5"/>
    </row>
    <row r="59" spans="1:23" ht="15.6" x14ac:dyDescent="0.3">
      <c r="A59" s="284"/>
      <c r="B59" s="285" t="s">
        <v>209</v>
      </c>
      <c r="C59" s="285"/>
      <c r="D59" s="285"/>
      <c r="E59" s="285"/>
      <c r="F59" s="285"/>
      <c r="G59" s="285"/>
      <c r="H59" s="285"/>
      <c r="I59" s="285"/>
      <c r="J59" s="285"/>
      <c r="K59" s="285"/>
      <c r="L59" s="285"/>
      <c r="M59" s="285"/>
      <c r="N59" s="285"/>
      <c r="O59" s="285"/>
      <c r="P59" s="285"/>
      <c r="Q59" s="285"/>
      <c r="R59" s="332"/>
      <c r="S59" s="333"/>
      <c r="T59" s="332" t="s">
        <v>126</v>
      </c>
      <c r="U59" s="288"/>
      <c r="V59" s="5"/>
    </row>
    <row r="60" spans="1:23" ht="15.6" x14ac:dyDescent="0.3">
      <c r="A60" s="284"/>
      <c r="B60" s="285" t="s">
        <v>249</v>
      </c>
      <c r="C60" s="285"/>
      <c r="D60" s="285"/>
      <c r="E60" s="285"/>
      <c r="F60" s="285"/>
      <c r="G60" s="285"/>
      <c r="H60" s="285"/>
      <c r="I60" s="285"/>
      <c r="J60" s="285"/>
      <c r="K60" s="285"/>
      <c r="L60" s="285"/>
      <c r="M60" s="285"/>
      <c r="N60" s="285"/>
      <c r="O60" s="285"/>
      <c r="P60" s="285"/>
      <c r="Q60" s="285"/>
      <c r="R60" s="332"/>
      <c r="S60" s="333"/>
      <c r="T60" s="332" t="s">
        <v>160</v>
      </c>
      <c r="U60" s="288"/>
      <c r="V60" s="5"/>
      <c r="W60" s="134"/>
    </row>
    <row r="61" spans="1:23" ht="15.6" x14ac:dyDescent="0.3">
      <c r="A61" s="284"/>
      <c r="B61" s="285" t="s">
        <v>16</v>
      </c>
      <c r="C61" s="285"/>
      <c r="D61" s="285"/>
      <c r="E61" s="285"/>
      <c r="F61" s="285"/>
      <c r="G61" s="285"/>
      <c r="H61" s="285"/>
      <c r="I61" s="285"/>
      <c r="J61" s="285"/>
      <c r="K61" s="285"/>
      <c r="L61" s="285"/>
      <c r="M61" s="285"/>
      <c r="N61" s="285"/>
      <c r="O61" s="285"/>
      <c r="P61" s="285"/>
      <c r="Q61" s="285"/>
      <c r="R61" s="332"/>
      <c r="S61" s="333"/>
      <c r="T61" s="332">
        <v>41092</v>
      </c>
      <c r="U61" s="288"/>
      <c r="V61" s="5"/>
    </row>
    <row r="62" spans="1:23" ht="15.6" x14ac:dyDescent="0.3">
      <c r="A62" s="175"/>
      <c r="B62" s="281"/>
      <c r="C62" s="281"/>
      <c r="D62" s="281"/>
      <c r="E62" s="281"/>
      <c r="F62" s="281"/>
      <c r="G62" s="281"/>
      <c r="H62" s="281"/>
      <c r="I62" s="281"/>
      <c r="J62" s="281"/>
      <c r="K62" s="281"/>
      <c r="L62" s="281"/>
      <c r="M62" s="281"/>
      <c r="N62" s="281"/>
      <c r="O62" s="281"/>
      <c r="P62" s="281"/>
      <c r="Q62" s="281"/>
      <c r="R62" s="282"/>
      <c r="S62" s="283"/>
      <c r="T62" s="282"/>
      <c r="U62" s="281"/>
      <c r="V62" s="5"/>
    </row>
    <row r="63" spans="1:23" ht="15.6" x14ac:dyDescent="0.3">
      <c r="A63" s="175"/>
      <c r="B63" s="231"/>
      <c r="C63" s="231"/>
      <c r="D63" s="231"/>
      <c r="E63" s="231"/>
      <c r="F63" s="231"/>
      <c r="G63" s="231"/>
      <c r="H63" s="231"/>
      <c r="I63" s="231"/>
      <c r="J63" s="231"/>
      <c r="K63" s="231"/>
      <c r="L63" s="231"/>
      <c r="M63" s="231"/>
      <c r="N63" s="231"/>
      <c r="O63" s="231"/>
      <c r="P63" s="231"/>
      <c r="Q63" s="231"/>
      <c r="R63" s="244"/>
      <c r="S63" s="245"/>
      <c r="T63" s="244"/>
      <c r="U63" s="231"/>
      <c r="V63" s="5"/>
    </row>
    <row r="64" spans="1:23" ht="18" thickBot="1" x14ac:dyDescent="0.35">
      <c r="A64" s="192"/>
      <c r="B64" s="246" t="s">
        <v>305</v>
      </c>
      <c r="C64" s="247"/>
      <c r="D64" s="247"/>
      <c r="E64" s="247"/>
      <c r="F64" s="247"/>
      <c r="G64" s="247"/>
      <c r="H64" s="247"/>
      <c r="I64" s="247"/>
      <c r="J64" s="247"/>
      <c r="K64" s="247"/>
      <c r="L64" s="247"/>
      <c r="M64" s="247"/>
      <c r="N64" s="247"/>
      <c r="O64" s="247"/>
      <c r="P64" s="247"/>
      <c r="Q64" s="247"/>
      <c r="R64" s="247"/>
      <c r="S64" s="247"/>
      <c r="T64" s="248"/>
      <c r="U64" s="249"/>
      <c r="V64" s="5"/>
    </row>
    <row r="65" spans="1:22" ht="15.6" x14ac:dyDescent="0.3">
      <c r="A65" s="222"/>
      <c r="B65" s="395" t="s">
        <v>17</v>
      </c>
      <c r="C65" s="223"/>
      <c r="D65" s="223"/>
      <c r="E65" s="223"/>
      <c r="F65" s="223"/>
      <c r="G65" s="223"/>
      <c r="H65" s="223"/>
      <c r="I65" s="223"/>
      <c r="J65" s="223"/>
      <c r="K65" s="223"/>
      <c r="L65" s="223"/>
      <c r="M65" s="223"/>
      <c r="N65" s="223"/>
      <c r="O65" s="223"/>
      <c r="P65" s="223"/>
      <c r="Q65" s="223"/>
      <c r="R65" s="223"/>
      <c r="S65" s="223"/>
      <c r="T65" s="250"/>
      <c r="U65" s="223"/>
      <c r="V65" s="5"/>
    </row>
    <row r="66" spans="1:22" ht="15.6" x14ac:dyDescent="0.3">
      <c r="A66" s="175"/>
      <c r="B66" s="183"/>
      <c r="C66" s="177"/>
      <c r="D66" s="177"/>
      <c r="E66" s="177"/>
      <c r="F66" s="177"/>
      <c r="G66" s="177"/>
      <c r="H66" s="177"/>
      <c r="I66" s="177"/>
      <c r="J66" s="177"/>
      <c r="K66" s="177"/>
      <c r="L66" s="177"/>
      <c r="M66" s="177"/>
      <c r="N66" s="177"/>
      <c r="O66" s="177"/>
      <c r="P66" s="177"/>
      <c r="Q66" s="177"/>
      <c r="R66" s="177"/>
      <c r="S66" s="177"/>
      <c r="T66" s="194"/>
      <c r="U66" s="177"/>
      <c r="V66" s="5"/>
    </row>
    <row r="67" spans="1:22" ht="46.8" x14ac:dyDescent="0.3">
      <c r="A67" s="175"/>
      <c r="B67" s="195" t="s">
        <v>18</v>
      </c>
      <c r="C67" s="196"/>
      <c r="D67" s="196"/>
      <c r="E67" s="196"/>
      <c r="F67" s="196"/>
      <c r="G67" s="196"/>
      <c r="H67" s="196"/>
      <c r="I67" s="196"/>
      <c r="J67" s="196" t="s">
        <v>97</v>
      </c>
      <c r="K67" s="196"/>
      <c r="L67" s="196" t="s">
        <v>99</v>
      </c>
      <c r="M67" s="196"/>
      <c r="N67" s="196" t="s">
        <v>101</v>
      </c>
      <c r="O67" s="196"/>
      <c r="P67" s="196" t="s">
        <v>103</v>
      </c>
      <c r="Q67" s="196"/>
      <c r="R67" s="196" t="s">
        <v>110</v>
      </c>
      <c r="S67" s="196"/>
      <c r="T67" s="197" t="s">
        <v>118</v>
      </c>
      <c r="U67" s="198"/>
      <c r="V67" s="5"/>
    </row>
    <row r="68" spans="1:22" ht="15.6" x14ac:dyDescent="0.3">
      <c r="A68" s="337"/>
      <c r="B68" s="285" t="s">
        <v>19</v>
      </c>
      <c r="C68" s="338"/>
      <c r="D68" s="338"/>
      <c r="E68" s="338"/>
      <c r="F68" s="338"/>
      <c r="G68" s="338"/>
      <c r="H68" s="338"/>
      <c r="I68" s="338"/>
      <c r="J68" s="338">
        <v>1000039</v>
      </c>
      <c r="K68" s="338"/>
      <c r="L68" s="339">
        <v>563025</v>
      </c>
      <c r="M68" s="338"/>
      <c r="N68" s="338">
        <f>3890+278+36+1</f>
        <v>4205</v>
      </c>
      <c r="O68" s="338"/>
      <c r="P68" s="338">
        <f>278+36</f>
        <v>314</v>
      </c>
      <c r="Q68" s="338"/>
      <c r="R68" s="338">
        <v>0</v>
      </c>
      <c r="S68" s="338"/>
      <c r="T68" s="339">
        <f>+L68-N68+P68-R68</f>
        <v>559134</v>
      </c>
      <c r="U68" s="288"/>
      <c r="V68" s="5"/>
    </row>
    <row r="69" spans="1:22" ht="15.6" x14ac:dyDescent="0.3">
      <c r="A69" s="337"/>
      <c r="B69" s="285" t="s">
        <v>20</v>
      </c>
      <c r="C69" s="338"/>
      <c r="D69" s="338"/>
      <c r="E69" s="338"/>
      <c r="F69" s="338"/>
      <c r="G69" s="338"/>
      <c r="H69" s="338"/>
      <c r="I69" s="338"/>
      <c r="J69" s="338">
        <v>10</v>
      </c>
      <c r="K69" s="338"/>
      <c r="L69" s="339">
        <v>0</v>
      </c>
      <c r="M69" s="338"/>
      <c r="N69" s="338">
        <v>0</v>
      </c>
      <c r="O69" s="338"/>
      <c r="P69" s="338">
        <v>0</v>
      </c>
      <c r="Q69" s="338"/>
      <c r="R69" s="338">
        <v>0</v>
      </c>
      <c r="S69" s="338"/>
      <c r="T69" s="339">
        <v>0</v>
      </c>
      <c r="U69" s="288"/>
      <c r="V69" s="5"/>
    </row>
    <row r="70" spans="1:22" ht="15.6" x14ac:dyDescent="0.3">
      <c r="A70" s="337"/>
      <c r="B70" s="285"/>
      <c r="C70" s="338"/>
      <c r="D70" s="338"/>
      <c r="E70" s="338"/>
      <c r="F70" s="338"/>
      <c r="G70" s="338"/>
      <c r="H70" s="338"/>
      <c r="I70" s="338"/>
      <c r="J70" s="338"/>
      <c r="K70" s="338"/>
      <c r="L70" s="339"/>
      <c r="M70" s="338"/>
      <c r="N70" s="338"/>
      <c r="O70" s="338"/>
      <c r="P70" s="338"/>
      <c r="Q70" s="338"/>
      <c r="R70" s="338"/>
      <c r="S70" s="338"/>
      <c r="T70" s="339"/>
      <c r="U70" s="288"/>
      <c r="V70" s="5"/>
    </row>
    <row r="71" spans="1:22" ht="15.6" x14ac:dyDescent="0.3">
      <c r="A71" s="337"/>
      <c r="B71" s="285" t="s">
        <v>21</v>
      </c>
      <c r="C71" s="338"/>
      <c r="D71" s="338"/>
      <c r="E71" s="338"/>
      <c r="F71" s="338"/>
      <c r="G71" s="338"/>
      <c r="H71" s="338"/>
      <c r="I71" s="338"/>
      <c r="J71" s="338">
        <f>SUM(J68:J70)</f>
        <v>1000049</v>
      </c>
      <c r="K71" s="338"/>
      <c r="L71" s="338">
        <f>L68+L69</f>
        <v>563025</v>
      </c>
      <c r="M71" s="338"/>
      <c r="N71" s="338">
        <f>SUM(N68:N70)</f>
        <v>4205</v>
      </c>
      <c r="O71" s="338"/>
      <c r="P71" s="338">
        <f>SUM(P68:P70)</f>
        <v>314</v>
      </c>
      <c r="Q71" s="338"/>
      <c r="R71" s="338">
        <f>SUM(R68:R70)</f>
        <v>0</v>
      </c>
      <c r="S71" s="338"/>
      <c r="T71" s="338">
        <f>SUM(T68:T70)</f>
        <v>559134</v>
      </c>
      <c r="U71" s="288"/>
      <c r="V71" s="5"/>
    </row>
    <row r="72" spans="1:22" ht="15.6" x14ac:dyDescent="0.3">
      <c r="A72" s="175"/>
      <c r="B72" s="334"/>
      <c r="C72" s="335"/>
      <c r="D72" s="335"/>
      <c r="E72" s="335"/>
      <c r="F72" s="335"/>
      <c r="G72" s="335"/>
      <c r="H72" s="335"/>
      <c r="I72" s="335"/>
      <c r="J72" s="335"/>
      <c r="K72" s="335"/>
      <c r="L72" s="335"/>
      <c r="M72" s="335"/>
      <c r="N72" s="335"/>
      <c r="O72" s="335"/>
      <c r="P72" s="335"/>
      <c r="Q72" s="335"/>
      <c r="R72" s="335"/>
      <c r="S72" s="335"/>
      <c r="T72" s="336"/>
      <c r="U72" s="334"/>
      <c r="V72" s="5"/>
    </row>
    <row r="73" spans="1:22" ht="15.6" x14ac:dyDescent="0.3">
      <c r="A73" s="175"/>
      <c r="B73" s="179" t="s">
        <v>22</v>
      </c>
      <c r="C73" s="199"/>
      <c r="D73" s="199"/>
      <c r="E73" s="199"/>
      <c r="F73" s="199"/>
      <c r="G73" s="199"/>
      <c r="H73" s="199"/>
      <c r="I73" s="199"/>
      <c r="J73" s="199"/>
      <c r="K73" s="199"/>
      <c r="L73" s="199"/>
      <c r="M73" s="199"/>
      <c r="N73" s="199"/>
      <c r="O73" s="199"/>
      <c r="P73" s="199"/>
      <c r="Q73" s="199"/>
      <c r="R73" s="199"/>
      <c r="S73" s="199"/>
      <c r="T73" s="200"/>
      <c r="U73" s="177"/>
      <c r="V73" s="5"/>
    </row>
    <row r="74" spans="1:22" ht="15.6" x14ac:dyDescent="0.3">
      <c r="A74" s="175"/>
      <c r="B74" s="177"/>
      <c r="C74" s="199"/>
      <c r="D74" s="199"/>
      <c r="E74" s="199"/>
      <c r="F74" s="199"/>
      <c r="G74" s="199"/>
      <c r="H74" s="199"/>
      <c r="I74" s="199"/>
      <c r="J74" s="199"/>
      <c r="K74" s="199"/>
      <c r="L74" s="199"/>
      <c r="M74" s="199"/>
      <c r="N74" s="199"/>
      <c r="O74" s="199"/>
      <c r="P74" s="199"/>
      <c r="Q74" s="199"/>
      <c r="R74" s="199"/>
      <c r="S74" s="199"/>
      <c r="T74" s="200"/>
      <c r="U74" s="177"/>
      <c r="V74" s="5"/>
    </row>
    <row r="75" spans="1:22" ht="15.6" x14ac:dyDescent="0.3">
      <c r="A75" s="284"/>
      <c r="B75" s="285" t="s">
        <v>19</v>
      </c>
      <c r="C75" s="338"/>
      <c r="D75" s="338"/>
      <c r="E75" s="338"/>
      <c r="F75" s="338"/>
      <c r="G75" s="338"/>
      <c r="H75" s="338"/>
      <c r="I75" s="338"/>
      <c r="J75" s="338"/>
      <c r="K75" s="338"/>
      <c r="L75" s="338"/>
      <c r="M75" s="338"/>
      <c r="N75" s="338"/>
      <c r="O75" s="338"/>
      <c r="P75" s="338"/>
      <c r="Q75" s="338"/>
      <c r="R75" s="338"/>
      <c r="S75" s="338"/>
      <c r="T75" s="338"/>
      <c r="U75" s="288"/>
      <c r="V75" s="5"/>
    </row>
    <row r="76" spans="1:22" ht="15.6" x14ac:dyDescent="0.3">
      <c r="A76" s="284"/>
      <c r="B76" s="285" t="s">
        <v>20</v>
      </c>
      <c r="C76" s="338"/>
      <c r="D76" s="338"/>
      <c r="E76" s="338"/>
      <c r="F76" s="338"/>
      <c r="G76" s="338"/>
      <c r="H76" s="338"/>
      <c r="I76" s="338"/>
      <c r="J76" s="338"/>
      <c r="K76" s="338"/>
      <c r="L76" s="338"/>
      <c r="M76" s="338"/>
      <c r="N76" s="338"/>
      <c r="O76" s="338"/>
      <c r="P76" s="338"/>
      <c r="Q76" s="338"/>
      <c r="R76" s="338"/>
      <c r="S76" s="338"/>
      <c r="T76" s="338"/>
      <c r="U76" s="288"/>
      <c r="V76" s="5"/>
    </row>
    <row r="77" spans="1:22" ht="15.6" x14ac:dyDescent="0.3">
      <c r="A77" s="284"/>
      <c r="B77" s="285"/>
      <c r="C77" s="338"/>
      <c r="D77" s="338"/>
      <c r="E77" s="338"/>
      <c r="F77" s="338"/>
      <c r="G77" s="338"/>
      <c r="H77" s="338"/>
      <c r="I77" s="338"/>
      <c r="J77" s="338"/>
      <c r="K77" s="338"/>
      <c r="L77" s="338"/>
      <c r="M77" s="338"/>
      <c r="N77" s="338"/>
      <c r="O77" s="338"/>
      <c r="P77" s="338"/>
      <c r="Q77" s="338"/>
      <c r="R77" s="338"/>
      <c r="S77" s="338"/>
      <c r="T77" s="338"/>
      <c r="U77" s="288"/>
      <c r="V77" s="5"/>
    </row>
    <row r="78" spans="1:22" ht="15.6" x14ac:dyDescent="0.3">
      <c r="A78" s="284"/>
      <c r="B78" s="285" t="s">
        <v>21</v>
      </c>
      <c r="C78" s="338"/>
      <c r="D78" s="338"/>
      <c r="E78" s="338"/>
      <c r="F78" s="338"/>
      <c r="G78" s="338"/>
      <c r="H78" s="338"/>
      <c r="I78" s="338"/>
      <c r="J78" s="338"/>
      <c r="K78" s="338"/>
      <c r="L78" s="338"/>
      <c r="M78" s="338"/>
      <c r="N78" s="338"/>
      <c r="O78" s="338"/>
      <c r="P78" s="338"/>
      <c r="Q78" s="338"/>
      <c r="R78" s="338"/>
      <c r="S78" s="338"/>
      <c r="T78" s="338"/>
      <c r="U78" s="288"/>
      <c r="V78" s="5"/>
    </row>
    <row r="79" spans="1:22" ht="15.6" x14ac:dyDescent="0.3">
      <c r="A79" s="284"/>
      <c r="B79" s="285"/>
      <c r="C79" s="338"/>
      <c r="D79" s="338"/>
      <c r="E79" s="338"/>
      <c r="F79" s="338"/>
      <c r="G79" s="338"/>
      <c r="H79" s="338"/>
      <c r="I79" s="338"/>
      <c r="J79" s="338"/>
      <c r="K79" s="338"/>
      <c r="L79" s="338"/>
      <c r="M79" s="338"/>
      <c r="N79" s="338"/>
      <c r="O79" s="338"/>
      <c r="P79" s="338"/>
      <c r="Q79" s="338"/>
      <c r="R79" s="338"/>
      <c r="S79" s="338"/>
      <c r="T79" s="338"/>
      <c r="U79" s="288"/>
      <c r="V79" s="5"/>
    </row>
    <row r="80" spans="1:22" ht="15.6" x14ac:dyDescent="0.3">
      <c r="A80" s="284"/>
      <c r="B80" s="285" t="s">
        <v>23</v>
      </c>
      <c r="C80" s="338"/>
      <c r="D80" s="338"/>
      <c r="E80" s="338"/>
      <c r="F80" s="338"/>
      <c r="G80" s="338"/>
      <c r="H80" s="338"/>
      <c r="I80" s="338"/>
      <c r="J80" s="338">
        <v>0</v>
      </c>
      <c r="K80" s="338"/>
      <c r="L80" s="338">
        <v>0</v>
      </c>
      <c r="M80" s="338"/>
      <c r="N80" s="338"/>
      <c r="O80" s="338"/>
      <c r="P80" s="338"/>
      <c r="Q80" s="338"/>
      <c r="R80" s="338"/>
      <c r="S80" s="338"/>
      <c r="T80" s="339">
        <v>0</v>
      </c>
      <c r="U80" s="288"/>
      <c r="V80" s="5"/>
    </row>
    <row r="81" spans="1:22" ht="15.6" x14ac:dyDescent="0.3">
      <c r="A81" s="284"/>
      <c r="B81" s="285" t="s">
        <v>123</v>
      </c>
      <c r="C81" s="338"/>
      <c r="D81" s="338"/>
      <c r="E81" s="338"/>
      <c r="F81" s="338"/>
      <c r="G81" s="338"/>
      <c r="H81" s="338"/>
      <c r="I81" s="338"/>
      <c r="J81" s="338">
        <v>0</v>
      </c>
      <c r="K81" s="338"/>
      <c r="L81" s="338">
        <v>0</v>
      </c>
      <c r="M81" s="338"/>
      <c r="N81" s="338"/>
      <c r="O81" s="338"/>
      <c r="P81" s="338"/>
      <c r="Q81" s="338"/>
      <c r="R81" s="338"/>
      <c r="S81" s="338"/>
      <c r="T81" s="338">
        <f>SUM(J81:P81)</f>
        <v>0</v>
      </c>
      <c r="U81" s="288"/>
      <c r="V81" s="5"/>
    </row>
    <row r="82" spans="1:22" ht="15.6" x14ac:dyDescent="0.3">
      <c r="A82" s="284"/>
      <c r="B82" s="285" t="s">
        <v>152</v>
      </c>
      <c r="C82" s="338"/>
      <c r="D82" s="338"/>
      <c r="E82" s="338"/>
      <c r="F82" s="338"/>
      <c r="G82" s="338"/>
      <c r="H82" s="338"/>
      <c r="I82" s="338"/>
      <c r="J82" s="338">
        <v>1</v>
      </c>
      <c r="K82" s="338"/>
      <c r="L82" s="338">
        <v>0</v>
      </c>
      <c r="M82" s="338"/>
      <c r="N82" s="338">
        <v>0</v>
      </c>
      <c r="O82" s="338"/>
      <c r="P82" s="338"/>
      <c r="Q82" s="338"/>
      <c r="R82" s="338"/>
      <c r="S82" s="338"/>
      <c r="T82" s="338">
        <f>+L82+N82</f>
        <v>0</v>
      </c>
      <c r="U82" s="288"/>
      <c r="V82" s="5"/>
    </row>
    <row r="83" spans="1:22" ht="15.6" x14ac:dyDescent="0.3">
      <c r="A83" s="284"/>
      <c r="B83" s="285" t="s">
        <v>25</v>
      </c>
      <c r="C83" s="338"/>
      <c r="D83" s="338"/>
      <c r="E83" s="338"/>
      <c r="F83" s="338"/>
      <c r="G83" s="338"/>
      <c r="H83" s="338"/>
      <c r="I83" s="338"/>
      <c r="J83" s="338">
        <v>0</v>
      </c>
      <c r="K83" s="338"/>
      <c r="L83" s="338">
        <v>0</v>
      </c>
      <c r="M83" s="338"/>
      <c r="N83" s="338"/>
      <c r="O83" s="338"/>
      <c r="P83" s="338"/>
      <c r="Q83" s="338"/>
      <c r="R83" s="338"/>
      <c r="S83" s="338"/>
      <c r="T83" s="338">
        <v>0</v>
      </c>
      <c r="U83" s="288"/>
      <c r="V83" s="5"/>
    </row>
    <row r="84" spans="1:22" ht="15.6" x14ac:dyDescent="0.3">
      <c r="A84" s="284"/>
      <c r="B84" s="285" t="s">
        <v>26</v>
      </c>
      <c r="C84" s="338"/>
      <c r="D84" s="338"/>
      <c r="E84" s="338"/>
      <c r="F84" s="338"/>
      <c r="G84" s="338"/>
      <c r="H84" s="338"/>
      <c r="I84" s="338"/>
      <c r="J84" s="338">
        <f>SUM(J71:J83)</f>
        <v>1000050</v>
      </c>
      <c r="K84" s="338"/>
      <c r="L84" s="338">
        <f>SUM(L71:L83)</f>
        <v>563025</v>
      </c>
      <c r="M84" s="338"/>
      <c r="N84" s="338"/>
      <c r="O84" s="338"/>
      <c r="P84" s="338"/>
      <c r="Q84" s="338"/>
      <c r="R84" s="338"/>
      <c r="S84" s="338"/>
      <c r="T84" s="338">
        <f>SUM(T71:T83)</f>
        <v>559134</v>
      </c>
      <c r="U84" s="288"/>
      <c r="V84" s="5"/>
    </row>
    <row r="85" spans="1:22" ht="15.6" x14ac:dyDescent="0.3">
      <c r="A85" s="175"/>
      <c r="B85" s="334"/>
      <c r="C85" s="335"/>
      <c r="D85" s="335"/>
      <c r="E85" s="335"/>
      <c r="F85" s="335"/>
      <c r="G85" s="335"/>
      <c r="H85" s="335"/>
      <c r="I85" s="335"/>
      <c r="J85" s="335"/>
      <c r="K85" s="335"/>
      <c r="L85" s="335"/>
      <c r="M85" s="335"/>
      <c r="N85" s="335"/>
      <c r="O85" s="335"/>
      <c r="P85" s="335"/>
      <c r="Q85" s="335"/>
      <c r="R85" s="335"/>
      <c r="S85" s="335"/>
      <c r="T85" s="336"/>
      <c r="U85" s="334"/>
      <c r="V85" s="5"/>
    </row>
    <row r="86" spans="1:22" ht="15.6" x14ac:dyDescent="0.3">
      <c r="A86" s="175"/>
      <c r="B86" s="177"/>
      <c r="C86" s="177"/>
      <c r="D86" s="177"/>
      <c r="E86" s="177"/>
      <c r="F86" s="177"/>
      <c r="G86" s="177"/>
      <c r="H86" s="177"/>
      <c r="I86" s="177"/>
      <c r="J86" s="177"/>
      <c r="K86" s="177"/>
      <c r="L86" s="177"/>
      <c r="M86" s="177"/>
      <c r="N86" s="177"/>
      <c r="O86" s="177"/>
      <c r="P86" s="177"/>
      <c r="Q86" s="177"/>
      <c r="R86" s="177"/>
      <c r="S86" s="177"/>
      <c r="T86" s="177"/>
      <c r="U86" s="177"/>
      <c r="V86" s="5"/>
    </row>
    <row r="87" spans="1:22" ht="15.6" x14ac:dyDescent="0.3">
      <c r="A87" s="222"/>
      <c r="B87" s="395" t="s">
        <v>27</v>
      </c>
      <c r="C87" s="395"/>
      <c r="D87" s="395"/>
      <c r="E87" s="395"/>
      <c r="F87" s="395"/>
      <c r="G87" s="395"/>
      <c r="H87" s="396"/>
      <c r="I87" s="396"/>
      <c r="J87" s="397" t="s">
        <v>98</v>
      </c>
      <c r="K87" s="396"/>
      <c r="L87" s="398">
        <f>+R193</f>
        <v>41089</v>
      </c>
      <c r="M87" s="396"/>
      <c r="N87" s="396"/>
      <c r="O87" s="396"/>
      <c r="P87" s="396"/>
      <c r="Q87" s="396"/>
      <c r="R87" s="396" t="s">
        <v>111</v>
      </c>
      <c r="S87" s="396"/>
      <c r="T87" s="396" t="s">
        <v>119</v>
      </c>
      <c r="U87" s="223"/>
      <c r="V87" s="5"/>
    </row>
    <row r="88" spans="1:22" ht="15.6" x14ac:dyDescent="0.3">
      <c r="A88" s="190"/>
      <c r="B88" s="239" t="s">
        <v>28</v>
      </c>
      <c r="C88" s="239"/>
      <c r="D88" s="239"/>
      <c r="E88" s="239"/>
      <c r="F88" s="239"/>
      <c r="G88" s="239"/>
      <c r="H88" s="239"/>
      <c r="I88" s="239"/>
      <c r="J88" s="239"/>
      <c r="K88" s="239"/>
      <c r="L88" s="239"/>
      <c r="M88" s="239"/>
      <c r="N88" s="239"/>
      <c r="O88" s="239"/>
      <c r="P88" s="239"/>
      <c r="Q88" s="239"/>
      <c r="R88" s="243">
        <v>0</v>
      </c>
      <c r="S88" s="239"/>
      <c r="T88" s="251">
        <v>0</v>
      </c>
      <c r="U88" s="239"/>
      <c r="V88" s="5"/>
    </row>
    <row r="89" spans="1:22" ht="15.6" x14ac:dyDescent="0.3">
      <c r="A89" s="284"/>
      <c r="B89" s="285" t="s">
        <v>29</v>
      </c>
      <c r="C89" s="285"/>
      <c r="D89" s="285"/>
      <c r="E89" s="285"/>
      <c r="F89" s="285"/>
      <c r="G89" s="285"/>
      <c r="H89" s="324"/>
      <c r="I89" s="341"/>
      <c r="J89" s="324"/>
      <c r="K89" s="285"/>
      <c r="L89" s="342"/>
      <c r="M89" s="285"/>
      <c r="N89" s="285"/>
      <c r="O89" s="285"/>
      <c r="P89" s="285"/>
      <c r="Q89" s="285"/>
      <c r="R89" s="338">
        <f>4205-117</f>
        <v>4088</v>
      </c>
      <c r="S89" s="285"/>
      <c r="T89" s="339"/>
      <c r="U89" s="288"/>
      <c r="V89" s="5"/>
    </row>
    <row r="90" spans="1:22" ht="15.6" x14ac:dyDescent="0.3">
      <c r="A90" s="284"/>
      <c r="B90" s="285" t="s">
        <v>225</v>
      </c>
      <c r="C90" s="285"/>
      <c r="D90" s="285"/>
      <c r="E90" s="285"/>
      <c r="F90" s="285"/>
      <c r="G90" s="285"/>
      <c r="H90" s="324"/>
      <c r="I90" s="341"/>
      <c r="J90" s="324"/>
      <c r="K90" s="285"/>
      <c r="L90" s="342"/>
      <c r="M90" s="285"/>
      <c r="N90" s="285"/>
      <c r="O90" s="285"/>
      <c r="P90" s="285"/>
      <c r="Q90" s="285"/>
      <c r="R90" s="338"/>
      <c r="S90" s="285"/>
      <c r="T90" s="339">
        <f>2070+2571-334-338</f>
        <v>3969</v>
      </c>
      <c r="U90" s="288"/>
      <c r="V90" s="5"/>
    </row>
    <row r="91" spans="1:22" ht="15.6" x14ac:dyDescent="0.3">
      <c r="A91" s="284"/>
      <c r="B91" s="285" t="s">
        <v>220</v>
      </c>
      <c r="C91" s="285"/>
      <c r="D91" s="285"/>
      <c r="E91" s="285"/>
      <c r="F91" s="285"/>
      <c r="G91" s="285"/>
      <c r="H91" s="324"/>
      <c r="I91" s="341"/>
      <c r="J91" s="324"/>
      <c r="K91" s="285"/>
      <c r="L91" s="342"/>
      <c r="M91" s="285"/>
      <c r="N91" s="285"/>
      <c r="O91" s="285"/>
      <c r="P91" s="285"/>
      <c r="Q91" s="285"/>
      <c r="R91" s="338"/>
      <c r="S91" s="285"/>
      <c r="T91" s="339">
        <f>36+20</f>
        <v>56</v>
      </c>
      <c r="U91" s="288"/>
      <c r="V91" s="5"/>
    </row>
    <row r="92" spans="1:22" ht="15.6" x14ac:dyDescent="0.3">
      <c r="A92" s="284"/>
      <c r="B92" s="285" t="s">
        <v>221</v>
      </c>
      <c r="C92" s="285"/>
      <c r="D92" s="285"/>
      <c r="E92" s="285"/>
      <c r="F92" s="285"/>
      <c r="G92" s="285"/>
      <c r="H92" s="324"/>
      <c r="I92" s="341"/>
      <c r="J92" s="324"/>
      <c r="K92" s="285"/>
      <c r="L92" s="342"/>
      <c r="M92" s="285"/>
      <c r="N92" s="285"/>
      <c r="O92" s="285"/>
      <c r="P92" s="285"/>
      <c r="Q92" s="285"/>
      <c r="R92" s="338"/>
      <c r="S92" s="285"/>
      <c r="T92" s="339">
        <v>29</v>
      </c>
      <c r="U92" s="288"/>
      <c r="V92" s="5"/>
    </row>
    <row r="93" spans="1:22" ht="15.6" x14ac:dyDescent="0.3">
      <c r="A93" s="284"/>
      <c r="B93" s="285" t="s">
        <v>261</v>
      </c>
      <c r="C93" s="285"/>
      <c r="D93" s="285"/>
      <c r="E93" s="285"/>
      <c r="F93" s="285"/>
      <c r="G93" s="285"/>
      <c r="H93" s="324"/>
      <c r="I93" s="341"/>
      <c r="J93" s="324"/>
      <c r="K93" s="285"/>
      <c r="L93" s="342"/>
      <c r="M93" s="285"/>
      <c r="N93" s="285"/>
      <c r="O93" s="285"/>
      <c r="P93" s="285"/>
      <c r="Q93" s="285"/>
      <c r="R93" s="338"/>
      <c r="S93" s="285"/>
      <c r="T93" s="339">
        <v>0</v>
      </c>
      <c r="U93" s="288"/>
      <c r="V93" s="5"/>
    </row>
    <row r="94" spans="1:22" ht="15.6" x14ac:dyDescent="0.3">
      <c r="A94" s="284"/>
      <c r="B94" s="285" t="s">
        <v>141</v>
      </c>
      <c r="C94" s="285"/>
      <c r="D94" s="285"/>
      <c r="E94" s="285"/>
      <c r="F94" s="285"/>
      <c r="G94" s="285"/>
      <c r="H94" s="285"/>
      <c r="I94" s="285"/>
      <c r="J94" s="285"/>
      <c r="K94" s="285"/>
      <c r="L94" s="285"/>
      <c r="M94" s="285"/>
      <c r="N94" s="285"/>
      <c r="O94" s="285"/>
      <c r="P94" s="285"/>
      <c r="Q94" s="285"/>
      <c r="R94" s="338"/>
      <c r="S94" s="285"/>
      <c r="T94" s="339">
        <v>0</v>
      </c>
      <c r="U94" s="288"/>
      <c r="V94" s="5"/>
    </row>
    <row r="95" spans="1:22" ht="15.6" x14ac:dyDescent="0.3">
      <c r="A95" s="284"/>
      <c r="B95" s="285" t="s">
        <v>250</v>
      </c>
      <c r="C95" s="285"/>
      <c r="D95" s="285"/>
      <c r="E95" s="285"/>
      <c r="F95" s="285"/>
      <c r="G95" s="285"/>
      <c r="H95" s="285"/>
      <c r="I95" s="285"/>
      <c r="J95" s="285"/>
      <c r="K95" s="285"/>
      <c r="L95" s="285"/>
      <c r="M95" s="285"/>
      <c r="N95" s="285"/>
      <c r="O95" s="285"/>
      <c r="P95" s="285"/>
      <c r="Q95" s="285"/>
      <c r="R95" s="338"/>
      <c r="S95" s="285"/>
      <c r="T95" s="339">
        <v>258</v>
      </c>
      <c r="U95" s="288"/>
      <c r="V95" s="5"/>
    </row>
    <row r="96" spans="1:22" ht="15.6" x14ac:dyDescent="0.3">
      <c r="A96" s="284"/>
      <c r="B96" s="285" t="s">
        <v>30</v>
      </c>
      <c r="C96" s="285"/>
      <c r="D96" s="285"/>
      <c r="E96" s="285"/>
      <c r="F96" s="285"/>
      <c r="G96" s="285"/>
      <c r="H96" s="285"/>
      <c r="I96" s="285"/>
      <c r="J96" s="285"/>
      <c r="K96" s="285"/>
      <c r="L96" s="285"/>
      <c r="M96" s="285"/>
      <c r="N96" s="285"/>
      <c r="O96" s="285"/>
      <c r="P96" s="285"/>
      <c r="Q96" s="285"/>
      <c r="R96" s="338">
        <f>SUM(R88:R95)</f>
        <v>4088</v>
      </c>
      <c r="S96" s="285"/>
      <c r="T96" s="338">
        <f>SUM(T88:T95)</f>
        <v>4312</v>
      </c>
      <c r="U96" s="288"/>
      <c r="V96" s="5"/>
    </row>
    <row r="97" spans="1:24" ht="15.6" x14ac:dyDescent="0.3">
      <c r="A97" s="284"/>
      <c r="B97" s="285" t="s">
        <v>168</v>
      </c>
      <c r="C97" s="285"/>
      <c r="D97" s="285"/>
      <c r="E97" s="285"/>
      <c r="F97" s="285"/>
      <c r="G97" s="285"/>
      <c r="H97" s="285"/>
      <c r="I97" s="285"/>
      <c r="J97" s="285"/>
      <c r="K97" s="285"/>
      <c r="L97" s="285"/>
      <c r="M97" s="285"/>
      <c r="N97" s="285"/>
      <c r="O97" s="285"/>
      <c r="P97" s="285"/>
      <c r="Q97" s="285"/>
      <c r="R97" s="338">
        <v>-2</v>
      </c>
      <c r="S97" s="285"/>
      <c r="T97" s="338">
        <f>-R97</f>
        <v>2</v>
      </c>
      <c r="U97" s="288"/>
      <c r="V97" s="5"/>
    </row>
    <row r="98" spans="1:24" ht="15.6" x14ac:dyDescent="0.3">
      <c r="A98" s="284"/>
      <c r="B98" s="285" t="s">
        <v>31</v>
      </c>
      <c r="C98" s="285"/>
      <c r="D98" s="285"/>
      <c r="E98" s="285"/>
      <c r="F98" s="285"/>
      <c r="G98" s="285"/>
      <c r="H98" s="285"/>
      <c r="I98" s="285"/>
      <c r="J98" s="285"/>
      <c r="K98" s="285"/>
      <c r="L98" s="285"/>
      <c r="M98" s="285"/>
      <c r="N98" s="285"/>
      <c r="O98" s="285"/>
      <c r="P98" s="285"/>
      <c r="Q98" s="285"/>
      <c r="R98" s="338">
        <f>-T98</f>
        <v>0</v>
      </c>
      <c r="S98" s="285"/>
      <c r="T98" s="339">
        <v>0</v>
      </c>
      <c r="U98" s="288"/>
      <c r="V98" s="5"/>
    </row>
    <row r="99" spans="1:24" ht="15.6" x14ac:dyDescent="0.3">
      <c r="A99" s="284"/>
      <c r="B99" s="285" t="s">
        <v>273</v>
      </c>
      <c r="C99" s="285"/>
      <c r="D99" s="285"/>
      <c r="E99" s="285"/>
      <c r="F99" s="285"/>
      <c r="G99" s="285"/>
      <c r="H99" s="285"/>
      <c r="I99" s="285"/>
      <c r="J99" s="285"/>
      <c r="K99" s="285"/>
      <c r="L99" s="285"/>
      <c r="M99" s="285"/>
      <c r="N99" s="285"/>
      <c r="O99" s="285"/>
      <c r="P99" s="285"/>
      <c r="Q99" s="285"/>
      <c r="R99" s="338"/>
      <c r="S99" s="285"/>
      <c r="T99" s="339">
        <v>-63</v>
      </c>
      <c r="U99" s="288"/>
      <c r="V99" s="5"/>
    </row>
    <row r="100" spans="1:24" ht="15.6" x14ac:dyDescent="0.3">
      <c r="A100" s="284"/>
      <c r="B100" s="285" t="s">
        <v>32</v>
      </c>
      <c r="C100" s="285"/>
      <c r="D100" s="285"/>
      <c r="E100" s="285"/>
      <c r="F100" s="285"/>
      <c r="G100" s="285"/>
      <c r="H100" s="285"/>
      <c r="I100" s="285"/>
      <c r="J100" s="285"/>
      <c r="K100" s="285"/>
      <c r="L100" s="285"/>
      <c r="M100" s="285"/>
      <c r="N100" s="285"/>
      <c r="O100" s="285"/>
      <c r="P100" s="285"/>
      <c r="Q100" s="285"/>
      <c r="R100" s="338">
        <f>R96+R98+R97</f>
        <v>4086</v>
      </c>
      <c r="S100" s="285"/>
      <c r="T100" s="338">
        <f>T96+T98+T97+T99</f>
        <v>4251</v>
      </c>
      <c r="U100" s="288"/>
      <c r="V100" s="5"/>
    </row>
    <row r="101" spans="1:24" ht="15.6" x14ac:dyDescent="0.3">
      <c r="A101" s="284"/>
      <c r="B101" s="343" t="s">
        <v>33</v>
      </c>
      <c r="C101" s="311"/>
      <c r="D101" s="311"/>
      <c r="E101" s="311"/>
      <c r="F101" s="311"/>
      <c r="G101" s="311"/>
      <c r="H101" s="311"/>
      <c r="I101" s="311"/>
      <c r="J101" s="311"/>
      <c r="K101" s="311"/>
      <c r="L101" s="311"/>
      <c r="M101" s="311"/>
      <c r="N101" s="311"/>
      <c r="O101" s="311"/>
      <c r="P101" s="311"/>
      <c r="Q101" s="311"/>
      <c r="R101" s="344"/>
      <c r="S101" s="311"/>
      <c r="T101" s="345"/>
      <c r="U101" s="317"/>
      <c r="V101" s="5"/>
    </row>
    <row r="102" spans="1:24" ht="15.6" x14ac:dyDescent="0.3">
      <c r="A102" s="337">
        <v>1</v>
      </c>
      <c r="B102" s="285" t="s">
        <v>34</v>
      </c>
      <c r="C102" s="285"/>
      <c r="D102" s="285"/>
      <c r="E102" s="285"/>
      <c r="F102" s="285"/>
      <c r="G102" s="285"/>
      <c r="H102" s="285"/>
      <c r="I102" s="285"/>
      <c r="J102" s="285"/>
      <c r="K102" s="285"/>
      <c r="L102" s="285"/>
      <c r="M102" s="285"/>
      <c r="N102" s="285"/>
      <c r="O102" s="285"/>
      <c r="P102" s="285"/>
      <c r="Q102" s="285"/>
      <c r="R102" s="285"/>
      <c r="S102" s="285"/>
      <c r="T102" s="339">
        <v>0</v>
      </c>
      <c r="U102" s="288"/>
      <c r="V102" s="5"/>
    </row>
    <row r="103" spans="1:24" ht="15.6" x14ac:dyDescent="0.3">
      <c r="A103" s="337">
        <f>+A102+1</f>
        <v>2</v>
      </c>
      <c r="B103" s="285" t="s">
        <v>255</v>
      </c>
      <c r="C103" s="285"/>
      <c r="D103" s="285"/>
      <c r="E103" s="285"/>
      <c r="F103" s="285"/>
      <c r="G103" s="285"/>
      <c r="H103" s="285"/>
      <c r="I103" s="285"/>
      <c r="J103" s="285"/>
      <c r="K103" s="285"/>
      <c r="L103" s="285"/>
      <c r="M103" s="285"/>
      <c r="N103" s="285"/>
      <c r="O103" s="285"/>
      <c r="P103" s="285"/>
      <c r="Q103" s="285"/>
      <c r="R103" s="285"/>
      <c r="S103" s="285"/>
      <c r="T103" s="339">
        <v>-2</v>
      </c>
      <c r="U103" s="288"/>
      <c r="V103" s="5"/>
    </row>
    <row r="104" spans="1:24" ht="15.6" x14ac:dyDescent="0.3">
      <c r="A104" s="337">
        <f>+A103+1</f>
        <v>3</v>
      </c>
      <c r="B104" s="285" t="s">
        <v>213</v>
      </c>
      <c r="C104" s="285"/>
      <c r="D104" s="285"/>
      <c r="E104" s="285"/>
      <c r="F104" s="285"/>
      <c r="G104" s="285"/>
      <c r="H104" s="285"/>
      <c r="I104" s="285"/>
      <c r="J104" s="285"/>
      <c r="K104" s="285"/>
      <c r="L104" s="285"/>
      <c r="M104" s="285"/>
      <c r="N104" s="285"/>
      <c r="O104" s="285"/>
      <c r="P104" s="285"/>
      <c r="Q104" s="285"/>
      <c r="R104" s="285"/>
      <c r="S104" s="285"/>
      <c r="T104" s="339">
        <f>-213-214-7</f>
        <v>-434</v>
      </c>
      <c r="U104" s="288"/>
      <c r="V104" s="5"/>
    </row>
    <row r="105" spans="1:24" ht="15.6" x14ac:dyDescent="0.3">
      <c r="A105" s="337" t="s">
        <v>133</v>
      </c>
      <c r="B105" s="285" t="s">
        <v>122</v>
      </c>
      <c r="C105" s="285"/>
      <c r="D105" s="285"/>
      <c r="E105" s="285"/>
      <c r="F105" s="285"/>
      <c r="G105" s="285"/>
      <c r="H105" s="285"/>
      <c r="I105" s="285"/>
      <c r="J105" s="285"/>
      <c r="K105" s="285"/>
      <c r="L105" s="285"/>
      <c r="M105" s="285"/>
      <c r="N105" s="285"/>
      <c r="O105" s="285"/>
      <c r="P105" s="285"/>
      <c r="Q105" s="285"/>
      <c r="R105" s="285"/>
      <c r="S105" s="285"/>
      <c r="T105" s="339">
        <v>-46</v>
      </c>
      <c r="U105" s="288"/>
      <c r="V105" s="5"/>
    </row>
    <row r="106" spans="1:24" ht="15.6" x14ac:dyDescent="0.3">
      <c r="A106" s="337" t="s">
        <v>134</v>
      </c>
      <c r="B106" s="285" t="s">
        <v>194</v>
      </c>
      <c r="C106" s="285"/>
      <c r="D106" s="285"/>
      <c r="E106" s="285"/>
      <c r="F106" s="285"/>
      <c r="G106" s="285"/>
      <c r="H106" s="285"/>
      <c r="I106" s="285"/>
      <c r="J106" s="285"/>
      <c r="K106" s="285"/>
      <c r="L106" s="285"/>
      <c r="M106" s="285"/>
      <c r="N106" s="285"/>
      <c r="O106" s="285"/>
      <c r="P106" s="285"/>
      <c r="Q106" s="285"/>
      <c r="R106" s="285"/>
      <c r="S106" s="285"/>
      <c r="T106" s="339">
        <f>-1268+233</f>
        <v>-1035</v>
      </c>
      <c r="U106" s="288"/>
      <c r="V106" s="5"/>
      <c r="W106" s="109"/>
    </row>
    <row r="107" spans="1:24" ht="15.6" x14ac:dyDescent="0.3">
      <c r="A107" s="337" t="s">
        <v>156</v>
      </c>
      <c r="B107" s="285" t="s">
        <v>191</v>
      </c>
      <c r="C107" s="285"/>
      <c r="D107" s="285"/>
      <c r="E107" s="285"/>
      <c r="F107" s="285"/>
      <c r="G107" s="285"/>
      <c r="H107" s="285"/>
      <c r="I107" s="285"/>
      <c r="J107" s="285"/>
      <c r="K107" s="285"/>
      <c r="L107" s="285"/>
      <c r="M107" s="285"/>
      <c r="N107" s="285"/>
      <c r="O107" s="285"/>
      <c r="P107" s="285"/>
      <c r="Q107" s="285"/>
      <c r="R107" s="285"/>
      <c r="S107" s="285"/>
      <c r="T107" s="339">
        <v>-233</v>
      </c>
      <c r="U107" s="288"/>
      <c r="V107" s="5"/>
      <c r="W107" s="109"/>
    </row>
    <row r="108" spans="1:24" ht="15.6" x14ac:dyDescent="0.3">
      <c r="A108" s="337" t="s">
        <v>214</v>
      </c>
      <c r="B108" s="285" t="s">
        <v>192</v>
      </c>
      <c r="C108" s="285"/>
      <c r="D108" s="285"/>
      <c r="E108" s="285"/>
      <c r="F108" s="285"/>
      <c r="G108" s="285"/>
      <c r="H108" s="285"/>
      <c r="I108" s="285"/>
      <c r="J108" s="285"/>
      <c r="K108" s="285"/>
      <c r="L108" s="285"/>
      <c r="M108" s="285"/>
      <c r="N108" s="285"/>
      <c r="O108" s="285"/>
      <c r="P108" s="285"/>
      <c r="Q108" s="285"/>
      <c r="R108" s="285"/>
      <c r="S108" s="285"/>
      <c r="T108" s="339">
        <v>-215</v>
      </c>
      <c r="U108" s="288"/>
      <c r="V108" s="5"/>
      <c r="W108" s="109"/>
      <c r="X108" s="109"/>
    </row>
    <row r="109" spans="1:24" ht="15.6" x14ac:dyDescent="0.3">
      <c r="A109" s="337" t="s">
        <v>215</v>
      </c>
      <c r="B109" s="285" t="s">
        <v>193</v>
      </c>
      <c r="C109" s="285"/>
      <c r="D109" s="285"/>
      <c r="E109" s="285"/>
      <c r="F109" s="285"/>
      <c r="G109" s="285"/>
      <c r="H109" s="285"/>
      <c r="I109" s="285"/>
      <c r="J109" s="285"/>
      <c r="K109" s="285"/>
      <c r="L109" s="285"/>
      <c r="M109" s="285"/>
      <c r="N109" s="285"/>
      <c r="O109" s="285"/>
      <c r="P109" s="285"/>
      <c r="Q109" s="285"/>
      <c r="R109" s="285"/>
      <c r="S109" s="285"/>
      <c r="T109" s="339">
        <v>-60</v>
      </c>
      <c r="U109" s="288"/>
      <c r="V109" s="169"/>
      <c r="W109" s="109"/>
    </row>
    <row r="110" spans="1:24" ht="15.6" x14ac:dyDescent="0.3">
      <c r="A110" s="337" t="s">
        <v>216</v>
      </c>
      <c r="B110" s="285" t="s">
        <v>204</v>
      </c>
      <c r="C110" s="285"/>
      <c r="D110" s="285"/>
      <c r="E110" s="285"/>
      <c r="F110" s="285"/>
      <c r="G110" s="285"/>
      <c r="H110" s="285"/>
      <c r="I110" s="285"/>
      <c r="J110" s="285"/>
      <c r="K110" s="285"/>
      <c r="L110" s="285"/>
      <c r="M110" s="285"/>
      <c r="N110" s="285"/>
      <c r="O110" s="285"/>
      <c r="P110" s="285"/>
      <c r="Q110" s="285"/>
      <c r="R110" s="285"/>
      <c r="S110" s="285"/>
      <c r="T110" s="339">
        <v>-299</v>
      </c>
      <c r="U110" s="288"/>
      <c r="V110" s="5"/>
      <c r="W110" s="109"/>
    </row>
    <row r="111" spans="1:24" ht="15.6" x14ac:dyDescent="0.3">
      <c r="A111" s="337">
        <v>7</v>
      </c>
      <c r="B111" s="285" t="s">
        <v>35</v>
      </c>
      <c r="C111" s="285"/>
      <c r="D111" s="285"/>
      <c r="E111" s="285"/>
      <c r="F111" s="285"/>
      <c r="G111" s="285"/>
      <c r="H111" s="285"/>
      <c r="I111" s="285"/>
      <c r="J111" s="285"/>
      <c r="K111" s="285"/>
      <c r="L111" s="285"/>
      <c r="M111" s="285"/>
      <c r="N111" s="285"/>
      <c r="O111" s="285"/>
      <c r="P111" s="285"/>
      <c r="Q111" s="285"/>
      <c r="R111" s="285"/>
      <c r="S111" s="285"/>
      <c r="T111" s="339">
        <v>-10</v>
      </c>
      <c r="U111" s="288"/>
      <c r="V111" s="5"/>
    </row>
    <row r="112" spans="1:24" ht="15.6" x14ac:dyDescent="0.3">
      <c r="A112" s="337">
        <f t="shared" ref="A112:A117" si="0">+A111+1</f>
        <v>8</v>
      </c>
      <c r="B112" s="285" t="s">
        <v>46</v>
      </c>
      <c r="C112" s="285"/>
      <c r="D112" s="285"/>
      <c r="E112" s="285"/>
      <c r="F112" s="285"/>
      <c r="G112" s="285"/>
      <c r="H112" s="285"/>
      <c r="I112" s="285"/>
      <c r="J112" s="285"/>
      <c r="K112" s="285"/>
      <c r="L112" s="285"/>
      <c r="M112" s="285"/>
      <c r="N112" s="285"/>
      <c r="O112" s="285"/>
      <c r="P112" s="285"/>
      <c r="Q112" s="285"/>
      <c r="R112" s="338">
        <f>-T112</f>
        <v>117</v>
      </c>
      <c r="S112" s="285"/>
      <c r="T112" s="339">
        <v>-117</v>
      </c>
      <c r="U112" s="288"/>
      <c r="V112" s="5"/>
    </row>
    <row r="113" spans="1:22" ht="15.6" x14ac:dyDescent="0.3">
      <c r="A113" s="337">
        <f t="shared" si="0"/>
        <v>9</v>
      </c>
      <c r="B113" s="285" t="s">
        <v>131</v>
      </c>
      <c r="C113" s="285"/>
      <c r="D113" s="285"/>
      <c r="E113" s="285"/>
      <c r="F113" s="285"/>
      <c r="G113" s="285"/>
      <c r="H113" s="285"/>
      <c r="I113" s="285"/>
      <c r="J113" s="285"/>
      <c r="K113" s="285"/>
      <c r="L113" s="285"/>
      <c r="M113" s="285"/>
      <c r="N113" s="285"/>
      <c r="O113" s="285"/>
      <c r="P113" s="285"/>
      <c r="Q113" s="285"/>
      <c r="R113" s="285"/>
      <c r="S113" s="285"/>
      <c r="T113" s="339">
        <v>0</v>
      </c>
      <c r="U113" s="288"/>
      <c r="V113" s="5"/>
    </row>
    <row r="114" spans="1:22" ht="15.6" x14ac:dyDescent="0.3">
      <c r="A114" s="337">
        <f t="shared" si="0"/>
        <v>10</v>
      </c>
      <c r="B114" s="285" t="s">
        <v>36</v>
      </c>
      <c r="C114" s="285"/>
      <c r="D114" s="285"/>
      <c r="E114" s="285"/>
      <c r="F114" s="285"/>
      <c r="G114" s="285"/>
      <c r="H114" s="285"/>
      <c r="I114" s="285"/>
      <c r="J114" s="285"/>
      <c r="K114" s="285"/>
      <c r="L114" s="285"/>
      <c r="M114" s="285"/>
      <c r="N114" s="285"/>
      <c r="O114" s="285"/>
      <c r="P114" s="285"/>
      <c r="Q114" s="285"/>
      <c r="R114" s="285"/>
      <c r="S114" s="285"/>
      <c r="T114" s="339">
        <v>0</v>
      </c>
      <c r="U114" s="288"/>
      <c r="V114" s="5"/>
    </row>
    <row r="115" spans="1:22" ht="15.6" x14ac:dyDescent="0.3">
      <c r="A115" s="337">
        <f t="shared" si="0"/>
        <v>11</v>
      </c>
      <c r="B115" s="285" t="s">
        <v>37</v>
      </c>
      <c r="C115" s="285"/>
      <c r="D115" s="285"/>
      <c r="E115" s="285"/>
      <c r="F115" s="285"/>
      <c r="G115" s="285"/>
      <c r="H115" s="285"/>
      <c r="I115" s="285"/>
      <c r="J115" s="285"/>
      <c r="K115" s="285"/>
      <c r="L115" s="285"/>
      <c r="M115" s="285"/>
      <c r="N115" s="285"/>
      <c r="O115" s="285"/>
      <c r="P115" s="285"/>
      <c r="Q115" s="285"/>
      <c r="R115" s="285"/>
      <c r="S115" s="285"/>
      <c r="T115" s="339">
        <v>0</v>
      </c>
      <c r="U115" s="288"/>
      <c r="V115" s="5"/>
    </row>
    <row r="116" spans="1:22" ht="15.6" x14ac:dyDescent="0.3">
      <c r="A116" s="337">
        <f t="shared" si="0"/>
        <v>12</v>
      </c>
      <c r="B116" s="285" t="s">
        <v>155</v>
      </c>
      <c r="C116" s="285"/>
      <c r="D116" s="285"/>
      <c r="E116" s="285"/>
      <c r="F116" s="285"/>
      <c r="G116" s="285"/>
      <c r="H116" s="285"/>
      <c r="I116" s="285"/>
      <c r="J116" s="285"/>
      <c r="K116" s="285"/>
      <c r="L116" s="285"/>
      <c r="M116" s="285"/>
      <c r="N116" s="285"/>
      <c r="O116" s="285"/>
      <c r="P116" s="285"/>
      <c r="Q116" s="285"/>
      <c r="R116" s="285"/>
      <c r="S116" s="285"/>
      <c r="T116" s="339">
        <v>-213</v>
      </c>
      <c r="U116" s="288"/>
      <c r="V116" s="5"/>
    </row>
    <row r="117" spans="1:22" ht="15.6" x14ac:dyDescent="0.3">
      <c r="A117" s="337">
        <f t="shared" si="0"/>
        <v>13</v>
      </c>
      <c r="B117" s="285" t="s">
        <v>132</v>
      </c>
      <c r="C117" s="285"/>
      <c r="D117" s="285"/>
      <c r="E117" s="285"/>
      <c r="F117" s="285"/>
      <c r="G117" s="285"/>
      <c r="H117" s="285"/>
      <c r="I117" s="285"/>
      <c r="J117" s="285"/>
      <c r="K117" s="285"/>
      <c r="L117" s="285"/>
      <c r="M117" s="285"/>
      <c r="N117" s="285"/>
      <c r="O117" s="285"/>
      <c r="P117" s="285"/>
      <c r="Q117" s="285"/>
      <c r="R117" s="285"/>
      <c r="S117" s="285"/>
      <c r="T117" s="339">
        <f>-T100-SUM(T102:T116)</f>
        <v>-1587</v>
      </c>
      <c r="U117" s="288"/>
      <c r="V117" s="5"/>
    </row>
    <row r="118" spans="1:22" ht="15.6" x14ac:dyDescent="0.3">
      <c r="A118" s="284"/>
      <c r="B118" s="343" t="s">
        <v>38</v>
      </c>
      <c r="C118" s="311"/>
      <c r="D118" s="311"/>
      <c r="E118" s="311"/>
      <c r="F118" s="311"/>
      <c r="G118" s="311"/>
      <c r="H118" s="311"/>
      <c r="I118" s="311"/>
      <c r="J118" s="311"/>
      <c r="K118" s="311"/>
      <c r="L118" s="311"/>
      <c r="M118" s="311"/>
      <c r="N118" s="311"/>
      <c r="O118" s="311"/>
      <c r="P118" s="311"/>
      <c r="Q118" s="311"/>
      <c r="R118" s="311"/>
      <c r="S118" s="311"/>
      <c r="T118" s="346"/>
      <c r="U118" s="317"/>
      <c r="V118" s="5"/>
    </row>
    <row r="119" spans="1:22" ht="15.6" x14ac:dyDescent="0.3">
      <c r="A119" s="337"/>
      <c r="B119" s="285" t="s">
        <v>180</v>
      </c>
      <c r="C119" s="285"/>
      <c r="D119" s="285"/>
      <c r="E119" s="285"/>
      <c r="F119" s="285"/>
      <c r="G119" s="285"/>
      <c r="H119" s="285"/>
      <c r="I119" s="285"/>
      <c r="J119" s="285"/>
      <c r="K119" s="285"/>
      <c r="L119" s="285"/>
      <c r="M119" s="285"/>
      <c r="N119" s="285"/>
      <c r="O119" s="285"/>
      <c r="P119" s="285"/>
      <c r="Q119" s="285"/>
      <c r="R119" s="338">
        <f>-R177</f>
        <v>0</v>
      </c>
      <c r="S119" s="338"/>
      <c r="T119" s="339"/>
      <c r="U119" s="288"/>
      <c r="V119" s="5"/>
    </row>
    <row r="120" spans="1:22" ht="15.6" x14ac:dyDescent="0.3">
      <c r="A120" s="337"/>
      <c r="B120" s="285" t="s">
        <v>181</v>
      </c>
      <c r="C120" s="285"/>
      <c r="D120" s="285"/>
      <c r="E120" s="285"/>
      <c r="F120" s="285"/>
      <c r="G120" s="285"/>
      <c r="H120" s="285"/>
      <c r="I120" s="285"/>
      <c r="J120" s="285"/>
      <c r="K120" s="285"/>
      <c r="L120" s="285"/>
      <c r="M120" s="285"/>
      <c r="N120" s="285"/>
      <c r="O120" s="285"/>
      <c r="P120" s="285"/>
      <c r="Q120" s="285"/>
      <c r="R120" s="338">
        <v>-34</v>
      </c>
      <c r="S120" s="338"/>
      <c r="T120" s="339"/>
      <c r="U120" s="288"/>
      <c r="V120" s="5"/>
    </row>
    <row r="121" spans="1:22" ht="15.6" x14ac:dyDescent="0.3">
      <c r="A121" s="337"/>
      <c r="B121" s="285" t="s">
        <v>39</v>
      </c>
      <c r="C121" s="285"/>
      <c r="D121" s="285"/>
      <c r="E121" s="285"/>
      <c r="F121" s="285"/>
      <c r="G121" s="285"/>
      <c r="H121" s="285"/>
      <c r="I121" s="285"/>
      <c r="J121" s="285"/>
      <c r="K121" s="285"/>
      <c r="L121" s="285"/>
      <c r="M121" s="285"/>
      <c r="N121" s="285"/>
      <c r="O121" s="285"/>
      <c r="P121" s="285"/>
      <c r="Q121" s="285"/>
      <c r="R121" s="338">
        <f>-Q177</f>
        <v>-278</v>
      </c>
      <c r="S121" s="338"/>
      <c r="T121" s="339"/>
      <c r="U121" s="288"/>
      <c r="V121" s="5"/>
    </row>
    <row r="122" spans="1:22" ht="15.6" x14ac:dyDescent="0.3">
      <c r="A122" s="337"/>
      <c r="B122" s="285" t="s">
        <v>205</v>
      </c>
      <c r="C122" s="285"/>
      <c r="D122" s="285"/>
      <c r="E122" s="285"/>
      <c r="F122" s="285"/>
      <c r="G122" s="285"/>
      <c r="H122" s="285"/>
      <c r="I122" s="285"/>
      <c r="J122" s="285"/>
      <c r="K122" s="285"/>
      <c r="L122" s="285"/>
      <c r="M122" s="285"/>
      <c r="N122" s="285"/>
      <c r="O122" s="285"/>
      <c r="P122" s="285"/>
      <c r="Q122" s="285"/>
      <c r="R122" s="338">
        <v>-2544</v>
      </c>
      <c r="S122" s="338"/>
      <c r="T122" s="339"/>
      <c r="U122" s="288"/>
      <c r="V122" s="5"/>
    </row>
    <row r="123" spans="1:22" ht="15.6" x14ac:dyDescent="0.3">
      <c r="A123" s="337"/>
      <c r="B123" s="285" t="s">
        <v>203</v>
      </c>
      <c r="C123" s="285"/>
      <c r="D123" s="285"/>
      <c r="E123" s="285"/>
      <c r="F123" s="285"/>
      <c r="G123" s="285"/>
      <c r="H123" s="285"/>
      <c r="I123" s="285"/>
      <c r="J123" s="285"/>
      <c r="K123" s="285"/>
      <c r="L123" s="285"/>
      <c r="M123" s="285"/>
      <c r="N123" s="285"/>
      <c r="O123" s="285"/>
      <c r="P123" s="285"/>
      <c r="Q123" s="285"/>
      <c r="R123" s="338">
        <v>-671</v>
      </c>
      <c r="S123" s="338"/>
      <c r="T123" s="339"/>
      <c r="U123" s="288"/>
      <c r="V123" s="5"/>
    </row>
    <row r="124" spans="1:22" ht="15.6" x14ac:dyDescent="0.3">
      <c r="A124" s="337"/>
      <c r="B124" s="285" t="s">
        <v>202</v>
      </c>
      <c r="C124" s="285"/>
      <c r="D124" s="285"/>
      <c r="E124" s="285"/>
      <c r="F124" s="285"/>
      <c r="G124" s="285"/>
      <c r="H124" s="285"/>
      <c r="I124" s="285"/>
      <c r="J124" s="285"/>
      <c r="K124" s="285"/>
      <c r="L124" s="285"/>
      <c r="M124" s="285"/>
      <c r="N124" s="285"/>
      <c r="O124" s="285"/>
      <c r="P124" s="285"/>
      <c r="Q124" s="285"/>
      <c r="R124" s="338">
        <v>-676</v>
      </c>
      <c r="S124" s="338"/>
      <c r="T124" s="339"/>
      <c r="U124" s="288"/>
      <c r="V124" s="5"/>
    </row>
    <row r="125" spans="1:22" ht="15.6" x14ac:dyDescent="0.3">
      <c r="A125" s="337"/>
      <c r="B125" s="285" t="s">
        <v>197</v>
      </c>
      <c r="C125" s="285"/>
      <c r="D125" s="285"/>
      <c r="E125" s="285"/>
      <c r="F125" s="285"/>
      <c r="G125" s="285"/>
      <c r="H125" s="285"/>
      <c r="I125" s="285"/>
      <c r="J125" s="285"/>
      <c r="K125" s="285"/>
      <c r="L125" s="285"/>
      <c r="M125" s="285"/>
      <c r="N125" s="285"/>
      <c r="O125" s="285"/>
      <c r="P125" s="285"/>
      <c r="Q125" s="285"/>
      <c r="R125" s="338">
        <v>0</v>
      </c>
      <c r="S125" s="338"/>
      <c r="T125" s="339"/>
      <c r="U125" s="288"/>
      <c r="V125" s="5"/>
    </row>
    <row r="126" spans="1:22" ht="15.6" x14ac:dyDescent="0.3">
      <c r="A126" s="337"/>
      <c r="B126" s="285" t="s">
        <v>196</v>
      </c>
      <c r="C126" s="285"/>
      <c r="D126" s="285"/>
      <c r="E126" s="285"/>
      <c r="F126" s="285"/>
      <c r="G126" s="285"/>
      <c r="H126" s="285"/>
      <c r="I126" s="285"/>
      <c r="J126" s="285"/>
      <c r="K126" s="285"/>
      <c r="L126" s="285"/>
      <c r="M126" s="285"/>
      <c r="N126" s="285"/>
      <c r="O126" s="285"/>
      <c r="P126" s="285"/>
      <c r="Q126" s="285"/>
      <c r="R126" s="338">
        <v>0</v>
      </c>
      <c r="S126" s="338"/>
      <c r="T126" s="339"/>
      <c r="U126" s="288"/>
      <c r="V126" s="5"/>
    </row>
    <row r="127" spans="1:22" ht="15.6" x14ac:dyDescent="0.3">
      <c r="A127" s="337"/>
      <c r="B127" s="285" t="s">
        <v>195</v>
      </c>
      <c r="C127" s="285"/>
      <c r="D127" s="285"/>
      <c r="E127" s="285"/>
      <c r="F127" s="285"/>
      <c r="G127" s="285"/>
      <c r="H127" s="285"/>
      <c r="I127" s="285"/>
      <c r="J127" s="285"/>
      <c r="K127" s="285"/>
      <c r="L127" s="285"/>
      <c r="M127" s="285"/>
      <c r="N127" s="285"/>
      <c r="O127" s="285"/>
      <c r="P127" s="285"/>
      <c r="Q127" s="285"/>
      <c r="R127" s="338">
        <v>0</v>
      </c>
      <c r="S127" s="338"/>
      <c r="T127" s="339"/>
      <c r="U127" s="288"/>
      <c r="V127" s="5"/>
    </row>
    <row r="128" spans="1:22" ht="15.6" x14ac:dyDescent="0.3">
      <c r="A128" s="337"/>
      <c r="B128" s="285" t="s">
        <v>40</v>
      </c>
      <c r="C128" s="285"/>
      <c r="D128" s="285"/>
      <c r="E128" s="285"/>
      <c r="F128" s="285"/>
      <c r="G128" s="285"/>
      <c r="H128" s="285"/>
      <c r="I128" s="285"/>
      <c r="J128" s="285"/>
      <c r="K128" s="285"/>
      <c r="L128" s="285"/>
      <c r="M128" s="285"/>
      <c r="N128" s="285"/>
      <c r="O128" s="285"/>
      <c r="P128" s="285"/>
      <c r="Q128" s="285"/>
      <c r="R128" s="338">
        <f>SUM(R119:R127)</f>
        <v>-4203</v>
      </c>
      <c r="S128" s="338"/>
      <c r="T128" s="338">
        <f>SUM(T101:T126)</f>
        <v>-4251</v>
      </c>
      <c r="U128" s="288"/>
      <c r="V128" s="5"/>
    </row>
    <row r="129" spans="1:23" ht="15.6" x14ac:dyDescent="0.3">
      <c r="A129" s="337"/>
      <c r="B129" s="285" t="s">
        <v>41</v>
      </c>
      <c r="C129" s="285"/>
      <c r="D129" s="285"/>
      <c r="E129" s="285"/>
      <c r="F129" s="285"/>
      <c r="G129" s="285"/>
      <c r="H129" s="285"/>
      <c r="I129" s="285"/>
      <c r="J129" s="285"/>
      <c r="K129" s="285"/>
      <c r="L129" s="285"/>
      <c r="M129" s="285"/>
      <c r="N129" s="285"/>
      <c r="O129" s="285"/>
      <c r="P129" s="285"/>
      <c r="Q129" s="285"/>
      <c r="R129" s="338">
        <f>R100+R128+R112</f>
        <v>0</v>
      </c>
      <c r="S129" s="338"/>
      <c r="T129" s="338">
        <f>T100+T128</f>
        <v>0</v>
      </c>
      <c r="U129" s="288"/>
      <c r="V129" s="5"/>
    </row>
    <row r="130" spans="1:23" ht="15.6" x14ac:dyDescent="0.3">
      <c r="A130" s="256"/>
      <c r="B130" s="281"/>
      <c r="C130" s="281"/>
      <c r="D130" s="281"/>
      <c r="E130" s="281"/>
      <c r="F130" s="281"/>
      <c r="G130" s="281"/>
      <c r="H130" s="281"/>
      <c r="I130" s="281"/>
      <c r="J130" s="281"/>
      <c r="K130" s="281"/>
      <c r="L130" s="281"/>
      <c r="M130" s="281"/>
      <c r="N130" s="281"/>
      <c r="O130" s="281"/>
      <c r="P130" s="281"/>
      <c r="Q130" s="281"/>
      <c r="R130" s="340"/>
      <c r="S130" s="340"/>
      <c r="T130" s="340"/>
      <c r="U130" s="281"/>
      <c r="V130" s="5"/>
    </row>
    <row r="131" spans="1:23" ht="15.6" x14ac:dyDescent="0.3">
      <c r="A131" s="256"/>
      <c r="B131" s="231"/>
      <c r="C131" s="231"/>
      <c r="D131" s="231"/>
      <c r="E131" s="231"/>
      <c r="F131" s="231"/>
      <c r="G131" s="231"/>
      <c r="H131" s="231"/>
      <c r="I131" s="231"/>
      <c r="J131" s="231"/>
      <c r="K131" s="231"/>
      <c r="L131" s="231"/>
      <c r="M131" s="231"/>
      <c r="N131" s="231"/>
      <c r="O131" s="231"/>
      <c r="P131" s="231"/>
      <c r="Q131" s="231"/>
      <c r="R131" s="231"/>
      <c r="S131" s="231"/>
      <c r="T131" s="257"/>
      <c r="U131" s="231"/>
      <c r="V131" s="5"/>
    </row>
    <row r="132" spans="1:23" ht="18" thickBot="1" x14ac:dyDescent="0.35">
      <c r="A132" s="258"/>
      <c r="B132" s="246" t="str">
        <f>B64</f>
        <v>PM11 INVESTOR REPORT QUARTER ENDING JUNE 2012</v>
      </c>
      <c r="C132" s="247"/>
      <c r="D132" s="247"/>
      <c r="E132" s="247"/>
      <c r="F132" s="247"/>
      <c r="G132" s="247"/>
      <c r="H132" s="247"/>
      <c r="I132" s="247"/>
      <c r="J132" s="247"/>
      <c r="K132" s="247"/>
      <c r="L132" s="247"/>
      <c r="M132" s="247"/>
      <c r="N132" s="247"/>
      <c r="O132" s="247"/>
      <c r="P132" s="247"/>
      <c r="Q132" s="247"/>
      <c r="R132" s="247"/>
      <c r="S132" s="247"/>
      <c r="T132" s="259"/>
      <c r="U132" s="249"/>
      <c r="V132" s="5"/>
    </row>
    <row r="133" spans="1:23" ht="15.6" x14ac:dyDescent="0.3">
      <c r="A133" s="260"/>
      <c r="B133" s="399" t="s">
        <v>42</v>
      </c>
      <c r="C133" s="261"/>
      <c r="D133" s="261"/>
      <c r="E133" s="261"/>
      <c r="F133" s="261"/>
      <c r="G133" s="261"/>
      <c r="H133" s="261"/>
      <c r="I133" s="261"/>
      <c r="J133" s="261"/>
      <c r="K133" s="261"/>
      <c r="L133" s="261"/>
      <c r="M133" s="261"/>
      <c r="N133" s="261"/>
      <c r="O133" s="261"/>
      <c r="P133" s="261"/>
      <c r="Q133" s="261"/>
      <c r="R133" s="261"/>
      <c r="S133" s="261"/>
      <c r="T133" s="262"/>
      <c r="U133" s="261"/>
      <c r="V133" s="5"/>
    </row>
    <row r="134" spans="1:23" ht="15.6" x14ac:dyDescent="0.3">
      <c r="A134" s="175"/>
      <c r="B134" s="187"/>
      <c r="C134" s="177"/>
      <c r="D134" s="177"/>
      <c r="E134" s="177"/>
      <c r="F134" s="177"/>
      <c r="G134" s="177"/>
      <c r="H134" s="177"/>
      <c r="I134" s="177"/>
      <c r="J134" s="177"/>
      <c r="K134" s="177"/>
      <c r="L134" s="177"/>
      <c r="M134" s="177"/>
      <c r="N134" s="177"/>
      <c r="O134" s="177"/>
      <c r="P134" s="177"/>
      <c r="Q134" s="177"/>
      <c r="R134" s="177"/>
      <c r="S134" s="177"/>
      <c r="T134" s="194"/>
      <c r="U134" s="177"/>
      <c r="V134" s="5"/>
    </row>
    <row r="135" spans="1:23" ht="15.6" x14ac:dyDescent="0.3">
      <c r="A135" s="175"/>
      <c r="B135" s="201" t="s">
        <v>43</v>
      </c>
      <c r="C135" s="177"/>
      <c r="D135" s="177"/>
      <c r="E135" s="177"/>
      <c r="F135" s="177"/>
      <c r="G135" s="177"/>
      <c r="H135" s="177"/>
      <c r="I135" s="177"/>
      <c r="J135" s="177"/>
      <c r="K135" s="177"/>
      <c r="L135" s="177"/>
      <c r="M135" s="177"/>
      <c r="N135" s="177"/>
      <c r="O135" s="177"/>
      <c r="P135" s="177"/>
      <c r="Q135" s="177"/>
      <c r="R135" s="177"/>
      <c r="S135" s="177"/>
      <c r="T135" s="194"/>
      <c r="U135" s="177"/>
      <c r="V135" s="5"/>
    </row>
    <row r="136" spans="1:23" ht="15.6" x14ac:dyDescent="0.3">
      <c r="A136" s="284"/>
      <c r="B136" s="285" t="s">
        <v>44</v>
      </c>
      <c r="C136" s="285"/>
      <c r="D136" s="285"/>
      <c r="E136" s="285"/>
      <c r="F136" s="285"/>
      <c r="G136" s="285"/>
      <c r="H136" s="285"/>
      <c r="I136" s="285"/>
      <c r="J136" s="285"/>
      <c r="K136" s="285"/>
      <c r="L136" s="285"/>
      <c r="M136" s="285"/>
      <c r="N136" s="285"/>
      <c r="O136" s="285"/>
      <c r="P136" s="285"/>
      <c r="Q136" s="285"/>
      <c r="R136" s="285"/>
      <c r="S136" s="285"/>
      <c r="T136" s="339">
        <f>+T34*0.019</f>
        <v>19000.95</v>
      </c>
      <c r="U136" s="288"/>
      <c r="V136" s="5"/>
    </row>
    <row r="137" spans="1:23" ht="15.6" x14ac:dyDescent="0.3">
      <c r="A137" s="284"/>
      <c r="B137" s="285" t="s">
        <v>45</v>
      </c>
      <c r="C137" s="285"/>
      <c r="D137" s="285"/>
      <c r="E137" s="285"/>
      <c r="F137" s="285"/>
      <c r="G137" s="285"/>
      <c r="H137" s="285"/>
      <c r="I137" s="285"/>
      <c r="J137" s="285"/>
      <c r="K137" s="285"/>
      <c r="L137" s="285"/>
      <c r="M137" s="285"/>
      <c r="N137" s="285"/>
      <c r="O137" s="285"/>
      <c r="P137" s="285"/>
      <c r="Q137" s="285"/>
      <c r="R137" s="285"/>
      <c r="S137" s="285"/>
      <c r="T137" s="339">
        <v>19001</v>
      </c>
      <c r="U137" s="288"/>
      <c r="V137" s="5"/>
    </row>
    <row r="138" spans="1:23" ht="15.6" x14ac:dyDescent="0.3">
      <c r="A138" s="284"/>
      <c r="B138" s="285" t="s">
        <v>142</v>
      </c>
      <c r="C138" s="285"/>
      <c r="D138" s="285"/>
      <c r="E138" s="285"/>
      <c r="F138" s="285"/>
      <c r="G138" s="285"/>
      <c r="H138" s="285"/>
      <c r="I138" s="285"/>
      <c r="J138" s="285"/>
      <c r="K138" s="285"/>
      <c r="L138" s="285"/>
      <c r="M138" s="285"/>
      <c r="N138" s="285"/>
      <c r="O138" s="285"/>
      <c r="P138" s="285"/>
      <c r="Q138" s="285"/>
      <c r="R138" s="285"/>
      <c r="S138" s="285"/>
      <c r="T138" s="339">
        <v>0</v>
      </c>
      <c r="U138" s="288"/>
      <c r="V138" s="5"/>
    </row>
    <row r="139" spans="1:23" ht="15.6" x14ac:dyDescent="0.3">
      <c r="A139" s="284"/>
      <c r="B139" s="285" t="s">
        <v>129</v>
      </c>
      <c r="C139" s="285"/>
      <c r="D139" s="285"/>
      <c r="E139" s="285"/>
      <c r="F139" s="285"/>
      <c r="G139" s="285"/>
      <c r="H139" s="285"/>
      <c r="I139" s="285"/>
      <c r="J139" s="285"/>
      <c r="K139" s="285"/>
      <c r="L139" s="285"/>
      <c r="M139" s="285"/>
      <c r="N139" s="285"/>
      <c r="O139" s="285"/>
      <c r="P139" s="285"/>
      <c r="Q139" s="285"/>
      <c r="R139" s="285"/>
      <c r="S139" s="285"/>
      <c r="T139" s="339">
        <v>0</v>
      </c>
      <c r="U139" s="288"/>
      <c r="V139" s="5"/>
    </row>
    <row r="140" spans="1:23" ht="15.6" x14ac:dyDescent="0.3">
      <c r="A140" s="284"/>
      <c r="B140" s="285" t="s">
        <v>130</v>
      </c>
      <c r="C140" s="285"/>
      <c r="D140" s="285"/>
      <c r="E140" s="285"/>
      <c r="F140" s="285"/>
      <c r="G140" s="285"/>
      <c r="H140" s="285"/>
      <c r="I140" s="285"/>
      <c r="J140" s="285"/>
      <c r="K140" s="285"/>
      <c r="L140" s="285"/>
      <c r="M140" s="285"/>
      <c r="N140" s="285"/>
      <c r="O140" s="285"/>
      <c r="P140" s="285"/>
      <c r="Q140" s="285"/>
      <c r="R140" s="285"/>
      <c r="S140" s="285"/>
      <c r="T140" s="339">
        <v>0</v>
      </c>
      <c r="U140" s="288"/>
      <c r="V140" s="5"/>
    </row>
    <row r="141" spans="1:23" ht="15.6" x14ac:dyDescent="0.3">
      <c r="A141" s="284"/>
      <c r="B141" s="285" t="s">
        <v>182</v>
      </c>
      <c r="C141" s="285"/>
      <c r="D141" s="285"/>
      <c r="E141" s="285"/>
      <c r="F141" s="285"/>
      <c r="G141" s="285"/>
      <c r="H141" s="285"/>
      <c r="I141" s="285"/>
      <c r="J141" s="285"/>
      <c r="K141" s="285"/>
      <c r="L141" s="285"/>
      <c r="M141" s="285"/>
      <c r="N141" s="285"/>
      <c r="O141" s="285"/>
      <c r="P141" s="285"/>
      <c r="Q141" s="285"/>
      <c r="R141" s="285"/>
      <c r="S141" s="285"/>
      <c r="T141" s="339">
        <v>0</v>
      </c>
      <c r="U141" s="288"/>
      <c r="V141" s="5"/>
    </row>
    <row r="142" spans="1:23" ht="15.6" x14ac:dyDescent="0.3">
      <c r="A142" s="284"/>
      <c r="B142" s="285" t="s">
        <v>46</v>
      </c>
      <c r="C142" s="285"/>
      <c r="D142" s="285"/>
      <c r="E142" s="285"/>
      <c r="F142" s="285"/>
      <c r="G142" s="285"/>
      <c r="H142" s="285"/>
      <c r="I142" s="285"/>
      <c r="J142" s="285"/>
      <c r="K142" s="285"/>
      <c r="L142" s="285"/>
      <c r="M142" s="285"/>
      <c r="N142" s="285"/>
      <c r="O142" s="285"/>
      <c r="P142" s="285"/>
      <c r="Q142" s="285"/>
      <c r="R142" s="285"/>
      <c r="S142" s="285"/>
      <c r="T142" s="339">
        <v>0</v>
      </c>
      <c r="U142" s="288"/>
      <c r="V142" s="5"/>
    </row>
    <row r="143" spans="1:23" ht="15.6" x14ac:dyDescent="0.3">
      <c r="A143" s="284"/>
      <c r="B143" s="285" t="s">
        <v>135</v>
      </c>
      <c r="C143" s="285"/>
      <c r="D143" s="285"/>
      <c r="E143" s="285"/>
      <c r="F143" s="285"/>
      <c r="G143" s="285"/>
      <c r="H143" s="285"/>
      <c r="I143" s="285"/>
      <c r="J143" s="285"/>
      <c r="K143" s="285"/>
      <c r="L143" s="285"/>
      <c r="M143" s="285"/>
      <c r="N143" s="285"/>
      <c r="O143" s="285"/>
      <c r="P143" s="285"/>
      <c r="Q143" s="285"/>
      <c r="R143" s="285"/>
      <c r="S143" s="285"/>
      <c r="T143" s="339">
        <v>0</v>
      </c>
      <c r="U143" s="288"/>
      <c r="V143" s="5"/>
    </row>
    <row r="144" spans="1:23" ht="15.6" x14ac:dyDescent="0.3">
      <c r="A144" s="284"/>
      <c r="B144" s="285" t="s">
        <v>251</v>
      </c>
      <c r="C144" s="285"/>
      <c r="D144" s="285"/>
      <c r="E144" s="285"/>
      <c r="F144" s="285"/>
      <c r="G144" s="285"/>
      <c r="H144" s="285"/>
      <c r="I144" s="285"/>
      <c r="J144" s="285"/>
      <c r="K144" s="285"/>
      <c r="L144" s="285"/>
      <c r="M144" s="285"/>
      <c r="N144" s="285"/>
      <c r="O144" s="285"/>
      <c r="P144" s="285"/>
      <c r="Q144" s="285"/>
      <c r="R144" s="285"/>
      <c r="S144" s="285"/>
      <c r="T144" s="339">
        <v>0</v>
      </c>
      <c r="U144" s="288"/>
      <c r="V144" s="5"/>
      <c r="W144" s="109"/>
    </row>
    <row r="145" spans="1:22" ht="15.6" x14ac:dyDescent="0.3">
      <c r="A145" s="284"/>
      <c r="B145" s="285" t="s">
        <v>47</v>
      </c>
      <c r="C145" s="285"/>
      <c r="D145" s="285"/>
      <c r="E145" s="285"/>
      <c r="F145" s="285"/>
      <c r="G145" s="285"/>
      <c r="H145" s="285"/>
      <c r="I145" s="285"/>
      <c r="J145" s="285"/>
      <c r="K145" s="285"/>
      <c r="L145" s="285"/>
      <c r="M145" s="285"/>
      <c r="N145" s="285"/>
      <c r="O145" s="285"/>
      <c r="P145" s="285"/>
      <c r="Q145" s="285"/>
      <c r="R145" s="285"/>
      <c r="S145" s="285"/>
      <c r="T145" s="339">
        <f>SUM(T137:T144)</f>
        <v>19001</v>
      </c>
      <c r="U145" s="288"/>
      <c r="V145" s="5"/>
    </row>
    <row r="146" spans="1:22" ht="15.6" x14ac:dyDescent="0.3">
      <c r="A146" s="284"/>
      <c r="B146" s="311"/>
      <c r="C146" s="311"/>
      <c r="D146" s="311"/>
      <c r="E146" s="311"/>
      <c r="F146" s="311"/>
      <c r="G146" s="311"/>
      <c r="H146" s="311"/>
      <c r="I146" s="311"/>
      <c r="J146" s="311"/>
      <c r="K146" s="311"/>
      <c r="L146" s="311"/>
      <c r="M146" s="311"/>
      <c r="N146" s="311"/>
      <c r="O146" s="311"/>
      <c r="P146" s="311"/>
      <c r="Q146" s="311"/>
      <c r="R146" s="311"/>
      <c r="S146" s="311"/>
      <c r="T146" s="345"/>
      <c r="U146" s="317"/>
      <c r="V146" s="5"/>
    </row>
    <row r="147" spans="1:22" ht="15.6" x14ac:dyDescent="0.3">
      <c r="A147" s="284"/>
      <c r="B147" s="343" t="s">
        <v>262</v>
      </c>
      <c r="C147" s="311"/>
      <c r="D147" s="311"/>
      <c r="E147" s="311"/>
      <c r="F147" s="311"/>
      <c r="G147" s="311"/>
      <c r="H147" s="311"/>
      <c r="I147" s="311"/>
      <c r="J147" s="311"/>
      <c r="K147" s="311"/>
      <c r="L147" s="311"/>
      <c r="M147" s="311"/>
      <c r="N147" s="311"/>
      <c r="O147" s="311"/>
      <c r="P147" s="311"/>
      <c r="Q147" s="311"/>
      <c r="R147" s="311"/>
      <c r="S147" s="311"/>
      <c r="T147" s="345"/>
      <c r="U147" s="317"/>
      <c r="V147" s="5"/>
    </row>
    <row r="148" spans="1:22" ht="15.6" x14ac:dyDescent="0.3">
      <c r="A148" s="284"/>
      <c r="B148" s="285" t="s">
        <v>263</v>
      </c>
      <c r="C148" s="285"/>
      <c r="D148" s="285"/>
      <c r="E148" s="285"/>
      <c r="F148" s="285"/>
      <c r="G148" s="285"/>
      <c r="H148" s="285"/>
      <c r="I148" s="285"/>
      <c r="J148" s="285"/>
      <c r="K148" s="285"/>
      <c r="L148" s="285"/>
      <c r="M148" s="285"/>
      <c r="N148" s="285"/>
      <c r="O148" s="285"/>
      <c r="P148" s="285"/>
      <c r="Q148" s="285"/>
      <c r="R148" s="285"/>
      <c r="S148" s="285"/>
      <c r="T148" s="339">
        <v>0</v>
      </c>
      <c r="U148" s="288"/>
      <c r="V148" s="5"/>
    </row>
    <row r="149" spans="1:22" ht="15.6" x14ac:dyDescent="0.3">
      <c r="A149" s="284"/>
      <c r="B149" s="285" t="s">
        <v>179</v>
      </c>
      <c r="C149" s="285"/>
      <c r="D149" s="285"/>
      <c r="E149" s="285"/>
      <c r="F149" s="285"/>
      <c r="G149" s="285"/>
      <c r="H149" s="285"/>
      <c r="I149" s="285"/>
      <c r="J149" s="285"/>
      <c r="K149" s="285"/>
      <c r="L149" s="285"/>
      <c r="M149" s="285"/>
      <c r="N149" s="285"/>
      <c r="O149" s="285"/>
      <c r="P149" s="285"/>
      <c r="Q149" s="285"/>
      <c r="R149" s="285"/>
      <c r="S149" s="285"/>
      <c r="T149" s="339">
        <v>0</v>
      </c>
      <c r="U149" s="288"/>
      <c r="V149" s="5"/>
    </row>
    <row r="150" spans="1:22" ht="15.6" x14ac:dyDescent="0.3">
      <c r="A150" s="284"/>
      <c r="B150" s="285" t="s">
        <v>264</v>
      </c>
      <c r="C150" s="285"/>
      <c r="D150" s="285"/>
      <c r="E150" s="285"/>
      <c r="F150" s="285"/>
      <c r="G150" s="285"/>
      <c r="H150" s="285"/>
      <c r="I150" s="285"/>
      <c r="J150" s="285"/>
      <c r="K150" s="285"/>
      <c r="L150" s="285"/>
      <c r="M150" s="285"/>
      <c r="N150" s="285"/>
      <c r="O150" s="285"/>
      <c r="P150" s="285"/>
      <c r="Q150" s="285"/>
      <c r="R150" s="285"/>
      <c r="S150" s="285"/>
      <c r="T150" s="339">
        <v>0</v>
      </c>
      <c r="U150" s="288"/>
      <c r="V150" s="5"/>
    </row>
    <row r="151" spans="1:22" ht="15.6" x14ac:dyDescent="0.3">
      <c r="A151" s="284"/>
      <c r="B151" s="285"/>
      <c r="C151" s="285"/>
      <c r="D151" s="285"/>
      <c r="E151" s="285"/>
      <c r="F151" s="285"/>
      <c r="G151" s="285"/>
      <c r="H151" s="285"/>
      <c r="I151" s="285"/>
      <c r="J151" s="285"/>
      <c r="K151" s="285"/>
      <c r="L151" s="285"/>
      <c r="M151" s="285"/>
      <c r="N151" s="285"/>
      <c r="O151" s="285"/>
      <c r="P151" s="285"/>
      <c r="Q151" s="285"/>
      <c r="R151" s="285"/>
      <c r="S151" s="285"/>
      <c r="T151" s="339"/>
      <c r="U151" s="288"/>
      <c r="V151" s="5"/>
    </row>
    <row r="152" spans="1:22" ht="15.6" x14ac:dyDescent="0.3">
      <c r="A152" s="175"/>
      <c r="B152" s="334"/>
      <c r="C152" s="334"/>
      <c r="D152" s="334"/>
      <c r="E152" s="334"/>
      <c r="F152" s="334"/>
      <c r="G152" s="334"/>
      <c r="H152" s="334"/>
      <c r="I152" s="334"/>
      <c r="J152" s="334"/>
      <c r="K152" s="334"/>
      <c r="L152" s="334"/>
      <c r="M152" s="334"/>
      <c r="N152" s="334"/>
      <c r="O152" s="334"/>
      <c r="P152" s="334"/>
      <c r="Q152" s="334"/>
      <c r="R152" s="334"/>
      <c r="S152" s="334"/>
      <c r="T152" s="347"/>
      <c r="U152" s="334"/>
      <c r="V152" s="5"/>
    </row>
    <row r="153" spans="1:22" ht="15.6" x14ac:dyDescent="0.3">
      <c r="A153" s="175"/>
      <c r="B153" s="201" t="s">
        <v>24</v>
      </c>
      <c r="C153" s="177"/>
      <c r="D153" s="177"/>
      <c r="E153" s="177"/>
      <c r="F153" s="177"/>
      <c r="G153" s="177"/>
      <c r="H153" s="177"/>
      <c r="I153" s="177"/>
      <c r="J153" s="177"/>
      <c r="K153" s="177"/>
      <c r="L153" s="177"/>
      <c r="M153" s="177"/>
      <c r="N153" s="177"/>
      <c r="O153" s="177"/>
      <c r="P153" s="177"/>
      <c r="Q153" s="177"/>
      <c r="R153" s="177"/>
      <c r="S153" s="177"/>
      <c r="T153" s="194"/>
      <c r="U153" s="177"/>
      <c r="V153" s="5"/>
    </row>
    <row r="154" spans="1:22" ht="15.6" x14ac:dyDescent="0.3">
      <c r="A154" s="284"/>
      <c r="B154" s="285" t="s">
        <v>48</v>
      </c>
      <c r="C154" s="285"/>
      <c r="D154" s="285"/>
      <c r="E154" s="285"/>
      <c r="F154" s="285"/>
      <c r="G154" s="285"/>
      <c r="H154" s="285"/>
      <c r="I154" s="285"/>
      <c r="J154" s="285"/>
      <c r="K154" s="285"/>
      <c r="L154" s="285"/>
      <c r="M154" s="285"/>
      <c r="N154" s="285"/>
      <c r="O154" s="285"/>
      <c r="P154" s="285"/>
      <c r="Q154" s="285"/>
      <c r="R154" s="285"/>
      <c r="S154" s="285"/>
      <c r="T154" s="348" t="s">
        <v>124</v>
      </c>
      <c r="U154" s="288"/>
      <c r="V154" s="5"/>
    </row>
    <row r="155" spans="1:22" ht="15.6" x14ac:dyDescent="0.3">
      <c r="A155" s="284"/>
      <c r="B155" s="285" t="s">
        <v>49</v>
      </c>
      <c r="C155" s="287"/>
      <c r="D155" s="287"/>
      <c r="E155" s="287"/>
      <c r="F155" s="287"/>
      <c r="G155" s="287"/>
      <c r="H155" s="287"/>
      <c r="I155" s="287"/>
      <c r="J155" s="287"/>
      <c r="K155" s="287"/>
      <c r="L155" s="287"/>
      <c r="M155" s="287"/>
      <c r="N155" s="287"/>
      <c r="O155" s="287"/>
      <c r="P155" s="287"/>
      <c r="Q155" s="287"/>
      <c r="R155" s="287"/>
      <c r="S155" s="287"/>
      <c r="T155" s="348" t="s">
        <v>124</v>
      </c>
      <c r="U155" s="288"/>
      <c r="V155" s="5"/>
    </row>
    <row r="156" spans="1:22" ht="15.6" x14ac:dyDescent="0.3">
      <c r="A156" s="284"/>
      <c r="B156" s="285" t="s">
        <v>50</v>
      </c>
      <c r="C156" s="285"/>
      <c r="D156" s="285"/>
      <c r="E156" s="285"/>
      <c r="F156" s="285"/>
      <c r="G156" s="285"/>
      <c r="H156" s="285"/>
      <c r="I156" s="285"/>
      <c r="J156" s="285"/>
      <c r="K156" s="285"/>
      <c r="L156" s="285"/>
      <c r="M156" s="285"/>
      <c r="N156" s="285"/>
      <c r="O156" s="285"/>
      <c r="P156" s="285"/>
      <c r="Q156" s="285"/>
      <c r="R156" s="285"/>
      <c r="S156" s="285"/>
      <c r="T156" s="348" t="s">
        <v>124</v>
      </c>
      <c r="U156" s="288"/>
      <c r="V156" s="5"/>
    </row>
    <row r="157" spans="1:22" ht="15.6" x14ac:dyDescent="0.3">
      <c r="A157" s="284"/>
      <c r="B157" s="285" t="s">
        <v>51</v>
      </c>
      <c r="C157" s="285"/>
      <c r="D157" s="285"/>
      <c r="E157" s="285"/>
      <c r="F157" s="285"/>
      <c r="G157" s="285"/>
      <c r="H157" s="285"/>
      <c r="I157" s="285"/>
      <c r="J157" s="285"/>
      <c r="K157" s="285"/>
      <c r="L157" s="285"/>
      <c r="M157" s="285"/>
      <c r="N157" s="285"/>
      <c r="O157" s="285"/>
      <c r="P157" s="285"/>
      <c r="Q157" s="285"/>
      <c r="R157" s="285"/>
      <c r="S157" s="285"/>
      <c r="T157" s="348" t="s">
        <v>124</v>
      </c>
      <c r="U157" s="288"/>
      <c r="V157" s="5"/>
    </row>
    <row r="158" spans="1:22" ht="15.6" x14ac:dyDescent="0.3">
      <c r="A158" s="175"/>
      <c r="B158" s="334"/>
      <c r="C158" s="334"/>
      <c r="D158" s="334"/>
      <c r="E158" s="334"/>
      <c r="F158" s="334"/>
      <c r="G158" s="334"/>
      <c r="H158" s="334"/>
      <c r="I158" s="334"/>
      <c r="J158" s="334"/>
      <c r="K158" s="334"/>
      <c r="L158" s="334"/>
      <c r="M158" s="334"/>
      <c r="N158" s="334"/>
      <c r="O158" s="334"/>
      <c r="P158" s="334"/>
      <c r="Q158" s="334"/>
      <c r="R158" s="334"/>
      <c r="S158" s="334"/>
      <c r="T158" s="347"/>
      <c r="U158" s="334"/>
      <c r="V158" s="5"/>
    </row>
    <row r="159" spans="1:22" ht="15.6" x14ac:dyDescent="0.3">
      <c r="A159" s="175"/>
      <c r="B159" s="201" t="s">
        <v>52</v>
      </c>
      <c r="C159" s="177"/>
      <c r="D159" s="177"/>
      <c r="E159" s="177"/>
      <c r="F159" s="177"/>
      <c r="G159" s="177"/>
      <c r="H159" s="177"/>
      <c r="I159" s="177"/>
      <c r="J159" s="177"/>
      <c r="K159" s="177"/>
      <c r="L159" s="177"/>
      <c r="M159" s="177"/>
      <c r="N159" s="177"/>
      <c r="O159" s="177"/>
      <c r="P159" s="177"/>
      <c r="Q159" s="177"/>
      <c r="R159" s="177"/>
      <c r="S159" s="177"/>
      <c r="T159" s="202"/>
      <c r="U159" s="177"/>
      <c r="V159" s="5"/>
    </row>
    <row r="160" spans="1:22" ht="15.6" x14ac:dyDescent="0.3">
      <c r="A160" s="284"/>
      <c r="B160" s="285" t="s">
        <v>53</v>
      </c>
      <c r="C160" s="285"/>
      <c r="D160" s="285"/>
      <c r="E160" s="285"/>
      <c r="F160" s="285"/>
      <c r="G160" s="285"/>
      <c r="H160" s="285"/>
      <c r="I160" s="285"/>
      <c r="J160" s="285"/>
      <c r="K160" s="285"/>
      <c r="L160" s="285"/>
      <c r="M160" s="285"/>
      <c r="N160" s="285"/>
      <c r="O160" s="285"/>
      <c r="P160" s="285"/>
      <c r="Q160" s="285"/>
      <c r="R160" s="285"/>
      <c r="S160" s="285"/>
      <c r="T160" s="339">
        <v>0</v>
      </c>
      <c r="U160" s="288"/>
      <c r="V160" s="5"/>
    </row>
    <row r="161" spans="1:22" ht="15.6" x14ac:dyDescent="0.3">
      <c r="A161" s="284"/>
      <c r="B161" s="285" t="s">
        <v>54</v>
      </c>
      <c r="C161" s="285"/>
      <c r="D161" s="285"/>
      <c r="E161" s="285"/>
      <c r="F161" s="285"/>
      <c r="G161" s="285"/>
      <c r="H161" s="285"/>
      <c r="I161" s="285"/>
      <c r="J161" s="285"/>
      <c r="K161" s="285"/>
      <c r="L161" s="285"/>
      <c r="M161" s="285"/>
      <c r="N161" s="285"/>
      <c r="O161" s="285"/>
      <c r="P161" s="285"/>
      <c r="Q161" s="285"/>
      <c r="R161" s="285"/>
      <c r="S161" s="285"/>
      <c r="T161" s="339">
        <f>R112</f>
        <v>117</v>
      </c>
      <c r="U161" s="288"/>
      <c r="V161" s="5"/>
    </row>
    <row r="162" spans="1:22" ht="15.6" x14ac:dyDescent="0.3">
      <c r="A162" s="284"/>
      <c r="B162" s="285" t="s">
        <v>55</v>
      </c>
      <c r="C162" s="285"/>
      <c r="D162" s="285"/>
      <c r="E162" s="285"/>
      <c r="F162" s="285"/>
      <c r="G162" s="285"/>
      <c r="H162" s="285"/>
      <c r="I162" s="285"/>
      <c r="J162" s="285"/>
      <c r="K162" s="285"/>
      <c r="L162" s="285"/>
      <c r="M162" s="285"/>
      <c r="N162" s="285"/>
      <c r="O162" s="285"/>
      <c r="P162" s="285"/>
      <c r="Q162" s="285"/>
      <c r="R162" s="285"/>
      <c r="S162" s="285"/>
      <c r="T162" s="339">
        <f>T161+T160</f>
        <v>117</v>
      </c>
      <c r="U162" s="288"/>
      <c r="V162" s="5"/>
    </row>
    <row r="163" spans="1:22" ht="15.6" x14ac:dyDescent="0.3">
      <c r="A163" s="284"/>
      <c r="B163" s="285" t="s">
        <v>301</v>
      </c>
      <c r="C163" s="285"/>
      <c r="D163" s="285"/>
      <c r="E163" s="285"/>
      <c r="F163" s="285"/>
      <c r="G163" s="285"/>
      <c r="H163" s="285"/>
      <c r="I163" s="285"/>
      <c r="J163" s="285"/>
      <c r="K163" s="285"/>
      <c r="L163" s="285"/>
      <c r="M163" s="285"/>
      <c r="N163" s="285"/>
      <c r="O163" s="285"/>
      <c r="P163" s="285"/>
      <c r="Q163" s="285"/>
      <c r="R163" s="285"/>
      <c r="S163" s="285"/>
      <c r="T163" s="339">
        <f>T112</f>
        <v>-117</v>
      </c>
      <c r="U163" s="288"/>
      <c r="V163" s="5"/>
    </row>
    <row r="164" spans="1:22" ht="15.6" x14ac:dyDescent="0.3">
      <c r="A164" s="284"/>
      <c r="B164" s="285" t="s">
        <v>56</v>
      </c>
      <c r="C164" s="285"/>
      <c r="D164" s="285"/>
      <c r="E164" s="285"/>
      <c r="F164" s="285"/>
      <c r="G164" s="285"/>
      <c r="H164" s="285"/>
      <c r="I164" s="285"/>
      <c r="J164" s="285"/>
      <c r="K164" s="285"/>
      <c r="L164" s="285"/>
      <c r="M164" s="285"/>
      <c r="N164" s="285"/>
      <c r="O164" s="285"/>
      <c r="P164" s="285"/>
      <c r="Q164" s="285"/>
      <c r="R164" s="285"/>
      <c r="S164" s="285"/>
      <c r="T164" s="339">
        <f>T162+T163</f>
        <v>0</v>
      </c>
      <c r="U164" s="288"/>
      <c r="V164" s="5"/>
    </row>
    <row r="165" spans="1:22" ht="15.6" x14ac:dyDescent="0.3">
      <c r="A165" s="284"/>
      <c r="B165" s="285" t="s">
        <v>273</v>
      </c>
      <c r="C165" s="285"/>
      <c r="D165" s="285"/>
      <c r="E165" s="285"/>
      <c r="F165" s="285"/>
      <c r="G165" s="285"/>
      <c r="H165" s="285"/>
      <c r="I165" s="285"/>
      <c r="J165" s="285"/>
      <c r="K165" s="285"/>
      <c r="L165" s="285"/>
      <c r="M165" s="285"/>
      <c r="N165" s="285"/>
      <c r="O165" s="285"/>
      <c r="P165" s="285"/>
      <c r="Q165" s="285"/>
      <c r="R165" s="285"/>
      <c r="S165" s="285"/>
      <c r="T165" s="339">
        <f>-T99</f>
        <v>63</v>
      </c>
      <c r="U165" s="288"/>
      <c r="V165" s="5"/>
    </row>
    <row r="166" spans="1:22" ht="16.2" thickBot="1" x14ac:dyDescent="0.35">
      <c r="A166" s="175"/>
      <c r="B166" s="334"/>
      <c r="C166" s="334"/>
      <c r="D166" s="334"/>
      <c r="E166" s="334"/>
      <c r="F166" s="334"/>
      <c r="G166" s="334"/>
      <c r="H166" s="334"/>
      <c r="I166" s="334"/>
      <c r="J166" s="334"/>
      <c r="K166" s="334"/>
      <c r="L166" s="334"/>
      <c r="M166" s="334"/>
      <c r="N166" s="334"/>
      <c r="O166" s="334"/>
      <c r="P166" s="334"/>
      <c r="Q166" s="334"/>
      <c r="R166" s="334"/>
      <c r="S166" s="334"/>
      <c r="T166" s="347"/>
      <c r="U166" s="334"/>
      <c r="V166" s="5"/>
    </row>
    <row r="167" spans="1:22" ht="15.6" x14ac:dyDescent="0.3">
      <c r="A167" s="173"/>
      <c r="B167" s="174"/>
      <c r="C167" s="174"/>
      <c r="D167" s="174"/>
      <c r="E167" s="174"/>
      <c r="F167" s="174"/>
      <c r="G167" s="174"/>
      <c r="H167" s="174"/>
      <c r="I167" s="174"/>
      <c r="J167" s="174"/>
      <c r="K167" s="174"/>
      <c r="L167" s="174"/>
      <c r="M167" s="174"/>
      <c r="N167" s="174"/>
      <c r="O167" s="174"/>
      <c r="P167" s="174"/>
      <c r="Q167" s="174"/>
      <c r="R167" s="174"/>
      <c r="S167" s="174"/>
      <c r="T167" s="193"/>
      <c r="U167" s="174"/>
      <c r="V167" s="5"/>
    </row>
    <row r="168" spans="1:22" ht="15.6" x14ac:dyDescent="0.3">
      <c r="A168" s="175"/>
      <c r="B168" s="201" t="s">
        <v>57</v>
      </c>
      <c r="C168" s="177"/>
      <c r="D168" s="177"/>
      <c r="E168" s="177"/>
      <c r="F168" s="177"/>
      <c r="G168" s="177"/>
      <c r="H168" s="177"/>
      <c r="I168" s="177"/>
      <c r="J168" s="177"/>
      <c r="K168" s="177"/>
      <c r="L168" s="177"/>
      <c r="M168" s="177"/>
      <c r="N168" s="177"/>
      <c r="O168" s="177"/>
      <c r="P168" s="177"/>
      <c r="Q168" s="177"/>
      <c r="R168" s="177"/>
      <c r="S168" s="177"/>
      <c r="T168" s="194"/>
      <c r="U168" s="177"/>
      <c r="V168" s="5"/>
    </row>
    <row r="169" spans="1:22" ht="15.6" x14ac:dyDescent="0.3">
      <c r="A169" s="175"/>
      <c r="B169" s="187"/>
      <c r="C169" s="177"/>
      <c r="D169" s="177"/>
      <c r="E169" s="177"/>
      <c r="F169" s="177"/>
      <c r="G169" s="177"/>
      <c r="H169" s="177"/>
      <c r="I169" s="177"/>
      <c r="J169" s="177"/>
      <c r="K169" s="177"/>
      <c r="L169" s="177"/>
      <c r="M169" s="177"/>
      <c r="N169" s="177"/>
      <c r="O169" s="177"/>
      <c r="P169" s="177"/>
      <c r="Q169" s="177"/>
      <c r="R169" s="177"/>
      <c r="S169" s="177"/>
      <c r="T169" s="194"/>
      <c r="U169" s="177"/>
      <c r="V169" s="5"/>
    </row>
    <row r="170" spans="1:22" ht="15.6" x14ac:dyDescent="0.3">
      <c r="A170" s="284"/>
      <c r="B170" s="285" t="s">
        <v>58</v>
      </c>
      <c r="C170" s="285"/>
      <c r="D170" s="285"/>
      <c r="E170" s="285"/>
      <c r="F170" s="285"/>
      <c r="G170" s="285"/>
      <c r="H170" s="285"/>
      <c r="I170" s="285"/>
      <c r="J170" s="285"/>
      <c r="K170" s="285"/>
      <c r="L170" s="285"/>
      <c r="M170" s="285"/>
      <c r="N170" s="285"/>
      <c r="O170" s="285"/>
      <c r="P170" s="285"/>
      <c r="Q170" s="285"/>
      <c r="R170" s="285"/>
      <c r="S170" s="285"/>
      <c r="T170" s="339">
        <f>T71</f>
        <v>559134</v>
      </c>
      <c r="U170" s="288"/>
      <c r="V170" s="5"/>
    </row>
    <row r="171" spans="1:22" ht="15.6" x14ac:dyDescent="0.3">
      <c r="A171" s="284"/>
      <c r="B171" s="285" t="s">
        <v>59</v>
      </c>
      <c r="C171" s="285"/>
      <c r="D171" s="285"/>
      <c r="E171" s="285"/>
      <c r="F171" s="285"/>
      <c r="G171" s="285"/>
      <c r="H171" s="285"/>
      <c r="I171" s="285"/>
      <c r="J171" s="285"/>
      <c r="K171" s="285"/>
      <c r="L171" s="285"/>
      <c r="M171" s="285"/>
      <c r="N171" s="285"/>
      <c r="O171" s="285"/>
      <c r="P171" s="285"/>
      <c r="Q171" s="285"/>
      <c r="R171" s="285"/>
      <c r="S171" s="285"/>
      <c r="T171" s="339">
        <f>T84</f>
        <v>559134</v>
      </c>
      <c r="U171" s="288"/>
      <c r="V171" s="5"/>
    </row>
    <row r="172" spans="1:22" ht="16.2" thickBot="1" x14ac:dyDescent="0.35">
      <c r="A172" s="175"/>
      <c r="B172" s="334"/>
      <c r="C172" s="334"/>
      <c r="D172" s="334"/>
      <c r="E172" s="334"/>
      <c r="F172" s="334"/>
      <c r="G172" s="334"/>
      <c r="H172" s="334"/>
      <c r="I172" s="334"/>
      <c r="J172" s="334"/>
      <c r="K172" s="334"/>
      <c r="L172" s="334"/>
      <c r="M172" s="334"/>
      <c r="N172" s="334"/>
      <c r="O172" s="334"/>
      <c r="P172" s="334"/>
      <c r="Q172" s="334"/>
      <c r="R172" s="334"/>
      <c r="S172" s="334"/>
      <c r="T172" s="347"/>
      <c r="U172" s="334"/>
      <c r="V172" s="5"/>
    </row>
    <row r="173" spans="1:22" ht="15.6" x14ac:dyDescent="0.3">
      <c r="A173" s="173"/>
      <c r="B173" s="174"/>
      <c r="C173" s="174"/>
      <c r="D173" s="174"/>
      <c r="E173" s="174"/>
      <c r="F173" s="174"/>
      <c r="G173" s="174"/>
      <c r="H173" s="174"/>
      <c r="I173" s="174"/>
      <c r="J173" s="174"/>
      <c r="K173" s="174"/>
      <c r="L173" s="174"/>
      <c r="M173" s="174"/>
      <c r="N173" s="174"/>
      <c r="O173" s="174"/>
      <c r="P173" s="174"/>
      <c r="Q173" s="174"/>
      <c r="R173" s="174"/>
      <c r="S173" s="174"/>
      <c r="T173" s="193"/>
      <c r="U173" s="174"/>
      <c r="V173" s="5"/>
    </row>
    <row r="174" spans="1:22" ht="15.6" x14ac:dyDescent="0.3">
      <c r="A174" s="175"/>
      <c r="B174" s="201" t="s">
        <v>60</v>
      </c>
      <c r="C174" s="198"/>
      <c r="D174" s="198"/>
      <c r="E174" s="198"/>
      <c r="F174" s="198"/>
      <c r="G174" s="198"/>
      <c r="H174" s="203"/>
      <c r="I174" s="203"/>
      <c r="J174" s="203"/>
      <c r="K174" s="203"/>
      <c r="L174" s="203"/>
      <c r="M174" s="203"/>
      <c r="N174" s="203"/>
      <c r="O174" s="203"/>
      <c r="P174" s="203"/>
      <c r="Q174" s="203" t="s">
        <v>104</v>
      </c>
      <c r="R174" s="203" t="s">
        <v>183</v>
      </c>
      <c r="S174" s="179"/>
      <c r="T174" s="204" t="s">
        <v>120</v>
      </c>
      <c r="U174" s="205"/>
      <c r="V174" s="5"/>
    </row>
    <row r="175" spans="1:22" ht="15.6" x14ac:dyDescent="0.3">
      <c r="A175" s="284"/>
      <c r="B175" s="285" t="s">
        <v>61</v>
      </c>
      <c r="C175" s="285"/>
      <c r="D175" s="285"/>
      <c r="E175" s="285"/>
      <c r="F175" s="285"/>
      <c r="G175" s="285"/>
      <c r="H175" s="285"/>
      <c r="I175" s="285"/>
      <c r="J175" s="285"/>
      <c r="K175" s="285"/>
      <c r="L175" s="285"/>
      <c r="M175" s="285"/>
      <c r="N175" s="285"/>
      <c r="O175" s="285"/>
      <c r="P175" s="285"/>
      <c r="Q175" s="339">
        <v>160008</v>
      </c>
      <c r="R175" s="324"/>
      <c r="S175" s="285"/>
      <c r="T175" s="339"/>
      <c r="U175" s="288"/>
      <c r="V175" s="5"/>
    </row>
    <row r="176" spans="1:22" ht="15.6" x14ac:dyDescent="0.3">
      <c r="A176" s="284"/>
      <c r="B176" s="285" t="s">
        <v>62</v>
      </c>
      <c r="C176" s="285"/>
      <c r="D176" s="285"/>
      <c r="E176" s="285"/>
      <c r="F176" s="285"/>
      <c r="G176" s="285"/>
      <c r="H176" s="285"/>
      <c r="I176" s="285"/>
      <c r="J176" s="285"/>
      <c r="K176" s="285"/>
      <c r="L176" s="285"/>
      <c r="M176" s="285"/>
      <c r="N176" s="285"/>
      <c r="O176" s="285"/>
      <c r="P176" s="285"/>
      <c r="Q176" s="339">
        <f>+'March 12'!Q178</f>
        <v>36772</v>
      </c>
      <c r="R176" s="339">
        <f>+'March 12'!R178</f>
        <v>3447</v>
      </c>
      <c r="S176" s="285"/>
      <c r="T176" s="339">
        <f>Q176+R176</f>
        <v>40219</v>
      </c>
      <c r="U176" s="288"/>
      <c r="V176" s="5"/>
    </row>
    <row r="177" spans="1:22" ht="15.6" x14ac:dyDescent="0.3">
      <c r="A177" s="284"/>
      <c r="B177" s="285" t="s">
        <v>63</v>
      </c>
      <c r="C177" s="285"/>
      <c r="D177" s="285"/>
      <c r="E177" s="285"/>
      <c r="F177" s="285"/>
      <c r="G177" s="285"/>
      <c r="H177" s="285"/>
      <c r="I177" s="285"/>
      <c r="J177" s="285"/>
      <c r="K177" s="285"/>
      <c r="L177" s="285"/>
      <c r="M177" s="285"/>
      <c r="N177" s="285"/>
      <c r="O177" s="285"/>
      <c r="P177" s="285"/>
      <c r="Q177" s="338">
        <v>278</v>
      </c>
      <c r="R177" s="338">
        <v>0</v>
      </c>
      <c r="S177" s="285"/>
      <c r="T177" s="339">
        <f>Q177+R177</f>
        <v>278</v>
      </c>
      <c r="U177" s="288"/>
      <c r="V177" s="5"/>
    </row>
    <row r="178" spans="1:22" ht="15.6" x14ac:dyDescent="0.3">
      <c r="A178" s="284"/>
      <c r="B178" s="285" t="s">
        <v>64</v>
      </c>
      <c r="C178" s="285"/>
      <c r="D178" s="285"/>
      <c r="E178" s="285"/>
      <c r="F178" s="285"/>
      <c r="G178" s="285"/>
      <c r="H178" s="285"/>
      <c r="I178" s="285"/>
      <c r="J178" s="285"/>
      <c r="K178" s="285"/>
      <c r="L178" s="285"/>
      <c r="M178" s="285"/>
      <c r="N178" s="285"/>
      <c r="O178" s="285"/>
      <c r="P178" s="285"/>
      <c r="Q178" s="339">
        <f>Q176+Q177</f>
        <v>37050</v>
      </c>
      <c r="R178" s="339">
        <f>R177+R176</f>
        <v>3447</v>
      </c>
      <c r="S178" s="285"/>
      <c r="T178" s="339">
        <f>Q178+R178</f>
        <v>40497</v>
      </c>
      <c r="U178" s="288"/>
      <c r="V178" s="5"/>
    </row>
    <row r="179" spans="1:22" ht="15.6" x14ac:dyDescent="0.3">
      <c r="A179" s="284"/>
      <c r="B179" s="285" t="s">
        <v>65</v>
      </c>
      <c r="C179" s="285"/>
      <c r="D179" s="285"/>
      <c r="E179" s="285"/>
      <c r="F179" s="285"/>
      <c r="G179" s="285"/>
      <c r="H179" s="285"/>
      <c r="I179" s="285"/>
      <c r="J179" s="285"/>
      <c r="K179" s="285"/>
      <c r="L179" s="285"/>
      <c r="M179" s="285"/>
      <c r="N179" s="285"/>
      <c r="O179" s="285"/>
      <c r="P179" s="285"/>
      <c r="Q179" s="339">
        <f>Q175-Q178-R178</f>
        <v>119511</v>
      </c>
      <c r="R179" s="324"/>
      <c r="S179" s="285"/>
      <c r="T179" s="339"/>
      <c r="U179" s="288"/>
      <c r="V179" s="5"/>
    </row>
    <row r="180" spans="1:22" ht="16.2" thickBot="1" x14ac:dyDescent="0.35">
      <c r="A180" s="175"/>
      <c r="B180" s="334"/>
      <c r="C180" s="334"/>
      <c r="D180" s="334"/>
      <c r="E180" s="334"/>
      <c r="F180" s="334"/>
      <c r="G180" s="334"/>
      <c r="H180" s="334"/>
      <c r="I180" s="334"/>
      <c r="J180" s="334"/>
      <c r="K180" s="334"/>
      <c r="L180" s="334"/>
      <c r="M180" s="334"/>
      <c r="N180" s="334"/>
      <c r="O180" s="334"/>
      <c r="P180" s="334"/>
      <c r="Q180" s="334"/>
      <c r="R180" s="334"/>
      <c r="S180" s="334"/>
      <c r="T180" s="347"/>
      <c r="U180" s="334"/>
      <c r="V180" s="5"/>
    </row>
    <row r="181" spans="1:22" ht="15.6" x14ac:dyDescent="0.3">
      <c r="A181" s="173"/>
      <c r="B181" s="174"/>
      <c r="C181" s="174"/>
      <c r="D181" s="174"/>
      <c r="E181" s="174"/>
      <c r="F181" s="174"/>
      <c r="G181" s="174"/>
      <c r="H181" s="174"/>
      <c r="I181" s="174"/>
      <c r="J181" s="174"/>
      <c r="K181" s="174"/>
      <c r="L181" s="174"/>
      <c r="M181" s="174"/>
      <c r="N181" s="174"/>
      <c r="O181" s="174"/>
      <c r="P181" s="174"/>
      <c r="Q181" s="174"/>
      <c r="R181" s="174"/>
      <c r="S181" s="174"/>
      <c r="T181" s="193"/>
      <c r="U181" s="174"/>
      <c r="V181" s="5"/>
    </row>
    <row r="182" spans="1:22" ht="15.6" x14ac:dyDescent="0.3">
      <c r="A182" s="175"/>
      <c r="B182" s="201" t="s">
        <v>66</v>
      </c>
      <c r="C182" s="177"/>
      <c r="D182" s="177"/>
      <c r="E182" s="177"/>
      <c r="F182" s="177"/>
      <c r="G182" s="177"/>
      <c r="H182" s="177"/>
      <c r="I182" s="177"/>
      <c r="J182" s="177"/>
      <c r="K182" s="177"/>
      <c r="L182" s="177"/>
      <c r="M182" s="177"/>
      <c r="N182" s="177"/>
      <c r="O182" s="177"/>
      <c r="P182" s="177"/>
      <c r="Q182" s="177"/>
      <c r="R182" s="177"/>
      <c r="S182" s="177"/>
      <c r="T182" s="206"/>
      <c r="U182" s="177"/>
      <c r="V182" s="5"/>
    </row>
    <row r="183" spans="1:22" ht="15.6" x14ac:dyDescent="0.3">
      <c r="A183" s="284"/>
      <c r="B183" s="285" t="s">
        <v>67</v>
      </c>
      <c r="C183" s="285"/>
      <c r="D183" s="285"/>
      <c r="E183" s="285"/>
      <c r="F183" s="285"/>
      <c r="G183" s="285"/>
      <c r="H183" s="285"/>
      <c r="I183" s="285"/>
      <c r="J183" s="285"/>
      <c r="K183" s="285"/>
      <c r="L183" s="285"/>
      <c r="M183" s="285"/>
      <c r="N183" s="285"/>
      <c r="O183" s="285"/>
      <c r="P183" s="285"/>
      <c r="Q183" s="285"/>
      <c r="R183" s="285"/>
      <c r="S183" s="285"/>
      <c r="T183" s="348">
        <f>(T100+T102+T103+T104+T105)/-(T106+T107)</f>
        <v>2.972397476340694</v>
      </c>
      <c r="U183" s="288" t="s">
        <v>121</v>
      </c>
      <c r="V183" s="5"/>
    </row>
    <row r="184" spans="1:22" ht="15.6" x14ac:dyDescent="0.3">
      <c r="A184" s="284"/>
      <c r="B184" s="285" t="s">
        <v>68</v>
      </c>
      <c r="C184" s="285"/>
      <c r="D184" s="285"/>
      <c r="E184" s="285"/>
      <c r="F184" s="285"/>
      <c r="G184" s="285"/>
      <c r="H184" s="285"/>
      <c r="I184" s="285"/>
      <c r="J184" s="285"/>
      <c r="K184" s="285"/>
      <c r="L184" s="285"/>
      <c r="M184" s="285"/>
      <c r="N184" s="285"/>
      <c r="O184" s="285"/>
      <c r="P184" s="285"/>
      <c r="Q184" s="285"/>
      <c r="R184" s="285"/>
      <c r="S184" s="285"/>
      <c r="T184" s="349">
        <v>1.64</v>
      </c>
      <c r="U184" s="288" t="s">
        <v>121</v>
      </c>
      <c r="V184" s="5"/>
    </row>
    <row r="185" spans="1:22" ht="15.6" x14ac:dyDescent="0.3">
      <c r="A185" s="284"/>
      <c r="B185" s="285" t="s">
        <v>69</v>
      </c>
      <c r="C185" s="285"/>
      <c r="D185" s="285"/>
      <c r="E185" s="285"/>
      <c r="F185" s="285"/>
      <c r="G185" s="285"/>
      <c r="H185" s="285"/>
      <c r="I185" s="285"/>
      <c r="J185" s="285"/>
      <c r="K185" s="285"/>
      <c r="L185" s="285"/>
      <c r="M185" s="285"/>
      <c r="N185" s="285"/>
      <c r="O185" s="285"/>
      <c r="P185" s="285"/>
      <c r="Q185" s="285"/>
      <c r="R185" s="285"/>
      <c r="S185" s="285"/>
      <c r="T185" s="348">
        <f>(T100+T102+T103+T104+T105+T106+T107)/-(T108+T109)</f>
        <v>9.0945454545454538</v>
      </c>
      <c r="U185" s="288" t="s">
        <v>121</v>
      </c>
      <c r="V185" s="5"/>
    </row>
    <row r="186" spans="1:22" ht="15.6" x14ac:dyDescent="0.3">
      <c r="A186" s="284"/>
      <c r="B186" s="285" t="s">
        <v>70</v>
      </c>
      <c r="C186" s="285"/>
      <c r="D186" s="285"/>
      <c r="E186" s="285"/>
      <c r="F186" s="285"/>
      <c r="G186" s="285"/>
      <c r="H186" s="285"/>
      <c r="I186" s="285"/>
      <c r="J186" s="285"/>
      <c r="K186" s="285"/>
      <c r="L186" s="285"/>
      <c r="M186" s="285"/>
      <c r="N186" s="285"/>
      <c r="O186" s="285"/>
      <c r="P186" s="285"/>
      <c r="Q186" s="285"/>
      <c r="R186" s="285"/>
      <c r="S186" s="285"/>
      <c r="T186" s="349">
        <v>5.61</v>
      </c>
      <c r="U186" s="288" t="s">
        <v>121</v>
      </c>
      <c r="V186" s="5"/>
    </row>
    <row r="187" spans="1:22" ht="15.6" x14ac:dyDescent="0.3">
      <c r="A187" s="284"/>
      <c r="B187" s="285" t="s">
        <v>206</v>
      </c>
      <c r="C187" s="285"/>
      <c r="D187" s="285"/>
      <c r="E187" s="285"/>
      <c r="F187" s="285"/>
      <c r="G187" s="285"/>
      <c r="H187" s="285"/>
      <c r="I187" s="285"/>
      <c r="J187" s="285"/>
      <c r="K187" s="285"/>
      <c r="L187" s="285"/>
      <c r="M187" s="285"/>
      <c r="N187" s="285"/>
      <c r="O187" s="285"/>
      <c r="P187" s="285"/>
      <c r="Q187" s="285"/>
      <c r="R187" s="285"/>
      <c r="S187" s="285"/>
      <c r="T187" s="348">
        <f>(T100+T102+T103+T104+T105+T106+T107+T108+T109)/-(T110)</f>
        <v>7.4448160535117056</v>
      </c>
      <c r="U187" s="288" t="s">
        <v>121</v>
      </c>
      <c r="V187" s="5"/>
    </row>
    <row r="188" spans="1:22" ht="15.6" x14ac:dyDescent="0.3">
      <c r="A188" s="284"/>
      <c r="B188" s="285" t="s">
        <v>207</v>
      </c>
      <c r="C188" s="285"/>
      <c r="D188" s="285"/>
      <c r="E188" s="285"/>
      <c r="F188" s="285"/>
      <c r="G188" s="285"/>
      <c r="H188" s="285"/>
      <c r="I188" s="285"/>
      <c r="J188" s="285"/>
      <c r="K188" s="285"/>
      <c r="L188" s="285"/>
      <c r="M188" s="285"/>
      <c r="N188" s="285"/>
      <c r="O188" s="285"/>
      <c r="P188" s="285"/>
      <c r="Q188" s="285"/>
      <c r="R188" s="285"/>
      <c r="S188" s="285"/>
      <c r="T188" s="349">
        <v>5.13</v>
      </c>
      <c r="U188" s="288" t="s">
        <v>121</v>
      </c>
      <c r="V188" s="5"/>
    </row>
    <row r="189" spans="1:22" ht="15.6" x14ac:dyDescent="0.3">
      <c r="A189" s="284"/>
      <c r="B189" s="311"/>
      <c r="C189" s="311"/>
      <c r="D189" s="311"/>
      <c r="E189" s="311"/>
      <c r="F189" s="311"/>
      <c r="G189" s="311"/>
      <c r="H189" s="311"/>
      <c r="I189" s="311"/>
      <c r="J189" s="311"/>
      <c r="K189" s="311"/>
      <c r="L189" s="311"/>
      <c r="M189" s="311"/>
      <c r="N189" s="311"/>
      <c r="O189" s="311"/>
      <c r="P189" s="311"/>
      <c r="Q189" s="311"/>
      <c r="R189" s="311"/>
      <c r="S189" s="311"/>
      <c r="T189" s="311"/>
      <c r="U189" s="317"/>
      <c r="V189" s="5"/>
    </row>
    <row r="190" spans="1:22" ht="15.6" x14ac:dyDescent="0.3">
      <c r="A190" s="175"/>
      <c r="B190" s="334"/>
      <c r="C190" s="334"/>
      <c r="D190" s="334"/>
      <c r="E190" s="334"/>
      <c r="F190" s="334"/>
      <c r="G190" s="334"/>
      <c r="H190" s="334"/>
      <c r="I190" s="334"/>
      <c r="J190" s="334"/>
      <c r="K190" s="334"/>
      <c r="L190" s="334"/>
      <c r="M190" s="334"/>
      <c r="N190" s="334"/>
      <c r="O190" s="334"/>
      <c r="P190" s="334"/>
      <c r="Q190" s="334"/>
      <c r="R190" s="334"/>
      <c r="S190" s="334"/>
      <c r="T190" s="334"/>
      <c r="U190" s="334"/>
      <c r="V190" s="5"/>
    </row>
    <row r="191" spans="1:22" ht="15.6" x14ac:dyDescent="0.3">
      <c r="A191" s="175"/>
      <c r="B191" s="177"/>
      <c r="C191" s="177"/>
      <c r="D191" s="177"/>
      <c r="E191" s="177"/>
      <c r="F191" s="177"/>
      <c r="G191" s="177"/>
      <c r="H191" s="177"/>
      <c r="I191" s="177"/>
      <c r="J191" s="177"/>
      <c r="K191" s="177"/>
      <c r="L191" s="177"/>
      <c r="M191" s="177"/>
      <c r="N191" s="177"/>
      <c r="O191" s="177"/>
      <c r="P191" s="177"/>
      <c r="Q191" s="177"/>
      <c r="R191" s="177"/>
      <c r="S191" s="177"/>
      <c r="T191" s="177"/>
      <c r="U191" s="177"/>
      <c r="V191" s="5"/>
    </row>
    <row r="192" spans="1:22" ht="18" thickBot="1" x14ac:dyDescent="0.35">
      <c r="A192" s="192"/>
      <c r="B192" s="246" t="str">
        <f>B132</f>
        <v>PM11 INVESTOR REPORT QUARTER ENDING JUNE 2012</v>
      </c>
      <c r="C192" s="207"/>
      <c r="D192" s="207"/>
      <c r="E192" s="207"/>
      <c r="F192" s="207"/>
      <c r="G192" s="207"/>
      <c r="H192" s="207"/>
      <c r="I192" s="207"/>
      <c r="J192" s="207"/>
      <c r="K192" s="207"/>
      <c r="L192" s="207"/>
      <c r="M192" s="207"/>
      <c r="N192" s="207"/>
      <c r="O192" s="207"/>
      <c r="P192" s="207"/>
      <c r="Q192" s="207"/>
      <c r="R192" s="207"/>
      <c r="S192" s="207"/>
      <c r="T192" s="207"/>
      <c r="U192" s="208"/>
      <c r="V192" s="5"/>
    </row>
    <row r="193" spans="1:22" ht="15.6" x14ac:dyDescent="0.3">
      <c r="A193" s="260"/>
      <c r="B193" s="399" t="s">
        <v>71</v>
      </c>
      <c r="C193" s="400"/>
      <c r="D193" s="400"/>
      <c r="E193" s="400"/>
      <c r="F193" s="400"/>
      <c r="G193" s="401"/>
      <c r="H193" s="401"/>
      <c r="I193" s="401"/>
      <c r="J193" s="401"/>
      <c r="K193" s="401"/>
      <c r="L193" s="401"/>
      <c r="M193" s="401"/>
      <c r="N193" s="401"/>
      <c r="O193" s="401"/>
      <c r="P193" s="401"/>
      <c r="Q193" s="401"/>
      <c r="R193" s="401">
        <v>41089</v>
      </c>
      <c r="S193" s="261"/>
      <c r="T193" s="261"/>
      <c r="U193" s="261"/>
      <c r="V193" s="5"/>
    </row>
    <row r="194" spans="1:22" ht="15.6" x14ac:dyDescent="0.3">
      <c r="A194" s="209"/>
      <c r="B194" s="210"/>
      <c r="C194" s="211"/>
      <c r="D194" s="211"/>
      <c r="E194" s="211"/>
      <c r="F194" s="211"/>
      <c r="G194" s="212"/>
      <c r="H194" s="212"/>
      <c r="I194" s="212"/>
      <c r="J194" s="212"/>
      <c r="K194" s="212"/>
      <c r="L194" s="212"/>
      <c r="M194" s="212"/>
      <c r="N194" s="212"/>
      <c r="O194" s="212"/>
      <c r="P194" s="212"/>
      <c r="Q194" s="212"/>
      <c r="R194" s="212"/>
      <c r="S194" s="177"/>
      <c r="T194" s="177"/>
      <c r="U194" s="177"/>
      <c r="V194" s="5"/>
    </row>
    <row r="195" spans="1:22" ht="15.6" x14ac:dyDescent="0.3">
      <c r="A195" s="352"/>
      <c r="B195" s="285" t="s">
        <v>72</v>
      </c>
      <c r="C195" s="353"/>
      <c r="D195" s="353"/>
      <c r="E195" s="353"/>
      <c r="F195" s="353"/>
      <c r="G195" s="329"/>
      <c r="H195" s="329"/>
      <c r="I195" s="329"/>
      <c r="J195" s="329"/>
      <c r="K195" s="329"/>
      <c r="L195" s="329"/>
      <c r="M195" s="329"/>
      <c r="N195" s="329"/>
      <c r="O195" s="329"/>
      <c r="P195" s="329"/>
      <c r="Q195" s="329"/>
      <c r="R195" s="320">
        <v>5.1569999999999998E-2</v>
      </c>
      <c r="S195" s="285"/>
      <c r="T195" s="285"/>
      <c r="U195" s="317"/>
      <c r="V195" s="5"/>
    </row>
    <row r="196" spans="1:22" ht="15.6" x14ac:dyDescent="0.3">
      <c r="A196" s="352"/>
      <c r="B196" s="285" t="s">
        <v>157</v>
      </c>
      <c r="C196" s="353"/>
      <c r="D196" s="353"/>
      <c r="E196" s="353"/>
      <c r="F196" s="353"/>
      <c r="G196" s="329"/>
      <c r="H196" s="329"/>
      <c r="I196" s="329"/>
      <c r="J196" s="329"/>
      <c r="K196" s="329"/>
      <c r="L196" s="329"/>
      <c r="M196" s="329"/>
      <c r="N196" s="329"/>
      <c r="O196" s="329"/>
      <c r="P196" s="329"/>
      <c r="Q196" s="329"/>
      <c r="R196" s="320">
        <v>4.6899999999999997E-2</v>
      </c>
      <c r="S196" s="285"/>
      <c r="T196" s="285"/>
      <c r="U196" s="317"/>
      <c r="V196" s="5"/>
    </row>
    <row r="197" spans="1:22" ht="15.6" x14ac:dyDescent="0.3">
      <c r="A197" s="352"/>
      <c r="B197" s="285" t="s">
        <v>73</v>
      </c>
      <c r="C197" s="353"/>
      <c r="D197" s="353"/>
      <c r="E197" s="353"/>
      <c r="F197" s="353"/>
      <c r="G197" s="329"/>
      <c r="H197" s="329"/>
      <c r="I197" s="329"/>
      <c r="J197" s="329"/>
      <c r="K197" s="329"/>
      <c r="L197" s="329"/>
      <c r="M197" s="329"/>
      <c r="N197" s="329"/>
      <c r="O197" s="329"/>
      <c r="P197" s="329"/>
      <c r="Q197" s="329"/>
      <c r="R197" s="320">
        <f>R195-R196</f>
        <v>4.6700000000000005E-3</v>
      </c>
      <c r="S197" s="285"/>
      <c r="T197" s="285"/>
      <c r="U197" s="317"/>
      <c r="V197" s="5"/>
    </row>
    <row r="198" spans="1:22" ht="15.6" x14ac:dyDescent="0.3">
      <c r="A198" s="352"/>
      <c r="B198" s="285" t="s">
        <v>74</v>
      </c>
      <c r="C198" s="353"/>
      <c r="D198" s="353"/>
      <c r="E198" s="353"/>
      <c r="F198" s="353"/>
      <c r="G198" s="329"/>
      <c r="H198" s="329"/>
      <c r="I198" s="329"/>
      <c r="J198" s="329"/>
      <c r="K198" s="329"/>
      <c r="L198" s="329"/>
      <c r="M198" s="329"/>
      <c r="N198" s="329"/>
      <c r="O198" s="329"/>
      <c r="P198" s="329"/>
      <c r="Q198" s="329"/>
      <c r="R198" s="320">
        <v>2.7830000000000001E-2</v>
      </c>
      <c r="S198" s="285"/>
      <c r="T198" s="285"/>
      <c r="U198" s="317"/>
      <c r="V198" s="5"/>
    </row>
    <row r="199" spans="1:22" ht="15.6" x14ac:dyDescent="0.3">
      <c r="A199" s="352"/>
      <c r="B199" s="285" t="s">
        <v>257</v>
      </c>
      <c r="C199" s="353"/>
      <c r="D199" s="353"/>
      <c r="E199" s="353"/>
      <c r="F199" s="353"/>
      <c r="G199" s="329"/>
      <c r="H199" s="329"/>
      <c r="I199" s="329"/>
      <c r="J199" s="329"/>
      <c r="K199" s="329"/>
      <c r="L199" s="329"/>
      <c r="M199" s="329"/>
      <c r="N199" s="329"/>
      <c r="O199" s="329"/>
      <c r="P199" s="329"/>
      <c r="Q199" s="329"/>
      <c r="R199" s="320">
        <f>T43</f>
        <v>1.3122450866404387E-2</v>
      </c>
      <c r="S199" s="285"/>
      <c r="T199" s="285"/>
      <c r="U199" s="317"/>
      <c r="V199" s="5"/>
    </row>
    <row r="200" spans="1:22" ht="15.6" x14ac:dyDescent="0.3">
      <c r="A200" s="352"/>
      <c r="B200" s="285" t="s">
        <v>75</v>
      </c>
      <c r="C200" s="353"/>
      <c r="D200" s="353"/>
      <c r="E200" s="353"/>
      <c r="F200" s="353"/>
      <c r="G200" s="329"/>
      <c r="H200" s="329"/>
      <c r="I200" s="329"/>
      <c r="J200" s="329"/>
      <c r="K200" s="329"/>
      <c r="L200" s="329"/>
      <c r="M200" s="329"/>
      <c r="N200" s="329"/>
      <c r="O200" s="329"/>
      <c r="P200" s="329"/>
      <c r="Q200" s="329"/>
      <c r="R200" s="320">
        <f>R198-R199</f>
        <v>1.4707549133595614E-2</v>
      </c>
      <c r="S200" s="285"/>
      <c r="T200" s="285"/>
      <c r="U200" s="317"/>
      <c r="V200" s="5"/>
    </row>
    <row r="201" spans="1:22" ht="15.6" x14ac:dyDescent="0.3">
      <c r="A201" s="352"/>
      <c r="B201" s="285" t="s">
        <v>260</v>
      </c>
      <c r="C201" s="353"/>
      <c r="D201" s="353"/>
      <c r="E201" s="353"/>
      <c r="F201" s="353"/>
      <c r="G201" s="329"/>
      <c r="H201" s="329"/>
      <c r="I201" s="329"/>
      <c r="J201" s="329"/>
      <c r="K201" s="329"/>
      <c r="L201" s="329"/>
      <c r="M201" s="329"/>
      <c r="N201" s="329"/>
      <c r="O201" s="329"/>
      <c r="P201" s="329"/>
      <c r="Q201" s="329"/>
      <c r="R201" s="320">
        <f>+T100/L71</f>
        <v>7.5502863993605965E-3</v>
      </c>
      <c r="S201" s="285"/>
      <c r="T201" s="285"/>
      <c r="U201" s="317"/>
      <c r="V201" s="5"/>
    </row>
    <row r="202" spans="1:22" ht="15.6" x14ac:dyDescent="0.3">
      <c r="A202" s="352"/>
      <c r="B202" s="285" t="s">
        <v>217</v>
      </c>
      <c r="C202" s="353"/>
      <c r="D202" s="353"/>
      <c r="E202" s="353"/>
      <c r="F202" s="353"/>
      <c r="G202" s="329"/>
      <c r="H202" s="329"/>
      <c r="I202" s="329"/>
      <c r="J202" s="329"/>
      <c r="K202" s="329"/>
      <c r="L202" s="329"/>
      <c r="M202" s="329"/>
      <c r="N202" s="329"/>
      <c r="O202" s="329"/>
      <c r="P202" s="329"/>
      <c r="Q202" s="329"/>
      <c r="R202" s="354">
        <v>15250</v>
      </c>
      <c r="S202" s="285"/>
      <c r="T202" s="285"/>
      <c r="U202" s="317"/>
      <c r="V202" s="5"/>
    </row>
    <row r="203" spans="1:22" ht="15.6" x14ac:dyDescent="0.3">
      <c r="A203" s="352"/>
      <c r="B203" s="285" t="s">
        <v>218</v>
      </c>
      <c r="C203" s="353"/>
      <c r="D203" s="353"/>
      <c r="E203" s="353"/>
      <c r="F203" s="353"/>
      <c r="G203" s="329"/>
      <c r="H203" s="329"/>
      <c r="I203" s="329"/>
      <c r="J203" s="329"/>
      <c r="K203" s="329"/>
      <c r="L203" s="329"/>
      <c r="M203" s="329"/>
      <c r="N203" s="329"/>
      <c r="O203" s="329"/>
      <c r="P203" s="329"/>
      <c r="Q203" s="329"/>
      <c r="R203" s="354">
        <v>15250</v>
      </c>
      <c r="S203" s="285"/>
      <c r="T203" s="285"/>
      <c r="U203" s="317"/>
      <c r="V203" s="5"/>
    </row>
    <row r="204" spans="1:22" ht="15.6" x14ac:dyDescent="0.3">
      <c r="A204" s="352"/>
      <c r="B204" s="285" t="s">
        <v>219</v>
      </c>
      <c r="C204" s="353"/>
      <c r="D204" s="353"/>
      <c r="E204" s="353"/>
      <c r="F204" s="353"/>
      <c r="G204" s="329"/>
      <c r="H204" s="329"/>
      <c r="I204" s="329"/>
      <c r="J204" s="329"/>
      <c r="K204" s="329"/>
      <c r="L204" s="329"/>
      <c r="M204" s="329"/>
      <c r="N204" s="329"/>
      <c r="O204" s="329"/>
      <c r="P204" s="329"/>
      <c r="Q204" s="329"/>
      <c r="R204" s="354">
        <v>15250</v>
      </c>
      <c r="S204" s="285"/>
      <c r="T204" s="285"/>
      <c r="U204" s="317"/>
      <c r="V204" s="5"/>
    </row>
    <row r="205" spans="1:22" ht="15.6" x14ac:dyDescent="0.3">
      <c r="A205" s="352"/>
      <c r="B205" s="285" t="s">
        <v>76</v>
      </c>
      <c r="C205" s="353"/>
      <c r="D205" s="353"/>
      <c r="E205" s="353"/>
      <c r="F205" s="353"/>
      <c r="G205" s="329"/>
      <c r="H205" s="329"/>
      <c r="I205" s="329"/>
      <c r="J205" s="329"/>
      <c r="K205" s="329"/>
      <c r="L205" s="329"/>
      <c r="M205" s="329"/>
      <c r="N205" s="329"/>
      <c r="O205" s="329"/>
      <c r="P205" s="329"/>
      <c r="Q205" s="329"/>
      <c r="R205" s="326">
        <v>21.18</v>
      </c>
      <c r="S205" s="285" t="s">
        <v>116</v>
      </c>
      <c r="T205" s="285"/>
      <c r="U205" s="317"/>
      <c r="V205" s="5"/>
    </row>
    <row r="206" spans="1:22" ht="15.6" x14ac:dyDescent="0.3">
      <c r="A206" s="352"/>
      <c r="B206" s="285" t="s">
        <v>77</v>
      </c>
      <c r="C206" s="353"/>
      <c r="D206" s="353"/>
      <c r="E206" s="353"/>
      <c r="F206" s="353"/>
      <c r="G206" s="329"/>
      <c r="H206" s="329"/>
      <c r="I206" s="329"/>
      <c r="J206" s="329"/>
      <c r="K206" s="329"/>
      <c r="L206" s="329"/>
      <c r="M206" s="329"/>
      <c r="N206" s="329"/>
      <c r="O206" s="329"/>
      <c r="P206" s="329"/>
      <c r="Q206" s="329"/>
      <c r="R206" s="326">
        <v>15.09</v>
      </c>
      <c r="S206" s="285" t="s">
        <v>116</v>
      </c>
      <c r="T206" s="285"/>
      <c r="U206" s="317"/>
      <c r="V206" s="5"/>
    </row>
    <row r="207" spans="1:22" ht="15.6" x14ac:dyDescent="0.3">
      <c r="A207" s="352"/>
      <c r="B207" s="285" t="s">
        <v>78</v>
      </c>
      <c r="C207" s="353"/>
      <c r="D207" s="353"/>
      <c r="E207" s="353"/>
      <c r="F207" s="353"/>
      <c r="G207" s="329"/>
      <c r="H207" s="329"/>
      <c r="I207" s="329"/>
      <c r="J207" s="329"/>
      <c r="K207" s="329"/>
      <c r="L207" s="329"/>
      <c r="M207" s="329"/>
      <c r="N207" s="329"/>
      <c r="O207" s="329"/>
      <c r="P207" s="329"/>
      <c r="Q207" s="329"/>
      <c r="R207" s="320">
        <f>N68/L68</f>
        <v>7.4685848763376408E-3</v>
      </c>
      <c r="S207" s="285"/>
      <c r="T207" s="285"/>
      <c r="U207" s="317"/>
      <c r="V207" s="5"/>
    </row>
    <row r="208" spans="1:22" ht="15.6" x14ac:dyDescent="0.3">
      <c r="A208" s="352"/>
      <c r="B208" s="285" t="s">
        <v>79</v>
      </c>
      <c r="C208" s="353"/>
      <c r="D208" s="353"/>
      <c r="E208" s="353"/>
      <c r="F208" s="353"/>
      <c r="G208" s="329"/>
      <c r="H208" s="329"/>
      <c r="I208" s="329"/>
      <c r="J208" s="329"/>
      <c r="K208" s="329"/>
      <c r="L208" s="329"/>
      <c r="M208" s="329"/>
      <c r="N208" s="329"/>
      <c r="O208" s="329"/>
      <c r="P208" s="329"/>
      <c r="Q208" s="329"/>
      <c r="R208" s="320">
        <v>9.5500000000000002E-2</v>
      </c>
      <c r="S208" s="285"/>
      <c r="T208" s="285"/>
      <c r="U208" s="317"/>
      <c r="V208" s="5"/>
    </row>
    <row r="209" spans="1:22" ht="15.6" x14ac:dyDescent="0.3">
      <c r="A209" s="209"/>
      <c r="B209" s="350"/>
      <c r="C209" s="350"/>
      <c r="D209" s="350"/>
      <c r="E209" s="350"/>
      <c r="F209" s="350"/>
      <c r="G209" s="334"/>
      <c r="H209" s="334"/>
      <c r="I209" s="334"/>
      <c r="J209" s="334"/>
      <c r="K209" s="334"/>
      <c r="L209" s="334"/>
      <c r="M209" s="334"/>
      <c r="N209" s="334"/>
      <c r="O209" s="334"/>
      <c r="P209" s="334"/>
      <c r="Q209" s="334"/>
      <c r="R209" s="347"/>
      <c r="S209" s="334"/>
      <c r="T209" s="351"/>
      <c r="U209" s="334"/>
      <c r="V209" s="5"/>
    </row>
    <row r="210" spans="1:22" ht="15.6" x14ac:dyDescent="0.3">
      <c r="A210" s="266"/>
      <c r="B210" s="395" t="s">
        <v>80</v>
      </c>
      <c r="C210" s="396"/>
      <c r="D210" s="396"/>
      <c r="E210" s="396"/>
      <c r="F210" s="402"/>
      <c r="G210" s="396"/>
      <c r="H210" s="396"/>
      <c r="I210" s="396"/>
      <c r="J210" s="396"/>
      <c r="K210" s="396"/>
      <c r="L210" s="396"/>
      <c r="M210" s="396"/>
      <c r="N210" s="396"/>
      <c r="O210" s="396"/>
      <c r="P210" s="396"/>
      <c r="Q210" s="396" t="s">
        <v>105</v>
      </c>
      <c r="R210" s="402" t="s">
        <v>112</v>
      </c>
      <c r="S210" s="223"/>
      <c r="T210" s="223"/>
      <c r="U210" s="223"/>
      <c r="V210" s="5"/>
    </row>
    <row r="211" spans="1:22" ht="15.6" x14ac:dyDescent="0.3">
      <c r="A211" s="214"/>
      <c r="B211" s="239" t="s">
        <v>81</v>
      </c>
      <c r="C211" s="243"/>
      <c r="D211" s="243"/>
      <c r="E211" s="243"/>
      <c r="F211" s="239"/>
      <c r="G211" s="239"/>
      <c r="H211" s="242"/>
      <c r="I211" s="242"/>
      <c r="J211" s="242"/>
      <c r="K211" s="242"/>
      <c r="L211" s="242"/>
      <c r="M211" s="242"/>
      <c r="N211" s="242"/>
      <c r="O211" s="242"/>
      <c r="P211" s="242"/>
      <c r="Q211" s="242">
        <v>3</v>
      </c>
      <c r="R211" s="272">
        <v>353</v>
      </c>
      <c r="S211" s="239"/>
      <c r="T211" s="273"/>
      <c r="U211" s="215"/>
      <c r="V211" s="5"/>
    </row>
    <row r="212" spans="1:22" ht="15.6" x14ac:dyDescent="0.3">
      <c r="A212" s="360"/>
      <c r="B212" s="285" t="s">
        <v>151</v>
      </c>
      <c r="C212" s="338"/>
      <c r="D212" s="338"/>
      <c r="E212" s="338"/>
      <c r="F212" s="285"/>
      <c r="G212" s="285"/>
      <c r="H212" s="293"/>
      <c r="I212" s="293"/>
      <c r="J212" s="293"/>
      <c r="K212" s="293"/>
      <c r="L212" s="293"/>
      <c r="M212" s="293"/>
      <c r="N212" s="293"/>
      <c r="O212" s="293"/>
      <c r="P212" s="293"/>
      <c r="Q212" s="361">
        <f>+P264</f>
        <v>124</v>
      </c>
      <c r="R212" s="362">
        <f>+R264</f>
        <v>19604</v>
      </c>
      <c r="S212" s="285"/>
      <c r="T212" s="363"/>
      <c r="U212" s="364"/>
      <c r="V212" s="5"/>
    </row>
    <row r="213" spans="1:22" ht="15.6" x14ac:dyDescent="0.3">
      <c r="A213" s="360"/>
      <c r="B213" s="285" t="s">
        <v>82</v>
      </c>
      <c r="C213" s="338"/>
      <c r="D213" s="338"/>
      <c r="E213" s="338"/>
      <c r="F213" s="285"/>
      <c r="G213" s="285"/>
      <c r="H213" s="293"/>
      <c r="I213" s="293"/>
      <c r="J213" s="293"/>
      <c r="K213" s="293"/>
      <c r="L213" s="293"/>
      <c r="M213" s="293"/>
      <c r="N213" s="293"/>
      <c r="O213" s="293"/>
      <c r="P213" s="293"/>
      <c r="Q213" s="361">
        <f>+P276</f>
        <v>1</v>
      </c>
      <c r="R213" s="362">
        <f>+R276</f>
        <v>125</v>
      </c>
      <c r="S213" s="285"/>
      <c r="T213" s="363"/>
      <c r="U213" s="364"/>
      <c r="V213" s="5"/>
    </row>
    <row r="214" spans="1:22" ht="15.6" x14ac:dyDescent="0.3">
      <c r="A214" s="360"/>
      <c r="B214" s="310" t="s">
        <v>83</v>
      </c>
      <c r="C214" s="365"/>
      <c r="D214" s="365"/>
      <c r="E214" s="365"/>
      <c r="F214" s="311"/>
      <c r="G214" s="311"/>
      <c r="H214" s="311"/>
      <c r="I214" s="311"/>
      <c r="J214" s="311"/>
      <c r="K214" s="311"/>
      <c r="L214" s="311"/>
      <c r="M214" s="311"/>
      <c r="N214" s="311"/>
      <c r="O214" s="311"/>
      <c r="P214" s="311"/>
      <c r="Q214" s="285"/>
      <c r="R214" s="362">
        <v>0</v>
      </c>
      <c r="S214" s="311"/>
      <c r="T214" s="366"/>
      <c r="U214" s="364"/>
      <c r="V214" s="5"/>
    </row>
    <row r="215" spans="1:22" ht="15.6" x14ac:dyDescent="0.3">
      <c r="A215" s="360"/>
      <c r="B215" s="310" t="s">
        <v>84</v>
      </c>
      <c r="C215" s="365"/>
      <c r="D215" s="365"/>
      <c r="E215" s="365"/>
      <c r="F215" s="311"/>
      <c r="G215" s="311"/>
      <c r="H215" s="311"/>
      <c r="I215" s="311"/>
      <c r="J215" s="311"/>
      <c r="K215" s="311"/>
      <c r="L215" s="311"/>
      <c r="M215" s="311"/>
      <c r="N215" s="311"/>
      <c r="O215" s="311"/>
      <c r="P215" s="311"/>
      <c r="Q215" s="285"/>
      <c r="R215" s="367" t="s">
        <v>113</v>
      </c>
      <c r="S215" s="311"/>
      <c r="T215" s="366"/>
      <c r="U215" s="364"/>
      <c r="V215" s="5"/>
    </row>
    <row r="216" spans="1:22" ht="15.6" x14ac:dyDescent="0.3">
      <c r="A216" s="368"/>
      <c r="B216" s="310" t="s">
        <v>85</v>
      </c>
      <c r="C216" s="369"/>
      <c r="D216" s="369"/>
      <c r="E216" s="369"/>
      <c r="F216" s="369"/>
      <c r="G216" s="311"/>
      <c r="H216" s="311"/>
      <c r="I216" s="311"/>
      <c r="J216" s="311"/>
      <c r="K216" s="311"/>
      <c r="L216" s="311"/>
      <c r="M216" s="311"/>
      <c r="N216" s="311"/>
      <c r="O216" s="311"/>
      <c r="P216" s="311"/>
      <c r="Q216" s="285"/>
      <c r="R216" s="362"/>
      <c r="S216" s="311"/>
      <c r="T216" s="366"/>
      <c r="U216" s="370"/>
      <c r="V216" s="5"/>
    </row>
    <row r="217" spans="1:22" ht="15.6" x14ac:dyDescent="0.3">
      <c r="A217" s="368"/>
      <c r="B217" s="285" t="s">
        <v>86</v>
      </c>
      <c r="C217" s="285"/>
      <c r="D217" s="285"/>
      <c r="E217" s="285"/>
      <c r="F217" s="285"/>
      <c r="G217" s="285"/>
      <c r="H217" s="285"/>
      <c r="I217" s="285"/>
      <c r="J217" s="285"/>
      <c r="K217" s="285"/>
      <c r="L217" s="285"/>
      <c r="M217" s="285"/>
      <c r="N217" s="285"/>
      <c r="O217" s="285"/>
      <c r="P217" s="285"/>
      <c r="Q217" s="293"/>
      <c r="R217" s="362">
        <f>T161</f>
        <v>117</v>
      </c>
      <c r="S217" s="285"/>
      <c r="T217" s="363"/>
      <c r="U217" s="370"/>
      <c r="V217" s="5"/>
    </row>
    <row r="218" spans="1:22" ht="15.6" x14ac:dyDescent="0.3">
      <c r="A218" s="360"/>
      <c r="B218" s="285" t="s">
        <v>87</v>
      </c>
      <c r="C218" s="338"/>
      <c r="D218" s="338"/>
      <c r="E218" s="338"/>
      <c r="F218" s="338"/>
      <c r="G218" s="285"/>
      <c r="H218" s="285"/>
      <c r="I218" s="285"/>
      <c r="J218" s="285"/>
      <c r="K218" s="285"/>
      <c r="L218" s="285"/>
      <c r="M218" s="285"/>
      <c r="N218" s="285"/>
      <c r="O218" s="285"/>
      <c r="P218" s="285"/>
      <c r="Q218" s="293"/>
      <c r="R218" s="362">
        <f>'March 12'!R218+R217</f>
        <v>3547</v>
      </c>
      <c r="S218" s="285"/>
      <c r="T218" s="363"/>
      <c r="U218" s="370"/>
      <c r="V218" s="5"/>
    </row>
    <row r="219" spans="1:22" ht="15.6" x14ac:dyDescent="0.3">
      <c r="A219" s="368"/>
      <c r="B219" s="310" t="s">
        <v>282</v>
      </c>
      <c r="C219" s="369"/>
      <c r="D219" s="369"/>
      <c r="E219" s="369"/>
      <c r="F219" s="369"/>
      <c r="G219" s="311"/>
      <c r="H219" s="311"/>
      <c r="I219" s="311"/>
      <c r="J219" s="311"/>
      <c r="K219" s="311"/>
      <c r="L219" s="311"/>
      <c r="M219" s="311"/>
      <c r="N219" s="311"/>
      <c r="O219" s="311"/>
      <c r="P219" s="311"/>
      <c r="Q219" s="293"/>
      <c r="R219" s="362"/>
      <c r="S219" s="311"/>
      <c r="T219" s="366"/>
      <c r="U219" s="370"/>
      <c r="V219" s="5"/>
    </row>
    <row r="220" spans="1:22" ht="15.6" x14ac:dyDescent="0.3">
      <c r="A220" s="368"/>
      <c r="B220" s="285" t="s">
        <v>280</v>
      </c>
      <c r="C220" s="369"/>
      <c r="D220" s="369"/>
      <c r="E220" s="369"/>
      <c r="F220" s="369"/>
      <c r="G220" s="311"/>
      <c r="H220" s="311"/>
      <c r="I220" s="311"/>
      <c r="J220" s="311"/>
      <c r="K220" s="311"/>
      <c r="L220" s="311"/>
      <c r="M220" s="311"/>
      <c r="N220" s="311"/>
      <c r="O220" s="311"/>
      <c r="P220" s="311"/>
      <c r="Q220" s="293">
        <v>0</v>
      </c>
      <c r="R220" s="362">
        <v>0</v>
      </c>
      <c r="S220" s="311"/>
      <c r="T220" s="366"/>
      <c r="U220" s="370"/>
      <c r="V220" s="5"/>
    </row>
    <row r="221" spans="1:22" ht="15.6" x14ac:dyDescent="0.3">
      <c r="A221" s="360"/>
      <c r="B221" s="285" t="s">
        <v>89</v>
      </c>
      <c r="C221" s="373"/>
      <c r="D221" s="373"/>
      <c r="E221" s="373"/>
      <c r="F221" s="374"/>
      <c r="G221" s="311"/>
      <c r="H221" s="311"/>
      <c r="I221" s="311"/>
      <c r="J221" s="311"/>
      <c r="K221" s="311"/>
      <c r="L221" s="311"/>
      <c r="M221" s="311"/>
      <c r="N221" s="311"/>
      <c r="O221" s="311"/>
      <c r="P221" s="311"/>
      <c r="Q221" s="285"/>
      <c r="R221" s="367">
        <v>0</v>
      </c>
      <c r="S221" s="311"/>
      <c r="T221" s="366"/>
      <c r="U221" s="370"/>
      <c r="V221" s="5"/>
    </row>
    <row r="222" spans="1:22" ht="15.6" x14ac:dyDescent="0.3">
      <c r="A222" s="360"/>
      <c r="B222" s="285" t="s">
        <v>90</v>
      </c>
      <c r="C222" s="373"/>
      <c r="D222" s="373"/>
      <c r="E222" s="373"/>
      <c r="F222" s="374"/>
      <c r="G222" s="311"/>
      <c r="H222" s="311"/>
      <c r="I222" s="311"/>
      <c r="J222" s="311"/>
      <c r="K222" s="311"/>
      <c r="L222" s="311"/>
      <c r="M222" s="311"/>
      <c r="N222" s="311"/>
      <c r="O222" s="311"/>
      <c r="P222" s="311"/>
      <c r="Q222" s="285"/>
      <c r="R222" s="367">
        <v>0</v>
      </c>
      <c r="S222" s="311"/>
      <c r="T222" s="366"/>
      <c r="U222" s="370"/>
      <c r="V222" s="5"/>
    </row>
    <row r="223" spans="1:22" ht="15.6" x14ac:dyDescent="0.3">
      <c r="A223" s="360"/>
      <c r="B223" s="310" t="s">
        <v>226</v>
      </c>
      <c r="C223" s="373"/>
      <c r="D223" s="373"/>
      <c r="E223" s="373"/>
      <c r="F223" s="374"/>
      <c r="G223" s="311"/>
      <c r="H223" s="311"/>
      <c r="I223" s="311"/>
      <c r="J223" s="311"/>
      <c r="K223" s="311"/>
      <c r="L223" s="311"/>
      <c r="M223" s="311"/>
      <c r="N223" s="311"/>
      <c r="O223" s="311"/>
      <c r="P223" s="311"/>
      <c r="Q223" s="293"/>
      <c r="R223" s="375"/>
      <c r="S223" s="311"/>
      <c r="T223" s="366"/>
      <c r="U223" s="370"/>
      <c r="V223" s="5"/>
    </row>
    <row r="224" spans="1:22" ht="15.6" x14ac:dyDescent="0.3">
      <c r="A224" s="360"/>
      <c r="B224" s="285" t="s">
        <v>280</v>
      </c>
      <c r="C224" s="373"/>
      <c r="D224" s="373"/>
      <c r="E224" s="373"/>
      <c r="F224" s="374"/>
      <c r="G224" s="311"/>
      <c r="H224" s="311"/>
      <c r="I224" s="311"/>
      <c r="J224" s="311"/>
      <c r="K224" s="311"/>
      <c r="L224" s="311"/>
      <c r="M224" s="311"/>
      <c r="N224" s="311"/>
      <c r="O224" s="311"/>
      <c r="P224" s="311"/>
      <c r="Q224" s="293">
        <v>3</v>
      </c>
      <c r="R224" s="362">
        <v>245</v>
      </c>
      <c r="S224" s="311"/>
      <c r="T224" s="366"/>
      <c r="U224" s="370"/>
      <c r="V224" s="5"/>
    </row>
    <row r="225" spans="1:23" ht="15.6" x14ac:dyDescent="0.3">
      <c r="A225" s="360"/>
      <c r="B225" s="285" t="s">
        <v>227</v>
      </c>
      <c r="C225" s="373"/>
      <c r="D225" s="373"/>
      <c r="E225" s="373"/>
      <c r="F225" s="374"/>
      <c r="G225" s="311"/>
      <c r="H225" s="311"/>
      <c r="I225" s="311"/>
      <c r="J225" s="311"/>
      <c r="K225" s="311"/>
      <c r="L225" s="311"/>
      <c r="M225" s="311"/>
      <c r="N225" s="311"/>
      <c r="O225" s="311"/>
      <c r="P225" s="311"/>
      <c r="Q225" s="293"/>
      <c r="R225" s="367">
        <v>8.4600000000000009</v>
      </c>
      <c r="S225" s="311"/>
      <c r="T225" s="366"/>
      <c r="U225" s="370"/>
      <c r="V225" s="5"/>
    </row>
    <row r="226" spans="1:23" ht="15.6" x14ac:dyDescent="0.3">
      <c r="A226" s="360"/>
      <c r="B226" s="369"/>
      <c r="C226" s="373"/>
      <c r="D226" s="373"/>
      <c r="E226" s="373"/>
      <c r="F226" s="374"/>
      <c r="G226" s="311"/>
      <c r="H226" s="311"/>
      <c r="I226" s="311"/>
      <c r="J226" s="311"/>
      <c r="K226" s="311"/>
      <c r="L226" s="311"/>
      <c r="M226" s="311"/>
      <c r="N226" s="311"/>
      <c r="O226" s="311"/>
      <c r="P226" s="311"/>
      <c r="Q226" s="311"/>
      <c r="R226" s="376"/>
      <c r="S226" s="311"/>
      <c r="T226" s="366"/>
      <c r="U226" s="370"/>
      <c r="V226" s="5"/>
    </row>
    <row r="227" spans="1:23" ht="15.6" x14ac:dyDescent="0.3">
      <c r="A227" s="360"/>
      <c r="B227" s="369"/>
      <c r="C227" s="373"/>
      <c r="D227" s="373"/>
      <c r="E227" s="373"/>
      <c r="F227" s="374"/>
      <c r="G227" s="311"/>
      <c r="H227" s="311"/>
      <c r="I227" s="311"/>
      <c r="J227" s="311"/>
      <c r="K227" s="311"/>
      <c r="L227" s="311"/>
      <c r="M227" s="311"/>
      <c r="N227" s="311"/>
      <c r="O227" s="311"/>
      <c r="P227" s="311"/>
      <c r="Q227" s="311"/>
      <c r="R227" s="376"/>
      <c r="S227" s="311"/>
      <c r="T227" s="366"/>
      <c r="U227" s="370"/>
      <c r="V227" s="5"/>
    </row>
    <row r="228" spans="1:23" ht="17.399999999999999" x14ac:dyDescent="0.3">
      <c r="A228" s="360"/>
      <c r="B228" s="377" t="s">
        <v>175</v>
      </c>
      <c r="C228" s="373"/>
      <c r="D228" s="373"/>
      <c r="E228" s="373"/>
      <c r="F228" s="374"/>
      <c r="G228" s="311"/>
      <c r="H228" s="311"/>
      <c r="I228" s="311"/>
      <c r="J228" s="311"/>
      <c r="K228" s="311"/>
      <c r="L228" s="311"/>
      <c r="M228" s="311"/>
      <c r="N228" s="378" t="s">
        <v>174</v>
      </c>
      <c r="O228" s="311"/>
      <c r="P228" s="311"/>
      <c r="Q228" s="311"/>
      <c r="R228" s="376"/>
      <c r="S228" s="311"/>
      <c r="T228" s="366"/>
      <c r="U228" s="370"/>
      <c r="V228" s="5"/>
    </row>
    <row r="229" spans="1:23" ht="15.6" x14ac:dyDescent="0.3">
      <c r="A229" s="355"/>
      <c r="B229" s="350"/>
      <c r="C229" s="356"/>
      <c r="D229" s="356"/>
      <c r="E229" s="356"/>
      <c r="F229" s="357"/>
      <c r="G229" s="334"/>
      <c r="H229" s="334"/>
      <c r="I229" s="334"/>
      <c r="J229" s="334"/>
      <c r="K229" s="334"/>
      <c r="L229" s="334"/>
      <c r="M229" s="334"/>
      <c r="N229" s="334"/>
      <c r="O229" s="334"/>
      <c r="P229" s="334"/>
      <c r="Q229" s="334"/>
      <c r="R229" s="358"/>
      <c r="S229" s="334"/>
      <c r="T229" s="351"/>
      <c r="U229" s="359"/>
      <c r="V229" s="5"/>
    </row>
    <row r="230" spans="1:23" ht="15.6" x14ac:dyDescent="0.3">
      <c r="A230" s="222"/>
      <c r="B230" s="395" t="s">
        <v>295</v>
      </c>
      <c r="C230" s="396"/>
      <c r="D230" s="396"/>
      <c r="E230" s="396"/>
      <c r="F230" s="402"/>
      <c r="G230" s="396"/>
      <c r="H230" s="396"/>
      <c r="I230" s="396"/>
      <c r="J230" s="396"/>
      <c r="K230" s="396"/>
      <c r="L230" s="396"/>
      <c r="M230" s="396"/>
      <c r="N230" s="396"/>
      <c r="O230" s="396"/>
      <c r="P230" s="402" t="s">
        <v>105</v>
      </c>
      <c r="Q230" s="396" t="s">
        <v>106</v>
      </c>
      <c r="R230" s="402" t="s">
        <v>114</v>
      </c>
      <c r="S230" s="396" t="s">
        <v>106</v>
      </c>
      <c r="T230" s="223"/>
      <c r="U230" s="395"/>
      <c r="V230" s="5"/>
    </row>
    <row r="231" spans="1:23" ht="15.6" x14ac:dyDescent="0.3">
      <c r="A231" s="190"/>
      <c r="B231" s="243" t="s">
        <v>91</v>
      </c>
      <c r="C231" s="217"/>
      <c r="D231" s="217"/>
      <c r="E231" s="217"/>
      <c r="F231" s="191"/>
      <c r="G231" s="217"/>
      <c r="H231" s="217"/>
      <c r="I231" s="217"/>
      <c r="J231" s="217"/>
      <c r="K231" s="217"/>
      <c r="L231" s="217"/>
      <c r="M231" s="217"/>
      <c r="N231" s="217"/>
      <c r="O231" s="217"/>
      <c r="P231" s="338">
        <f t="shared" ref="P231:P238" si="1">+P243+P255+P267</f>
        <v>4179</v>
      </c>
      <c r="Q231" s="384">
        <f t="shared" ref="Q231:Q238" si="2">P231/$P$240</f>
        <v>0.98283160865475072</v>
      </c>
      <c r="R231" s="339">
        <f t="shared" ref="R231:R238" si="3">+R243+R255+R267</f>
        <v>548436</v>
      </c>
      <c r="S231" s="384">
        <f t="shared" ref="S231:S238" si="4">R231/$R$240</f>
        <v>0.98086684050692674</v>
      </c>
      <c r="T231" s="213"/>
      <c r="U231" s="216"/>
      <c r="V231" s="5"/>
    </row>
    <row r="232" spans="1:23" ht="15.6" x14ac:dyDescent="0.3">
      <c r="A232" s="284"/>
      <c r="B232" s="338" t="s">
        <v>92</v>
      </c>
      <c r="C232" s="382"/>
      <c r="D232" s="382"/>
      <c r="E232" s="382"/>
      <c r="F232" s="311"/>
      <c r="G232" s="383"/>
      <c r="H232" s="382"/>
      <c r="I232" s="382"/>
      <c r="J232" s="382"/>
      <c r="K232" s="382"/>
      <c r="L232" s="382"/>
      <c r="M232" s="382"/>
      <c r="N232" s="382"/>
      <c r="O232" s="382"/>
      <c r="P232" s="338">
        <f t="shared" si="1"/>
        <v>41</v>
      </c>
      <c r="Q232" s="384">
        <f t="shared" si="2"/>
        <v>9.6425211665098782E-3</v>
      </c>
      <c r="R232" s="339">
        <f t="shared" si="3"/>
        <v>5429</v>
      </c>
      <c r="S232" s="384">
        <f t="shared" si="4"/>
        <v>9.7096581499247058E-3</v>
      </c>
      <c r="T232" s="366"/>
      <c r="U232" s="370"/>
      <c r="V232" s="5"/>
      <c r="W232" s="109"/>
    </row>
    <row r="233" spans="1:23" ht="15.6" x14ac:dyDescent="0.3">
      <c r="A233" s="284"/>
      <c r="B233" s="338" t="s">
        <v>93</v>
      </c>
      <c r="C233" s="382"/>
      <c r="D233" s="382"/>
      <c r="E233" s="382"/>
      <c r="F233" s="311"/>
      <c r="G233" s="383"/>
      <c r="H233" s="382"/>
      <c r="I233" s="382"/>
      <c r="J233" s="382"/>
      <c r="K233" s="382"/>
      <c r="L233" s="382"/>
      <c r="M233" s="382"/>
      <c r="N233" s="382"/>
      <c r="O233" s="382"/>
      <c r="P233" s="338">
        <f t="shared" si="1"/>
        <v>12</v>
      </c>
      <c r="Q233" s="384">
        <f t="shared" si="2"/>
        <v>2.8222013170272815E-3</v>
      </c>
      <c r="R233" s="339">
        <f t="shared" si="3"/>
        <v>1314</v>
      </c>
      <c r="S233" s="384">
        <f t="shared" si="4"/>
        <v>2.3500627756494865E-3</v>
      </c>
      <c r="T233" s="366"/>
      <c r="U233" s="370"/>
      <c r="V233" s="5"/>
    </row>
    <row r="234" spans="1:23" ht="15.6" x14ac:dyDescent="0.3">
      <c r="A234" s="284"/>
      <c r="B234" s="338" t="s">
        <v>163</v>
      </c>
      <c r="C234" s="382"/>
      <c r="D234" s="382"/>
      <c r="E234" s="382"/>
      <c r="F234" s="311"/>
      <c r="G234" s="383"/>
      <c r="H234" s="382"/>
      <c r="I234" s="382"/>
      <c r="J234" s="382"/>
      <c r="K234" s="382"/>
      <c r="L234" s="382"/>
      <c r="M234" s="382"/>
      <c r="N234" s="382"/>
      <c r="O234" s="382"/>
      <c r="P234" s="338">
        <f t="shared" si="1"/>
        <v>2</v>
      </c>
      <c r="Q234" s="384">
        <f t="shared" si="2"/>
        <v>4.7036688617121356E-4</v>
      </c>
      <c r="R234" s="339">
        <f t="shared" si="3"/>
        <v>462</v>
      </c>
      <c r="S234" s="384">
        <f t="shared" si="4"/>
        <v>8.2627777956625784E-4</v>
      </c>
      <c r="T234" s="366"/>
      <c r="U234" s="370"/>
      <c r="V234" s="5"/>
      <c r="W234" s="109"/>
    </row>
    <row r="235" spans="1:23" ht="15.6" x14ac:dyDescent="0.3">
      <c r="A235" s="284"/>
      <c r="B235" s="338" t="s">
        <v>164</v>
      </c>
      <c r="C235" s="382"/>
      <c r="D235" s="382"/>
      <c r="E235" s="382"/>
      <c r="F235" s="311"/>
      <c r="G235" s="383"/>
      <c r="H235" s="382"/>
      <c r="I235" s="382"/>
      <c r="J235" s="382"/>
      <c r="K235" s="382"/>
      <c r="L235" s="382"/>
      <c r="M235" s="382"/>
      <c r="N235" s="382"/>
      <c r="O235" s="382"/>
      <c r="P235" s="338">
        <f t="shared" si="1"/>
        <v>2</v>
      </c>
      <c r="Q235" s="384">
        <f t="shared" si="2"/>
        <v>4.7036688617121356E-4</v>
      </c>
      <c r="R235" s="339">
        <f t="shared" si="3"/>
        <v>359</v>
      </c>
      <c r="S235" s="384">
        <f t="shared" si="4"/>
        <v>6.4206433520408348E-4</v>
      </c>
      <c r="T235" s="366"/>
      <c r="U235" s="370"/>
      <c r="V235" s="5"/>
    </row>
    <row r="236" spans="1:23" ht="15.6" x14ac:dyDescent="0.3">
      <c r="A236" s="284"/>
      <c r="B236" s="338" t="s">
        <v>165</v>
      </c>
      <c r="C236" s="382"/>
      <c r="D236" s="382"/>
      <c r="E236" s="382"/>
      <c r="F236" s="311"/>
      <c r="G236" s="383"/>
      <c r="H236" s="382"/>
      <c r="I236" s="382"/>
      <c r="J236" s="382"/>
      <c r="K236" s="382"/>
      <c r="L236" s="382"/>
      <c r="M236" s="382"/>
      <c r="N236" s="382"/>
      <c r="O236" s="382"/>
      <c r="P236" s="338">
        <f t="shared" si="1"/>
        <v>1</v>
      </c>
      <c r="Q236" s="384">
        <f t="shared" si="2"/>
        <v>2.3518344308560678E-4</v>
      </c>
      <c r="R236" s="339">
        <f t="shared" si="3"/>
        <v>196</v>
      </c>
      <c r="S236" s="384">
        <f t="shared" si="4"/>
        <v>3.5054208830083666E-4</v>
      </c>
      <c r="T236" s="366"/>
      <c r="U236" s="370"/>
      <c r="V236" s="5"/>
      <c r="W236" s="109"/>
    </row>
    <row r="237" spans="1:23" ht="15.6" x14ac:dyDescent="0.3">
      <c r="A237" s="284"/>
      <c r="B237" s="338" t="s">
        <v>166</v>
      </c>
      <c r="C237" s="382"/>
      <c r="D237" s="382"/>
      <c r="E237" s="382"/>
      <c r="F237" s="311"/>
      <c r="G237" s="383"/>
      <c r="H237" s="382"/>
      <c r="I237" s="382"/>
      <c r="J237" s="382"/>
      <c r="K237" s="382"/>
      <c r="L237" s="382"/>
      <c r="M237" s="382"/>
      <c r="N237" s="382"/>
      <c r="O237" s="382"/>
      <c r="P237" s="338">
        <f t="shared" si="1"/>
        <v>5</v>
      </c>
      <c r="Q237" s="384">
        <f t="shared" si="2"/>
        <v>1.1759172154280338E-3</v>
      </c>
      <c r="R237" s="339">
        <f t="shared" si="3"/>
        <v>854</v>
      </c>
      <c r="S237" s="384">
        <f t="shared" si="4"/>
        <v>1.5273619561679312E-3</v>
      </c>
      <c r="T237" s="366"/>
      <c r="U237" s="370"/>
      <c r="V237" s="5"/>
    </row>
    <row r="238" spans="1:23" ht="15.6" x14ac:dyDescent="0.3">
      <c r="A238" s="284"/>
      <c r="B238" s="338" t="s">
        <v>167</v>
      </c>
      <c r="C238" s="382"/>
      <c r="D238" s="382"/>
      <c r="E238" s="382"/>
      <c r="F238" s="311"/>
      <c r="G238" s="383"/>
      <c r="H238" s="382"/>
      <c r="I238" s="382"/>
      <c r="J238" s="382"/>
      <c r="K238" s="382"/>
      <c r="L238" s="382"/>
      <c r="M238" s="382"/>
      <c r="N238" s="382"/>
      <c r="O238" s="382"/>
      <c r="P238" s="338">
        <f t="shared" si="1"/>
        <v>10</v>
      </c>
      <c r="Q238" s="384">
        <f t="shared" si="2"/>
        <v>2.3518344308560675E-3</v>
      </c>
      <c r="R238" s="339">
        <f t="shared" si="3"/>
        <v>2084</v>
      </c>
      <c r="S238" s="384">
        <f t="shared" si="4"/>
        <v>3.7271924082599162E-3</v>
      </c>
      <c r="T238" s="366"/>
      <c r="U238" s="370"/>
      <c r="V238" s="5"/>
      <c r="W238" s="109"/>
    </row>
    <row r="239" spans="1:23" ht="15.6" x14ac:dyDescent="0.3">
      <c r="A239" s="284"/>
      <c r="B239" s="338"/>
      <c r="C239" s="382"/>
      <c r="D239" s="382"/>
      <c r="E239" s="382"/>
      <c r="F239" s="311"/>
      <c r="G239" s="383"/>
      <c r="H239" s="382"/>
      <c r="I239" s="382"/>
      <c r="J239" s="382"/>
      <c r="K239" s="382"/>
      <c r="L239" s="382"/>
      <c r="M239" s="382"/>
      <c r="N239" s="382"/>
      <c r="O239" s="382"/>
      <c r="P239" s="338"/>
      <c r="Q239" s="384"/>
      <c r="R239" s="339"/>
      <c r="S239" s="384"/>
      <c r="T239" s="366"/>
      <c r="U239" s="370"/>
      <c r="V239" s="5"/>
    </row>
    <row r="240" spans="1:23" ht="15.6" x14ac:dyDescent="0.3">
      <c r="A240" s="284"/>
      <c r="B240" s="285" t="s">
        <v>120</v>
      </c>
      <c r="C240" s="311"/>
      <c r="D240" s="311"/>
      <c r="E240" s="311"/>
      <c r="F240" s="311"/>
      <c r="G240" s="311"/>
      <c r="H240" s="385"/>
      <c r="I240" s="385"/>
      <c r="J240" s="385"/>
      <c r="K240" s="385"/>
      <c r="L240" s="385"/>
      <c r="M240" s="385"/>
      <c r="N240" s="385"/>
      <c r="O240" s="385"/>
      <c r="P240" s="338">
        <f>SUM(P231:P239)</f>
        <v>4252</v>
      </c>
      <c r="Q240" s="384">
        <f>SUM(Q231:Q239)</f>
        <v>0.99999999999999989</v>
      </c>
      <c r="R240" s="339">
        <f>SUM(R231:R239)</f>
        <v>559134</v>
      </c>
      <c r="S240" s="384">
        <f>SUM(S231:S239)</f>
        <v>1</v>
      </c>
      <c r="T240" s="311"/>
      <c r="U240" s="317"/>
      <c r="V240" s="5"/>
    </row>
    <row r="241" spans="1:23" ht="15.6" x14ac:dyDescent="0.3">
      <c r="A241" s="355"/>
      <c r="B241" s="350"/>
      <c r="C241" s="356"/>
      <c r="D241" s="356"/>
      <c r="E241" s="356"/>
      <c r="F241" s="357"/>
      <c r="G241" s="334"/>
      <c r="H241" s="334"/>
      <c r="I241" s="334"/>
      <c r="J241" s="334"/>
      <c r="K241" s="334"/>
      <c r="L241" s="334"/>
      <c r="M241" s="334"/>
      <c r="N241" s="334"/>
      <c r="O241" s="334"/>
      <c r="P241" s="334"/>
      <c r="Q241" s="334"/>
      <c r="R241" s="358"/>
      <c r="S241" s="334"/>
      <c r="T241" s="351"/>
      <c r="U241" s="359"/>
      <c r="V241" s="5"/>
    </row>
    <row r="242" spans="1:23" ht="15.6" x14ac:dyDescent="0.3">
      <c r="A242" s="222"/>
      <c r="B242" s="395" t="s">
        <v>169</v>
      </c>
      <c r="C242" s="396"/>
      <c r="D242" s="396"/>
      <c r="E242" s="396"/>
      <c r="F242" s="402"/>
      <c r="G242" s="396"/>
      <c r="H242" s="396"/>
      <c r="I242" s="396"/>
      <c r="J242" s="396"/>
      <c r="K242" s="396"/>
      <c r="L242" s="396"/>
      <c r="M242" s="396"/>
      <c r="N242" s="396"/>
      <c r="O242" s="396"/>
      <c r="P242" s="402" t="s">
        <v>105</v>
      </c>
      <c r="Q242" s="396" t="s">
        <v>106</v>
      </c>
      <c r="R242" s="402" t="s">
        <v>114</v>
      </c>
      <c r="S242" s="396" t="s">
        <v>106</v>
      </c>
      <c r="T242" s="223"/>
      <c r="U242" s="395"/>
      <c r="V242" s="5"/>
    </row>
    <row r="243" spans="1:23" ht="15.6" x14ac:dyDescent="0.3">
      <c r="A243" s="190"/>
      <c r="B243" s="243" t="s">
        <v>91</v>
      </c>
      <c r="C243" s="217"/>
      <c r="D243" s="217"/>
      <c r="E243" s="217"/>
      <c r="F243" s="191"/>
      <c r="G243" s="217"/>
      <c r="H243" s="217"/>
      <c r="I243" s="217"/>
      <c r="J243" s="217"/>
      <c r="K243" s="217"/>
      <c r="L243" s="217"/>
      <c r="M243" s="217"/>
      <c r="N243" s="217"/>
      <c r="O243" s="217"/>
      <c r="P243" s="243">
        <v>4086</v>
      </c>
      <c r="Q243" s="274">
        <f t="shared" ref="Q243:Q250" si="5">P243/$P$252</f>
        <v>0.99006542282529686</v>
      </c>
      <c r="R243" s="251">
        <v>533991</v>
      </c>
      <c r="S243" s="274">
        <f t="shared" ref="S243:S250" si="6">R243/$R$252</f>
        <v>0.98996301480334814</v>
      </c>
      <c r="T243" s="213"/>
      <c r="U243" s="216"/>
      <c r="V243" s="5"/>
    </row>
    <row r="244" spans="1:23" ht="15.6" x14ac:dyDescent="0.3">
      <c r="A244" s="284"/>
      <c r="B244" s="338" t="s">
        <v>92</v>
      </c>
      <c r="C244" s="382"/>
      <c r="D244" s="382"/>
      <c r="E244" s="382"/>
      <c r="F244" s="311"/>
      <c r="G244" s="383"/>
      <c r="H244" s="382"/>
      <c r="I244" s="382"/>
      <c r="J244" s="382"/>
      <c r="K244" s="382"/>
      <c r="L244" s="382"/>
      <c r="M244" s="382"/>
      <c r="N244" s="382"/>
      <c r="O244" s="382"/>
      <c r="P244" s="338">
        <v>37</v>
      </c>
      <c r="Q244" s="384">
        <f t="shared" si="5"/>
        <v>8.9653501332687176E-3</v>
      </c>
      <c r="R244" s="339">
        <v>4793</v>
      </c>
      <c r="S244" s="384">
        <f t="shared" si="6"/>
        <v>8.8857166692930169E-3</v>
      </c>
      <c r="T244" s="366"/>
      <c r="U244" s="370"/>
      <c r="V244" s="5"/>
      <c r="W244" s="109"/>
    </row>
    <row r="245" spans="1:23" ht="15.6" x14ac:dyDescent="0.3">
      <c r="A245" s="284"/>
      <c r="B245" s="338" t="s">
        <v>93</v>
      </c>
      <c r="C245" s="382"/>
      <c r="D245" s="382"/>
      <c r="E245" s="382"/>
      <c r="F245" s="311"/>
      <c r="G245" s="383"/>
      <c r="H245" s="382"/>
      <c r="I245" s="382"/>
      <c r="J245" s="382"/>
      <c r="K245" s="382"/>
      <c r="L245" s="382"/>
      <c r="M245" s="382"/>
      <c r="N245" s="382"/>
      <c r="O245" s="382"/>
      <c r="P245" s="338">
        <v>2</v>
      </c>
      <c r="Q245" s="384">
        <f t="shared" si="5"/>
        <v>4.8461352071722802E-4</v>
      </c>
      <c r="R245" s="339">
        <v>194</v>
      </c>
      <c r="S245" s="384">
        <f t="shared" si="6"/>
        <v>3.5965554638907684E-4</v>
      </c>
      <c r="T245" s="366"/>
      <c r="U245" s="370"/>
      <c r="V245" s="5"/>
    </row>
    <row r="246" spans="1:23" ht="15.6" x14ac:dyDescent="0.3">
      <c r="A246" s="284"/>
      <c r="B246" s="338" t="s">
        <v>163</v>
      </c>
      <c r="C246" s="382"/>
      <c r="D246" s="382"/>
      <c r="E246" s="382"/>
      <c r="F246" s="311"/>
      <c r="G246" s="383"/>
      <c r="H246" s="382"/>
      <c r="I246" s="382"/>
      <c r="J246" s="382"/>
      <c r="K246" s="382"/>
      <c r="L246" s="382"/>
      <c r="M246" s="382"/>
      <c r="N246" s="382"/>
      <c r="O246" s="382"/>
      <c r="P246" s="338">
        <v>1</v>
      </c>
      <c r="Q246" s="384">
        <f t="shared" si="5"/>
        <v>2.4230676035861401E-4</v>
      </c>
      <c r="R246" s="339">
        <v>128</v>
      </c>
      <c r="S246" s="384">
        <f t="shared" si="6"/>
        <v>2.3729850483403009E-4</v>
      </c>
      <c r="T246" s="366"/>
      <c r="U246" s="370"/>
      <c r="V246" s="5"/>
      <c r="W246" s="109"/>
    </row>
    <row r="247" spans="1:23" ht="15.6" x14ac:dyDescent="0.3">
      <c r="A247" s="284"/>
      <c r="B247" s="338" t="s">
        <v>164</v>
      </c>
      <c r="C247" s="382"/>
      <c r="D247" s="382"/>
      <c r="E247" s="382"/>
      <c r="F247" s="311"/>
      <c r="G247" s="383"/>
      <c r="H247" s="382"/>
      <c r="I247" s="382"/>
      <c r="J247" s="382"/>
      <c r="K247" s="382"/>
      <c r="L247" s="382"/>
      <c r="M247" s="382"/>
      <c r="N247" s="382"/>
      <c r="O247" s="382"/>
      <c r="P247" s="338">
        <v>0</v>
      </c>
      <c r="Q247" s="384">
        <f t="shared" si="5"/>
        <v>0</v>
      </c>
      <c r="R247" s="339">
        <v>0</v>
      </c>
      <c r="S247" s="384">
        <f t="shared" si="6"/>
        <v>0</v>
      </c>
      <c r="T247" s="366"/>
      <c r="U247" s="370"/>
      <c r="V247" s="5"/>
    </row>
    <row r="248" spans="1:23" ht="15.6" x14ac:dyDescent="0.3">
      <c r="A248" s="284"/>
      <c r="B248" s="338" t="s">
        <v>165</v>
      </c>
      <c r="C248" s="382"/>
      <c r="D248" s="382"/>
      <c r="E248" s="382"/>
      <c r="F248" s="311"/>
      <c r="G248" s="383"/>
      <c r="H248" s="382"/>
      <c r="I248" s="382"/>
      <c r="J248" s="382"/>
      <c r="K248" s="382"/>
      <c r="L248" s="382"/>
      <c r="M248" s="382"/>
      <c r="N248" s="382"/>
      <c r="O248" s="382"/>
      <c r="P248" s="338">
        <v>0</v>
      </c>
      <c r="Q248" s="384">
        <f t="shared" si="5"/>
        <v>0</v>
      </c>
      <c r="R248" s="339">
        <v>0</v>
      </c>
      <c r="S248" s="384">
        <f t="shared" si="6"/>
        <v>0</v>
      </c>
      <c r="T248" s="366"/>
      <c r="U248" s="370"/>
      <c r="V248" s="5"/>
      <c r="W248" s="109"/>
    </row>
    <row r="249" spans="1:23" ht="15.6" x14ac:dyDescent="0.3">
      <c r="A249" s="284"/>
      <c r="B249" s="338" t="s">
        <v>166</v>
      </c>
      <c r="C249" s="382"/>
      <c r="D249" s="382"/>
      <c r="E249" s="382"/>
      <c r="F249" s="311"/>
      <c r="G249" s="383"/>
      <c r="H249" s="382"/>
      <c r="I249" s="382"/>
      <c r="J249" s="382"/>
      <c r="K249" s="382"/>
      <c r="L249" s="382"/>
      <c r="M249" s="382"/>
      <c r="N249" s="382"/>
      <c r="O249" s="382"/>
      <c r="P249" s="338">
        <v>1</v>
      </c>
      <c r="Q249" s="384">
        <f t="shared" si="5"/>
        <v>2.4230676035861401E-4</v>
      </c>
      <c r="R249" s="339">
        <v>299</v>
      </c>
      <c r="S249" s="384">
        <f t="shared" si="6"/>
        <v>5.5431447613574214E-4</v>
      </c>
      <c r="T249" s="366"/>
      <c r="U249" s="370"/>
      <c r="V249" s="5"/>
    </row>
    <row r="250" spans="1:23" ht="15.6" x14ac:dyDescent="0.3">
      <c r="A250" s="284"/>
      <c r="B250" s="338" t="s">
        <v>167</v>
      </c>
      <c r="C250" s="382"/>
      <c r="D250" s="382"/>
      <c r="E250" s="382"/>
      <c r="F250" s="311"/>
      <c r="G250" s="383"/>
      <c r="H250" s="382"/>
      <c r="I250" s="382"/>
      <c r="J250" s="382"/>
      <c r="K250" s="382"/>
      <c r="L250" s="382"/>
      <c r="M250" s="382"/>
      <c r="N250" s="382"/>
      <c r="O250" s="382"/>
      <c r="P250" s="338">
        <v>0</v>
      </c>
      <c r="Q250" s="384">
        <f t="shared" si="5"/>
        <v>0</v>
      </c>
      <c r="R250" s="339">
        <v>0</v>
      </c>
      <c r="S250" s="384">
        <f t="shared" si="6"/>
        <v>0</v>
      </c>
      <c r="T250" s="366"/>
      <c r="U250" s="370"/>
      <c r="V250" s="5"/>
      <c r="W250" s="109"/>
    </row>
    <row r="251" spans="1:23" ht="15.6" x14ac:dyDescent="0.3">
      <c r="A251" s="284"/>
      <c r="B251" s="338"/>
      <c r="C251" s="382"/>
      <c r="D251" s="382"/>
      <c r="E251" s="382"/>
      <c r="F251" s="311"/>
      <c r="G251" s="383"/>
      <c r="H251" s="382"/>
      <c r="I251" s="382"/>
      <c r="J251" s="382"/>
      <c r="K251" s="382"/>
      <c r="L251" s="382"/>
      <c r="M251" s="382"/>
      <c r="N251" s="382"/>
      <c r="O251" s="382"/>
      <c r="P251" s="338"/>
      <c r="Q251" s="384"/>
      <c r="R251" s="339"/>
      <c r="S251" s="384"/>
      <c r="T251" s="366"/>
      <c r="U251" s="370"/>
      <c r="V251" s="5"/>
    </row>
    <row r="252" spans="1:23" ht="15.6" x14ac:dyDescent="0.3">
      <c r="A252" s="284"/>
      <c r="B252" s="285" t="s">
        <v>120</v>
      </c>
      <c r="C252" s="311"/>
      <c r="D252" s="311"/>
      <c r="E252" s="311"/>
      <c r="F252" s="311"/>
      <c r="G252" s="311"/>
      <c r="H252" s="385"/>
      <c r="I252" s="385"/>
      <c r="J252" s="385"/>
      <c r="K252" s="385"/>
      <c r="L252" s="385"/>
      <c r="M252" s="385"/>
      <c r="N252" s="385"/>
      <c r="O252" s="385"/>
      <c r="P252" s="338">
        <f>SUM(P243:P251)</f>
        <v>4127</v>
      </c>
      <c r="Q252" s="384">
        <f>SUM(Q243:Q251)</f>
        <v>1</v>
      </c>
      <c r="R252" s="339">
        <f>SUM(R243:R251)</f>
        <v>539405</v>
      </c>
      <c r="S252" s="384">
        <f>SUM(S243:S251)</f>
        <v>1</v>
      </c>
      <c r="T252" s="311"/>
      <c r="U252" s="317"/>
      <c r="V252" s="5"/>
    </row>
    <row r="253" spans="1:23" ht="15.6" x14ac:dyDescent="0.3">
      <c r="A253" s="175"/>
      <c r="B253" s="334"/>
      <c r="C253" s="334"/>
      <c r="D253" s="334"/>
      <c r="E253" s="334"/>
      <c r="F253" s="334"/>
      <c r="G253" s="334"/>
      <c r="H253" s="379"/>
      <c r="I253" s="379"/>
      <c r="J253" s="379"/>
      <c r="K253" s="379"/>
      <c r="L253" s="379"/>
      <c r="M253" s="379"/>
      <c r="N253" s="379"/>
      <c r="O253" s="379"/>
      <c r="P253" s="335"/>
      <c r="Q253" s="380"/>
      <c r="R253" s="381"/>
      <c r="S253" s="380"/>
      <c r="T253" s="334"/>
      <c r="U253" s="334"/>
      <c r="V253" s="5"/>
    </row>
    <row r="254" spans="1:23" ht="15.6" x14ac:dyDescent="0.3">
      <c r="A254" s="268"/>
      <c r="B254" s="395" t="s">
        <v>267</v>
      </c>
      <c r="C254" s="396"/>
      <c r="D254" s="396"/>
      <c r="E254" s="396"/>
      <c r="F254" s="402"/>
      <c r="G254" s="396"/>
      <c r="H254" s="396"/>
      <c r="I254" s="396"/>
      <c r="J254" s="396"/>
      <c r="K254" s="396"/>
      <c r="L254" s="396"/>
      <c r="M254" s="396"/>
      <c r="N254" s="396"/>
      <c r="O254" s="396"/>
      <c r="P254" s="402" t="s">
        <v>105</v>
      </c>
      <c r="Q254" s="396" t="s">
        <v>106</v>
      </c>
      <c r="R254" s="402" t="s">
        <v>114</v>
      </c>
      <c r="S254" s="396" t="s">
        <v>106</v>
      </c>
      <c r="T254" s="269"/>
      <c r="U254" s="270"/>
      <c r="V254" s="5"/>
    </row>
    <row r="255" spans="1:23" ht="15.6" x14ac:dyDescent="0.3">
      <c r="A255" s="190"/>
      <c r="B255" s="243" t="s">
        <v>91</v>
      </c>
      <c r="C255" s="217"/>
      <c r="D255" s="217"/>
      <c r="E255" s="217"/>
      <c r="F255" s="191"/>
      <c r="G255" s="217"/>
      <c r="H255" s="217"/>
      <c r="I255" s="217"/>
      <c r="J255" s="217"/>
      <c r="K255" s="217"/>
      <c r="L255" s="217"/>
      <c r="M255" s="217"/>
      <c r="N255" s="217"/>
      <c r="O255" s="217"/>
      <c r="P255" s="243">
        <v>93</v>
      </c>
      <c r="Q255" s="274">
        <f t="shared" ref="Q255:Q262" si="7">P255/$P$264</f>
        <v>0.75</v>
      </c>
      <c r="R255" s="251">
        <v>14445</v>
      </c>
      <c r="S255" s="274">
        <f t="shared" ref="S255:S262" si="8">R255/$R$264</f>
        <v>0.73683942052642315</v>
      </c>
      <c r="T255" s="191"/>
      <c r="U255" s="191"/>
      <c r="V255" s="5"/>
    </row>
    <row r="256" spans="1:23" ht="15.6" x14ac:dyDescent="0.3">
      <c r="A256" s="284"/>
      <c r="B256" s="338" t="s">
        <v>92</v>
      </c>
      <c r="C256" s="382"/>
      <c r="D256" s="382"/>
      <c r="E256" s="382"/>
      <c r="F256" s="311"/>
      <c r="G256" s="383"/>
      <c r="H256" s="382"/>
      <c r="I256" s="382"/>
      <c r="J256" s="382"/>
      <c r="K256" s="382"/>
      <c r="L256" s="382"/>
      <c r="M256" s="382"/>
      <c r="N256" s="382"/>
      <c r="O256" s="382"/>
      <c r="P256" s="338">
        <v>4</v>
      </c>
      <c r="Q256" s="384">
        <f t="shared" si="7"/>
        <v>3.2258064516129031E-2</v>
      </c>
      <c r="R256" s="339">
        <v>636</v>
      </c>
      <c r="S256" s="384">
        <f t="shared" si="8"/>
        <v>3.2442358702305649E-2</v>
      </c>
      <c r="T256" s="311"/>
      <c r="U256" s="317"/>
      <c r="V256" s="5"/>
    </row>
    <row r="257" spans="1:22" ht="15.6" x14ac:dyDescent="0.3">
      <c r="A257" s="284"/>
      <c r="B257" s="338" t="s">
        <v>93</v>
      </c>
      <c r="C257" s="382"/>
      <c r="D257" s="382"/>
      <c r="E257" s="382"/>
      <c r="F257" s="311"/>
      <c r="G257" s="383"/>
      <c r="H257" s="382"/>
      <c r="I257" s="382"/>
      <c r="J257" s="382"/>
      <c r="K257" s="382"/>
      <c r="L257" s="382"/>
      <c r="M257" s="382"/>
      <c r="N257" s="382"/>
      <c r="O257" s="382"/>
      <c r="P257" s="338">
        <v>9</v>
      </c>
      <c r="Q257" s="384">
        <f t="shared" si="7"/>
        <v>7.2580645161290328E-2</v>
      </c>
      <c r="R257" s="339">
        <v>995</v>
      </c>
      <c r="S257" s="384">
        <f t="shared" si="8"/>
        <v>5.0754947969802081E-2</v>
      </c>
      <c r="T257" s="311"/>
      <c r="U257" s="317"/>
      <c r="V257" s="5"/>
    </row>
    <row r="258" spans="1:22" ht="15.6" x14ac:dyDescent="0.3">
      <c r="A258" s="284"/>
      <c r="B258" s="338" t="s">
        <v>163</v>
      </c>
      <c r="C258" s="382"/>
      <c r="D258" s="382"/>
      <c r="E258" s="382"/>
      <c r="F258" s="311"/>
      <c r="G258" s="383"/>
      <c r="H258" s="382"/>
      <c r="I258" s="382"/>
      <c r="J258" s="382"/>
      <c r="K258" s="382"/>
      <c r="L258" s="382"/>
      <c r="M258" s="382"/>
      <c r="N258" s="382"/>
      <c r="O258" s="382"/>
      <c r="P258" s="338">
        <v>1</v>
      </c>
      <c r="Q258" s="384">
        <f t="shared" si="7"/>
        <v>8.0645161290322578E-3</v>
      </c>
      <c r="R258" s="339">
        <v>334</v>
      </c>
      <c r="S258" s="384">
        <f t="shared" si="8"/>
        <v>1.7037339318506428E-2</v>
      </c>
      <c r="T258" s="311"/>
      <c r="U258" s="317"/>
      <c r="V258" s="5"/>
    </row>
    <row r="259" spans="1:22" ht="15.6" x14ac:dyDescent="0.3">
      <c r="A259" s="284"/>
      <c r="B259" s="338" t="s">
        <v>164</v>
      </c>
      <c r="C259" s="382"/>
      <c r="D259" s="382"/>
      <c r="E259" s="382"/>
      <c r="F259" s="311"/>
      <c r="G259" s="383"/>
      <c r="H259" s="382"/>
      <c r="I259" s="382"/>
      <c r="J259" s="382"/>
      <c r="K259" s="382"/>
      <c r="L259" s="382"/>
      <c r="M259" s="382"/>
      <c r="N259" s="382"/>
      <c r="O259" s="382"/>
      <c r="P259" s="338">
        <v>2</v>
      </c>
      <c r="Q259" s="384">
        <f t="shared" si="7"/>
        <v>1.6129032258064516E-2</v>
      </c>
      <c r="R259" s="339">
        <v>359</v>
      </c>
      <c r="S259" s="384">
        <f t="shared" si="8"/>
        <v>1.8312589267496428E-2</v>
      </c>
      <c r="T259" s="311"/>
      <c r="U259" s="317"/>
      <c r="V259" s="5"/>
    </row>
    <row r="260" spans="1:22" ht="15.6" x14ac:dyDescent="0.3">
      <c r="A260" s="284"/>
      <c r="B260" s="338" t="s">
        <v>165</v>
      </c>
      <c r="C260" s="382"/>
      <c r="D260" s="382"/>
      <c r="E260" s="382"/>
      <c r="F260" s="311"/>
      <c r="G260" s="383"/>
      <c r="H260" s="382"/>
      <c r="I260" s="382"/>
      <c r="J260" s="382"/>
      <c r="K260" s="382"/>
      <c r="L260" s="382"/>
      <c r="M260" s="382"/>
      <c r="N260" s="382"/>
      <c r="O260" s="382"/>
      <c r="P260" s="338">
        <v>1</v>
      </c>
      <c r="Q260" s="384">
        <f t="shared" si="7"/>
        <v>8.0645161290322578E-3</v>
      </c>
      <c r="R260" s="339">
        <v>196</v>
      </c>
      <c r="S260" s="384">
        <f t="shared" si="8"/>
        <v>9.9979596000816153E-3</v>
      </c>
      <c r="T260" s="311"/>
      <c r="U260" s="317"/>
      <c r="V260" s="5"/>
    </row>
    <row r="261" spans="1:22" ht="15.6" x14ac:dyDescent="0.3">
      <c r="A261" s="284"/>
      <c r="B261" s="338" t="s">
        <v>166</v>
      </c>
      <c r="C261" s="382"/>
      <c r="D261" s="382"/>
      <c r="E261" s="382"/>
      <c r="F261" s="311"/>
      <c r="G261" s="383"/>
      <c r="H261" s="382"/>
      <c r="I261" s="382"/>
      <c r="J261" s="382"/>
      <c r="K261" s="382"/>
      <c r="L261" s="382"/>
      <c r="M261" s="382"/>
      <c r="N261" s="382"/>
      <c r="O261" s="382"/>
      <c r="P261" s="338">
        <v>4</v>
      </c>
      <c r="Q261" s="384">
        <f t="shared" si="7"/>
        <v>3.2258064516129031E-2</v>
      </c>
      <c r="R261" s="339">
        <v>555</v>
      </c>
      <c r="S261" s="384">
        <f t="shared" si="8"/>
        <v>2.8310548867578045E-2</v>
      </c>
      <c r="T261" s="311"/>
      <c r="U261" s="317"/>
      <c r="V261" s="5"/>
    </row>
    <row r="262" spans="1:22" ht="15.6" x14ac:dyDescent="0.3">
      <c r="A262" s="284"/>
      <c r="B262" s="338" t="s">
        <v>167</v>
      </c>
      <c r="C262" s="382"/>
      <c r="D262" s="382"/>
      <c r="E262" s="382"/>
      <c r="F262" s="311"/>
      <c r="G262" s="383"/>
      <c r="H262" s="382"/>
      <c r="I262" s="382"/>
      <c r="J262" s="382"/>
      <c r="K262" s="382"/>
      <c r="L262" s="382"/>
      <c r="M262" s="382"/>
      <c r="N262" s="382"/>
      <c r="O262" s="382"/>
      <c r="P262" s="338">
        <v>10</v>
      </c>
      <c r="Q262" s="384">
        <f t="shared" si="7"/>
        <v>8.0645161290322578E-2</v>
      </c>
      <c r="R262" s="339">
        <v>2084</v>
      </c>
      <c r="S262" s="384">
        <f t="shared" si="8"/>
        <v>0.10630483574780657</v>
      </c>
      <c r="T262" s="311"/>
      <c r="U262" s="317"/>
      <c r="V262" s="5"/>
    </row>
    <row r="263" spans="1:22" ht="15.6" x14ac:dyDescent="0.3">
      <c r="A263" s="284"/>
      <c r="B263" s="338"/>
      <c r="C263" s="382"/>
      <c r="D263" s="382"/>
      <c r="E263" s="382"/>
      <c r="F263" s="311"/>
      <c r="G263" s="383"/>
      <c r="H263" s="382"/>
      <c r="I263" s="382"/>
      <c r="J263" s="382"/>
      <c r="K263" s="382"/>
      <c r="L263" s="382"/>
      <c r="M263" s="382"/>
      <c r="N263" s="382"/>
      <c r="O263" s="382"/>
      <c r="P263" s="338"/>
      <c r="Q263" s="384"/>
      <c r="R263" s="339"/>
      <c r="S263" s="384"/>
      <c r="T263" s="311"/>
      <c r="U263" s="317"/>
      <c r="V263" s="5"/>
    </row>
    <row r="264" spans="1:22" ht="15.6" x14ac:dyDescent="0.3">
      <c r="A264" s="284"/>
      <c r="B264" s="285" t="s">
        <v>120</v>
      </c>
      <c r="C264" s="311"/>
      <c r="D264" s="311"/>
      <c r="E264" s="311"/>
      <c r="F264" s="311"/>
      <c r="G264" s="311"/>
      <c r="H264" s="385"/>
      <c r="I264" s="385"/>
      <c r="J264" s="385"/>
      <c r="K264" s="385"/>
      <c r="L264" s="385"/>
      <c r="M264" s="385"/>
      <c r="N264" s="385"/>
      <c r="O264" s="385"/>
      <c r="P264" s="338">
        <f>SUM(P255:P263)</f>
        <v>124</v>
      </c>
      <c r="Q264" s="384">
        <f>SUM(Q255:Q263)</f>
        <v>1</v>
      </c>
      <c r="R264" s="339">
        <f>SUM(R255:R263)</f>
        <v>19604</v>
      </c>
      <c r="S264" s="384">
        <f>SUM(S255:S263)</f>
        <v>1</v>
      </c>
      <c r="T264" s="311"/>
      <c r="U264" s="317"/>
      <c r="V264" s="5"/>
    </row>
    <row r="265" spans="1:22" ht="15.6" x14ac:dyDescent="0.3">
      <c r="A265" s="175"/>
      <c r="B265" s="334"/>
      <c r="C265" s="334"/>
      <c r="D265" s="334"/>
      <c r="E265" s="334"/>
      <c r="F265" s="334"/>
      <c r="G265" s="334"/>
      <c r="H265" s="379"/>
      <c r="I265" s="379"/>
      <c r="J265" s="379"/>
      <c r="K265" s="379"/>
      <c r="L265" s="379"/>
      <c r="M265" s="379"/>
      <c r="N265" s="379"/>
      <c r="O265" s="379"/>
      <c r="P265" s="335"/>
      <c r="Q265" s="380"/>
      <c r="R265" s="381"/>
      <c r="S265" s="380"/>
      <c r="T265" s="334"/>
      <c r="U265" s="334"/>
      <c r="V265" s="5"/>
    </row>
    <row r="266" spans="1:22" ht="15.6" x14ac:dyDescent="0.3">
      <c r="A266" s="268"/>
      <c r="B266" s="395" t="s">
        <v>170</v>
      </c>
      <c r="C266" s="269"/>
      <c r="D266" s="269"/>
      <c r="E266" s="269"/>
      <c r="F266" s="269"/>
      <c r="G266" s="269"/>
      <c r="H266" s="271"/>
      <c r="I266" s="271"/>
      <c r="J266" s="271"/>
      <c r="K266" s="271"/>
      <c r="L266" s="271"/>
      <c r="M266" s="271"/>
      <c r="N266" s="271"/>
      <c r="O266" s="271"/>
      <c r="P266" s="402" t="s">
        <v>105</v>
      </c>
      <c r="Q266" s="396" t="s">
        <v>106</v>
      </c>
      <c r="R266" s="402" t="s">
        <v>114</v>
      </c>
      <c r="S266" s="396" t="s">
        <v>106</v>
      </c>
      <c r="T266" s="269"/>
      <c r="U266" s="270"/>
      <c r="V266" s="5"/>
    </row>
    <row r="267" spans="1:22" ht="15.6" x14ac:dyDescent="0.3">
      <c r="A267" s="190"/>
      <c r="B267" s="243" t="s">
        <v>91</v>
      </c>
      <c r="C267" s="239"/>
      <c r="D267" s="239"/>
      <c r="E267" s="239"/>
      <c r="F267" s="239"/>
      <c r="G267" s="239"/>
      <c r="H267" s="275"/>
      <c r="I267" s="275"/>
      <c r="J267" s="275"/>
      <c r="K267" s="275"/>
      <c r="L267" s="218"/>
      <c r="M267" s="218"/>
      <c r="N267" s="218"/>
      <c r="O267" s="218"/>
      <c r="P267" s="243">
        <v>0</v>
      </c>
      <c r="Q267" s="274">
        <v>0</v>
      </c>
      <c r="R267" s="251">
        <v>0</v>
      </c>
      <c r="S267" s="274">
        <v>0</v>
      </c>
      <c r="T267" s="239"/>
      <c r="U267" s="191"/>
      <c r="V267" s="5"/>
    </row>
    <row r="268" spans="1:22" ht="15.6" x14ac:dyDescent="0.3">
      <c r="A268" s="284"/>
      <c r="B268" s="338" t="s">
        <v>92</v>
      </c>
      <c r="C268" s="285"/>
      <c r="D268" s="285"/>
      <c r="E268" s="285"/>
      <c r="F268" s="285"/>
      <c r="G268" s="285"/>
      <c r="H268" s="387"/>
      <c r="I268" s="387"/>
      <c r="J268" s="387"/>
      <c r="K268" s="387"/>
      <c r="L268" s="385"/>
      <c r="M268" s="385"/>
      <c r="N268" s="385"/>
      <c r="O268" s="385"/>
      <c r="P268" s="338">
        <v>0</v>
      </c>
      <c r="Q268" s="384">
        <v>0</v>
      </c>
      <c r="R268" s="339">
        <v>0</v>
      </c>
      <c r="S268" s="384">
        <v>0</v>
      </c>
      <c r="T268" s="285"/>
      <c r="U268" s="317"/>
      <c r="V268" s="5"/>
    </row>
    <row r="269" spans="1:22" ht="15.6" x14ac:dyDescent="0.3">
      <c r="A269" s="284"/>
      <c r="B269" s="338" t="s">
        <v>93</v>
      </c>
      <c r="C269" s="285"/>
      <c r="D269" s="285"/>
      <c r="E269" s="285"/>
      <c r="F269" s="285"/>
      <c r="G269" s="285"/>
      <c r="H269" s="387"/>
      <c r="I269" s="387"/>
      <c r="J269" s="387"/>
      <c r="K269" s="387"/>
      <c r="L269" s="385"/>
      <c r="M269" s="385"/>
      <c r="N269" s="385"/>
      <c r="O269" s="385"/>
      <c r="P269" s="338">
        <v>1</v>
      </c>
      <c r="Q269" s="384">
        <f>P269/P276</f>
        <v>1</v>
      </c>
      <c r="R269" s="339">
        <v>125</v>
      </c>
      <c r="S269" s="384">
        <f>R269/R276</f>
        <v>1</v>
      </c>
      <c r="T269" s="285"/>
      <c r="U269" s="317"/>
      <c r="V269" s="5"/>
    </row>
    <row r="270" spans="1:22" ht="15.6" x14ac:dyDescent="0.3">
      <c r="A270" s="284"/>
      <c r="B270" s="338" t="s">
        <v>163</v>
      </c>
      <c r="C270" s="285"/>
      <c r="D270" s="285"/>
      <c r="E270" s="285"/>
      <c r="F270" s="285"/>
      <c r="G270" s="285"/>
      <c r="H270" s="387"/>
      <c r="I270" s="387"/>
      <c r="J270" s="387"/>
      <c r="K270" s="387"/>
      <c r="L270" s="385"/>
      <c r="M270" s="385"/>
      <c r="N270" s="385"/>
      <c r="O270" s="385"/>
      <c r="P270" s="338">
        <v>0</v>
      </c>
      <c r="Q270" s="384">
        <v>0</v>
      </c>
      <c r="R270" s="339">
        <v>0</v>
      </c>
      <c r="S270" s="384">
        <v>0</v>
      </c>
      <c r="T270" s="285"/>
      <c r="U270" s="317"/>
      <c r="V270" s="5"/>
    </row>
    <row r="271" spans="1:22" ht="15.6" x14ac:dyDescent="0.3">
      <c r="A271" s="284"/>
      <c r="B271" s="338" t="s">
        <v>164</v>
      </c>
      <c r="C271" s="285"/>
      <c r="D271" s="285"/>
      <c r="E271" s="285"/>
      <c r="F271" s="285"/>
      <c r="G271" s="285"/>
      <c r="H271" s="387"/>
      <c r="I271" s="387"/>
      <c r="J271" s="387"/>
      <c r="K271" s="387"/>
      <c r="L271" s="385"/>
      <c r="M271" s="385"/>
      <c r="N271" s="385"/>
      <c r="O271" s="385"/>
      <c r="P271" s="338">
        <v>0</v>
      </c>
      <c r="Q271" s="384">
        <v>0</v>
      </c>
      <c r="R271" s="339">
        <v>0</v>
      </c>
      <c r="S271" s="384">
        <v>0</v>
      </c>
      <c r="T271" s="285"/>
      <c r="U271" s="317"/>
      <c r="V271" s="5"/>
    </row>
    <row r="272" spans="1:22" ht="15.6" x14ac:dyDescent="0.3">
      <c r="A272" s="284"/>
      <c r="B272" s="338" t="s">
        <v>165</v>
      </c>
      <c r="C272" s="285"/>
      <c r="D272" s="285"/>
      <c r="E272" s="285"/>
      <c r="F272" s="285"/>
      <c r="G272" s="285"/>
      <c r="H272" s="387"/>
      <c r="I272" s="387"/>
      <c r="J272" s="387"/>
      <c r="K272" s="387"/>
      <c r="L272" s="385"/>
      <c r="M272" s="385"/>
      <c r="N272" s="385"/>
      <c r="O272" s="385"/>
      <c r="P272" s="338">
        <v>0</v>
      </c>
      <c r="Q272" s="384">
        <v>0</v>
      </c>
      <c r="R272" s="339">
        <v>0</v>
      </c>
      <c r="S272" s="384">
        <v>0</v>
      </c>
      <c r="T272" s="285"/>
      <c r="U272" s="317"/>
      <c r="V272" s="5"/>
    </row>
    <row r="273" spans="1:22" ht="15.6" x14ac:dyDescent="0.3">
      <c r="A273" s="284"/>
      <c r="B273" s="338" t="s">
        <v>166</v>
      </c>
      <c r="C273" s="285"/>
      <c r="D273" s="285"/>
      <c r="E273" s="285"/>
      <c r="F273" s="285"/>
      <c r="G273" s="285"/>
      <c r="H273" s="387"/>
      <c r="I273" s="387"/>
      <c r="J273" s="387"/>
      <c r="K273" s="387"/>
      <c r="L273" s="385"/>
      <c r="M273" s="385"/>
      <c r="N273" s="385"/>
      <c r="O273" s="385"/>
      <c r="P273" s="338">
        <v>0</v>
      </c>
      <c r="Q273" s="384">
        <v>0</v>
      </c>
      <c r="R273" s="339">
        <v>0</v>
      </c>
      <c r="S273" s="384">
        <v>0</v>
      </c>
      <c r="T273" s="285"/>
      <c r="U273" s="317"/>
      <c r="V273" s="5"/>
    </row>
    <row r="274" spans="1:22" ht="15.6" x14ac:dyDescent="0.3">
      <c r="A274" s="284"/>
      <c r="B274" s="338" t="s">
        <v>167</v>
      </c>
      <c r="C274" s="285"/>
      <c r="D274" s="285"/>
      <c r="E274" s="285"/>
      <c r="F274" s="285"/>
      <c r="G274" s="285"/>
      <c r="H274" s="387"/>
      <c r="I274" s="387"/>
      <c r="J274" s="387"/>
      <c r="K274" s="387"/>
      <c r="L274" s="385"/>
      <c r="M274" s="385"/>
      <c r="N274" s="385"/>
      <c r="O274" s="385"/>
      <c r="P274" s="338">
        <v>0</v>
      </c>
      <c r="Q274" s="384">
        <v>0</v>
      </c>
      <c r="R274" s="339">
        <v>0</v>
      </c>
      <c r="S274" s="384">
        <v>0</v>
      </c>
      <c r="T274" s="285"/>
      <c r="U274" s="317"/>
      <c r="V274" s="5"/>
    </row>
    <row r="275" spans="1:22" ht="15.6" x14ac:dyDescent="0.3">
      <c r="A275" s="284"/>
      <c r="B275" s="338"/>
      <c r="C275" s="285"/>
      <c r="D275" s="285"/>
      <c r="E275" s="285"/>
      <c r="F275" s="285"/>
      <c r="G275" s="285"/>
      <c r="H275" s="387"/>
      <c r="I275" s="387"/>
      <c r="J275" s="387"/>
      <c r="K275" s="387"/>
      <c r="L275" s="385"/>
      <c r="M275" s="385"/>
      <c r="N275" s="385"/>
      <c r="O275" s="385"/>
      <c r="P275" s="338"/>
      <c r="Q275" s="384"/>
      <c r="R275" s="339"/>
      <c r="S275" s="384"/>
      <c r="T275" s="285"/>
      <c r="U275" s="317"/>
      <c r="V275" s="5"/>
    </row>
    <row r="276" spans="1:22" ht="15.6" x14ac:dyDescent="0.3">
      <c r="A276" s="284"/>
      <c r="B276" s="285" t="s">
        <v>120</v>
      </c>
      <c r="C276" s="285"/>
      <c r="D276" s="285"/>
      <c r="E276" s="285"/>
      <c r="F276" s="285"/>
      <c r="G276" s="285"/>
      <c r="H276" s="387"/>
      <c r="I276" s="387"/>
      <c r="J276" s="387"/>
      <c r="K276" s="387"/>
      <c r="L276" s="385"/>
      <c r="M276" s="385"/>
      <c r="N276" s="385"/>
      <c r="O276" s="385"/>
      <c r="P276" s="338">
        <f>SUM(P267:P274)</f>
        <v>1</v>
      </c>
      <c r="Q276" s="384">
        <f>SUM(Q267:Q275)</f>
        <v>1</v>
      </c>
      <c r="R276" s="339">
        <f>SUM(R267:R274)</f>
        <v>125</v>
      </c>
      <c r="S276" s="384">
        <f>SUM(S267:S275)</f>
        <v>1</v>
      </c>
      <c r="T276" s="285"/>
      <c r="U276" s="317"/>
      <c r="V276" s="5"/>
    </row>
    <row r="277" spans="1:22" ht="15.6" x14ac:dyDescent="0.3">
      <c r="A277" s="284"/>
      <c r="B277" s="285"/>
      <c r="C277" s="285"/>
      <c r="D277" s="285"/>
      <c r="E277" s="285"/>
      <c r="F277" s="285"/>
      <c r="G277" s="285"/>
      <c r="H277" s="387"/>
      <c r="I277" s="387"/>
      <c r="J277" s="387"/>
      <c r="K277" s="387"/>
      <c r="L277" s="385"/>
      <c r="M277" s="385"/>
      <c r="N277" s="385"/>
      <c r="O277" s="385"/>
      <c r="P277" s="344"/>
      <c r="Q277" s="388"/>
      <c r="R277" s="345"/>
      <c r="S277" s="388"/>
      <c r="T277" s="311"/>
      <c r="U277" s="317"/>
      <c r="V277" s="5"/>
    </row>
    <row r="278" spans="1:22" ht="15.6" x14ac:dyDescent="0.3">
      <c r="A278" s="284"/>
      <c r="B278" s="292" t="s">
        <v>171</v>
      </c>
      <c r="C278" s="285"/>
      <c r="D278" s="285"/>
      <c r="E278" s="285"/>
      <c r="F278" s="285"/>
      <c r="G278" s="285"/>
      <c r="H278" s="387"/>
      <c r="I278" s="387"/>
      <c r="J278" s="387"/>
      <c r="K278" s="387"/>
      <c r="L278" s="385"/>
      <c r="M278" s="385"/>
      <c r="N278" s="385"/>
      <c r="O278" s="385"/>
      <c r="P278" s="403">
        <f>P276+P264+P252</f>
        <v>4252</v>
      </c>
      <c r="Q278" s="384"/>
      <c r="R278" s="404">
        <f>+R276+R264+R252</f>
        <v>559134</v>
      </c>
      <c r="S278" s="384"/>
      <c r="T278" s="311"/>
      <c r="U278" s="317"/>
      <c r="V278" s="5"/>
    </row>
    <row r="279" spans="1:22" ht="15.6" x14ac:dyDescent="0.3">
      <c r="A279" s="175"/>
      <c r="B279" s="281"/>
      <c r="C279" s="281"/>
      <c r="D279" s="281"/>
      <c r="E279" s="281"/>
      <c r="F279" s="281"/>
      <c r="G279" s="281"/>
      <c r="H279" s="386"/>
      <c r="I279" s="386"/>
      <c r="J279" s="386"/>
      <c r="K279" s="386"/>
      <c r="L279" s="379"/>
      <c r="M279" s="379"/>
      <c r="N279" s="379"/>
      <c r="O279" s="379"/>
      <c r="P279" s="379"/>
      <c r="Q279" s="379"/>
      <c r="R279" s="381"/>
      <c r="S279" s="379"/>
      <c r="T279" s="334"/>
      <c r="U279" s="334"/>
      <c r="V279" s="5"/>
    </row>
    <row r="280" spans="1:22" ht="15.6" x14ac:dyDescent="0.3">
      <c r="A280" s="175"/>
      <c r="B280" s="231"/>
      <c r="C280" s="231"/>
      <c r="D280" s="231"/>
      <c r="E280" s="231"/>
      <c r="F280" s="231"/>
      <c r="G280" s="231"/>
      <c r="H280" s="276"/>
      <c r="I280" s="276"/>
      <c r="J280" s="276"/>
      <c r="K280" s="276"/>
      <c r="L280" s="219"/>
      <c r="M280" s="219"/>
      <c r="N280" s="219"/>
      <c r="O280" s="219"/>
      <c r="P280" s="219"/>
      <c r="Q280" s="219"/>
      <c r="R280" s="220"/>
      <c r="S280" s="219"/>
      <c r="T280" s="177"/>
      <c r="U280" s="177"/>
      <c r="V280" s="5"/>
    </row>
    <row r="281" spans="1:22" ht="15.6" x14ac:dyDescent="0.3">
      <c r="A281" s="221"/>
      <c r="B281" s="230" t="s">
        <v>94</v>
      </c>
      <c r="C281" s="231"/>
      <c r="D281" s="231"/>
      <c r="E281" s="231"/>
      <c r="F281" s="236" t="s">
        <v>100</v>
      </c>
      <c r="G281" s="231"/>
      <c r="H281" s="230" t="s">
        <v>102</v>
      </c>
      <c r="I281" s="277"/>
      <c r="J281" s="277"/>
      <c r="K281" s="277"/>
      <c r="L281" s="188"/>
      <c r="M281" s="188"/>
      <c r="N281" s="188"/>
      <c r="O281" s="188"/>
      <c r="P281" s="188"/>
      <c r="Q281" s="188"/>
      <c r="R281" s="188"/>
      <c r="S281" s="188"/>
      <c r="T281" s="188"/>
      <c r="U281" s="188"/>
      <c r="V281" s="5"/>
    </row>
    <row r="282" spans="1:22" ht="15.6" x14ac:dyDescent="0.3">
      <c r="A282" s="221"/>
      <c r="B282" s="230" t="s">
        <v>95</v>
      </c>
      <c r="C282" s="230"/>
      <c r="D282" s="230"/>
      <c r="E282" s="230"/>
      <c r="F282" s="278" t="s">
        <v>154</v>
      </c>
      <c r="G282" s="230"/>
      <c r="H282" s="230" t="s">
        <v>158</v>
      </c>
      <c r="I282" s="277"/>
      <c r="J282" s="277"/>
      <c r="K282" s="277"/>
      <c r="L282" s="188"/>
      <c r="M282" s="188"/>
      <c r="N282" s="188"/>
      <c r="O282" s="188"/>
      <c r="P282" s="188"/>
      <c r="Q282" s="188"/>
      <c r="R282" s="188"/>
      <c r="S282" s="188"/>
      <c r="T282" s="188"/>
      <c r="U282" s="188"/>
      <c r="V282" s="5"/>
    </row>
    <row r="283" spans="1:22" ht="15.6" x14ac:dyDescent="0.3">
      <c r="A283" s="221"/>
      <c r="B283" s="230" t="s">
        <v>268</v>
      </c>
      <c r="C283" s="230"/>
      <c r="D283" s="230"/>
      <c r="E283" s="230"/>
      <c r="F283" s="278" t="s">
        <v>269</v>
      </c>
      <c r="G283" s="230"/>
      <c r="H283" s="230" t="s">
        <v>270</v>
      </c>
      <c r="I283" s="277"/>
      <c r="J283" s="277"/>
      <c r="K283" s="277"/>
      <c r="L283" s="188"/>
      <c r="M283" s="188"/>
      <c r="N283" s="188"/>
      <c r="O283" s="188"/>
      <c r="P283" s="188"/>
      <c r="Q283" s="188"/>
      <c r="R283" s="188"/>
      <c r="S283" s="188"/>
      <c r="T283" s="188"/>
      <c r="U283" s="188"/>
      <c r="V283" s="5"/>
    </row>
    <row r="284" spans="1:22" ht="15.6" x14ac:dyDescent="0.3">
      <c r="A284" s="221"/>
      <c r="B284" s="230" t="s">
        <v>96</v>
      </c>
      <c r="C284" s="230"/>
      <c r="D284" s="230"/>
      <c r="E284" s="230"/>
      <c r="F284" s="278" t="s">
        <v>153</v>
      </c>
      <c r="G284" s="230"/>
      <c r="H284" s="230" t="s">
        <v>159</v>
      </c>
      <c r="I284" s="277"/>
      <c r="J284" s="277"/>
      <c r="K284" s="277"/>
      <c r="L284" s="188"/>
      <c r="M284" s="188"/>
      <c r="N284" s="188"/>
      <c r="O284" s="188"/>
      <c r="P284" s="188"/>
      <c r="Q284" s="188"/>
      <c r="R284" s="188"/>
      <c r="S284" s="188"/>
      <c r="T284" s="188"/>
      <c r="U284" s="188"/>
      <c r="V284" s="5"/>
    </row>
    <row r="285" spans="1:22" ht="15.6" x14ac:dyDescent="0.3">
      <c r="A285" s="221"/>
      <c r="B285" s="230"/>
      <c r="C285" s="230"/>
      <c r="D285" s="230"/>
      <c r="E285" s="230"/>
      <c r="F285" s="230"/>
      <c r="G285" s="279"/>
      <c r="H285" s="277"/>
      <c r="I285" s="277"/>
      <c r="J285" s="277"/>
      <c r="K285" s="277"/>
      <c r="L285" s="188"/>
      <c r="M285" s="188"/>
      <c r="N285" s="188"/>
      <c r="O285" s="188"/>
      <c r="P285" s="188"/>
      <c r="Q285" s="188"/>
      <c r="R285" s="188"/>
      <c r="S285" s="188"/>
      <c r="T285" s="188"/>
      <c r="U285" s="188"/>
      <c r="V285" s="5"/>
    </row>
    <row r="286" spans="1:22" ht="15.6" x14ac:dyDescent="0.3">
      <c r="A286" s="221"/>
      <c r="B286" s="230"/>
      <c r="C286" s="230"/>
      <c r="D286" s="230"/>
      <c r="E286" s="230"/>
      <c r="F286" s="230"/>
      <c r="G286" s="279"/>
      <c r="H286" s="277"/>
      <c r="I286" s="277"/>
      <c r="J286" s="277"/>
      <c r="K286" s="277"/>
      <c r="L286" s="188"/>
      <c r="M286" s="188"/>
      <c r="N286" s="188"/>
      <c r="O286" s="188"/>
      <c r="P286" s="188"/>
      <c r="Q286" s="188"/>
      <c r="R286" s="188"/>
      <c r="S286" s="188"/>
      <c r="T286" s="188"/>
      <c r="U286" s="188"/>
      <c r="V286" s="5"/>
    </row>
    <row r="287" spans="1:22" ht="18" thickBot="1" x14ac:dyDescent="0.35">
      <c r="A287" s="221"/>
      <c r="B287" s="280" t="str">
        <f>B192</f>
        <v>PM11 INVESTOR REPORT QUARTER ENDING JUNE 2012</v>
      </c>
      <c r="C287" s="230"/>
      <c r="D287" s="230"/>
      <c r="E287" s="230"/>
      <c r="F287" s="230"/>
      <c r="G287" s="279"/>
      <c r="H287" s="277"/>
      <c r="I287" s="277"/>
      <c r="J287" s="277"/>
      <c r="K287" s="277"/>
      <c r="L287" s="188"/>
      <c r="M287" s="188"/>
      <c r="N287" s="188"/>
      <c r="O287" s="188"/>
      <c r="P287" s="188"/>
      <c r="Q287" s="188"/>
      <c r="R287" s="188"/>
      <c r="S287" s="188"/>
      <c r="T287" s="188"/>
      <c r="U287" s="188"/>
      <c r="V287" s="5"/>
    </row>
    <row r="288" spans="1:22" x14ac:dyDescent="0.25">
      <c r="A288" s="100"/>
      <c r="B288" s="100"/>
      <c r="C288" s="100"/>
      <c r="D288" s="100"/>
      <c r="E288" s="100"/>
      <c r="F288" s="100"/>
      <c r="G288" s="100"/>
      <c r="H288" s="100"/>
      <c r="I288" s="100"/>
      <c r="J288" s="100"/>
      <c r="K288" s="100"/>
      <c r="L288" s="100"/>
      <c r="M288" s="100"/>
      <c r="N288" s="100"/>
      <c r="O288" s="100"/>
      <c r="P288" s="100"/>
      <c r="Q288" s="100"/>
      <c r="R288" s="100"/>
      <c r="S288" s="100"/>
      <c r="T288" s="100"/>
      <c r="U288" s="100"/>
    </row>
  </sheetData>
  <hyperlinks>
    <hyperlink ref="N228" r:id="rId1" xr:uid="{00000000-0004-0000-1800-000000000000}"/>
    <hyperlink ref="J9" r:id="rId2" xr:uid="{00000000-0004-0000-18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4" max="21" man="1"/>
    <brk id="132" max="14" man="1"/>
    <brk id="192" max="14" man="1"/>
  </rowBreaks>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2D2926"/>
  </sheetPr>
  <dimension ref="A1:X288"/>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08984375" style="1" customWidth="1"/>
    <col min="10" max="10" width="17.81640625" style="1" customWidth="1"/>
    <col min="11" max="11" width="2.1796875" style="1" customWidth="1"/>
    <col min="12" max="12" width="14.81640625" style="1" customWidth="1"/>
    <col min="13" max="13" width="2.1796875" style="1" customWidth="1"/>
    <col min="14" max="14" width="15.54296875" style="1" customWidth="1"/>
    <col min="15" max="15" width="2.08984375" style="1" customWidth="1"/>
    <col min="16" max="16" width="15.54296875" style="1" customWidth="1"/>
    <col min="17" max="18" width="12.81640625" style="1" customWidth="1"/>
    <col min="19" max="19" width="7.81640625" style="1" customWidth="1"/>
    <col min="20" max="20" width="14.81640625" style="1" customWidth="1"/>
    <col min="21" max="21" width="11.81640625" style="1" customWidth="1"/>
    <col min="22" max="16384" width="9.81640625" style="1"/>
  </cols>
  <sheetData>
    <row r="1" spans="1:22" ht="20.399999999999999" x14ac:dyDescent="0.35">
      <c r="A1" s="173"/>
      <c r="B1" s="228" t="s">
        <v>228</v>
      </c>
      <c r="C1" s="174"/>
      <c r="D1" s="174"/>
      <c r="E1" s="174"/>
      <c r="F1" s="174"/>
      <c r="G1" s="174"/>
      <c r="H1" s="174"/>
      <c r="I1" s="174"/>
      <c r="J1" s="174"/>
      <c r="K1" s="174"/>
      <c r="L1" s="174"/>
      <c r="M1" s="174"/>
      <c r="N1" s="174"/>
      <c r="O1" s="174"/>
      <c r="P1" s="174"/>
      <c r="Q1" s="174"/>
      <c r="R1" s="174"/>
      <c r="S1" s="174"/>
      <c r="T1" s="174"/>
      <c r="U1" s="174"/>
      <c r="V1" s="5"/>
    </row>
    <row r="2" spans="1:22" ht="15.6" x14ac:dyDescent="0.3">
      <c r="A2" s="175"/>
      <c r="B2" s="176"/>
      <c r="C2" s="177"/>
      <c r="D2" s="177"/>
      <c r="E2" s="177"/>
      <c r="F2" s="177"/>
      <c r="G2" s="177"/>
      <c r="H2" s="177"/>
      <c r="I2" s="177"/>
      <c r="J2" s="177"/>
      <c r="K2" s="177"/>
      <c r="L2" s="177"/>
      <c r="M2" s="177"/>
      <c r="N2" s="177"/>
      <c r="O2" s="177"/>
      <c r="P2" s="177"/>
      <c r="Q2" s="177"/>
      <c r="R2" s="177"/>
      <c r="S2" s="177"/>
      <c r="T2" s="177"/>
      <c r="U2" s="177"/>
      <c r="V2" s="5"/>
    </row>
    <row r="3" spans="1:22" ht="15.6" x14ac:dyDescent="0.3">
      <c r="A3" s="178"/>
      <c r="B3" s="179" t="s">
        <v>229</v>
      </c>
      <c r="C3" s="177"/>
      <c r="D3" s="177"/>
      <c r="E3" s="177"/>
      <c r="F3" s="177"/>
      <c r="G3" s="177"/>
      <c r="H3" s="177"/>
      <c r="I3" s="177"/>
      <c r="J3" s="177"/>
      <c r="K3" s="177"/>
      <c r="L3" s="177"/>
      <c r="M3" s="177"/>
      <c r="N3" s="177"/>
      <c r="O3" s="177"/>
      <c r="P3" s="177"/>
      <c r="Q3" s="177"/>
      <c r="R3" s="177"/>
      <c r="S3" s="177"/>
      <c r="T3" s="177"/>
      <c r="U3" s="177"/>
      <c r="V3" s="5"/>
    </row>
    <row r="4" spans="1:22" ht="15.6" x14ac:dyDescent="0.3">
      <c r="A4" s="175"/>
      <c r="B4" s="176"/>
      <c r="C4" s="177"/>
      <c r="D4" s="177"/>
      <c r="E4" s="177"/>
      <c r="F4" s="177"/>
      <c r="G4" s="177"/>
      <c r="H4" s="177"/>
      <c r="I4" s="177"/>
      <c r="J4" s="177"/>
      <c r="K4" s="177"/>
      <c r="L4" s="177"/>
      <c r="M4" s="177"/>
      <c r="N4" s="177"/>
      <c r="O4" s="177"/>
      <c r="P4" s="177"/>
      <c r="Q4" s="177"/>
      <c r="R4" s="177"/>
      <c r="S4" s="177"/>
      <c r="T4" s="177"/>
      <c r="U4" s="177"/>
      <c r="V4" s="5"/>
    </row>
    <row r="5" spans="1:22" ht="15.6" x14ac:dyDescent="0.3">
      <c r="A5" s="175"/>
      <c r="B5" s="229" t="s">
        <v>143</v>
      </c>
      <c r="C5" s="177"/>
      <c r="D5" s="177"/>
      <c r="E5" s="177"/>
      <c r="F5" s="177"/>
      <c r="G5" s="177"/>
      <c r="H5" s="177"/>
      <c r="I5" s="177"/>
      <c r="J5" s="177"/>
      <c r="K5" s="177"/>
      <c r="L5" s="177"/>
      <c r="M5" s="177"/>
      <c r="N5" s="177"/>
      <c r="O5" s="177"/>
      <c r="P5" s="177"/>
      <c r="Q5" s="177"/>
      <c r="R5" s="177"/>
      <c r="S5" s="177"/>
      <c r="T5" s="177"/>
      <c r="U5" s="177"/>
      <c r="V5" s="5"/>
    </row>
    <row r="6" spans="1:22" ht="15.6" x14ac:dyDescent="0.3">
      <c r="A6" s="175"/>
      <c r="B6" s="229" t="s">
        <v>145</v>
      </c>
      <c r="C6" s="177"/>
      <c r="D6" s="177"/>
      <c r="E6" s="177"/>
      <c r="F6" s="177"/>
      <c r="G6" s="177"/>
      <c r="H6" s="177"/>
      <c r="I6" s="177"/>
      <c r="J6" s="177"/>
      <c r="K6" s="177"/>
      <c r="L6" s="177"/>
      <c r="M6" s="177"/>
      <c r="N6" s="177"/>
      <c r="O6" s="177"/>
      <c r="P6" s="177"/>
      <c r="Q6" s="177"/>
      <c r="R6" s="177"/>
      <c r="S6" s="177"/>
      <c r="T6" s="177"/>
      <c r="U6" s="177"/>
      <c r="V6" s="5"/>
    </row>
    <row r="7" spans="1:22" ht="15.6" x14ac:dyDescent="0.3">
      <c r="A7" s="175"/>
      <c r="B7" s="229" t="s">
        <v>144</v>
      </c>
      <c r="C7" s="177"/>
      <c r="D7" s="177"/>
      <c r="E7" s="177"/>
      <c r="F7" s="177"/>
      <c r="G7" s="177"/>
      <c r="H7" s="177"/>
      <c r="I7" s="177"/>
      <c r="J7" s="177"/>
      <c r="K7" s="177"/>
      <c r="L7" s="177"/>
      <c r="M7" s="177"/>
      <c r="N7" s="177"/>
      <c r="O7" s="177"/>
      <c r="P7" s="177"/>
      <c r="Q7" s="177"/>
      <c r="R7" s="177"/>
      <c r="S7" s="177"/>
      <c r="T7" s="177"/>
      <c r="U7" s="177"/>
      <c r="V7" s="5"/>
    </row>
    <row r="8" spans="1:22" ht="15.6" x14ac:dyDescent="0.3">
      <c r="A8" s="175"/>
      <c r="B8" s="180"/>
      <c r="C8" s="177"/>
      <c r="D8" s="177"/>
      <c r="E8" s="177"/>
      <c r="F8" s="177"/>
      <c r="G8" s="177"/>
      <c r="H8" s="177"/>
      <c r="I8" s="177"/>
      <c r="J8" s="177"/>
      <c r="K8" s="177"/>
      <c r="L8" s="177"/>
      <c r="M8" s="177"/>
      <c r="N8" s="177"/>
      <c r="O8" s="177"/>
      <c r="P8" s="177"/>
      <c r="Q8" s="177"/>
      <c r="R8" s="177"/>
      <c r="S8" s="177"/>
      <c r="T8" s="177"/>
      <c r="U8" s="177"/>
      <c r="V8" s="5"/>
    </row>
    <row r="9" spans="1:22" ht="17.399999999999999" x14ac:dyDescent="0.3">
      <c r="A9" s="175"/>
      <c r="B9" s="181" t="s">
        <v>173</v>
      </c>
      <c r="C9" s="177"/>
      <c r="D9" s="177"/>
      <c r="E9" s="177"/>
      <c r="F9" s="177"/>
      <c r="G9" s="177"/>
      <c r="H9" s="177"/>
      <c r="I9" s="177"/>
      <c r="J9" s="182" t="s">
        <v>174</v>
      </c>
      <c r="K9" s="177"/>
      <c r="L9" s="182"/>
      <c r="M9" s="177"/>
      <c r="N9" s="177"/>
      <c r="O9" s="177"/>
      <c r="P9" s="177"/>
      <c r="Q9" s="177"/>
      <c r="R9" s="177"/>
      <c r="S9" s="177"/>
      <c r="T9" s="177"/>
      <c r="U9" s="177"/>
      <c r="V9" s="5"/>
    </row>
    <row r="10" spans="1:22" ht="15.6" x14ac:dyDescent="0.3">
      <c r="A10" s="175"/>
      <c r="B10" s="180"/>
      <c r="C10" s="183"/>
      <c r="D10" s="183"/>
      <c r="E10" s="183"/>
      <c r="F10" s="177"/>
      <c r="G10" s="177"/>
      <c r="H10" s="177"/>
      <c r="I10" s="177"/>
      <c r="J10" s="177"/>
      <c r="K10" s="177"/>
      <c r="L10" s="177"/>
      <c r="M10" s="177"/>
      <c r="N10" s="177"/>
      <c r="O10" s="177"/>
      <c r="P10" s="177"/>
      <c r="Q10" s="177"/>
      <c r="R10" s="177"/>
      <c r="S10" s="177"/>
      <c r="T10" s="177"/>
      <c r="U10" s="177"/>
      <c r="V10" s="5"/>
    </row>
    <row r="11" spans="1:22" ht="15.6" x14ac:dyDescent="0.3">
      <c r="A11" s="175"/>
      <c r="B11" s="230" t="s">
        <v>0</v>
      </c>
      <c r="C11" s="177"/>
      <c r="D11" s="177"/>
      <c r="E11" s="177"/>
      <c r="F11" s="177"/>
      <c r="G11" s="177"/>
      <c r="H11" s="177"/>
      <c r="I11" s="177"/>
      <c r="J11" s="177"/>
      <c r="K11" s="177"/>
      <c r="L11" s="177"/>
      <c r="M11" s="177"/>
      <c r="N11" s="177"/>
      <c r="O11" s="177"/>
      <c r="P11" s="177"/>
      <c r="Q11" s="177"/>
      <c r="R11" s="177"/>
      <c r="S11" s="177"/>
      <c r="T11" s="177"/>
      <c r="U11" s="177"/>
      <c r="V11" s="5"/>
    </row>
    <row r="12" spans="1:22" ht="16.2" thickBot="1" x14ac:dyDescent="0.35">
      <c r="A12" s="175"/>
      <c r="B12" s="183"/>
      <c r="C12" s="177"/>
      <c r="D12" s="177"/>
      <c r="E12" s="177"/>
      <c r="F12" s="177"/>
      <c r="G12" s="177"/>
      <c r="H12" s="177"/>
      <c r="I12" s="177"/>
      <c r="J12" s="177"/>
      <c r="K12" s="177"/>
      <c r="L12" s="177"/>
      <c r="M12" s="177"/>
      <c r="N12" s="177"/>
      <c r="O12" s="177"/>
      <c r="P12" s="177"/>
      <c r="Q12" s="177"/>
      <c r="R12" s="177"/>
      <c r="S12" s="177"/>
      <c r="T12" s="177"/>
      <c r="U12" s="177"/>
      <c r="V12" s="5"/>
    </row>
    <row r="13" spans="1:22" ht="15.6" x14ac:dyDescent="0.3">
      <c r="A13" s="173"/>
      <c r="B13" s="174"/>
      <c r="C13" s="174"/>
      <c r="D13" s="174"/>
      <c r="E13" s="174"/>
      <c r="F13" s="174"/>
      <c r="G13" s="174"/>
      <c r="H13" s="174"/>
      <c r="I13" s="174"/>
      <c r="J13" s="174"/>
      <c r="K13" s="174"/>
      <c r="L13" s="174"/>
      <c r="M13" s="174"/>
      <c r="N13" s="174"/>
      <c r="O13" s="174"/>
      <c r="P13" s="174"/>
      <c r="Q13" s="174"/>
      <c r="R13" s="174"/>
      <c r="S13" s="174"/>
      <c r="T13" s="174"/>
      <c r="U13" s="174"/>
      <c r="V13" s="5"/>
    </row>
    <row r="14" spans="1:22" ht="15.6" x14ac:dyDescent="0.3">
      <c r="A14" s="175"/>
      <c r="B14" s="230" t="s">
        <v>1</v>
      </c>
      <c r="C14" s="184"/>
      <c r="D14" s="184"/>
      <c r="E14" s="184"/>
      <c r="F14" s="184"/>
      <c r="G14" s="184"/>
      <c r="H14" s="184"/>
      <c r="I14" s="184"/>
      <c r="J14" s="184"/>
      <c r="K14" s="184"/>
      <c r="L14" s="184"/>
      <c r="M14" s="184"/>
      <c r="N14" s="184"/>
      <c r="O14" s="184"/>
      <c r="P14" s="231"/>
      <c r="Q14" s="231"/>
      <c r="R14" s="231"/>
      <c r="S14" s="231"/>
      <c r="T14" s="233" t="s">
        <v>230</v>
      </c>
      <c r="U14" s="184"/>
      <c r="V14" s="5"/>
    </row>
    <row r="15" spans="1:22" ht="15.6" x14ac:dyDescent="0.3">
      <c r="A15" s="175"/>
      <c r="B15" s="230" t="s">
        <v>2</v>
      </c>
      <c r="C15" s="184"/>
      <c r="D15" s="184"/>
      <c r="E15" s="184"/>
      <c r="F15" s="184"/>
      <c r="G15" s="184"/>
      <c r="H15" s="185"/>
      <c r="I15" s="185"/>
      <c r="J15" s="185"/>
      <c r="K15" s="185"/>
      <c r="L15" s="185"/>
      <c r="M15" s="185"/>
      <c r="N15" s="185"/>
      <c r="O15" s="185"/>
      <c r="P15" s="234" t="s">
        <v>107</v>
      </c>
      <c r="Q15" s="235">
        <v>0.40749999999999997</v>
      </c>
      <c r="R15" s="236" t="s">
        <v>146</v>
      </c>
      <c r="S15" s="235">
        <v>0.59250000000000003</v>
      </c>
      <c r="T15" s="233"/>
      <c r="U15" s="184"/>
      <c r="V15" s="5"/>
    </row>
    <row r="16" spans="1:22" ht="15.6" x14ac:dyDescent="0.3">
      <c r="A16" s="175"/>
      <c r="B16" s="230" t="s">
        <v>3</v>
      </c>
      <c r="C16" s="184"/>
      <c r="D16" s="184"/>
      <c r="E16" s="184"/>
      <c r="F16" s="184"/>
      <c r="G16" s="184"/>
      <c r="H16" s="185"/>
      <c r="I16" s="185"/>
      <c r="J16" s="185"/>
      <c r="K16" s="185"/>
      <c r="L16" s="185"/>
      <c r="M16" s="185"/>
      <c r="N16" s="185"/>
      <c r="O16" s="185"/>
      <c r="P16" s="234" t="s">
        <v>107</v>
      </c>
      <c r="Q16" s="235">
        <v>0.4511</v>
      </c>
      <c r="R16" s="236" t="s">
        <v>146</v>
      </c>
      <c r="S16" s="235">
        <v>0.54890000000000005</v>
      </c>
      <c r="T16" s="233"/>
      <c r="U16" s="184"/>
      <c r="V16" s="5"/>
    </row>
    <row r="17" spans="1:22" ht="15.6" x14ac:dyDescent="0.3">
      <c r="A17" s="175"/>
      <c r="B17" s="230" t="s">
        <v>4</v>
      </c>
      <c r="C17" s="184"/>
      <c r="D17" s="184"/>
      <c r="E17" s="184"/>
      <c r="F17" s="184"/>
      <c r="G17" s="184"/>
      <c r="H17" s="184"/>
      <c r="I17" s="184"/>
      <c r="J17" s="184"/>
      <c r="K17" s="184"/>
      <c r="L17" s="184"/>
      <c r="M17" s="184"/>
      <c r="N17" s="184"/>
      <c r="O17" s="184"/>
      <c r="P17" s="231"/>
      <c r="Q17" s="231"/>
      <c r="R17" s="231"/>
      <c r="S17" s="231"/>
      <c r="T17" s="237">
        <v>38799</v>
      </c>
      <c r="U17" s="184"/>
      <c r="V17" s="5"/>
    </row>
    <row r="18" spans="1:22" ht="15.6" x14ac:dyDescent="0.3">
      <c r="A18" s="175"/>
      <c r="B18" s="230" t="s">
        <v>5</v>
      </c>
      <c r="C18" s="184"/>
      <c r="D18" s="184"/>
      <c r="E18" s="184"/>
      <c r="F18" s="184"/>
      <c r="G18" s="184"/>
      <c r="H18" s="184"/>
      <c r="I18" s="184"/>
      <c r="J18" s="184"/>
      <c r="K18" s="184"/>
      <c r="L18" s="184"/>
      <c r="M18" s="184"/>
      <c r="N18" s="184"/>
      <c r="O18" s="184"/>
      <c r="P18" s="231"/>
      <c r="Q18" s="231"/>
      <c r="R18" s="231"/>
      <c r="S18" s="231"/>
      <c r="T18" s="237">
        <v>41201</v>
      </c>
      <c r="U18" s="184"/>
      <c r="V18" s="5"/>
    </row>
    <row r="19" spans="1:22" ht="15.6" x14ac:dyDescent="0.3">
      <c r="A19" s="175"/>
      <c r="B19" s="177"/>
      <c r="C19" s="177"/>
      <c r="D19" s="177"/>
      <c r="E19" s="177"/>
      <c r="F19" s="177"/>
      <c r="G19" s="177"/>
      <c r="H19" s="177"/>
      <c r="I19" s="177"/>
      <c r="J19" s="177"/>
      <c r="K19" s="177"/>
      <c r="L19" s="177"/>
      <c r="M19" s="177"/>
      <c r="N19" s="177"/>
      <c r="O19" s="177"/>
      <c r="P19" s="177"/>
      <c r="Q19" s="177"/>
      <c r="R19" s="177"/>
      <c r="S19" s="177"/>
      <c r="T19" s="186"/>
      <c r="U19" s="177"/>
      <c r="V19" s="5"/>
    </row>
    <row r="20" spans="1:22" ht="15.6" x14ac:dyDescent="0.3">
      <c r="A20" s="175"/>
      <c r="B20" s="232" t="s">
        <v>6</v>
      </c>
      <c r="C20" s="177"/>
      <c r="D20" s="177"/>
      <c r="E20" s="177"/>
      <c r="F20" s="177"/>
      <c r="G20" s="177"/>
      <c r="H20" s="177"/>
      <c r="I20" s="177"/>
      <c r="J20" s="177"/>
      <c r="K20" s="177"/>
      <c r="L20" s="177"/>
      <c r="M20" s="177"/>
      <c r="N20" s="177"/>
      <c r="O20" s="177"/>
      <c r="P20" s="177"/>
      <c r="Q20" s="177"/>
      <c r="R20" s="238" t="s">
        <v>108</v>
      </c>
      <c r="S20" s="177"/>
      <c r="T20" s="188"/>
      <c r="U20" s="177"/>
      <c r="V20" s="5"/>
    </row>
    <row r="21" spans="1:22" ht="15.6" x14ac:dyDescent="0.3">
      <c r="A21" s="175"/>
      <c r="B21" s="177"/>
      <c r="C21" s="177"/>
      <c r="D21" s="177"/>
      <c r="E21" s="177"/>
      <c r="F21" s="177"/>
      <c r="G21" s="177"/>
      <c r="H21" s="177"/>
      <c r="I21" s="177"/>
      <c r="J21" s="177"/>
      <c r="K21" s="177"/>
      <c r="L21" s="177"/>
      <c r="M21" s="177"/>
      <c r="N21" s="177"/>
      <c r="O21" s="177"/>
      <c r="P21" s="177"/>
      <c r="Q21" s="177"/>
      <c r="R21" s="177"/>
      <c r="S21" s="177"/>
      <c r="T21" s="189"/>
      <c r="U21" s="177"/>
      <c r="V21" s="5"/>
    </row>
    <row r="22" spans="1:22" ht="15.6" x14ac:dyDescent="0.3">
      <c r="A22" s="222"/>
      <c r="B22" s="223"/>
      <c r="C22" s="224"/>
      <c r="D22" s="224" t="s">
        <v>184</v>
      </c>
      <c r="E22" s="224"/>
      <c r="F22" s="224" t="s">
        <v>185</v>
      </c>
      <c r="G22" s="224"/>
      <c r="H22" s="224" t="s">
        <v>186</v>
      </c>
      <c r="I22" s="224"/>
      <c r="J22" s="224" t="s">
        <v>187</v>
      </c>
      <c r="K22" s="224"/>
      <c r="L22" s="224" t="s">
        <v>188</v>
      </c>
      <c r="M22" s="224"/>
      <c r="N22" s="224" t="s">
        <v>189</v>
      </c>
      <c r="O22" s="224"/>
      <c r="P22" s="224"/>
      <c r="Q22" s="226"/>
      <c r="R22" s="226"/>
      <c r="S22" s="227"/>
      <c r="T22" s="227"/>
      <c r="U22" s="223"/>
      <c r="V22" s="5"/>
    </row>
    <row r="23" spans="1:22" ht="15.6" x14ac:dyDescent="0.3">
      <c r="A23" s="190"/>
      <c r="B23" s="239" t="s">
        <v>7</v>
      </c>
      <c r="C23" s="240"/>
      <c r="D23" s="240" t="s">
        <v>222</v>
      </c>
      <c r="E23" s="240"/>
      <c r="F23" s="240" t="s">
        <v>147</v>
      </c>
      <c r="G23" s="240"/>
      <c r="H23" s="240" t="s">
        <v>147</v>
      </c>
      <c r="I23" s="240"/>
      <c r="J23" s="240" t="s">
        <v>190</v>
      </c>
      <c r="K23" s="240"/>
      <c r="L23" s="240" t="s">
        <v>190</v>
      </c>
      <c r="M23" s="240"/>
      <c r="N23" s="240" t="s">
        <v>148</v>
      </c>
      <c r="O23" s="240"/>
      <c r="P23" s="240"/>
      <c r="Q23" s="240"/>
      <c r="R23" s="240"/>
      <c r="S23" s="241"/>
      <c r="T23" s="241"/>
      <c r="U23" s="239"/>
      <c r="V23" s="5"/>
    </row>
    <row r="24" spans="1:22" ht="15.6" x14ac:dyDescent="0.3">
      <c r="A24" s="284"/>
      <c r="B24" s="285" t="s">
        <v>8</v>
      </c>
      <c r="C24" s="286"/>
      <c r="D24" s="286" t="s">
        <v>223</v>
      </c>
      <c r="E24" s="286"/>
      <c r="F24" s="286" t="s">
        <v>149</v>
      </c>
      <c r="G24" s="286"/>
      <c r="H24" s="286" t="s">
        <v>149</v>
      </c>
      <c r="I24" s="286"/>
      <c r="J24" s="286" t="s">
        <v>172</v>
      </c>
      <c r="K24" s="286"/>
      <c r="L24" s="286" t="s">
        <v>172</v>
      </c>
      <c r="M24" s="286"/>
      <c r="N24" s="286" t="s">
        <v>150</v>
      </c>
      <c r="O24" s="286"/>
      <c r="P24" s="286"/>
      <c r="Q24" s="286"/>
      <c r="R24" s="286"/>
      <c r="S24" s="287"/>
      <c r="T24" s="287"/>
      <c r="U24" s="288"/>
      <c r="V24" s="5"/>
    </row>
    <row r="25" spans="1:22" ht="15.6" x14ac:dyDescent="0.3">
      <c r="A25" s="289"/>
      <c r="B25" s="285" t="s">
        <v>198</v>
      </c>
      <c r="C25" s="394"/>
      <c r="D25" s="286" t="s">
        <v>224</v>
      </c>
      <c r="E25" s="286"/>
      <c r="F25" s="286" t="s">
        <v>149</v>
      </c>
      <c r="G25" s="286"/>
      <c r="H25" s="286" t="s">
        <v>149</v>
      </c>
      <c r="I25" s="286"/>
      <c r="J25" s="286" t="s">
        <v>172</v>
      </c>
      <c r="K25" s="286"/>
      <c r="L25" s="286" t="s">
        <v>172</v>
      </c>
      <c r="M25" s="286"/>
      <c r="N25" s="286" t="s">
        <v>150</v>
      </c>
      <c r="O25" s="286"/>
      <c r="P25" s="286"/>
      <c r="Q25" s="394"/>
      <c r="R25" s="286"/>
      <c r="S25" s="287"/>
      <c r="T25" s="287"/>
      <c r="U25" s="288"/>
      <c r="V25" s="5"/>
    </row>
    <row r="26" spans="1:22" ht="15.6" x14ac:dyDescent="0.3">
      <c r="A26" s="289"/>
      <c r="B26" s="292" t="s">
        <v>9</v>
      </c>
      <c r="C26" s="394"/>
      <c r="D26" s="394" t="s">
        <v>306</v>
      </c>
      <c r="E26" s="394"/>
      <c r="F26" s="394" t="s">
        <v>147</v>
      </c>
      <c r="G26" s="394"/>
      <c r="H26" s="394" t="s">
        <v>147</v>
      </c>
      <c r="I26" s="394"/>
      <c r="J26" s="394" t="s">
        <v>190</v>
      </c>
      <c r="K26" s="394"/>
      <c r="L26" s="394" t="s">
        <v>190</v>
      </c>
      <c r="M26" s="394"/>
      <c r="N26" s="394" t="s">
        <v>148</v>
      </c>
      <c r="O26" s="394"/>
      <c r="P26" s="394"/>
      <c r="Q26" s="394"/>
      <c r="R26" s="286"/>
      <c r="S26" s="287"/>
      <c r="T26" s="287"/>
      <c r="U26" s="288"/>
      <c r="V26" s="5"/>
    </row>
    <row r="27" spans="1:22" ht="15.6" x14ac:dyDescent="0.3">
      <c r="A27" s="284"/>
      <c r="B27" s="292" t="s">
        <v>199</v>
      </c>
      <c r="C27" s="286"/>
      <c r="D27" s="394" t="s">
        <v>307</v>
      </c>
      <c r="E27" s="394"/>
      <c r="F27" s="394" t="s">
        <v>172</v>
      </c>
      <c r="G27" s="394"/>
      <c r="H27" s="394" t="s">
        <v>172</v>
      </c>
      <c r="I27" s="394"/>
      <c r="J27" s="394" t="s">
        <v>150</v>
      </c>
      <c r="K27" s="394"/>
      <c r="L27" s="394" t="s">
        <v>150</v>
      </c>
      <c r="M27" s="394"/>
      <c r="N27" s="394" t="s">
        <v>308</v>
      </c>
      <c r="O27" s="394"/>
      <c r="P27" s="394"/>
      <c r="Q27" s="286"/>
      <c r="R27" s="293"/>
      <c r="S27" s="287"/>
      <c r="T27" s="287"/>
      <c r="U27" s="288"/>
      <c r="V27" s="5"/>
    </row>
    <row r="28" spans="1:22" ht="15.6" x14ac:dyDescent="0.3">
      <c r="A28" s="284"/>
      <c r="B28" s="292" t="s">
        <v>200</v>
      </c>
      <c r="C28" s="286"/>
      <c r="D28" s="394" t="s">
        <v>302</v>
      </c>
      <c r="E28" s="394"/>
      <c r="F28" s="394" t="s">
        <v>149</v>
      </c>
      <c r="G28" s="394"/>
      <c r="H28" s="394" t="s">
        <v>149</v>
      </c>
      <c r="I28" s="394"/>
      <c r="J28" s="394" t="s">
        <v>172</v>
      </c>
      <c r="K28" s="394"/>
      <c r="L28" s="394" t="s">
        <v>172</v>
      </c>
      <c r="M28" s="394"/>
      <c r="N28" s="394" t="s">
        <v>150</v>
      </c>
      <c r="O28" s="394"/>
      <c r="P28" s="394"/>
      <c r="Q28" s="286"/>
      <c r="R28" s="293"/>
      <c r="S28" s="287"/>
      <c r="T28" s="287"/>
      <c r="U28" s="288"/>
      <c r="V28" s="5"/>
    </row>
    <row r="29" spans="1:22" ht="15.6" x14ac:dyDescent="0.3">
      <c r="A29" s="284"/>
      <c r="B29" s="285" t="s">
        <v>10</v>
      </c>
      <c r="C29" s="295"/>
      <c r="D29" s="286" t="s">
        <v>237</v>
      </c>
      <c r="E29" s="286"/>
      <c r="F29" s="293" t="s">
        <v>238</v>
      </c>
      <c r="G29" s="286"/>
      <c r="H29" s="286" t="s">
        <v>239</v>
      </c>
      <c r="I29" s="286"/>
      <c r="J29" s="286" t="s">
        <v>240</v>
      </c>
      <c r="K29" s="286"/>
      <c r="L29" s="286" t="s">
        <v>241</v>
      </c>
      <c r="M29" s="286"/>
      <c r="N29" s="286" t="s">
        <v>242</v>
      </c>
      <c r="O29" s="286"/>
      <c r="P29" s="286"/>
      <c r="Q29" s="296"/>
      <c r="R29" s="296"/>
      <c r="S29" s="297"/>
      <c r="T29" s="296"/>
      <c r="U29" s="298"/>
      <c r="V29" s="5"/>
    </row>
    <row r="30" spans="1:22" ht="15.6" x14ac:dyDescent="0.3">
      <c r="A30" s="284"/>
      <c r="B30" s="285" t="s">
        <v>10</v>
      </c>
      <c r="C30" s="295"/>
      <c r="D30" s="286" t="s">
        <v>236</v>
      </c>
      <c r="E30" s="286"/>
      <c r="F30" s="293" t="s">
        <v>124</v>
      </c>
      <c r="G30" s="286"/>
      <c r="H30" s="286" t="s">
        <v>124</v>
      </c>
      <c r="I30" s="286"/>
      <c r="J30" s="286" t="s">
        <v>124</v>
      </c>
      <c r="K30" s="286"/>
      <c r="L30" s="286" t="s">
        <v>124</v>
      </c>
      <c r="M30" s="286"/>
      <c r="N30" s="286" t="s">
        <v>124</v>
      </c>
      <c r="O30" s="286"/>
      <c r="P30" s="286"/>
      <c r="Q30" s="296"/>
      <c r="R30" s="296"/>
      <c r="S30" s="297"/>
      <c r="T30" s="296"/>
      <c r="U30" s="298"/>
      <c r="V30" s="5"/>
    </row>
    <row r="31" spans="1:22" ht="15.6" x14ac:dyDescent="0.3">
      <c r="A31" s="289"/>
      <c r="B31" s="285" t="s">
        <v>139</v>
      </c>
      <c r="C31" s="299"/>
      <c r="D31" s="300">
        <v>985000</v>
      </c>
      <c r="E31" s="295"/>
      <c r="F31" s="296">
        <v>149500</v>
      </c>
      <c r="G31" s="296"/>
      <c r="H31" s="301">
        <v>219700</v>
      </c>
      <c r="I31" s="296"/>
      <c r="J31" s="296">
        <v>16000</v>
      </c>
      <c r="K31" s="296"/>
      <c r="L31" s="301">
        <v>82400</v>
      </c>
      <c r="M31" s="296"/>
      <c r="N31" s="301">
        <v>87500</v>
      </c>
      <c r="O31" s="296"/>
      <c r="P31" s="301"/>
      <c r="Q31" s="302"/>
      <c r="R31" s="302"/>
      <c r="S31" s="303"/>
      <c r="T31" s="302"/>
      <c r="U31" s="298"/>
      <c r="V31" s="5"/>
    </row>
    <row r="32" spans="1:22" ht="15.6" x14ac:dyDescent="0.3">
      <c r="A32" s="284"/>
      <c r="B32" s="285" t="s">
        <v>138</v>
      </c>
      <c r="C32" s="295"/>
      <c r="D32" s="300">
        <f>D38*D31</f>
        <v>484361.24050000001</v>
      </c>
      <c r="E32" s="295"/>
      <c r="F32" s="296">
        <f>F38*F31</f>
        <v>73514.8609</v>
      </c>
      <c r="G32" s="296"/>
      <c r="H32" s="301">
        <f>H38*H31</f>
        <v>108034.88254000001</v>
      </c>
      <c r="I32" s="296"/>
      <c r="J32" s="296">
        <f>+J31</f>
        <v>16000</v>
      </c>
      <c r="K32" s="296"/>
      <c r="L32" s="301">
        <f>+L31</f>
        <v>82400</v>
      </c>
      <c r="M32" s="296"/>
      <c r="N32" s="301">
        <f>+N31</f>
        <v>87500</v>
      </c>
      <c r="O32" s="296"/>
      <c r="P32" s="301"/>
      <c r="Q32" s="296"/>
      <c r="R32" s="296"/>
      <c r="S32" s="297"/>
      <c r="T32" s="296"/>
      <c r="U32" s="298"/>
      <c r="V32" s="5"/>
    </row>
    <row r="33" spans="1:22" ht="15.6" x14ac:dyDescent="0.3">
      <c r="A33" s="284"/>
      <c r="B33" s="292" t="s">
        <v>140</v>
      </c>
      <c r="C33" s="295"/>
      <c r="D33" s="304">
        <f>D37*D31</f>
        <v>479033.47399999999</v>
      </c>
      <c r="E33" s="299"/>
      <c r="F33" s="302">
        <f>F37*F31</f>
        <v>72706.24530000001</v>
      </c>
      <c r="G33" s="302"/>
      <c r="H33" s="305">
        <f>H31*H37</f>
        <v>106846.56918000001</v>
      </c>
      <c r="I33" s="302"/>
      <c r="J33" s="302">
        <f>J31*J37</f>
        <v>16000</v>
      </c>
      <c r="K33" s="302"/>
      <c r="L33" s="305">
        <f>L31*L37</f>
        <v>82400</v>
      </c>
      <c r="M33" s="302"/>
      <c r="N33" s="305">
        <f>N31*N37</f>
        <v>87500</v>
      </c>
      <c r="O33" s="302"/>
      <c r="P33" s="305"/>
      <c r="Q33" s="296"/>
      <c r="R33" s="296"/>
      <c r="S33" s="297"/>
      <c r="T33" s="296"/>
      <c r="U33" s="298"/>
      <c r="V33" s="5"/>
    </row>
    <row r="34" spans="1:22" ht="15.6" x14ac:dyDescent="0.3">
      <c r="A34" s="289"/>
      <c r="B34" s="285" t="s">
        <v>283</v>
      </c>
      <c r="C34" s="299"/>
      <c r="D34" s="296">
        <v>567282</v>
      </c>
      <c r="E34" s="295"/>
      <c r="F34" s="296">
        <v>149500</v>
      </c>
      <c r="G34" s="296"/>
      <c r="H34" s="296">
        <v>150716</v>
      </c>
      <c r="I34" s="296"/>
      <c r="J34" s="296">
        <v>16000</v>
      </c>
      <c r="K34" s="296"/>
      <c r="L34" s="296">
        <v>56527</v>
      </c>
      <c r="M34" s="296"/>
      <c r="N34" s="296">
        <v>60025</v>
      </c>
      <c r="O34" s="296"/>
      <c r="P34" s="296"/>
      <c r="Q34" s="302"/>
      <c r="R34" s="302"/>
      <c r="S34" s="303"/>
      <c r="T34" s="296">
        <f>SUM(C34:P34)</f>
        <v>1000050</v>
      </c>
      <c r="U34" s="298"/>
      <c r="V34" s="5"/>
    </row>
    <row r="35" spans="1:22" ht="15.6" x14ac:dyDescent="0.3">
      <c r="A35" s="289"/>
      <c r="B35" s="285" t="s">
        <v>284</v>
      </c>
      <c r="C35" s="299"/>
      <c r="D35" s="296">
        <f>D38*D34</f>
        <v>278953.71901860001</v>
      </c>
      <c r="E35" s="295"/>
      <c r="F35" s="296">
        <f>F38*F34</f>
        <v>73514.8609</v>
      </c>
      <c r="G35" s="296"/>
      <c r="H35" s="296">
        <f>H38*H34</f>
        <v>74112.814551200005</v>
      </c>
      <c r="I35" s="296"/>
      <c r="J35" s="296">
        <f>+J34</f>
        <v>16000</v>
      </c>
      <c r="K35" s="296"/>
      <c r="L35" s="296">
        <f>+L34</f>
        <v>56527</v>
      </c>
      <c r="M35" s="296"/>
      <c r="N35" s="296">
        <f>+N34</f>
        <v>60025</v>
      </c>
      <c r="O35" s="296"/>
      <c r="P35" s="296"/>
      <c r="Q35" s="296"/>
      <c r="R35" s="296"/>
      <c r="S35" s="297"/>
      <c r="T35" s="296">
        <f>SUM(C35:P35)+1</f>
        <v>559134.39446980006</v>
      </c>
      <c r="U35" s="298"/>
      <c r="V35" s="5"/>
    </row>
    <row r="36" spans="1:22" ht="15.6" x14ac:dyDescent="0.3">
      <c r="A36" s="289"/>
      <c r="B36" s="292" t="s">
        <v>285</v>
      </c>
      <c r="C36" s="299"/>
      <c r="D36" s="302">
        <f>D37*D34</f>
        <v>275885.34740879998</v>
      </c>
      <c r="E36" s="299"/>
      <c r="F36" s="302">
        <f>F37*F34</f>
        <v>72706.24530000001</v>
      </c>
      <c r="G36" s="302"/>
      <c r="H36" s="302">
        <f>H37*H34</f>
        <v>73297.621850399999</v>
      </c>
      <c r="I36" s="302"/>
      <c r="J36" s="302">
        <f>+J34</f>
        <v>16000</v>
      </c>
      <c r="K36" s="302"/>
      <c r="L36" s="302">
        <f>+L34</f>
        <v>56527</v>
      </c>
      <c r="M36" s="302"/>
      <c r="N36" s="302">
        <f>+N34</f>
        <v>60025</v>
      </c>
      <c r="O36" s="302"/>
      <c r="P36" s="302"/>
      <c r="Q36" s="327"/>
      <c r="R36" s="327"/>
      <c r="S36" s="297"/>
      <c r="T36" s="302">
        <f>SUM(C36:P36)+1</f>
        <v>554442.21455919999</v>
      </c>
      <c r="U36" s="298"/>
      <c r="V36" s="5"/>
    </row>
    <row r="37" spans="1:22" ht="15.6" x14ac:dyDescent="0.3">
      <c r="A37" s="284"/>
      <c r="B37" s="310" t="s">
        <v>136</v>
      </c>
      <c r="C37" s="311"/>
      <c r="D37" s="312">
        <v>0.48632839999999999</v>
      </c>
      <c r="E37" s="313"/>
      <c r="F37" s="312">
        <v>0.48632940000000002</v>
      </c>
      <c r="G37" s="314"/>
      <c r="H37" s="312">
        <v>0.48632940000000002</v>
      </c>
      <c r="I37" s="314"/>
      <c r="J37" s="312">
        <v>1</v>
      </c>
      <c r="K37" s="314"/>
      <c r="L37" s="312">
        <v>1</v>
      </c>
      <c r="M37" s="314"/>
      <c r="N37" s="312">
        <v>1</v>
      </c>
      <c r="O37" s="314"/>
      <c r="P37" s="314"/>
      <c r="Q37" s="315"/>
      <c r="R37" s="315"/>
      <c r="S37" s="316"/>
      <c r="T37" s="316"/>
      <c r="U37" s="317"/>
      <c r="V37" s="5"/>
    </row>
    <row r="38" spans="1:22" ht="15.6" x14ac:dyDescent="0.3">
      <c r="A38" s="284"/>
      <c r="B38" s="310" t="s">
        <v>137</v>
      </c>
      <c r="C38" s="311"/>
      <c r="D38" s="312">
        <v>0.49173729999999999</v>
      </c>
      <c r="E38" s="313"/>
      <c r="F38" s="312">
        <v>0.49173820000000001</v>
      </c>
      <c r="G38" s="314"/>
      <c r="H38" s="312">
        <v>0.49173820000000001</v>
      </c>
      <c r="I38" s="314"/>
      <c r="J38" s="312">
        <v>1</v>
      </c>
      <c r="K38" s="312"/>
      <c r="L38" s="312">
        <v>1</v>
      </c>
      <c r="M38" s="312"/>
      <c r="N38" s="312">
        <v>1</v>
      </c>
      <c r="O38" s="314"/>
      <c r="P38" s="314"/>
      <c r="Q38" s="318"/>
      <c r="R38" s="319"/>
      <c r="S38" s="316"/>
      <c r="T38" s="318"/>
      <c r="U38" s="317"/>
      <c r="V38" s="5"/>
    </row>
    <row r="39" spans="1:22" ht="15.6" x14ac:dyDescent="0.3">
      <c r="A39" s="284"/>
      <c r="B39" s="285" t="s">
        <v>11</v>
      </c>
      <c r="C39" s="285"/>
      <c r="D39" s="293" t="s">
        <v>275</v>
      </c>
      <c r="E39" s="285"/>
      <c r="F39" s="293" t="s">
        <v>232</v>
      </c>
      <c r="G39" s="293"/>
      <c r="H39" s="293" t="s">
        <v>232</v>
      </c>
      <c r="I39" s="293"/>
      <c r="J39" s="293" t="s">
        <v>234</v>
      </c>
      <c r="K39" s="293"/>
      <c r="L39" s="293" t="s">
        <v>234</v>
      </c>
      <c r="M39" s="293"/>
      <c r="N39" s="293" t="s">
        <v>235</v>
      </c>
      <c r="O39" s="293"/>
      <c r="P39" s="293"/>
      <c r="Q39" s="320"/>
      <c r="R39" s="321"/>
      <c r="S39" s="287"/>
      <c r="T39" s="287"/>
      <c r="U39" s="288"/>
      <c r="V39" s="5"/>
    </row>
    <row r="40" spans="1:22" ht="15.6" x14ac:dyDescent="0.3">
      <c r="A40" s="284"/>
      <c r="B40" s="285" t="s">
        <v>12</v>
      </c>
      <c r="C40" s="285"/>
      <c r="D40" s="321">
        <v>3.2074999999999998E-3</v>
      </c>
      <c r="E40" s="285"/>
      <c r="F40" s="321">
        <v>1.06838E-2</v>
      </c>
      <c r="G40" s="320"/>
      <c r="H40" s="321">
        <v>7.3699999999999998E-3</v>
      </c>
      <c r="I40" s="320"/>
      <c r="J40" s="321">
        <v>1.30838E-2</v>
      </c>
      <c r="K40" s="320"/>
      <c r="L40" s="321">
        <v>9.7699999999999992E-3</v>
      </c>
      <c r="M40" s="320"/>
      <c r="N40" s="321">
        <v>1.397E-2</v>
      </c>
      <c r="O40" s="320"/>
      <c r="P40" s="321"/>
      <c r="Q40" s="320"/>
      <c r="R40" s="321"/>
      <c r="S40" s="287"/>
      <c r="T40" s="293"/>
      <c r="U40" s="288"/>
      <c r="V40" s="5"/>
    </row>
    <row r="41" spans="1:22" ht="15.6" x14ac:dyDescent="0.3">
      <c r="A41" s="284"/>
      <c r="B41" s="285" t="s">
        <v>13</v>
      </c>
      <c r="C41" s="285"/>
      <c r="D41" s="321">
        <v>3.4175E-3</v>
      </c>
      <c r="E41" s="285"/>
      <c r="F41" s="321">
        <v>1.2574999999999999E-2</v>
      </c>
      <c r="G41" s="320"/>
      <c r="H41" s="321">
        <v>9.9699999999999997E-3</v>
      </c>
      <c r="I41" s="320"/>
      <c r="J41" s="321">
        <v>1.4975E-2</v>
      </c>
      <c r="K41" s="320"/>
      <c r="L41" s="321">
        <v>1.2370000000000001E-2</v>
      </c>
      <c r="M41" s="320"/>
      <c r="N41" s="321">
        <v>1.6570000000000001E-2</v>
      </c>
      <c r="O41" s="320"/>
      <c r="P41" s="321"/>
      <c r="Q41" s="320"/>
      <c r="R41" s="321"/>
      <c r="S41" s="287"/>
      <c r="T41" s="320" t="s">
        <v>201</v>
      </c>
      <c r="U41" s="288"/>
      <c r="V41" s="5"/>
    </row>
    <row r="42" spans="1:22" ht="15.6" x14ac:dyDescent="0.3">
      <c r="A42" s="284"/>
      <c r="B42" s="285" t="s">
        <v>286</v>
      </c>
      <c r="C42" s="285"/>
      <c r="D42" s="293" t="s">
        <v>231</v>
      </c>
      <c r="E42" s="285"/>
      <c r="F42" s="293" t="s">
        <v>232</v>
      </c>
      <c r="G42" s="293"/>
      <c r="H42" s="293" t="s">
        <v>232</v>
      </c>
      <c r="I42" s="293"/>
      <c r="J42" s="293" t="s">
        <v>234</v>
      </c>
      <c r="K42" s="293"/>
      <c r="L42" s="293" t="s">
        <v>245</v>
      </c>
      <c r="M42" s="293"/>
      <c r="N42" s="293" t="s">
        <v>247</v>
      </c>
      <c r="O42" s="293"/>
      <c r="P42" s="293"/>
      <c r="Q42" s="320"/>
      <c r="R42" s="321"/>
      <c r="S42" s="287"/>
      <c r="T42" s="287"/>
      <c r="U42" s="288"/>
      <c r="V42" s="5"/>
    </row>
    <row r="43" spans="1:22" ht="15.6" x14ac:dyDescent="0.3">
      <c r="A43" s="284"/>
      <c r="B43" s="285" t="s">
        <v>287</v>
      </c>
      <c r="C43" s="322"/>
      <c r="D43" s="321">
        <v>9.5200000000000007E-3</v>
      </c>
      <c r="E43" s="321"/>
      <c r="F43" s="321">
        <f>+F40</f>
        <v>1.06838E-2</v>
      </c>
      <c r="G43" s="321"/>
      <c r="H43" s="321">
        <v>1.06798E-2</v>
      </c>
      <c r="I43" s="321"/>
      <c r="J43" s="321">
        <f>+J40</f>
        <v>1.30838E-2</v>
      </c>
      <c r="K43" s="321"/>
      <c r="L43" s="321">
        <v>1.33898E-2</v>
      </c>
      <c r="M43" s="321"/>
      <c r="N43" s="321">
        <v>1.80938E-2</v>
      </c>
      <c r="O43" s="320"/>
      <c r="P43" s="321"/>
      <c r="Q43" s="293"/>
      <c r="R43" s="293"/>
      <c r="S43" s="287"/>
      <c r="T43" s="320">
        <f>SUMPRODUCT(D43:N43,D35:N35)/T35</f>
        <v>1.1240363577247002E-2</v>
      </c>
      <c r="U43" s="288"/>
      <c r="V43" s="5"/>
    </row>
    <row r="44" spans="1:22" ht="15.6" x14ac:dyDescent="0.3">
      <c r="A44" s="284"/>
      <c r="B44" s="285" t="s">
        <v>288</v>
      </c>
      <c r="C44" s="322"/>
      <c r="D44" s="321">
        <v>1.14112E-2</v>
      </c>
      <c r="E44" s="321"/>
      <c r="F44" s="321">
        <f>+F41</f>
        <v>1.2574999999999999E-2</v>
      </c>
      <c r="G44" s="321"/>
      <c r="H44" s="321">
        <v>1.2571000000000001E-2</v>
      </c>
      <c r="I44" s="321"/>
      <c r="J44" s="321">
        <f>+J41</f>
        <v>1.4975E-2</v>
      </c>
      <c r="K44" s="321"/>
      <c r="L44" s="321">
        <v>1.5280999999999999E-2</v>
      </c>
      <c r="M44" s="321"/>
      <c r="N44" s="321">
        <v>1.9984999999999999E-2</v>
      </c>
      <c r="O44" s="320"/>
      <c r="P44" s="321"/>
      <c r="Q44" s="293"/>
      <c r="R44" s="293"/>
      <c r="S44" s="287"/>
      <c r="T44" s="287"/>
      <c r="U44" s="288"/>
      <c r="V44" s="5"/>
    </row>
    <row r="45" spans="1:22" ht="15.6" x14ac:dyDescent="0.3">
      <c r="A45" s="284"/>
      <c r="B45" s="285" t="s">
        <v>14</v>
      </c>
      <c r="C45" s="285"/>
      <c r="D45" s="322">
        <v>40283</v>
      </c>
      <c r="E45" s="322"/>
      <c r="F45" s="322">
        <v>40283</v>
      </c>
      <c r="G45" s="322"/>
      <c r="H45" s="322">
        <v>40283</v>
      </c>
      <c r="I45" s="322"/>
      <c r="J45" s="322">
        <v>40283</v>
      </c>
      <c r="K45" s="322"/>
      <c r="L45" s="322">
        <v>40283</v>
      </c>
      <c r="M45" s="322"/>
      <c r="N45" s="322">
        <v>40283</v>
      </c>
      <c r="O45" s="322"/>
      <c r="P45" s="322"/>
      <c r="Q45" s="293"/>
      <c r="R45" s="293"/>
      <c r="S45" s="287"/>
      <c r="T45" s="287"/>
      <c r="U45" s="288"/>
      <c r="V45" s="5"/>
    </row>
    <row r="46" spans="1:22" ht="15.6" x14ac:dyDescent="0.3">
      <c r="A46" s="284"/>
      <c r="B46" s="285" t="s">
        <v>15</v>
      </c>
      <c r="C46" s="285"/>
      <c r="D46" s="322">
        <v>40648</v>
      </c>
      <c r="E46" s="322"/>
      <c r="F46" s="322">
        <v>40648</v>
      </c>
      <c r="G46" s="322"/>
      <c r="H46" s="322">
        <v>40648</v>
      </c>
      <c r="I46" s="293"/>
      <c r="J46" s="322">
        <v>40648</v>
      </c>
      <c r="K46" s="293"/>
      <c r="L46" s="322">
        <v>40648</v>
      </c>
      <c r="M46" s="293"/>
      <c r="N46" s="322">
        <v>40648</v>
      </c>
      <c r="O46" s="293"/>
      <c r="P46" s="322"/>
      <c r="Q46" s="293"/>
      <c r="R46" s="293"/>
      <c r="S46" s="287"/>
      <c r="T46" s="287"/>
      <c r="U46" s="288"/>
      <c r="V46" s="5"/>
    </row>
    <row r="47" spans="1:22" ht="15.6" x14ac:dyDescent="0.3">
      <c r="A47" s="284"/>
      <c r="B47" s="285" t="s">
        <v>125</v>
      </c>
      <c r="C47" s="285"/>
      <c r="D47" s="293" t="s">
        <v>124</v>
      </c>
      <c r="E47" s="285"/>
      <c r="F47" s="293" t="s">
        <v>232</v>
      </c>
      <c r="G47" s="293"/>
      <c r="H47" s="293" t="s">
        <v>232</v>
      </c>
      <c r="I47" s="293"/>
      <c r="J47" s="293" t="s">
        <v>234</v>
      </c>
      <c r="K47" s="293"/>
      <c r="L47" s="293" t="s">
        <v>234</v>
      </c>
      <c r="M47" s="293"/>
      <c r="N47" s="293" t="s">
        <v>235</v>
      </c>
      <c r="O47" s="293"/>
      <c r="P47" s="293"/>
      <c r="Q47" s="324"/>
      <c r="R47" s="324"/>
      <c r="S47" s="324"/>
      <c r="T47" s="324"/>
      <c r="U47" s="288"/>
      <c r="V47" s="5"/>
    </row>
    <row r="48" spans="1:22" ht="15.6" x14ac:dyDescent="0.3">
      <c r="A48" s="284"/>
      <c r="B48" s="285" t="s">
        <v>289</v>
      </c>
      <c r="C48" s="285"/>
      <c r="D48" s="293" t="s">
        <v>208</v>
      </c>
      <c r="E48" s="285"/>
      <c r="F48" s="293" t="s">
        <v>232</v>
      </c>
      <c r="G48" s="293"/>
      <c r="H48" s="293" t="s">
        <v>232</v>
      </c>
      <c r="I48" s="293"/>
      <c r="J48" s="293" t="s">
        <v>234</v>
      </c>
      <c r="K48" s="293"/>
      <c r="L48" s="293" t="s">
        <v>245</v>
      </c>
      <c r="M48" s="293"/>
      <c r="N48" s="293" t="s">
        <v>247</v>
      </c>
      <c r="O48" s="293"/>
      <c r="P48" s="293"/>
      <c r="Q48" s="285"/>
      <c r="R48" s="285"/>
      <c r="S48" s="285"/>
      <c r="T48" s="320"/>
      <c r="U48" s="288"/>
      <c r="V48" s="5"/>
    </row>
    <row r="49" spans="1:23" ht="15.6" x14ac:dyDescent="0.3">
      <c r="A49" s="284"/>
      <c r="B49" s="285"/>
      <c r="C49" s="285"/>
      <c r="D49" s="293"/>
      <c r="E49" s="285"/>
      <c r="F49" s="293"/>
      <c r="G49" s="293"/>
      <c r="H49" s="293"/>
      <c r="I49" s="293"/>
      <c r="J49" s="293"/>
      <c r="K49" s="293"/>
      <c r="L49" s="293"/>
      <c r="M49" s="293"/>
      <c r="N49" s="293"/>
      <c r="O49" s="293"/>
      <c r="P49" s="293"/>
      <c r="Q49" s="285"/>
      <c r="R49" s="285"/>
      <c r="S49" s="285"/>
      <c r="T49" s="320" t="s">
        <v>201</v>
      </c>
      <c r="U49" s="288"/>
      <c r="V49" s="5"/>
    </row>
    <row r="50" spans="1:23" ht="15.6" x14ac:dyDescent="0.3">
      <c r="A50" s="284"/>
      <c r="B50" s="285" t="s">
        <v>176</v>
      </c>
      <c r="C50" s="285"/>
      <c r="D50" s="293"/>
      <c r="E50" s="285"/>
      <c r="F50" s="293"/>
      <c r="G50" s="293"/>
      <c r="H50" s="293"/>
      <c r="I50" s="293"/>
      <c r="J50" s="293"/>
      <c r="K50" s="293"/>
      <c r="L50" s="293"/>
      <c r="M50" s="293"/>
      <c r="N50" s="293"/>
      <c r="O50" s="293"/>
      <c r="P50" s="293"/>
      <c r="Q50" s="285"/>
      <c r="R50" s="285"/>
      <c r="S50" s="285"/>
      <c r="T50" s="320">
        <f>SUM(J34:P34)/SUM(D34:H34)</f>
        <v>0.15279804679664968</v>
      </c>
      <c r="U50" s="288"/>
      <c r="V50" s="5"/>
    </row>
    <row r="51" spans="1:23" ht="15.6" x14ac:dyDescent="0.3">
      <c r="A51" s="284"/>
      <c r="B51" s="285" t="s">
        <v>177</v>
      </c>
      <c r="C51" s="285"/>
      <c r="D51" s="285"/>
      <c r="E51" s="285"/>
      <c r="F51" s="325"/>
      <c r="G51" s="285"/>
      <c r="H51" s="285"/>
      <c r="I51" s="285"/>
      <c r="J51" s="285"/>
      <c r="K51" s="285"/>
      <c r="L51" s="285"/>
      <c r="M51" s="285"/>
      <c r="N51" s="285"/>
      <c r="O51" s="285"/>
      <c r="P51" s="285"/>
      <c r="Q51" s="285"/>
      <c r="R51" s="285"/>
      <c r="S51" s="285"/>
      <c r="T51" s="320">
        <f>SUM(J36:P36)/SUM(D36:H36)</f>
        <v>0.31418674719735018</v>
      </c>
      <c r="U51" s="288"/>
      <c r="V51" s="5"/>
    </row>
    <row r="52" spans="1:23" ht="15.6" x14ac:dyDescent="0.3">
      <c r="A52" s="284"/>
      <c r="B52" s="285" t="s">
        <v>178</v>
      </c>
      <c r="C52" s="285"/>
      <c r="D52" s="285"/>
      <c r="E52" s="285"/>
      <c r="F52" s="285"/>
      <c r="G52" s="285"/>
      <c r="H52" s="285"/>
      <c r="I52" s="285"/>
      <c r="J52" s="285"/>
      <c r="K52" s="285"/>
      <c r="L52" s="285"/>
      <c r="M52" s="285"/>
      <c r="N52" s="285"/>
      <c r="O52" s="285"/>
      <c r="P52" s="285"/>
      <c r="Q52" s="285"/>
      <c r="R52" s="293" t="s">
        <v>109</v>
      </c>
      <c r="S52" s="293" t="s">
        <v>115</v>
      </c>
      <c r="T52" s="296">
        <f>+T34/2-SUM(J34:P34)</f>
        <v>367473</v>
      </c>
      <c r="U52" s="288"/>
      <c r="V52" s="5"/>
    </row>
    <row r="53" spans="1:23" ht="15.6" x14ac:dyDescent="0.3">
      <c r="A53" s="284"/>
      <c r="B53" s="285"/>
      <c r="C53" s="285"/>
      <c r="D53" s="285"/>
      <c r="E53" s="285"/>
      <c r="F53" s="285"/>
      <c r="G53" s="285"/>
      <c r="H53" s="285"/>
      <c r="I53" s="285"/>
      <c r="J53" s="285"/>
      <c r="K53" s="285"/>
      <c r="L53" s="285"/>
      <c r="M53" s="285"/>
      <c r="N53" s="285"/>
      <c r="O53" s="285"/>
      <c r="P53" s="285"/>
      <c r="Q53" s="285"/>
      <c r="R53" s="285"/>
      <c r="S53" s="285"/>
      <c r="T53" s="326"/>
      <c r="U53" s="288"/>
      <c r="V53" s="5"/>
    </row>
    <row r="54" spans="1:23" ht="15.6" x14ac:dyDescent="0.3">
      <c r="A54" s="284"/>
      <c r="B54" s="285" t="s">
        <v>211</v>
      </c>
      <c r="C54" s="285"/>
      <c r="D54" s="285"/>
      <c r="E54" s="285"/>
      <c r="F54" s="285"/>
      <c r="G54" s="285"/>
      <c r="H54" s="285"/>
      <c r="I54" s="285"/>
      <c r="J54" s="285"/>
      <c r="K54" s="285"/>
      <c r="L54" s="285"/>
      <c r="M54" s="285"/>
      <c r="N54" s="285"/>
      <c r="O54" s="285"/>
      <c r="P54" s="285"/>
      <c r="Q54" s="285"/>
      <c r="R54" s="285"/>
      <c r="S54" s="285"/>
      <c r="T54" s="327" t="s">
        <v>212</v>
      </c>
      <c r="U54" s="288"/>
      <c r="V54" s="5"/>
    </row>
    <row r="55" spans="1:23" ht="15.6" x14ac:dyDescent="0.3">
      <c r="A55" s="284"/>
      <c r="B55" s="285" t="s">
        <v>253</v>
      </c>
      <c r="C55" s="285"/>
      <c r="D55" s="285"/>
      <c r="E55" s="285"/>
      <c r="F55" s="285"/>
      <c r="G55" s="285"/>
      <c r="H55" s="285"/>
      <c r="I55" s="285"/>
      <c r="J55" s="285"/>
      <c r="K55" s="285"/>
      <c r="L55" s="285"/>
      <c r="M55" s="285"/>
      <c r="N55" s="285"/>
      <c r="O55" s="285"/>
      <c r="P55" s="285"/>
      <c r="Q55" s="285"/>
      <c r="R55" s="293"/>
      <c r="S55" s="293"/>
      <c r="T55" s="328" t="s">
        <v>117</v>
      </c>
      <c r="U55" s="288"/>
      <c r="V55" s="5"/>
    </row>
    <row r="56" spans="1:23" ht="15.6" x14ac:dyDescent="0.3">
      <c r="A56" s="284"/>
      <c r="B56" s="292" t="s">
        <v>210</v>
      </c>
      <c r="C56" s="292"/>
      <c r="D56" s="292"/>
      <c r="E56" s="292"/>
      <c r="F56" s="292"/>
      <c r="G56" s="292"/>
      <c r="H56" s="292"/>
      <c r="I56" s="292"/>
      <c r="J56" s="292"/>
      <c r="K56" s="292"/>
      <c r="L56" s="292"/>
      <c r="M56" s="292"/>
      <c r="N56" s="292"/>
      <c r="O56" s="292"/>
      <c r="P56" s="292"/>
      <c r="Q56" s="292"/>
      <c r="R56" s="329"/>
      <c r="S56" s="329"/>
      <c r="T56" s="330">
        <v>41197</v>
      </c>
      <c r="U56" s="288"/>
      <c r="V56" s="5"/>
    </row>
    <row r="57" spans="1:23" ht="15.6" x14ac:dyDescent="0.3">
      <c r="A57" s="284"/>
      <c r="B57" s="285" t="s">
        <v>127</v>
      </c>
      <c r="C57" s="285"/>
      <c r="D57" s="285"/>
      <c r="E57" s="285"/>
      <c r="F57" s="285"/>
      <c r="G57" s="285"/>
      <c r="H57" s="331"/>
      <c r="I57" s="331"/>
      <c r="J57" s="331"/>
      <c r="K57" s="331"/>
      <c r="L57" s="331"/>
      <c r="M57" s="331"/>
      <c r="N57" s="331"/>
      <c r="O57" s="331"/>
      <c r="P57" s="285">
        <f>+T57-R57+1</f>
        <v>91</v>
      </c>
      <c r="Q57" s="331"/>
      <c r="R57" s="332">
        <v>41015</v>
      </c>
      <c r="S57" s="333"/>
      <c r="T57" s="332">
        <v>41105</v>
      </c>
      <c r="U57" s="288"/>
      <c r="V57" s="5"/>
    </row>
    <row r="58" spans="1:23" ht="15.6" x14ac:dyDescent="0.3">
      <c r="A58" s="284"/>
      <c r="B58" s="285" t="s">
        <v>128</v>
      </c>
      <c r="C58" s="285"/>
      <c r="D58" s="285"/>
      <c r="E58" s="285"/>
      <c r="F58" s="285"/>
      <c r="G58" s="285"/>
      <c r="H58" s="285"/>
      <c r="I58" s="285"/>
      <c r="J58" s="285"/>
      <c r="K58" s="285"/>
      <c r="L58" s="285"/>
      <c r="M58" s="285"/>
      <c r="N58" s="285"/>
      <c r="O58" s="285"/>
      <c r="P58" s="285">
        <f>+T58-R58+1</f>
        <v>91</v>
      </c>
      <c r="Q58" s="285"/>
      <c r="R58" s="332">
        <v>41106</v>
      </c>
      <c r="S58" s="333"/>
      <c r="T58" s="332">
        <v>41196</v>
      </c>
      <c r="U58" s="288"/>
      <c r="V58" s="5"/>
    </row>
    <row r="59" spans="1:23" ht="15.6" x14ac:dyDescent="0.3">
      <c r="A59" s="284"/>
      <c r="B59" s="285" t="s">
        <v>209</v>
      </c>
      <c r="C59" s="285"/>
      <c r="D59" s="285"/>
      <c r="E59" s="285"/>
      <c r="F59" s="285"/>
      <c r="G59" s="285"/>
      <c r="H59" s="285"/>
      <c r="I59" s="285"/>
      <c r="J59" s="285"/>
      <c r="K59" s="285"/>
      <c r="L59" s="285"/>
      <c r="M59" s="285"/>
      <c r="N59" s="285"/>
      <c r="O59" s="285"/>
      <c r="P59" s="285"/>
      <c r="Q59" s="285"/>
      <c r="R59" s="332"/>
      <c r="S59" s="333"/>
      <c r="T59" s="332" t="s">
        <v>126</v>
      </c>
      <c r="U59" s="288"/>
      <c r="V59" s="5"/>
    </row>
    <row r="60" spans="1:23" ht="15.6" x14ac:dyDescent="0.3">
      <c r="A60" s="284"/>
      <c r="B60" s="285" t="s">
        <v>249</v>
      </c>
      <c r="C60" s="285"/>
      <c r="D60" s="285"/>
      <c r="E60" s="285"/>
      <c r="F60" s="285"/>
      <c r="G60" s="285"/>
      <c r="H60" s="285"/>
      <c r="I60" s="285"/>
      <c r="J60" s="285"/>
      <c r="K60" s="285"/>
      <c r="L60" s="285"/>
      <c r="M60" s="285"/>
      <c r="N60" s="285"/>
      <c r="O60" s="285"/>
      <c r="P60" s="285"/>
      <c r="Q60" s="285"/>
      <c r="R60" s="332"/>
      <c r="S60" s="333"/>
      <c r="T60" s="332" t="s">
        <v>160</v>
      </c>
      <c r="U60" s="288"/>
      <c r="V60" s="5"/>
      <c r="W60" s="134"/>
    </row>
    <row r="61" spans="1:23" ht="15.6" x14ac:dyDescent="0.3">
      <c r="A61" s="284"/>
      <c r="B61" s="285" t="s">
        <v>16</v>
      </c>
      <c r="C61" s="285"/>
      <c r="D61" s="285"/>
      <c r="E61" s="285"/>
      <c r="F61" s="285"/>
      <c r="G61" s="285"/>
      <c r="H61" s="285"/>
      <c r="I61" s="285"/>
      <c r="J61" s="285"/>
      <c r="K61" s="285"/>
      <c r="L61" s="285"/>
      <c r="M61" s="285"/>
      <c r="N61" s="285"/>
      <c r="O61" s="285"/>
      <c r="P61" s="285"/>
      <c r="Q61" s="285"/>
      <c r="R61" s="332"/>
      <c r="S61" s="333"/>
      <c r="T61" s="332">
        <v>41183</v>
      </c>
      <c r="U61" s="288"/>
      <c r="V61" s="5"/>
    </row>
    <row r="62" spans="1:23" ht="15.6" x14ac:dyDescent="0.3">
      <c r="A62" s="175"/>
      <c r="B62" s="281"/>
      <c r="C62" s="281"/>
      <c r="D62" s="281"/>
      <c r="E62" s="281"/>
      <c r="F62" s="281"/>
      <c r="G62" s="281"/>
      <c r="H62" s="281"/>
      <c r="I62" s="281"/>
      <c r="J62" s="281"/>
      <c r="K62" s="281"/>
      <c r="L62" s="281"/>
      <c r="M62" s="281"/>
      <c r="N62" s="281"/>
      <c r="O62" s="281"/>
      <c r="P62" s="281"/>
      <c r="Q62" s="281"/>
      <c r="R62" s="282"/>
      <c r="S62" s="283"/>
      <c r="T62" s="282"/>
      <c r="U62" s="281"/>
      <c r="V62" s="5"/>
    </row>
    <row r="63" spans="1:23" ht="15.6" x14ac:dyDescent="0.3">
      <c r="A63" s="175"/>
      <c r="B63" s="231"/>
      <c r="C63" s="231"/>
      <c r="D63" s="231"/>
      <c r="E63" s="231"/>
      <c r="F63" s="231"/>
      <c r="G63" s="231"/>
      <c r="H63" s="231"/>
      <c r="I63" s="231"/>
      <c r="J63" s="231"/>
      <c r="K63" s="231"/>
      <c r="L63" s="231"/>
      <c r="M63" s="231"/>
      <c r="N63" s="231"/>
      <c r="O63" s="231"/>
      <c r="P63" s="231"/>
      <c r="Q63" s="231"/>
      <c r="R63" s="244"/>
      <c r="S63" s="245"/>
      <c r="T63" s="244"/>
      <c r="U63" s="231"/>
      <c r="V63" s="5"/>
    </row>
    <row r="64" spans="1:23" ht="18" thickBot="1" x14ac:dyDescent="0.35">
      <c r="A64" s="192"/>
      <c r="B64" s="246" t="s">
        <v>309</v>
      </c>
      <c r="C64" s="247"/>
      <c r="D64" s="247"/>
      <c r="E64" s="247"/>
      <c r="F64" s="247"/>
      <c r="G64" s="247"/>
      <c r="H64" s="247"/>
      <c r="I64" s="247"/>
      <c r="J64" s="247"/>
      <c r="K64" s="247"/>
      <c r="L64" s="247"/>
      <c r="M64" s="247"/>
      <c r="N64" s="247"/>
      <c r="O64" s="247"/>
      <c r="P64" s="247"/>
      <c r="Q64" s="247"/>
      <c r="R64" s="247"/>
      <c r="S64" s="247"/>
      <c r="T64" s="248"/>
      <c r="U64" s="249"/>
      <c r="V64" s="5"/>
    </row>
    <row r="65" spans="1:22" ht="15.6" x14ac:dyDescent="0.3">
      <c r="A65" s="222"/>
      <c r="B65" s="395" t="s">
        <v>17</v>
      </c>
      <c r="C65" s="223"/>
      <c r="D65" s="223"/>
      <c r="E65" s="223"/>
      <c r="F65" s="223"/>
      <c r="G65" s="223"/>
      <c r="H65" s="223"/>
      <c r="I65" s="223"/>
      <c r="J65" s="223"/>
      <c r="K65" s="223"/>
      <c r="L65" s="223"/>
      <c r="M65" s="223"/>
      <c r="N65" s="223"/>
      <c r="O65" s="223"/>
      <c r="P65" s="223"/>
      <c r="Q65" s="223"/>
      <c r="R65" s="223"/>
      <c r="S65" s="223"/>
      <c r="T65" s="250"/>
      <c r="U65" s="223"/>
      <c r="V65" s="5"/>
    </row>
    <row r="66" spans="1:22" ht="15.6" x14ac:dyDescent="0.3">
      <c r="A66" s="175"/>
      <c r="B66" s="183"/>
      <c r="C66" s="177"/>
      <c r="D66" s="177"/>
      <c r="E66" s="177"/>
      <c r="F66" s="177"/>
      <c r="G66" s="177"/>
      <c r="H66" s="177"/>
      <c r="I66" s="177"/>
      <c r="J66" s="177"/>
      <c r="K66" s="177"/>
      <c r="L66" s="177"/>
      <c r="M66" s="177"/>
      <c r="N66" s="177"/>
      <c r="O66" s="177"/>
      <c r="P66" s="177"/>
      <c r="Q66" s="177"/>
      <c r="R66" s="177"/>
      <c r="S66" s="177"/>
      <c r="T66" s="194"/>
      <c r="U66" s="177"/>
      <c r="V66" s="5"/>
    </row>
    <row r="67" spans="1:22" ht="46.8" x14ac:dyDescent="0.3">
      <c r="A67" s="175"/>
      <c r="B67" s="195" t="s">
        <v>18</v>
      </c>
      <c r="C67" s="196"/>
      <c r="D67" s="196"/>
      <c r="E67" s="196"/>
      <c r="F67" s="196"/>
      <c r="G67" s="196"/>
      <c r="H67" s="196"/>
      <c r="I67" s="196"/>
      <c r="J67" s="196" t="s">
        <v>97</v>
      </c>
      <c r="K67" s="196"/>
      <c r="L67" s="196" t="s">
        <v>99</v>
      </c>
      <c r="M67" s="196"/>
      <c r="N67" s="196" t="s">
        <v>101</v>
      </c>
      <c r="O67" s="196"/>
      <c r="P67" s="196" t="s">
        <v>103</v>
      </c>
      <c r="Q67" s="196"/>
      <c r="R67" s="196" t="s">
        <v>110</v>
      </c>
      <c r="S67" s="196"/>
      <c r="T67" s="197" t="s">
        <v>118</v>
      </c>
      <c r="U67" s="198"/>
      <c r="V67" s="5"/>
    </row>
    <row r="68" spans="1:22" ht="15.6" x14ac:dyDescent="0.3">
      <c r="A68" s="337"/>
      <c r="B68" s="285" t="s">
        <v>19</v>
      </c>
      <c r="C68" s="338"/>
      <c r="D68" s="338"/>
      <c r="E68" s="338"/>
      <c r="F68" s="338"/>
      <c r="G68" s="338"/>
      <c r="H68" s="338"/>
      <c r="I68" s="338"/>
      <c r="J68" s="338">
        <v>1000039</v>
      </c>
      <c r="K68" s="338"/>
      <c r="L68" s="339">
        <v>559134</v>
      </c>
      <c r="M68" s="338"/>
      <c r="N68" s="338">
        <f>4692+86+4</f>
        <v>4782</v>
      </c>
      <c r="O68" s="338"/>
      <c r="P68" s="338">
        <v>90</v>
      </c>
      <c r="Q68" s="338"/>
      <c r="R68" s="338">
        <v>0</v>
      </c>
      <c r="S68" s="338"/>
      <c r="T68" s="339">
        <f>+L68-N68+P68-R68</f>
        <v>554442</v>
      </c>
      <c r="U68" s="288"/>
      <c r="V68" s="5"/>
    </row>
    <row r="69" spans="1:22" ht="15.6" x14ac:dyDescent="0.3">
      <c r="A69" s="337"/>
      <c r="B69" s="285" t="s">
        <v>20</v>
      </c>
      <c r="C69" s="338"/>
      <c r="D69" s="338"/>
      <c r="E69" s="338"/>
      <c r="F69" s="338"/>
      <c r="G69" s="338"/>
      <c r="H69" s="338"/>
      <c r="I69" s="338"/>
      <c r="J69" s="338">
        <v>10</v>
      </c>
      <c r="K69" s="338"/>
      <c r="L69" s="339">
        <v>0</v>
      </c>
      <c r="M69" s="338"/>
      <c r="N69" s="338">
        <v>0</v>
      </c>
      <c r="O69" s="338"/>
      <c r="P69" s="338">
        <v>0</v>
      </c>
      <c r="Q69" s="338"/>
      <c r="R69" s="338">
        <v>0</v>
      </c>
      <c r="S69" s="338"/>
      <c r="T69" s="339">
        <v>0</v>
      </c>
      <c r="U69" s="288"/>
      <c r="V69" s="5"/>
    </row>
    <row r="70" spans="1:22" ht="15.6" x14ac:dyDescent="0.3">
      <c r="A70" s="337"/>
      <c r="B70" s="285"/>
      <c r="C70" s="338"/>
      <c r="D70" s="338"/>
      <c r="E70" s="338"/>
      <c r="F70" s="338"/>
      <c r="G70" s="338"/>
      <c r="H70" s="338"/>
      <c r="I70" s="338"/>
      <c r="J70" s="338"/>
      <c r="K70" s="338"/>
      <c r="L70" s="339"/>
      <c r="M70" s="338"/>
      <c r="N70" s="338"/>
      <c r="O70" s="338"/>
      <c r="P70" s="338"/>
      <c r="Q70" s="338"/>
      <c r="R70" s="338"/>
      <c r="S70" s="338"/>
      <c r="T70" s="339"/>
      <c r="U70" s="288"/>
      <c r="V70" s="5"/>
    </row>
    <row r="71" spans="1:22" ht="15.6" x14ac:dyDescent="0.3">
      <c r="A71" s="337"/>
      <c r="B71" s="285" t="s">
        <v>21</v>
      </c>
      <c r="C71" s="338"/>
      <c r="D71" s="338"/>
      <c r="E71" s="338"/>
      <c r="F71" s="338"/>
      <c r="G71" s="338"/>
      <c r="H71" s="338"/>
      <c r="I71" s="338"/>
      <c r="J71" s="338">
        <f>SUM(J68:J70)</f>
        <v>1000049</v>
      </c>
      <c r="K71" s="338"/>
      <c r="L71" s="338">
        <f>L68+L69</f>
        <v>559134</v>
      </c>
      <c r="M71" s="338"/>
      <c r="N71" s="338">
        <f>SUM(N68:N70)</f>
        <v>4782</v>
      </c>
      <c r="O71" s="338"/>
      <c r="P71" s="338">
        <f>SUM(P68:P70)</f>
        <v>90</v>
      </c>
      <c r="Q71" s="338"/>
      <c r="R71" s="338">
        <f>SUM(R68:R70)</f>
        <v>0</v>
      </c>
      <c r="S71" s="338"/>
      <c r="T71" s="338">
        <f>SUM(T68:T70)</f>
        <v>554442</v>
      </c>
      <c r="U71" s="288"/>
      <c r="V71" s="5"/>
    </row>
    <row r="72" spans="1:22" ht="15.6" x14ac:dyDescent="0.3">
      <c r="A72" s="175"/>
      <c r="B72" s="334"/>
      <c r="C72" s="335"/>
      <c r="D72" s="335"/>
      <c r="E72" s="335"/>
      <c r="F72" s="335"/>
      <c r="G72" s="335"/>
      <c r="H72" s="335"/>
      <c r="I72" s="335"/>
      <c r="J72" s="335"/>
      <c r="K72" s="335"/>
      <c r="L72" s="335"/>
      <c r="M72" s="335"/>
      <c r="N72" s="335"/>
      <c r="O72" s="335"/>
      <c r="P72" s="335"/>
      <c r="Q72" s="335"/>
      <c r="R72" s="335"/>
      <c r="S72" s="335"/>
      <c r="T72" s="336"/>
      <c r="U72" s="334"/>
      <c r="V72" s="5"/>
    </row>
    <row r="73" spans="1:22" ht="15.6" x14ac:dyDescent="0.3">
      <c r="A73" s="175"/>
      <c r="B73" s="179" t="s">
        <v>22</v>
      </c>
      <c r="C73" s="199"/>
      <c r="D73" s="199"/>
      <c r="E73" s="199"/>
      <c r="F73" s="199"/>
      <c r="G73" s="199"/>
      <c r="H73" s="199"/>
      <c r="I73" s="199"/>
      <c r="J73" s="199"/>
      <c r="K73" s="199"/>
      <c r="L73" s="199"/>
      <c r="M73" s="199"/>
      <c r="N73" s="199"/>
      <c r="O73" s="199"/>
      <c r="P73" s="199"/>
      <c r="Q73" s="199"/>
      <c r="R73" s="199"/>
      <c r="S73" s="199"/>
      <c r="T73" s="200"/>
      <c r="U73" s="177"/>
      <c r="V73" s="5"/>
    </row>
    <row r="74" spans="1:22" ht="15.6" x14ac:dyDescent="0.3">
      <c r="A74" s="175"/>
      <c r="B74" s="177"/>
      <c r="C74" s="199"/>
      <c r="D74" s="199"/>
      <c r="E74" s="199"/>
      <c r="F74" s="199"/>
      <c r="G74" s="199"/>
      <c r="H74" s="199"/>
      <c r="I74" s="199"/>
      <c r="J74" s="199"/>
      <c r="K74" s="199"/>
      <c r="L74" s="199"/>
      <c r="M74" s="199"/>
      <c r="N74" s="199"/>
      <c r="O74" s="199"/>
      <c r="P74" s="199"/>
      <c r="Q74" s="199"/>
      <c r="R74" s="199"/>
      <c r="S74" s="199"/>
      <c r="T74" s="200"/>
      <c r="U74" s="177"/>
      <c r="V74" s="5"/>
    </row>
    <row r="75" spans="1:22" ht="15.6" x14ac:dyDescent="0.3">
      <c r="A75" s="284"/>
      <c r="B75" s="285" t="s">
        <v>19</v>
      </c>
      <c r="C75" s="338"/>
      <c r="D75" s="338"/>
      <c r="E75" s="338"/>
      <c r="F75" s="338"/>
      <c r="G75" s="338"/>
      <c r="H75" s="338"/>
      <c r="I75" s="338"/>
      <c r="J75" s="338"/>
      <c r="K75" s="338"/>
      <c r="L75" s="338"/>
      <c r="M75" s="338"/>
      <c r="N75" s="338"/>
      <c r="O75" s="338"/>
      <c r="P75" s="338"/>
      <c r="Q75" s="338"/>
      <c r="R75" s="338"/>
      <c r="S75" s="338"/>
      <c r="T75" s="338"/>
      <c r="U75" s="288"/>
      <c r="V75" s="5"/>
    </row>
    <row r="76" spans="1:22" ht="15.6" x14ac:dyDescent="0.3">
      <c r="A76" s="284"/>
      <c r="B76" s="285" t="s">
        <v>20</v>
      </c>
      <c r="C76" s="338"/>
      <c r="D76" s="338"/>
      <c r="E76" s="338"/>
      <c r="F76" s="338"/>
      <c r="G76" s="338"/>
      <c r="H76" s="338"/>
      <c r="I76" s="338"/>
      <c r="J76" s="338"/>
      <c r="K76" s="338"/>
      <c r="L76" s="338"/>
      <c r="M76" s="338"/>
      <c r="N76" s="338"/>
      <c r="O76" s="338"/>
      <c r="P76" s="338"/>
      <c r="Q76" s="338"/>
      <c r="R76" s="338"/>
      <c r="S76" s="338"/>
      <c r="T76" s="338"/>
      <c r="U76" s="288"/>
      <c r="V76" s="5"/>
    </row>
    <row r="77" spans="1:22" ht="15.6" x14ac:dyDescent="0.3">
      <c r="A77" s="284"/>
      <c r="B77" s="285"/>
      <c r="C77" s="338"/>
      <c r="D77" s="338"/>
      <c r="E77" s="338"/>
      <c r="F77" s="338"/>
      <c r="G77" s="338"/>
      <c r="H77" s="338"/>
      <c r="I77" s="338"/>
      <c r="J77" s="338"/>
      <c r="K77" s="338"/>
      <c r="L77" s="338"/>
      <c r="M77" s="338"/>
      <c r="N77" s="338"/>
      <c r="O77" s="338"/>
      <c r="P77" s="338"/>
      <c r="Q77" s="338"/>
      <c r="R77" s="338"/>
      <c r="S77" s="338"/>
      <c r="T77" s="338"/>
      <c r="U77" s="288"/>
      <c r="V77" s="5"/>
    </row>
    <row r="78" spans="1:22" ht="15.6" x14ac:dyDescent="0.3">
      <c r="A78" s="284"/>
      <c r="B78" s="285" t="s">
        <v>21</v>
      </c>
      <c r="C78" s="338"/>
      <c r="D78" s="338"/>
      <c r="E78" s="338"/>
      <c r="F78" s="338"/>
      <c r="G78" s="338"/>
      <c r="H78" s="338"/>
      <c r="I78" s="338"/>
      <c r="J78" s="338"/>
      <c r="K78" s="338"/>
      <c r="L78" s="338"/>
      <c r="M78" s="338"/>
      <c r="N78" s="338"/>
      <c r="O78" s="338"/>
      <c r="P78" s="338"/>
      <c r="Q78" s="338"/>
      <c r="R78" s="338"/>
      <c r="S78" s="338"/>
      <c r="T78" s="338"/>
      <c r="U78" s="288"/>
      <c r="V78" s="5"/>
    </row>
    <row r="79" spans="1:22" ht="15.6" x14ac:dyDescent="0.3">
      <c r="A79" s="284"/>
      <c r="B79" s="285"/>
      <c r="C79" s="338"/>
      <c r="D79" s="338"/>
      <c r="E79" s="338"/>
      <c r="F79" s="338"/>
      <c r="G79" s="338"/>
      <c r="H79" s="338"/>
      <c r="I79" s="338"/>
      <c r="J79" s="338"/>
      <c r="K79" s="338"/>
      <c r="L79" s="338"/>
      <c r="M79" s="338"/>
      <c r="N79" s="338"/>
      <c r="O79" s="338"/>
      <c r="P79" s="338"/>
      <c r="Q79" s="338"/>
      <c r="R79" s="338"/>
      <c r="S79" s="338"/>
      <c r="T79" s="338"/>
      <c r="U79" s="288"/>
      <c r="V79" s="5"/>
    </row>
    <row r="80" spans="1:22" ht="15.6" x14ac:dyDescent="0.3">
      <c r="A80" s="284"/>
      <c r="B80" s="285" t="s">
        <v>23</v>
      </c>
      <c r="C80" s="338"/>
      <c r="D80" s="338"/>
      <c r="E80" s="338"/>
      <c r="F80" s="338"/>
      <c r="G80" s="338"/>
      <c r="H80" s="338"/>
      <c r="I80" s="338"/>
      <c r="J80" s="338">
        <v>0</v>
      </c>
      <c r="K80" s="338"/>
      <c r="L80" s="338">
        <v>0</v>
      </c>
      <c r="M80" s="338"/>
      <c r="N80" s="338"/>
      <c r="O80" s="338"/>
      <c r="P80" s="338"/>
      <c r="Q80" s="338"/>
      <c r="R80" s="338"/>
      <c r="S80" s="338"/>
      <c r="T80" s="339">
        <v>0</v>
      </c>
      <c r="U80" s="288"/>
      <c r="V80" s="5"/>
    </row>
    <row r="81" spans="1:22" ht="15.6" x14ac:dyDescent="0.3">
      <c r="A81" s="284"/>
      <c r="B81" s="285" t="s">
        <v>123</v>
      </c>
      <c r="C81" s="338"/>
      <c r="D81" s="338"/>
      <c r="E81" s="338"/>
      <c r="F81" s="338"/>
      <c r="G81" s="338"/>
      <c r="H81" s="338"/>
      <c r="I81" s="338"/>
      <c r="J81" s="338">
        <v>0</v>
      </c>
      <c r="K81" s="338"/>
      <c r="L81" s="338">
        <v>0</v>
      </c>
      <c r="M81" s="338"/>
      <c r="N81" s="338"/>
      <c r="O81" s="338"/>
      <c r="P81" s="338"/>
      <c r="Q81" s="338"/>
      <c r="R81" s="338"/>
      <c r="S81" s="338"/>
      <c r="T81" s="338">
        <f>SUM(J81:P81)</f>
        <v>0</v>
      </c>
      <c r="U81" s="288"/>
      <c r="V81" s="5"/>
    </row>
    <row r="82" spans="1:22" ht="15.6" x14ac:dyDescent="0.3">
      <c r="A82" s="284"/>
      <c r="B82" s="285" t="s">
        <v>152</v>
      </c>
      <c r="C82" s="338"/>
      <c r="D82" s="338"/>
      <c r="E82" s="338"/>
      <c r="F82" s="338"/>
      <c r="G82" s="338"/>
      <c r="H82" s="338"/>
      <c r="I82" s="338"/>
      <c r="J82" s="338">
        <v>1</v>
      </c>
      <c r="K82" s="338"/>
      <c r="L82" s="338">
        <v>0</v>
      </c>
      <c r="M82" s="338"/>
      <c r="N82" s="338">
        <v>0</v>
      </c>
      <c r="O82" s="338"/>
      <c r="P82" s="338"/>
      <c r="Q82" s="338"/>
      <c r="R82" s="338"/>
      <c r="S82" s="338"/>
      <c r="T82" s="338">
        <f>+L82+N82</f>
        <v>0</v>
      </c>
      <c r="U82" s="288"/>
      <c r="V82" s="5"/>
    </row>
    <row r="83" spans="1:22" ht="15.6" x14ac:dyDescent="0.3">
      <c r="A83" s="284"/>
      <c r="B83" s="285" t="s">
        <v>25</v>
      </c>
      <c r="C83" s="338"/>
      <c r="D83" s="338"/>
      <c r="E83" s="338"/>
      <c r="F83" s="338"/>
      <c r="G83" s="338"/>
      <c r="H83" s="338"/>
      <c r="I83" s="338"/>
      <c r="J83" s="338">
        <v>0</v>
      </c>
      <c r="K83" s="338"/>
      <c r="L83" s="338">
        <v>0</v>
      </c>
      <c r="M83" s="338"/>
      <c r="N83" s="338"/>
      <c r="O83" s="338"/>
      <c r="P83" s="338"/>
      <c r="Q83" s="338"/>
      <c r="R83" s="338"/>
      <c r="S83" s="338"/>
      <c r="T83" s="338">
        <v>0</v>
      </c>
      <c r="U83" s="288"/>
      <c r="V83" s="5"/>
    </row>
    <row r="84" spans="1:22" ht="15.6" x14ac:dyDescent="0.3">
      <c r="A84" s="284"/>
      <c r="B84" s="285" t="s">
        <v>26</v>
      </c>
      <c r="C84" s="338"/>
      <c r="D84" s="338"/>
      <c r="E84" s="338"/>
      <c r="F84" s="338"/>
      <c r="G84" s="338"/>
      <c r="H84" s="338"/>
      <c r="I84" s="338"/>
      <c r="J84" s="338">
        <f>SUM(J71:J83)</f>
        <v>1000050</v>
      </c>
      <c r="K84" s="338"/>
      <c r="L84" s="338">
        <f>SUM(L71:L83)</f>
        <v>559134</v>
      </c>
      <c r="M84" s="338"/>
      <c r="N84" s="338"/>
      <c r="O84" s="338"/>
      <c r="P84" s="338"/>
      <c r="Q84" s="338"/>
      <c r="R84" s="338"/>
      <c r="S84" s="338"/>
      <c r="T84" s="338">
        <f>SUM(T71:T83)</f>
        <v>554442</v>
      </c>
      <c r="U84" s="288"/>
      <c r="V84" s="5"/>
    </row>
    <row r="85" spans="1:22" ht="15.6" x14ac:dyDescent="0.3">
      <c r="A85" s="175"/>
      <c r="B85" s="334"/>
      <c r="C85" s="335"/>
      <c r="D85" s="335"/>
      <c r="E85" s="335"/>
      <c r="F85" s="335"/>
      <c r="G85" s="335"/>
      <c r="H85" s="335"/>
      <c r="I85" s="335"/>
      <c r="J85" s="335"/>
      <c r="K85" s="335"/>
      <c r="L85" s="335"/>
      <c r="M85" s="335"/>
      <c r="N85" s="335"/>
      <c r="O85" s="335"/>
      <c r="P85" s="335"/>
      <c r="Q85" s="335"/>
      <c r="R85" s="335"/>
      <c r="S85" s="335"/>
      <c r="T85" s="336"/>
      <c r="U85" s="334"/>
      <c r="V85" s="5"/>
    </row>
    <row r="86" spans="1:22" ht="15.6" x14ac:dyDescent="0.3">
      <c r="A86" s="175"/>
      <c r="B86" s="177"/>
      <c r="C86" s="177"/>
      <c r="D86" s="177"/>
      <c r="E86" s="177"/>
      <c r="F86" s="177"/>
      <c r="G86" s="177"/>
      <c r="H86" s="177"/>
      <c r="I86" s="177"/>
      <c r="J86" s="177"/>
      <c r="K86" s="177"/>
      <c r="L86" s="177"/>
      <c r="M86" s="177"/>
      <c r="N86" s="177"/>
      <c r="O86" s="177"/>
      <c r="P86" s="177"/>
      <c r="Q86" s="177"/>
      <c r="R86" s="177"/>
      <c r="S86" s="177"/>
      <c r="T86" s="177"/>
      <c r="U86" s="177"/>
      <c r="V86" s="5"/>
    </row>
    <row r="87" spans="1:22" ht="15.6" x14ac:dyDescent="0.3">
      <c r="A87" s="222"/>
      <c r="B87" s="395" t="s">
        <v>27</v>
      </c>
      <c r="C87" s="395"/>
      <c r="D87" s="395"/>
      <c r="E87" s="395"/>
      <c r="F87" s="395"/>
      <c r="G87" s="395"/>
      <c r="H87" s="396"/>
      <c r="I87" s="396"/>
      <c r="J87" s="397" t="s">
        <v>98</v>
      </c>
      <c r="K87" s="396"/>
      <c r="L87" s="398">
        <f>+R193</f>
        <v>41180</v>
      </c>
      <c r="M87" s="396"/>
      <c r="N87" s="396"/>
      <c r="O87" s="396"/>
      <c r="P87" s="396"/>
      <c r="Q87" s="396"/>
      <c r="R87" s="396" t="s">
        <v>111</v>
      </c>
      <c r="S87" s="396"/>
      <c r="T87" s="396" t="s">
        <v>119</v>
      </c>
      <c r="U87" s="223"/>
      <c r="V87" s="5"/>
    </row>
    <row r="88" spans="1:22" ht="15.6" x14ac:dyDescent="0.3">
      <c r="A88" s="190"/>
      <c r="B88" s="239" t="s">
        <v>28</v>
      </c>
      <c r="C88" s="239"/>
      <c r="D88" s="239"/>
      <c r="E88" s="239"/>
      <c r="F88" s="239"/>
      <c r="G88" s="239"/>
      <c r="H88" s="239"/>
      <c r="I88" s="239"/>
      <c r="J88" s="239"/>
      <c r="K88" s="239"/>
      <c r="L88" s="239"/>
      <c r="M88" s="239"/>
      <c r="N88" s="239"/>
      <c r="O88" s="239"/>
      <c r="P88" s="239"/>
      <c r="Q88" s="239"/>
      <c r="R88" s="243">
        <v>0</v>
      </c>
      <c r="S88" s="239"/>
      <c r="T88" s="251">
        <v>0</v>
      </c>
      <c r="U88" s="239"/>
      <c r="V88" s="5"/>
    </row>
    <row r="89" spans="1:22" ht="15.6" x14ac:dyDescent="0.3">
      <c r="A89" s="284"/>
      <c r="B89" s="285" t="s">
        <v>29</v>
      </c>
      <c r="C89" s="285"/>
      <c r="D89" s="285"/>
      <c r="E89" s="285"/>
      <c r="F89" s="285"/>
      <c r="G89" s="285"/>
      <c r="H89" s="324"/>
      <c r="I89" s="341"/>
      <c r="J89" s="324"/>
      <c r="K89" s="285"/>
      <c r="L89" s="342"/>
      <c r="M89" s="285"/>
      <c r="N89" s="285"/>
      <c r="O89" s="285"/>
      <c r="P89" s="285"/>
      <c r="Q89" s="285"/>
      <c r="R89" s="338">
        <f>4782-137</f>
        <v>4645</v>
      </c>
      <c r="S89" s="285"/>
      <c r="T89" s="339"/>
      <c r="U89" s="288"/>
      <c r="V89" s="5"/>
    </row>
    <row r="90" spans="1:22" ht="15.6" x14ac:dyDescent="0.3">
      <c r="A90" s="284"/>
      <c r="B90" s="285" t="s">
        <v>225</v>
      </c>
      <c r="C90" s="285"/>
      <c r="D90" s="285"/>
      <c r="E90" s="285"/>
      <c r="F90" s="285"/>
      <c r="G90" s="285"/>
      <c r="H90" s="324"/>
      <c r="I90" s="341"/>
      <c r="J90" s="324"/>
      <c r="K90" s="285"/>
      <c r="L90" s="342"/>
      <c r="M90" s="285"/>
      <c r="N90" s="285"/>
      <c r="O90" s="285"/>
      <c r="P90" s="285"/>
      <c r="Q90" s="285"/>
      <c r="R90" s="338"/>
      <c r="S90" s="285"/>
      <c r="T90" s="339">
        <f>2096+2408-433-283</f>
        <v>3788</v>
      </c>
      <c r="U90" s="288"/>
      <c r="V90" s="5"/>
    </row>
    <row r="91" spans="1:22" ht="15.6" x14ac:dyDescent="0.3">
      <c r="A91" s="284"/>
      <c r="B91" s="285" t="s">
        <v>220</v>
      </c>
      <c r="C91" s="285"/>
      <c r="D91" s="285"/>
      <c r="E91" s="285"/>
      <c r="F91" s="285"/>
      <c r="G91" s="285"/>
      <c r="H91" s="324"/>
      <c r="I91" s="341"/>
      <c r="J91" s="324"/>
      <c r="K91" s="285"/>
      <c r="L91" s="342"/>
      <c r="M91" s="285"/>
      <c r="N91" s="285"/>
      <c r="O91" s="285"/>
      <c r="P91" s="285"/>
      <c r="Q91" s="285"/>
      <c r="R91" s="338"/>
      <c r="S91" s="285"/>
      <c r="T91" s="339">
        <f>71+43</f>
        <v>114</v>
      </c>
      <c r="U91" s="288"/>
      <c r="V91" s="5"/>
    </row>
    <row r="92" spans="1:22" ht="15.6" x14ac:dyDescent="0.3">
      <c r="A92" s="284"/>
      <c r="B92" s="285" t="s">
        <v>221</v>
      </c>
      <c r="C92" s="285"/>
      <c r="D92" s="285"/>
      <c r="E92" s="285"/>
      <c r="F92" s="285"/>
      <c r="G92" s="285"/>
      <c r="H92" s="324"/>
      <c r="I92" s="341"/>
      <c r="J92" s="324"/>
      <c r="K92" s="285"/>
      <c r="L92" s="342"/>
      <c r="M92" s="285"/>
      <c r="N92" s="285"/>
      <c r="O92" s="285"/>
      <c r="P92" s="285"/>
      <c r="Q92" s="285"/>
      <c r="R92" s="338"/>
      <c r="S92" s="285"/>
      <c r="T92" s="339">
        <v>12</v>
      </c>
      <c r="U92" s="288"/>
      <c r="V92" s="5"/>
    </row>
    <row r="93" spans="1:22" ht="15.6" x14ac:dyDescent="0.3">
      <c r="A93" s="284"/>
      <c r="B93" s="285" t="s">
        <v>261</v>
      </c>
      <c r="C93" s="285"/>
      <c r="D93" s="285"/>
      <c r="E93" s="285"/>
      <c r="F93" s="285"/>
      <c r="G93" s="285"/>
      <c r="H93" s="324"/>
      <c r="I93" s="341"/>
      <c r="J93" s="324"/>
      <c r="K93" s="285"/>
      <c r="L93" s="342"/>
      <c r="M93" s="285"/>
      <c r="N93" s="285"/>
      <c r="O93" s="285"/>
      <c r="P93" s="285"/>
      <c r="Q93" s="285"/>
      <c r="R93" s="338"/>
      <c r="S93" s="285"/>
      <c r="T93" s="339">
        <v>0</v>
      </c>
      <c r="U93" s="288"/>
      <c r="V93" s="5"/>
    </row>
    <row r="94" spans="1:22" ht="15.6" x14ac:dyDescent="0.3">
      <c r="A94" s="284"/>
      <c r="B94" s="285" t="s">
        <v>141</v>
      </c>
      <c r="C94" s="285"/>
      <c r="D94" s="285"/>
      <c r="E94" s="285"/>
      <c r="F94" s="285"/>
      <c r="G94" s="285"/>
      <c r="H94" s="285"/>
      <c r="I94" s="285"/>
      <c r="J94" s="285"/>
      <c r="K94" s="285"/>
      <c r="L94" s="285"/>
      <c r="M94" s="285"/>
      <c r="N94" s="285"/>
      <c r="O94" s="285"/>
      <c r="P94" s="285"/>
      <c r="Q94" s="285"/>
      <c r="R94" s="338"/>
      <c r="S94" s="285"/>
      <c r="T94" s="339">
        <v>0</v>
      </c>
      <c r="U94" s="288"/>
      <c r="V94" s="5"/>
    </row>
    <row r="95" spans="1:22" ht="15.6" x14ac:dyDescent="0.3">
      <c r="A95" s="284"/>
      <c r="B95" s="285" t="s">
        <v>250</v>
      </c>
      <c r="C95" s="285"/>
      <c r="D95" s="285"/>
      <c r="E95" s="285"/>
      <c r="F95" s="285"/>
      <c r="G95" s="285"/>
      <c r="H95" s="285"/>
      <c r="I95" s="285"/>
      <c r="J95" s="285"/>
      <c r="K95" s="285"/>
      <c r="L95" s="285"/>
      <c r="M95" s="285"/>
      <c r="N95" s="285"/>
      <c r="O95" s="285"/>
      <c r="P95" s="285"/>
      <c r="Q95" s="285"/>
      <c r="R95" s="338"/>
      <c r="S95" s="285"/>
      <c r="T95" s="339">
        <v>179</v>
      </c>
      <c r="U95" s="288"/>
      <c r="V95" s="5"/>
    </row>
    <row r="96" spans="1:22" ht="15.6" x14ac:dyDescent="0.3">
      <c r="A96" s="284"/>
      <c r="B96" s="285" t="s">
        <v>30</v>
      </c>
      <c r="C96" s="285"/>
      <c r="D96" s="285"/>
      <c r="E96" s="285"/>
      <c r="F96" s="285"/>
      <c r="G96" s="285"/>
      <c r="H96" s="285"/>
      <c r="I96" s="285"/>
      <c r="J96" s="285"/>
      <c r="K96" s="285"/>
      <c r="L96" s="285"/>
      <c r="M96" s="285"/>
      <c r="N96" s="285"/>
      <c r="O96" s="285"/>
      <c r="P96" s="285"/>
      <c r="Q96" s="285"/>
      <c r="R96" s="338">
        <f>SUM(R88:R95)</f>
        <v>4645</v>
      </c>
      <c r="S96" s="285"/>
      <c r="T96" s="338">
        <f>SUM(T88:T95)</f>
        <v>4093</v>
      </c>
      <c r="U96" s="288"/>
      <c r="V96" s="5"/>
    </row>
    <row r="97" spans="1:24" ht="15.6" x14ac:dyDescent="0.3">
      <c r="A97" s="284"/>
      <c r="B97" s="285" t="s">
        <v>168</v>
      </c>
      <c r="C97" s="285"/>
      <c r="D97" s="285"/>
      <c r="E97" s="285"/>
      <c r="F97" s="285"/>
      <c r="G97" s="285"/>
      <c r="H97" s="285"/>
      <c r="I97" s="285"/>
      <c r="J97" s="285"/>
      <c r="K97" s="285"/>
      <c r="L97" s="285"/>
      <c r="M97" s="285"/>
      <c r="N97" s="285"/>
      <c r="O97" s="285"/>
      <c r="P97" s="285"/>
      <c r="Q97" s="285"/>
      <c r="R97" s="338">
        <v>-4</v>
      </c>
      <c r="S97" s="285"/>
      <c r="T97" s="338">
        <f>-R97</f>
        <v>4</v>
      </c>
      <c r="U97" s="288"/>
      <c r="V97" s="5"/>
    </row>
    <row r="98" spans="1:24" ht="15.6" x14ac:dyDescent="0.3">
      <c r="A98" s="284"/>
      <c r="B98" s="285" t="s">
        <v>31</v>
      </c>
      <c r="C98" s="285"/>
      <c r="D98" s="285"/>
      <c r="E98" s="285"/>
      <c r="F98" s="285"/>
      <c r="G98" s="285"/>
      <c r="H98" s="285"/>
      <c r="I98" s="285"/>
      <c r="J98" s="285"/>
      <c r="K98" s="285"/>
      <c r="L98" s="285"/>
      <c r="M98" s="285"/>
      <c r="N98" s="285"/>
      <c r="O98" s="285"/>
      <c r="P98" s="285"/>
      <c r="Q98" s="285"/>
      <c r="R98" s="338">
        <f>-T98</f>
        <v>0</v>
      </c>
      <c r="S98" s="285"/>
      <c r="T98" s="339">
        <v>0</v>
      </c>
      <c r="U98" s="288"/>
      <c r="V98" s="5"/>
    </row>
    <row r="99" spans="1:24" ht="15.6" x14ac:dyDescent="0.3">
      <c r="A99" s="284"/>
      <c r="B99" s="285" t="s">
        <v>273</v>
      </c>
      <c r="C99" s="285"/>
      <c r="D99" s="285"/>
      <c r="E99" s="285"/>
      <c r="F99" s="285"/>
      <c r="G99" s="285"/>
      <c r="H99" s="285"/>
      <c r="I99" s="285"/>
      <c r="J99" s="285"/>
      <c r="K99" s="285"/>
      <c r="L99" s="285"/>
      <c r="M99" s="285"/>
      <c r="N99" s="285"/>
      <c r="O99" s="285"/>
      <c r="P99" s="285"/>
      <c r="Q99" s="285"/>
      <c r="R99" s="338"/>
      <c r="S99" s="285"/>
      <c r="T99" s="339">
        <v>-32</v>
      </c>
      <c r="U99" s="288"/>
      <c r="V99" s="5"/>
    </row>
    <row r="100" spans="1:24" ht="15.6" x14ac:dyDescent="0.3">
      <c r="A100" s="284"/>
      <c r="B100" s="285" t="s">
        <v>32</v>
      </c>
      <c r="C100" s="285"/>
      <c r="D100" s="285"/>
      <c r="E100" s="285"/>
      <c r="F100" s="285"/>
      <c r="G100" s="285"/>
      <c r="H100" s="285"/>
      <c r="I100" s="285"/>
      <c r="J100" s="285"/>
      <c r="K100" s="285"/>
      <c r="L100" s="285"/>
      <c r="M100" s="285"/>
      <c r="N100" s="285"/>
      <c r="O100" s="285"/>
      <c r="P100" s="285"/>
      <c r="Q100" s="285"/>
      <c r="R100" s="338">
        <f>R96+R98+R97</f>
        <v>4641</v>
      </c>
      <c r="S100" s="285"/>
      <c r="T100" s="338">
        <f>T96+T98+T97+T99</f>
        <v>4065</v>
      </c>
      <c r="U100" s="288"/>
      <c r="V100" s="5"/>
    </row>
    <row r="101" spans="1:24" ht="15.6" x14ac:dyDescent="0.3">
      <c r="A101" s="284"/>
      <c r="B101" s="343" t="s">
        <v>33</v>
      </c>
      <c r="C101" s="311"/>
      <c r="D101" s="311"/>
      <c r="E101" s="311"/>
      <c r="F101" s="311"/>
      <c r="G101" s="311"/>
      <c r="H101" s="311"/>
      <c r="I101" s="311"/>
      <c r="J101" s="311"/>
      <c r="K101" s="311"/>
      <c r="L101" s="311"/>
      <c r="M101" s="311"/>
      <c r="N101" s="311"/>
      <c r="O101" s="311"/>
      <c r="P101" s="311"/>
      <c r="Q101" s="311"/>
      <c r="R101" s="344"/>
      <c r="S101" s="311"/>
      <c r="T101" s="345"/>
      <c r="U101" s="317"/>
      <c r="V101" s="5"/>
    </row>
    <row r="102" spans="1:24" ht="15.6" x14ac:dyDescent="0.3">
      <c r="A102" s="337">
        <v>1</v>
      </c>
      <c r="B102" s="285" t="s">
        <v>34</v>
      </c>
      <c r="C102" s="285"/>
      <c r="D102" s="285"/>
      <c r="E102" s="285"/>
      <c r="F102" s="285"/>
      <c r="G102" s="285"/>
      <c r="H102" s="285"/>
      <c r="I102" s="285"/>
      <c r="J102" s="285"/>
      <c r="K102" s="285"/>
      <c r="L102" s="285"/>
      <c r="M102" s="285"/>
      <c r="N102" s="285"/>
      <c r="O102" s="285"/>
      <c r="P102" s="285"/>
      <c r="Q102" s="285"/>
      <c r="R102" s="285"/>
      <c r="S102" s="285"/>
      <c r="T102" s="339">
        <v>0</v>
      </c>
      <c r="U102" s="288"/>
      <c r="V102" s="5"/>
    </row>
    <row r="103" spans="1:24" ht="15.6" x14ac:dyDescent="0.3">
      <c r="A103" s="337">
        <f>+A102+1</f>
        <v>2</v>
      </c>
      <c r="B103" s="285" t="s">
        <v>255</v>
      </c>
      <c r="C103" s="285"/>
      <c r="D103" s="285"/>
      <c r="E103" s="285"/>
      <c r="F103" s="285"/>
      <c r="G103" s="285"/>
      <c r="H103" s="285"/>
      <c r="I103" s="285"/>
      <c r="J103" s="285"/>
      <c r="K103" s="285"/>
      <c r="L103" s="285"/>
      <c r="M103" s="285"/>
      <c r="N103" s="285"/>
      <c r="O103" s="285"/>
      <c r="P103" s="285"/>
      <c r="Q103" s="285"/>
      <c r="R103" s="285"/>
      <c r="S103" s="285"/>
      <c r="T103" s="339">
        <v>-2</v>
      </c>
      <c r="U103" s="288"/>
      <c r="V103" s="5"/>
    </row>
    <row r="104" spans="1:24" ht="15.6" x14ac:dyDescent="0.3">
      <c r="A104" s="337">
        <f>+A103+1</f>
        <v>3</v>
      </c>
      <c r="B104" s="285" t="s">
        <v>213</v>
      </c>
      <c r="C104" s="285"/>
      <c r="D104" s="285"/>
      <c r="E104" s="285"/>
      <c r="F104" s="285"/>
      <c r="G104" s="285"/>
      <c r="H104" s="285"/>
      <c r="I104" s="285"/>
      <c r="J104" s="285"/>
      <c r="K104" s="285"/>
      <c r="L104" s="285"/>
      <c r="M104" s="285"/>
      <c r="N104" s="285"/>
      <c r="O104" s="285"/>
      <c r="P104" s="285"/>
      <c r="Q104" s="285"/>
      <c r="R104" s="285"/>
      <c r="S104" s="285"/>
      <c r="T104" s="339">
        <f>-214-162-7</f>
        <v>-383</v>
      </c>
      <c r="U104" s="288"/>
      <c r="V104" s="5"/>
    </row>
    <row r="105" spans="1:24" ht="15.6" x14ac:dyDescent="0.3">
      <c r="A105" s="337" t="s">
        <v>133</v>
      </c>
      <c r="B105" s="285" t="s">
        <v>122</v>
      </c>
      <c r="C105" s="285"/>
      <c r="D105" s="285"/>
      <c r="E105" s="285"/>
      <c r="F105" s="285"/>
      <c r="G105" s="285"/>
      <c r="H105" s="285"/>
      <c r="I105" s="285"/>
      <c r="J105" s="285"/>
      <c r="K105" s="285"/>
      <c r="L105" s="285"/>
      <c r="M105" s="285"/>
      <c r="N105" s="285"/>
      <c r="O105" s="285"/>
      <c r="P105" s="285"/>
      <c r="Q105" s="285"/>
      <c r="R105" s="285"/>
      <c r="S105" s="285"/>
      <c r="T105" s="339">
        <v>-47</v>
      </c>
      <c r="U105" s="288"/>
      <c r="V105" s="5"/>
    </row>
    <row r="106" spans="1:24" ht="15.6" x14ac:dyDescent="0.3">
      <c r="A106" s="337" t="s">
        <v>134</v>
      </c>
      <c r="B106" s="285" t="s">
        <v>194</v>
      </c>
      <c r="C106" s="285"/>
      <c r="D106" s="285"/>
      <c r="E106" s="285"/>
      <c r="F106" s="285"/>
      <c r="G106" s="285"/>
      <c r="H106" s="285"/>
      <c r="I106" s="285"/>
      <c r="J106" s="285"/>
      <c r="K106" s="285"/>
      <c r="L106" s="285"/>
      <c r="M106" s="285"/>
      <c r="N106" s="285"/>
      <c r="O106" s="285"/>
      <c r="P106" s="285"/>
      <c r="Q106" s="285"/>
      <c r="R106" s="285"/>
      <c r="S106" s="285"/>
      <c r="T106" s="339">
        <f>-1055+196</f>
        <v>-859</v>
      </c>
      <c r="U106" s="288"/>
      <c r="V106" s="5"/>
      <c r="W106" s="109"/>
    </row>
    <row r="107" spans="1:24" ht="15.6" x14ac:dyDescent="0.3">
      <c r="A107" s="337" t="s">
        <v>156</v>
      </c>
      <c r="B107" s="285" t="s">
        <v>191</v>
      </c>
      <c r="C107" s="285"/>
      <c r="D107" s="285"/>
      <c r="E107" s="285"/>
      <c r="F107" s="285"/>
      <c r="G107" s="285"/>
      <c r="H107" s="285"/>
      <c r="I107" s="285"/>
      <c r="J107" s="285"/>
      <c r="K107" s="285"/>
      <c r="L107" s="285"/>
      <c r="M107" s="285"/>
      <c r="N107" s="285"/>
      <c r="O107" s="285"/>
      <c r="P107" s="285"/>
      <c r="Q107" s="285"/>
      <c r="R107" s="285"/>
      <c r="S107" s="285"/>
      <c r="T107" s="339">
        <v>-196</v>
      </c>
      <c r="U107" s="288"/>
      <c r="V107" s="5"/>
      <c r="W107" s="109"/>
    </row>
    <row r="108" spans="1:24" ht="15.6" x14ac:dyDescent="0.3">
      <c r="A108" s="337" t="s">
        <v>214</v>
      </c>
      <c r="B108" s="285" t="s">
        <v>192</v>
      </c>
      <c r="C108" s="285"/>
      <c r="D108" s="285"/>
      <c r="E108" s="285"/>
      <c r="F108" s="285"/>
      <c r="G108" s="285"/>
      <c r="H108" s="285"/>
      <c r="I108" s="285"/>
      <c r="J108" s="285"/>
      <c r="K108" s="285"/>
      <c r="L108" s="285"/>
      <c r="M108" s="285"/>
      <c r="N108" s="285"/>
      <c r="O108" s="285"/>
      <c r="P108" s="285"/>
      <c r="Q108" s="285"/>
      <c r="R108" s="285"/>
      <c r="S108" s="285"/>
      <c r="T108" s="339">
        <v>-189</v>
      </c>
      <c r="U108" s="288"/>
      <c r="V108" s="5"/>
      <c r="W108" s="109"/>
      <c r="X108" s="109"/>
    </row>
    <row r="109" spans="1:24" ht="15.6" x14ac:dyDescent="0.3">
      <c r="A109" s="337" t="s">
        <v>215</v>
      </c>
      <c r="B109" s="285" t="s">
        <v>193</v>
      </c>
      <c r="C109" s="285"/>
      <c r="D109" s="285"/>
      <c r="E109" s="285"/>
      <c r="F109" s="285"/>
      <c r="G109" s="285"/>
      <c r="H109" s="285"/>
      <c r="I109" s="285"/>
      <c r="J109" s="285"/>
      <c r="K109" s="285"/>
      <c r="L109" s="285"/>
      <c r="M109" s="285"/>
      <c r="N109" s="285"/>
      <c r="O109" s="285"/>
      <c r="P109" s="285"/>
      <c r="Q109" s="285"/>
      <c r="R109" s="285"/>
      <c r="S109" s="285"/>
      <c r="T109" s="339">
        <v>-52</v>
      </c>
      <c r="U109" s="288"/>
      <c r="V109" s="169"/>
      <c r="W109" s="109"/>
    </row>
    <row r="110" spans="1:24" ht="15.6" x14ac:dyDescent="0.3">
      <c r="A110" s="337" t="s">
        <v>216</v>
      </c>
      <c r="B110" s="285" t="s">
        <v>204</v>
      </c>
      <c r="C110" s="285"/>
      <c r="D110" s="285"/>
      <c r="E110" s="285"/>
      <c r="F110" s="285"/>
      <c r="G110" s="285"/>
      <c r="H110" s="285"/>
      <c r="I110" s="285"/>
      <c r="J110" s="285"/>
      <c r="K110" s="285"/>
      <c r="L110" s="285"/>
      <c r="M110" s="285"/>
      <c r="N110" s="285"/>
      <c r="O110" s="285"/>
      <c r="P110" s="285"/>
      <c r="Q110" s="285"/>
      <c r="R110" s="285"/>
      <c r="S110" s="285"/>
      <c r="T110" s="339">
        <v>-271</v>
      </c>
      <c r="U110" s="288"/>
      <c r="V110" s="5"/>
      <c r="W110" s="109"/>
    </row>
    <row r="111" spans="1:24" ht="15.6" x14ac:dyDescent="0.3">
      <c r="A111" s="337">
        <v>7</v>
      </c>
      <c r="B111" s="285" t="s">
        <v>35</v>
      </c>
      <c r="C111" s="285"/>
      <c r="D111" s="285"/>
      <c r="E111" s="285"/>
      <c r="F111" s="285"/>
      <c r="G111" s="285"/>
      <c r="H111" s="285"/>
      <c r="I111" s="285"/>
      <c r="J111" s="285"/>
      <c r="K111" s="285"/>
      <c r="L111" s="285"/>
      <c r="M111" s="285"/>
      <c r="N111" s="285"/>
      <c r="O111" s="285"/>
      <c r="P111" s="285"/>
      <c r="Q111" s="285"/>
      <c r="R111" s="285"/>
      <c r="S111" s="285"/>
      <c r="T111" s="339">
        <v>-10</v>
      </c>
      <c r="U111" s="288"/>
      <c r="V111" s="5"/>
    </row>
    <row r="112" spans="1:24" ht="15.6" x14ac:dyDescent="0.3">
      <c r="A112" s="337">
        <f t="shared" ref="A112:A117" si="0">+A111+1</f>
        <v>8</v>
      </c>
      <c r="B112" s="285" t="s">
        <v>46</v>
      </c>
      <c r="C112" s="285"/>
      <c r="D112" s="285"/>
      <c r="E112" s="285"/>
      <c r="F112" s="285"/>
      <c r="G112" s="285"/>
      <c r="H112" s="285"/>
      <c r="I112" s="285"/>
      <c r="J112" s="285"/>
      <c r="K112" s="285"/>
      <c r="L112" s="285"/>
      <c r="M112" s="285"/>
      <c r="N112" s="285"/>
      <c r="O112" s="285"/>
      <c r="P112" s="285"/>
      <c r="Q112" s="285"/>
      <c r="R112" s="338">
        <f>-T112</f>
        <v>137</v>
      </c>
      <c r="S112" s="285"/>
      <c r="T112" s="339">
        <v>-137</v>
      </c>
      <c r="U112" s="288"/>
      <c r="V112" s="5"/>
    </row>
    <row r="113" spans="1:22" ht="15.6" x14ac:dyDescent="0.3">
      <c r="A113" s="337">
        <f t="shared" si="0"/>
        <v>9</v>
      </c>
      <c r="B113" s="285" t="s">
        <v>131</v>
      </c>
      <c r="C113" s="285"/>
      <c r="D113" s="285"/>
      <c r="E113" s="285"/>
      <c r="F113" s="285"/>
      <c r="G113" s="285"/>
      <c r="H113" s="285"/>
      <c r="I113" s="285"/>
      <c r="J113" s="285"/>
      <c r="K113" s="285"/>
      <c r="L113" s="285"/>
      <c r="M113" s="285"/>
      <c r="N113" s="285"/>
      <c r="O113" s="285"/>
      <c r="P113" s="285"/>
      <c r="Q113" s="285"/>
      <c r="R113" s="285"/>
      <c r="S113" s="285"/>
      <c r="T113" s="339">
        <v>0</v>
      </c>
      <c r="U113" s="288"/>
      <c r="V113" s="5"/>
    </row>
    <row r="114" spans="1:22" ht="15.6" x14ac:dyDescent="0.3">
      <c r="A114" s="337">
        <f t="shared" si="0"/>
        <v>10</v>
      </c>
      <c r="B114" s="285" t="s">
        <v>36</v>
      </c>
      <c r="C114" s="285"/>
      <c r="D114" s="285"/>
      <c r="E114" s="285"/>
      <c r="F114" s="285"/>
      <c r="G114" s="285"/>
      <c r="H114" s="285"/>
      <c r="I114" s="285"/>
      <c r="J114" s="285"/>
      <c r="K114" s="285"/>
      <c r="L114" s="285"/>
      <c r="M114" s="285"/>
      <c r="N114" s="285"/>
      <c r="O114" s="285"/>
      <c r="P114" s="285"/>
      <c r="Q114" s="285"/>
      <c r="R114" s="285"/>
      <c r="S114" s="285"/>
      <c r="T114" s="339">
        <v>0</v>
      </c>
      <c r="U114" s="288"/>
      <c r="V114" s="5"/>
    </row>
    <row r="115" spans="1:22" ht="15.6" x14ac:dyDescent="0.3">
      <c r="A115" s="337">
        <f t="shared" si="0"/>
        <v>11</v>
      </c>
      <c r="B115" s="285" t="s">
        <v>37</v>
      </c>
      <c r="C115" s="285"/>
      <c r="D115" s="285"/>
      <c r="E115" s="285"/>
      <c r="F115" s="285"/>
      <c r="G115" s="285"/>
      <c r="H115" s="285"/>
      <c r="I115" s="285"/>
      <c r="J115" s="285"/>
      <c r="K115" s="285"/>
      <c r="L115" s="285"/>
      <c r="M115" s="285"/>
      <c r="N115" s="285"/>
      <c r="O115" s="285"/>
      <c r="P115" s="285"/>
      <c r="Q115" s="285"/>
      <c r="R115" s="285"/>
      <c r="S115" s="285"/>
      <c r="T115" s="339">
        <v>0</v>
      </c>
      <c r="U115" s="288"/>
      <c r="V115" s="5"/>
    </row>
    <row r="116" spans="1:22" ht="15.6" x14ac:dyDescent="0.3">
      <c r="A116" s="337">
        <f t="shared" si="0"/>
        <v>12</v>
      </c>
      <c r="B116" s="285" t="s">
        <v>155</v>
      </c>
      <c r="C116" s="285"/>
      <c r="D116" s="285"/>
      <c r="E116" s="285"/>
      <c r="F116" s="285"/>
      <c r="G116" s="285"/>
      <c r="H116" s="285"/>
      <c r="I116" s="285"/>
      <c r="J116" s="285"/>
      <c r="K116" s="285"/>
      <c r="L116" s="285"/>
      <c r="M116" s="285"/>
      <c r="N116" s="285"/>
      <c r="O116" s="285"/>
      <c r="P116" s="285"/>
      <c r="Q116" s="285"/>
      <c r="R116" s="285"/>
      <c r="S116" s="285"/>
      <c r="T116" s="339">
        <v>-213</v>
      </c>
      <c r="U116" s="288"/>
      <c r="V116" s="5"/>
    </row>
    <row r="117" spans="1:22" ht="15.6" x14ac:dyDescent="0.3">
      <c r="A117" s="337">
        <f t="shared" si="0"/>
        <v>13</v>
      </c>
      <c r="B117" s="285" t="s">
        <v>132</v>
      </c>
      <c r="C117" s="285"/>
      <c r="D117" s="285"/>
      <c r="E117" s="285"/>
      <c r="F117" s="285"/>
      <c r="G117" s="285"/>
      <c r="H117" s="285"/>
      <c r="I117" s="285"/>
      <c r="J117" s="285"/>
      <c r="K117" s="285"/>
      <c r="L117" s="285"/>
      <c r="M117" s="285"/>
      <c r="N117" s="285"/>
      <c r="O117" s="285"/>
      <c r="P117" s="285"/>
      <c r="Q117" s="285"/>
      <c r="R117" s="285"/>
      <c r="S117" s="285"/>
      <c r="T117" s="339">
        <f>-T100-SUM(T102:T116)</f>
        <v>-1706</v>
      </c>
      <c r="U117" s="288"/>
      <c r="V117" s="5"/>
    </row>
    <row r="118" spans="1:22" ht="15.6" x14ac:dyDescent="0.3">
      <c r="A118" s="284"/>
      <c r="B118" s="343" t="s">
        <v>38</v>
      </c>
      <c r="C118" s="311"/>
      <c r="D118" s="311"/>
      <c r="E118" s="311"/>
      <c r="F118" s="311"/>
      <c r="G118" s="311"/>
      <c r="H118" s="311"/>
      <c r="I118" s="311"/>
      <c r="J118" s="311"/>
      <c r="K118" s="311"/>
      <c r="L118" s="311"/>
      <c r="M118" s="311"/>
      <c r="N118" s="311"/>
      <c r="O118" s="311"/>
      <c r="P118" s="311"/>
      <c r="Q118" s="311"/>
      <c r="R118" s="311"/>
      <c r="S118" s="311"/>
      <c r="T118" s="346"/>
      <c r="U118" s="317"/>
      <c r="V118" s="5"/>
    </row>
    <row r="119" spans="1:22" ht="15.6" x14ac:dyDescent="0.3">
      <c r="A119" s="337"/>
      <c r="B119" s="285" t="s">
        <v>180</v>
      </c>
      <c r="C119" s="285"/>
      <c r="D119" s="285"/>
      <c r="E119" s="285"/>
      <c r="F119" s="285"/>
      <c r="G119" s="285"/>
      <c r="H119" s="285"/>
      <c r="I119" s="285"/>
      <c r="J119" s="285"/>
      <c r="K119" s="285"/>
      <c r="L119" s="285"/>
      <c r="M119" s="285"/>
      <c r="N119" s="285"/>
      <c r="O119" s="285"/>
      <c r="P119" s="285"/>
      <c r="Q119" s="285"/>
      <c r="R119" s="338">
        <f>-R177</f>
        <v>0</v>
      </c>
      <c r="S119" s="338"/>
      <c r="T119" s="339"/>
      <c r="U119" s="288"/>
      <c r="V119" s="5"/>
    </row>
    <row r="120" spans="1:22" ht="15.6" x14ac:dyDescent="0.3">
      <c r="A120" s="337"/>
      <c r="B120" s="285" t="s">
        <v>181</v>
      </c>
      <c r="C120" s="285"/>
      <c r="D120" s="285"/>
      <c r="E120" s="285"/>
      <c r="F120" s="285"/>
      <c r="G120" s="285"/>
      <c r="H120" s="285"/>
      <c r="I120" s="285"/>
      <c r="J120" s="285"/>
      <c r="K120" s="285"/>
      <c r="L120" s="285"/>
      <c r="M120" s="285"/>
      <c r="N120" s="285"/>
      <c r="O120" s="285"/>
      <c r="P120" s="285"/>
      <c r="Q120" s="285"/>
      <c r="R120" s="338">
        <v>0</v>
      </c>
      <c r="S120" s="338"/>
      <c r="T120" s="339"/>
      <c r="U120" s="288"/>
      <c r="V120" s="5"/>
    </row>
    <row r="121" spans="1:22" ht="15.6" x14ac:dyDescent="0.3">
      <c r="A121" s="337"/>
      <c r="B121" s="285" t="s">
        <v>39</v>
      </c>
      <c r="C121" s="285"/>
      <c r="D121" s="285"/>
      <c r="E121" s="285"/>
      <c r="F121" s="285"/>
      <c r="G121" s="285"/>
      <c r="H121" s="285"/>
      <c r="I121" s="285"/>
      <c r="J121" s="285"/>
      <c r="K121" s="285"/>
      <c r="L121" s="285"/>
      <c r="M121" s="285"/>
      <c r="N121" s="285"/>
      <c r="O121" s="285"/>
      <c r="P121" s="285"/>
      <c r="Q121" s="285"/>
      <c r="R121" s="338">
        <f>-Q177</f>
        <v>-86</v>
      </c>
      <c r="S121" s="338"/>
      <c r="T121" s="339"/>
      <c r="U121" s="288"/>
      <c r="V121" s="5"/>
    </row>
    <row r="122" spans="1:22" ht="15.6" x14ac:dyDescent="0.3">
      <c r="A122" s="337"/>
      <c r="B122" s="285" t="s">
        <v>205</v>
      </c>
      <c r="C122" s="285"/>
      <c r="D122" s="285"/>
      <c r="E122" s="285"/>
      <c r="F122" s="285"/>
      <c r="G122" s="285"/>
      <c r="H122" s="285"/>
      <c r="I122" s="285"/>
      <c r="J122" s="285"/>
      <c r="K122" s="285"/>
      <c r="L122" s="285"/>
      <c r="M122" s="285"/>
      <c r="N122" s="285"/>
      <c r="O122" s="285"/>
      <c r="P122" s="285"/>
      <c r="Q122" s="285"/>
      <c r="R122" s="338">
        <v>-3068</v>
      </c>
      <c r="S122" s="338"/>
      <c r="T122" s="339"/>
      <c r="U122" s="288"/>
      <c r="V122" s="5"/>
    </row>
    <row r="123" spans="1:22" ht="15.6" x14ac:dyDescent="0.3">
      <c r="A123" s="337"/>
      <c r="B123" s="285" t="s">
        <v>203</v>
      </c>
      <c r="C123" s="285"/>
      <c r="D123" s="285"/>
      <c r="E123" s="285"/>
      <c r="F123" s="285"/>
      <c r="G123" s="285"/>
      <c r="H123" s="285"/>
      <c r="I123" s="285"/>
      <c r="J123" s="285"/>
      <c r="K123" s="285"/>
      <c r="L123" s="285"/>
      <c r="M123" s="285"/>
      <c r="N123" s="285"/>
      <c r="O123" s="285"/>
      <c r="P123" s="285"/>
      <c r="Q123" s="285"/>
      <c r="R123" s="338">
        <v>-809</v>
      </c>
      <c r="S123" s="338"/>
      <c r="T123" s="339"/>
      <c r="U123" s="288"/>
      <c r="V123" s="5"/>
    </row>
    <row r="124" spans="1:22" ht="15.6" x14ac:dyDescent="0.3">
      <c r="A124" s="337"/>
      <c r="B124" s="285" t="s">
        <v>202</v>
      </c>
      <c r="C124" s="285"/>
      <c r="D124" s="285"/>
      <c r="E124" s="285"/>
      <c r="F124" s="285"/>
      <c r="G124" s="285"/>
      <c r="H124" s="285"/>
      <c r="I124" s="285"/>
      <c r="J124" s="285"/>
      <c r="K124" s="285"/>
      <c r="L124" s="285"/>
      <c r="M124" s="285"/>
      <c r="N124" s="285"/>
      <c r="O124" s="285"/>
      <c r="P124" s="285"/>
      <c r="Q124" s="285"/>
      <c r="R124" s="338">
        <v>-815</v>
      </c>
      <c r="S124" s="338"/>
      <c r="T124" s="339"/>
      <c r="U124" s="288"/>
      <c r="V124" s="5"/>
    </row>
    <row r="125" spans="1:22" ht="15.6" x14ac:dyDescent="0.3">
      <c r="A125" s="337"/>
      <c r="B125" s="285" t="s">
        <v>197</v>
      </c>
      <c r="C125" s="285"/>
      <c r="D125" s="285"/>
      <c r="E125" s="285"/>
      <c r="F125" s="285"/>
      <c r="G125" s="285"/>
      <c r="H125" s="285"/>
      <c r="I125" s="285"/>
      <c r="J125" s="285"/>
      <c r="K125" s="285"/>
      <c r="L125" s="285"/>
      <c r="M125" s="285"/>
      <c r="N125" s="285"/>
      <c r="O125" s="285"/>
      <c r="P125" s="285"/>
      <c r="Q125" s="285"/>
      <c r="R125" s="338">
        <v>0</v>
      </c>
      <c r="S125" s="338"/>
      <c r="T125" s="339"/>
      <c r="U125" s="288"/>
      <c r="V125" s="5"/>
    </row>
    <row r="126" spans="1:22" ht="15.6" x14ac:dyDescent="0.3">
      <c r="A126" s="337"/>
      <c r="B126" s="285" t="s">
        <v>196</v>
      </c>
      <c r="C126" s="285"/>
      <c r="D126" s="285"/>
      <c r="E126" s="285"/>
      <c r="F126" s="285"/>
      <c r="G126" s="285"/>
      <c r="H126" s="285"/>
      <c r="I126" s="285"/>
      <c r="J126" s="285"/>
      <c r="K126" s="285"/>
      <c r="L126" s="285"/>
      <c r="M126" s="285"/>
      <c r="N126" s="285"/>
      <c r="O126" s="285"/>
      <c r="P126" s="285"/>
      <c r="Q126" s="285"/>
      <c r="R126" s="338">
        <v>0</v>
      </c>
      <c r="S126" s="338"/>
      <c r="T126" s="339"/>
      <c r="U126" s="288"/>
      <c r="V126" s="5"/>
    </row>
    <row r="127" spans="1:22" ht="15.6" x14ac:dyDescent="0.3">
      <c r="A127" s="337"/>
      <c r="B127" s="285" t="s">
        <v>195</v>
      </c>
      <c r="C127" s="285"/>
      <c r="D127" s="285"/>
      <c r="E127" s="285"/>
      <c r="F127" s="285"/>
      <c r="G127" s="285"/>
      <c r="H127" s="285"/>
      <c r="I127" s="285"/>
      <c r="J127" s="285"/>
      <c r="K127" s="285"/>
      <c r="L127" s="285"/>
      <c r="M127" s="285"/>
      <c r="N127" s="285"/>
      <c r="O127" s="285"/>
      <c r="P127" s="285"/>
      <c r="Q127" s="285"/>
      <c r="R127" s="338">
        <v>0</v>
      </c>
      <c r="S127" s="338"/>
      <c r="T127" s="339"/>
      <c r="U127" s="288"/>
      <c r="V127" s="5"/>
    </row>
    <row r="128" spans="1:22" ht="15.6" x14ac:dyDescent="0.3">
      <c r="A128" s="337"/>
      <c r="B128" s="285" t="s">
        <v>40</v>
      </c>
      <c r="C128" s="285"/>
      <c r="D128" s="285"/>
      <c r="E128" s="285"/>
      <c r="F128" s="285"/>
      <c r="G128" s="285"/>
      <c r="H128" s="285"/>
      <c r="I128" s="285"/>
      <c r="J128" s="285"/>
      <c r="K128" s="285"/>
      <c r="L128" s="285"/>
      <c r="M128" s="285"/>
      <c r="N128" s="285"/>
      <c r="O128" s="285"/>
      <c r="P128" s="285"/>
      <c r="Q128" s="285"/>
      <c r="R128" s="338">
        <f>SUM(R119:R127)</f>
        <v>-4778</v>
      </c>
      <c r="S128" s="338"/>
      <c r="T128" s="338">
        <f>SUM(T101:T126)</f>
        <v>-4065</v>
      </c>
      <c r="U128" s="288"/>
      <c r="V128" s="5"/>
    </row>
    <row r="129" spans="1:23" ht="15.6" x14ac:dyDescent="0.3">
      <c r="A129" s="337"/>
      <c r="B129" s="285" t="s">
        <v>41</v>
      </c>
      <c r="C129" s="285"/>
      <c r="D129" s="285"/>
      <c r="E129" s="285"/>
      <c r="F129" s="285"/>
      <c r="G129" s="285"/>
      <c r="H129" s="285"/>
      <c r="I129" s="285"/>
      <c r="J129" s="285"/>
      <c r="K129" s="285"/>
      <c r="L129" s="285"/>
      <c r="M129" s="285"/>
      <c r="N129" s="285"/>
      <c r="O129" s="285"/>
      <c r="P129" s="285"/>
      <c r="Q129" s="285"/>
      <c r="R129" s="338">
        <f>R100+R128+R112</f>
        <v>0</v>
      </c>
      <c r="S129" s="338"/>
      <c r="T129" s="338">
        <f>T100+T128</f>
        <v>0</v>
      </c>
      <c r="U129" s="288"/>
      <c r="V129" s="5"/>
    </row>
    <row r="130" spans="1:23" ht="15.6" x14ac:dyDescent="0.3">
      <c r="A130" s="256"/>
      <c r="B130" s="281"/>
      <c r="C130" s="281"/>
      <c r="D130" s="281"/>
      <c r="E130" s="281"/>
      <c r="F130" s="281"/>
      <c r="G130" s="281"/>
      <c r="H130" s="281"/>
      <c r="I130" s="281"/>
      <c r="J130" s="281"/>
      <c r="K130" s="281"/>
      <c r="L130" s="281"/>
      <c r="M130" s="281"/>
      <c r="N130" s="281"/>
      <c r="O130" s="281"/>
      <c r="P130" s="281"/>
      <c r="Q130" s="281"/>
      <c r="R130" s="340"/>
      <c r="S130" s="340"/>
      <c r="T130" s="340"/>
      <c r="U130" s="281"/>
      <c r="V130" s="5"/>
    </row>
    <row r="131" spans="1:23" ht="15.6" x14ac:dyDescent="0.3">
      <c r="A131" s="256"/>
      <c r="B131" s="231"/>
      <c r="C131" s="231"/>
      <c r="D131" s="231"/>
      <c r="E131" s="231"/>
      <c r="F131" s="231"/>
      <c r="G131" s="231"/>
      <c r="H131" s="231"/>
      <c r="I131" s="231"/>
      <c r="J131" s="231"/>
      <c r="K131" s="231"/>
      <c r="L131" s="231"/>
      <c r="M131" s="231"/>
      <c r="N131" s="231"/>
      <c r="O131" s="231"/>
      <c r="P131" s="231"/>
      <c r="Q131" s="231"/>
      <c r="R131" s="231"/>
      <c r="S131" s="231"/>
      <c r="T131" s="257"/>
      <c r="U131" s="231"/>
      <c r="V131" s="5"/>
    </row>
    <row r="132" spans="1:23" ht="18" thickBot="1" x14ac:dyDescent="0.35">
      <c r="A132" s="258"/>
      <c r="B132" s="246" t="str">
        <f>B64</f>
        <v>PM11 INVESTOR REPORT QUARTER ENDING SEPTEMBER 2012</v>
      </c>
      <c r="C132" s="247"/>
      <c r="D132" s="247"/>
      <c r="E132" s="247"/>
      <c r="F132" s="247"/>
      <c r="G132" s="247"/>
      <c r="H132" s="247"/>
      <c r="I132" s="247"/>
      <c r="J132" s="247"/>
      <c r="K132" s="247"/>
      <c r="L132" s="247"/>
      <c r="M132" s="247"/>
      <c r="N132" s="247"/>
      <c r="O132" s="247"/>
      <c r="P132" s="247"/>
      <c r="Q132" s="247"/>
      <c r="R132" s="247"/>
      <c r="S132" s="247"/>
      <c r="T132" s="259"/>
      <c r="U132" s="249"/>
      <c r="V132" s="5"/>
    </row>
    <row r="133" spans="1:23" ht="15.6" x14ac:dyDescent="0.3">
      <c r="A133" s="260"/>
      <c r="B133" s="399" t="s">
        <v>42</v>
      </c>
      <c r="C133" s="261"/>
      <c r="D133" s="261"/>
      <c r="E133" s="261"/>
      <c r="F133" s="261"/>
      <c r="G133" s="261"/>
      <c r="H133" s="261"/>
      <c r="I133" s="261"/>
      <c r="J133" s="261"/>
      <c r="K133" s="261"/>
      <c r="L133" s="261"/>
      <c r="M133" s="261"/>
      <c r="N133" s="261"/>
      <c r="O133" s="261"/>
      <c r="P133" s="261"/>
      <c r="Q133" s="261"/>
      <c r="R133" s="261"/>
      <c r="S133" s="261"/>
      <c r="T133" s="262"/>
      <c r="U133" s="261"/>
      <c r="V133" s="5"/>
    </row>
    <row r="134" spans="1:23" ht="15.6" x14ac:dyDescent="0.3">
      <c r="A134" s="175"/>
      <c r="B134" s="187"/>
      <c r="C134" s="177"/>
      <c r="D134" s="177"/>
      <c r="E134" s="177"/>
      <c r="F134" s="177"/>
      <c r="G134" s="177"/>
      <c r="H134" s="177"/>
      <c r="I134" s="177"/>
      <c r="J134" s="177"/>
      <c r="K134" s="177"/>
      <c r="L134" s="177"/>
      <c r="M134" s="177"/>
      <c r="N134" s="177"/>
      <c r="O134" s="177"/>
      <c r="P134" s="177"/>
      <c r="Q134" s="177"/>
      <c r="R134" s="177"/>
      <c r="S134" s="177"/>
      <c r="T134" s="194"/>
      <c r="U134" s="177"/>
      <c r="V134" s="5"/>
    </row>
    <row r="135" spans="1:23" ht="15.6" x14ac:dyDescent="0.3">
      <c r="A135" s="175"/>
      <c r="B135" s="201" t="s">
        <v>43</v>
      </c>
      <c r="C135" s="177"/>
      <c r="D135" s="177"/>
      <c r="E135" s="177"/>
      <c r="F135" s="177"/>
      <c r="G135" s="177"/>
      <c r="H135" s="177"/>
      <c r="I135" s="177"/>
      <c r="J135" s="177"/>
      <c r="K135" s="177"/>
      <c r="L135" s="177"/>
      <c r="M135" s="177"/>
      <c r="N135" s="177"/>
      <c r="O135" s="177"/>
      <c r="P135" s="177"/>
      <c r="Q135" s="177"/>
      <c r="R135" s="177"/>
      <c r="S135" s="177"/>
      <c r="T135" s="194"/>
      <c r="U135" s="177"/>
      <c r="V135" s="5"/>
    </row>
    <row r="136" spans="1:23" ht="15.6" x14ac:dyDescent="0.3">
      <c r="A136" s="284"/>
      <c r="B136" s="285" t="s">
        <v>44</v>
      </c>
      <c r="C136" s="285"/>
      <c r="D136" s="285"/>
      <c r="E136" s="285"/>
      <c r="F136" s="285"/>
      <c r="G136" s="285"/>
      <c r="H136" s="285"/>
      <c r="I136" s="285"/>
      <c r="J136" s="285"/>
      <c r="K136" s="285"/>
      <c r="L136" s="285"/>
      <c r="M136" s="285"/>
      <c r="N136" s="285"/>
      <c r="O136" s="285"/>
      <c r="P136" s="285"/>
      <c r="Q136" s="285"/>
      <c r="R136" s="285"/>
      <c r="S136" s="285"/>
      <c r="T136" s="339">
        <f>+T34*0.019</f>
        <v>19000.95</v>
      </c>
      <c r="U136" s="288"/>
      <c r="V136" s="5"/>
    </row>
    <row r="137" spans="1:23" ht="15.6" x14ac:dyDescent="0.3">
      <c r="A137" s="284"/>
      <c r="B137" s="285" t="s">
        <v>45</v>
      </c>
      <c r="C137" s="285"/>
      <c r="D137" s="285"/>
      <c r="E137" s="285"/>
      <c r="F137" s="285"/>
      <c r="G137" s="285"/>
      <c r="H137" s="285"/>
      <c r="I137" s="285"/>
      <c r="J137" s="285"/>
      <c r="K137" s="285"/>
      <c r="L137" s="285"/>
      <c r="M137" s="285"/>
      <c r="N137" s="285"/>
      <c r="O137" s="285"/>
      <c r="P137" s="285"/>
      <c r="Q137" s="285"/>
      <c r="R137" s="285"/>
      <c r="S137" s="285"/>
      <c r="T137" s="339">
        <v>19001</v>
      </c>
      <c r="U137" s="288"/>
      <c r="V137" s="5"/>
    </row>
    <row r="138" spans="1:23" ht="15.6" x14ac:dyDescent="0.3">
      <c r="A138" s="284"/>
      <c r="B138" s="285" t="s">
        <v>142</v>
      </c>
      <c r="C138" s="285"/>
      <c r="D138" s="285"/>
      <c r="E138" s="285"/>
      <c r="F138" s="285"/>
      <c r="G138" s="285"/>
      <c r="H138" s="285"/>
      <c r="I138" s="285"/>
      <c r="J138" s="285"/>
      <c r="K138" s="285"/>
      <c r="L138" s="285"/>
      <c r="M138" s="285"/>
      <c r="N138" s="285"/>
      <c r="O138" s="285"/>
      <c r="P138" s="285"/>
      <c r="Q138" s="285"/>
      <c r="R138" s="285"/>
      <c r="S138" s="285"/>
      <c r="T138" s="339">
        <v>0</v>
      </c>
      <c r="U138" s="288"/>
      <c r="V138" s="5"/>
    </row>
    <row r="139" spans="1:23" ht="15.6" x14ac:dyDescent="0.3">
      <c r="A139" s="284"/>
      <c r="B139" s="285" t="s">
        <v>129</v>
      </c>
      <c r="C139" s="285"/>
      <c r="D139" s="285"/>
      <c r="E139" s="285"/>
      <c r="F139" s="285"/>
      <c r="G139" s="285"/>
      <c r="H139" s="285"/>
      <c r="I139" s="285"/>
      <c r="J139" s="285"/>
      <c r="K139" s="285"/>
      <c r="L139" s="285"/>
      <c r="M139" s="285"/>
      <c r="N139" s="285"/>
      <c r="O139" s="285"/>
      <c r="P139" s="285"/>
      <c r="Q139" s="285"/>
      <c r="R139" s="285"/>
      <c r="S139" s="285"/>
      <c r="T139" s="339">
        <v>0</v>
      </c>
      <c r="U139" s="288"/>
      <c r="V139" s="5"/>
    </row>
    <row r="140" spans="1:23" ht="15.6" x14ac:dyDescent="0.3">
      <c r="A140" s="284"/>
      <c r="B140" s="285" t="s">
        <v>130</v>
      </c>
      <c r="C140" s="285"/>
      <c r="D140" s="285"/>
      <c r="E140" s="285"/>
      <c r="F140" s="285"/>
      <c r="G140" s="285"/>
      <c r="H140" s="285"/>
      <c r="I140" s="285"/>
      <c r="J140" s="285"/>
      <c r="K140" s="285"/>
      <c r="L140" s="285"/>
      <c r="M140" s="285"/>
      <c r="N140" s="285"/>
      <c r="O140" s="285"/>
      <c r="P140" s="285"/>
      <c r="Q140" s="285"/>
      <c r="R140" s="285"/>
      <c r="S140" s="285"/>
      <c r="T140" s="339">
        <v>0</v>
      </c>
      <c r="U140" s="288"/>
      <c r="V140" s="5"/>
    </row>
    <row r="141" spans="1:23" ht="15.6" x14ac:dyDescent="0.3">
      <c r="A141" s="284"/>
      <c r="B141" s="285" t="s">
        <v>182</v>
      </c>
      <c r="C141" s="285"/>
      <c r="D141" s="285"/>
      <c r="E141" s="285"/>
      <c r="F141" s="285"/>
      <c r="G141" s="285"/>
      <c r="H141" s="285"/>
      <c r="I141" s="285"/>
      <c r="J141" s="285"/>
      <c r="K141" s="285"/>
      <c r="L141" s="285"/>
      <c r="M141" s="285"/>
      <c r="N141" s="285"/>
      <c r="O141" s="285"/>
      <c r="P141" s="285"/>
      <c r="Q141" s="285"/>
      <c r="R141" s="285"/>
      <c r="S141" s="285"/>
      <c r="T141" s="339">
        <v>0</v>
      </c>
      <c r="U141" s="288"/>
      <c r="V141" s="5"/>
    </row>
    <row r="142" spans="1:23" ht="15.6" x14ac:dyDescent="0.3">
      <c r="A142" s="284"/>
      <c r="B142" s="285" t="s">
        <v>46</v>
      </c>
      <c r="C142" s="285"/>
      <c r="D142" s="285"/>
      <c r="E142" s="285"/>
      <c r="F142" s="285"/>
      <c r="G142" s="285"/>
      <c r="H142" s="285"/>
      <c r="I142" s="285"/>
      <c r="J142" s="285"/>
      <c r="K142" s="285"/>
      <c r="L142" s="285"/>
      <c r="M142" s="285"/>
      <c r="N142" s="285"/>
      <c r="O142" s="285"/>
      <c r="P142" s="285"/>
      <c r="Q142" s="285"/>
      <c r="R142" s="285"/>
      <c r="S142" s="285"/>
      <c r="T142" s="339">
        <v>0</v>
      </c>
      <c r="U142" s="288"/>
      <c r="V142" s="5"/>
    </row>
    <row r="143" spans="1:23" ht="15.6" x14ac:dyDescent="0.3">
      <c r="A143" s="284"/>
      <c r="B143" s="285" t="s">
        <v>135</v>
      </c>
      <c r="C143" s="285"/>
      <c r="D143" s="285"/>
      <c r="E143" s="285"/>
      <c r="F143" s="285"/>
      <c r="G143" s="285"/>
      <c r="H143" s="285"/>
      <c r="I143" s="285"/>
      <c r="J143" s="285"/>
      <c r="K143" s="285"/>
      <c r="L143" s="285"/>
      <c r="M143" s="285"/>
      <c r="N143" s="285"/>
      <c r="O143" s="285"/>
      <c r="P143" s="285"/>
      <c r="Q143" s="285"/>
      <c r="R143" s="285"/>
      <c r="S143" s="285"/>
      <c r="T143" s="339">
        <v>0</v>
      </c>
      <c r="U143" s="288"/>
      <c r="V143" s="5"/>
    </row>
    <row r="144" spans="1:23" ht="15.6" x14ac:dyDescent="0.3">
      <c r="A144" s="284"/>
      <c r="B144" s="285" t="s">
        <v>251</v>
      </c>
      <c r="C144" s="285"/>
      <c r="D144" s="285"/>
      <c r="E144" s="285"/>
      <c r="F144" s="285"/>
      <c r="G144" s="285"/>
      <c r="H144" s="285"/>
      <c r="I144" s="285"/>
      <c r="J144" s="285"/>
      <c r="K144" s="285"/>
      <c r="L144" s="285"/>
      <c r="M144" s="285"/>
      <c r="N144" s="285"/>
      <c r="O144" s="285"/>
      <c r="P144" s="285"/>
      <c r="Q144" s="285"/>
      <c r="R144" s="285"/>
      <c r="S144" s="285"/>
      <c r="T144" s="339">
        <v>0</v>
      </c>
      <c r="U144" s="288"/>
      <c r="V144" s="5"/>
      <c r="W144" s="109"/>
    </row>
    <row r="145" spans="1:22" ht="15.6" x14ac:dyDescent="0.3">
      <c r="A145" s="284"/>
      <c r="B145" s="285" t="s">
        <v>47</v>
      </c>
      <c r="C145" s="285"/>
      <c r="D145" s="285"/>
      <c r="E145" s="285"/>
      <c r="F145" s="285"/>
      <c r="G145" s="285"/>
      <c r="H145" s="285"/>
      <c r="I145" s="285"/>
      <c r="J145" s="285"/>
      <c r="K145" s="285"/>
      <c r="L145" s="285"/>
      <c r="M145" s="285"/>
      <c r="N145" s="285"/>
      <c r="O145" s="285"/>
      <c r="P145" s="285"/>
      <c r="Q145" s="285"/>
      <c r="R145" s="285"/>
      <c r="S145" s="285"/>
      <c r="T145" s="339">
        <f>SUM(T137:T144)</f>
        <v>19001</v>
      </c>
      <c r="U145" s="288"/>
      <c r="V145" s="5"/>
    </row>
    <row r="146" spans="1:22" ht="15.6" x14ac:dyDescent="0.3">
      <c r="A146" s="284"/>
      <c r="B146" s="311"/>
      <c r="C146" s="311"/>
      <c r="D146" s="311"/>
      <c r="E146" s="311"/>
      <c r="F146" s="311"/>
      <c r="G146" s="311"/>
      <c r="H146" s="311"/>
      <c r="I146" s="311"/>
      <c r="J146" s="311"/>
      <c r="K146" s="311"/>
      <c r="L146" s="311"/>
      <c r="M146" s="311"/>
      <c r="N146" s="311"/>
      <c r="O146" s="311"/>
      <c r="P146" s="311"/>
      <c r="Q146" s="311"/>
      <c r="R146" s="311"/>
      <c r="S146" s="311"/>
      <c r="T146" s="345"/>
      <c r="U146" s="317"/>
      <c r="V146" s="5"/>
    </row>
    <row r="147" spans="1:22" ht="15.6" x14ac:dyDescent="0.3">
      <c r="A147" s="284"/>
      <c r="B147" s="343" t="s">
        <v>262</v>
      </c>
      <c r="C147" s="311"/>
      <c r="D147" s="311"/>
      <c r="E147" s="311"/>
      <c r="F147" s="311"/>
      <c r="G147" s="311"/>
      <c r="H147" s="311"/>
      <c r="I147" s="311"/>
      <c r="J147" s="311"/>
      <c r="K147" s="311"/>
      <c r="L147" s="311"/>
      <c r="M147" s="311"/>
      <c r="N147" s="311"/>
      <c r="O147" s="311"/>
      <c r="P147" s="311"/>
      <c r="Q147" s="311"/>
      <c r="R147" s="311"/>
      <c r="S147" s="311"/>
      <c r="T147" s="345"/>
      <c r="U147" s="317"/>
      <c r="V147" s="5"/>
    </row>
    <row r="148" spans="1:22" ht="15.6" x14ac:dyDescent="0.3">
      <c r="A148" s="284"/>
      <c r="B148" s="285" t="s">
        <v>263</v>
      </c>
      <c r="C148" s="285"/>
      <c r="D148" s="285"/>
      <c r="E148" s="285"/>
      <c r="F148" s="285"/>
      <c r="G148" s="285"/>
      <c r="H148" s="285"/>
      <c r="I148" s="285"/>
      <c r="J148" s="285"/>
      <c r="K148" s="285"/>
      <c r="L148" s="285"/>
      <c r="M148" s="285"/>
      <c r="N148" s="285"/>
      <c r="O148" s="285"/>
      <c r="P148" s="285"/>
      <c r="Q148" s="285"/>
      <c r="R148" s="285"/>
      <c r="S148" s="285"/>
      <c r="T148" s="339">
        <v>0</v>
      </c>
      <c r="U148" s="288"/>
      <c r="V148" s="5"/>
    </row>
    <row r="149" spans="1:22" ht="15.6" x14ac:dyDescent="0.3">
      <c r="A149" s="284"/>
      <c r="B149" s="285" t="s">
        <v>179</v>
      </c>
      <c r="C149" s="285"/>
      <c r="D149" s="285"/>
      <c r="E149" s="285"/>
      <c r="F149" s="285"/>
      <c r="G149" s="285"/>
      <c r="H149" s="285"/>
      <c r="I149" s="285"/>
      <c r="J149" s="285"/>
      <c r="K149" s="285"/>
      <c r="L149" s="285"/>
      <c r="M149" s="285"/>
      <c r="N149" s="285"/>
      <c r="O149" s="285"/>
      <c r="P149" s="285"/>
      <c r="Q149" s="285"/>
      <c r="R149" s="285"/>
      <c r="S149" s="285"/>
      <c r="T149" s="339">
        <v>0</v>
      </c>
      <c r="U149" s="288"/>
      <c r="V149" s="5"/>
    </row>
    <row r="150" spans="1:22" ht="15.6" x14ac:dyDescent="0.3">
      <c r="A150" s="284"/>
      <c r="B150" s="285" t="s">
        <v>264</v>
      </c>
      <c r="C150" s="285"/>
      <c r="D150" s="285"/>
      <c r="E150" s="285"/>
      <c r="F150" s="285"/>
      <c r="G150" s="285"/>
      <c r="H150" s="285"/>
      <c r="I150" s="285"/>
      <c r="J150" s="285"/>
      <c r="K150" s="285"/>
      <c r="L150" s="285"/>
      <c r="M150" s="285"/>
      <c r="N150" s="285"/>
      <c r="O150" s="285"/>
      <c r="P150" s="285"/>
      <c r="Q150" s="285"/>
      <c r="R150" s="285"/>
      <c r="S150" s="285"/>
      <c r="T150" s="339">
        <v>0</v>
      </c>
      <c r="U150" s="288"/>
      <c r="V150" s="5"/>
    </row>
    <row r="151" spans="1:22" ht="15.6" x14ac:dyDescent="0.3">
      <c r="A151" s="284"/>
      <c r="B151" s="285"/>
      <c r="C151" s="285"/>
      <c r="D151" s="285"/>
      <c r="E151" s="285"/>
      <c r="F151" s="285"/>
      <c r="G151" s="285"/>
      <c r="H151" s="285"/>
      <c r="I151" s="285"/>
      <c r="J151" s="285"/>
      <c r="K151" s="285"/>
      <c r="L151" s="285"/>
      <c r="M151" s="285"/>
      <c r="N151" s="285"/>
      <c r="O151" s="285"/>
      <c r="P151" s="285"/>
      <c r="Q151" s="285"/>
      <c r="R151" s="285"/>
      <c r="S151" s="285"/>
      <c r="T151" s="339"/>
      <c r="U151" s="288"/>
      <c r="V151" s="5"/>
    </row>
    <row r="152" spans="1:22" ht="15.6" x14ac:dyDescent="0.3">
      <c r="A152" s="175"/>
      <c r="B152" s="334"/>
      <c r="C152" s="334"/>
      <c r="D152" s="334"/>
      <c r="E152" s="334"/>
      <c r="F152" s="334"/>
      <c r="G152" s="334"/>
      <c r="H152" s="334"/>
      <c r="I152" s="334"/>
      <c r="J152" s="334"/>
      <c r="K152" s="334"/>
      <c r="L152" s="334"/>
      <c r="M152" s="334"/>
      <c r="N152" s="334"/>
      <c r="O152" s="334"/>
      <c r="P152" s="334"/>
      <c r="Q152" s="334"/>
      <c r="R152" s="334"/>
      <c r="S152" s="334"/>
      <c r="T152" s="347"/>
      <c r="U152" s="334"/>
      <c r="V152" s="5"/>
    </row>
    <row r="153" spans="1:22" ht="15.6" x14ac:dyDescent="0.3">
      <c r="A153" s="175"/>
      <c r="B153" s="201" t="s">
        <v>24</v>
      </c>
      <c r="C153" s="177"/>
      <c r="D153" s="177"/>
      <c r="E153" s="177"/>
      <c r="F153" s="177"/>
      <c r="G153" s="177"/>
      <c r="H153" s="177"/>
      <c r="I153" s="177"/>
      <c r="J153" s="177"/>
      <c r="K153" s="177"/>
      <c r="L153" s="177"/>
      <c r="M153" s="177"/>
      <c r="N153" s="177"/>
      <c r="O153" s="177"/>
      <c r="P153" s="177"/>
      <c r="Q153" s="177"/>
      <c r="R153" s="177"/>
      <c r="S153" s="177"/>
      <c r="T153" s="194"/>
      <c r="U153" s="177"/>
      <c r="V153" s="5"/>
    </row>
    <row r="154" spans="1:22" ht="15.6" x14ac:dyDescent="0.3">
      <c r="A154" s="284"/>
      <c r="B154" s="285" t="s">
        <v>48</v>
      </c>
      <c r="C154" s="285"/>
      <c r="D154" s="285"/>
      <c r="E154" s="285"/>
      <c r="F154" s="285"/>
      <c r="G154" s="285"/>
      <c r="H154" s="285"/>
      <c r="I154" s="285"/>
      <c r="J154" s="285"/>
      <c r="K154" s="285"/>
      <c r="L154" s="285"/>
      <c r="M154" s="285"/>
      <c r="N154" s="285"/>
      <c r="O154" s="285"/>
      <c r="P154" s="285"/>
      <c r="Q154" s="285"/>
      <c r="R154" s="285"/>
      <c r="S154" s="285"/>
      <c r="T154" s="348" t="s">
        <v>124</v>
      </c>
      <c r="U154" s="288"/>
      <c r="V154" s="5"/>
    </row>
    <row r="155" spans="1:22" ht="15.6" x14ac:dyDescent="0.3">
      <c r="A155" s="284"/>
      <c r="B155" s="285" t="s">
        <v>49</v>
      </c>
      <c r="C155" s="287"/>
      <c r="D155" s="287"/>
      <c r="E155" s="287"/>
      <c r="F155" s="287"/>
      <c r="G155" s="287"/>
      <c r="H155" s="287"/>
      <c r="I155" s="287"/>
      <c r="J155" s="287"/>
      <c r="K155" s="287"/>
      <c r="L155" s="287"/>
      <c r="M155" s="287"/>
      <c r="N155" s="287"/>
      <c r="O155" s="287"/>
      <c r="P155" s="287"/>
      <c r="Q155" s="287"/>
      <c r="R155" s="287"/>
      <c r="S155" s="287"/>
      <c r="T155" s="348" t="s">
        <v>124</v>
      </c>
      <c r="U155" s="288"/>
      <c r="V155" s="5"/>
    </row>
    <row r="156" spans="1:22" ht="15.6" x14ac:dyDescent="0.3">
      <c r="A156" s="284"/>
      <c r="B156" s="285" t="s">
        <v>50</v>
      </c>
      <c r="C156" s="285"/>
      <c r="D156" s="285"/>
      <c r="E156" s="285"/>
      <c r="F156" s="285"/>
      <c r="G156" s="285"/>
      <c r="H156" s="285"/>
      <c r="I156" s="285"/>
      <c r="J156" s="285"/>
      <c r="K156" s="285"/>
      <c r="L156" s="285"/>
      <c r="M156" s="285"/>
      <c r="N156" s="285"/>
      <c r="O156" s="285"/>
      <c r="P156" s="285"/>
      <c r="Q156" s="285"/>
      <c r="R156" s="285"/>
      <c r="S156" s="285"/>
      <c r="T156" s="348" t="s">
        <v>124</v>
      </c>
      <c r="U156" s="288"/>
      <c r="V156" s="5"/>
    </row>
    <row r="157" spans="1:22" ht="15.6" x14ac:dyDescent="0.3">
      <c r="A157" s="284"/>
      <c r="B157" s="285" t="s">
        <v>51</v>
      </c>
      <c r="C157" s="285"/>
      <c r="D157" s="285"/>
      <c r="E157" s="285"/>
      <c r="F157" s="285"/>
      <c r="G157" s="285"/>
      <c r="H157" s="285"/>
      <c r="I157" s="285"/>
      <c r="J157" s="285"/>
      <c r="K157" s="285"/>
      <c r="L157" s="285"/>
      <c r="M157" s="285"/>
      <c r="N157" s="285"/>
      <c r="O157" s="285"/>
      <c r="P157" s="285"/>
      <c r="Q157" s="285"/>
      <c r="R157" s="285"/>
      <c r="S157" s="285"/>
      <c r="T157" s="348" t="s">
        <v>124</v>
      </c>
      <c r="U157" s="288"/>
      <c r="V157" s="5"/>
    </row>
    <row r="158" spans="1:22" ht="15.6" x14ac:dyDescent="0.3">
      <c r="A158" s="175"/>
      <c r="B158" s="334"/>
      <c r="C158" s="334"/>
      <c r="D158" s="334"/>
      <c r="E158" s="334"/>
      <c r="F158" s="334"/>
      <c r="G158" s="334"/>
      <c r="H158" s="334"/>
      <c r="I158" s="334"/>
      <c r="J158" s="334"/>
      <c r="K158" s="334"/>
      <c r="L158" s="334"/>
      <c r="M158" s="334"/>
      <c r="N158" s="334"/>
      <c r="O158" s="334"/>
      <c r="P158" s="334"/>
      <c r="Q158" s="334"/>
      <c r="R158" s="334"/>
      <c r="S158" s="334"/>
      <c r="T158" s="347"/>
      <c r="U158" s="334"/>
      <c r="V158" s="5"/>
    </row>
    <row r="159" spans="1:22" ht="15.6" x14ac:dyDescent="0.3">
      <c r="A159" s="175"/>
      <c r="B159" s="201" t="s">
        <v>52</v>
      </c>
      <c r="C159" s="177"/>
      <c r="D159" s="177"/>
      <c r="E159" s="177"/>
      <c r="F159" s="177"/>
      <c r="G159" s="177"/>
      <c r="H159" s="177"/>
      <c r="I159" s="177"/>
      <c r="J159" s="177"/>
      <c r="K159" s="177"/>
      <c r="L159" s="177"/>
      <c r="M159" s="177"/>
      <c r="N159" s="177"/>
      <c r="O159" s="177"/>
      <c r="P159" s="177"/>
      <c r="Q159" s="177"/>
      <c r="R159" s="177"/>
      <c r="S159" s="177"/>
      <c r="T159" s="202"/>
      <c r="U159" s="177"/>
      <c r="V159" s="5"/>
    </row>
    <row r="160" spans="1:22" ht="15.6" x14ac:dyDescent="0.3">
      <c r="A160" s="284"/>
      <c r="B160" s="285" t="s">
        <v>53</v>
      </c>
      <c r="C160" s="285"/>
      <c r="D160" s="285"/>
      <c r="E160" s="285"/>
      <c r="F160" s="285"/>
      <c r="G160" s="285"/>
      <c r="H160" s="285"/>
      <c r="I160" s="285"/>
      <c r="J160" s="285"/>
      <c r="K160" s="285"/>
      <c r="L160" s="285"/>
      <c r="M160" s="285"/>
      <c r="N160" s="285"/>
      <c r="O160" s="285"/>
      <c r="P160" s="285"/>
      <c r="Q160" s="285"/>
      <c r="R160" s="285"/>
      <c r="S160" s="285"/>
      <c r="T160" s="339">
        <v>0</v>
      </c>
      <c r="U160" s="288"/>
      <c r="V160" s="5"/>
    </row>
    <row r="161" spans="1:22" ht="15.6" x14ac:dyDescent="0.3">
      <c r="A161" s="284"/>
      <c r="B161" s="285" t="s">
        <v>54</v>
      </c>
      <c r="C161" s="285"/>
      <c r="D161" s="285"/>
      <c r="E161" s="285"/>
      <c r="F161" s="285"/>
      <c r="G161" s="285"/>
      <c r="H161" s="285"/>
      <c r="I161" s="285"/>
      <c r="J161" s="285"/>
      <c r="K161" s="285"/>
      <c r="L161" s="285"/>
      <c r="M161" s="285"/>
      <c r="N161" s="285"/>
      <c r="O161" s="285"/>
      <c r="P161" s="285"/>
      <c r="Q161" s="285"/>
      <c r="R161" s="285"/>
      <c r="S161" s="285"/>
      <c r="T161" s="339">
        <f>R112</f>
        <v>137</v>
      </c>
      <c r="U161" s="288"/>
      <c r="V161" s="5"/>
    </row>
    <row r="162" spans="1:22" ht="15.6" x14ac:dyDescent="0.3">
      <c r="A162" s="284"/>
      <c r="B162" s="285" t="s">
        <v>55</v>
      </c>
      <c r="C162" s="285"/>
      <c r="D162" s="285"/>
      <c r="E162" s="285"/>
      <c r="F162" s="285"/>
      <c r="G162" s="285"/>
      <c r="H162" s="285"/>
      <c r="I162" s="285"/>
      <c r="J162" s="285"/>
      <c r="K162" s="285"/>
      <c r="L162" s="285"/>
      <c r="M162" s="285"/>
      <c r="N162" s="285"/>
      <c r="O162" s="285"/>
      <c r="P162" s="285"/>
      <c r="Q162" s="285"/>
      <c r="R162" s="285"/>
      <c r="S162" s="285"/>
      <c r="T162" s="339">
        <f>T161+T160</f>
        <v>137</v>
      </c>
      <c r="U162" s="288"/>
      <c r="V162" s="5"/>
    </row>
    <row r="163" spans="1:22" ht="15.6" x14ac:dyDescent="0.3">
      <c r="A163" s="284"/>
      <c r="B163" s="285" t="s">
        <v>301</v>
      </c>
      <c r="C163" s="285"/>
      <c r="D163" s="285"/>
      <c r="E163" s="285"/>
      <c r="F163" s="285"/>
      <c r="G163" s="285"/>
      <c r="H163" s="285"/>
      <c r="I163" s="285"/>
      <c r="J163" s="285"/>
      <c r="K163" s="285"/>
      <c r="L163" s="285"/>
      <c r="M163" s="285"/>
      <c r="N163" s="285"/>
      <c r="O163" s="285"/>
      <c r="P163" s="285"/>
      <c r="Q163" s="285"/>
      <c r="R163" s="285"/>
      <c r="S163" s="285"/>
      <c r="T163" s="339">
        <f>T112</f>
        <v>-137</v>
      </c>
      <c r="U163" s="288"/>
      <c r="V163" s="5"/>
    </row>
    <row r="164" spans="1:22" ht="15.6" x14ac:dyDescent="0.3">
      <c r="A164" s="284"/>
      <c r="B164" s="285" t="s">
        <v>56</v>
      </c>
      <c r="C164" s="285"/>
      <c r="D164" s="285"/>
      <c r="E164" s="285"/>
      <c r="F164" s="285"/>
      <c r="G164" s="285"/>
      <c r="H164" s="285"/>
      <c r="I164" s="285"/>
      <c r="J164" s="285"/>
      <c r="K164" s="285"/>
      <c r="L164" s="285"/>
      <c r="M164" s="285"/>
      <c r="N164" s="285"/>
      <c r="O164" s="285"/>
      <c r="P164" s="285"/>
      <c r="Q164" s="285"/>
      <c r="R164" s="285"/>
      <c r="S164" s="285"/>
      <c r="T164" s="339">
        <f>T162+T163</f>
        <v>0</v>
      </c>
      <c r="U164" s="288"/>
      <c r="V164" s="5"/>
    </row>
    <row r="165" spans="1:22" ht="15.6" x14ac:dyDescent="0.3">
      <c r="A165" s="284"/>
      <c r="B165" s="285" t="s">
        <v>273</v>
      </c>
      <c r="C165" s="285"/>
      <c r="D165" s="285"/>
      <c r="E165" s="285"/>
      <c r="F165" s="285"/>
      <c r="G165" s="285"/>
      <c r="H165" s="285"/>
      <c r="I165" s="285"/>
      <c r="J165" s="285"/>
      <c r="K165" s="285"/>
      <c r="L165" s="285"/>
      <c r="M165" s="285"/>
      <c r="N165" s="285"/>
      <c r="O165" s="285"/>
      <c r="P165" s="285"/>
      <c r="Q165" s="285"/>
      <c r="R165" s="285"/>
      <c r="S165" s="285"/>
      <c r="T165" s="339">
        <f>-T99</f>
        <v>32</v>
      </c>
      <c r="U165" s="288"/>
      <c r="V165" s="5"/>
    </row>
    <row r="166" spans="1:22" ht="16.2" thickBot="1" x14ac:dyDescent="0.35">
      <c r="A166" s="175"/>
      <c r="B166" s="334"/>
      <c r="C166" s="334"/>
      <c r="D166" s="334"/>
      <c r="E166" s="334"/>
      <c r="F166" s="334"/>
      <c r="G166" s="334"/>
      <c r="H166" s="334"/>
      <c r="I166" s="334"/>
      <c r="J166" s="334"/>
      <c r="K166" s="334"/>
      <c r="L166" s="334"/>
      <c r="M166" s="334"/>
      <c r="N166" s="334"/>
      <c r="O166" s="334"/>
      <c r="P166" s="334"/>
      <c r="Q166" s="334"/>
      <c r="R166" s="334"/>
      <c r="S166" s="334"/>
      <c r="T166" s="347"/>
      <c r="U166" s="334"/>
      <c r="V166" s="5"/>
    </row>
    <row r="167" spans="1:22" ht="15.6" x14ac:dyDescent="0.3">
      <c r="A167" s="173"/>
      <c r="B167" s="174"/>
      <c r="C167" s="174"/>
      <c r="D167" s="174"/>
      <c r="E167" s="174"/>
      <c r="F167" s="174"/>
      <c r="G167" s="174"/>
      <c r="H167" s="174"/>
      <c r="I167" s="174"/>
      <c r="J167" s="174"/>
      <c r="K167" s="174"/>
      <c r="L167" s="174"/>
      <c r="M167" s="174"/>
      <c r="N167" s="174"/>
      <c r="O167" s="174"/>
      <c r="P167" s="174"/>
      <c r="Q167" s="174"/>
      <c r="R167" s="174"/>
      <c r="S167" s="174"/>
      <c r="T167" s="193"/>
      <c r="U167" s="174"/>
      <c r="V167" s="5"/>
    </row>
    <row r="168" spans="1:22" ht="15.6" x14ac:dyDescent="0.3">
      <c r="A168" s="175"/>
      <c r="B168" s="201" t="s">
        <v>57</v>
      </c>
      <c r="C168" s="177"/>
      <c r="D168" s="177"/>
      <c r="E168" s="177"/>
      <c r="F168" s="177"/>
      <c r="G168" s="177"/>
      <c r="H168" s="177"/>
      <c r="I168" s="177"/>
      <c r="J168" s="177"/>
      <c r="K168" s="177"/>
      <c r="L168" s="177"/>
      <c r="M168" s="177"/>
      <c r="N168" s="177"/>
      <c r="O168" s="177"/>
      <c r="P168" s="177"/>
      <c r="Q168" s="177"/>
      <c r="R168" s="177"/>
      <c r="S168" s="177"/>
      <c r="T168" s="194"/>
      <c r="U168" s="177"/>
      <c r="V168" s="5"/>
    </row>
    <row r="169" spans="1:22" ht="15.6" x14ac:dyDescent="0.3">
      <c r="A169" s="175"/>
      <c r="B169" s="187"/>
      <c r="C169" s="177"/>
      <c r="D169" s="177"/>
      <c r="E169" s="177"/>
      <c r="F169" s="177"/>
      <c r="G169" s="177"/>
      <c r="H169" s="177"/>
      <c r="I169" s="177"/>
      <c r="J169" s="177"/>
      <c r="K169" s="177"/>
      <c r="L169" s="177"/>
      <c r="M169" s="177"/>
      <c r="N169" s="177"/>
      <c r="O169" s="177"/>
      <c r="P169" s="177"/>
      <c r="Q169" s="177"/>
      <c r="R169" s="177"/>
      <c r="S169" s="177"/>
      <c r="T169" s="194"/>
      <c r="U169" s="177"/>
      <c r="V169" s="5"/>
    </row>
    <row r="170" spans="1:22" ht="15.6" x14ac:dyDescent="0.3">
      <c r="A170" s="284"/>
      <c r="B170" s="285" t="s">
        <v>58</v>
      </c>
      <c r="C170" s="285"/>
      <c r="D170" s="285"/>
      <c r="E170" s="285"/>
      <c r="F170" s="285"/>
      <c r="G170" s="285"/>
      <c r="H170" s="285"/>
      <c r="I170" s="285"/>
      <c r="J170" s="285"/>
      <c r="K170" s="285"/>
      <c r="L170" s="285"/>
      <c r="M170" s="285"/>
      <c r="N170" s="285"/>
      <c r="O170" s="285"/>
      <c r="P170" s="285"/>
      <c r="Q170" s="285"/>
      <c r="R170" s="285"/>
      <c r="S170" s="285"/>
      <c r="T170" s="339">
        <f>T71</f>
        <v>554442</v>
      </c>
      <c r="U170" s="288"/>
      <c r="V170" s="5"/>
    </row>
    <row r="171" spans="1:22" ht="15.6" x14ac:dyDescent="0.3">
      <c r="A171" s="284"/>
      <c r="B171" s="285" t="s">
        <v>59</v>
      </c>
      <c r="C171" s="285"/>
      <c r="D171" s="285"/>
      <c r="E171" s="285"/>
      <c r="F171" s="285"/>
      <c r="G171" s="285"/>
      <c r="H171" s="285"/>
      <c r="I171" s="285"/>
      <c r="J171" s="285"/>
      <c r="K171" s="285"/>
      <c r="L171" s="285"/>
      <c r="M171" s="285"/>
      <c r="N171" s="285"/>
      <c r="O171" s="285"/>
      <c r="P171" s="285"/>
      <c r="Q171" s="285"/>
      <c r="R171" s="285"/>
      <c r="S171" s="285"/>
      <c r="T171" s="339">
        <f>T84</f>
        <v>554442</v>
      </c>
      <c r="U171" s="288"/>
      <c r="V171" s="5"/>
    </row>
    <row r="172" spans="1:22" ht="16.2" thickBot="1" x14ac:dyDescent="0.35">
      <c r="A172" s="175"/>
      <c r="B172" s="334"/>
      <c r="C172" s="334"/>
      <c r="D172" s="334"/>
      <c r="E172" s="334"/>
      <c r="F172" s="334"/>
      <c r="G172" s="334"/>
      <c r="H172" s="334"/>
      <c r="I172" s="334"/>
      <c r="J172" s="334"/>
      <c r="K172" s="334"/>
      <c r="L172" s="334"/>
      <c r="M172" s="334"/>
      <c r="N172" s="334"/>
      <c r="O172" s="334"/>
      <c r="P172" s="334"/>
      <c r="Q172" s="334"/>
      <c r="R172" s="334"/>
      <c r="S172" s="334"/>
      <c r="T172" s="347"/>
      <c r="U172" s="334"/>
      <c r="V172" s="5"/>
    </row>
    <row r="173" spans="1:22" ht="15.6" x14ac:dyDescent="0.3">
      <c r="A173" s="173"/>
      <c r="B173" s="174"/>
      <c r="C173" s="174"/>
      <c r="D173" s="174"/>
      <c r="E173" s="174"/>
      <c r="F173" s="174"/>
      <c r="G173" s="174"/>
      <c r="H173" s="174"/>
      <c r="I173" s="174"/>
      <c r="J173" s="174"/>
      <c r="K173" s="174"/>
      <c r="L173" s="174"/>
      <c r="M173" s="174"/>
      <c r="N173" s="174"/>
      <c r="O173" s="174"/>
      <c r="P173" s="174"/>
      <c r="Q173" s="174"/>
      <c r="R173" s="174"/>
      <c r="S173" s="174"/>
      <c r="T173" s="193"/>
      <c r="U173" s="174"/>
      <c r="V173" s="5"/>
    </row>
    <row r="174" spans="1:22" ht="15.6" x14ac:dyDescent="0.3">
      <c r="A174" s="175"/>
      <c r="B174" s="201" t="s">
        <v>60</v>
      </c>
      <c r="C174" s="198"/>
      <c r="D174" s="198"/>
      <c r="E174" s="198"/>
      <c r="F174" s="198"/>
      <c r="G174" s="198"/>
      <c r="H174" s="203"/>
      <c r="I174" s="203"/>
      <c r="J174" s="203"/>
      <c r="K174" s="203"/>
      <c r="L174" s="203"/>
      <c r="M174" s="203"/>
      <c r="N174" s="203"/>
      <c r="O174" s="203"/>
      <c r="P174" s="203"/>
      <c r="Q174" s="203" t="s">
        <v>104</v>
      </c>
      <c r="R174" s="203" t="s">
        <v>183</v>
      </c>
      <c r="S174" s="179"/>
      <c r="T174" s="204" t="s">
        <v>120</v>
      </c>
      <c r="U174" s="205"/>
      <c r="V174" s="5"/>
    </row>
    <row r="175" spans="1:22" ht="15.6" x14ac:dyDescent="0.3">
      <c r="A175" s="284"/>
      <c r="B175" s="285" t="s">
        <v>61</v>
      </c>
      <c r="C175" s="285"/>
      <c r="D175" s="285"/>
      <c r="E175" s="285"/>
      <c r="F175" s="285"/>
      <c r="G175" s="285"/>
      <c r="H175" s="285"/>
      <c r="I175" s="285"/>
      <c r="J175" s="285"/>
      <c r="K175" s="285"/>
      <c r="L175" s="285"/>
      <c r="M175" s="285"/>
      <c r="N175" s="285"/>
      <c r="O175" s="285"/>
      <c r="P175" s="285"/>
      <c r="Q175" s="339">
        <v>160008</v>
      </c>
      <c r="R175" s="324"/>
      <c r="S175" s="285"/>
      <c r="T175" s="339"/>
      <c r="U175" s="288"/>
      <c r="V175" s="5"/>
    </row>
    <row r="176" spans="1:22" ht="15.6" x14ac:dyDescent="0.3">
      <c r="A176" s="284"/>
      <c r="B176" s="285" t="s">
        <v>62</v>
      </c>
      <c r="C176" s="285"/>
      <c r="D176" s="285"/>
      <c r="E176" s="285"/>
      <c r="F176" s="285"/>
      <c r="G176" s="285"/>
      <c r="H176" s="285"/>
      <c r="I176" s="285"/>
      <c r="J176" s="285"/>
      <c r="K176" s="285"/>
      <c r="L176" s="285"/>
      <c r="M176" s="285"/>
      <c r="N176" s="285"/>
      <c r="O176" s="285"/>
      <c r="P176" s="285"/>
      <c r="Q176" s="339">
        <f>+'June 12'!Q178</f>
        <v>37050</v>
      </c>
      <c r="R176" s="339">
        <f>+'June 12'!R178</f>
        <v>3447</v>
      </c>
      <c r="S176" s="285"/>
      <c r="T176" s="339">
        <f>Q176+R176</f>
        <v>40497</v>
      </c>
      <c r="U176" s="288"/>
      <c r="V176" s="5"/>
    </row>
    <row r="177" spans="1:22" ht="15.6" x14ac:dyDescent="0.3">
      <c r="A177" s="284"/>
      <c r="B177" s="285" t="s">
        <v>63</v>
      </c>
      <c r="C177" s="285"/>
      <c r="D177" s="285"/>
      <c r="E177" s="285"/>
      <c r="F177" s="285"/>
      <c r="G177" s="285"/>
      <c r="H177" s="285"/>
      <c r="I177" s="285"/>
      <c r="J177" s="285"/>
      <c r="K177" s="285"/>
      <c r="L177" s="285"/>
      <c r="M177" s="285"/>
      <c r="N177" s="285"/>
      <c r="O177" s="285"/>
      <c r="P177" s="285"/>
      <c r="Q177" s="338">
        <v>86</v>
      </c>
      <c r="R177" s="338">
        <v>0</v>
      </c>
      <c r="S177" s="285"/>
      <c r="T177" s="339">
        <f>Q177+R177</f>
        <v>86</v>
      </c>
      <c r="U177" s="288"/>
      <c r="V177" s="5"/>
    </row>
    <row r="178" spans="1:22" ht="15.6" x14ac:dyDescent="0.3">
      <c r="A178" s="284"/>
      <c r="B178" s="285" t="s">
        <v>64</v>
      </c>
      <c r="C178" s="285"/>
      <c r="D178" s="285"/>
      <c r="E178" s="285"/>
      <c r="F178" s="285"/>
      <c r="G178" s="285"/>
      <c r="H178" s="285"/>
      <c r="I178" s="285"/>
      <c r="J178" s="285"/>
      <c r="K178" s="285"/>
      <c r="L178" s="285"/>
      <c r="M178" s="285"/>
      <c r="N178" s="285"/>
      <c r="O178" s="285"/>
      <c r="P178" s="285"/>
      <c r="Q178" s="339">
        <f>Q176+Q177</f>
        <v>37136</v>
      </c>
      <c r="R178" s="339">
        <f>R177+R176</f>
        <v>3447</v>
      </c>
      <c r="S178" s="285"/>
      <c r="T178" s="339">
        <f>Q178+R178</f>
        <v>40583</v>
      </c>
      <c r="U178" s="288"/>
      <c r="V178" s="5"/>
    </row>
    <row r="179" spans="1:22" ht="15.6" x14ac:dyDescent="0.3">
      <c r="A179" s="284"/>
      <c r="B179" s="285" t="s">
        <v>65</v>
      </c>
      <c r="C179" s="285"/>
      <c r="D179" s="285"/>
      <c r="E179" s="285"/>
      <c r="F179" s="285"/>
      <c r="G179" s="285"/>
      <c r="H179" s="285"/>
      <c r="I179" s="285"/>
      <c r="J179" s="285"/>
      <c r="K179" s="285"/>
      <c r="L179" s="285"/>
      <c r="M179" s="285"/>
      <c r="N179" s="285"/>
      <c r="O179" s="285"/>
      <c r="P179" s="285"/>
      <c r="Q179" s="339">
        <f>Q175-Q178-R178</f>
        <v>119425</v>
      </c>
      <c r="R179" s="324"/>
      <c r="S179" s="285"/>
      <c r="T179" s="339"/>
      <c r="U179" s="288"/>
      <c r="V179" s="5"/>
    </row>
    <row r="180" spans="1:22" ht="16.2" thickBot="1" x14ac:dyDescent="0.35">
      <c r="A180" s="175"/>
      <c r="B180" s="334"/>
      <c r="C180" s="334"/>
      <c r="D180" s="334"/>
      <c r="E180" s="334"/>
      <c r="F180" s="334"/>
      <c r="G180" s="334"/>
      <c r="H180" s="334"/>
      <c r="I180" s="334"/>
      <c r="J180" s="334"/>
      <c r="K180" s="334"/>
      <c r="L180" s="334"/>
      <c r="M180" s="334"/>
      <c r="N180" s="334"/>
      <c r="O180" s="334"/>
      <c r="P180" s="334"/>
      <c r="Q180" s="334"/>
      <c r="R180" s="334"/>
      <c r="S180" s="334"/>
      <c r="T180" s="347"/>
      <c r="U180" s="334"/>
      <c r="V180" s="5"/>
    </row>
    <row r="181" spans="1:22" ht="15.6" x14ac:dyDescent="0.3">
      <c r="A181" s="173"/>
      <c r="B181" s="174"/>
      <c r="C181" s="174"/>
      <c r="D181" s="174"/>
      <c r="E181" s="174"/>
      <c r="F181" s="174"/>
      <c r="G181" s="174"/>
      <c r="H181" s="174"/>
      <c r="I181" s="174"/>
      <c r="J181" s="174"/>
      <c r="K181" s="174"/>
      <c r="L181" s="174"/>
      <c r="M181" s="174"/>
      <c r="N181" s="174"/>
      <c r="O181" s="174"/>
      <c r="P181" s="174"/>
      <c r="Q181" s="174"/>
      <c r="R181" s="174"/>
      <c r="S181" s="174"/>
      <c r="T181" s="193"/>
      <c r="U181" s="174"/>
      <c r="V181" s="5"/>
    </row>
    <row r="182" spans="1:22" ht="15.6" x14ac:dyDescent="0.3">
      <c r="A182" s="175"/>
      <c r="B182" s="201" t="s">
        <v>66</v>
      </c>
      <c r="C182" s="177"/>
      <c r="D182" s="177"/>
      <c r="E182" s="177"/>
      <c r="F182" s="177"/>
      <c r="G182" s="177"/>
      <c r="H182" s="177"/>
      <c r="I182" s="177"/>
      <c r="J182" s="177"/>
      <c r="K182" s="177"/>
      <c r="L182" s="177"/>
      <c r="M182" s="177"/>
      <c r="N182" s="177"/>
      <c r="O182" s="177"/>
      <c r="P182" s="177"/>
      <c r="Q182" s="177"/>
      <c r="R182" s="177"/>
      <c r="S182" s="177"/>
      <c r="T182" s="206"/>
      <c r="U182" s="177"/>
      <c r="V182" s="5"/>
    </row>
    <row r="183" spans="1:22" ht="15.6" x14ac:dyDescent="0.3">
      <c r="A183" s="284"/>
      <c r="B183" s="285" t="s">
        <v>67</v>
      </c>
      <c r="C183" s="285"/>
      <c r="D183" s="285"/>
      <c r="E183" s="285"/>
      <c r="F183" s="285"/>
      <c r="G183" s="285"/>
      <c r="H183" s="285"/>
      <c r="I183" s="285"/>
      <c r="J183" s="285"/>
      <c r="K183" s="285"/>
      <c r="L183" s="285"/>
      <c r="M183" s="285"/>
      <c r="N183" s="285"/>
      <c r="O183" s="285"/>
      <c r="P183" s="285"/>
      <c r="Q183" s="285"/>
      <c r="R183" s="285"/>
      <c r="S183" s="285"/>
      <c r="T183" s="348">
        <f>(T100+T102+T103+T104+T105)/-(T106+T107)</f>
        <v>3.4436018957345973</v>
      </c>
      <c r="U183" s="288" t="s">
        <v>121</v>
      </c>
      <c r="V183" s="5"/>
    </row>
    <row r="184" spans="1:22" ht="15.6" x14ac:dyDescent="0.3">
      <c r="A184" s="284"/>
      <c r="B184" s="285" t="s">
        <v>68</v>
      </c>
      <c r="C184" s="285"/>
      <c r="D184" s="285"/>
      <c r="E184" s="285"/>
      <c r="F184" s="285"/>
      <c r="G184" s="285"/>
      <c r="H184" s="285"/>
      <c r="I184" s="285"/>
      <c r="J184" s="285"/>
      <c r="K184" s="285"/>
      <c r="L184" s="285"/>
      <c r="M184" s="285"/>
      <c r="N184" s="285"/>
      <c r="O184" s="285"/>
      <c r="P184" s="285"/>
      <c r="Q184" s="285"/>
      <c r="R184" s="285"/>
      <c r="S184" s="285"/>
      <c r="T184" s="349">
        <v>1.65</v>
      </c>
      <c r="U184" s="288" t="s">
        <v>121</v>
      </c>
      <c r="V184" s="5"/>
    </row>
    <row r="185" spans="1:22" ht="15.6" x14ac:dyDescent="0.3">
      <c r="A185" s="284"/>
      <c r="B185" s="285" t="s">
        <v>69</v>
      </c>
      <c r="C185" s="285"/>
      <c r="D185" s="285"/>
      <c r="E185" s="285"/>
      <c r="F185" s="285"/>
      <c r="G185" s="285"/>
      <c r="H185" s="285"/>
      <c r="I185" s="285"/>
      <c r="J185" s="285"/>
      <c r="K185" s="285"/>
      <c r="L185" s="285"/>
      <c r="M185" s="285"/>
      <c r="N185" s="285"/>
      <c r="O185" s="285"/>
      <c r="P185" s="285"/>
      <c r="Q185" s="285"/>
      <c r="R185" s="285"/>
      <c r="S185" s="285"/>
      <c r="T185" s="348">
        <f>(T100+T102+T103+T104+T105+T106+T107)/-(T108+T109)</f>
        <v>10.697095435684647</v>
      </c>
      <c r="U185" s="288" t="s">
        <v>121</v>
      </c>
      <c r="V185" s="5"/>
    </row>
    <row r="186" spans="1:22" ht="15.6" x14ac:dyDescent="0.3">
      <c r="A186" s="284"/>
      <c r="B186" s="285" t="s">
        <v>70</v>
      </c>
      <c r="C186" s="285"/>
      <c r="D186" s="285"/>
      <c r="E186" s="285"/>
      <c r="F186" s="285"/>
      <c r="G186" s="285"/>
      <c r="H186" s="285"/>
      <c r="I186" s="285"/>
      <c r="J186" s="285"/>
      <c r="K186" s="285"/>
      <c r="L186" s="285"/>
      <c r="M186" s="285"/>
      <c r="N186" s="285"/>
      <c r="O186" s="285"/>
      <c r="P186" s="285"/>
      <c r="Q186" s="285"/>
      <c r="R186" s="285"/>
      <c r="S186" s="285"/>
      <c r="T186" s="349">
        <v>5.69</v>
      </c>
      <c r="U186" s="288" t="s">
        <v>121</v>
      </c>
      <c r="V186" s="5"/>
    </row>
    <row r="187" spans="1:22" ht="15.6" x14ac:dyDescent="0.3">
      <c r="A187" s="284"/>
      <c r="B187" s="285" t="s">
        <v>206</v>
      </c>
      <c r="C187" s="285"/>
      <c r="D187" s="285"/>
      <c r="E187" s="285"/>
      <c r="F187" s="285"/>
      <c r="G187" s="285"/>
      <c r="H187" s="285"/>
      <c r="I187" s="285"/>
      <c r="J187" s="285"/>
      <c r="K187" s="285"/>
      <c r="L187" s="285"/>
      <c r="M187" s="285"/>
      <c r="N187" s="285"/>
      <c r="O187" s="285"/>
      <c r="P187" s="285"/>
      <c r="Q187" s="285"/>
      <c r="R187" s="285"/>
      <c r="S187" s="285"/>
      <c r="T187" s="348">
        <f>(T100+T102+T103+T104+T105+T106+T107+T108+T109)/-(T110)</f>
        <v>8.6236162361623609</v>
      </c>
      <c r="U187" s="288" t="s">
        <v>121</v>
      </c>
      <c r="V187" s="5"/>
    </row>
    <row r="188" spans="1:22" ht="15.6" x14ac:dyDescent="0.3">
      <c r="A188" s="284"/>
      <c r="B188" s="285" t="s">
        <v>207</v>
      </c>
      <c r="C188" s="285"/>
      <c r="D188" s="285"/>
      <c r="E188" s="285"/>
      <c r="F188" s="285"/>
      <c r="G188" s="285"/>
      <c r="H188" s="285"/>
      <c r="I188" s="285"/>
      <c r="J188" s="285"/>
      <c r="K188" s="285"/>
      <c r="L188" s="285"/>
      <c r="M188" s="285"/>
      <c r="N188" s="285"/>
      <c r="O188" s="285"/>
      <c r="P188" s="285"/>
      <c r="Q188" s="285"/>
      <c r="R188" s="285"/>
      <c r="S188" s="285"/>
      <c r="T188" s="349">
        <v>5.2</v>
      </c>
      <c r="U188" s="288" t="s">
        <v>121</v>
      </c>
      <c r="V188" s="5"/>
    </row>
    <row r="189" spans="1:22" ht="15.6" x14ac:dyDescent="0.3">
      <c r="A189" s="284"/>
      <c r="B189" s="311"/>
      <c r="C189" s="311"/>
      <c r="D189" s="311"/>
      <c r="E189" s="311"/>
      <c r="F189" s="311"/>
      <c r="G189" s="311"/>
      <c r="H189" s="311"/>
      <c r="I189" s="311"/>
      <c r="J189" s="311"/>
      <c r="K189" s="311"/>
      <c r="L189" s="311"/>
      <c r="M189" s="311"/>
      <c r="N189" s="311"/>
      <c r="O189" s="311"/>
      <c r="P189" s="311"/>
      <c r="Q189" s="311"/>
      <c r="R189" s="311"/>
      <c r="S189" s="311"/>
      <c r="T189" s="311"/>
      <c r="U189" s="317"/>
      <c r="V189" s="5"/>
    </row>
    <row r="190" spans="1:22" ht="15.6" x14ac:dyDescent="0.3">
      <c r="A190" s="175"/>
      <c r="B190" s="334"/>
      <c r="C190" s="334"/>
      <c r="D190" s="334"/>
      <c r="E190" s="334"/>
      <c r="F190" s="334"/>
      <c r="G190" s="334"/>
      <c r="H190" s="334"/>
      <c r="I190" s="334"/>
      <c r="J190" s="334"/>
      <c r="K190" s="334"/>
      <c r="L190" s="334"/>
      <c r="M190" s="334"/>
      <c r="N190" s="334"/>
      <c r="O190" s="334"/>
      <c r="P190" s="334"/>
      <c r="Q190" s="334"/>
      <c r="R190" s="334"/>
      <c r="S190" s="334"/>
      <c r="T190" s="334"/>
      <c r="U190" s="334"/>
      <c r="V190" s="5"/>
    </row>
    <row r="191" spans="1:22" ht="15.6" x14ac:dyDescent="0.3">
      <c r="A191" s="175"/>
      <c r="B191" s="177"/>
      <c r="C191" s="177"/>
      <c r="D191" s="177"/>
      <c r="E191" s="177"/>
      <c r="F191" s="177"/>
      <c r="G191" s="177"/>
      <c r="H191" s="177"/>
      <c r="I191" s="177"/>
      <c r="J191" s="177"/>
      <c r="K191" s="177"/>
      <c r="L191" s="177"/>
      <c r="M191" s="177"/>
      <c r="N191" s="177"/>
      <c r="O191" s="177"/>
      <c r="P191" s="177"/>
      <c r="Q191" s="177"/>
      <c r="R191" s="177"/>
      <c r="S191" s="177"/>
      <c r="T191" s="177"/>
      <c r="U191" s="177"/>
      <c r="V191" s="5"/>
    </row>
    <row r="192" spans="1:22" ht="18" thickBot="1" x14ac:dyDescent="0.35">
      <c r="A192" s="192"/>
      <c r="B192" s="246" t="str">
        <f>B132</f>
        <v>PM11 INVESTOR REPORT QUARTER ENDING SEPTEMBER 2012</v>
      </c>
      <c r="C192" s="207"/>
      <c r="D192" s="207"/>
      <c r="E192" s="207"/>
      <c r="F192" s="207"/>
      <c r="G192" s="207"/>
      <c r="H192" s="207"/>
      <c r="I192" s="207"/>
      <c r="J192" s="207"/>
      <c r="K192" s="207"/>
      <c r="L192" s="207"/>
      <c r="M192" s="207"/>
      <c r="N192" s="207"/>
      <c r="O192" s="207"/>
      <c r="P192" s="207"/>
      <c r="Q192" s="207"/>
      <c r="R192" s="207"/>
      <c r="S192" s="207"/>
      <c r="T192" s="207"/>
      <c r="U192" s="208"/>
      <c r="V192" s="5"/>
    </row>
    <row r="193" spans="1:22" ht="15.6" x14ac:dyDescent="0.3">
      <c r="A193" s="260"/>
      <c r="B193" s="399" t="s">
        <v>71</v>
      </c>
      <c r="C193" s="400"/>
      <c r="D193" s="400"/>
      <c r="E193" s="400"/>
      <c r="F193" s="400"/>
      <c r="G193" s="401"/>
      <c r="H193" s="401"/>
      <c r="I193" s="401"/>
      <c r="J193" s="401"/>
      <c r="K193" s="401"/>
      <c r="L193" s="401"/>
      <c r="M193" s="401"/>
      <c r="N193" s="401"/>
      <c r="O193" s="401"/>
      <c r="P193" s="401"/>
      <c r="Q193" s="401"/>
      <c r="R193" s="401">
        <v>41180</v>
      </c>
      <c r="S193" s="261"/>
      <c r="T193" s="261"/>
      <c r="U193" s="261"/>
      <c r="V193" s="5"/>
    </row>
    <row r="194" spans="1:22" ht="15.6" x14ac:dyDescent="0.3">
      <c r="A194" s="209"/>
      <c r="B194" s="210"/>
      <c r="C194" s="211"/>
      <c r="D194" s="211"/>
      <c r="E194" s="211"/>
      <c r="F194" s="211"/>
      <c r="G194" s="212"/>
      <c r="H194" s="212"/>
      <c r="I194" s="212"/>
      <c r="J194" s="212"/>
      <c r="K194" s="212"/>
      <c r="L194" s="212"/>
      <c r="M194" s="212"/>
      <c r="N194" s="212"/>
      <c r="O194" s="212"/>
      <c r="P194" s="212"/>
      <c r="Q194" s="212"/>
      <c r="R194" s="212"/>
      <c r="S194" s="177"/>
      <c r="T194" s="177"/>
      <c r="U194" s="177"/>
      <c r="V194" s="5"/>
    </row>
    <row r="195" spans="1:22" ht="15.6" x14ac:dyDescent="0.3">
      <c r="A195" s="352"/>
      <c r="B195" s="285" t="s">
        <v>72</v>
      </c>
      <c r="C195" s="353"/>
      <c r="D195" s="353"/>
      <c r="E195" s="353"/>
      <c r="F195" s="353"/>
      <c r="G195" s="329"/>
      <c r="H195" s="329"/>
      <c r="I195" s="329"/>
      <c r="J195" s="329"/>
      <c r="K195" s="329"/>
      <c r="L195" s="329"/>
      <c r="M195" s="329"/>
      <c r="N195" s="329"/>
      <c r="O195" s="329"/>
      <c r="P195" s="329"/>
      <c r="Q195" s="329"/>
      <c r="R195" s="320">
        <v>5.1569999999999998E-2</v>
      </c>
      <c r="S195" s="285"/>
      <c r="T195" s="285"/>
      <c r="U195" s="317"/>
      <c r="V195" s="5"/>
    </row>
    <row r="196" spans="1:22" ht="15.6" x14ac:dyDescent="0.3">
      <c r="A196" s="352"/>
      <c r="B196" s="285" t="s">
        <v>157</v>
      </c>
      <c r="C196" s="353"/>
      <c r="D196" s="353"/>
      <c r="E196" s="353"/>
      <c r="F196" s="353"/>
      <c r="G196" s="329"/>
      <c r="H196" s="329"/>
      <c r="I196" s="329"/>
      <c r="J196" s="329"/>
      <c r="K196" s="329"/>
      <c r="L196" s="329"/>
      <c r="M196" s="329"/>
      <c r="N196" s="329"/>
      <c r="O196" s="329"/>
      <c r="P196" s="329"/>
      <c r="Q196" s="329"/>
      <c r="R196" s="320">
        <v>4.6899999999999997E-2</v>
      </c>
      <c r="S196" s="285"/>
      <c r="T196" s="285"/>
      <c r="U196" s="317"/>
      <c r="V196" s="5"/>
    </row>
    <row r="197" spans="1:22" ht="15.6" x14ac:dyDescent="0.3">
      <c r="A197" s="352"/>
      <c r="B197" s="285" t="s">
        <v>73</v>
      </c>
      <c r="C197" s="353"/>
      <c r="D197" s="353"/>
      <c r="E197" s="353"/>
      <c r="F197" s="353"/>
      <c r="G197" s="329"/>
      <c r="H197" s="329"/>
      <c r="I197" s="329"/>
      <c r="J197" s="329"/>
      <c r="K197" s="329"/>
      <c r="L197" s="329"/>
      <c r="M197" s="329"/>
      <c r="N197" s="329"/>
      <c r="O197" s="329"/>
      <c r="P197" s="329"/>
      <c r="Q197" s="329"/>
      <c r="R197" s="320">
        <f>R195-R196</f>
        <v>4.6700000000000005E-3</v>
      </c>
      <c r="S197" s="285"/>
      <c r="T197" s="285"/>
      <c r="U197" s="317"/>
      <c r="V197" s="5"/>
    </row>
    <row r="198" spans="1:22" ht="15.6" x14ac:dyDescent="0.3">
      <c r="A198" s="352"/>
      <c r="B198" s="285" t="s">
        <v>74</v>
      </c>
      <c r="C198" s="353"/>
      <c r="D198" s="353"/>
      <c r="E198" s="353"/>
      <c r="F198" s="353"/>
      <c r="G198" s="329"/>
      <c r="H198" s="329"/>
      <c r="I198" s="329"/>
      <c r="J198" s="329"/>
      <c r="K198" s="329"/>
      <c r="L198" s="329"/>
      <c r="M198" s="329"/>
      <c r="N198" s="329"/>
      <c r="O198" s="329"/>
      <c r="P198" s="329"/>
      <c r="Q198" s="329"/>
      <c r="R198" s="320">
        <v>2.5319999999999999E-2</v>
      </c>
      <c r="S198" s="285"/>
      <c r="T198" s="285"/>
      <c r="U198" s="317"/>
      <c r="V198" s="5"/>
    </row>
    <row r="199" spans="1:22" ht="15.6" x14ac:dyDescent="0.3">
      <c r="A199" s="352"/>
      <c r="B199" s="285" t="s">
        <v>257</v>
      </c>
      <c r="C199" s="353"/>
      <c r="D199" s="353"/>
      <c r="E199" s="353"/>
      <c r="F199" s="353"/>
      <c r="G199" s="329"/>
      <c r="H199" s="329"/>
      <c r="I199" s="329"/>
      <c r="J199" s="329"/>
      <c r="K199" s="329"/>
      <c r="L199" s="329"/>
      <c r="M199" s="329"/>
      <c r="N199" s="329"/>
      <c r="O199" s="329"/>
      <c r="P199" s="329"/>
      <c r="Q199" s="329"/>
      <c r="R199" s="320">
        <f>T43</f>
        <v>1.1240363577247002E-2</v>
      </c>
      <c r="S199" s="285"/>
      <c r="T199" s="285"/>
      <c r="U199" s="317"/>
      <c r="V199" s="5"/>
    </row>
    <row r="200" spans="1:22" ht="15.6" x14ac:dyDescent="0.3">
      <c r="A200" s="352"/>
      <c r="B200" s="285" t="s">
        <v>75</v>
      </c>
      <c r="C200" s="353"/>
      <c r="D200" s="353"/>
      <c r="E200" s="353"/>
      <c r="F200" s="353"/>
      <c r="G200" s="329"/>
      <c r="H200" s="329"/>
      <c r="I200" s="329"/>
      <c r="J200" s="329"/>
      <c r="K200" s="329"/>
      <c r="L200" s="329"/>
      <c r="M200" s="329"/>
      <c r="N200" s="329"/>
      <c r="O200" s="329"/>
      <c r="P200" s="329"/>
      <c r="Q200" s="329"/>
      <c r="R200" s="320">
        <f>R198-R199</f>
        <v>1.4079636422752997E-2</v>
      </c>
      <c r="S200" s="285"/>
      <c r="T200" s="285"/>
      <c r="U200" s="317"/>
      <c r="V200" s="5"/>
    </row>
    <row r="201" spans="1:22" ht="15.6" x14ac:dyDescent="0.3">
      <c r="A201" s="352"/>
      <c r="B201" s="285" t="s">
        <v>260</v>
      </c>
      <c r="C201" s="353"/>
      <c r="D201" s="353"/>
      <c r="E201" s="353"/>
      <c r="F201" s="353"/>
      <c r="G201" s="329"/>
      <c r="H201" s="329"/>
      <c r="I201" s="329"/>
      <c r="J201" s="329"/>
      <c r="K201" s="329"/>
      <c r="L201" s="329"/>
      <c r="M201" s="329"/>
      <c r="N201" s="329"/>
      <c r="O201" s="329"/>
      <c r="P201" s="329"/>
      <c r="Q201" s="329"/>
      <c r="R201" s="320">
        <f>+T100/L71</f>
        <v>7.2701713721576577E-3</v>
      </c>
      <c r="S201" s="285"/>
      <c r="T201" s="285"/>
      <c r="U201" s="317"/>
      <c r="V201" s="5"/>
    </row>
    <row r="202" spans="1:22" ht="15.6" x14ac:dyDescent="0.3">
      <c r="A202" s="352"/>
      <c r="B202" s="285" t="s">
        <v>217</v>
      </c>
      <c r="C202" s="353"/>
      <c r="D202" s="353"/>
      <c r="E202" s="353"/>
      <c r="F202" s="353"/>
      <c r="G202" s="329"/>
      <c r="H202" s="329"/>
      <c r="I202" s="329"/>
      <c r="J202" s="329"/>
      <c r="K202" s="329"/>
      <c r="L202" s="329"/>
      <c r="M202" s="329"/>
      <c r="N202" s="329"/>
      <c r="O202" s="329"/>
      <c r="P202" s="329"/>
      <c r="Q202" s="329"/>
      <c r="R202" s="354">
        <v>15250</v>
      </c>
      <c r="S202" s="285"/>
      <c r="T202" s="285"/>
      <c r="U202" s="317"/>
      <c r="V202" s="5"/>
    </row>
    <row r="203" spans="1:22" ht="15.6" x14ac:dyDescent="0.3">
      <c r="A203" s="352"/>
      <c r="B203" s="285" t="s">
        <v>218</v>
      </c>
      <c r="C203" s="353"/>
      <c r="D203" s="353"/>
      <c r="E203" s="353"/>
      <c r="F203" s="353"/>
      <c r="G203" s="329"/>
      <c r="H203" s="329"/>
      <c r="I203" s="329"/>
      <c r="J203" s="329"/>
      <c r="K203" s="329"/>
      <c r="L203" s="329"/>
      <c r="M203" s="329"/>
      <c r="N203" s="329"/>
      <c r="O203" s="329"/>
      <c r="P203" s="329"/>
      <c r="Q203" s="329"/>
      <c r="R203" s="354">
        <v>15250</v>
      </c>
      <c r="S203" s="285"/>
      <c r="T203" s="285"/>
      <c r="U203" s="317"/>
      <c r="V203" s="5"/>
    </row>
    <row r="204" spans="1:22" ht="15.6" x14ac:dyDescent="0.3">
      <c r="A204" s="352"/>
      <c r="B204" s="285" t="s">
        <v>219</v>
      </c>
      <c r="C204" s="353"/>
      <c r="D204" s="353"/>
      <c r="E204" s="353"/>
      <c r="F204" s="353"/>
      <c r="G204" s="329"/>
      <c r="H204" s="329"/>
      <c r="I204" s="329"/>
      <c r="J204" s="329"/>
      <c r="K204" s="329"/>
      <c r="L204" s="329"/>
      <c r="M204" s="329"/>
      <c r="N204" s="329"/>
      <c r="O204" s="329"/>
      <c r="P204" s="329"/>
      <c r="Q204" s="329"/>
      <c r="R204" s="354">
        <v>15250</v>
      </c>
      <c r="S204" s="285"/>
      <c r="T204" s="285"/>
      <c r="U204" s="317"/>
      <c r="V204" s="5"/>
    </row>
    <row r="205" spans="1:22" ht="15.6" x14ac:dyDescent="0.3">
      <c r="A205" s="352"/>
      <c r="B205" s="285" t="s">
        <v>76</v>
      </c>
      <c r="C205" s="353"/>
      <c r="D205" s="353"/>
      <c r="E205" s="353"/>
      <c r="F205" s="353"/>
      <c r="G205" s="329"/>
      <c r="H205" s="329"/>
      <c r="I205" s="329"/>
      <c r="J205" s="329"/>
      <c r="K205" s="329"/>
      <c r="L205" s="329"/>
      <c r="M205" s="329"/>
      <c r="N205" s="329"/>
      <c r="O205" s="329"/>
      <c r="P205" s="329"/>
      <c r="Q205" s="329"/>
      <c r="R205" s="326">
        <v>21.18</v>
      </c>
      <c r="S205" s="285" t="s">
        <v>116</v>
      </c>
      <c r="T205" s="285"/>
      <c r="U205" s="317"/>
      <c r="V205" s="5"/>
    </row>
    <row r="206" spans="1:22" ht="15.6" x14ac:dyDescent="0.3">
      <c r="A206" s="352"/>
      <c r="B206" s="285" t="s">
        <v>77</v>
      </c>
      <c r="C206" s="353"/>
      <c r="D206" s="353"/>
      <c r="E206" s="353"/>
      <c r="F206" s="353"/>
      <c r="G206" s="329"/>
      <c r="H206" s="329"/>
      <c r="I206" s="329"/>
      <c r="J206" s="329"/>
      <c r="K206" s="329"/>
      <c r="L206" s="329"/>
      <c r="M206" s="329"/>
      <c r="N206" s="329"/>
      <c r="O206" s="329"/>
      <c r="P206" s="329"/>
      <c r="Q206" s="329"/>
      <c r="R206" s="326">
        <v>14.87</v>
      </c>
      <c r="S206" s="285" t="s">
        <v>116</v>
      </c>
      <c r="T206" s="285"/>
      <c r="U206" s="317"/>
      <c r="V206" s="5"/>
    </row>
    <row r="207" spans="1:22" ht="15.6" x14ac:dyDescent="0.3">
      <c r="A207" s="352"/>
      <c r="B207" s="285" t="s">
        <v>78</v>
      </c>
      <c r="C207" s="353"/>
      <c r="D207" s="353"/>
      <c r="E207" s="353"/>
      <c r="F207" s="353"/>
      <c r="G207" s="329"/>
      <c r="H207" s="329"/>
      <c r="I207" s="329"/>
      <c r="J207" s="329"/>
      <c r="K207" s="329"/>
      <c r="L207" s="329"/>
      <c r="M207" s="329"/>
      <c r="N207" s="329"/>
      <c r="O207" s="329"/>
      <c r="P207" s="329"/>
      <c r="Q207" s="329"/>
      <c r="R207" s="320">
        <f>N68/L68</f>
        <v>8.5525115625234745E-3</v>
      </c>
      <c r="S207" s="285"/>
      <c r="T207" s="285"/>
      <c r="U207" s="317"/>
      <c r="V207" s="5"/>
    </row>
    <row r="208" spans="1:22" ht="15.6" x14ac:dyDescent="0.3">
      <c r="A208" s="352"/>
      <c r="B208" s="285" t="s">
        <v>79</v>
      </c>
      <c r="C208" s="353"/>
      <c r="D208" s="353"/>
      <c r="E208" s="353"/>
      <c r="F208" s="353"/>
      <c r="G208" s="329"/>
      <c r="H208" s="329"/>
      <c r="I208" s="329"/>
      <c r="J208" s="329"/>
      <c r="K208" s="329"/>
      <c r="L208" s="329"/>
      <c r="M208" s="329"/>
      <c r="N208" s="329"/>
      <c r="O208" s="329"/>
      <c r="P208" s="329"/>
      <c r="Q208" s="329"/>
      <c r="R208" s="320">
        <v>9.3200000000000005E-2</v>
      </c>
      <c r="S208" s="285"/>
      <c r="T208" s="285"/>
      <c r="U208" s="317"/>
      <c r="V208" s="5"/>
    </row>
    <row r="209" spans="1:22" ht="15.6" x14ac:dyDescent="0.3">
      <c r="A209" s="209"/>
      <c r="B209" s="350"/>
      <c r="C209" s="350"/>
      <c r="D209" s="350"/>
      <c r="E209" s="350"/>
      <c r="F209" s="350"/>
      <c r="G209" s="334"/>
      <c r="H209" s="334"/>
      <c r="I209" s="334"/>
      <c r="J209" s="334"/>
      <c r="K209" s="334"/>
      <c r="L209" s="334"/>
      <c r="M209" s="334"/>
      <c r="N209" s="334"/>
      <c r="O209" s="334"/>
      <c r="P209" s="334"/>
      <c r="Q209" s="334"/>
      <c r="R209" s="347"/>
      <c r="S209" s="334"/>
      <c r="T209" s="351"/>
      <c r="U209" s="334"/>
      <c r="V209" s="5"/>
    </row>
    <row r="210" spans="1:22" ht="15.6" x14ac:dyDescent="0.3">
      <c r="A210" s="266"/>
      <c r="B210" s="395" t="s">
        <v>80</v>
      </c>
      <c r="C210" s="396"/>
      <c r="D210" s="396"/>
      <c r="E210" s="396"/>
      <c r="F210" s="402"/>
      <c r="G210" s="396"/>
      <c r="H210" s="396"/>
      <c r="I210" s="396"/>
      <c r="J210" s="396"/>
      <c r="K210" s="396"/>
      <c r="L210" s="396"/>
      <c r="M210" s="396"/>
      <c r="N210" s="396"/>
      <c r="O210" s="396"/>
      <c r="P210" s="396"/>
      <c r="Q210" s="396" t="s">
        <v>105</v>
      </c>
      <c r="R210" s="402" t="s">
        <v>112</v>
      </c>
      <c r="S210" s="223"/>
      <c r="T210" s="223"/>
      <c r="U210" s="223"/>
      <c r="V210" s="5"/>
    </row>
    <row r="211" spans="1:22" ht="15.6" x14ac:dyDescent="0.3">
      <c r="A211" s="214"/>
      <c r="B211" s="239" t="s">
        <v>81</v>
      </c>
      <c r="C211" s="243"/>
      <c r="D211" s="243"/>
      <c r="E211" s="243"/>
      <c r="F211" s="239"/>
      <c r="G211" s="239"/>
      <c r="H211" s="242"/>
      <c r="I211" s="242"/>
      <c r="J211" s="242"/>
      <c r="K211" s="242"/>
      <c r="L211" s="242"/>
      <c r="M211" s="242"/>
      <c r="N211" s="242"/>
      <c r="O211" s="242"/>
      <c r="P211" s="242"/>
      <c r="Q211" s="242">
        <v>5</v>
      </c>
      <c r="R211" s="272">
        <v>609</v>
      </c>
      <c r="S211" s="239"/>
      <c r="T211" s="273"/>
      <c r="U211" s="215"/>
      <c r="V211" s="5"/>
    </row>
    <row r="212" spans="1:22" ht="15.6" x14ac:dyDescent="0.3">
      <c r="A212" s="360"/>
      <c r="B212" s="285" t="s">
        <v>151</v>
      </c>
      <c r="C212" s="338"/>
      <c r="D212" s="338"/>
      <c r="E212" s="338"/>
      <c r="F212" s="285"/>
      <c r="G212" s="285"/>
      <c r="H212" s="293"/>
      <c r="I212" s="293"/>
      <c r="J212" s="293"/>
      <c r="K212" s="293"/>
      <c r="L212" s="293"/>
      <c r="M212" s="293"/>
      <c r="N212" s="293"/>
      <c r="O212" s="293"/>
      <c r="P212" s="293"/>
      <c r="Q212" s="361">
        <f>+P264</f>
        <v>115</v>
      </c>
      <c r="R212" s="362">
        <f>+R264</f>
        <v>17374</v>
      </c>
      <c r="S212" s="285"/>
      <c r="T212" s="363"/>
      <c r="U212" s="364"/>
      <c r="V212" s="5"/>
    </row>
    <row r="213" spans="1:22" ht="15.6" x14ac:dyDescent="0.3">
      <c r="A213" s="360"/>
      <c r="B213" s="285" t="s">
        <v>82</v>
      </c>
      <c r="C213" s="338"/>
      <c r="D213" s="338"/>
      <c r="E213" s="338"/>
      <c r="F213" s="285"/>
      <c r="G213" s="285"/>
      <c r="H213" s="293"/>
      <c r="I213" s="293"/>
      <c r="J213" s="293"/>
      <c r="K213" s="293"/>
      <c r="L213" s="293"/>
      <c r="M213" s="293"/>
      <c r="N213" s="293"/>
      <c r="O213" s="293"/>
      <c r="P213" s="293"/>
      <c r="Q213" s="361">
        <f>+P276</f>
        <v>1</v>
      </c>
      <c r="R213" s="362">
        <f>+R276</f>
        <v>125</v>
      </c>
      <c r="S213" s="285"/>
      <c r="T213" s="363"/>
      <c r="U213" s="364"/>
      <c r="V213" s="5"/>
    </row>
    <row r="214" spans="1:22" ht="15.6" x14ac:dyDescent="0.3">
      <c r="A214" s="360"/>
      <c r="B214" s="310" t="s">
        <v>83</v>
      </c>
      <c r="C214" s="365"/>
      <c r="D214" s="365"/>
      <c r="E214" s="365"/>
      <c r="F214" s="311"/>
      <c r="G214" s="311"/>
      <c r="H214" s="311"/>
      <c r="I214" s="311"/>
      <c r="J214" s="311"/>
      <c r="K214" s="311"/>
      <c r="L214" s="311"/>
      <c r="M214" s="311"/>
      <c r="N214" s="311"/>
      <c r="O214" s="311"/>
      <c r="P214" s="311"/>
      <c r="Q214" s="285"/>
      <c r="R214" s="362">
        <v>0</v>
      </c>
      <c r="S214" s="311"/>
      <c r="T214" s="366"/>
      <c r="U214" s="364"/>
      <c r="V214" s="5"/>
    </row>
    <row r="215" spans="1:22" ht="15.6" x14ac:dyDescent="0.3">
      <c r="A215" s="360"/>
      <c r="B215" s="310" t="s">
        <v>84</v>
      </c>
      <c r="C215" s="365"/>
      <c r="D215" s="365"/>
      <c r="E215" s="365"/>
      <c r="F215" s="311"/>
      <c r="G215" s="311"/>
      <c r="H215" s="311"/>
      <c r="I215" s="311"/>
      <c r="J215" s="311"/>
      <c r="K215" s="311"/>
      <c r="L215" s="311"/>
      <c r="M215" s="311"/>
      <c r="N215" s="311"/>
      <c r="O215" s="311"/>
      <c r="P215" s="311"/>
      <c r="Q215" s="285"/>
      <c r="R215" s="367" t="s">
        <v>113</v>
      </c>
      <c r="S215" s="311"/>
      <c r="T215" s="366"/>
      <c r="U215" s="364"/>
      <c r="V215" s="5"/>
    </row>
    <row r="216" spans="1:22" ht="15.6" x14ac:dyDescent="0.3">
      <c r="A216" s="368"/>
      <c r="B216" s="310" t="s">
        <v>85</v>
      </c>
      <c r="C216" s="369"/>
      <c r="D216" s="369"/>
      <c r="E216" s="369"/>
      <c r="F216" s="369"/>
      <c r="G216" s="311"/>
      <c r="H216" s="311"/>
      <c r="I216" s="311"/>
      <c r="J216" s="311"/>
      <c r="K216" s="311"/>
      <c r="L216" s="311"/>
      <c r="M216" s="311"/>
      <c r="N216" s="311"/>
      <c r="O216" s="311"/>
      <c r="P216" s="311"/>
      <c r="Q216" s="285"/>
      <c r="R216" s="362"/>
      <c r="S216" s="311"/>
      <c r="T216" s="366"/>
      <c r="U216" s="370"/>
      <c r="V216" s="5"/>
    </row>
    <row r="217" spans="1:22" ht="15.6" x14ac:dyDescent="0.3">
      <c r="A217" s="368"/>
      <c r="B217" s="285" t="s">
        <v>86</v>
      </c>
      <c r="C217" s="285"/>
      <c r="D217" s="285"/>
      <c r="E217" s="285"/>
      <c r="F217" s="285"/>
      <c r="G217" s="285"/>
      <c r="H217" s="285"/>
      <c r="I217" s="285"/>
      <c r="J217" s="285"/>
      <c r="K217" s="285"/>
      <c r="L217" s="285"/>
      <c r="M217" s="285"/>
      <c r="N217" s="285"/>
      <c r="O217" s="285"/>
      <c r="P217" s="285"/>
      <c r="Q217" s="293"/>
      <c r="R217" s="362">
        <f>T161</f>
        <v>137</v>
      </c>
      <c r="S217" s="285"/>
      <c r="T217" s="363"/>
      <c r="U217" s="370"/>
      <c r="V217" s="5"/>
    </row>
    <row r="218" spans="1:22" ht="15.6" x14ac:dyDescent="0.3">
      <c r="A218" s="360"/>
      <c r="B218" s="285" t="s">
        <v>87</v>
      </c>
      <c r="C218" s="338"/>
      <c r="D218" s="338"/>
      <c r="E218" s="338"/>
      <c r="F218" s="338"/>
      <c r="G218" s="285"/>
      <c r="H218" s="285"/>
      <c r="I218" s="285"/>
      <c r="J218" s="285"/>
      <c r="K218" s="285"/>
      <c r="L218" s="285"/>
      <c r="M218" s="285"/>
      <c r="N218" s="285"/>
      <c r="O218" s="285"/>
      <c r="P218" s="285"/>
      <c r="Q218" s="293"/>
      <c r="R218" s="362">
        <f>'June 12'!R218+R217</f>
        <v>3684</v>
      </c>
      <c r="S218" s="285"/>
      <c r="T218" s="363"/>
      <c r="U218" s="370"/>
      <c r="V218" s="5"/>
    </row>
    <row r="219" spans="1:22" ht="15.6" x14ac:dyDescent="0.3">
      <c r="A219" s="368"/>
      <c r="B219" s="310" t="s">
        <v>282</v>
      </c>
      <c r="C219" s="369"/>
      <c r="D219" s="369"/>
      <c r="E219" s="369"/>
      <c r="F219" s="369"/>
      <c r="G219" s="311"/>
      <c r="H219" s="311"/>
      <c r="I219" s="311"/>
      <c r="J219" s="311"/>
      <c r="K219" s="311"/>
      <c r="L219" s="311"/>
      <c r="M219" s="311"/>
      <c r="N219" s="311"/>
      <c r="O219" s="311"/>
      <c r="P219" s="311"/>
      <c r="Q219" s="293"/>
      <c r="R219" s="362"/>
      <c r="S219" s="311"/>
      <c r="T219" s="366"/>
      <c r="U219" s="370"/>
      <c r="V219" s="5"/>
    </row>
    <row r="220" spans="1:22" ht="15.6" x14ac:dyDescent="0.3">
      <c r="A220" s="368"/>
      <c r="B220" s="285" t="s">
        <v>280</v>
      </c>
      <c r="C220" s="369"/>
      <c r="D220" s="369"/>
      <c r="E220" s="369"/>
      <c r="F220" s="369"/>
      <c r="G220" s="311"/>
      <c r="H220" s="311"/>
      <c r="I220" s="311"/>
      <c r="J220" s="311"/>
      <c r="K220" s="311"/>
      <c r="L220" s="311"/>
      <c r="M220" s="311"/>
      <c r="N220" s="311"/>
      <c r="O220" s="311"/>
      <c r="P220" s="311"/>
      <c r="Q220" s="293">
        <v>0</v>
      </c>
      <c r="R220" s="362">
        <v>0</v>
      </c>
      <c r="S220" s="311"/>
      <c r="T220" s="366"/>
      <c r="U220" s="370"/>
      <c r="V220" s="5"/>
    </row>
    <row r="221" spans="1:22" ht="15.6" x14ac:dyDescent="0.3">
      <c r="A221" s="360"/>
      <c r="B221" s="285" t="s">
        <v>89</v>
      </c>
      <c r="C221" s="373"/>
      <c r="D221" s="373"/>
      <c r="E221" s="373"/>
      <c r="F221" s="374"/>
      <c r="G221" s="311"/>
      <c r="H221" s="311"/>
      <c r="I221" s="311"/>
      <c r="J221" s="311"/>
      <c r="K221" s="311"/>
      <c r="L221" s="311"/>
      <c r="M221" s="311"/>
      <c r="N221" s="311"/>
      <c r="O221" s="311"/>
      <c r="P221" s="311"/>
      <c r="Q221" s="285"/>
      <c r="R221" s="367">
        <v>0</v>
      </c>
      <c r="S221" s="311"/>
      <c r="T221" s="366"/>
      <c r="U221" s="370"/>
      <c r="V221" s="5"/>
    </row>
    <row r="222" spans="1:22" ht="15.6" x14ac:dyDescent="0.3">
      <c r="A222" s="360"/>
      <c r="B222" s="285" t="s">
        <v>90</v>
      </c>
      <c r="C222" s="373"/>
      <c r="D222" s="373"/>
      <c r="E222" s="373"/>
      <c r="F222" s="374"/>
      <c r="G222" s="311"/>
      <c r="H222" s="311"/>
      <c r="I222" s="311"/>
      <c r="J222" s="311"/>
      <c r="K222" s="311"/>
      <c r="L222" s="311"/>
      <c r="M222" s="311"/>
      <c r="N222" s="311"/>
      <c r="O222" s="311"/>
      <c r="P222" s="311"/>
      <c r="Q222" s="285"/>
      <c r="R222" s="367">
        <v>0</v>
      </c>
      <c r="S222" s="311"/>
      <c r="T222" s="366"/>
      <c r="U222" s="370"/>
      <c r="V222" s="5"/>
    </row>
    <row r="223" spans="1:22" ht="15.6" x14ac:dyDescent="0.3">
      <c r="A223" s="360"/>
      <c r="B223" s="310" t="s">
        <v>226</v>
      </c>
      <c r="C223" s="373"/>
      <c r="D223" s="373"/>
      <c r="E223" s="373"/>
      <c r="F223" s="374"/>
      <c r="G223" s="311"/>
      <c r="H223" s="311"/>
      <c r="I223" s="311"/>
      <c r="J223" s="311"/>
      <c r="K223" s="311"/>
      <c r="L223" s="311"/>
      <c r="M223" s="311"/>
      <c r="N223" s="311"/>
      <c r="O223" s="311"/>
      <c r="P223" s="311"/>
      <c r="Q223" s="293"/>
      <c r="R223" s="375"/>
      <c r="S223" s="311"/>
      <c r="T223" s="366"/>
      <c r="U223" s="370"/>
      <c r="V223" s="5"/>
    </row>
    <row r="224" spans="1:22" ht="15.6" x14ac:dyDescent="0.3">
      <c r="A224" s="360"/>
      <c r="B224" s="285" t="s">
        <v>280</v>
      </c>
      <c r="C224" s="373"/>
      <c r="D224" s="373"/>
      <c r="E224" s="373"/>
      <c r="F224" s="374"/>
      <c r="G224" s="311"/>
      <c r="H224" s="311"/>
      <c r="I224" s="311"/>
      <c r="J224" s="311"/>
      <c r="K224" s="311"/>
      <c r="L224" s="311"/>
      <c r="M224" s="311"/>
      <c r="N224" s="311"/>
      <c r="O224" s="311"/>
      <c r="P224" s="311"/>
      <c r="Q224" s="293">
        <v>4</v>
      </c>
      <c r="R224" s="362">
        <v>596</v>
      </c>
      <c r="S224" s="311"/>
      <c r="T224" s="366"/>
      <c r="U224" s="370"/>
      <c r="V224" s="5"/>
    </row>
    <row r="225" spans="1:23" ht="15.6" x14ac:dyDescent="0.3">
      <c r="A225" s="360"/>
      <c r="B225" s="285" t="s">
        <v>227</v>
      </c>
      <c r="C225" s="373"/>
      <c r="D225" s="373"/>
      <c r="E225" s="373"/>
      <c r="F225" s="374"/>
      <c r="G225" s="311"/>
      <c r="H225" s="311"/>
      <c r="I225" s="311"/>
      <c r="J225" s="311"/>
      <c r="K225" s="311"/>
      <c r="L225" s="311"/>
      <c r="M225" s="311"/>
      <c r="N225" s="311"/>
      <c r="O225" s="311"/>
      <c r="P225" s="311"/>
      <c r="Q225" s="293"/>
      <c r="R225" s="367">
        <v>10.62</v>
      </c>
      <c r="S225" s="311"/>
      <c r="T225" s="366"/>
      <c r="U225" s="370"/>
      <c r="V225" s="5"/>
    </row>
    <row r="226" spans="1:23" ht="15.6" x14ac:dyDescent="0.3">
      <c r="A226" s="360"/>
      <c r="B226" s="369"/>
      <c r="C226" s="373"/>
      <c r="D226" s="373"/>
      <c r="E226" s="373"/>
      <c r="F226" s="374"/>
      <c r="G226" s="311"/>
      <c r="H226" s="311"/>
      <c r="I226" s="311"/>
      <c r="J226" s="311"/>
      <c r="K226" s="311"/>
      <c r="L226" s="311"/>
      <c r="M226" s="311"/>
      <c r="N226" s="311"/>
      <c r="O226" s="311"/>
      <c r="P226" s="311"/>
      <c r="Q226" s="311"/>
      <c r="R226" s="376"/>
      <c r="S226" s="311"/>
      <c r="T226" s="366"/>
      <c r="U226" s="370"/>
      <c r="V226" s="5"/>
    </row>
    <row r="227" spans="1:23" ht="15.6" x14ac:dyDescent="0.3">
      <c r="A227" s="360"/>
      <c r="B227" s="369"/>
      <c r="C227" s="373"/>
      <c r="D227" s="373"/>
      <c r="E227" s="373"/>
      <c r="F227" s="374"/>
      <c r="G227" s="311"/>
      <c r="H227" s="311"/>
      <c r="I227" s="311"/>
      <c r="J227" s="311"/>
      <c r="K227" s="311"/>
      <c r="L227" s="311"/>
      <c r="M227" s="311"/>
      <c r="N227" s="311"/>
      <c r="O227" s="311"/>
      <c r="P227" s="311"/>
      <c r="Q227" s="311"/>
      <c r="R227" s="376"/>
      <c r="S227" s="311"/>
      <c r="T227" s="366"/>
      <c r="U227" s="370"/>
      <c r="V227" s="5"/>
    </row>
    <row r="228" spans="1:23" ht="17.399999999999999" x14ac:dyDescent="0.3">
      <c r="A228" s="360"/>
      <c r="B228" s="377" t="s">
        <v>175</v>
      </c>
      <c r="C228" s="373"/>
      <c r="D228" s="373"/>
      <c r="E228" s="373"/>
      <c r="F228" s="374"/>
      <c r="G228" s="311"/>
      <c r="H228" s="311"/>
      <c r="I228" s="311"/>
      <c r="J228" s="311"/>
      <c r="K228" s="311"/>
      <c r="L228" s="311"/>
      <c r="M228" s="311"/>
      <c r="N228" s="378" t="s">
        <v>174</v>
      </c>
      <c r="O228" s="311"/>
      <c r="P228" s="311"/>
      <c r="Q228" s="311"/>
      <c r="R228" s="376"/>
      <c r="S228" s="311"/>
      <c r="T228" s="366"/>
      <c r="U228" s="370"/>
      <c r="V228" s="5"/>
    </row>
    <row r="229" spans="1:23" ht="15.6" x14ac:dyDescent="0.3">
      <c r="A229" s="355"/>
      <c r="B229" s="350"/>
      <c r="C229" s="356"/>
      <c r="D229" s="356"/>
      <c r="E229" s="356"/>
      <c r="F229" s="357"/>
      <c r="G229" s="334"/>
      <c r="H229" s="334"/>
      <c r="I229" s="334"/>
      <c r="J229" s="334"/>
      <c r="K229" s="334"/>
      <c r="L229" s="334"/>
      <c r="M229" s="334"/>
      <c r="N229" s="334"/>
      <c r="O229" s="334"/>
      <c r="P229" s="334"/>
      <c r="Q229" s="334"/>
      <c r="R229" s="358"/>
      <c r="S229" s="334"/>
      <c r="T229" s="351"/>
      <c r="U229" s="359"/>
      <c r="V229" s="5"/>
    </row>
    <row r="230" spans="1:23" ht="15.6" x14ac:dyDescent="0.3">
      <c r="A230" s="222"/>
      <c r="B230" s="395" t="s">
        <v>295</v>
      </c>
      <c r="C230" s="396"/>
      <c r="D230" s="396"/>
      <c r="E230" s="396"/>
      <c r="F230" s="402"/>
      <c r="G230" s="396"/>
      <c r="H230" s="396"/>
      <c r="I230" s="396"/>
      <c r="J230" s="396"/>
      <c r="K230" s="396"/>
      <c r="L230" s="396"/>
      <c r="M230" s="396"/>
      <c r="N230" s="396"/>
      <c r="O230" s="396"/>
      <c r="P230" s="402" t="s">
        <v>105</v>
      </c>
      <c r="Q230" s="396" t="s">
        <v>106</v>
      </c>
      <c r="R230" s="402" t="s">
        <v>114</v>
      </c>
      <c r="S230" s="396" t="s">
        <v>106</v>
      </c>
      <c r="T230" s="223"/>
      <c r="U230" s="395"/>
      <c r="V230" s="5"/>
    </row>
    <row r="231" spans="1:23" ht="15.6" x14ac:dyDescent="0.3">
      <c r="A231" s="190"/>
      <c r="B231" s="243" t="s">
        <v>91</v>
      </c>
      <c r="C231" s="217"/>
      <c r="D231" s="217"/>
      <c r="E231" s="217"/>
      <c r="F231" s="191"/>
      <c r="G231" s="217"/>
      <c r="H231" s="217"/>
      <c r="I231" s="217"/>
      <c r="J231" s="217"/>
      <c r="K231" s="217"/>
      <c r="L231" s="217"/>
      <c r="M231" s="217"/>
      <c r="N231" s="217"/>
      <c r="O231" s="217"/>
      <c r="P231" s="338">
        <f t="shared" ref="P231:P238" si="1">+P243+P255+P267</f>
        <v>4153</v>
      </c>
      <c r="Q231" s="384">
        <f t="shared" ref="Q231:Q238" si="2">P231/$P$240</f>
        <v>0.98482333412378464</v>
      </c>
      <c r="R231" s="339">
        <f t="shared" ref="R231:R238" si="3">+R243+R255+R267</f>
        <v>544920</v>
      </c>
      <c r="S231" s="384">
        <f t="shared" ref="S231:S238" si="4">R231/$R$240</f>
        <v>0.98282597638707025</v>
      </c>
      <c r="T231" s="213"/>
      <c r="U231" s="216"/>
      <c r="V231" s="5"/>
    </row>
    <row r="232" spans="1:23" ht="15.6" x14ac:dyDescent="0.3">
      <c r="A232" s="284"/>
      <c r="B232" s="338" t="s">
        <v>92</v>
      </c>
      <c r="C232" s="382"/>
      <c r="D232" s="382"/>
      <c r="E232" s="382"/>
      <c r="F232" s="311"/>
      <c r="G232" s="383"/>
      <c r="H232" s="382"/>
      <c r="I232" s="382"/>
      <c r="J232" s="382"/>
      <c r="K232" s="382"/>
      <c r="L232" s="382"/>
      <c r="M232" s="382"/>
      <c r="N232" s="382"/>
      <c r="O232" s="382"/>
      <c r="P232" s="338">
        <f t="shared" si="1"/>
        <v>34</v>
      </c>
      <c r="Q232" s="384">
        <f t="shared" si="2"/>
        <v>8.0626037467393889E-3</v>
      </c>
      <c r="R232" s="339">
        <f t="shared" si="3"/>
        <v>4616</v>
      </c>
      <c r="S232" s="384">
        <f t="shared" si="4"/>
        <v>8.3254876073601929E-3</v>
      </c>
      <c r="T232" s="366"/>
      <c r="U232" s="370"/>
      <c r="V232" s="5"/>
      <c r="W232" s="109"/>
    </row>
    <row r="233" spans="1:23" ht="15.6" x14ac:dyDescent="0.3">
      <c r="A233" s="284"/>
      <c r="B233" s="338" t="s">
        <v>93</v>
      </c>
      <c r="C233" s="382"/>
      <c r="D233" s="382"/>
      <c r="E233" s="382"/>
      <c r="F233" s="311"/>
      <c r="G233" s="383"/>
      <c r="H233" s="382"/>
      <c r="I233" s="382"/>
      <c r="J233" s="382"/>
      <c r="K233" s="382"/>
      <c r="L233" s="382"/>
      <c r="M233" s="382"/>
      <c r="N233" s="382"/>
      <c r="O233" s="382"/>
      <c r="P233" s="338">
        <f t="shared" si="1"/>
        <v>10</v>
      </c>
      <c r="Q233" s="384">
        <f t="shared" si="2"/>
        <v>2.3713540431586438E-3</v>
      </c>
      <c r="R233" s="339">
        <f t="shared" si="3"/>
        <v>1115</v>
      </c>
      <c r="S233" s="384">
        <f t="shared" si="4"/>
        <v>2.0110309103567189E-3</v>
      </c>
      <c r="T233" s="366"/>
      <c r="U233" s="370"/>
      <c r="V233" s="5"/>
    </row>
    <row r="234" spans="1:23" ht="15.6" x14ac:dyDescent="0.3">
      <c r="A234" s="284"/>
      <c r="B234" s="338" t="s">
        <v>163</v>
      </c>
      <c r="C234" s="382"/>
      <c r="D234" s="382"/>
      <c r="E234" s="382"/>
      <c r="F234" s="311"/>
      <c r="G234" s="383"/>
      <c r="H234" s="382"/>
      <c r="I234" s="382"/>
      <c r="J234" s="382"/>
      <c r="K234" s="382"/>
      <c r="L234" s="382"/>
      <c r="M234" s="382"/>
      <c r="N234" s="382"/>
      <c r="O234" s="382"/>
      <c r="P234" s="338">
        <f t="shared" si="1"/>
        <v>0</v>
      </c>
      <c r="Q234" s="384">
        <f t="shared" si="2"/>
        <v>0</v>
      </c>
      <c r="R234" s="339">
        <f t="shared" si="3"/>
        <v>0</v>
      </c>
      <c r="S234" s="384">
        <f t="shared" si="4"/>
        <v>0</v>
      </c>
      <c r="T234" s="366"/>
      <c r="U234" s="370"/>
      <c r="V234" s="5"/>
      <c r="W234" s="109"/>
    </row>
    <row r="235" spans="1:23" ht="15.6" x14ac:dyDescent="0.3">
      <c r="A235" s="284"/>
      <c r="B235" s="338" t="s">
        <v>164</v>
      </c>
      <c r="C235" s="382"/>
      <c r="D235" s="382"/>
      <c r="E235" s="382"/>
      <c r="F235" s="311"/>
      <c r="G235" s="383"/>
      <c r="H235" s="382"/>
      <c r="I235" s="382"/>
      <c r="J235" s="382"/>
      <c r="K235" s="382"/>
      <c r="L235" s="382"/>
      <c r="M235" s="382"/>
      <c r="N235" s="382"/>
      <c r="O235" s="382"/>
      <c r="P235" s="338">
        <f t="shared" si="1"/>
        <v>0</v>
      </c>
      <c r="Q235" s="384">
        <f t="shared" si="2"/>
        <v>0</v>
      </c>
      <c r="R235" s="339">
        <f t="shared" si="3"/>
        <v>0</v>
      </c>
      <c r="S235" s="384">
        <f t="shared" si="4"/>
        <v>0</v>
      </c>
      <c r="T235" s="366"/>
      <c r="U235" s="370"/>
      <c r="V235" s="5"/>
    </row>
    <row r="236" spans="1:23" ht="15.6" x14ac:dyDescent="0.3">
      <c r="A236" s="284"/>
      <c r="B236" s="338" t="s">
        <v>165</v>
      </c>
      <c r="C236" s="382"/>
      <c r="D236" s="382"/>
      <c r="E236" s="382"/>
      <c r="F236" s="311"/>
      <c r="G236" s="383"/>
      <c r="H236" s="382"/>
      <c r="I236" s="382"/>
      <c r="J236" s="382"/>
      <c r="K236" s="382"/>
      <c r="L236" s="382"/>
      <c r="M236" s="382"/>
      <c r="N236" s="382"/>
      <c r="O236" s="382"/>
      <c r="P236" s="338">
        <f t="shared" si="1"/>
        <v>3</v>
      </c>
      <c r="Q236" s="384">
        <f t="shared" si="2"/>
        <v>7.1140621294759308E-4</v>
      </c>
      <c r="R236" s="339">
        <f t="shared" si="3"/>
        <v>598</v>
      </c>
      <c r="S236" s="384">
        <f t="shared" si="4"/>
        <v>1.0785618694110475E-3</v>
      </c>
      <c r="T236" s="366"/>
      <c r="U236" s="370"/>
      <c r="V236" s="5"/>
      <c r="W236" s="109"/>
    </row>
    <row r="237" spans="1:23" ht="15.6" x14ac:dyDescent="0.3">
      <c r="A237" s="284"/>
      <c r="B237" s="338" t="s">
        <v>166</v>
      </c>
      <c r="C237" s="382"/>
      <c r="D237" s="382"/>
      <c r="E237" s="382"/>
      <c r="F237" s="311"/>
      <c r="G237" s="383"/>
      <c r="H237" s="382"/>
      <c r="I237" s="382"/>
      <c r="J237" s="382"/>
      <c r="K237" s="382"/>
      <c r="L237" s="382"/>
      <c r="M237" s="382"/>
      <c r="N237" s="382"/>
      <c r="O237" s="382"/>
      <c r="P237" s="338">
        <f t="shared" si="1"/>
        <v>9</v>
      </c>
      <c r="Q237" s="384">
        <f t="shared" si="2"/>
        <v>2.1342186388427793E-3</v>
      </c>
      <c r="R237" s="339">
        <f t="shared" si="3"/>
        <v>1667</v>
      </c>
      <c r="S237" s="384">
        <f t="shared" si="4"/>
        <v>3.0066264821207627E-3</v>
      </c>
      <c r="T237" s="366"/>
      <c r="U237" s="370"/>
      <c r="V237" s="5"/>
    </row>
    <row r="238" spans="1:23" ht="15.6" x14ac:dyDescent="0.3">
      <c r="A238" s="284"/>
      <c r="B238" s="338" t="s">
        <v>167</v>
      </c>
      <c r="C238" s="382"/>
      <c r="D238" s="382"/>
      <c r="E238" s="382"/>
      <c r="F238" s="311"/>
      <c r="G238" s="383"/>
      <c r="H238" s="382"/>
      <c r="I238" s="382"/>
      <c r="J238" s="382"/>
      <c r="K238" s="382"/>
      <c r="L238" s="382"/>
      <c r="M238" s="382"/>
      <c r="N238" s="382"/>
      <c r="O238" s="382"/>
      <c r="P238" s="338">
        <f t="shared" si="1"/>
        <v>8</v>
      </c>
      <c r="Q238" s="384">
        <f t="shared" si="2"/>
        <v>1.897083234526915E-3</v>
      </c>
      <c r="R238" s="339">
        <f t="shared" si="3"/>
        <v>1526</v>
      </c>
      <c r="S238" s="384">
        <f t="shared" si="4"/>
        <v>2.7523167436810342E-3</v>
      </c>
      <c r="T238" s="366"/>
      <c r="U238" s="370"/>
      <c r="V238" s="5"/>
      <c r="W238" s="109"/>
    </row>
    <row r="239" spans="1:23" ht="15.6" x14ac:dyDescent="0.3">
      <c r="A239" s="284"/>
      <c r="B239" s="338"/>
      <c r="C239" s="382"/>
      <c r="D239" s="382"/>
      <c r="E239" s="382"/>
      <c r="F239" s="311"/>
      <c r="G239" s="383"/>
      <c r="H239" s="382"/>
      <c r="I239" s="382"/>
      <c r="J239" s="382"/>
      <c r="K239" s="382"/>
      <c r="L239" s="382"/>
      <c r="M239" s="382"/>
      <c r="N239" s="382"/>
      <c r="O239" s="382"/>
      <c r="P239" s="338"/>
      <c r="Q239" s="384"/>
      <c r="R239" s="339"/>
      <c r="S239" s="384"/>
      <c r="T239" s="366"/>
      <c r="U239" s="370"/>
      <c r="V239" s="5"/>
    </row>
    <row r="240" spans="1:23" ht="15.6" x14ac:dyDescent="0.3">
      <c r="A240" s="284"/>
      <c r="B240" s="285" t="s">
        <v>120</v>
      </c>
      <c r="C240" s="311"/>
      <c r="D240" s="311"/>
      <c r="E240" s="311"/>
      <c r="F240" s="311"/>
      <c r="G240" s="311"/>
      <c r="H240" s="385"/>
      <c r="I240" s="385"/>
      <c r="J240" s="385"/>
      <c r="K240" s="385"/>
      <c r="L240" s="385"/>
      <c r="M240" s="385"/>
      <c r="N240" s="385"/>
      <c r="O240" s="385"/>
      <c r="P240" s="338">
        <f>SUM(P231:P239)</f>
        <v>4217</v>
      </c>
      <c r="Q240" s="384">
        <f>SUM(Q231:Q239)</f>
        <v>1</v>
      </c>
      <c r="R240" s="339">
        <f>SUM(R231:R239)</f>
        <v>554442</v>
      </c>
      <c r="S240" s="384">
        <f>SUM(S231:S239)</f>
        <v>1</v>
      </c>
      <c r="T240" s="311"/>
      <c r="U240" s="317"/>
      <c r="V240" s="5"/>
    </row>
    <row r="241" spans="1:23" ht="15.6" x14ac:dyDescent="0.3">
      <c r="A241" s="355"/>
      <c r="B241" s="350"/>
      <c r="C241" s="356"/>
      <c r="D241" s="356"/>
      <c r="E241" s="356"/>
      <c r="F241" s="357"/>
      <c r="G241" s="334"/>
      <c r="H241" s="334"/>
      <c r="I241" s="334"/>
      <c r="J241" s="334"/>
      <c r="K241" s="334"/>
      <c r="L241" s="334"/>
      <c r="M241" s="334"/>
      <c r="N241" s="334"/>
      <c r="O241" s="334"/>
      <c r="P241" s="334"/>
      <c r="Q241" s="334"/>
      <c r="R241" s="358"/>
      <c r="S241" s="334"/>
      <c r="T241" s="351"/>
      <c r="U241" s="359"/>
      <c r="V241" s="5"/>
    </row>
    <row r="242" spans="1:23" ht="15.6" x14ac:dyDescent="0.3">
      <c r="A242" s="222"/>
      <c r="B242" s="395" t="s">
        <v>169</v>
      </c>
      <c r="C242" s="396"/>
      <c r="D242" s="396"/>
      <c r="E242" s="396"/>
      <c r="F242" s="402"/>
      <c r="G242" s="396"/>
      <c r="H242" s="396"/>
      <c r="I242" s="396"/>
      <c r="J242" s="396"/>
      <c r="K242" s="396"/>
      <c r="L242" s="396"/>
      <c r="M242" s="396"/>
      <c r="N242" s="396"/>
      <c r="O242" s="396"/>
      <c r="P242" s="402" t="s">
        <v>105</v>
      </c>
      <c r="Q242" s="396" t="s">
        <v>106</v>
      </c>
      <c r="R242" s="402" t="s">
        <v>114</v>
      </c>
      <c r="S242" s="396" t="s">
        <v>106</v>
      </c>
      <c r="T242" s="223"/>
      <c r="U242" s="395"/>
      <c r="V242" s="5"/>
    </row>
    <row r="243" spans="1:23" ht="15.6" x14ac:dyDescent="0.3">
      <c r="A243" s="190"/>
      <c r="B243" s="243" t="s">
        <v>91</v>
      </c>
      <c r="C243" s="217"/>
      <c r="D243" s="217"/>
      <c r="E243" s="217"/>
      <c r="F243" s="191"/>
      <c r="G243" s="217"/>
      <c r="H243" s="217"/>
      <c r="I243" s="217"/>
      <c r="J243" s="217"/>
      <c r="K243" s="217"/>
      <c r="L243" s="217"/>
      <c r="M243" s="217"/>
      <c r="N243" s="217"/>
      <c r="O243" s="217"/>
      <c r="P243" s="243">
        <v>4061</v>
      </c>
      <c r="Q243" s="274">
        <f t="shared" ref="Q243:Q250" si="5">P243/$P$252</f>
        <v>0.99024628139478177</v>
      </c>
      <c r="R243" s="251">
        <v>531436</v>
      </c>
      <c r="S243" s="274">
        <f t="shared" ref="S243:S250" si="6">R243/$R$252</f>
        <v>0.98974379030921344</v>
      </c>
      <c r="T243" s="213"/>
      <c r="U243" s="216"/>
      <c r="V243" s="5"/>
    </row>
    <row r="244" spans="1:23" ht="15.6" x14ac:dyDescent="0.3">
      <c r="A244" s="284"/>
      <c r="B244" s="338" t="s">
        <v>92</v>
      </c>
      <c r="C244" s="382"/>
      <c r="D244" s="382"/>
      <c r="E244" s="382"/>
      <c r="F244" s="311"/>
      <c r="G244" s="383"/>
      <c r="H244" s="382"/>
      <c r="I244" s="382"/>
      <c r="J244" s="382"/>
      <c r="K244" s="382"/>
      <c r="L244" s="382"/>
      <c r="M244" s="382"/>
      <c r="N244" s="382"/>
      <c r="O244" s="382"/>
      <c r="P244" s="338">
        <v>33</v>
      </c>
      <c r="Q244" s="384">
        <f t="shared" si="5"/>
        <v>8.0468178493050477E-3</v>
      </c>
      <c r="R244" s="339">
        <v>4465</v>
      </c>
      <c r="S244" s="384">
        <f t="shared" si="6"/>
        <v>8.3155940202218857E-3</v>
      </c>
      <c r="T244" s="366"/>
      <c r="U244" s="370"/>
      <c r="V244" s="5"/>
      <c r="W244" s="109"/>
    </row>
    <row r="245" spans="1:23" ht="15.6" x14ac:dyDescent="0.3">
      <c r="A245" s="284"/>
      <c r="B245" s="338" t="s">
        <v>93</v>
      </c>
      <c r="C245" s="382"/>
      <c r="D245" s="382"/>
      <c r="E245" s="382"/>
      <c r="F245" s="311"/>
      <c r="G245" s="383"/>
      <c r="H245" s="382"/>
      <c r="I245" s="382"/>
      <c r="J245" s="382"/>
      <c r="K245" s="382"/>
      <c r="L245" s="382"/>
      <c r="M245" s="382"/>
      <c r="N245" s="382"/>
      <c r="O245" s="382"/>
      <c r="P245" s="338">
        <v>5</v>
      </c>
      <c r="Q245" s="384">
        <f t="shared" si="5"/>
        <v>1.21921482565228E-3</v>
      </c>
      <c r="R245" s="339">
        <v>654</v>
      </c>
      <c r="S245" s="384">
        <f t="shared" si="6"/>
        <v>1.2180063805655348E-3</v>
      </c>
      <c r="T245" s="366"/>
      <c r="U245" s="370"/>
      <c r="V245" s="5"/>
    </row>
    <row r="246" spans="1:23" ht="15.6" x14ac:dyDescent="0.3">
      <c r="A246" s="284"/>
      <c r="B246" s="338" t="s">
        <v>163</v>
      </c>
      <c r="C246" s="382"/>
      <c r="D246" s="382"/>
      <c r="E246" s="382"/>
      <c r="F246" s="311"/>
      <c r="G246" s="383"/>
      <c r="H246" s="382"/>
      <c r="I246" s="382"/>
      <c r="J246" s="382"/>
      <c r="K246" s="382"/>
      <c r="L246" s="382"/>
      <c r="M246" s="382"/>
      <c r="N246" s="382"/>
      <c r="O246" s="382"/>
      <c r="P246" s="338">
        <v>0</v>
      </c>
      <c r="Q246" s="384">
        <f t="shared" si="5"/>
        <v>0</v>
      </c>
      <c r="R246" s="339">
        <v>0</v>
      </c>
      <c r="S246" s="384">
        <f t="shared" si="6"/>
        <v>0</v>
      </c>
      <c r="T246" s="366"/>
      <c r="U246" s="370"/>
      <c r="V246" s="5"/>
      <c r="W246" s="109"/>
    </row>
    <row r="247" spans="1:23" ht="15.6" x14ac:dyDescent="0.3">
      <c r="A247" s="284"/>
      <c r="B247" s="338" t="s">
        <v>164</v>
      </c>
      <c r="C247" s="382"/>
      <c r="D247" s="382"/>
      <c r="E247" s="382"/>
      <c r="F247" s="311"/>
      <c r="G247" s="383"/>
      <c r="H247" s="382"/>
      <c r="I247" s="382"/>
      <c r="J247" s="382"/>
      <c r="K247" s="382"/>
      <c r="L247" s="382"/>
      <c r="M247" s="382"/>
      <c r="N247" s="382"/>
      <c r="O247" s="382"/>
      <c r="P247" s="338">
        <v>0</v>
      </c>
      <c r="Q247" s="384">
        <f t="shared" si="5"/>
        <v>0</v>
      </c>
      <c r="R247" s="339">
        <v>0</v>
      </c>
      <c r="S247" s="384">
        <f t="shared" si="6"/>
        <v>0</v>
      </c>
      <c r="T247" s="366"/>
      <c r="U247" s="370"/>
      <c r="V247" s="5"/>
    </row>
    <row r="248" spans="1:23" ht="15.6" x14ac:dyDescent="0.3">
      <c r="A248" s="284"/>
      <c r="B248" s="338" t="s">
        <v>165</v>
      </c>
      <c r="C248" s="382"/>
      <c r="D248" s="382"/>
      <c r="E248" s="382"/>
      <c r="F248" s="311"/>
      <c r="G248" s="383"/>
      <c r="H248" s="382"/>
      <c r="I248" s="382"/>
      <c r="J248" s="382"/>
      <c r="K248" s="382"/>
      <c r="L248" s="382"/>
      <c r="M248" s="382"/>
      <c r="N248" s="382"/>
      <c r="O248" s="382"/>
      <c r="P248" s="338">
        <v>0</v>
      </c>
      <c r="Q248" s="384">
        <f t="shared" si="5"/>
        <v>0</v>
      </c>
      <c r="R248" s="339">
        <v>0</v>
      </c>
      <c r="S248" s="384">
        <f t="shared" si="6"/>
        <v>0</v>
      </c>
      <c r="T248" s="366"/>
      <c r="U248" s="370"/>
      <c r="V248" s="5"/>
      <c r="W248" s="109"/>
    </row>
    <row r="249" spans="1:23" ht="15.6" x14ac:dyDescent="0.3">
      <c r="A249" s="284"/>
      <c r="B249" s="338" t="s">
        <v>166</v>
      </c>
      <c r="C249" s="382"/>
      <c r="D249" s="382"/>
      <c r="E249" s="382"/>
      <c r="F249" s="311"/>
      <c r="G249" s="383"/>
      <c r="H249" s="382"/>
      <c r="I249" s="382"/>
      <c r="J249" s="382"/>
      <c r="K249" s="382"/>
      <c r="L249" s="382"/>
      <c r="M249" s="382"/>
      <c r="N249" s="382"/>
      <c r="O249" s="382"/>
      <c r="P249" s="338">
        <v>2</v>
      </c>
      <c r="Q249" s="384">
        <f t="shared" si="5"/>
        <v>4.8768593026091199E-4</v>
      </c>
      <c r="R249" s="339">
        <v>388</v>
      </c>
      <c r="S249" s="384">
        <f t="shared" si="6"/>
        <v>7.2260928999912468E-4</v>
      </c>
      <c r="T249" s="366"/>
      <c r="U249" s="370"/>
      <c r="V249" s="5"/>
    </row>
    <row r="250" spans="1:23" ht="15.6" x14ac:dyDescent="0.3">
      <c r="A250" s="284"/>
      <c r="B250" s="338" t="s">
        <v>167</v>
      </c>
      <c r="C250" s="382"/>
      <c r="D250" s="382"/>
      <c r="E250" s="382"/>
      <c r="F250" s="311"/>
      <c r="G250" s="383"/>
      <c r="H250" s="382"/>
      <c r="I250" s="382"/>
      <c r="J250" s="382"/>
      <c r="K250" s="382"/>
      <c r="L250" s="382"/>
      <c r="M250" s="382"/>
      <c r="N250" s="382"/>
      <c r="O250" s="382"/>
      <c r="P250" s="338">
        <v>0</v>
      </c>
      <c r="Q250" s="384">
        <f t="shared" si="5"/>
        <v>0</v>
      </c>
      <c r="R250" s="339">
        <v>0</v>
      </c>
      <c r="S250" s="384">
        <f t="shared" si="6"/>
        <v>0</v>
      </c>
      <c r="T250" s="366"/>
      <c r="U250" s="370"/>
      <c r="V250" s="5"/>
      <c r="W250" s="109"/>
    </row>
    <row r="251" spans="1:23" ht="15.6" x14ac:dyDescent="0.3">
      <c r="A251" s="284"/>
      <c r="B251" s="338"/>
      <c r="C251" s="382"/>
      <c r="D251" s="382"/>
      <c r="E251" s="382"/>
      <c r="F251" s="311"/>
      <c r="G251" s="383"/>
      <c r="H251" s="382"/>
      <c r="I251" s="382"/>
      <c r="J251" s="382"/>
      <c r="K251" s="382"/>
      <c r="L251" s="382"/>
      <c r="M251" s="382"/>
      <c r="N251" s="382"/>
      <c r="O251" s="382"/>
      <c r="P251" s="338"/>
      <c r="Q251" s="384"/>
      <c r="R251" s="339"/>
      <c r="S251" s="384"/>
      <c r="T251" s="366"/>
      <c r="U251" s="370"/>
      <c r="V251" s="5"/>
    </row>
    <row r="252" spans="1:23" ht="15.6" x14ac:dyDescent="0.3">
      <c r="A252" s="284"/>
      <c r="B252" s="285" t="s">
        <v>120</v>
      </c>
      <c r="C252" s="311"/>
      <c r="D252" s="311"/>
      <c r="E252" s="311"/>
      <c r="F252" s="311"/>
      <c r="G252" s="311"/>
      <c r="H252" s="385"/>
      <c r="I252" s="385"/>
      <c r="J252" s="385"/>
      <c r="K252" s="385"/>
      <c r="L252" s="385"/>
      <c r="M252" s="385"/>
      <c r="N252" s="385"/>
      <c r="O252" s="385"/>
      <c r="P252" s="338">
        <f>SUM(P243:P251)</f>
        <v>4101</v>
      </c>
      <c r="Q252" s="384">
        <f>SUM(Q243:Q251)</f>
        <v>1</v>
      </c>
      <c r="R252" s="339">
        <f>SUM(R243:R251)</f>
        <v>536943</v>
      </c>
      <c r="S252" s="384">
        <f>SUM(S243:S251)</f>
        <v>1</v>
      </c>
      <c r="T252" s="311"/>
      <c r="U252" s="317"/>
      <c r="V252" s="5"/>
    </row>
    <row r="253" spans="1:23" ht="15.6" x14ac:dyDescent="0.3">
      <c r="A253" s="175"/>
      <c r="B253" s="334"/>
      <c r="C253" s="334"/>
      <c r="D253" s="334"/>
      <c r="E253" s="334"/>
      <c r="F253" s="334"/>
      <c r="G253" s="334"/>
      <c r="H253" s="379"/>
      <c r="I253" s="379"/>
      <c r="J253" s="379"/>
      <c r="K253" s="379"/>
      <c r="L253" s="379"/>
      <c r="M253" s="379"/>
      <c r="N253" s="379"/>
      <c r="O253" s="379"/>
      <c r="P253" s="335"/>
      <c r="Q253" s="380"/>
      <c r="R253" s="381"/>
      <c r="S253" s="380"/>
      <c r="T253" s="334"/>
      <c r="U253" s="334"/>
      <c r="V253" s="5"/>
    </row>
    <row r="254" spans="1:23" ht="15.6" x14ac:dyDescent="0.3">
      <c r="A254" s="268"/>
      <c r="B254" s="395" t="s">
        <v>267</v>
      </c>
      <c r="C254" s="396"/>
      <c r="D254" s="396"/>
      <c r="E254" s="396"/>
      <c r="F254" s="402"/>
      <c r="G254" s="396"/>
      <c r="H254" s="396"/>
      <c r="I254" s="396"/>
      <c r="J254" s="396"/>
      <c r="K254" s="396"/>
      <c r="L254" s="396"/>
      <c r="M254" s="396"/>
      <c r="N254" s="396"/>
      <c r="O254" s="396"/>
      <c r="P254" s="402" t="s">
        <v>105</v>
      </c>
      <c r="Q254" s="396" t="s">
        <v>106</v>
      </c>
      <c r="R254" s="402" t="s">
        <v>114</v>
      </c>
      <c r="S254" s="396" t="s">
        <v>106</v>
      </c>
      <c r="T254" s="269"/>
      <c r="U254" s="270"/>
      <c r="V254" s="5"/>
    </row>
    <row r="255" spans="1:23" ht="15.6" x14ac:dyDescent="0.3">
      <c r="A255" s="190"/>
      <c r="B255" s="243" t="s">
        <v>91</v>
      </c>
      <c r="C255" s="217"/>
      <c r="D255" s="217"/>
      <c r="E255" s="217"/>
      <c r="F255" s="191"/>
      <c r="G255" s="217"/>
      <c r="H255" s="217"/>
      <c r="I255" s="217"/>
      <c r="J255" s="217"/>
      <c r="K255" s="217"/>
      <c r="L255" s="217"/>
      <c r="M255" s="217"/>
      <c r="N255" s="217"/>
      <c r="O255" s="217"/>
      <c r="P255" s="243">
        <v>92</v>
      </c>
      <c r="Q255" s="274">
        <f t="shared" ref="Q255:Q262" si="7">P255/$P$264</f>
        <v>0.8</v>
      </c>
      <c r="R255" s="251">
        <v>13484</v>
      </c>
      <c r="S255" s="274">
        <f t="shared" ref="S255:S262" si="8">R255/$R$264</f>
        <v>0.77610222171060206</v>
      </c>
      <c r="T255" s="191"/>
      <c r="U255" s="191"/>
      <c r="V255" s="5"/>
    </row>
    <row r="256" spans="1:23" ht="15.6" x14ac:dyDescent="0.3">
      <c r="A256" s="284"/>
      <c r="B256" s="338" t="s">
        <v>92</v>
      </c>
      <c r="C256" s="382"/>
      <c r="D256" s="382"/>
      <c r="E256" s="382"/>
      <c r="F256" s="311"/>
      <c r="G256" s="383"/>
      <c r="H256" s="382"/>
      <c r="I256" s="382"/>
      <c r="J256" s="382"/>
      <c r="K256" s="382"/>
      <c r="L256" s="382"/>
      <c r="M256" s="382"/>
      <c r="N256" s="382"/>
      <c r="O256" s="382"/>
      <c r="P256" s="338">
        <v>1</v>
      </c>
      <c r="Q256" s="384">
        <f t="shared" si="7"/>
        <v>8.6956521739130436E-3</v>
      </c>
      <c r="R256" s="339">
        <v>151</v>
      </c>
      <c r="S256" s="384">
        <f t="shared" si="8"/>
        <v>8.6911476919534943E-3</v>
      </c>
      <c r="T256" s="311"/>
      <c r="U256" s="317"/>
      <c r="V256" s="5"/>
    </row>
    <row r="257" spans="1:22" ht="15.6" x14ac:dyDescent="0.3">
      <c r="A257" s="284"/>
      <c r="B257" s="338" t="s">
        <v>93</v>
      </c>
      <c r="C257" s="382"/>
      <c r="D257" s="382"/>
      <c r="E257" s="382"/>
      <c r="F257" s="311"/>
      <c r="G257" s="383"/>
      <c r="H257" s="382"/>
      <c r="I257" s="382"/>
      <c r="J257" s="382"/>
      <c r="K257" s="382"/>
      <c r="L257" s="382"/>
      <c r="M257" s="382"/>
      <c r="N257" s="382"/>
      <c r="O257" s="382"/>
      <c r="P257" s="338">
        <v>5</v>
      </c>
      <c r="Q257" s="384">
        <f t="shared" si="7"/>
        <v>4.3478260869565216E-2</v>
      </c>
      <c r="R257" s="339">
        <v>461</v>
      </c>
      <c r="S257" s="384">
        <f t="shared" si="8"/>
        <v>2.6533901231725568E-2</v>
      </c>
      <c r="T257" s="311"/>
      <c r="U257" s="317"/>
      <c r="V257" s="5"/>
    </row>
    <row r="258" spans="1:22" ht="15.6" x14ac:dyDescent="0.3">
      <c r="A258" s="284"/>
      <c r="B258" s="338" t="s">
        <v>163</v>
      </c>
      <c r="C258" s="382"/>
      <c r="D258" s="382"/>
      <c r="E258" s="382"/>
      <c r="F258" s="311"/>
      <c r="G258" s="383"/>
      <c r="H258" s="382"/>
      <c r="I258" s="382"/>
      <c r="J258" s="382"/>
      <c r="K258" s="382"/>
      <c r="L258" s="382"/>
      <c r="M258" s="382"/>
      <c r="N258" s="382"/>
      <c r="O258" s="382"/>
      <c r="P258" s="338">
        <v>0</v>
      </c>
      <c r="Q258" s="384">
        <f t="shared" si="7"/>
        <v>0</v>
      </c>
      <c r="R258" s="339">
        <v>0</v>
      </c>
      <c r="S258" s="384">
        <f t="shared" si="8"/>
        <v>0</v>
      </c>
      <c r="T258" s="311"/>
      <c r="U258" s="317"/>
      <c r="V258" s="5"/>
    </row>
    <row r="259" spans="1:22" ht="15.6" x14ac:dyDescent="0.3">
      <c r="A259" s="284"/>
      <c r="B259" s="338" t="s">
        <v>164</v>
      </c>
      <c r="C259" s="382"/>
      <c r="D259" s="382"/>
      <c r="E259" s="382"/>
      <c r="F259" s="311"/>
      <c r="G259" s="383"/>
      <c r="H259" s="382"/>
      <c r="I259" s="382"/>
      <c r="J259" s="382"/>
      <c r="K259" s="382"/>
      <c r="L259" s="382"/>
      <c r="M259" s="382"/>
      <c r="N259" s="382"/>
      <c r="O259" s="382"/>
      <c r="P259" s="338">
        <v>0</v>
      </c>
      <c r="Q259" s="384">
        <f t="shared" si="7"/>
        <v>0</v>
      </c>
      <c r="R259" s="339">
        <v>0</v>
      </c>
      <c r="S259" s="384">
        <f t="shared" si="8"/>
        <v>0</v>
      </c>
      <c r="T259" s="311"/>
      <c r="U259" s="317"/>
      <c r="V259" s="5"/>
    </row>
    <row r="260" spans="1:22" ht="15.6" x14ac:dyDescent="0.3">
      <c r="A260" s="284"/>
      <c r="B260" s="338" t="s">
        <v>165</v>
      </c>
      <c r="C260" s="382"/>
      <c r="D260" s="382"/>
      <c r="E260" s="382"/>
      <c r="F260" s="311"/>
      <c r="G260" s="383"/>
      <c r="H260" s="382"/>
      <c r="I260" s="382"/>
      <c r="J260" s="382"/>
      <c r="K260" s="382"/>
      <c r="L260" s="382"/>
      <c r="M260" s="382"/>
      <c r="N260" s="382"/>
      <c r="O260" s="382"/>
      <c r="P260" s="338">
        <v>2</v>
      </c>
      <c r="Q260" s="384">
        <f t="shared" si="7"/>
        <v>1.7391304347826087E-2</v>
      </c>
      <c r="R260" s="339">
        <v>473</v>
      </c>
      <c r="S260" s="384">
        <f t="shared" si="8"/>
        <v>2.7224588465523194E-2</v>
      </c>
      <c r="T260" s="311"/>
      <c r="U260" s="317"/>
      <c r="V260" s="5"/>
    </row>
    <row r="261" spans="1:22" ht="15.6" x14ac:dyDescent="0.3">
      <c r="A261" s="284"/>
      <c r="B261" s="338" t="s">
        <v>166</v>
      </c>
      <c r="C261" s="382"/>
      <c r="D261" s="382"/>
      <c r="E261" s="382"/>
      <c r="F261" s="311"/>
      <c r="G261" s="383"/>
      <c r="H261" s="382"/>
      <c r="I261" s="382"/>
      <c r="J261" s="382"/>
      <c r="K261" s="382"/>
      <c r="L261" s="382"/>
      <c r="M261" s="382"/>
      <c r="N261" s="382"/>
      <c r="O261" s="382"/>
      <c r="P261" s="338">
        <v>7</v>
      </c>
      <c r="Q261" s="384">
        <f t="shared" si="7"/>
        <v>6.0869565217391307E-2</v>
      </c>
      <c r="R261" s="339">
        <v>1279</v>
      </c>
      <c r="S261" s="384">
        <f t="shared" si="8"/>
        <v>7.3615747668930587E-2</v>
      </c>
      <c r="T261" s="311"/>
      <c r="U261" s="317"/>
      <c r="V261" s="5"/>
    </row>
    <row r="262" spans="1:22" ht="15.6" x14ac:dyDescent="0.3">
      <c r="A262" s="284"/>
      <c r="B262" s="338" t="s">
        <v>167</v>
      </c>
      <c r="C262" s="382"/>
      <c r="D262" s="382"/>
      <c r="E262" s="382"/>
      <c r="F262" s="311"/>
      <c r="G262" s="383"/>
      <c r="H262" s="382"/>
      <c r="I262" s="382"/>
      <c r="J262" s="382"/>
      <c r="K262" s="382"/>
      <c r="L262" s="382"/>
      <c r="M262" s="382"/>
      <c r="N262" s="382"/>
      <c r="O262" s="382"/>
      <c r="P262" s="338">
        <v>8</v>
      </c>
      <c r="Q262" s="384">
        <f t="shared" si="7"/>
        <v>6.9565217391304349E-2</v>
      </c>
      <c r="R262" s="339">
        <v>1526</v>
      </c>
      <c r="S262" s="384">
        <f t="shared" si="8"/>
        <v>8.7832393231265113E-2</v>
      </c>
      <c r="T262" s="311"/>
      <c r="U262" s="317"/>
      <c r="V262" s="5"/>
    </row>
    <row r="263" spans="1:22" ht="15.6" x14ac:dyDescent="0.3">
      <c r="A263" s="284"/>
      <c r="B263" s="338"/>
      <c r="C263" s="382"/>
      <c r="D263" s="382"/>
      <c r="E263" s="382"/>
      <c r="F263" s="311"/>
      <c r="G263" s="383"/>
      <c r="H263" s="382"/>
      <c r="I263" s="382"/>
      <c r="J263" s="382"/>
      <c r="K263" s="382"/>
      <c r="L263" s="382"/>
      <c r="M263" s="382"/>
      <c r="N263" s="382"/>
      <c r="O263" s="382"/>
      <c r="P263" s="338"/>
      <c r="Q263" s="384"/>
      <c r="R263" s="339"/>
      <c r="S263" s="384"/>
      <c r="T263" s="311"/>
      <c r="U263" s="317"/>
      <c r="V263" s="5"/>
    </row>
    <row r="264" spans="1:22" ht="15.6" x14ac:dyDescent="0.3">
      <c r="A264" s="284"/>
      <c r="B264" s="285" t="s">
        <v>120</v>
      </c>
      <c r="C264" s="311"/>
      <c r="D264" s="311"/>
      <c r="E264" s="311"/>
      <c r="F264" s="311"/>
      <c r="G264" s="311"/>
      <c r="H264" s="385"/>
      <c r="I264" s="385"/>
      <c r="J264" s="385"/>
      <c r="K264" s="385"/>
      <c r="L264" s="385"/>
      <c r="M264" s="385"/>
      <c r="N264" s="385"/>
      <c r="O264" s="385"/>
      <c r="P264" s="338">
        <f>SUM(P255:P263)</f>
        <v>115</v>
      </c>
      <c r="Q264" s="384">
        <f>SUM(Q255:Q263)</f>
        <v>1</v>
      </c>
      <c r="R264" s="339">
        <f>SUM(R255:R263)</f>
        <v>17374</v>
      </c>
      <c r="S264" s="384">
        <f>SUM(S255:S263)</f>
        <v>1</v>
      </c>
      <c r="T264" s="311"/>
      <c r="U264" s="317"/>
      <c r="V264" s="5"/>
    </row>
    <row r="265" spans="1:22" ht="15.6" x14ac:dyDescent="0.3">
      <c r="A265" s="175"/>
      <c r="B265" s="334"/>
      <c r="C265" s="334"/>
      <c r="D265" s="334"/>
      <c r="E265" s="334"/>
      <c r="F265" s="334"/>
      <c r="G265" s="334"/>
      <c r="H265" s="379"/>
      <c r="I265" s="379"/>
      <c r="J265" s="379"/>
      <c r="K265" s="379"/>
      <c r="L265" s="379"/>
      <c r="M265" s="379"/>
      <c r="N265" s="379"/>
      <c r="O265" s="379"/>
      <c r="P265" s="335"/>
      <c r="Q265" s="380"/>
      <c r="R265" s="381"/>
      <c r="S265" s="380"/>
      <c r="T265" s="334"/>
      <c r="U265" s="334"/>
      <c r="V265" s="5"/>
    </row>
    <row r="266" spans="1:22" ht="15.6" x14ac:dyDescent="0.3">
      <c r="A266" s="268"/>
      <c r="B266" s="395" t="s">
        <v>170</v>
      </c>
      <c r="C266" s="269"/>
      <c r="D266" s="269"/>
      <c r="E266" s="269"/>
      <c r="F266" s="269"/>
      <c r="G266" s="269"/>
      <c r="H266" s="271"/>
      <c r="I266" s="271"/>
      <c r="J266" s="271"/>
      <c r="K266" s="271"/>
      <c r="L266" s="271"/>
      <c r="M266" s="271"/>
      <c r="N266" s="271"/>
      <c r="O266" s="271"/>
      <c r="P266" s="402" t="s">
        <v>105</v>
      </c>
      <c r="Q266" s="396" t="s">
        <v>106</v>
      </c>
      <c r="R266" s="402" t="s">
        <v>114</v>
      </c>
      <c r="S266" s="396" t="s">
        <v>106</v>
      </c>
      <c r="T266" s="269"/>
      <c r="U266" s="270"/>
      <c r="V266" s="5"/>
    </row>
    <row r="267" spans="1:22" ht="15.6" x14ac:dyDescent="0.3">
      <c r="A267" s="190"/>
      <c r="B267" s="243" t="s">
        <v>91</v>
      </c>
      <c r="C267" s="239"/>
      <c r="D267" s="239"/>
      <c r="E267" s="239"/>
      <c r="F267" s="239"/>
      <c r="G267" s="239"/>
      <c r="H267" s="275"/>
      <c r="I267" s="275"/>
      <c r="J267" s="275"/>
      <c r="K267" s="275"/>
      <c r="L267" s="218"/>
      <c r="M267" s="218"/>
      <c r="N267" s="218"/>
      <c r="O267" s="218"/>
      <c r="P267" s="243">
        <v>0</v>
      </c>
      <c r="Q267" s="274">
        <v>0</v>
      </c>
      <c r="R267" s="251">
        <v>0</v>
      </c>
      <c r="S267" s="274">
        <v>0</v>
      </c>
      <c r="T267" s="239"/>
      <c r="U267" s="191"/>
      <c r="V267" s="5"/>
    </row>
    <row r="268" spans="1:22" ht="15.6" x14ac:dyDescent="0.3">
      <c r="A268" s="284"/>
      <c r="B268" s="338" t="s">
        <v>92</v>
      </c>
      <c r="C268" s="285"/>
      <c r="D268" s="285"/>
      <c r="E268" s="285"/>
      <c r="F268" s="285"/>
      <c r="G268" s="285"/>
      <c r="H268" s="387"/>
      <c r="I268" s="387"/>
      <c r="J268" s="387"/>
      <c r="K268" s="387"/>
      <c r="L268" s="385"/>
      <c r="M268" s="385"/>
      <c r="N268" s="385"/>
      <c r="O268" s="385"/>
      <c r="P268" s="338">
        <v>0</v>
      </c>
      <c r="Q268" s="384">
        <v>0</v>
      </c>
      <c r="R268" s="339">
        <v>0</v>
      </c>
      <c r="S268" s="384">
        <v>0</v>
      </c>
      <c r="T268" s="285"/>
      <c r="U268" s="317"/>
      <c r="V268" s="5"/>
    </row>
    <row r="269" spans="1:22" ht="15.6" x14ac:dyDescent="0.3">
      <c r="A269" s="284"/>
      <c r="B269" s="338" t="s">
        <v>93</v>
      </c>
      <c r="C269" s="285"/>
      <c r="D269" s="285"/>
      <c r="E269" s="285"/>
      <c r="F269" s="285"/>
      <c r="G269" s="285"/>
      <c r="H269" s="387"/>
      <c r="I269" s="387"/>
      <c r="J269" s="387"/>
      <c r="K269" s="387"/>
      <c r="L269" s="385"/>
      <c r="M269" s="385"/>
      <c r="N269" s="385"/>
      <c r="O269" s="385"/>
      <c r="P269" s="338">
        <v>0</v>
      </c>
      <c r="Q269" s="384">
        <f>P269/P276</f>
        <v>0</v>
      </c>
      <c r="R269" s="339">
        <v>0</v>
      </c>
      <c r="S269" s="384">
        <f>R269/R276</f>
        <v>0</v>
      </c>
      <c r="T269" s="285"/>
      <c r="U269" s="317"/>
      <c r="V269" s="5"/>
    </row>
    <row r="270" spans="1:22" ht="15.6" x14ac:dyDescent="0.3">
      <c r="A270" s="284"/>
      <c r="B270" s="338" t="s">
        <v>163</v>
      </c>
      <c r="C270" s="285"/>
      <c r="D270" s="285"/>
      <c r="E270" s="285"/>
      <c r="F270" s="285"/>
      <c r="G270" s="285"/>
      <c r="H270" s="387"/>
      <c r="I270" s="387"/>
      <c r="J270" s="387"/>
      <c r="K270" s="387"/>
      <c r="L270" s="385"/>
      <c r="M270" s="385"/>
      <c r="N270" s="385"/>
      <c r="O270" s="385"/>
      <c r="P270" s="338">
        <v>0</v>
      </c>
      <c r="Q270" s="384">
        <v>0</v>
      </c>
      <c r="R270" s="339">
        <v>0</v>
      </c>
      <c r="S270" s="384">
        <v>0</v>
      </c>
      <c r="T270" s="285"/>
      <c r="U270" s="317"/>
      <c r="V270" s="5"/>
    </row>
    <row r="271" spans="1:22" ht="15.6" x14ac:dyDescent="0.3">
      <c r="A271" s="284"/>
      <c r="B271" s="338" t="s">
        <v>164</v>
      </c>
      <c r="C271" s="285"/>
      <c r="D271" s="285"/>
      <c r="E271" s="285"/>
      <c r="F271" s="285"/>
      <c r="G271" s="285"/>
      <c r="H271" s="387"/>
      <c r="I271" s="387"/>
      <c r="J271" s="387"/>
      <c r="K271" s="387"/>
      <c r="L271" s="385"/>
      <c r="M271" s="385"/>
      <c r="N271" s="385"/>
      <c r="O271" s="385"/>
      <c r="P271" s="338">
        <v>0</v>
      </c>
      <c r="Q271" s="384">
        <v>0</v>
      </c>
      <c r="R271" s="339">
        <v>0</v>
      </c>
      <c r="S271" s="384">
        <v>0</v>
      </c>
      <c r="T271" s="285"/>
      <c r="U271" s="317"/>
      <c r="V271" s="5"/>
    </row>
    <row r="272" spans="1:22" ht="15.6" x14ac:dyDescent="0.3">
      <c r="A272" s="284"/>
      <c r="B272" s="338" t="s">
        <v>165</v>
      </c>
      <c r="C272" s="285"/>
      <c r="D272" s="285"/>
      <c r="E272" s="285"/>
      <c r="F272" s="285"/>
      <c r="G272" s="285"/>
      <c r="H272" s="387"/>
      <c r="I272" s="387"/>
      <c r="J272" s="387"/>
      <c r="K272" s="387"/>
      <c r="L272" s="385"/>
      <c r="M272" s="385"/>
      <c r="N272" s="385"/>
      <c r="O272" s="385"/>
      <c r="P272" s="338">
        <v>1</v>
      </c>
      <c r="Q272" s="384">
        <v>1</v>
      </c>
      <c r="R272" s="339">
        <v>125</v>
      </c>
      <c r="S272" s="384">
        <v>1</v>
      </c>
      <c r="T272" s="285"/>
      <c r="U272" s="317"/>
      <c r="V272" s="5"/>
    </row>
    <row r="273" spans="1:22" ht="15.6" x14ac:dyDescent="0.3">
      <c r="A273" s="284"/>
      <c r="B273" s="338" t="s">
        <v>166</v>
      </c>
      <c r="C273" s="285"/>
      <c r="D273" s="285"/>
      <c r="E273" s="285"/>
      <c r="F273" s="285"/>
      <c r="G273" s="285"/>
      <c r="H273" s="387"/>
      <c r="I273" s="387"/>
      <c r="J273" s="387"/>
      <c r="K273" s="387"/>
      <c r="L273" s="385"/>
      <c r="M273" s="385"/>
      <c r="N273" s="385"/>
      <c r="O273" s="385"/>
      <c r="P273" s="338">
        <v>0</v>
      </c>
      <c r="Q273" s="384">
        <v>0</v>
      </c>
      <c r="R273" s="339">
        <v>0</v>
      </c>
      <c r="S273" s="384">
        <v>0</v>
      </c>
      <c r="T273" s="285"/>
      <c r="U273" s="317"/>
      <c r="V273" s="5"/>
    </row>
    <row r="274" spans="1:22" ht="15.6" x14ac:dyDescent="0.3">
      <c r="A274" s="284"/>
      <c r="B274" s="338" t="s">
        <v>167</v>
      </c>
      <c r="C274" s="285"/>
      <c r="D274" s="285"/>
      <c r="E274" s="285"/>
      <c r="F274" s="285"/>
      <c r="G274" s="285"/>
      <c r="H274" s="387"/>
      <c r="I274" s="387"/>
      <c r="J274" s="387"/>
      <c r="K274" s="387"/>
      <c r="L274" s="385"/>
      <c r="M274" s="385"/>
      <c r="N274" s="385"/>
      <c r="O274" s="385"/>
      <c r="P274" s="338">
        <v>0</v>
      </c>
      <c r="Q274" s="384">
        <v>0</v>
      </c>
      <c r="R274" s="339">
        <v>0</v>
      </c>
      <c r="S274" s="384">
        <v>0</v>
      </c>
      <c r="T274" s="285"/>
      <c r="U274" s="317"/>
      <c r="V274" s="5"/>
    </row>
    <row r="275" spans="1:22" ht="15.6" x14ac:dyDescent="0.3">
      <c r="A275" s="284"/>
      <c r="B275" s="338"/>
      <c r="C275" s="285"/>
      <c r="D275" s="285"/>
      <c r="E275" s="285"/>
      <c r="F275" s="285"/>
      <c r="G275" s="285"/>
      <c r="H275" s="387"/>
      <c r="I275" s="387"/>
      <c r="J275" s="387"/>
      <c r="K275" s="387"/>
      <c r="L275" s="385"/>
      <c r="M275" s="385"/>
      <c r="N275" s="385"/>
      <c r="O275" s="385"/>
      <c r="P275" s="338"/>
      <c r="Q275" s="384"/>
      <c r="R275" s="339"/>
      <c r="S275" s="384"/>
      <c r="T275" s="285"/>
      <c r="U275" s="317"/>
      <c r="V275" s="5"/>
    </row>
    <row r="276" spans="1:22" ht="15.6" x14ac:dyDescent="0.3">
      <c r="A276" s="284"/>
      <c r="B276" s="285" t="s">
        <v>120</v>
      </c>
      <c r="C276" s="285"/>
      <c r="D276" s="285"/>
      <c r="E276" s="285"/>
      <c r="F276" s="285"/>
      <c r="G276" s="285"/>
      <c r="H276" s="387"/>
      <c r="I276" s="387"/>
      <c r="J276" s="387"/>
      <c r="K276" s="387"/>
      <c r="L276" s="385"/>
      <c r="M276" s="385"/>
      <c r="N276" s="385"/>
      <c r="O276" s="385"/>
      <c r="P276" s="338">
        <f>SUM(P267:P274)</f>
        <v>1</v>
      </c>
      <c r="Q276" s="384">
        <f>SUM(Q267:Q275)</f>
        <v>1</v>
      </c>
      <c r="R276" s="339">
        <f>SUM(R267:R274)</f>
        <v>125</v>
      </c>
      <c r="S276" s="384">
        <f>SUM(S267:S275)</f>
        <v>1</v>
      </c>
      <c r="T276" s="285"/>
      <c r="U276" s="317"/>
      <c r="V276" s="5"/>
    </row>
    <row r="277" spans="1:22" ht="15.6" x14ac:dyDescent="0.3">
      <c r="A277" s="284"/>
      <c r="B277" s="285"/>
      <c r="C277" s="285"/>
      <c r="D277" s="285"/>
      <c r="E277" s="285"/>
      <c r="F277" s="285"/>
      <c r="G277" s="285"/>
      <c r="H277" s="387"/>
      <c r="I277" s="387"/>
      <c r="J277" s="387"/>
      <c r="K277" s="387"/>
      <c r="L277" s="385"/>
      <c r="M277" s="385"/>
      <c r="N277" s="385"/>
      <c r="O277" s="385"/>
      <c r="P277" s="344"/>
      <c r="Q277" s="388"/>
      <c r="R277" s="345"/>
      <c r="S277" s="388"/>
      <c r="T277" s="311"/>
      <c r="U277" s="317"/>
      <c r="V277" s="5"/>
    </row>
    <row r="278" spans="1:22" ht="15.6" x14ac:dyDescent="0.3">
      <c r="A278" s="284"/>
      <c r="B278" s="292" t="s">
        <v>171</v>
      </c>
      <c r="C278" s="285"/>
      <c r="D278" s="285"/>
      <c r="E278" s="285"/>
      <c r="F278" s="285"/>
      <c r="G278" s="285"/>
      <c r="H278" s="387"/>
      <c r="I278" s="387"/>
      <c r="J278" s="387"/>
      <c r="K278" s="387"/>
      <c r="L278" s="385"/>
      <c r="M278" s="385"/>
      <c r="N278" s="385"/>
      <c r="O278" s="385"/>
      <c r="P278" s="403">
        <f>P276+P264+P252</f>
        <v>4217</v>
      </c>
      <c r="Q278" s="384"/>
      <c r="R278" s="404">
        <f>+R276+R264+R252</f>
        <v>554442</v>
      </c>
      <c r="S278" s="384"/>
      <c r="T278" s="311"/>
      <c r="U278" s="317"/>
      <c r="V278" s="5"/>
    </row>
    <row r="279" spans="1:22" ht="15.6" x14ac:dyDescent="0.3">
      <c r="A279" s="175"/>
      <c r="B279" s="281"/>
      <c r="C279" s="281"/>
      <c r="D279" s="281"/>
      <c r="E279" s="281"/>
      <c r="F279" s="281"/>
      <c r="G279" s="281"/>
      <c r="H279" s="386"/>
      <c r="I279" s="386"/>
      <c r="J279" s="386"/>
      <c r="K279" s="386"/>
      <c r="L279" s="379"/>
      <c r="M279" s="379"/>
      <c r="N279" s="379"/>
      <c r="O279" s="379"/>
      <c r="P279" s="379"/>
      <c r="Q279" s="379"/>
      <c r="R279" s="381"/>
      <c r="S279" s="379"/>
      <c r="T279" s="334"/>
      <c r="U279" s="334"/>
      <c r="V279" s="5"/>
    </row>
    <row r="280" spans="1:22" ht="15.6" x14ac:dyDescent="0.3">
      <c r="A280" s="175"/>
      <c r="B280" s="231"/>
      <c r="C280" s="231"/>
      <c r="D280" s="231"/>
      <c r="E280" s="231"/>
      <c r="F280" s="231"/>
      <c r="G280" s="231"/>
      <c r="H280" s="276"/>
      <c r="I280" s="276"/>
      <c r="J280" s="276"/>
      <c r="K280" s="276"/>
      <c r="L280" s="219"/>
      <c r="M280" s="219"/>
      <c r="N280" s="219"/>
      <c r="O280" s="219"/>
      <c r="P280" s="219"/>
      <c r="Q280" s="219"/>
      <c r="R280" s="220"/>
      <c r="S280" s="219"/>
      <c r="T280" s="177"/>
      <c r="U280" s="177"/>
      <c r="V280" s="5"/>
    </row>
    <row r="281" spans="1:22" ht="15.6" x14ac:dyDescent="0.3">
      <c r="A281" s="221"/>
      <c r="B281" s="230" t="s">
        <v>94</v>
      </c>
      <c r="C281" s="231"/>
      <c r="D281" s="231"/>
      <c r="E281" s="231"/>
      <c r="F281" s="236" t="s">
        <v>100</v>
      </c>
      <c r="G281" s="231"/>
      <c r="H281" s="230" t="s">
        <v>102</v>
      </c>
      <c r="I281" s="277"/>
      <c r="J281" s="277"/>
      <c r="K281" s="277"/>
      <c r="L281" s="188"/>
      <c r="M281" s="188"/>
      <c r="N281" s="188"/>
      <c r="O281" s="188"/>
      <c r="P281" s="188"/>
      <c r="Q281" s="188"/>
      <c r="R281" s="188"/>
      <c r="S281" s="188"/>
      <c r="T281" s="188"/>
      <c r="U281" s="188"/>
      <c r="V281" s="5"/>
    </row>
    <row r="282" spans="1:22" ht="15.6" x14ac:dyDescent="0.3">
      <c r="A282" s="221"/>
      <c r="B282" s="230" t="s">
        <v>95</v>
      </c>
      <c r="C282" s="230"/>
      <c r="D282" s="230"/>
      <c r="E282" s="230"/>
      <c r="F282" s="278" t="s">
        <v>154</v>
      </c>
      <c r="G282" s="230"/>
      <c r="H282" s="230" t="s">
        <v>158</v>
      </c>
      <c r="I282" s="277"/>
      <c r="J282" s="277"/>
      <c r="K282" s="277"/>
      <c r="L282" s="188"/>
      <c r="M282" s="188"/>
      <c r="N282" s="188"/>
      <c r="O282" s="188"/>
      <c r="P282" s="188"/>
      <c r="Q282" s="188"/>
      <c r="R282" s="188"/>
      <c r="S282" s="188"/>
      <c r="T282" s="188"/>
      <c r="U282" s="188"/>
      <c r="V282" s="5"/>
    </row>
    <row r="283" spans="1:22" ht="15.6" x14ac:dyDescent="0.3">
      <c r="A283" s="221"/>
      <c r="B283" s="230" t="s">
        <v>268</v>
      </c>
      <c r="C283" s="230"/>
      <c r="D283" s="230"/>
      <c r="E283" s="230"/>
      <c r="F283" s="278" t="s">
        <v>269</v>
      </c>
      <c r="G283" s="230"/>
      <c r="H283" s="230" t="s">
        <v>270</v>
      </c>
      <c r="I283" s="277"/>
      <c r="J283" s="277"/>
      <c r="K283" s="277"/>
      <c r="L283" s="188"/>
      <c r="M283" s="188"/>
      <c r="N283" s="188"/>
      <c r="O283" s="188"/>
      <c r="P283" s="188"/>
      <c r="Q283" s="188"/>
      <c r="R283" s="188"/>
      <c r="S283" s="188"/>
      <c r="T283" s="188"/>
      <c r="U283" s="188"/>
      <c r="V283" s="5"/>
    </row>
    <row r="284" spans="1:22" ht="15.6" x14ac:dyDescent="0.3">
      <c r="A284" s="221"/>
      <c r="B284" s="230" t="s">
        <v>96</v>
      </c>
      <c r="C284" s="230"/>
      <c r="D284" s="230"/>
      <c r="E284" s="230"/>
      <c r="F284" s="278" t="s">
        <v>153</v>
      </c>
      <c r="G284" s="230"/>
      <c r="H284" s="230" t="s">
        <v>159</v>
      </c>
      <c r="I284" s="277"/>
      <c r="J284" s="277"/>
      <c r="K284" s="277"/>
      <c r="L284" s="188"/>
      <c r="M284" s="188"/>
      <c r="N284" s="188"/>
      <c r="O284" s="188"/>
      <c r="P284" s="188"/>
      <c r="Q284" s="188"/>
      <c r="R284" s="188"/>
      <c r="S284" s="188"/>
      <c r="T284" s="188"/>
      <c r="U284" s="188"/>
      <c r="V284" s="5"/>
    </row>
    <row r="285" spans="1:22" ht="15.6" x14ac:dyDescent="0.3">
      <c r="A285" s="221"/>
      <c r="B285" s="230"/>
      <c r="C285" s="230"/>
      <c r="D285" s="230"/>
      <c r="E285" s="230"/>
      <c r="F285" s="230"/>
      <c r="G285" s="279"/>
      <c r="H285" s="277"/>
      <c r="I285" s="277"/>
      <c r="J285" s="277"/>
      <c r="K285" s="277"/>
      <c r="L285" s="188"/>
      <c r="M285" s="188"/>
      <c r="N285" s="188"/>
      <c r="O285" s="188"/>
      <c r="P285" s="188"/>
      <c r="Q285" s="188"/>
      <c r="R285" s="188"/>
      <c r="S285" s="188"/>
      <c r="T285" s="188"/>
      <c r="U285" s="188"/>
      <c r="V285" s="5"/>
    </row>
    <row r="286" spans="1:22" ht="15.6" x14ac:dyDescent="0.3">
      <c r="A286" s="221"/>
      <c r="B286" s="230"/>
      <c r="C286" s="230"/>
      <c r="D286" s="230"/>
      <c r="E286" s="230"/>
      <c r="F286" s="230"/>
      <c r="G286" s="279"/>
      <c r="H286" s="277"/>
      <c r="I286" s="277"/>
      <c r="J286" s="277"/>
      <c r="K286" s="277"/>
      <c r="L286" s="188"/>
      <c r="M286" s="188"/>
      <c r="N286" s="188"/>
      <c r="O286" s="188"/>
      <c r="P286" s="188"/>
      <c r="Q286" s="188"/>
      <c r="R286" s="188"/>
      <c r="S286" s="188"/>
      <c r="T286" s="188"/>
      <c r="U286" s="188"/>
      <c r="V286" s="5"/>
    </row>
    <row r="287" spans="1:22" ht="18" thickBot="1" x14ac:dyDescent="0.35">
      <c r="A287" s="221"/>
      <c r="B287" s="280" t="str">
        <f>B192</f>
        <v>PM11 INVESTOR REPORT QUARTER ENDING SEPTEMBER 2012</v>
      </c>
      <c r="C287" s="230"/>
      <c r="D287" s="230"/>
      <c r="E287" s="230"/>
      <c r="F287" s="230"/>
      <c r="G287" s="279"/>
      <c r="H287" s="277"/>
      <c r="I287" s="277"/>
      <c r="J287" s="277"/>
      <c r="K287" s="277"/>
      <c r="L287" s="188"/>
      <c r="M287" s="188"/>
      <c r="N287" s="188"/>
      <c r="O287" s="188"/>
      <c r="P287" s="188"/>
      <c r="Q287" s="188"/>
      <c r="R287" s="188"/>
      <c r="S287" s="188"/>
      <c r="T287" s="188"/>
      <c r="U287" s="188"/>
      <c r="V287" s="5"/>
    </row>
    <row r="288" spans="1:22" x14ac:dyDescent="0.25">
      <c r="A288" s="100"/>
      <c r="B288" s="100"/>
      <c r="C288" s="100"/>
      <c r="D288" s="100"/>
      <c r="E288" s="100"/>
      <c r="F288" s="100"/>
      <c r="G288" s="100"/>
      <c r="H288" s="100"/>
      <c r="I288" s="100"/>
      <c r="J288" s="100"/>
      <c r="K288" s="100"/>
      <c r="L288" s="100"/>
      <c r="M288" s="100"/>
      <c r="N288" s="100"/>
      <c r="O288" s="100"/>
      <c r="P288" s="100"/>
      <c r="Q288" s="100"/>
      <c r="R288" s="100"/>
      <c r="S288" s="100"/>
      <c r="T288" s="100"/>
      <c r="U288" s="100"/>
    </row>
  </sheetData>
  <hyperlinks>
    <hyperlink ref="N228" r:id="rId1" xr:uid="{00000000-0004-0000-1900-000000000000}"/>
    <hyperlink ref="J9" r:id="rId2" xr:uid="{00000000-0004-0000-1900-000001000000}"/>
  </hyperlinks>
  <printOptions horizontalCentered="1" verticalCentered="1"/>
  <pageMargins left="0.19685039370078741" right="0.19685039370078741" top="0.27559055118110237" bottom="0.27559055118110237" header="0" footer="0"/>
  <pageSetup scale="40" orientation="landscape" r:id="rId3"/>
  <headerFooter alignWithMargins="0"/>
  <rowBreaks count="3" manualBreakCount="3">
    <brk id="64" max="21" man="1"/>
    <brk id="132" max="14" man="1"/>
    <brk id="192" max="14" man="1"/>
  </rowBreaks>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89CB31"/>
  </sheetPr>
  <dimension ref="A1:X288"/>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08984375" style="1" customWidth="1"/>
    <col min="10" max="10" width="17.81640625" style="1" customWidth="1"/>
    <col min="11" max="11" width="2.1796875" style="1" customWidth="1"/>
    <col min="12" max="12" width="14.81640625" style="1" customWidth="1"/>
    <col min="13" max="13" width="2.1796875" style="1" customWidth="1"/>
    <col min="14" max="14" width="15.54296875" style="1" customWidth="1"/>
    <col min="15" max="15" width="2.08984375" style="1" customWidth="1"/>
    <col min="16" max="16" width="15.54296875" style="1" customWidth="1"/>
    <col min="17" max="18" width="12.81640625" style="1" customWidth="1"/>
    <col min="19" max="19" width="7.81640625" style="1" customWidth="1"/>
    <col min="20" max="20" width="14.81640625" style="1" customWidth="1"/>
    <col min="21" max="21" width="11.81640625" style="1" customWidth="1"/>
    <col min="22" max="16384" width="9.81640625" style="1"/>
  </cols>
  <sheetData>
    <row r="1" spans="1:22" ht="20.399999999999999" x14ac:dyDescent="0.35">
      <c r="A1" s="173"/>
      <c r="B1" s="228" t="s">
        <v>228</v>
      </c>
      <c r="C1" s="174"/>
      <c r="D1" s="174"/>
      <c r="E1" s="174"/>
      <c r="F1" s="174"/>
      <c r="G1" s="174"/>
      <c r="H1" s="174"/>
      <c r="I1" s="174"/>
      <c r="J1" s="174"/>
      <c r="K1" s="174"/>
      <c r="L1" s="174"/>
      <c r="M1" s="174"/>
      <c r="N1" s="174"/>
      <c r="O1" s="174"/>
      <c r="P1" s="174"/>
      <c r="Q1" s="174"/>
      <c r="R1" s="174"/>
      <c r="S1" s="174"/>
      <c r="T1" s="174"/>
      <c r="U1" s="174"/>
      <c r="V1" s="5"/>
    </row>
    <row r="2" spans="1:22" ht="15.6" x14ac:dyDescent="0.3">
      <c r="A2" s="175"/>
      <c r="B2" s="176"/>
      <c r="C2" s="177"/>
      <c r="D2" s="177"/>
      <c r="E2" s="177"/>
      <c r="F2" s="177"/>
      <c r="G2" s="177"/>
      <c r="H2" s="177"/>
      <c r="I2" s="177"/>
      <c r="J2" s="177"/>
      <c r="K2" s="177"/>
      <c r="L2" s="177"/>
      <c r="M2" s="177"/>
      <c r="N2" s="177"/>
      <c r="O2" s="177"/>
      <c r="P2" s="177"/>
      <c r="Q2" s="177"/>
      <c r="R2" s="177"/>
      <c r="S2" s="177"/>
      <c r="T2" s="177"/>
      <c r="U2" s="177"/>
      <c r="V2" s="5"/>
    </row>
    <row r="3" spans="1:22" ht="15.6" x14ac:dyDescent="0.3">
      <c r="A3" s="178"/>
      <c r="B3" s="179" t="s">
        <v>229</v>
      </c>
      <c r="C3" s="177"/>
      <c r="D3" s="177"/>
      <c r="E3" s="177"/>
      <c r="F3" s="177"/>
      <c r="G3" s="177"/>
      <c r="H3" s="177"/>
      <c r="I3" s="177"/>
      <c r="J3" s="177"/>
      <c r="K3" s="177"/>
      <c r="L3" s="177"/>
      <c r="M3" s="177"/>
      <c r="N3" s="177"/>
      <c r="O3" s="177"/>
      <c r="P3" s="177"/>
      <c r="Q3" s="177"/>
      <c r="R3" s="177"/>
      <c r="S3" s="177"/>
      <c r="T3" s="177"/>
      <c r="U3" s="177"/>
      <c r="V3" s="5"/>
    </row>
    <row r="4" spans="1:22" ht="15.6" x14ac:dyDescent="0.3">
      <c r="A4" s="175"/>
      <c r="B4" s="176"/>
      <c r="C4" s="177"/>
      <c r="D4" s="177"/>
      <c r="E4" s="177"/>
      <c r="F4" s="177"/>
      <c r="G4" s="177"/>
      <c r="H4" s="177"/>
      <c r="I4" s="177"/>
      <c r="J4" s="177"/>
      <c r="K4" s="177"/>
      <c r="L4" s="177"/>
      <c r="M4" s="177"/>
      <c r="N4" s="177"/>
      <c r="O4" s="177"/>
      <c r="P4" s="177"/>
      <c r="Q4" s="177"/>
      <c r="R4" s="177"/>
      <c r="S4" s="177"/>
      <c r="T4" s="177"/>
      <c r="U4" s="177"/>
      <c r="V4" s="5"/>
    </row>
    <row r="5" spans="1:22" ht="15.6" x14ac:dyDescent="0.3">
      <c r="A5" s="175"/>
      <c r="B5" s="229" t="s">
        <v>143</v>
      </c>
      <c r="C5" s="177"/>
      <c r="D5" s="177"/>
      <c r="E5" s="177"/>
      <c r="F5" s="177"/>
      <c r="G5" s="177"/>
      <c r="H5" s="177"/>
      <c r="I5" s="177"/>
      <c r="J5" s="177"/>
      <c r="K5" s="177"/>
      <c r="L5" s="177"/>
      <c r="M5" s="177"/>
      <c r="N5" s="177"/>
      <c r="O5" s="177"/>
      <c r="P5" s="177"/>
      <c r="Q5" s="177"/>
      <c r="R5" s="177"/>
      <c r="S5" s="177"/>
      <c r="T5" s="177"/>
      <c r="U5" s="177"/>
      <c r="V5" s="5"/>
    </row>
    <row r="6" spans="1:22" ht="15.6" x14ac:dyDescent="0.3">
      <c r="A6" s="175"/>
      <c r="B6" s="229" t="s">
        <v>145</v>
      </c>
      <c r="C6" s="177"/>
      <c r="D6" s="177"/>
      <c r="E6" s="177"/>
      <c r="F6" s="177"/>
      <c r="G6" s="177"/>
      <c r="H6" s="177"/>
      <c r="I6" s="177"/>
      <c r="J6" s="177"/>
      <c r="K6" s="177"/>
      <c r="L6" s="177"/>
      <c r="M6" s="177"/>
      <c r="N6" s="177"/>
      <c r="O6" s="177"/>
      <c r="P6" s="177"/>
      <c r="Q6" s="177"/>
      <c r="R6" s="177"/>
      <c r="S6" s="177"/>
      <c r="T6" s="177"/>
      <c r="U6" s="177"/>
      <c r="V6" s="5"/>
    </row>
    <row r="7" spans="1:22" ht="15.6" x14ac:dyDescent="0.3">
      <c r="A7" s="175"/>
      <c r="B7" s="229" t="s">
        <v>144</v>
      </c>
      <c r="C7" s="177"/>
      <c r="D7" s="177"/>
      <c r="E7" s="177"/>
      <c r="F7" s="177"/>
      <c r="G7" s="177"/>
      <c r="H7" s="177"/>
      <c r="I7" s="177"/>
      <c r="J7" s="177"/>
      <c r="K7" s="177"/>
      <c r="L7" s="177"/>
      <c r="M7" s="177"/>
      <c r="N7" s="177"/>
      <c r="O7" s="177"/>
      <c r="P7" s="177"/>
      <c r="Q7" s="177"/>
      <c r="R7" s="177"/>
      <c r="S7" s="177"/>
      <c r="T7" s="177"/>
      <c r="U7" s="177"/>
      <c r="V7" s="5"/>
    </row>
    <row r="8" spans="1:22" ht="15.6" x14ac:dyDescent="0.3">
      <c r="A8" s="175"/>
      <c r="B8" s="180"/>
      <c r="C8" s="177"/>
      <c r="D8" s="177"/>
      <c r="E8" s="177"/>
      <c r="F8" s="177"/>
      <c r="G8" s="177"/>
      <c r="H8" s="177"/>
      <c r="I8" s="177"/>
      <c r="J8" s="177"/>
      <c r="K8" s="177"/>
      <c r="L8" s="177"/>
      <c r="M8" s="177"/>
      <c r="N8" s="177"/>
      <c r="O8" s="177"/>
      <c r="P8" s="177"/>
      <c r="Q8" s="177"/>
      <c r="R8" s="177"/>
      <c r="S8" s="177"/>
      <c r="T8" s="177"/>
      <c r="U8" s="177"/>
      <c r="V8" s="5"/>
    </row>
    <row r="9" spans="1:22" ht="17.399999999999999" x14ac:dyDescent="0.3">
      <c r="A9" s="175"/>
      <c r="B9" s="181" t="s">
        <v>173</v>
      </c>
      <c r="C9" s="177"/>
      <c r="D9" s="177"/>
      <c r="E9" s="177"/>
      <c r="F9" s="177"/>
      <c r="G9" s="177"/>
      <c r="H9" s="177"/>
      <c r="I9" s="177"/>
      <c r="J9" s="182" t="s">
        <v>174</v>
      </c>
      <c r="K9" s="177"/>
      <c r="L9" s="182"/>
      <c r="M9" s="177"/>
      <c r="N9" s="177"/>
      <c r="O9" s="177"/>
      <c r="P9" s="177"/>
      <c r="Q9" s="177"/>
      <c r="R9" s="177"/>
      <c r="S9" s="177"/>
      <c r="T9" s="177"/>
      <c r="U9" s="177"/>
      <c r="V9" s="5"/>
    </row>
    <row r="10" spans="1:22" ht="15.6" x14ac:dyDescent="0.3">
      <c r="A10" s="175"/>
      <c r="B10" s="180"/>
      <c r="C10" s="183"/>
      <c r="D10" s="183"/>
      <c r="E10" s="183"/>
      <c r="F10" s="177"/>
      <c r="G10" s="177"/>
      <c r="H10" s="177"/>
      <c r="I10" s="177"/>
      <c r="J10" s="177"/>
      <c r="K10" s="177"/>
      <c r="L10" s="177"/>
      <c r="M10" s="177"/>
      <c r="N10" s="177"/>
      <c r="O10" s="177"/>
      <c r="P10" s="177"/>
      <c r="Q10" s="177"/>
      <c r="R10" s="177"/>
      <c r="S10" s="177"/>
      <c r="T10" s="177"/>
      <c r="U10" s="177"/>
      <c r="V10" s="5"/>
    </row>
    <row r="11" spans="1:22" ht="15.6" x14ac:dyDescent="0.3">
      <c r="A11" s="175"/>
      <c r="B11" s="230" t="s">
        <v>0</v>
      </c>
      <c r="C11" s="177"/>
      <c r="D11" s="177"/>
      <c r="E11" s="177"/>
      <c r="F11" s="177"/>
      <c r="G11" s="177"/>
      <c r="H11" s="177"/>
      <c r="I11" s="177"/>
      <c r="J11" s="177"/>
      <c r="K11" s="177"/>
      <c r="L11" s="177"/>
      <c r="M11" s="177"/>
      <c r="N11" s="177"/>
      <c r="O11" s="177"/>
      <c r="P11" s="177"/>
      <c r="Q11" s="177"/>
      <c r="R11" s="177"/>
      <c r="S11" s="177"/>
      <c r="T11" s="177"/>
      <c r="U11" s="177"/>
      <c r="V11" s="5"/>
    </row>
    <row r="12" spans="1:22" ht="16.2" thickBot="1" x14ac:dyDescent="0.35">
      <c r="A12" s="175"/>
      <c r="B12" s="183"/>
      <c r="C12" s="177"/>
      <c r="D12" s="177"/>
      <c r="E12" s="177"/>
      <c r="F12" s="177"/>
      <c r="G12" s="177"/>
      <c r="H12" s="177"/>
      <c r="I12" s="177"/>
      <c r="J12" s="177"/>
      <c r="K12" s="177"/>
      <c r="L12" s="177"/>
      <c r="M12" s="177"/>
      <c r="N12" s="177"/>
      <c r="O12" s="177"/>
      <c r="P12" s="177"/>
      <c r="Q12" s="177"/>
      <c r="R12" s="177"/>
      <c r="S12" s="177"/>
      <c r="T12" s="177"/>
      <c r="U12" s="177"/>
      <c r="V12" s="5"/>
    </row>
    <row r="13" spans="1:22" ht="15.6" x14ac:dyDescent="0.3">
      <c r="A13" s="173"/>
      <c r="B13" s="174"/>
      <c r="C13" s="174"/>
      <c r="D13" s="174"/>
      <c r="E13" s="174"/>
      <c r="F13" s="174"/>
      <c r="G13" s="174"/>
      <c r="H13" s="174"/>
      <c r="I13" s="174"/>
      <c r="J13" s="174"/>
      <c r="K13" s="174"/>
      <c r="L13" s="174"/>
      <c r="M13" s="174"/>
      <c r="N13" s="174"/>
      <c r="O13" s="174"/>
      <c r="P13" s="174"/>
      <c r="Q13" s="174"/>
      <c r="R13" s="174"/>
      <c r="S13" s="174"/>
      <c r="T13" s="174"/>
      <c r="U13" s="174"/>
      <c r="V13" s="5"/>
    </row>
    <row r="14" spans="1:22" ht="15.6" x14ac:dyDescent="0.3">
      <c r="A14" s="175"/>
      <c r="B14" s="230" t="s">
        <v>1</v>
      </c>
      <c r="C14" s="184"/>
      <c r="D14" s="184"/>
      <c r="E14" s="184"/>
      <c r="F14" s="184"/>
      <c r="G14" s="184"/>
      <c r="H14" s="184"/>
      <c r="I14" s="184"/>
      <c r="J14" s="184"/>
      <c r="K14" s="184"/>
      <c r="L14" s="184"/>
      <c r="M14" s="184"/>
      <c r="N14" s="184"/>
      <c r="O14" s="184"/>
      <c r="P14" s="231"/>
      <c r="Q14" s="231"/>
      <c r="R14" s="231"/>
      <c r="S14" s="231"/>
      <c r="T14" s="233" t="s">
        <v>230</v>
      </c>
      <c r="U14" s="184"/>
      <c r="V14" s="5"/>
    </row>
    <row r="15" spans="1:22" ht="15.6" x14ac:dyDescent="0.3">
      <c r="A15" s="175"/>
      <c r="B15" s="230" t="s">
        <v>2</v>
      </c>
      <c r="C15" s="184"/>
      <c r="D15" s="184"/>
      <c r="E15" s="184"/>
      <c r="F15" s="184"/>
      <c r="G15" s="184"/>
      <c r="H15" s="185"/>
      <c r="I15" s="185"/>
      <c r="J15" s="185"/>
      <c r="K15" s="185"/>
      <c r="L15" s="185"/>
      <c r="M15" s="185"/>
      <c r="N15" s="185"/>
      <c r="O15" s="185"/>
      <c r="P15" s="234" t="s">
        <v>107</v>
      </c>
      <c r="Q15" s="235">
        <v>0.40749999999999997</v>
      </c>
      <c r="R15" s="236" t="s">
        <v>146</v>
      </c>
      <c r="S15" s="235">
        <v>0.59250000000000003</v>
      </c>
      <c r="T15" s="233"/>
      <c r="U15" s="184"/>
      <c r="V15" s="5"/>
    </row>
    <row r="16" spans="1:22" ht="15.6" x14ac:dyDescent="0.3">
      <c r="A16" s="175"/>
      <c r="B16" s="230" t="s">
        <v>3</v>
      </c>
      <c r="C16" s="184"/>
      <c r="D16" s="184"/>
      <c r="E16" s="184"/>
      <c r="F16" s="184"/>
      <c r="G16" s="184"/>
      <c r="H16" s="185"/>
      <c r="I16" s="185"/>
      <c r="J16" s="185"/>
      <c r="K16" s="185"/>
      <c r="L16" s="185"/>
      <c r="M16" s="185"/>
      <c r="N16" s="185"/>
      <c r="O16" s="185"/>
      <c r="P16" s="234" t="s">
        <v>107</v>
      </c>
      <c r="Q16" s="235">
        <v>0.45190000000000002</v>
      </c>
      <c r="R16" s="236" t="s">
        <v>146</v>
      </c>
      <c r="S16" s="235">
        <v>0.54810000000000003</v>
      </c>
      <c r="T16" s="233"/>
      <c r="U16" s="184"/>
      <c r="V16" s="5"/>
    </row>
    <row r="17" spans="1:22" ht="15.6" x14ac:dyDescent="0.3">
      <c r="A17" s="175"/>
      <c r="B17" s="230" t="s">
        <v>4</v>
      </c>
      <c r="C17" s="184"/>
      <c r="D17" s="184"/>
      <c r="E17" s="184"/>
      <c r="F17" s="184"/>
      <c r="G17" s="184"/>
      <c r="H17" s="184"/>
      <c r="I17" s="184"/>
      <c r="J17" s="184"/>
      <c r="K17" s="184"/>
      <c r="L17" s="184"/>
      <c r="M17" s="184"/>
      <c r="N17" s="184"/>
      <c r="O17" s="184"/>
      <c r="P17" s="231"/>
      <c r="Q17" s="231"/>
      <c r="R17" s="231"/>
      <c r="S17" s="231"/>
      <c r="T17" s="237">
        <v>38799</v>
      </c>
      <c r="U17" s="184"/>
      <c r="V17" s="5"/>
    </row>
    <row r="18" spans="1:22" ht="15.6" x14ac:dyDescent="0.3">
      <c r="A18" s="175"/>
      <c r="B18" s="230" t="s">
        <v>5</v>
      </c>
      <c r="C18" s="184"/>
      <c r="D18" s="184"/>
      <c r="E18" s="184"/>
      <c r="F18" s="184"/>
      <c r="G18" s="184"/>
      <c r="H18" s="184"/>
      <c r="I18" s="184"/>
      <c r="J18" s="184"/>
      <c r="K18" s="184"/>
      <c r="L18" s="184"/>
      <c r="M18" s="184"/>
      <c r="N18" s="184"/>
      <c r="O18" s="184"/>
      <c r="P18" s="231"/>
      <c r="Q18" s="231"/>
      <c r="R18" s="231"/>
      <c r="S18" s="231"/>
      <c r="T18" s="237">
        <v>41296</v>
      </c>
      <c r="U18" s="184"/>
      <c r="V18" s="5"/>
    </row>
    <row r="19" spans="1:22" ht="15.6" x14ac:dyDescent="0.3">
      <c r="A19" s="175"/>
      <c r="B19" s="177"/>
      <c r="C19" s="177"/>
      <c r="D19" s="177"/>
      <c r="E19" s="177"/>
      <c r="F19" s="177"/>
      <c r="G19" s="177"/>
      <c r="H19" s="177"/>
      <c r="I19" s="177"/>
      <c r="J19" s="177"/>
      <c r="K19" s="177"/>
      <c r="L19" s="177"/>
      <c r="M19" s="177"/>
      <c r="N19" s="177"/>
      <c r="O19" s="177"/>
      <c r="P19" s="177"/>
      <c r="Q19" s="177"/>
      <c r="R19" s="177"/>
      <c r="S19" s="177"/>
      <c r="T19" s="186"/>
      <c r="U19" s="177"/>
      <c r="V19" s="5"/>
    </row>
    <row r="20" spans="1:22" ht="15.6" x14ac:dyDescent="0.3">
      <c r="A20" s="175"/>
      <c r="B20" s="232" t="s">
        <v>6</v>
      </c>
      <c r="C20" s="177"/>
      <c r="D20" s="177"/>
      <c r="E20" s="177"/>
      <c r="F20" s="177"/>
      <c r="G20" s="177"/>
      <c r="H20" s="177"/>
      <c r="I20" s="177"/>
      <c r="J20" s="177"/>
      <c r="K20" s="177"/>
      <c r="L20" s="177"/>
      <c r="M20" s="177"/>
      <c r="N20" s="177"/>
      <c r="O20" s="177"/>
      <c r="P20" s="177"/>
      <c r="Q20" s="177"/>
      <c r="R20" s="238" t="s">
        <v>108</v>
      </c>
      <c r="S20" s="177"/>
      <c r="T20" s="188"/>
      <c r="U20" s="177"/>
      <c r="V20" s="5"/>
    </row>
    <row r="21" spans="1:22" ht="15.6" x14ac:dyDescent="0.3">
      <c r="A21" s="175"/>
      <c r="B21" s="177"/>
      <c r="C21" s="177"/>
      <c r="D21" s="177"/>
      <c r="E21" s="177"/>
      <c r="F21" s="177"/>
      <c r="G21" s="177"/>
      <c r="H21" s="177"/>
      <c r="I21" s="177"/>
      <c r="J21" s="177"/>
      <c r="K21" s="177"/>
      <c r="L21" s="177"/>
      <c r="M21" s="177"/>
      <c r="N21" s="177"/>
      <c r="O21" s="177"/>
      <c r="P21" s="177"/>
      <c r="Q21" s="177"/>
      <c r="R21" s="177"/>
      <c r="S21" s="177"/>
      <c r="T21" s="189"/>
      <c r="U21" s="177"/>
      <c r="V21" s="5"/>
    </row>
    <row r="22" spans="1:22" ht="15.6" x14ac:dyDescent="0.3">
      <c r="A22" s="222"/>
      <c r="B22" s="223"/>
      <c r="C22" s="224"/>
      <c r="D22" s="224" t="s">
        <v>184</v>
      </c>
      <c r="E22" s="224"/>
      <c r="F22" s="224" t="s">
        <v>185</v>
      </c>
      <c r="G22" s="224"/>
      <c r="H22" s="224" t="s">
        <v>186</v>
      </c>
      <c r="I22" s="224"/>
      <c r="J22" s="224" t="s">
        <v>187</v>
      </c>
      <c r="K22" s="224"/>
      <c r="L22" s="224" t="s">
        <v>188</v>
      </c>
      <c r="M22" s="224"/>
      <c r="N22" s="224" t="s">
        <v>189</v>
      </c>
      <c r="O22" s="224"/>
      <c r="P22" s="224"/>
      <c r="Q22" s="226"/>
      <c r="R22" s="226"/>
      <c r="S22" s="227"/>
      <c r="T22" s="227"/>
      <c r="U22" s="223"/>
      <c r="V22" s="5"/>
    </row>
    <row r="23" spans="1:22" ht="15.6" x14ac:dyDescent="0.3">
      <c r="A23" s="190"/>
      <c r="B23" s="239" t="s">
        <v>7</v>
      </c>
      <c r="C23" s="240"/>
      <c r="D23" s="240" t="s">
        <v>222</v>
      </c>
      <c r="E23" s="240"/>
      <c r="F23" s="240" t="s">
        <v>147</v>
      </c>
      <c r="G23" s="240"/>
      <c r="H23" s="240" t="s">
        <v>147</v>
      </c>
      <c r="I23" s="240"/>
      <c r="J23" s="240" t="s">
        <v>190</v>
      </c>
      <c r="K23" s="240"/>
      <c r="L23" s="240" t="s">
        <v>190</v>
      </c>
      <c r="M23" s="240"/>
      <c r="N23" s="240" t="s">
        <v>148</v>
      </c>
      <c r="O23" s="240"/>
      <c r="P23" s="240"/>
      <c r="Q23" s="240"/>
      <c r="R23" s="240"/>
      <c r="S23" s="241"/>
      <c r="T23" s="241"/>
      <c r="U23" s="239"/>
      <c r="V23" s="5"/>
    </row>
    <row r="24" spans="1:22" ht="15.6" x14ac:dyDescent="0.3">
      <c r="A24" s="284"/>
      <c r="B24" s="285" t="s">
        <v>8</v>
      </c>
      <c r="C24" s="286"/>
      <c r="D24" s="286" t="s">
        <v>223</v>
      </c>
      <c r="E24" s="286"/>
      <c r="F24" s="286" t="s">
        <v>149</v>
      </c>
      <c r="G24" s="286"/>
      <c r="H24" s="286" t="s">
        <v>149</v>
      </c>
      <c r="I24" s="286"/>
      <c r="J24" s="286" t="s">
        <v>172</v>
      </c>
      <c r="K24" s="286"/>
      <c r="L24" s="286" t="s">
        <v>172</v>
      </c>
      <c r="M24" s="286"/>
      <c r="N24" s="286" t="s">
        <v>150</v>
      </c>
      <c r="O24" s="286"/>
      <c r="P24" s="286"/>
      <c r="Q24" s="286"/>
      <c r="R24" s="286"/>
      <c r="S24" s="287"/>
      <c r="T24" s="287"/>
      <c r="U24" s="288"/>
      <c r="V24" s="5"/>
    </row>
    <row r="25" spans="1:22" ht="15.6" x14ac:dyDescent="0.3">
      <c r="A25" s="289"/>
      <c r="B25" s="285" t="s">
        <v>198</v>
      </c>
      <c r="C25" s="394"/>
      <c r="D25" s="286" t="s">
        <v>224</v>
      </c>
      <c r="E25" s="286"/>
      <c r="F25" s="286" t="s">
        <v>149</v>
      </c>
      <c r="G25" s="286"/>
      <c r="H25" s="286" t="s">
        <v>149</v>
      </c>
      <c r="I25" s="286"/>
      <c r="J25" s="286" t="s">
        <v>172</v>
      </c>
      <c r="K25" s="286"/>
      <c r="L25" s="286" t="s">
        <v>172</v>
      </c>
      <c r="M25" s="286"/>
      <c r="N25" s="286" t="s">
        <v>150</v>
      </c>
      <c r="O25" s="286"/>
      <c r="P25" s="286"/>
      <c r="Q25" s="394"/>
      <c r="R25" s="286"/>
      <c r="S25" s="287"/>
      <c r="T25" s="287"/>
      <c r="U25" s="288"/>
      <c r="V25" s="5"/>
    </row>
    <row r="26" spans="1:22" ht="15.6" x14ac:dyDescent="0.3">
      <c r="A26" s="289"/>
      <c r="B26" s="292" t="s">
        <v>9</v>
      </c>
      <c r="C26" s="394"/>
      <c r="D26" s="394" t="s">
        <v>306</v>
      </c>
      <c r="E26" s="394"/>
      <c r="F26" s="394" t="s">
        <v>147</v>
      </c>
      <c r="G26" s="394"/>
      <c r="H26" s="394" t="s">
        <v>147</v>
      </c>
      <c r="I26" s="394"/>
      <c r="J26" s="394" t="s">
        <v>190</v>
      </c>
      <c r="K26" s="394"/>
      <c r="L26" s="394" t="s">
        <v>190</v>
      </c>
      <c r="M26" s="394"/>
      <c r="N26" s="394" t="s">
        <v>148</v>
      </c>
      <c r="O26" s="394"/>
      <c r="P26" s="394"/>
      <c r="Q26" s="394"/>
      <c r="R26" s="286"/>
      <c r="S26" s="287"/>
      <c r="T26" s="287"/>
      <c r="U26" s="288"/>
      <c r="V26" s="5"/>
    </row>
    <row r="27" spans="1:22" ht="15.6" x14ac:dyDescent="0.3">
      <c r="A27" s="284"/>
      <c r="B27" s="292" t="s">
        <v>199</v>
      </c>
      <c r="C27" s="286"/>
      <c r="D27" s="394" t="s">
        <v>307</v>
      </c>
      <c r="E27" s="394"/>
      <c r="F27" s="394" t="s">
        <v>172</v>
      </c>
      <c r="G27" s="394"/>
      <c r="H27" s="394" t="s">
        <v>172</v>
      </c>
      <c r="I27" s="394"/>
      <c r="J27" s="394" t="s">
        <v>150</v>
      </c>
      <c r="K27" s="394"/>
      <c r="L27" s="394" t="s">
        <v>150</v>
      </c>
      <c r="M27" s="394"/>
      <c r="N27" s="394" t="s">
        <v>308</v>
      </c>
      <c r="O27" s="394"/>
      <c r="P27" s="394"/>
      <c r="Q27" s="286"/>
      <c r="R27" s="293"/>
      <c r="S27" s="287"/>
      <c r="T27" s="287"/>
      <c r="U27" s="288"/>
      <c r="V27" s="5"/>
    </row>
    <row r="28" spans="1:22" ht="15.6" x14ac:dyDescent="0.3">
      <c r="A28" s="284"/>
      <c r="B28" s="292" t="s">
        <v>200</v>
      </c>
      <c r="C28" s="286"/>
      <c r="D28" s="394" t="s">
        <v>302</v>
      </c>
      <c r="E28" s="394"/>
      <c r="F28" s="394" t="s">
        <v>149</v>
      </c>
      <c r="G28" s="394"/>
      <c r="H28" s="394" t="s">
        <v>149</v>
      </c>
      <c r="I28" s="394"/>
      <c r="J28" s="394" t="s">
        <v>172</v>
      </c>
      <c r="K28" s="394"/>
      <c r="L28" s="394" t="s">
        <v>172</v>
      </c>
      <c r="M28" s="394"/>
      <c r="N28" s="394" t="s">
        <v>150</v>
      </c>
      <c r="O28" s="394"/>
      <c r="P28" s="394"/>
      <c r="Q28" s="286"/>
      <c r="R28" s="293"/>
      <c r="S28" s="287"/>
      <c r="T28" s="287"/>
      <c r="U28" s="288"/>
      <c r="V28" s="5"/>
    </row>
    <row r="29" spans="1:22" ht="15.6" x14ac:dyDescent="0.3">
      <c r="A29" s="284"/>
      <c r="B29" s="285" t="s">
        <v>10</v>
      </c>
      <c r="C29" s="295"/>
      <c r="D29" s="286" t="s">
        <v>237</v>
      </c>
      <c r="E29" s="286"/>
      <c r="F29" s="293" t="s">
        <v>238</v>
      </c>
      <c r="G29" s="286"/>
      <c r="H29" s="286" t="s">
        <v>239</v>
      </c>
      <c r="I29" s="286"/>
      <c r="J29" s="286" t="s">
        <v>240</v>
      </c>
      <c r="K29" s="286"/>
      <c r="L29" s="286" t="s">
        <v>241</v>
      </c>
      <c r="M29" s="286"/>
      <c r="N29" s="286" t="s">
        <v>242</v>
      </c>
      <c r="O29" s="286"/>
      <c r="P29" s="286"/>
      <c r="Q29" s="296"/>
      <c r="R29" s="296"/>
      <c r="S29" s="297"/>
      <c r="T29" s="296"/>
      <c r="U29" s="298"/>
      <c r="V29" s="5"/>
    </row>
    <row r="30" spans="1:22" ht="15.6" x14ac:dyDescent="0.3">
      <c r="A30" s="284"/>
      <c r="B30" s="285" t="s">
        <v>10</v>
      </c>
      <c r="C30" s="295"/>
      <c r="D30" s="286" t="s">
        <v>236</v>
      </c>
      <c r="E30" s="286"/>
      <c r="F30" s="293" t="s">
        <v>124</v>
      </c>
      <c r="G30" s="286"/>
      <c r="H30" s="286" t="s">
        <v>124</v>
      </c>
      <c r="I30" s="286"/>
      <c r="J30" s="286" t="s">
        <v>124</v>
      </c>
      <c r="K30" s="286"/>
      <c r="L30" s="286" t="s">
        <v>124</v>
      </c>
      <c r="M30" s="286"/>
      <c r="N30" s="286" t="s">
        <v>124</v>
      </c>
      <c r="O30" s="286"/>
      <c r="P30" s="286"/>
      <c r="Q30" s="296"/>
      <c r="R30" s="296"/>
      <c r="S30" s="297"/>
      <c r="T30" s="296"/>
      <c r="U30" s="298"/>
      <c r="V30" s="5"/>
    </row>
    <row r="31" spans="1:22" ht="15.6" x14ac:dyDescent="0.3">
      <c r="A31" s="289"/>
      <c r="B31" s="285" t="s">
        <v>139</v>
      </c>
      <c r="C31" s="299"/>
      <c r="D31" s="300">
        <v>985000</v>
      </c>
      <c r="E31" s="295"/>
      <c r="F31" s="296">
        <v>149500</v>
      </c>
      <c r="G31" s="296"/>
      <c r="H31" s="301">
        <v>219700</v>
      </c>
      <c r="I31" s="296"/>
      <c r="J31" s="296">
        <v>16000</v>
      </c>
      <c r="K31" s="296"/>
      <c r="L31" s="301">
        <v>82400</v>
      </c>
      <c r="M31" s="296"/>
      <c r="N31" s="301">
        <v>87500</v>
      </c>
      <c r="O31" s="296"/>
      <c r="P31" s="301"/>
      <c r="Q31" s="302"/>
      <c r="R31" s="302"/>
      <c r="S31" s="303"/>
      <c r="T31" s="302"/>
      <c r="U31" s="298"/>
      <c r="V31" s="5"/>
    </row>
    <row r="32" spans="1:22" ht="15.6" x14ac:dyDescent="0.3">
      <c r="A32" s="284"/>
      <c r="B32" s="285" t="s">
        <v>138</v>
      </c>
      <c r="C32" s="295"/>
      <c r="D32" s="300">
        <f>D38*D31</f>
        <v>479033.47399999999</v>
      </c>
      <c r="E32" s="295"/>
      <c r="F32" s="296">
        <f>F38*F31</f>
        <v>72706.24530000001</v>
      </c>
      <c r="G32" s="296"/>
      <c r="H32" s="301">
        <f>H38*H31</f>
        <v>106846.56918000001</v>
      </c>
      <c r="I32" s="296"/>
      <c r="J32" s="296">
        <f>+J31</f>
        <v>16000</v>
      </c>
      <c r="K32" s="296"/>
      <c r="L32" s="301">
        <f>+L31</f>
        <v>82400</v>
      </c>
      <c r="M32" s="296"/>
      <c r="N32" s="301">
        <f>+N31</f>
        <v>87500</v>
      </c>
      <c r="O32" s="296"/>
      <c r="P32" s="301"/>
      <c r="Q32" s="296"/>
      <c r="R32" s="296"/>
      <c r="S32" s="297"/>
      <c r="T32" s="296"/>
      <c r="U32" s="298"/>
      <c r="V32" s="5"/>
    </row>
    <row r="33" spans="1:22" ht="15.6" x14ac:dyDescent="0.3">
      <c r="A33" s="284"/>
      <c r="B33" s="292" t="s">
        <v>140</v>
      </c>
      <c r="C33" s="295"/>
      <c r="D33" s="304">
        <f>D37*D31</f>
        <v>474155.45849999995</v>
      </c>
      <c r="E33" s="299"/>
      <c r="F33" s="302">
        <f>F37*F31</f>
        <v>71965.891400000008</v>
      </c>
      <c r="G33" s="302"/>
      <c r="H33" s="305">
        <f>H31*H37</f>
        <v>105758.57084</v>
      </c>
      <c r="I33" s="302"/>
      <c r="J33" s="302">
        <f>J31*J37</f>
        <v>16000</v>
      </c>
      <c r="K33" s="302"/>
      <c r="L33" s="305">
        <f>L31*L37</f>
        <v>82400</v>
      </c>
      <c r="M33" s="302"/>
      <c r="N33" s="305">
        <f>N31*N37</f>
        <v>87500</v>
      </c>
      <c r="O33" s="302"/>
      <c r="P33" s="305"/>
      <c r="Q33" s="296"/>
      <c r="R33" s="296"/>
      <c r="S33" s="297"/>
      <c r="T33" s="296"/>
      <c r="U33" s="298"/>
      <c r="V33" s="5"/>
    </row>
    <row r="34" spans="1:22" ht="15.6" x14ac:dyDescent="0.3">
      <c r="A34" s="289"/>
      <c r="B34" s="285" t="s">
        <v>283</v>
      </c>
      <c r="C34" s="299"/>
      <c r="D34" s="296">
        <v>567282</v>
      </c>
      <c r="E34" s="295"/>
      <c r="F34" s="296">
        <v>149500</v>
      </c>
      <c r="G34" s="296"/>
      <c r="H34" s="296">
        <v>150716</v>
      </c>
      <c r="I34" s="296"/>
      <c r="J34" s="296">
        <v>16000</v>
      </c>
      <c r="K34" s="296"/>
      <c r="L34" s="296">
        <v>56527</v>
      </c>
      <c r="M34" s="296"/>
      <c r="N34" s="296">
        <v>60025</v>
      </c>
      <c r="O34" s="296"/>
      <c r="P34" s="296"/>
      <c r="Q34" s="302"/>
      <c r="R34" s="302"/>
      <c r="S34" s="303"/>
      <c r="T34" s="296">
        <f>SUM(C34:P34)</f>
        <v>1000050</v>
      </c>
      <c r="U34" s="298"/>
      <c r="V34" s="5"/>
    </row>
    <row r="35" spans="1:22" ht="15.6" x14ac:dyDescent="0.3">
      <c r="A35" s="289"/>
      <c r="B35" s="285" t="s">
        <v>284</v>
      </c>
      <c r="C35" s="299"/>
      <c r="D35" s="296">
        <f>D38*D34</f>
        <v>275885.34740879998</v>
      </c>
      <c r="E35" s="295"/>
      <c r="F35" s="296">
        <f>F38*F34</f>
        <v>72706.24530000001</v>
      </c>
      <c r="G35" s="296"/>
      <c r="H35" s="296">
        <f>H38*H34</f>
        <v>73297.621850399999</v>
      </c>
      <c r="I35" s="296"/>
      <c r="J35" s="296">
        <f>+J34</f>
        <v>16000</v>
      </c>
      <c r="K35" s="296"/>
      <c r="L35" s="296">
        <f>+L34</f>
        <v>56527</v>
      </c>
      <c r="M35" s="296"/>
      <c r="N35" s="296">
        <f>+N34</f>
        <v>60025</v>
      </c>
      <c r="O35" s="296"/>
      <c r="P35" s="296"/>
      <c r="Q35" s="296"/>
      <c r="R35" s="296"/>
      <c r="S35" s="297"/>
      <c r="T35" s="296">
        <f>SUM(C35:P35)+1</f>
        <v>554442.21455919999</v>
      </c>
      <c r="U35" s="298"/>
      <c r="V35" s="5"/>
    </row>
    <row r="36" spans="1:22" ht="15.6" x14ac:dyDescent="0.3">
      <c r="A36" s="289"/>
      <c r="B36" s="292" t="s">
        <v>285</v>
      </c>
      <c r="C36" s="299"/>
      <c r="D36" s="302">
        <f>D37*D34</f>
        <v>273075.99676020001</v>
      </c>
      <c r="E36" s="299"/>
      <c r="F36" s="302">
        <f>F37*F34</f>
        <v>71965.891400000008</v>
      </c>
      <c r="G36" s="302"/>
      <c r="H36" s="302">
        <f>H37*H34</f>
        <v>72551.246075200004</v>
      </c>
      <c r="I36" s="302"/>
      <c r="J36" s="302">
        <f>+J34</f>
        <v>16000</v>
      </c>
      <c r="K36" s="302"/>
      <c r="L36" s="302">
        <f>+L34</f>
        <v>56527</v>
      </c>
      <c r="M36" s="302"/>
      <c r="N36" s="302">
        <f>+N34</f>
        <v>60025</v>
      </c>
      <c r="O36" s="302"/>
      <c r="P36" s="302"/>
      <c r="Q36" s="327"/>
      <c r="R36" s="327"/>
      <c r="S36" s="297"/>
      <c r="T36" s="302">
        <f>SUM(C36:P36)+1</f>
        <v>550146.13423540001</v>
      </c>
      <c r="U36" s="298"/>
      <c r="V36" s="5"/>
    </row>
    <row r="37" spans="1:22" ht="15.6" x14ac:dyDescent="0.3">
      <c r="A37" s="284"/>
      <c r="B37" s="310" t="s">
        <v>136</v>
      </c>
      <c r="C37" s="311"/>
      <c r="D37" s="312">
        <v>0.48137609999999997</v>
      </c>
      <c r="E37" s="313"/>
      <c r="F37" s="312">
        <v>0.48137720000000001</v>
      </c>
      <c r="G37" s="314"/>
      <c r="H37" s="312">
        <v>0.48137720000000001</v>
      </c>
      <c r="I37" s="314"/>
      <c r="J37" s="312">
        <v>1</v>
      </c>
      <c r="K37" s="314"/>
      <c r="L37" s="312">
        <v>1</v>
      </c>
      <c r="M37" s="314"/>
      <c r="N37" s="312">
        <v>1</v>
      </c>
      <c r="O37" s="314"/>
      <c r="P37" s="314"/>
      <c r="Q37" s="315"/>
      <c r="R37" s="315"/>
      <c r="S37" s="316"/>
      <c r="T37" s="316"/>
      <c r="U37" s="317"/>
      <c r="V37" s="5"/>
    </row>
    <row r="38" spans="1:22" ht="15.6" x14ac:dyDescent="0.3">
      <c r="A38" s="284"/>
      <c r="B38" s="310" t="s">
        <v>137</v>
      </c>
      <c r="C38" s="311"/>
      <c r="D38" s="312">
        <v>0.48632839999999999</v>
      </c>
      <c r="E38" s="313"/>
      <c r="F38" s="312">
        <v>0.48632940000000002</v>
      </c>
      <c r="G38" s="314"/>
      <c r="H38" s="312">
        <v>0.48632940000000002</v>
      </c>
      <c r="I38" s="314"/>
      <c r="J38" s="312">
        <v>1</v>
      </c>
      <c r="K38" s="312"/>
      <c r="L38" s="312">
        <v>1</v>
      </c>
      <c r="M38" s="312"/>
      <c r="N38" s="312">
        <v>1</v>
      </c>
      <c r="O38" s="314"/>
      <c r="P38" s="314"/>
      <c r="Q38" s="318"/>
      <c r="R38" s="319"/>
      <c r="S38" s="316"/>
      <c r="T38" s="318"/>
      <c r="U38" s="317"/>
      <c r="V38" s="5"/>
    </row>
    <row r="39" spans="1:22" ht="15.6" x14ac:dyDescent="0.3">
      <c r="A39" s="284"/>
      <c r="B39" s="285" t="s">
        <v>11</v>
      </c>
      <c r="C39" s="285"/>
      <c r="D39" s="293" t="s">
        <v>275</v>
      </c>
      <c r="E39" s="285"/>
      <c r="F39" s="293" t="s">
        <v>232</v>
      </c>
      <c r="G39" s="293"/>
      <c r="H39" s="293" t="s">
        <v>232</v>
      </c>
      <c r="I39" s="293"/>
      <c r="J39" s="293" t="s">
        <v>234</v>
      </c>
      <c r="K39" s="293"/>
      <c r="L39" s="293" t="s">
        <v>234</v>
      </c>
      <c r="M39" s="293"/>
      <c r="N39" s="293" t="s">
        <v>235</v>
      </c>
      <c r="O39" s="293"/>
      <c r="P39" s="293"/>
      <c r="Q39" s="320"/>
      <c r="R39" s="321"/>
      <c r="S39" s="287"/>
      <c r="T39" s="287"/>
      <c r="U39" s="288"/>
      <c r="V39" s="5"/>
    </row>
    <row r="40" spans="1:22" ht="15.6" x14ac:dyDescent="0.3">
      <c r="A40" s="284"/>
      <c r="B40" s="285" t="s">
        <v>12</v>
      </c>
      <c r="C40" s="285"/>
      <c r="D40" s="321">
        <v>3.0899999999999999E-3</v>
      </c>
      <c r="E40" s="285"/>
      <c r="F40" s="321">
        <v>7.7875000000000002E-3</v>
      </c>
      <c r="G40" s="320"/>
      <c r="H40" s="321">
        <v>4.4999999999999997E-3</v>
      </c>
      <c r="I40" s="320"/>
      <c r="J40" s="321">
        <v>1.01875E-2</v>
      </c>
      <c r="K40" s="320"/>
      <c r="L40" s="321">
        <v>6.8999999999999999E-3</v>
      </c>
      <c r="M40" s="320"/>
      <c r="N40" s="321">
        <v>1.11E-2</v>
      </c>
      <c r="O40" s="320"/>
      <c r="P40" s="321"/>
      <c r="Q40" s="320"/>
      <c r="R40" s="321"/>
      <c r="S40" s="287"/>
      <c r="T40" s="293"/>
      <c r="U40" s="288"/>
      <c r="V40" s="5"/>
    </row>
    <row r="41" spans="1:22" ht="15.6" x14ac:dyDescent="0.3">
      <c r="A41" s="284"/>
      <c r="B41" s="285" t="s">
        <v>13</v>
      </c>
      <c r="C41" s="285"/>
      <c r="D41" s="321">
        <v>3.2074999999999998E-3</v>
      </c>
      <c r="E41" s="285"/>
      <c r="F41" s="321">
        <v>1.06838E-2</v>
      </c>
      <c r="G41" s="320"/>
      <c r="H41" s="321">
        <v>7.3699999999999998E-3</v>
      </c>
      <c r="I41" s="320"/>
      <c r="J41" s="321">
        <v>1.30838E-2</v>
      </c>
      <c r="K41" s="320"/>
      <c r="L41" s="321">
        <v>9.7699999999999992E-3</v>
      </c>
      <c r="M41" s="320"/>
      <c r="N41" s="321">
        <v>1.397E-2</v>
      </c>
      <c r="O41" s="320"/>
      <c r="P41" s="321"/>
      <c r="Q41" s="320"/>
      <c r="R41" s="321"/>
      <c r="S41" s="287"/>
      <c r="T41" s="320" t="s">
        <v>201</v>
      </c>
      <c r="U41" s="288"/>
      <c r="V41" s="5"/>
    </row>
    <row r="42" spans="1:22" ht="15.6" x14ac:dyDescent="0.3">
      <c r="A42" s="284"/>
      <c r="B42" s="285" t="s">
        <v>286</v>
      </c>
      <c r="C42" s="285"/>
      <c r="D42" s="293" t="s">
        <v>231</v>
      </c>
      <c r="E42" s="285"/>
      <c r="F42" s="293" t="s">
        <v>232</v>
      </c>
      <c r="G42" s="293"/>
      <c r="H42" s="293" t="s">
        <v>232</v>
      </c>
      <c r="I42" s="293"/>
      <c r="J42" s="293" t="s">
        <v>234</v>
      </c>
      <c r="K42" s="293"/>
      <c r="L42" s="293" t="s">
        <v>245</v>
      </c>
      <c r="M42" s="293"/>
      <c r="N42" s="293" t="s">
        <v>247</v>
      </c>
      <c r="O42" s="293"/>
      <c r="P42" s="293"/>
      <c r="Q42" s="320"/>
      <c r="R42" s="321"/>
      <c r="S42" s="287"/>
      <c r="T42" s="287"/>
      <c r="U42" s="288"/>
      <c r="V42" s="5"/>
    </row>
    <row r="43" spans="1:22" ht="15.6" x14ac:dyDescent="0.3">
      <c r="A43" s="284"/>
      <c r="B43" s="285" t="s">
        <v>287</v>
      </c>
      <c r="C43" s="322"/>
      <c r="D43" s="321">
        <v>6.6236999999999997E-3</v>
      </c>
      <c r="E43" s="321"/>
      <c r="F43" s="321">
        <f>+F40</f>
        <v>7.7875000000000002E-3</v>
      </c>
      <c r="G43" s="321"/>
      <c r="H43" s="321">
        <v>7.7834999999999996E-3</v>
      </c>
      <c r="I43" s="321"/>
      <c r="J43" s="321">
        <f>+J40</f>
        <v>1.01875E-2</v>
      </c>
      <c r="K43" s="321"/>
      <c r="L43" s="321">
        <v>1.0493499999999999E-2</v>
      </c>
      <c r="M43" s="321"/>
      <c r="N43" s="321">
        <v>1.5197499999999999E-2</v>
      </c>
      <c r="O43" s="320"/>
      <c r="P43" s="321"/>
      <c r="Q43" s="293"/>
      <c r="R43" s="293"/>
      <c r="S43" s="287"/>
      <c r="T43" s="320">
        <f>SUMPRODUCT(D43:N43,D35:N35)/T35</f>
        <v>8.3552254697290499E-3</v>
      </c>
      <c r="U43" s="288"/>
      <c r="V43" s="5"/>
    </row>
    <row r="44" spans="1:22" ht="15.6" x14ac:dyDescent="0.3">
      <c r="A44" s="284"/>
      <c r="B44" s="285" t="s">
        <v>288</v>
      </c>
      <c r="C44" s="322"/>
      <c r="D44" s="321">
        <v>9.5200000000000007E-3</v>
      </c>
      <c r="E44" s="321"/>
      <c r="F44" s="321">
        <f>+F41</f>
        <v>1.06838E-2</v>
      </c>
      <c r="G44" s="321"/>
      <c r="H44" s="321">
        <v>1.06798E-2</v>
      </c>
      <c r="I44" s="321"/>
      <c r="J44" s="321">
        <f>+J41</f>
        <v>1.30838E-2</v>
      </c>
      <c r="K44" s="321"/>
      <c r="L44" s="321">
        <v>1.33898E-2</v>
      </c>
      <c r="M44" s="321"/>
      <c r="N44" s="321">
        <v>1.80938E-2</v>
      </c>
      <c r="O44" s="320"/>
      <c r="P44" s="321"/>
      <c r="Q44" s="293"/>
      <c r="R44" s="293"/>
      <c r="S44" s="287"/>
      <c r="T44" s="287"/>
      <c r="U44" s="288"/>
      <c r="V44" s="5"/>
    </row>
    <row r="45" spans="1:22" ht="15.6" x14ac:dyDescent="0.3">
      <c r="A45" s="284"/>
      <c r="B45" s="285" t="s">
        <v>14</v>
      </c>
      <c r="C45" s="285"/>
      <c r="D45" s="322">
        <v>40283</v>
      </c>
      <c r="E45" s="322"/>
      <c r="F45" s="322">
        <v>40283</v>
      </c>
      <c r="G45" s="322"/>
      <c r="H45" s="322">
        <v>40283</v>
      </c>
      <c r="I45" s="322"/>
      <c r="J45" s="322">
        <v>40283</v>
      </c>
      <c r="K45" s="322"/>
      <c r="L45" s="322">
        <v>40283</v>
      </c>
      <c r="M45" s="322"/>
      <c r="N45" s="322">
        <v>40283</v>
      </c>
      <c r="O45" s="322"/>
      <c r="P45" s="322"/>
      <c r="Q45" s="293"/>
      <c r="R45" s="293"/>
      <c r="S45" s="287"/>
      <c r="T45" s="287"/>
      <c r="U45" s="288"/>
      <c r="V45" s="5"/>
    </row>
    <row r="46" spans="1:22" ht="15.6" x14ac:dyDescent="0.3">
      <c r="A46" s="284"/>
      <c r="B46" s="285" t="s">
        <v>15</v>
      </c>
      <c r="C46" s="285"/>
      <c r="D46" s="322">
        <v>40648</v>
      </c>
      <c r="E46" s="322"/>
      <c r="F46" s="322">
        <v>40648</v>
      </c>
      <c r="G46" s="322"/>
      <c r="H46" s="322">
        <v>40648</v>
      </c>
      <c r="I46" s="293"/>
      <c r="J46" s="322">
        <v>40648</v>
      </c>
      <c r="K46" s="293"/>
      <c r="L46" s="322">
        <v>40648</v>
      </c>
      <c r="M46" s="293"/>
      <c r="N46" s="322">
        <v>40648</v>
      </c>
      <c r="O46" s="293"/>
      <c r="P46" s="322"/>
      <c r="Q46" s="293"/>
      <c r="R46" s="293"/>
      <c r="S46" s="287"/>
      <c r="T46" s="287"/>
      <c r="U46" s="288"/>
      <c r="V46" s="5"/>
    </row>
    <row r="47" spans="1:22" ht="15.6" x14ac:dyDescent="0.3">
      <c r="A47" s="284"/>
      <c r="B47" s="285" t="s">
        <v>125</v>
      </c>
      <c r="C47" s="285"/>
      <c r="D47" s="293" t="s">
        <v>124</v>
      </c>
      <c r="E47" s="285"/>
      <c r="F47" s="293" t="s">
        <v>232</v>
      </c>
      <c r="G47" s="293"/>
      <c r="H47" s="293" t="s">
        <v>232</v>
      </c>
      <c r="I47" s="293"/>
      <c r="J47" s="293" t="s">
        <v>234</v>
      </c>
      <c r="K47" s="293"/>
      <c r="L47" s="293" t="s">
        <v>234</v>
      </c>
      <c r="M47" s="293"/>
      <c r="N47" s="293" t="s">
        <v>235</v>
      </c>
      <c r="O47" s="293"/>
      <c r="P47" s="293"/>
      <c r="Q47" s="324"/>
      <c r="R47" s="324"/>
      <c r="S47" s="324"/>
      <c r="T47" s="324"/>
      <c r="U47" s="288"/>
      <c r="V47" s="5"/>
    </row>
    <row r="48" spans="1:22" ht="15.6" x14ac:dyDescent="0.3">
      <c r="A48" s="284"/>
      <c r="B48" s="285" t="s">
        <v>289</v>
      </c>
      <c r="C48" s="285"/>
      <c r="D48" s="293" t="s">
        <v>208</v>
      </c>
      <c r="E48" s="285"/>
      <c r="F48" s="293" t="s">
        <v>232</v>
      </c>
      <c r="G48" s="293"/>
      <c r="H48" s="293" t="s">
        <v>232</v>
      </c>
      <c r="I48" s="293"/>
      <c r="J48" s="293" t="s">
        <v>234</v>
      </c>
      <c r="K48" s="293"/>
      <c r="L48" s="293" t="s">
        <v>245</v>
      </c>
      <c r="M48" s="293"/>
      <c r="N48" s="293" t="s">
        <v>247</v>
      </c>
      <c r="O48" s="293"/>
      <c r="P48" s="293"/>
      <c r="Q48" s="285"/>
      <c r="R48" s="285"/>
      <c r="S48" s="285"/>
      <c r="T48" s="320"/>
      <c r="U48" s="288"/>
      <c r="V48" s="5"/>
    </row>
    <row r="49" spans="1:23" ht="15.6" x14ac:dyDescent="0.3">
      <c r="A49" s="284"/>
      <c r="B49" s="285"/>
      <c r="C49" s="285"/>
      <c r="D49" s="293"/>
      <c r="E49" s="285"/>
      <c r="F49" s="293"/>
      <c r="G49" s="293"/>
      <c r="H49" s="293"/>
      <c r="I49" s="293"/>
      <c r="J49" s="293"/>
      <c r="K49" s="293"/>
      <c r="L49" s="293"/>
      <c r="M49" s="293"/>
      <c r="N49" s="293"/>
      <c r="O49" s="293"/>
      <c r="P49" s="293"/>
      <c r="Q49" s="285"/>
      <c r="R49" s="285"/>
      <c r="S49" s="285"/>
      <c r="T49" s="320" t="s">
        <v>201</v>
      </c>
      <c r="U49" s="288"/>
      <c r="V49" s="5"/>
    </row>
    <row r="50" spans="1:23" ht="15.6" x14ac:dyDescent="0.3">
      <c r="A50" s="284"/>
      <c r="B50" s="285" t="s">
        <v>176</v>
      </c>
      <c r="C50" s="285"/>
      <c r="D50" s="293"/>
      <c r="E50" s="285"/>
      <c r="F50" s="293"/>
      <c r="G50" s="293"/>
      <c r="H50" s="293"/>
      <c r="I50" s="293"/>
      <c r="J50" s="293"/>
      <c r="K50" s="293"/>
      <c r="L50" s="293"/>
      <c r="M50" s="293"/>
      <c r="N50" s="293"/>
      <c r="O50" s="293"/>
      <c r="P50" s="293"/>
      <c r="Q50" s="285"/>
      <c r="R50" s="285"/>
      <c r="S50" s="285"/>
      <c r="T50" s="320">
        <f>SUM(J34:P34)/SUM(D34:H34)</f>
        <v>0.15279804679664968</v>
      </c>
      <c r="U50" s="288"/>
      <c r="V50" s="5"/>
    </row>
    <row r="51" spans="1:23" ht="15.6" x14ac:dyDescent="0.3">
      <c r="A51" s="284"/>
      <c r="B51" s="285" t="s">
        <v>177</v>
      </c>
      <c r="C51" s="285"/>
      <c r="D51" s="285"/>
      <c r="E51" s="285"/>
      <c r="F51" s="325"/>
      <c r="G51" s="285"/>
      <c r="H51" s="285"/>
      <c r="I51" s="285"/>
      <c r="J51" s="285"/>
      <c r="K51" s="285"/>
      <c r="L51" s="285"/>
      <c r="M51" s="285"/>
      <c r="N51" s="285"/>
      <c r="O51" s="285"/>
      <c r="P51" s="285"/>
      <c r="Q51" s="285"/>
      <c r="R51" s="285"/>
      <c r="S51" s="285"/>
      <c r="T51" s="320">
        <f>SUM(J36:P36)/SUM(D36:H36)</f>
        <v>0.31741901179170146</v>
      </c>
      <c r="U51" s="288"/>
      <c r="V51" s="5"/>
    </row>
    <row r="52" spans="1:23" ht="15.6" x14ac:dyDescent="0.3">
      <c r="A52" s="284"/>
      <c r="B52" s="285" t="s">
        <v>178</v>
      </c>
      <c r="C52" s="285"/>
      <c r="D52" s="285"/>
      <c r="E52" s="285"/>
      <c r="F52" s="285"/>
      <c r="G52" s="285"/>
      <c r="H52" s="285"/>
      <c r="I52" s="285"/>
      <c r="J52" s="285"/>
      <c r="K52" s="285"/>
      <c r="L52" s="285"/>
      <c r="M52" s="285"/>
      <c r="N52" s="285"/>
      <c r="O52" s="285"/>
      <c r="P52" s="285"/>
      <c r="Q52" s="285"/>
      <c r="R52" s="293" t="s">
        <v>109</v>
      </c>
      <c r="S52" s="293" t="s">
        <v>115</v>
      </c>
      <c r="T52" s="296">
        <f>+T34/2-SUM(J34:P34)</f>
        <v>367473</v>
      </c>
      <c r="U52" s="288"/>
      <c r="V52" s="5"/>
    </row>
    <row r="53" spans="1:23" ht="15.6" x14ac:dyDescent="0.3">
      <c r="A53" s="284"/>
      <c r="B53" s="285"/>
      <c r="C53" s="285"/>
      <c r="D53" s="285"/>
      <c r="E53" s="285"/>
      <c r="F53" s="285"/>
      <c r="G53" s="285"/>
      <c r="H53" s="285"/>
      <c r="I53" s="285"/>
      <c r="J53" s="285"/>
      <c r="K53" s="285"/>
      <c r="L53" s="285"/>
      <c r="M53" s="285"/>
      <c r="N53" s="285"/>
      <c r="O53" s="285"/>
      <c r="P53" s="285"/>
      <c r="Q53" s="285"/>
      <c r="R53" s="285"/>
      <c r="S53" s="285"/>
      <c r="T53" s="326"/>
      <c r="U53" s="288"/>
      <c r="V53" s="5"/>
    </row>
    <row r="54" spans="1:23" ht="15.6" x14ac:dyDescent="0.3">
      <c r="A54" s="284"/>
      <c r="B54" s="285" t="s">
        <v>211</v>
      </c>
      <c r="C54" s="285"/>
      <c r="D54" s="285"/>
      <c r="E54" s="285"/>
      <c r="F54" s="285"/>
      <c r="G54" s="285"/>
      <c r="H54" s="285"/>
      <c r="I54" s="285"/>
      <c r="J54" s="285"/>
      <c r="K54" s="285"/>
      <c r="L54" s="285"/>
      <c r="M54" s="285"/>
      <c r="N54" s="285"/>
      <c r="O54" s="285"/>
      <c r="P54" s="285"/>
      <c r="Q54" s="285"/>
      <c r="R54" s="285"/>
      <c r="S54" s="285"/>
      <c r="T54" s="327" t="s">
        <v>212</v>
      </c>
      <c r="U54" s="288"/>
      <c r="V54" s="5"/>
    </row>
    <row r="55" spans="1:23" ht="15.6" x14ac:dyDescent="0.3">
      <c r="A55" s="284"/>
      <c r="B55" s="285" t="s">
        <v>253</v>
      </c>
      <c r="C55" s="285"/>
      <c r="D55" s="285"/>
      <c r="E55" s="285"/>
      <c r="F55" s="285"/>
      <c r="G55" s="285"/>
      <c r="H55" s="285"/>
      <c r="I55" s="285"/>
      <c r="J55" s="285"/>
      <c r="K55" s="285"/>
      <c r="L55" s="285"/>
      <c r="M55" s="285"/>
      <c r="N55" s="285"/>
      <c r="O55" s="285"/>
      <c r="P55" s="285"/>
      <c r="Q55" s="285"/>
      <c r="R55" s="293"/>
      <c r="S55" s="293"/>
      <c r="T55" s="328" t="s">
        <v>117</v>
      </c>
      <c r="U55" s="288"/>
      <c r="V55" s="5"/>
    </row>
    <row r="56" spans="1:23" ht="15.6" x14ac:dyDescent="0.3">
      <c r="A56" s="284"/>
      <c r="B56" s="292" t="s">
        <v>210</v>
      </c>
      <c r="C56" s="292"/>
      <c r="D56" s="292"/>
      <c r="E56" s="292"/>
      <c r="F56" s="292"/>
      <c r="G56" s="292"/>
      <c r="H56" s="292"/>
      <c r="I56" s="292"/>
      <c r="J56" s="292"/>
      <c r="K56" s="292"/>
      <c r="L56" s="292"/>
      <c r="M56" s="292"/>
      <c r="N56" s="292"/>
      <c r="O56" s="292"/>
      <c r="P56" s="292"/>
      <c r="Q56" s="292"/>
      <c r="R56" s="329"/>
      <c r="S56" s="329"/>
      <c r="T56" s="330">
        <v>41289</v>
      </c>
      <c r="U56" s="288"/>
      <c r="V56" s="5"/>
    </row>
    <row r="57" spans="1:23" ht="15.6" x14ac:dyDescent="0.3">
      <c r="A57" s="284"/>
      <c r="B57" s="285" t="s">
        <v>127</v>
      </c>
      <c r="C57" s="285"/>
      <c r="D57" s="285"/>
      <c r="E57" s="285"/>
      <c r="F57" s="285"/>
      <c r="G57" s="285"/>
      <c r="H57" s="331"/>
      <c r="I57" s="331"/>
      <c r="J57" s="331"/>
      <c r="K57" s="331"/>
      <c r="L57" s="331"/>
      <c r="M57" s="331"/>
      <c r="N57" s="331"/>
      <c r="O57" s="331"/>
      <c r="P57" s="285">
        <f>+T57-R57+1</f>
        <v>91</v>
      </c>
      <c r="Q57" s="331"/>
      <c r="R57" s="332">
        <v>41106</v>
      </c>
      <c r="S57" s="333"/>
      <c r="T57" s="332">
        <v>41196</v>
      </c>
      <c r="U57" s="288"/>
      <c r="V57" s="5"/>
    </row>
    <row r="58" spans="1:23" ht="15.6" x14ac:dyDescent="0.3">
      <c r="A58" s="284"/>
      <c r="B58" s="285" t="s">
        <v>128</v>
      </c>
      <c r="C58" s="285"/>
      <c r="D58" s="285"/>
      <c r="E58" s="285"/>
      <c r="F58" s="285"/>
      <c r="G58" s="285"/>
      <c r="H58" s="285"/>
      <c r="I58" s="285"/>
      <c r="J58" s="285"/>
      <c r="K58" s="285"/>
      <c r="L58" s="285"/>
      <c r="M58" s="285"/>
      <c r="N58" s="285"/>
      <c r="O58" s="285"/>
      <c r="P58" s="285">
        <f>+T58-R58+1</f>
        <v>92</v>
      </c>
      <c r="Q58" s="285"/>
      <c r="R58" s="332">
        <v>41197</v>
      </c>
      <c r="S58" s="333"/>
      <c r="T58" s="332">
        <v>41288</v>
      </c>
      <c r="U58" s="288"/>
      <c r="V58" s="5"/>
    </row>
    <row r="59" spans="1:23" ht="15.6" x14ac:dyDescent="0.3">
      <c r="A59" s="284"/>
      <c r="B59" s="285" t="s">
        <v>209</v>
      </c>
      <c r="C59" s="285"/>
      <c r="D59" s="285"/>
      <c r="E59" s="285"/>
      <c r="F59" s="285"/>
      <c r="G59" s="285"/>
      <c r="H59" s="285"/>
      <c r="I59" s="285"/>
      <c r="J59" s="285"/>
      <c r="K59" s="285"/>
      <c r="L59" s="285"/>
      <c r="M59" s="285"/>
      <c r="N59" s="285"/>
      <c r="O59" s="285"/>
      <c r="P59" s="285"/>
      <c r="Q59" s="285"/>
      <c r="R59" s="332"/>
      <c r="S59" s="333"/>
      <c r="T59" s="332" t="s">
        <v>126</v>
      </c>
      <c r="U59" s="288"/>
      <c r="V59" s="5"/>
    </row>
    <row r="60" spans="1:23" ht="15.6" x14ac:dyDescent="0.3">
      <c r="A60" s="284"/>
      <c r="B60" s="285" t="s">
        <v>249</v>
      </c>
      <c r="C60" s="285"/>
      <c r="D60" s="285"/>
      <c r="E60" s="285"/>
      <c r="F60" s="285"/>
      <c r="G60" s="285"/>
      <c r="H60" s="285"/>
      <c r="I60" s="285"/>
      <c r="J60" s="285"/>
      <c r="K60" s="285"/>
      <c r="L60" s="285"/>
      <c r="M60" s="285"/>
      <c r="N60" s="285"/>
      <c r="O60" s="285"/>
      <c r="P60" s="285"/>
      <c r="Q60" s="285"/>
      <c r="R60" s="332"/>
      <c r="S60" s="333"/>
      <c r="T60" s="332" t="s">
        <v>160</v>
      </c>
      <c r="U60" s="288"/>
      <c r="V60" s="5"/>
      <c r="W60" s="134"/>
    </row>
    <row r="61" spans="1:23" ht="15.6" x14ac:dyDescent="0.3">
      <c r="A61" s="284"/>
      <c r="B61" s="285" t="s">
        <v>16</v>
      </c>
      <c r="C61" s="285"/>
      <c r="D61" s="285"/>
      <c r="E61" s="285"/>
      <c r="F61" s="285"/>
      <c r="G61" s="285"/>
      <c r="H61" s="285"/>
      <c r="I61" s="285"/>
      <c r="J61" s="285"/>
      <c r="K61" s="285"/>
      <c r="L61" s="285"/>
      <c r="M61" s="285"/>
      <c r="N61" s="285"/>
      <c r="O61" s="285"/>
      <c r="P61" s="285"/>
      <c r="Q61" s="285"/>
      <c r="R61" s="332"/>
      <c r="S61" s="333"/>
      <c r="T61" s="332">
        <v>41276</v>
      </c>
      <c r="U61" s="288"/>
      <c r="V61" s="5"/>
    </row>
    <row r="62" spans="1:23" ht="15.6" x14ac:dyDescent="0.3">
      <c r="A62" s="175"/>
      <c r="B62" s="281"/>
      <c r="C62" s="281"/>
      <c r="D62" s="281"/>
      <c r="E62" s="281"/>
      <c r="F62" s="281"/>
      <c r="G62" s="281"/>
      <c r="H62" s="281"/>
      <c r="I62" s="281"/>
      <c r="J62" s="281"/>
      <c r="K62" s="281"/>
      <c r="L62" s="281"/>
      <c r="M62" s="281"/>
      <c r="N62" s="281"/>
      <c r="O62" s="281"/>
      <c r="P62" s="281"/>
      <c r="Q62" s="281"/>
      <c r="R62" s="282"/>
      <c r="S62" s="283"/>
      <c r="T62" s="282"/>
      <c r="U62" s="281"/>
      <c r="V62" s="5"/>
    </row>
    <row r="63" spans="1:23" ht="15.6" x14ac:dyDescent="0.3">
      <c r="A63" s="175"/>
      <c r="B63" s="231"/>
      <c r="C63" s="231"/>
      <c r="D63" s="231"/>
      <c r="E63" s="231"/>
      <c r="F63" s="231"/>
      <c r="G63" s="231"/>
      <c r="H63" s="231"/>
      <c r="I63" s="231"/>
      <c r="J63" s="231"/>
      <c r="K63" s="231"/>
      <c r="L63" s="231"/>
      <c r="M63" s="231"/>
      <c r="N63" s="231"/>
      <c r="O63" s="231"/>
      <c r="P63" s="231"/>
      <c r="Q63" s="231"/>
      <c r="R63" s="244"/>
      <c r="S63" s="245"/>
      <c r="T63" s="244"/>
      <c r="U63" s="231"/>
      <c r="V63" s="5"/>
    </row>
    <row r="64" spans="1:23" ht="18" thickBot="1" x14ac:dyDescent="0.35">
      <c r="A64" s="192"/>
      <c r="B64" s="246" t="s">
        <v>310</v>
      </c>
      <c r="C64" s="247"/>
      <c r="D64" s="247"/>
      <c r="E64" s="247"/>
      <c r="F64" s="247"/>
      <c r="G64" s="247"/>
      <c r="H64" s="247"/>
      <c r="I64" s="247"/>
      <c r="J64" s="247"/>
      <c r="K64" s="247"/>
      <c r="L64" s="247"/>
      <c r="M64" s="247"/>
      <c r="N64" s="247"/>
      <c r="O64" s="247"/>
      <c r="P64" s="247"/>
      <c r="Q64" s="247"/>
      <c r="R64" s="247"/>
      <c r="S64" s="247"/>
      <c r="T64" s="248"/>
      <c r="U64" s="249"/>
      <c r="V64" s="5"/>
    </row>
    <row r="65" spans="1:22" ht="15.6" x14ac:dyDescent="0.3">
      <c r="A65" s="222"/>
      <c r="B65" s="395" t="s">
        <v>17</v>
      </c>
      <c r="C65" s="223"/>
      <c r="D65" s="223"/>
      <c r="E65" s="223"/>
      <c r="F65" s="223"/>
      <c r="G65" s="223"/>
      <c r="H65" s="223"/>
      <c r="I65" s="223"/>
      <c r="J65" s="223"/>
      <c r="K65" s="223"/>
      <c r="L65" s="223"/>
      <c r="M65" s="223"/>
      <c r="N65" s="223"/>
      <c r="O65" s="223"/>
      <c r="P65" s="223"/>
      <c r="Q65" s="223"/>
      <c r="R65" s="223"/>
      <c r="S65" s="223"/>
      <c r="T65" s="250"/>
      <c r="U65" s="223"/>
      <c r="V65" s="5"/>
    </row>
    <row r="66" spans="1:22" ht="15.6" x14ac:dyDescent="0.3">
      <c r="A66" s="175"/>
      <c r="B66" s="183"/>
      <c r="C66" s="177"/>
      <c r="D66" s="177"/>
      <c r="E66" s="177"/>
      <c r="F66" s="177"/>
      <c r="G66" s="177"/>
      <c r="H66" s="177"/>
      <c r="I66" s="177"/>
      <c r="J66" s="177"/>
      <c r="K66" s="177"/>
      <c r="L66" s="177"/>
      <c r="M66" s="177"/>
      <c r="N66" s="177"/>
      <c r="O66" s="177"/>
      <c r="P66" s="177"/>
      <c r="Q66" s="177"/>
      <c r="R66" s="177"/>
      <c r="S66" s="177"/>
      <c r="T66" s="194"/>
      <c r="U66" s="177"/>
      <c r="V66" s="5"/>
    </row>
    <row r="67" spans="1:22" ht="46.8" x14ac:dyDescent="0.3">
      <c r="A67" s="175"/>
      <c r="B67" s="195" t="s">
        <v>18</v>
      </c>
      <c r="C67" s="196"/>
      <c r="D67" s="196"/>
      <c r="E67" s="196"/>
      <c r="F67" s="196"/>
      <c r="G67" s="196"/>
      <c r="H67" s="196"/>
      <c r="I67" s="196"/>
      <c r="J67" s="196" t="s">
        <v>97</v>
      </c>
      <c r="K67" s="196"/>
      <c r="L67" s="196" t="s">
        <v>99</v>
      </c>
      <c r="M67" s="196"/>
      <c r="N67" s="196" t="s">
        <v>101</v>
      </c>
      <c r="O67" s="196"/>
      <c r="P67" s="196" t="s">
        <v>103</v>
      </c>
      <c r="Q67" s="196"/>
      <c r="R67" s="196" t="s">
        <v>110</v>
      </c>
      <c r="S67" s="196"/>
      <c r="T67" s="197" t="s">
        <v>118</v>
      </c>
      <c r="U67" s="198"/>
      <c r="V67" s="5"/>
    </row>
    <row r="68" spans="1:22" ht="15.6" x14ac:dyDescent="0.3">
      <c r="A68" s="337"/>
      <c r="B68" s="285" t="s">
        <v>19</v>
      </c>
      <c r="C68" s="338"/>
      <c r="D68" s="338"/>
      <c r="E68" s="338"/>
      <c r="F68" s="338"/>
      <c r="G68" s="338"/>
      <c r="H68" s="338"/>
      <c r="I68" s="338"/>
      <c r="J68" s="338">
        <v>1000039</v>
      </c>
      <c r="K68" s="338"/>
      <c r="L68" s="339">
        <v>554442</v>
      </c>
      <c r="M68" s="338"/>
      <c r="N68" s="338">
        <f>4296+23</f>
        <v>4319</v>
      </c>
      <c r="O68" s="338"/>
      <c r="P68" s="338">
        <v>23</v>
      </c>
      <c r="Q68" s="338"/>
      <c r="R68" s="338">
        <v>0</v>
      </c>
      <c r="S68" s="338"/>
      <c r="T68" s="339">
        <f>+L68-N68+P68-R68</f>
        <v>550146</v>
      </c>
      <c r="U68" s="288"/>
      <c r="V68" s="5"/>
    </row>
    <row r="69" spans="1:22" ht="15.6" x14ac:dyDescent="0.3">
      <c r="A69" s="337"/>
      <c r="B69" s="285" t="s">
        <v>20</v>
      </c>
      <c r="C69" s="338"/>
      <c r="D69" s="338"/>
      <c r="E69" s="338"/>
      <c r="F69" s="338"/>
      <c r="G69" s="338"/>
      <c r="H69" s="338"/>
      <c r="I69" s="338"/>
      <c r="J69" s="338">
        <v>10</v>
      </c>
      <c r="K69" s="338"/>
      <c r="L69" s="339">
        <v>0</v>
      </c>
      <c r="M69" s="338"/>
      <c r="N69" s="338">
        <v>0</v>
      </c>
      <c r="O69" s="338"/>
      <c r="P69" s="338">
        <v>0</v>
      </c>
      <c r="Q69" s="338"/>
      <c r="R69" s="338">
        <v>0</v>
      </c>
      <c r="S69" s="338"/>
      <c r="T69" s="339">
        <v>0</v>
      </c>
      <c r="U69" s="288"/>
      <c r="V69" s="5"/>
    </row>
    <row r="70" spans="1:22" ht="15.6" x14ac:dyDescent="0.3">
      <c r="A70" s="337"/>
      <c r="B70" s="285"/>
      <c r="C70" s="338"/>
      <c r="D70" s="338"/>
      <c r="E70" s="338"/>
      <c r="F70" s="338"/>
      <c r="G70" s="338"/>
      <c r="H70" s="338"/>
      <c r="I70" s="338"/>
      <c r="J70" s="338"/>
      <c r="K70" s="338"/>
      <c r="L70" s="339"/>
      <c r="M70" s="338"/>
      <c r="N70" s="338"/>
      <c r="O70" s="338"/>
      <c r="P70" s="338"/>
      <c r="Q70" s="338"/>
      <c r="R70" s="338"/>
      <c r="S70" s="338"/>
      <c r="T70" s="339"/>
      <c r="U70" s="288"/>
      <c r="V70" s="5"/>
    </row>
    <row r="71" spans="1:22" ht="15.6" x14ac:dyDescent="0.3">
      <c r="A71" s="337"/>
      <c r="B71" s="285" t="s">
        <v>21</v>
      </c>
      <c r="C71" s="338"/>
      <c r="D71" s="338"/>
      <c r="E71" s="338"/>
      <c r="F71" s="338"/>
      <c r="G71" s="338"/>
      <c r="H71" s="338"/>
      <c r="I71" s="338"/>
      <c r="J71" s="338">
        <f>SUM(J68:J70)</f>
        <v>1000049</v>
      </c>
      <c r="K71" s="338"/>
      <c r="L71" s="338">
        <f>L68+L69</f>
        <v>554442</v>
      </c>
      <c r="M71" s="338"/>
      <c r="N71" s="338">
        <f>SUM(N68:N70)</f>
        <v>4319</v>
      </c>
      <c r="O71" s="338"/>
      <c r="P71" s="338">
        <f>SUM(P68:P70)</f>
        <v>23</v>
      </c>
      <c r="Q71" s="338"/>
      <c r="R71" s="338">
        <f>SUM(R68:R70)</f>
        <v>0</v>
      </c>
      <c r="S71" s="338"/>
      <c r="T71" s="338">
        <f>SUM(T68:T70)</f>
        <v>550146</v>
      </c>
      <c r="U71" s="288"/>
      <c r="V71" s="5"/>
    </row>
    <row r="72" spans="1:22" ht="15.6" x14ac:dyDescent="0.3">
      <c r="A72" s="175"/>
      <c r="B72" s="334"/>
      <c r="C72" s="335"/>
      <c r="D72" s="335"/>
      <c r="E72" s="335"/>
      <c r="F72" s="335"/>
      <c r="G72" s="335"/>
      <c r="H72" s="335"/>
      <c r="I72" s="335"/>
      <c r="J72" s="335"/>
      <c r="K72" s="335"/>
      <c r="L72" s="335"/>
      <c r="M72" s="335"/>
      <c r="N72" s="335"/>
      <c r="O72" s="335"/>
      <c r="P72" s="335"/>
      <c r="Q72" s="335"/>
      <c r="R72" s="335"/>
      <c r="S72" s="335"/>
      <c r="T72" s="336"/>
      <c r="U72" s="334"/>
      <c r="V72" s="5"/>
    </row>
    <row r="73" spans="1:22" ht="15.6" x14ac:dyDescent="0.3">
      <c r="A73" s="175"/>
      <c r="B73" s="179" t="s">
        <v>22</v>
      </c>
      <c r="C73" s="199"/>
      <c r="D73" s="199"/>
      <c r="E73" s="199"/>
      <c r="F73" s="199"/>
      <c r="G73" s="199"/>
      <c r="H73" s="199"/>
      <c r="I73" s="199"/>
      <c r="J73" s="199"/>
      <c r="K73" s="199"/>
      <c r="L73" s="199"/>
      <c r="M73" s="199"/>
      <c r="N73" s="199"/>
      <c r="O73" s="199"/>
      <c r="P73" s="199"/>
      <c r="Q73" s="199"/>
      <c r="R73" s="199"/>
      <c r="S73" s="199"/>
      <c r="T73" s="200"/>
      <c r="U73" s="177"/>
      <c r="V73" s="5"/>
    </row>
    <row r="74" spans="1:22" ht="15.6" x14ac:dyDescent="0.3">
      <c r="A74" s="175"/>
      <c r="B74" s="177"/>
      <c r="C74" s="199"/>
      <c r="D74" s="199"/>
      <c r="E74" s="199"/>
      <c r="F74" s="199"/>
      <c r="G74" s="199"/>
      <c r="H74" s="199"/>
      <c r="I74" s="199"/>
      <c r="J74" s="199"/>
      <c r="K74" s="199"/>
      <c r="L74" s="199"/>
      <c r="M74" s="199"/>
      <c r="N74" s="199"/>
      <c r="O74" s="199"/>
      <c r="P74" s="199"/>
      <c r="Q74" s="199"/>
      <c r="R74" s="199"/>
      <c r="S74" s="199"/>
      <c r="T74" s="200"/>
      <c r="U74" s="177"/>
      <c r="V74" s="5"/>
    </row>
    <row r="75" spans="1:22" ht="15.6" x14ac:dyDescent="0.3">
      <c r="A75" s="284"/>
      <c r="B75" s="285" t="s">
        <v>19</v>
      </c>
      <c r="C75" s="338"/>
      <c r="D75" s="338"/>
      <c r="E75" s="338"/>
      <c r="F75" s="338"/>
      <c r="G75" s="338"/>
      <c r="H75" s="338"/>
      <c r="I75" s="338"/>
      <c r="J75" s="338"/>
      <c r="K75" s="338"/>
      <c r="L75" s="338"/>
      <c r="M75" s="338"/>
      <c r="N75" s="338"/>
      <c r="O75" s="338"/>
      <c r="P75" s="338"/>
      <c r="Q75" s="338"/>
      <c r="R75" s="338"/>
      <c r="S75" s="338"/>
      <c r="T75" s="338"/>
      <c r="U75" s="288"/>
      <c r="V75" s="5"/>
    </row>
    <row r="76" spans="1:22" ht="15.6" x14ac:dyDescent="0.3">
      <c r="A76" s="284"/>
      <c r="B76" s="285" t="s">
        <v>20</v>
      </c>
      <c r="C76" s="338"/>
      <c r="D76" s="338"/>
      <c r="E76" s="338"/>
      <c r="F76" s="338"/>
      <c r="G76" s="338"/>
      <c r="H76" s="338"/>
      <c r="I76" s="338"/>
      <c r="J76" s="338"/>
      <c r="K76" s="338"/>
      <c r="L76" s="338"/>
      <c r="M76" s="338"/>
      <c r="N76" s="338"/>
      <c r="O76" s="338"/>
      <c r="P76" s="338"/>
      <c r="Q76" s="338"/>
      <c r="R76" s="338"/>
      <c r="S76" s="338"/>
      <c r="T76" s="338"/>
      <c r="U76" s="288"/>
      <c r="V76" s="5"/>
    </row>
    <row r="77" spans="1:22" ht="15.6" x14ac:dyDescent="0.3">
      <c r="A77" s="284"/>
      <c r="B77" s="285"/>
      <c r="C77" s="338"/>
      <c r="D77" s="338"/>
      <c r="E77" s="338"/>
      <c r="F77" s="338"/>
      <c r="G77" s="338"/>
      <c r="H77" s="338"/>
      <c r="I77" s="338"/>
      <c r="J77" s="338"/>
      <c r="K77" s="338"/>
      <c r="L77" s="338"/>
      <c r="M77" s="338"/>
      <c r="N77" s="338"/>
      <c r="O77" s="338"/>
      <c r="P77" s="338"/>
      <c r="Q77" s="338"/>
      <c r="R77" s="338"/>
      <c r="S77" s="338"/>
      <c r="T77" s="338"/>
      <c r="U77" s="288"/>
      <c r="V77" s="5"/>
    </row>
    <row r="78" spans="1:22" ht="15.6" x14ac:dyDescent="0.3">
      <c r="A78" s="284"/>
      <c r="B78" s="285" t="s">
        <v>21</v>
      </c>
      <c r="C78" s="338"/>
      <c r="D78" s="338"/>
      <c r="E78" s="338"/>
      <c r="F78" s="338"/>
      <c r="G78" s="338"/>
      <c r="H78" s="338"/>
      <c r="I78" s="338"/>
      <c r="J78" s="338"/>
      <c r="K78" s="338"/>
      <c r="L78" s="338"/>
      <c r="M78" s="338"/>
      <c r="N78" s="338"/>
      <c r="O78" s="338"/>
      <c r="P78" s="338"/>
      <c r="Q78" s="338"/>
      <c r="R78" s="338"/>
      <c r="S78" s="338"/>
      <c r="T78" s="338"/>
      <c r="U78" s="288"/>
      <c r="V78" s="5"/>
    </row>
    <row r="79" spans="1:22" ht="15.6" x14ac:dyDescent="0.3">
      <c r="A79" s="284"/>
      <c r="B79" s="285"/>
      <c r="C79" s="338"/>
      <c r="D79" s="338"/>
      <c r="E79" s="338"/>
      <c r="F79" s="338"/>
      <c r="G79" s="338"/>
      <c r="H79" s="338"/>
      <c r="I79" s="338"/>
      <c r="J79" s="338"/>
      <c r="K79" s="338"/>
      <c r="L79" s="338"/>
      <c r="M79" s="338"/>
      <c r="N79" s="338"/>
      <c r="O79" s="338"/>
      <c r="P79" s="338"/>
      <c r="Q79" s="338"/>
      <c r="R79" s="338"/>
      <c r="S79" s="338"/>
      <c r="T79" s="338"/>
      <c r="U79" s="288"/>
      <c r="V79" s="5"/>
    </row>
    <row r="80" spans="1:22" ht="15.6" x14ac:dyDescent="0.3">
      <c r="A80" s="284"/>
      <c r="B80" s="285" t="s">
        <v>23</v>
      </c>
      <c r="C80" s="338"/>
      <c r="D80" s="338"/>
      <c r="E80" s="338"/>
      <c r="F80" s="338"/>
      <c r="G80" s="338"/>
      <c r="H80" s="338"/>
      <c r="I80" s="338"/>
      <c r="J80" s="338">
        <v>0</v>
      </c>
      <c r="K80" s="338"/>
      <c r="L80" s="338">
        <v>0</v>
      </c>
      <c r="M80" s="338"/>
      <c r="N80" s="338"/>
      <c r="O80" s="338"/>
      <c r="P80" s="338"/>
      <c r="Q80" s="338"/>
      <c r="R80" s="338"/>
      <c r="S80" s="338"/>
      <c r="T80" s="339">
        <v>0</v>
      </c>
      <c r="U80" s="288"/>
      <c r="V80" s="5"/>
    </row>
    <row r="81" spans="1:22" ht="15.6" x14ac:dyDescent="0.3">
      <c r="A81" s="284"/>
      <c r="B81" s="285" t="s">
        <v>123</v>
      </c>
      <c r="C81" s="338"/>
      <c r="D81" s="338"/>
      <c r="E81" s="338"/>
      <c r="F81" s="338"/>
      <c r="G81" s="338"/>
      <c r="H81" s="338"/>
      <c r="I81" s="338"/>
      <c r="J81" s="338">
        <v>0</v>
      </c>
      <c r="K81" s="338"/>
      <c r="L81" s="338">
        <v>0</v>
      </c>
      <c r="M81" s="338"/>
      <c r="N81" s="338"/>
      <c r="O81" s="338"/>
      <c r="P81" s="338"/>
      <c r="Q81" s="338"/>
      <c r="R81" s="338"/>
      <c r="S81" s="338"/>
      <c r="T81" s="338">
        <f>SUM(J81:P81)</f>
        <v>0</v>
      </c>
      <c r="U81" s="288"/>
      <c r="V81" s="5"/>
    </row>
    <row r="82" spans="1:22" ht="15.6" x14ac:dyDescent="0.3">
      <c r="A82" s="284"/>
      <c r="B82" s="285" t="s">
        <v>152</v>
      </c>
      <c r="C82" s="338"/>
      <c r="D82" s="338"/>
      <c r="E82" s="338"/>
      <c r="F82" s="338"/>
      <c r="G82" s="338"/>
      <c r="H82" s="338"/>
      <c r="I82" s="338"/>
      <c r="J82" s="338">
        <v>1</v>
      </c>
      <c r="K82" s="338"/>
      <c r="L82" s="338">
        <v>0</v>
      </c>
      <c r="M82" s="338"/>
      <c r="N82" s="338">
        <v>0</v>
      </c>
      <c r="O82" s="338"/>
      <c r="P82" s="338"/>
      <c r="Q82" s="338"/>
      <c r="R82" s="338"/>
      <c r="S82" s="338"/>
      <c r="T82" s="338">
        <f>+L82+N82</f>
        <v>0</v>
      </c>
      <c r="U82" s="288"/>
      <c r="V82" s="5"/>
    </row>
    <row r="83" spans="1:22" ht="15.6" x14ac:dyDescent="0.3">
      <c r="A83" s="284"/>
      <c r="B83" s="285" t="s">
        <v>25</v>
      </c>
      <c r="C83" s="338"/>
      <c r="D83" s="338"/>
      <c r="E83" s="338"/>
      <c r="F83" s="338"/>
      <c r="G83" s="338"/>
      <c r="H83" s="338"/>
      <c r="I83" s="338"/>
      <c r="J83" s="338">
        <v>0</v>
      </c>
      <c r="K83" s="338"/>
      <c r="L83" s="338">
        <v>0</v>
      </c>
      <c r="M83" s="338"/>
      <c r="N83" s="338"/>
      <c r="O83" s="338"/>
      <c r="P83" s="338"/>
      <c r="Q83" s="338"/>
      <c r="R83" s="338"/>
      <c r="S83" s="338"/>
      <c r="T83" s="338">
        <v>0</v>
      </c>
      <c r="U83" s="288"/>
      <c r="V83" s="5"/>
    </row>
    <row r="84" spans="1:22" ht="15.6" x14ac:dyDescent="0.3">
      <c r="A84" s="284"/>
      <c r="B84" s="285" t="s">
        <v>26</v>
      </c>
      <c r="C84" s="338"/>
      <c r="D84" s="338"/>
      <c r="E84" s="338"/>
      <c r="F84" s="338"/>
      <c r="G84" s="338"/>
      <c r="H84" s="338"/>
      <c r="I84" s="338"/>
      <c r="J84" s="338">
        <f>SUM(J71:J83)</f>
        <v>1000050</v>
      </c>
      <c r="K84" s="338"/>
      <c r="L84" s="338">
        <f>SUM(L71:L83)</f>
        <v>554442</v>
      </c>
      <c r="M84" s="338"/>
      <c r="N84" s="338"/>
      <c r="O84" s="338"/>
      <c r="P84" s="338"/>
      <c r="Q84" s="338"/>
      <c r="R84" s="338"/>
      <c r="S84" s="338"/>
      <c r="T84" s="338">
        <f>SUM(T71:T83)</f>
        <v>550146</v>
      </c>
      <c r="U84" s="288"/>
      <c r="V84" s="5"/>
    </row>
    <row r="85" spans="1:22" ht="15.6" x14ac:dyDescent="0.3">
      <c r="A85" s="175"/>
      <c r="B85" s="334"/>
      <c r="C85" s="335"/>
      <c r="D85" s="335"/>
      <c r="E85" s="335"/>
      <c r="F85" s="335"/>
      <c r="G85" s="335"/>
      <c r="H85" s="335"/>
      <c r="I85" s="335"/>
      <c r="J85" s="335"/>
      <c r="K85" s="335"/>
      <c r="L85" s="335"/>
      <c r="M85" s="335"/>
      <c r="N85" s="335"/>
      <c r="O85" s="335"/>
      <c r="P85" s="335"/>
      <c r="Q85" s="335"/>
      <c r="R85" s="335"/>
      <c r="S85" s="335"/>
      <c r="T85" s="336"/>
      <c r="U85" s="334"/>
      <c r="V85" s="5"/>
    </row>
    <row r="86" spans="1:22" ht="15.6" x14ac:dyDescent="0.3">
      <c r="A86" s="175"/>
      <c r="B86" s="177"/>
      <c r="C86" s="177"/>
      <c r="D86" s="177"/>
      <c r="E86" s="177"/>
      <c r="F86" s="177"/>
      <c r="G86" s="177"/>
      <c r="H86" s="177"/>
      <c r="I86" s="177"/>
      <c r="J86" s="177"/>
      <c r="K86" s="177"/>
      <c r="L86" s="177"/>
      <c r="M86" s="177"/>
      <c r="N86" s="177"/>
      <c r="O86" s="177"/>
      <c r="P86" s="177"/>
      <c r="Q86" s="177"/>
      <c r="R86" s="177"/>
      <c r="S86" s="177"/>
      <c r="T86" s="177"/>
      <c r="U86" s="177"/>
      <c r="V86" s="5"/>
    </row>
    <row r="87" spans="1:22" ht="15.6" x14ac:dyDescent="0.3">
      <c r="A87" s="222"/>
      <c r="B87" s="395" t="s">
        <v>27</v>
      </c>
      <c r="C87" s="395"/>
      <c r="D87" s="395"/>
      <c r="E87" s="395"/>
      <c r="F87" s="395"/>
      <c r="G87" s="395"/>
      <c r="H87" s="396"/>
      <c r="I87" s="396"/>
      <c r="J87" s="397" t="s">
        <v>98</v>
      </c>
      <c r="K87" s="396"/>
      <c r="L87" s="398">
        <f>+R193</f>
        <v>41274</v>
      </c>
      <c r="M87" s="396"/>
      <c r="N87" s="396"/>
      <c r="O87" s="396"/>
      <c r="P87" s="396"/>
      <c r="Q87" s="396"/>
      <c r="R87" s="396" t="s">
        <v>111</v>
      </c>
      <c r="S87" s="396"/>
      <c r="T87" s="396" t="s">
        <v>119</v>
      </c>
      <c r="U87" s="223"/>
      <c r="V87" s="5"/>
    </row>
    <row r="88" spans="1:22" ht="15.6" x14ac:dyDescent="0.3">
      <c r="A88" s="190"/>
      <c r="B88" s="239" t="s">
        <v>28</v>
      </c>
      <c r="C88" s="239"/>
      <c r="D88" s="239"/>
      <c r="E88" s="239"/>
      <c r="F88" s="239"/>
      <c r="G88" s="239"/>
      <c r="H88" s="239"/>
      <c r="I88" s="239"/>
      <c r="J88" s="239"/>
      <c r="K88" s="239"/>
      <c r="L88" s="239"/>
      <c r="M88" s="239"/>
      <c r="N88" s="239"/>
      <c r="O88" s="239"/>
      <c r="P88" s="239"/>
      <c r="Q88" s="239"/>
      <c r="R88" s="243">
        <v>0</v>
      </c>
      <c r="S88" s="239"/>
      <c r="T88" s="251">
        <v>0</v>
      </c>
      <c r="U88" s="239"/>
      <c r="V88" s="5"/>
    </row>
    <row r="89" spans="1:22" ht="15.6" x14ac:dyDescent="0.3">
      <c r="A89" s="284"/>
      <c r="B89" s="285" t="s">
        <v>29</v>
      </c>
      <c r="C89" s="285"/>
      <c r="D89" s="285"/>
      <c r="E89" s="285"/>
      <c r="F89" s="285"/>
      <c r="G89" s="285"/>
      <c r="H89" s="324"/>
      <c r="I89" s="341"/>
      <c r="J89" s="324"/>
      <c r="K89" s="285"/>
      <c r="L89" s="342"/>
      <c r="M89" s="285"/>
      <c r="N89" s="285"/>
      <c r="O89" s="285"/>
      <c r="P89" s="285"/>
      <c r="Q89" s="285"/>
      <c r="R89" s="338">
        <f>4319-70</f>
        <v>4249</v>
      </c>
      <c r="S89" s="285"/>
      <c r="T89" s="339"/>
      <c r="U89" s="288"/>
      <c r="V89" s="5"/>
    </row>
    <row r="90" spans="1:22" ht="15.6" x14ac:dyDescent="0.3">
      <c r="A90" s="284"/>
      <c r="B90" s="285" t="s">
        <v>225</v>
      </c>
      <c r="C90" s="285"/>
      <c r="D90" s="285"/>
      <c r="E90" s="285"/>
      <c r="F90" s="285"/>
      <c r="G90" s="285"/>
      <c r="H90" s="324"/>
      <c r="I90" s="341"/>
      <c r="J90" s="324"/>
      <c r="K90" s="285"/>
      <c r="L90" s="342"/>
      <c r="M90" s="285"/>
      <c r="N90" s="285"/>
      <c r="O90" s="285"/>
      <c r="P90" s="285"/>
      <c r="Q90" s="285"/>
      <c r="R90" s="338"/>
      <c r="S90" s="285"/>
      <c r="T90" s="339">
        <f>1907+2432-443-504</f>
        <v>3392</v>
      </c>
      <c r="U90" s="288"/>
      <c r="V90" s="5"/>
    </row>
    <row r="91" spans="1:22" ht="15.6" x14ac:dyDescent="0.3">
      <c r="A91" s="284"/>
      <c r="B91" s="285" t="s">
        <v>220</v>
      </c>
      <c r="C91" s="285"/>
      <c r="D91" s="285"/>
      <c r="E91" s="285"/>
      <c r="F91" s="285"/>
      <c r="G91" s="285"/>
      <c r="H91" s="324"/>
      <c r="I91" s="341"/>
      <c r="J91" s="324"/>
      <c r="K91" s="285"/>
      <c r="L91" s="342"/>
      <c r="M91" s="285"/>
      <c r="N91" s="285"/>
      <c r="O91" s="285"/>
      <c r="P91" s="285"/>
      <c r="Q91" s="285"/>
      <c r="R91" s="338"/>
      <c r="S91" s="285"/>
      <c r="T91" s="339">
        <f>33+7</f>
        <v>40</v>
      </c>
      <c r="U91" s="288"/>
      <c r="V91" s="5"/>
    </row>
    <row r="92" spans="1:22" ht="15.6" x14ac:dyDescent="0.3">
      <c r="A92" s="284"/>
      <c r="B92" s="285" t="s">
        <v>221</v>
      </c>
      <c r="C92" s="285"/>
      <c r="D92" s="285"/>
      <c r="E92" s="285"/>
      <c r="F92" s="285"/>
      <c r="G92" s="285"/>
      <c r="H92" s="324"/>
      <c r="I92" s="341"/>
      <c r="J92" s="324"/>
      <c r="K92" s="285"/>
      <c r="L92" s="342"/>
      <c r="M92" s="285"/>
      <c r="N92" s="285"/>
      <c r="O92" s="285"/>
      <c r="P92" s="285"/>
      <c r="Q92" s="285"/>
      <c r="R92" s="338"/>
      <c r="S92" s="285"/>
      <c r="T92" s="339">
        <v>28</v>
      </c>
      <c r="U92" s="288"/>
      <c r="V92" s="5"/>
    </row>
    <row r="93" spans="1:22" ht="15.6" x14ac:dyDescent="0.3">
      <c r="A93" s="284"/>
      <c r="B93" s="285" t="s">
        <v>261</v>
      </c>
      <c r="C93" s="285"/>
      <c r="D93" s="285"/>
      <c r="E93" s="285"/>
      <c r="F93" s="285"/>
      <c r="G93" s="285"/>
      <c r="H93" s="324"/>
      <c r="I93" s="341"/>
      <c r="J93" s="324"/>
      <c r="K93" s="285"/>
      <c r="L93" s="342"/>
      <c r="M93" s="285"/>
      <c r="N93" s="285"/>
      <c r="O93" s="285"/>
      <c r="P93" s="285"/>
      <c r="Q93" s="285"/>
      <c r="R93" s="338"/>
      <c r="S93" s="285"/>
      <c r="T93" s="339">
        <v>0</v>
      </c>
      <c r="U93" s="288"/>
      <c r="V93" s="5"/>
    </row>
    <row r="94" spans="1:22" ht="15.6" x14ac:dyDescent="0.3">
      <c r="A94" s="284"/>
      <c r="B94" s="285" t="s">
        <v>141</v>
      </c>
      <c r="C94" s="285"/>
      <c r="D94" s="285"/>
      <c r="E94" s="285"/>
      <c r="F94" s="285"/>
      <c r="G94" s="285"/>
      <c r="H94" s="285"/>
      <c r="I94" s="285"/>
      <c r="J94" s="285"/>
      <c r="K94" s="285"/>
      <c r="L94" s="285"/>
      <c r="M94" s="285"/>
      <c r="N94" s="285"/>
      <c r="O94" s="285"/>
      <c r="P94" s="285"/>
      <c r="Q94" s="285"/>
      <c r="R94" s="338"/>
      <c r="S94" s="285"/>
      <c r="T94" s="339">
        <v>0</v>
      </c>
      <c r="U94" s="288"/>
      <c r="V94" s="5"/>
    </row>
    <row r="95" spans="1:22" ht="15.6" x14ac:dyDescent="0.3">
      <c r="A95" s="284"/>
      <c r="B95" s="285" t="s">
        <v>250</v>
      </c>
      <c r="C95" s="285"/>
      <c r="D95" s="285"/>
      <c r="E95" s="285"/>
      <c r="F95" s="285"/>
      <c r="G95" s="285"/>
      <c r="H95" s="285"/>
      <c r="I95" s="285"/>
      <c r="J95" s="285"/>
      <c r="K95" s="285"/>
      <c r="L95" s="285"/>
      <c r="M95" s="285"/>
      <c r="N95" s="285"/>
      <c r="O95" s="285"/>
      <c r="P95" s="285"/>
      <c r="Q95" s="285"/>
      <c r="R95" s="338"/>
      <c r="S95" s="285"/>
      <c r="T95" s="339">
        <v>215</v>
      </c>
      <c r="U95" s="288"/>
      <c r="V95" s="5"/>
    </row>
    <row r="96" spans="1:22" ht="15.6" x14ac:dyDescent="0.3">
      <c r="A96" s="284"/>
      <c r="B96" s="285" t="s">
        <v>30</v>
      </c>
      <c r="C96" s="285"/>
      <c r="D96" s="285"/>
      <c r="E96" s="285"/>
      <c r="F96" s="285"/>
      <c r="G96" s="285"/>
      <c r="H96" s="285"/>
      <c r="I96" s="285"/>
      <c r="J96" s="285"/>
      <c r="K96" s="285"/>
      <c r="L96" s="285"/>
      <c r="M96" s="285"/>
      <c r="N96" s="285"/>
      <c r="O96" s="285"/>
      <c r="P96" s="285"/>
      <c r="Q96" s="285"/>
      <c r="R96" s="338">
        <f>SUM(R88:R95)</f>
        <v>4249</v>
      </c>
      <c r="S96" s="285"/>
      <c r="T96" s="338">
        <f>SUM(T88:T95)</f>
        <v>3675</v>
      </c>
      <c r="U96" s="288"/>
      <c r="V96" s="5"/>
    </row>
    <row r="97" spans="1:24" ht="15.6" x14ac:dyDescent="0.3">
      <c r="A97" s="284"/>
      <c r="B97" s="285" t="s">
        <v>168</v>
      </c>
      <c r="C97" s="285"/>
      <c r="D97" s="285"/>
      <c r="E97" s="285"/>
      <c r="F97" s="285"/>
      <c r="G97" s="285"/>
      <c r="H97" s="285"/>
      <c r="I97" s="285"/>
      <c r="J97" s="285"/>
      <c r="K97" s="285"/>
      <c r="L97" s="285"/>
      <c r="M97" s="285"/>
      <c r="N97" s="285"/>
      <c r="O97" s="285"/>
      <c r="P97" s="285"/>
      <c r="Q97" s="285"/>
      <c r="R97" s="338">
        <v>-3</v>
      </c>
      <c r="S97" s="285"/>
      <c r="T97" s="338">
        <f>-R97</f>
        <v>3</v>
      </c>
      <c r="U97" s="288"/>
      <c r="V97" s="5"/>
    </row>
    <row r="98" spans="1:24" ht="15.6" x14ac:dyDescent="0.3">
      <c r="A98" s="284"/>
      <c r="B98" s="285" t="s">
        <v>31</v>
      </c>
      <c r="C98" s="285"/>
      <c r="D98" s="285"/>
      <c r="E98" s="285"/>
      <c r="F98" s="285"/>
      <c r="G98" s="285"/>
      <c r="H98" s="285"/>
      <c r="I98" s="285"/>
      <c r="J98" s="285"/>
      <c r="K98" s="285"/>
      <c r="L98" s="285"/>
      <c r="M98" s="285"/>
      <c r="N98" s="285"/>
      <c r="O98" s="285"/>
      <c r="P98" s="285"/>
      <c r="Q98" s="285"/>
      <c r="R98" s="338">
        <f>-T98</f>
        <v>0</v>
      </c>
      <c r="S98" s="285"/>
      <c r="T98" s="339">
        <v>0</v>
      </c>
      <c r="U98" s="288"/>
      <c r="V98" s="5"/>
    </row>
    <row r="99" spans="1:24" ht="15.6" x14ac:dyDescent="0.3">
      <c r="A99" s="284"/>
      <c r="B99" s="285" t="s">
        <v>273</v>
      </c>
      <c r="C99" s="285"/>
      <c r="D99" s="285"/>
      <c r="E99" s="285"/>
      <c r="F99" s="285"/>
      <c r="G99" s="285"/>
      <c r="H99" s="285"/>
      <c r="I99" s="285"/>
      <c r="J99" s="285"/>
      <c r="K99" s="285"/>
      <c r="L99" s="285"/>
      <c r="M99" s="285"/>
      <c r="N99" s="285"/>
      <c r="O99" s="285"/>
      <c r="P99" s="285"/>
      <c r="Q99" s="285"/>
      <c r="R99" s="338"/>
      <c r="S99" s="285"/>
      <c r="T99" s="339">
        <v>86</v>
      </c>
      <c r="U99" s="288"/>
      <c r="V99" s="5"/>
    </row>
    <row r="100" spans="1:24" ht="15.6" x14ac:dyDescent="0.3">
      <c r="A100" s="284"/>
      <c r="B100" s="285" t="s">
        <v>32</v>
      </c>
      <c r="C100" s="285"/>
      <c r="D100" s="285"/>
      <c r="E100" s="285"/>
      <c r="F100" s="285"/>
      <c r="G100" s="285"/>
      <c r="H100" s="285"/>
      <c r="I100" s="285"/>
      <c r="J100" s="285"/>
      <c r="K100" s="285"/>
      <c r="L100" s="285"/>
      <c r="M100" s="285"/>
      <c r="N100" s="285"/>
      <c r="O100" s="285"/>
      <c r="P100" s="285"/>
      <c r="Q100" s="285"/>
      <c r="R100" s="338">
        <f>R96+R98+R97</f>
        <v>4246</v>
      </c>
      <c r="S100" s="285"/>
      <c r="T100" s="338">
        <f>T96+T98+T97+T99</f>
        <v>3764</v>
      </c>
      <c r="U100" s="288"/>
      <c r="V100" s="5"/>
    </row>
    <row r="101" spans="1:24" ht="15.6" x14ac:dyDescent="0.3">
      <c r="A101" s="284"/>
      <c r="B101" s="343" t="s">
        <v>33</v>
      </c>
      <c r="C101" s="311"/>
      <c r="D101" s="311"/>
      <c r="E101" s="311"/>
      <c r="F101" s="311"/>
      <c r="G101" s="311"/>
      <c r="H101" s="311"/>
      <c r="I101" s="311"/>
      <c r="J101" s="311"/>
      <c r="K101" s="311"/>
      <c r="L101" s="311"/>
      <c r="M101" s="311"/>
      <c r="N101" s="311"/>
      <c r="O101" s="311"/>
      <c r="P101" s="311"/>
      <c r="Q101" s="311"/>
      <c r="R101" s="344"/>
      <c r="S101" s="311"/>
      <c r="T101" s="345"/>
      <c r="U101" s="317"/>
      <c r="V101" s="5"/>
    </row>
    <row r="102" spans="1:24" ht="15.6" x14ac:dyDescent="0.3">
      <c r="A102" s="337">
        <v>1</v>
      </c>
      <c r="B102" s="285" t="s">
        <v>34</v>
      </c>
      <c r="C102" s="285"/>
      <c r="D102" s="285"/>
      <c r="E102" s="285"/>
      <c r="F102" s="285"/>
      <c r="G102" s="285"/>
      <c r="H102" s="285"/>
      <c r="I102" s="285"/>
      <c r="J102" s="285"/>
      <c r="K102" s="285"/>
      <c r="L102" s="285"/>
      <c r="M102" s="285"/>
      <c r="N102" s="285"/>
      <c r="O102" s="285"/>
      <c r="P102" s="285"/>
      <c r="Q102" s="285"/>
      <c r="R102" s="285"/>
      <c r="S102" s="285"/>
      <c r="T102" s="339">
        <v>0</v>
      </c>
      <c r="U102" s="288"/>
      <c r="V102" s="5"/>
    </row>
    <row r="103" spans="1:24" ht="15.6" x14ac:dyDescent="0.3">
      <c r="A103" s="337">
        <f>+A102+1</f>
        <v>2</v>
      </c>
      <c r="B103" s="285" t="s">
        <v>255</v>
      </c>
      <c r="C103" s="285"/>
      <c r="D103" s="285"/>
      <c r="E103" s="285"/>
      <c r="F103" s="285"/>
      <c r="G103" s="285"/>
      <c r="H103" s="285"/>
      <c r="I103" s="285"/>
      <c r="J103" s="285"/>
      <c r="K103" s="285"/>
      <c r="L103" s="285"/>
      <c r="M103" s="285"/>
      <c r="N103" s="285"/>
      <c r="O103" s="285"/>
      <c r="P103" s="285"/>
      <c r="Q103" s="285"/>
      <c r="R103" s="285"/>
      <c r="S103" s="285"/>
      <c r="T103" s="339">
        <v>-2</v>
      </c>
      <c r="U103" s="288"/>
      <c r="V103" s="5"/>
    </row>
    <row r="104" spans="1:24" ht="15.6" x14ac:dyDescent="0.3">
      <c r="A104" s="337">
        <f>+A103+1</f>
        <v>3</v>
      </c>
      <c r="B104" s="285" t="s">
        <v>213</v>
      </c>
      <c r="C104" s="285"/>
      <c r="D104" s="285"/>
      <c r="E104" s="285"/>
      <c r="F104" s="285"/>
      <c r="G104" s="285"/>
      <c r="H104" s="285"/>
      <c r="I104" s="285"/>
      <c r="J104" s="285"/>
      <c r="K104" s="285"/>
      <c r="L104" s="285"/>
      <c r="M104" s="285"/>
      <c r="N104" s="285"/>
      <c r="O104" s="285"/>
      <c r="P104" s="285"/>
      <c r="Q104" s="285"/>
      <c r="R104" s="285"/>
      <c r="S104" s="285"/>
      <c r="T104" s="339">
        <f>-212-176-7</f>
        <v>-395</v>
      </c>
      <c r="U104" s="288"/>
      <c r="V104" s="5"/>
    </row>
    <row r="105" spans="1:24" ht="15.6" x14ac:dyDescent="0.3">
      <c r="A105" s="337" t="s">
        <v>133</v>
      </c>
      <c r="B105" s="285" t="s">
        <v>122</v>
      </c>
      <c r="C105" s="285"/>
      <c r="D105" s="285"/>
      <c r="E105" s="285"/>
      <c r="F105" s="285"/>
      <c r="G105" s="285"/>
      <c r="H105" s="285"/>
      <c r="I105" s="285"/>
      <c r="J105" s="285"/>
      <c r="K105" s="285"/>
      <c r="L105" s="285"/>
      <c r="M105" s="285"/>
      <c r="N105" s="285"/>
      <c r="O105" s="285"/>
      <c r="P105" s="285"/>
      <c r="Q105" s="285"/>
      <c r="R105" s="285"/>
      <c r="S105" s="285"/>
      <c r="T105" s="339">
        <v>-48</v>
      </c>
      <c r="U105" s="288"/>
      <c r="V105" s="5"/>
    </row>
    <row r="106" spans="1:24" ht="15.6" x14ac:dyDescent="0.3">
      <c r="A106" s="337" t="s">
        <v>134</v>
      </c>
      <c r="B106" s="285" t="s">
        <v>194</v>
      </c>
      <c r="C106" s="285"/>
      <c r="D106" s="285"/>
      <c r="E106" s="285"/>
      <c r="F106" s="285"/>
      <c r="G106" s="285"/>
      <c r="H106" s="285"/>
      <c r="I106" s="285"/>
      <c r="J106" s="285"/>
      <c r="K106" s="285"/>
      <c r="L106" s="285"/>
      <c r="M106" s="285"/>
      <c r="N106" s="285"/>
      <c r="O106" s="285"/>
      <c r="P106" s="285"/>
      <c r="Q106" s="285"/>
      <c r="R106" s="285"/>
      <c r="S106" s="285"/>
      <c r="T106" s="339">
        <f>-747+143</f>
        <v>-604</v>
      </c>
      <c r="U106" s="288"/>
      <c r="V106" s="5"/>
      <c r="W106" s="109"/>
    </row>
    <row r="107" spans="1:24" ht="15.6" x14ac:dyDescent="0.3">
      <c r="A107" s="337" t="s">
        <v>156</v>
      </c>
      <c r="B107" s="285" t="s">
        <v>191</v>
      </c>
      <c r="C107" s="285"/>
      <c r="D107" s="285"/>
      <c r="E107" s="285"/>
      <c r="F107" s="285"/>
      <c r="G107" s="285"/>
      <c r="H107" s="285"/>
      <c r="I107" s="285"/>
      <c r="J107" s="285"/>
      <c r="K107" s="285"/>
      <c r="L107" s="285"/>
      <c r="M107" s="285"/>
      <c r="N107" s="285"/>
      <c r="O107" s="285"/>
      <c r="P107" s="285"/>
      <c r="Q107" s="285"/>
      <c r="R107" s="285"/>
      <c r="S107" s="285"/>
      <c r="T107" s="339">
        <v>-143</v>
      </c>
      <c r="U107" s="288"/>
      <c r="V107" s="5"/>
      <c r="W107" s="109"/>
    </row>
    <row r="108" spans="1:24" ht="15.6" x14ac:dyDescent="0.3">
      <c r="A108" s="337" t="s">
        <v>214</v>
      </c>
      <c r="B108" s="285" t="s">
        <v>192</v>
      </c>
      <c r="C108" s="285"/>
      <c r="D108" s="285"/>
      <c r="E108" s="285"/>
      <c r="F108" s="285"/>
      <c r="G108" s="285"/>
      <c r="H108" s="285"/>
      <c r="I108" s="285"/>
      <c r="J108" s="285"/>
      <c r="K108" s="285"/>
      <c r="L108" s="285"/>
      <c r="M108" s="285"/>
      <c r="N108" s="285"/>
      <c r="O108" s="285"/>
      <c r="P108" s="285"/>
      <c r="Q108" s="285"/>
      <c r="R108" s="285"/>
      <c r="S108" s="285"/>
      <c r="T108" s="339">
        <v>-150</v>
      </c>
      <c r="U108" s="288"/>
      <c r="V108" s="5"/>
      <c r="W108" s="109"/>
      <c r="X108" s="109"/>
    </row>
    <row r="109" spans="1:24" ht="15.6" x14ac:dyDescent="0.3">
      <c r="A109" s="337" t="s">
        <v>215</v>
      </c>
      <c r="B109" s="285" t="s">
        <v>193</v>
      </c>
      <c r="C109" s="285"/>
      <c r="D109" s="285"/>
      <c r="E109" s="285"/>
      <c r="F109" s="285"/>
      <c r="G109" s="285"/>
      <c r="H109" s="285"/>
      <c r="I109" s="285"/>
      <c r="J109" s="285"/>
      <c r="K109" s="285"/>
      <c r="L109" s="285"/>
      <c r="M109" s="285"/>
      <c r="N109" s="285"/>
      <c r="O109" s="285"/>
      <c r="P109" s="285"/>
      <c r="Q109" s="285"/>
      <c r="R109" s="285"/>
      <c r="S109" s="285"/>
      <c r="T109" s="339">
        <v>-41</v>
      </c>
      <c r="U109" s="288"/>
      <c r="V109" s="169"/>
      <c r="W109" s="109"/>
    </row>
    <row r="110" spans="1:24" ht="15.6" x14ac:dyDescent="0.3">
      <c r="A110" s="337" t="s">
        <v>216</v>
      </c>
      <c r="B110" s="285" t="s">
        <v>204</v>
      </c>
      <c r="C110" s="285"/>
      <c r="D110" s="285"/>
      <c r="E110" s="285"/>
      <c r="F110" s="285"/>
      <c r="G110" s="285"/>
      <c r="H110" s="285"/>
      <c r="I110" s="285"/>
      <c r="J110" s="285"/>
      <c r="K110" s="285"/>
      <c r="L110" s="285"/>
      <c r="M110" s="285"/>
      <c r="N110" s="285"/>
      <c r="O110" s="285"/>
      <c r="P110" s="285"/>
      <c r="Q110" s="285"/>
      <c r="R110" s="285"/>
      <c r="S110" s="285"/>
      <c r="T110" s="339">
        <v>-230</v>
      </c>
      <c r="U110" s="288"/>
      <c r="V110" s="5"/>
      <c r="W110" s="109"/>
    </row>
    <row r="111" spans="1:24" ht="15.6" x14ac:dyDescent="0.3">
      <c r="A111" s="337">
        <v>7</v>
      </c>
      <c r="B111" s="285" t="s">
        <v>35</v>
      </c>
      <c r="C111" s="285"/>
      <c r="D111" s="285"/>
      <c r="E111" s="285"/>
      <c r="F111" s="285"/>
      <c r="G111" s="285"/>
      <c r="H111" s="285"/>
      <c r="I111" s="285"/>
      <c r="J111" s="285"/>
      <c r="K111" s="285"/>
      <c r="L111" s="285"/>
      <c r="M111" s="285"/>
      <c r="N111" s="285"/>
      <c r="O111" s="285"/>
      <c r="P111" s="285"/>
      <c r="Q111" s="285"/>
      <c r="R111" s="285"/>
      <c r="S111" s="285"/>
      <c r="T111" s="339">
        <v>-10</v>
      </c>
      <c r="U111" s="288"/>
      <c r="V111" s="5"/>
    </row>
    <row r="112" spans="1:24" ht="15.6" x14ac:dyDescent="0.3">
      <c r="A112" s="337">
        <f t="shared" ref="A112:A117" si="0">+A111+1</f>
        <v>8</v>
      </c>
      <c r="B112" s="285" t="s">
        <v>46</v>
      </c>
      <c r="C112" s="285"/>
      <c r="D112" s="285"/>
      <c r="E112" s="285"/>
      <c r="F112" s="285"/>
      <c r="G112" s="285"/>
      <c r="H112" s="285"/>
      <c r="I112" s="285"/>
      <c r="J112" s="285"/>
      <c r="K112" s="285"/>
      <c r="L112" s="285"/>
      <c r="M112" s="285"/>
      <c r="N112" s="285"/>
      <c r="O112" s="285"/>
      <c r="P112" s="285"/>
      <c r="Q112" s="285"/>
      <c r="R112" s="338">
        <f>-T112</f>
        <v>70</v>
      </c>
      <c r="S112" s="285"/>
      <c r="T112" s="339">
        <v>-70</v>
      </c>
      <c r="U112" s="288"/>
      <c r="V112" s="5"/>
    </row>
    <row r="113" spans="1:22" ht="15.6" x14ac:dyDescent="0.3">
      <c r="A113" s="337">
        <f t="shared" si="0"/>
        <v>9</v>
      </c>
      <c r="B113" s="285" t="s">
        <v>131</v>
      </c>
      <c r="C113" s="285"/>
      <c r="D113" s="285"/>
      <c r="E113" s="285"/>
      <c r="F113" s="285"/>
      <c r="G113" s="285"/>
      <c r="H113" s="285"/>
      <c r="I113" s="285"/>
      <c r="J113" s="285"/>
      <c r="K113" s="285"/>
      <c r="L113" s="285"/>
      <c r="M113" s="285"/>
      <c r="N113" s="285"/>
      <c r="O113" s="285"/>
      <c r="P113" s="285"/>
      <c r="Q113" s="285"/>
      <c r="R113" s="285"/>
      <c r="S113" s="285"/>
      <c r="T113" s="339">
        <v>0</v>
      </c>
      <c r="U113" s="288"/>
      <c r="V113" s="5"/>
    </row>
    <row r="114" spans="1:22" ht="15.6" x14ac:dyDescent="0.3">
      <c r="A114" s="337">
        <f t="shared" si="0"/>
        <v>10</v>
      </c>
      <c r="B114" s="285" t="s">
        <v>36</v>
      </c>
      <c r="C114" s="285"/>
      <c r="D114" s="285"/>
      <c r="E114" s="285"/>
      <c r="F114" s="285"/>
      <c r="G114" s="285"/>
      <c r="H114" s="285"/>
      <c r="I114" s="285"/>
      <c r="J114" s="285"/>
      <c r="K114" s="285"/>
      <c r="L114" s="285"/>
      <c r="M114" s="285"/>
      <c r="N114" s="285"/>
      <c r="O114" s="285"/>
      <c r="P114" s="285"/>
      <c r="Q114" s="285"/>
      <c r="R114" s="285"/>
      <c r="S114" s="285"/>
      <c r="T114" s="339">
        <v>0</v>
      </c>
      <c r="U114" s="288"/>
      <c r="V114" s="5"/>
    </row>
    <row r="115" spans="1:22" ht="15.6" x14ac:dyDescent="0.3">
      <c r="A115" s="337">
        <f t="shared" si="0"/>
        <v>11</v>
      </c>
      <c r="B115" s="285" t="s">
        <v>37</v>
      </c>
      <c r="C115" s="285"/>
      <c r="D115" s="285"/>
      <c r="E115" s="285"/>
      <c r="F115" s="285"/>
      <c r="G115" s="285"/>
      <c r="H115" s="285"/>
      <c r="I115" s="285"/>
      <c r="J115" s="285"/>
      <c r="K115" s="285"/>
      <c r="L115" s="285"/>
      <c r="M115" s="285"/>
      <c r="N115" s="285"/>
      <c r="O115" s="285"/>
      <c r="P115" s="285"/>
      <c r="Q115" s="285"/>
      <c r="R115" s="285"/>
      <c r="S115" s="285"/>
      <c r="T115" s="339">
        <v>0</v>
      </c>
      <c r="U115" s="288"/>
      <c r="V115" s="5"/>
    </row>
    <row r="116" spans="1:22" ht="15.6" x14ac:dyDescent="0.3">
      <c r="A116" s="337">
        <f t="shared" si="0"/>
        <v>12</v>
      </c>
      <c r="B116" s="285" t="s">
        <v>155</v>
      </c>
      <c r="C116" s="285"/>
      <c r="D116" s="285"/>
      <c r="E116" s="285"/>
      <c r="F116" s="285"/>
      <c r="G116" s="285"/>
      <c r="H116" s="285"/>
      <c r="I116" s="285"/>
      <c r="J116" s="285"/>
      <c r="K116" s="285"/>
      <c r="L116" s="285"/>
      <c r="M116" s="285"/>
      <c r="N116" s="285"/>
      <c r="O116" s="285"/>
      <c r="P116" s="285"/>
      <c r="Q116" s="285"/>
      <c r="R116" s="285"/>
      <c r="S116" s="285"/>
      <c r="T116" s="339">
        <v>-211</v>
      </c>
      <c r="U116" s="288"/>
      <c r="V116" s="5"/>
    </row>
    <row r="117" spans="1:22" ht="15.6" x14ac:dyDescent="0.3">
      <c r="A117" s="337">
        <f t="shared" si="0"/>
        <v>13</v>
      </c>
      <c r="B117" s="285" t="s">
        <v>132</v>
      </c>
      <c r="C117" s="285"/>
      <c r="D117" s="285"/>
      <c r="E117" s="285"/>
      <c r="F117" s="285"/>
      <c r="G117" s="285"/>
      <c r="H117" s="285"/>
      <c r="I117" s="285"/>
      <c r="J117" s="285"/>
      <c r="K117" s="285"/>
      <c r="L117" s="285"/>
      <c r="M117" s="285"/>
      <c r="N117" s="285"/>
      <c r="O117" s="285"/>
      <c r="P117" s="285"/>
      <c r="Q117" s="285"/>
      <c r="R117" s="285"/>
      <c r="S117" s="285"/>
      <c r="T117" s="339">
        <f>-T100-SUM(T102:T116)</f>
        <v>-1860</v>
      </c>
      <c r="U117" s="288"/>
      <c r="V117" s="5"/>
    </row>
    <row r="118" spans="1:22" ht="15.6" x14ac:dyDescent="0.3">
      <c r="A118" s="284"/>
      <c r="B118" s="343" t="s">
        <v>38</v>
      </c>
      <c r="C118" s="311"/>
      <c r="D118" s="311"/>
      <c r="E118" s="311"/>
      <c r="F118" s="311"/>
      <c r="G118" s="311"/>
      <c r="H118" s="311"/>
      <c r="I118" s="311"/>
      <c r="J118" s="311"/>
      <c r="K118" s="311"/>
      <c r="L118" s="311"/>
      <c r="M118" s="311"/>
      <c r="N118" s="311"/>
      <c r="O118" s="311"/>
      <c r="P118" s="311"/>
      <c r="Q118" s="311"/>
      <c r="R118" s="311"/>
      <c r="S118" s="311"/>
      <c r="T118" s="346"/>
      <c r="U118" s="317"/>
      <c r="V118" s="5"/>
    </row>
    <row r="119" spans="1:22" ht="15.6" x14ac:dyDescent="0.3">
      <c r="A119" s="337"/>
      <c r="B119" s="285" t="s">
        <v>180</v>
      </c>
      <c r="C119" s="285"/>
      <c r="D119" s="285"/>
      <c r="E119" s="285"/>
      <c r="F119" s="285"/>
      <c r="G119" s="285"/>
      <c r="H119" s="285"/>
      <c r="I119" s="285"/>
      <c r="J119" s="285"/>
      <c r="K119" s="285"/>
      <c r="L119" s="285"/>
      <c r="M119" s="285"/>
      <c r="N119" s="285"/>
      <c r="O119" s="285"/>
      <c r="P119" s="285"/>
      <c r="Q119" s="285"/>
      <c r="R119" s="338">
        <f>-R177</f>
        <v>0</v>
      </c>
      <c r="S119" s="338"/>
      <c r="T119" s="339"/>
      <c r="U119" s="288"/>
      <c r="V119" s="5"/>
    </row>
    <row r="120" spans="1:22" ht="15.6" x14ac:dyDescent="0.3">
      <c r="A120" s="337"/>
      <c r="B120" s="285" t="s">
        <v>181</v>
      </c>
      <c r="C120" s="285"/>
      <c r="D120" s="285"/>
      <c r="E120" s="285"/>
      <c r="F120" s="285"/>
      <c r="G120" s="285"/>
      <c r="H120" s="285"/>
      <c r="I120" s="285"/>
      <c r="J120" s="285"/>
      <c r="K120" s="285"/>
      <c r="L120" s="285"/>
      <c r="M120" s="285"/>
      <c r="N120" s="285"/>
      <c r="O120" s="285"/>
      <c r="P120" s="285"/>
      <c r="Q120" s="285"/>
      <c r="R120" s="338">
        <v>-20</v>
      </c>
      <c r="S120" s="338"/>
      <c r="T120" s="339"/>
      <c r="U120" s="288"/>
      <c r="V120" s="5"/>
    </row>
    <row r="121" spans="1:22" ht="15.6" x14ac:dyDescent="0.3">
      <c r="A121" s="337"/>
      <c r="B121" s="285" t="s">
        <v>39</v>
      </c>
      <c r="C121" s="285"/>
      <c r="D121" s="285"/>
      <c r="E121" s="285"/>
      <c r="F121" s="285"/>
      <c r="G121" s="285"/>
      <c r="H121" s="285"/>
      <c r="I121" s="285"/>
      <c r="J121" s="285"/>
      <c r="K121" s="285"/>
      <c r="L121" s="285"/>
      <c r="M121" s="285"/>
      <c r="N121" s="285"/>
      <c r="O121" s="285"/>
      <c r="P121" s="285"/>
      <c r="Q121" s="285"/>
      <c r="R121" s="338">
        <f>-Q177</f>
        <v>0</v>
      </c>
      <c r="S121" s="338"/>
      <c r="T121" s="339"/>
      <c r="U121" s="288"/>
      <c r="V121" s="5"/>
    </row>
    <row r="122" spans="1:22" ht="15.6" x14ac:dyDescent="0.3">
      <c r="A122" s="337"/>
      <c r="B122" s="285" t="s">
        <v>205</v>
      </c>
      <c r="C122" s="285"/>
      <c r="D122" s="285"/>
      <c r="E122" s="285"/>
      <c r="F122" s="285"/>
      <c r="G122" s="285"/>
      <c r="H122" s="285"/>
      <c r="I122" s="285"/>
      <c r="J122" s="285"/>
      <c r="K122" s="285"/>
      <c r="L122" s="285"/>
      <c r="M122" s="285"/>
      <c r="N122" s="285"/>
      <c r="O122" s="285"/>
      <c r="P122" s="285"/>
      <c r="Q122" s="285"/>
      <c r="R122" s="338">
        <v>-2809</v>
      </c>
      <c r="S122" s="338"/>
      <c r="T122" s="339"/>
      <c r="U122" s="288"/>
      <c r="V122" s="5"/>
    </row>
    <row r="123" spans="1:22" ht="15.6" x14ac:dyDescent="0.3">
      <c r="A123" s="337"/>
      <c r="B123" s="285" t="s">
        <v>203</v>
      </c>
      <c r="C123" s="285"/>
      <c r="D123" s="285"/>
      <c r="E123" s="285"/>
      <c r="F123" s="285"/>
      <c r="G123" s="285"/>
      <c r="H123" s="285"/>
      <c r="I123" s="285"/>
      <c r="J123" s="285"/>
      <c r="K123" s="285"/>
      <c r="L123" s="285"/>
      <c r="M123" s="285"/>
      <c r="N123" s="285"/>
      <c r="O123" s="285"/>
      <c r="P123" s="285"/>
      <c r="Q123" s="285"/>
      <c r="R123" s="338">
        <v>-740</v>
      </c>
      <c r="S123" s="338"/>
      <c r="T123" s="339"/>
      <c r="U123" s="288"/>
      <c r="V123" s="5"/>
    </row>
    <row r="124" spans="1:22" ht="15.6" x14ac:dyDescent="0.3">
      <c r="A124" s="337"/>
      <c r="B124" s="285" t="s">
        <v>202</v>
      </c>
      <c r="C124" s="285"/>
      <c r="D124" s="285"/>
      <c r="E124" s="285"/>
      <c r="F124" s="285"/>
      <c r="G124" s="285"/>
      <c r="H124" s="285"/>
      <c r="I124" s="285"/>
      <c r="J124" s="285"/>
      <c r="K124" s="285"/>
      <c r="L124" s="285"/>
      <c r="M124" s="285"/>
      <c r="N124" s="285"/>
      <c r="O124" s="285"/>
      <c r="P124" s="285"/>
      <c r="Q124" s="285"/>
      <c r="R124" s="338">
        <v>-747</v>
      </c>
      <c r="S124" s="338"/>
      <c r="T124" s="339"/>
      <c r="U124" s="288"/>
      <c r="V124" s="5"/>
    </row>
    <row r="125" spans="1:22" ht="15.6" x14ac:dyDescent="0.3">
      <c r="A125" s="337"/>
      <c r="B125" s="285" t="s">
        <v>197</v>
      </c>
      <c r="C125" s="285"/>
      <c r="D125" s="285"/>
      <c r="E125" s="285"/>
      <c r="F125" s="285"/>
      <c r="G125" s="285"/>
      <c r="H125" s="285"/>
      <c r="I125" s="285"/>
      <c r="J125" s="285"/>
      <c r="K125" s="285"/>
      <c r="L125" s="285"/>
      <c r="M125" s="285"/>
      <c r="N125" s="285"/>
      <c r="O125" s="285"/>
      <c r="P125" s="285"/>
      <c r="Q125" s="285"/>
      <c r="R125" s="338">
        <v>0</v>
      </c>
      <c r="S125" s="338"/>
      <c r="T125" s="339"/>
      <c r="U125" s="288"/>
      <c r="V125" s="5"/>
    </row>
    <row r="126" spans="1:22" ht="15.6" x14ac:dyDescent="0.3">
      <c r="A126" s="337"/>
      <c r="B126" s="285" t="s">
        <v>196</v>
      </c>
      <c r="C126" s="285"/>
      <c r="D126" s="285"/>
      <c r="E126" s="285"/>
      <c r="F126" s="285"/>
      <c r="G126" s="285"/>
      <c r="H126" s="285"/>
      <c r="I126" s="285"/>
      <c r="J126" s="285"/>
      <c r="K126" s="285"/>
      <c r="L126" s="285"/>
      <c r="M126" s="285"/>
      <c r="N126" s="285"/>
      <c r="O126" s="285"/>
      <c r="P126" s="285"/>
      <c r="Q126" s="285"/>
      <c r="R126" s="338">
        <v>0</v>
      </c>
      <c r="S126" s="338"/>
      <c r="T126" s="339"/>
      <c r="U126" s="288"/>
      <c r="V126" s="5"/>
    </row>
    <row r="127" spans="1:22" ht="15.6" x14ac:dyDescent="0.3">
      <c r="A127" s="337"/>
      <c r="B127" s="285" t="s">
        <v>195</v>
      </c>
      <c r="C127" s="285"/>
      <c r="D127" s="285"/>
      <c r="E127" s="285"/>
      <c r="F127" s="285"/>
      <c r="G127" s="285"/>
      <c r="H127" s="285"/>
      <c r="I127" s="285"/>
      <c r="J127" s="285"/>
      <c r="K127" s="285"/>
      <c r="L127" s="285"/>
      <c r="M127" s="285"/>
      <c r="N127" s="285"/>
      <c r="O127" s="285"/>
      <c r="P127" s="285"/>
      <c r="Q127" s="285"/>
      <c r="R127" s="338">
        <v>0</v>
      </c>
      <c r="S127" s="338"/>
      <c r="T127" s="339"/>
      <c r="U127" s="288"/>
      <c r="V127" s="5"/>
    </row>
    <row r="128" spans="1:22" ht="15.6" x14ac:dyDescent="0.3">
      <c r="A128" s="337"/>
      <c r="B128" s="285" t="s">
        <v>40</v>
      </c>
      <c r="C128" s="285"/>
      <c r="D128" s="285"/>
      <c r="E128" s="285"/>
      <c r="F128" s="285"/>
      <c r="G128" s="285"/>
      <c r="H128" s="285"/>
      <c r="I128" s="285"/>
      <c r="J128" s="285"/>
      <c r="K128" s="285"/>
      <c r="L128" s="285"/>
      <c r="M128" s="285"/>
      <c r="N128" s="285"/>
      <c r="O128" s="285"/>
      <c r="P128" s="285"/>
      <c r="Q128" s="285"/>
      <c r="R128" s="338">
        <f>SUM(R119:R127)</f>
        <v>-4316</v>
      </c>
      <c r="S128" s="338"/>
      <c r="T128" s="338">
        <f>SUM(T101:T126)</f>
        <v>-3764</v>
      </c>
      <c r="U128" s="288"/>
      <c r="V128" s="5"/>
    </row>
    <row r="129" spans="1:23" ht="15.6" x14ac:dyDescent="0.3">
      <c r="A129" s="337"/>
      <c r="B129" s="285" t="s">
        <v>41</v>
      </c>
      <c r="C129" s="285"/>
      <c r="D129" s="285"/>
      <c r="E129" s="285"/>
      <c r="F129" s="285"/>
      <c r="G129" s="285"/>
      <c r="H129" s="285"/>
      <c r="I129" s="285"/>
      <c r="J129" s="285"/>
      <c r="K129" s="285"/>
      <c r="L129" s="285"/>
      <c r="M129" s="285"/>
      <c r="N129" s="285"/>
      <c r="O129" s="285"/>
      <c r="P129" s="285"/>
      <c r="Q129" s="285"/>
      <c r="R129" s="338">
        <f>R100+R128+R112</f>
        <v>0</v>
      </c>
      <c r="S129" s="338"/>
      <c r="T129" s="338">
        <f>T100+T128</f>
        <v>0</v>
      </c>
      <c r="U129" s="288"/>
      <c r="V129" s="5"/>
    </row>
    <row r="130" spans="1:23" ht="15.6" x14ac:dyDescent="0.3">
      <c r="A130" s="256"/>
      <c r="B130" s="281"/>
      <c r="C130" s="281"/>
      <c r="D130" s="281"/>
      <c r="E130" s="281"/>
      <c r="F130" s="281"/>
      <c r="G130" s="281"/>
      <c r="H130" s="281"/>
      <c r="I130" s="281"/>
      <c r="J130" s="281"/>
      <c r="K130" s="281"/>
      <c r="L130" s="281"/>
      <c r="M130" s="281"/>
      <c r="N130" s="281"/>
      <c r="O130" s="281"/>
      <c r="P130" s="281"/>
      <c r="Q130" s="281"/>
      <c r="R130" s="340"/>
      <c r="S130" s="340"/>
      <c r="T130" s="340"/>
      <c r="U130" s="281"/>
      <c r="V130" s="5"/>
    </row>
    <row r="131" spans="1:23" ht="15.6" x14ac:dyDescent="0.3">
      <c r="A131" s="256"/>
      <c r="B131" s="231"/>
      <c r="C131" s="231"/>
      <c r="D131" s="231"/>
      <c r="E131" s="231"/>
      <c r="F131" s="231"/>
      <c r="G131" s="231"/>
      <c r="H131" s="231"/>
      <c r="I131" s="231"/>
      <c r="J131" s="231"/>
      <c r="K131" s="231"/>
      <c r="L131" s="231"/>
      <c r="M131" s="231"/>
      <c r="N131" s="231"/>
      <c r="O131" s="231"/>
      <c r="P131" s="231"/>
      <c r="Q131" s="231"/>
      <c r="R131" s="231"/>
      <c r="S131" s="231"/>
      <c r="T131" s="257"/>
      <c r="U131" s="231"/>
      <c r="V131" s="5"/>
    </row>
    <row r="132" spans="1:23" ht="18" thickBot="1" x14ac:dyDescent="0.35">
      <c r="A132" s="258"/>
      <c r="B132" s="246" t="str">
        <f>B64</f>
        <v>PM11 INVESTOR REPORT QUARTER ENDING DECEMBER 2012</v>
      </c>
      <c r="C132" s="247"/>
      <c r="D132" s="247"/>
      <c r="E132" s="247"/>
      <c r="F132" s="247"/>
      <c r="G132" s="247"/>
      <c r="H132" s="247"/>
      <c r="I132" s="247"/>
      <c r="J132" s="247"/>
      <c r="K132" s="247"/>
      <c r="L132" s="247"/>
      <c r="M132" s="247"/>
      <c r="N132" s="247"/>
      <c r="O132" s="247"/>
      <c r="P132" s="247"/>
      <c r="Q132" s="247"/>
      <c r="R132" s="247"/>
      <c r="S132" s="247"/>
      <c r="T132" s="259"/>
      <c r="U132" s="249"/>
      <c r="V132" s="5"/>
    </row>
    <row r="133" spans="1:23" ht="15.6" x14ac:dyDescent="0.3">
      <c r="A133" s="260"/>
      <c r="B133" s="399" t="s">
        <v>42</v>
      </c>
      <c r="C133" s="261"/>
      <c r="D133" s="261"/>
      <c r="E133" s="261"/>
      <c r="F133" s="261"/>
      <c r="G133" s="261"/>
      <c r="H133" s="261"/>
      <c r="I133" s="261"/>
      <c r="J133" s="261"/>
      <c r="K133" s="261"/>
      <c r="L133" s="261"/>
      <c r="M133" s="261"/>
      <c r="N133" s="261"/>
      <c r="O133" s="261"/>
      <c r="P133" s="261"/>
      <c r="Q133" s="261"/>
      <c r="R133" s="261"/>
      <c r="S133" s="261"/>
      <c r="T133" s="262"/>
      <c r="U133" s="261"/>
      <c r="V133" s="5"/>
    </row>
    <row r="134" spans="1:23" ht="15.6" x14ac:dyDescent="0.3">
      <c r="A134" s="175"/>
      <c r="B134" s="187"/>
      <c r="C134" s="177"/>
      <c r="D134" s="177"/>
      <c r="E134" s="177"/>
      <c r="F134" s="177"/>
      <c r="G134" s="177"/>
      <c r="H134" s="177"/>
      <c r="I134" s="177"/>
      <c r="J134" s="177"/>
      <c r="K134" s="177"/>
      <c r="L134" s="177"/>
      <c r="M134" s="177"/>
      <c r="N134" s="177"/>
      <c r="O134" s="177"/>
      <c r="P134" s="177"/>
      <c r="Q134" s="177"/>
      <c r="R134" s="177"/>
      <c r="S134" s="177"/>
      <c r="T134" s="194"/>
      <c r="U134" s="177"/>
      <c r="V134" s="5"/>
    </row>
    <row r="135" spans="1:23" ht="15.6" x14ac:dyDescent="0.3">
      <c r="A135" s="175"/>
      <c r="B135" s="201" t="s">
        <v>43</v>
      </c>
      <c r="C135" s="177"/>
      <c r="D135" s="177"/>
      <c r="E135" s="177"/>
      <c r="F135" s="177"/>
      <c r="G135" s="177"/>
      <c r="H135" s="177"/>
      <c r="I135" s="177"/>
      <c r="J135" s="177"/>
      <c r="K135" s="177"/>
      <c r="L135" s="177"/>
      <c r="M135" s="177"/>
      <c r="N135" s="177"/>
      <c r="O135" s="177"/>
      <c r="P135" s="177"/>
      <c r="Q135" s="177"/>
      <c r="R135" s="177"/>
      <c r="S135" s="177"/>
      <c r="T135" s="194"/>
      <c r="U135" s="177"/>
      <c r="V135" s="5"/>
    </row>
    <row r="136" spans="1:23" ht="15.6" x14ac:dyDescent="0.3">
      <c r="A136" s="284"/>
      <c r="B136" s="285" t="s">
        <v>44</v>
      </c>
      <c r="C136" s="285"/>
      <c r="D136" s="285"/>
      <c r="E136" s="285"/>
      <c r="F136" s="285"/>
      <c r="G136" s="285"/>
      <c r="H136" s="285"/>
      <c r="I136" s="285"/>
      <c r="J136" s="285"/>
      <c r="K136" s="285"/>
      <c r="L136" s="285"/>
      <c r="M136" s="285"/>
      <c r="N136" s="285"/>
      <c r="O136" s="285"/>
      <c r="P136" s="285"/>
      <c r="Q136" s="285"/>
      <c r="R136" s="285"/>
      <c r="S136" s="285"/>
      <c r="T136" s="339">
        <f>+T34*0.019</f>
        <v>19000.95</v>
      </c>
      <c r="U136" s="288"/>
      <c r="V136" s="5"/>
    </row>
    <row r="137" spans="1:23" ht="15.6" x14ac:dyDescent="0.3">
      <c r="A137" s="284"/>
      <c r="B137" s="285" t="s">
        <v>45</v>
      </c>
      <c r="C137" s="285"/>
      <c r="D137" s="285"/>
      <c r="E137" s="285"/>
      <c r="F137" s="285"/>
      <c r="G137" s="285"/>
      <c r="H137" s="285"/>
      <c r="I137" s="285"/>
      <c r="J137" s="285"/>
      <c r="K137" s="285"/>
      <c r="L137" s="285"/>
      <c r="M137" s="285"/>
      <c r="N137" s="285"/>
      <c r="O137" s="285"/>
      <c r="P137" s="285"/>
      <c r="Q137" s="285"/>
      <c r="R137" s="285"/>
      <c r="S137" s="285"/>
      <c r="T137" s="339">
        <v>19001</v>
      </c>
      <c r="U137" s="288"/>
      <c r="V137" s="5"/>
    </row>
    <row r="138" spans="1:23" ht="15.6" x14ac:dyDescent="0.3">
      <c r="A138" s="284"/>
      <c r="B138" s="285" t="s">
        <v>142</v>
      </c>
      <c r="C138" s="285"/>
      <c r="D138" s="285"/>
      <c r="E138" s="285"/>
      <c r="F138" s="285"/>
      <c r="G138" s="285"/>
      <c r="H138" s="285"/>
      <c r="I138" s="285"/>
      <c r="J138" s="285"/>
      <c r="K138" s="285"/>
      <c r="L138" s="285"/>
      <c r="M138" s="285"/>
      <c r="N138" s="285"/>
      <c r="O138" s="285"/>
      <c r="P138" s="285"/>
      <c r="Q138" s="285"/>
      <c r="R138" s="285"/>
      <c r="S138" s="285"/>
      <c r="T138" s="339">
        <v>0</v>
      </c>
      <c r="U138" s="288"/>
      <c r="V138" s="5"/>
    </row>
    <row r="139" spans="1:23" ht="15.6" x14ac:dyDescent="0.3">
      <c r="A139" s="284"/>
      <c r="B139" s="285" t="s">
        <v>129</v>
      </c>
      <c r="C139" s="285"/>
      <c r="D139" s="285"/>
      <c r="E139" s="285"/>
      <c r="F139" s="285"/>
      <c r="G139" s="285"/>
      <c r="H139" s="285"/>
      <c r="I139" s="285"/>
      <c r="J139" s="285"/>
      <c r="K139" s="285"/>
      <c r="L139" s="285"/>
      <c r="M139" s="285"/>
      <c r="N139" s="285"/>
      <c r="O139" s="285"/>
      <c r="P139" s="285"/>
      <c r="Q139" s="285"/>
      <c r="R139" s="285"/>
      <c r="S139" s="285"/>
      <c r="T139" s="339">
        <v>0</v>
      </c>
      <c r="U139" s="288"/>
      <c r="V139" s="5"/>
    </row>
    <row r="140" spans="1:23" ht="15.6" x14ac:dyDescent="0.3">
      <c r="A140" s="284"/>
      <c r="B140" s="285" t="s">
        <v>130</v>
      </c>
      <c r="C140" s="285"/>
      <c r="D140" s="285"/>
      <c r="E140" s="285"/>
      <c r="F140" s="285"/>
      <c r="G140" s="285"/>
      <c r="H140" s="285"/>
      <c r="I140" s="285"/>
      <c r="J140" s="285"/>
      <c r="K140" s="285"/>
      <c r="L140" s="285"/>
      <c r="M140" s="285"/>
      <c r="N140" s="285"/>
      <c r="O140" s="285"/>
      <c r="P140" s="285"/>
      <c r="Q140" s="285"/>
      <c r="R140" s="285"/>
      <c r="S140" s="285"/>
      <c r="T140" s="339">
        <v>0</v>
      </c>
      <c r="U140" s="288"/>
      <c r="V140" s="5"/>
    </row>
    <row r="141" spans="1:23" ht="15.6" x14ac:dyDescent="0.3">
      <c r="A141" s="284"/>
      <c r="B141" s="285" t="s">
        <v>182</v>
      </c>
      <c r="C141" s="285"/>
      <c r="D141" s="285"/>
      <c r="E141" s="285"/>
      <c r="F141" s="285"/>
      <c r="G141" s="285"/>
      <c r="H141" s="285"/>
      <c r="I141" s="285"/>
      <c r="J141" s="285"/>
      <c r="K141" s="285"/>
      <c r="L141" s="285"/>
      <c r="M141" s="285"/>
      <c r="N141" s="285"/>
      <c r="O141" s="285"/>
      <c r="P141" s="285"/>
      <c r="Q141" s="285"/>
      <c r="R141" s="285"/>
      <c r="S141" s="285"/>
      <c r="T141" s="339">
        <v>0</v>
      </c>
      <c r="U141" s="288"/>
      <c r="V141" s="5"/>
    </row>
    <row r="142" spans="1:23" ht="15.6" x14ac:dyDescent="0.3">
      <c r="A142" s="284"/>
      <c r="B142" s="285" t="s">
        <v>46</v>
      </c>
      <c r="C142" s="285"/>
      <c r="D142" s="285"/>
      <c r="E142" s="285"/>
      <c r="F142" s="285"/>
      <c r="G142" s="285"/>
      <c r="H142" s="285"/>
      <c r="I142" s="285"/>
      <c r="J142" s="285"/>
      <c r="K142" s="285"/>
      <c r="L142" s="285"/>
      <c r="M142" s="285"/>
      <c r="N142" s="285"/>
      <c r="O142" s="285"/>
      <c r="P142" s="285"/>
      <c r="Q142" s="285"/>
      <c r="R142" s="285"/>
      <c r="S142" s="285"/>
      <c r="T142" s="339">
        <v>0</v>
      </c>
      <c r="U142" s="288"/>
      <c r="V142" s="5"/>
    </row>
    <row r="143" spans="1:23" ht="15.6" x14ac:dyDescent="0.3">
      <c r="A143" s="284"/>
      <c r="B143" s="285" t="s">
        <v>135</v>
      </c>
      <c r="C143" s="285"/>
      <c r="D143" s="285"/>
      <c r="E143" s="285"/>
      <c r="F143" s="285"/>
      <c r="G143" s="285"/>
      <c r="H143" s="285"/>
      <c r="I143" s="285"/>
      <c r="J143" s="285"/>
      <c r="K143" s="285"/>
      <c r="L143" s="285"/>
      <c r="M143" s="285"/>
      <c r="N143" s="285"/>
      <c r="O143" s="285"/>
      <c r="P143" s="285"/>
      <c r="Q143" s="285"/>
      <c r="R143" s="285"/>
      <c r="S143" s="285"/>
      <c r="T143" s="339">
        <v>0</v>
      </c>
      <c r="U143" s="288"/>
      <c r="V143" s="5"/>
    </row>
    <row r="144" spans="1:23" ht="15.6" x14ac:dyDescent="0.3">
      <c r="A144" s="284"/>
      <c r="B144" s="285" t="s">
        <v>251</v>
      </c>
      <c r="C144" s="285"/>
      <c r="D144" s="285"/>
      <c r="E144" s="285"/>
      <c r="F144" s="285"/>
      <c r="G144" s="285"/>
      <c r="H144" s="285"/>
      <c r="I144" s="285"/>
      <c r="J144" s="285"/>
      <c r="K144" s="285"/>
      <c r="L144" s="285"/>
      <c r="M144" s="285"/>
      <c r="N144" s="285"/>
      <c r="O144" s="285"/>
      <c r="P144" s="285"/>
      <c r="Q144" s="285"/>
      <c r="R144" s="285"/>
      <c r="S144" s="285"/>
      <c r="T144" s="339">
        <v>0</v>
      </c>
      <c r="U144" s="288"/>
      <c r="V144" s="5"/>
      <c r="W144" s="109"/>
    </row>
    <row r="145" spans="1:22" ht="15.6" x14ac:dyDescent="0.3">
      <c r="A145" s="284"/>
      <c r="B145" s="285" t="s">
        <v>47</v>
      </c>
      <c r="C145" s="285"/>
      <c r="D145" s="285"/>
      <c r="E145" s="285"/>
      <c r="F145" s="285"/>
      <c r="G145" s="285"/>
      <c r="H145" s="285"/>
      <c r="I145" s="285"/>
      <c r="J145" s="285"/>
      <c r="K145" s="285"/>
      <c r="L145" s="285"/>
      <c r="M145" s="285"/>
      <c r="N145" s="285"/>
      <c r="O145" s="285"/>
      <c r="P145" s="285"/>
      <c r="Q145" s="285"/>
      <c r="R145" s="285"/>
      <c r="S145" s="285"/>
      <c r="T145" s="339">
        <f>SUM(T137:T144)</f>
        <v>19001</v>
      </c>
      <c r="U145" s="288"/>
      <c r="V145" s="5"/>
    </row>
    <row r="146" spans="1:22" ht="15.6" x14ac:dyDescent="0.3">
      <c r="A146" s="284"/>
      <c r="B146" s="311"/>
      <c r="C146" s="311"/>
      <c r="D146" s="311"/>
      <c r="E146" s="311"/>
      <c r="F146" s="311"/>
      <c r="G146" s="311"/>
      <c r="H146" s="311"/>
      <c r="I146" s="311"/>
      <c r="J146" s="311"/>
      <c r="K146" s="311"/>
      <c r="L146" s="311"/>
      <c r="M146" s="311"/>
      <c r="N146" s="311"/>
      <c r="O146" s="311"/>
      <c r="P146" s="311"/>
      <c r="Q146" s="311"/>
      <c r="R146" s="311"/>
      <c r="S146" s="311"/>
      <c r="T146" s="345"/>
      <c r="U146" s="317"/>
      <c r="V146" s="5"/>
    </row>
    <row r="147" spans="1:22" ht="15.6" x14ac:dyDescent="0.3">
      <c r="A147" s="284"/>
      <c r="B147" s="343" t="s">
        <v>262</v>
      </c>
      <c r="C147" s="311"/>
      <c r="D147" s="311"/>
      <c r="E147" s="311"/>
      <c r="F147" s="311"/>
      <c r="G147" s="311"/>
      <c r="H147" s="311"/>
      <c r="I147" s="311"/>
      <c r="J147" s="311"/>
      <c r="K147" s="311"/>
      <c r="L147" s="311"/>
      <c r="M147" s="311"/>
      <c r="N147" s="311"/>
      <c r="O147" s="311"/>
      <c r="P147" s="311"/>
      <c r="Q147" s="311"/>
      <c r="R147" s="311"/>
      <c r="S147" s="311"/>
      <c r="T147" s="345"/>
      <c r="U147" s="317"/>
      <c r="V147" s="5"/>
    </row>
    <row r="148" spans="1:22" ht="15.6" x14ac:dyDescent="0.3">
      <c r="A148" s="284"/>
      <c r="B148" s="285" t="s">
        <v>263</v>
      </c>
      <c r="C148" s="285"/>
      <c r="D148" s="285"/>
      <c r="E148" s="285"/>
      <c r="F148" s="285"/>
      <c r="G148" s="285"/>
      <c r="H148" s="285"/>
      <c r="I148" s="285"/>
      <c r="J148" s="285"/>
      <c r="K148" s="285"/>
      <c r="L148" s="285"/>
      <c r="M148" s="285"/>
      <c r="N148" s="285"/>
      <c r="O148" s="285"/>
      <c r="P148" s="285"/>
      <c r="Q148" s="285"/>
      <c r="R148" s="285"/>
      <c r="S148" s="285"/>
      <c r="T148" s="339">
        <v>0</v>
      </c>
      <c r="U148" s="288"/>
      <c r="V148" s="5"/>
    </row>
    <row r="149" spans="1:22" ht="15.6" x14ac:dyDescent="0.3">
      <c r="A149" s="284"/>
      <c r="B149" s="285" t="s">
        <v>179</v>
      </c>
      <c r="C149" s="285"/>
      <c r="D149" s="285"/>
      <c r="E149" s="285"/>
      <c r="F149" s="285"/>
      <c r="G149" s="285"/>
      <c r="H149" s="285"/>
      <c r="I149" s="285"/>
      <c r="J149" s="285"/>
      <c r="K149" s="285"/>
      <c r="L149" s="285"/>
      <c r="M149" s="285"/>
      <c r="N149" s="285"/>
      <c r="O149" s="285"/>
      <c r="P149" s="285"/>
      <c r="Q149" s="285"/>
      <c r="R149" s="285"/>
      <c r="S149" s="285"/>
      <c r="T149" s="339">
        <v>0</v>
      </c>
      <c r="U149" s="288"/>
      <c r="V149" s="5"/>
    </row>
    <row r="150" spans="1:22" ht="15.6" x14ac:dyDescent="0.3">
      <c r="A150" s="284"/>
      <c r="B150" s="285" t="s">
        <v>264</v>
      </c>
      <c r="C150" s="285"/>
      <c r="D150" s="285"/>
      <c r="E150" s="285"/>
      <c r="F150" s="285"/>
      <c r="G150" s="285"/>
      <c r="H150" s="285"/>
      <c r="I150" s="285"/>
      <c r="J150" s="285"/>
      <c r="K150" s="285"/>
      <c r="L150" s="285"/>
      <c r="M150" s="285"/>
      <c r="N150" s="285"/>
      <c r="O150" s="285"/>
      <c r="P150" s="285"/>
      <c r="Q150" s="285"/>
      <c r="R150" s="285"/>
      <c r="S150" s="285"/>
      <c r="T150" s="339">
        <v>0</v>
      </c>
      <c r="U150" s="288"/>
      <c r="V150" s="5"/>
    </row>
    <row r="151" spans="1:22" ht="15.6" x14ac:dyDescent="0.3">
      <c r="A151" s="284"/>
      <c r="B151" s="285"/>
      <c r="C151" s="285"/>
      <c r="D151" s="285"/>
      <c r="E151" s="285"/>
      <c r="F151" s="285"/>
      <c r="G151" s="285"/>
      <c r="H151" s="285"/>
      <c r="I151" s="285"/>
      <c r="J151" s="285"/>
      <c r="K151" s="285"/>
      <c r="L151" s="285"/>
      <c r="M151" s="285"/>
      <c r="N151" s="285"/>
      <c r="O151" s="285"/>
      <c r="P151" s="285"/>
      <c r="Q151" s="285"/>
      <c r="R151" s="285"/>
      <c r="S151" s="285"/>
      <c r="T151" s="339"/>
      <c r="U151" s="288"/>
      <c r="V151" s="5"/>
    </row>
    <row r="152" spans="1:22" ht="15.6" x14ac:dyDescent="0.3">
      <c r="A152" s="175"/>
      <c r="B152" s="334"/>
      <c r="C152" s="334"/>
      <c r="D152" s="334"/>
      <c r="E152" s="334"/>
      <c r="F152" s="334"/>
      <c r="G152" s="334"/>
      <c r="H152" s="334"/>
      <c r="I152" s="334"/>
      <c r="J152" s="334"/>
      <c r="K152" s="334"/>
      <c r="L152" s="334"/>
      <c r="M152" s="334"/>
      <c r="N152" s="334"/>
      <c r="O152" s="334"/>
      <c r="P152" s="334"/>
      <c r="Q152" s="334"/>
      <c r="R152" s="334"/>
      <c r="S152" s="334"/>
      <c r="T152" s="347"/>
      <c r="U152" s="334"/>
      <c r="V152" s="5"/>
    </row>
    <row r="153" spans="1:22" ht="15.6" x14ac:dyDescent="0.3">
      <c r="A153" s="175"/>
      <c r="B153" s="201" t="s">
        <v>24</v>
      </c>
      <c r="C153" s="177"/>
      <c r="D153" s="177"/>
      <c r="E153" s="177"/>
      <c r="F153" s="177"/>
      <c r="G153" s="177"/>
      <c r="H153" s="177"/>
      <c r="I153" s="177"/>
      <c r="J153" s="177"/>
      <c r="K153" s="177"/>
      <c r="L153" s="177"/>
      <c r="M153" s="177"/>
      <c r="N153" s="177"/>
      <c r="O153" s="177"/>
      <c r="P153" s="177"/>
      <c r="Q153" s="177"/>
      <c r="R153" s="177"/>
      <c r="S153" s="177"/>
      <c r="T153" s="194"/>
      <c r="U153" s="177"/>
      <c r="V153" s="5"/>
    </row>
    <row r="154" spans="1:22" ht="15.6" x14ac:dyDescent="0.3">
      <c r="A154" s="284"/>
      <c r="B154" s="285" t="s">
        <v>48</v>
      </c>
      <c r="C154" s="285"/>
      <c r="D154" s="285"/>
      <c r="E154" s="285"/>
      <c r="F154" s="285"/>
      <c r="G154" s="285"/>
      <c r="H154" s="285"/>
      <c r="I154" s="285"/>
      <c r="J154" s="285"/>
      <c r="K154" s="285"/>
      <c r="L154" s="285"/>
      <c r="M154" s="285"/>
      <c r="N154" s="285"/>
      <c r="O154" s="285"/>
      <c r="P154" s="285"/>
      <c r="Q154" s="285"/>
      <c r="R154" s="285"/>
      <c r="S154" s="285"/>
      <c r="T154" s="348" t="s">
        <v>124</v>
      </c>
      <c r="U154" s="288"/>
      <c r="V154" s="5"/>
    </row>
    <row r="155" spans="1:22" ht="15.6" x14ac:dyDescent="0.3">
      <c r="A155" s="284"/>
      <c r="B155" s="285" t="s">
        <v>49</v>
      </c>
      <c r="C155" s="287"/>
      <c r="D155" s="287"/>
      <c r="E155" s="287"/>
      <c r="F155" s="287"/>
      <c r="G155" s="287"/>
      <c r="H155" s="287"/>
      <c r="I155" s="287"/>
      <c r="J155" s="287"/>
      <c r="K155" s="287"/>
      <c r="L155" s="287"/>
      <c r="M155" s="287"/>
      <c r="N155" s="287"/>
      <c r="O155" s="287"/>
      <c r="P155" s="287"/>
      <c r="Q155" s="287"/>
      <c r="R155" s="287"/>
      <c r="S155" s="287"/>
      <c r="T155" s="348" t="s">
        <v>124</v>
      </c>
      <c r="U155" s="288"/>
      <c r="V155" s="5"/>
    </row>
    <row r="156" spans="1:22" ht="15.6" x14ac:dyDescent="0.3">
      <c r="A156" s="284"/>
      <c r="B156" s="285" t="s">
        <v>50</v>
      </c>
      <c r="C156" s="285"/>
      <c r="D156" s="285"/>
      <c r="E156" s="285"/>
      <c r="F156" s="285"/>
      <c r="G156" s="285"/>
      <c r="H156" s="285"/>
      <c r="I156" s="285"/>
      <c r="J156" s="285"/>
      <c r="K156" s="285"/>
      <c r="L156" s="285"/>
      <c r="M156" s="285"/>
      <c r="N156" s="285"/>
      <c r="O156" s="285"/>
      <c r="P156" s="285"/>
      <c r="Q156" s="285"/>
      <c r="R156" s="285"/>
      <c r="S156" s="285"/>
      <c r="T156" s="348" t="s">
        <v>124</v>
      </c>
      <c r="U156" s="288"/>
      <c r="V156" s="5"/>
    </row>
    <row r="157" spans="1:22" ht="15.6" x14ac:dyDescent="0.3">
      <c r="A157" s="284"/>
      <c r="B157" s="285" t="s">
        <v>51</v>
      </c>
      <c r="C157" s="285"/>
      <c r="D157" s="285"/>
      <c r="E157" s="285"/>
      <c r="F157" s="285"/>
      <c r="G157" s="285"/>
      <c r="H157" s="285"/>
      <c r="I157" s="285"/>
      <c r="J157" s="285"/>
      <c r="K157" s="285"/>
      <c r="L157" s="285"/>
      <c r="M157" s="285"/>
      <c r="N157" s="285"/>
      <c r="O157" s="285"/>
      <c r="P157" s="285"/>
      <c r="Q157" s="285"/>
      <c r="R157" s="285"/>
      <c r="S157" s="285"/>
      <c r="T157" s="348" t="s">
        <v>124</v>
      </c>
      <c r="U157" s="288"/>
      <c r="V157" s="5"/>
    </row>
    <row r="158" spans="1:22" ht="15.6" x14ac:dyDescent="0.3">
      <c r="A158" s="175"/>
      <c r="B158" s="334"/>
      <c r="C158" s="334"/>
      <c r="D158" s="334"/>
      <c r="E158" s="334"/>
      <c r="F158" s="334"/>
      <c r="G158" s="334"/>
      <c r="H158" s="334"/>
      <c r="I158" s="334"/>
      <c r="J158" s="334"/>
      <c r="K158" s="334"/>
      <c r="L158" s="334"/>
      <c r="M158" s="334"/>
      <c r="N158" s="334"/>
      <c r="O158" s="334"/>
      <c r="P158" s="334"/>
      <c r="Q158" s="334"/>
      <c r="R158" s="334"/>
      <c r="S158" s="334"/>
      <c r="T158" s="347"/>
      <c r="U158" s="334"/>
      <c r="V158" s="5"/>
    </row>
    <row r="159" spans="1:22" ht="15.6" x14ac:dyDescent="0.3">
      <c r="A159" s="175"/>
      <c r="B159" s="201" t="s">
        <v>52</v>
      </c>
      <c r="C159" s="177"/>
      <c r="D159" s="177"/>
      <c r="E159" s="177"/>
      <c r="F159" s="177"/>
      <c r="G159" s="177"/>
      <c r="H159" s="177"/>
      <c r="I159" s="177"/>
      <c r="J159" s="177"/>
      <c r="K159" s="177"/>
      <c r="L159" s="177"/>
      <c r="M159" s="177"/>
      <c r="N159" s="177"/>
      <c r="O159" s="177"/>
      <c r="P159" s="177"/>
      <c r="Q159" s="177"/>
      <c r="R159" s="177"/>
      <c r="S159" s="177"/>
      <c r="T159" s="202"/>
      <c r="U159" s="177"/>
      <c r="V159" s="5"/>
    </row>
    <row r="160" spans="1:22" ht="15.6" x14ac:dyDescent="0.3">
      <c r="A160" s="284"/>
      <c r="B160" s="285" t="s">
        <v>53</v>
      </c>
      <c r="C160" s="285"/>
      <c r="D160" s="285"/>
      <c r="E160" s="285"/>
      <c r="F160" s="285"/>
      <c r="G160" s="285"/>
      <c r="H160" s="285"/>
      <c r="I160" s="285"/>
      <c r="J160" s="285"/>
      <c r="K160" s="285"/>
      <c r="L160" s="285"/>
      <c r="M160" s="285"/>
      <c r="N160" s="285"/>
      <c r="O160" s="285"/>
      <c r="P160" s="285"/>
      <c r="Q160" s="285"/>
      <c r="R160" s="285"/>
      <c r="S160" s="285"/>
      <c r="T160" s="339">
        <v>0</v>
      </c>
      <c r="U160" s="288"/>
      <c r="V160" s="5"/>
    </row>
    <row r="161" spans="1:22" ht="15.6" x14ac:dyDescent="0.3">
      <c r="A161" s="284"/>
      <c r="B161" s="285" t="s">
        <v>54</v>
      </c>
      <c r="C161" s="285"/>
      <c r="D161" s="285"/>
      <c r="E161" s="285"/>
      <c r="F161" s="285"/>
      <c r="G161" s="285"/>
      <c r="H161" s="285"/>
      <c r="I161" s="285"/>
      <c r="J161" s="285"/>
      <c r="K161" s="285"/>
      <c r="L161" s="285"/>
      <c r="M161" s="285"/>
      <c r="N161" s="285"/>
      <c r="O161" s="285"/>
      <c r="P161" s="285"/>
      <c r="Q161" s="285"/>
      <c r="R161" s="285"/>
      <c r="S161" s="285"/>
      <c r="T161" s="339">
        <f>R112</f>
        <v>70</v>
      </c>
      <c r="U161" s="288"/>
      <c r="V161" s="5"/>
    </row>
    <row r="162" spans="1:22" ht="15.6" x14ac:dyDescent="0.3">
      <c r="A162" s="284"/>
      <c r="B162" s="285" t="s">
        <v>55</v>
      </c>
      <c r="C162" s="285"/>
      <c r="D162" s="285"/>
      <c r="E162" s="285"/>
      <c r="F162" s="285"/>
      <c r="G162" s="285"/>
      <c r="H162" s="285"/>
      <c r="I162" s="285"/>
      <c r="J162" s="285"/>
      <c r="K162" s="285"/>
      <c r="L162" s="285"/>
      <c r="M162" s="285"/>
      <c r="N162" s="285"/>
      <c r="O162" s="285"/>
      <c r="P162" s="285"/>
      <c r="Q162" s="285"/>
      <c r="R162" s="285"/>
      <c r="S162" s="285"/>
      <c r="T162" s="339">
        <f>T161+T160</f>
        <v>70</v>
      </c>
      <c r="U162" s="288"/>
      <c r="V162" s="5"/>
    </row>
    <row r="163" spans="1:22" ht="15.6" x14ac:dyDescent="0.3">
      <c r="A163" s="284"/>
      <c r="B163" s="285" t="s">
        <v>301</v>
      </c>
      <c r="C163" s="285"/>
      <c r="D163" s="285"/>
      <c r="E163" s="285"/>
      <c r="F163" s="285"/>
      <c r="G163" s="285"/>
      <c r="H163" s="285"/>
      <c r="I163" s="285"/>
      <c r="J163" s="285"/>
      <c r="K163" s="285"/>
      <c r="L163" s="285"/>
      <c r="M163" s="285"/>
      <c r="N163" s="285"/>
      <c r="O163" s="285"/>
      <c r="P163" s="285"/>
      <c r="Q163" s="285"/>
      <c r="R163" s="285"/>
      <c r="S163" s="285"/>
      <c r="T163" s="339">
        <f>T112</f>
        <v>-70</v>
      </c>
      <c r="U163" s="288"/>
      <c r="V163" s="5"/>
    </row>
    <row r="164" spans="1:22" ht="15.6" x14ac:dyDescent="0.3">
      <c r="A164" s="284"/>
      <c r="B164" s="285" t="s">
        <v>56</v>
      </c>
      <c r="C164" s="285"/>
      <c r="D164" s="285"/>
      <c r="E164" s="285"/>
      <c r="F164" s="285"/>
      <c r="G164" s="285"/>
      <c r="H164" s="285"/>
      <c r="I164" s="285"/>
      <c r="J164" s="285"/>
      <c r="K164" s="285"/>
      <c r="L164" s="285"/>
      <c r="M164" s="285"/>
      <c r="N164" s="285"/>
      <c r="O164" s="285"/>
      <c r="P164" s="285"/>
      <c r="Q164" s="285"/>
      <c r="R164" s="285"/>
      <c r="S164" s="285"/>
      <c r="T164" s="339">
        <f>T162+T163</f>
        <v>0</v>
      </c>
      <c r="U164" s="288"/>
      <c r="V164" s="5"/>
    </row>
    <row r="165" spans="1:22" ht="15.6" x14ac:dyDescent="0.3">
      <c r="A165" s="284"/>
      <c r="B165" s="285" t="s">
        <v>273</v>
      </c>
      <c r="C165" s="285"/>
      <c r="D165" s="285"/>
      <c r="E165" s="285"/>
      <c r="F165" s="285"/>
      <c r="G165" s="285"/>
      <c r="H165" s="285"/>
      <c r="I165" s="285"/>
      <c r="J165" s="285"/>
      <c r="K165" s="285"/>
      <c r="L165" s="285"/>
      <c r="M165" s="285"/>
      <c r="N165" s="285"/>
      <c r="O165" s="285"/>
      <c r="P165" s="285"/>
      <c r="Q165" s="285"/>
      <c r="R165" s="285"/>
      <c r="S165" s="285"/>
      <c r="T165" s="339">
        <v>0</v>
      </c>
      <c r="U165" s="288"/>
      <c r="V165" s="5"/>
    </row>
    <row r="166" spans="1:22" ht="16.2" thickBot="1" x14ac:dyDescent="0.35">
      <c r="A166" s="175"/>
      <c r="B166" s="334"/>
      <c r="C166" s="334"/>
      <c r="D166" s="334"/>
      <c r="E166" s="334"/>
      <c r="F166" s="334"/>
      <c r="G166" s="334"/>
      <c r="H166" s="334"/>
      <c r="I166" s="334"/>
      <c r="J166" s="334"/>
      <c r="K166" s="334"/>
      <c r="L166" s="334"/>
      <c r="M166" s="334"/>
      <c r="N166" s="334"/>
      <c r="O166" s="334"/>
      <c r="P166" s="334"/>
      <c r="Q166" s="334"/>
      <c r="R166" s="334"/>
      <c r="S166" s="334"/>
      <c r="T166" s="347"/>
      <c r="U166" s="334"/>
      <c r="V166" s="5"/>
    </row>
    <row r="167" spans="1:22" ht="15.6" x14ac:dyDescent="0.3">
      <c r="A167" s="173"/>
      <c r="B167" s="174"/>
      <c r="C167" s="174"/>
      <c r="D167" s="174"/>
      <c r="E167" s="174"/>
      <c r="F167" s="174"/>
      <c r="G167" s="174"/>
      <c r="H167" s="174"/>
      <c r="I167" s="174"/>
      <c r="J167" s="174"/>
      <c r="K167" s="174"/>
      <c r="L167" s="174"/>
      <c r="M167" s="174"/>
      <c r="N167" s="174"/>
      <c r="O167" s="174"/>
      <c r="P167" s="174"/>
      <c r="Q167" s="174"/>
      <c r="R167" s="174"/>
      <c r="S167" s="174"/>
      <c r="T167" s="193"/>
      <c r="U167" s="174"/>
      <c r="V167" s="5"/>
    </row>
    <row r="168" spans="1:22" ht="15.6" x14ac:dyDescent="0.3">
      <c r="A168" s="175"/>
      <c r="B168" s="201" t="s">
        <v>57</v>
      </c>
      <c r="C168" s="177"/>
      <c r="D168" s="177"/>
      <c r="E168" s="177"/>
      <c r="F168" s="177"/>
      <c r="G168" s="177"/>
      <c r="H168" s="177"/>
      <c r="I168" s="177"/>
      <c r="J168" s="177"/>
      <c r="K168" s="177"/>
      <c r="L168" s="177"/>
      <c r="M168" s="177"/>
      <c r="N168" s="177"/>
      <c r="O168" s="177"/>
      <c r="P168" s="177"/>
      <c r="Q168" s="177"/>
      <c r="R168" s="177"/>
      <c r="S168" s="177"/>
      <c r="T168" s="194"/>
      <c r="U168" s="177"/>
      <c r="V168" s="5"/>
    </row>
    <row r="169" spans="1:22" ht="15.6" x14ac:dyDescent="0.3">
      <c r="A169" s="175"/>
      <c r="B169" s="187"/>
      <c r="C169" s="177"/>
      <c r="D169" s="177"/>
      <c r="E169" s="177"/>
      <c r="F169" s="177"/>
      <c r="G169" s="177"/>
      <c r="H169" s="177"/>
      <c r="I169" s="177"/>
      <c r="J169" s="177"/>
      <c r="K169" s="177"/>
      <c r="L169" s="177"/>
      <c r="M169" s="177"/>
      <c r="N169" s="177"/>
      <c r="O169" s="177"/>
      <c r="P169" s="177"/>
      <c r="Q169" s="177"/>
      <c r="R169" s="177"/>
      <c r="S169" s="177"/>
      <c r="T169" s="194"/>
      <c r="U169" s="177"/>
      <c r="V169" s="5"/>
    </row>
    <row r="170" spans="1:22" ht="15.6" x14ac:dyDescent="0.3">
      <c r="A170" s="284"/>
      <c r="B170" s="285" t="s">
        <v>58</v>
      </c>
      <c r="C170" s="285"/>
      <c r="D170" s="285"/>
      <c r="E170" s="285"/>
      <c r="F170" s="285"/>
      <c r="G170" s="285"/>
      <c r="H170" s="285"/>
      <c r="I170" s="285"/>
      <c r="J170" s="285"/>
      <c r="K170" s="285"/>
      <c r="L170" s="285"/>
      <c r="M170" s="285"/>
      <c r="N170" s="285"/>
      <c r="O170" s="285"/>
      <c r="P170" s="285"/>
      <c r="Q170" s="285"/>
      <c r="R170" s="285"/>
      <c r="S170" s="285"/>
      <c r="T170" s="339">
        <f>T71</f>
        <v>550146</v>
      </c>
      <c r="U170" s="288"/>
      <c r="V170" s="5"/>
    </row>
    <row r="171" spans="1:22" ht="15.6" x14ac:dyDescent="0.3">
      <c r="A171" s="284"/>
      <c r="B171" s="285" t="s">
        <v>59</v>
      </c>
      <c r="C171" s="285"/>
      <c r="D171" s="285"/>
      <c r="E171" s="285"/>
      <c r="F171" s="285"/>
      <c r="G171" s="285"/>
      <c r="H171" s="285"/>
      <c r="I171" s="285"/>
      <c r="J171" s="285"/>
      <c r="K171" s="285"/>
      <c r="L171" s="285"/>
      <c r="M171" s="285"/>
      <c r="N171" s="285"/>
      <c r="O171" s="285"/>
      <c r="P171" s="285"/>
      <c r="Q171" s="285"/>
      <c r="R171" s="285"/>
      <c r="S171" s="285"/>
      <c r="T171" s="339">
        <f>T84</f>
        <v>550146</v>
      </c>
      <c r="U171" s="288"/>
      <c r="V171" s="5"/>
    </row>
    <row r="172" spans="1:22" ht="16.2" thickBot="1" x14ac:dyDescent="0.35">
      <c r="A172" s="175"/>
      <c r="B172" s="334"/>
      <c r="C172" s="334"/>
      <c r="D172" s="334"/>
      <c r="E172" s="334"/>
      <c r="F172" s="334"/>
      <c r="G172" s="334"/>
      <c r="H172" s="334"/>
      <c r="I172" s="334"/>
      <c r="J172" s="334"/>
      <c r="K172" s="334"/>
      <c r="L172" s="334"/>
      <c r="M172" s="334"/>
      <c r="N172" s="334"/>
      <c r="O172" s="334"/>
      <c r="P172" s="334"/>
      <c r="Q172" s="334"/>
      <c r="R172" s="334"/>
      <c r="S172" s="334"/>
      <c r="T172" s="347"/>
      <c r="U172" s="334"/>
      <c r="V172" s="5"/>
    </row>
    <row r="173" spans="1:22" ht="15.6" x14ac:dyDescent="0.3">
      <c r="A173" s="173"/>
      <c r="B173" s="174"/>
      <c r="C173" s="174"/>
      <c r="D173" s="174"/>
      <c r="E173" s="174"/>
      <c r="F173" s="174"/>
      <c r="G173" s="174"/>
      <c r="H173" s="174"/>
      <c r="I173" s="174"/>
      <c r="J173" s="174"/>
      <c r="K173" s="174"/>
      <c r="L173" s="174"/>
      <c r="M173" s="174"/>
      <c r="N173" s="174"/>
      <c r="O173" s="174"/>
      <c r="P173" s="174"/>
      <c r="Q173" s="174"/>
      <c r="R173" s="174"/>
      <c r="S173" s="174"/>
      <c r="T173" s="193"/>
      <c r="U173" s="174"/>
      <c r="V173" s="5"/>
    </row>
    <row r="174" spans="1:22" ht="15.6" x14ac:dyDescent="0.3">
      <c r="A174" s="175"/>
      <c r="B174" s="201" t="s">
        <v>60</v>
      </c>
      <c r="C174" s="198"/>
      <c r="D174" s="198"/>
      <c r="E174" s="198"/>
      <c r="F174" s="198"/>
      <c r="G174" s="198"/>
      <c r="H174" s="203"/>
      <c r="I174" s="203"/>
      <c r="J174" s="203"/>
      <c r="K174" s="203"/>
      <c r="L174" s="203"/>
      <c r="M174" s="203"/>
      <c r="N174" s="203"/>
      <c r="O174" s="203"/>
      <c r="P174" s="203"/>
      <c r="Q174" s="203" t="s">
        <v>104</v>
      </c>
      <c r="R174" s="203" t="s">
        <v>183</v>
      </c>
      <c r="S174" s="179"/>
      <c r="T174" s="204" t="s">
        <v>120</v>
      </c>
      <c r="U174" s="205"/>
      <c r="V174" s="5"/>
    </row>
    <row r="175" spans="1:22" ht="15.6" x14ac:dyDescent="0.3">
      <c r="A175" s="284"/>
      <c r="B175" s="285" t="s">
        <v>61</v>
      </c>
      <c r="C175" s="285"/>
      <c r="D175" s="285"/>
      <c r="E175" s="285"/>
      <c r="F175" s="285"/>
      <c r="G175" s="285"/>
      <c r="H175" s="285"/>
      <c r="I175" s="285"/>
      <c r="J175" s="285"/>
      <c r="K175" s="285"/>
      <c r="L175" s="285"/>
      <c r="M175" s="285"/>
      <c r="N175" s="285"/>
      <c r="O175" s="285"/>
      <c r="P175" s="285"/>
      <c r="Q175" s="339">
        <v>160008</v>
      </c>
      <c r="R175" s="324"/>
      <c r="S175" s="285"/>
      <c r="T175" s="339"/>
      <c r="U175" s="288"/>
      <c r="V175" s="5"/>
    </row>
    <row r="176" spans="1:22" ht="15.6" x14ac:dyDescent="0.3">
      <c r="A176" s="284"/>
      <c r="B176" s="285" t="s">
        <v>62</v>
      </c>
      <c r="C176" s="285"/>
      <c r="D176" s="285"/>
      <c r="E176" s="285"/>
      <c r="F176" s="285"/>
      <c r="G176" s="285"/>
      <c r="H176" s="285"/>
      <c r="I176" s="285"/>
      <c r="J176" s="285"/>
      <c r="K176" s="285"/>
      <c r="L176" s="285"/>
      <c r="M176" s="285"/>
      <c r="N176" s="285"/>
      <c r="O176" s="285"/>
      <c r="P176" s="285"/>
      <c r="Q176" s="339">
        <f>+'Sept 12'!Q178</f>
        <v>37136</v>
      </c>
      <c r="R176" s="339">
        <f>+'Sept 12'!R178</f>
        <v>3447</v>
      </c>
      <c r="S176" s="285"/>
      <c r="T176" s="339">
        <f>Q176+R176</f>
        <v>40583</v>
      </c>
      <c r="U176" s="288"/>
      <c r="V176" s="5"/>
    </row>
    <row r="177" spans="1:22" ht="15.6" x14ac:dyDescent="0.3">
      <c r="A177" s="284"/>
      <c r="B177" s="285" t="s">
        <v>63</v>
      </c>
      <c r="C177" s="285"/>
      <c r="D177" s="285"/>
      <c r="E177" s="285"/>
      <c r="F177" s="285"/>
      <c r="G177" s="285"/>
      <c r="H177" s="285"/>
      <c r="I177" s="285"/>
      <c r="J177" s="285"/>
      <c r="K177" s="285"/>
      <c r="L177" s="285"/>
      <c r="M177" s="285"/>
      <c r="N177" s="285"/>
      <c r="O177" s="285"/>
      <c r="P177" s="285"/>
      <c r="Q177" s="338">
        <v>0</v>
      </c>
      <c r="R177" s="338">
        <v>0</v>
      </c>
      <c r="S177" s="285"/>
      <c r="T177" s="339">
        <f>Q177+R177</f>
        <v>0</v>
      </c>
      <c r="U177" s="288"/>
      <c r="V177" s="5"/>
    </row>
    <row r="178" spans="1:22" ht="15.6" x14ac:dyDescent="0.3">
      <c r="A178" s="284"/>
      <c r="B178" s="285" t="s">
        <v>64</v>
      </c>
      <c r="C178" s="285"/>
      <c r="D178" s="285"/>
      <c r="E178" s="285"/>
      <c r="F178" s="285"/>
      <c r="G178" s="285"/>
      <c r="H178" s="285"/>
      <c r="I178" s="285"/>
      <c r="J178" s="285"/>
      <c r="K178" s="285"/>
      <c r="L178" s="285"/>
      <c r="M178" s="285"/>
      <c r="N178" s="285"/>
      <c r="O178" s="285"/>
      <c r="P178" s="285"/>
      <c r="Q178" s="339">
        <f>Q176+Q177</f>
        <v>37136</v>
      </c>
      <c r="R178" s="339">
        <f>R177+R176</f>
        <v>3447</v>
      </c>
      <c r="S178" s="285"/>
      <c r="T178" s="339">
        <f>Q178+R178</f>
        <v>40583</v>
      </c>
      <c r="U178" s="288"/>
      <c r="V178" s="5"/>
    </row>
    <row r="179" spans="1:22" ht="15.6" x14ac:dyDescent="0.3">
      <c r="A179" s="284"/>
      <c r="B179" s="285" t="s">
        <v>65</v>
      </c>
      <c r="C179" s="285"/>
      <c r="D179" s="285"/>
      <c r="E179" s="285"/>
      <c r="F179" s="285"/>
      <c r="G179" s="285"/>
      <c r="H179" s="285"/>
      <c r="I179" s="285"/>
      <c r="J179" s="285"/>
      <c r="K179" s="285"/>
      <c r="L179" s="285"/>
      <c r="M179" s="285"/>
      <c r="N179" s="285"/>
      <c r="O179" s="285"/>
      <c r="P179" s="285"/>
      <c r="Q179" s="339">
        <f>Q175-Q178-R178</f>
        <v>119425</v>
      </c>
      <c r="R179" s="324"/>
      <c r="S179" s="285"/>
      <c r="T179" s="339"/>
      <c r="U179" s="288"/>
      <c r="V179" s="5"/>
    </row>
    <row r="180" spans="1:22" ht="16.2" thickBot="1" x14ac:dyDescent="0.35">
      <c r="A180" s="175"/>
      <c r="B180" s="334"/>
      <c r="C180" s="334"/>
      <c r="D180" s="334"/>
      <c r="E180" s="334"/>
      <c r="F180" s="334"/>
      <c r="G180" s="334"/>
      <c r="H180" s="334"/>
      <c r="I180" s="334"/>
      <c r="J180" s="334"/>
      <c r="K180" s="334"/>
      <c r="L180" s="334"/>
      <c r="M180" s="334"/>
      <c r="N180" s="334"/>
      <c r="O180" s="334"/>
      <c r="P180" s="334"/>
      <c r="Q180" s="334"/>
      <c r="R180" s="334"/>
      <c r="S180" s="334"/>
      <c r="T180" s="347"/>
      <c r="U180" s="334"/>
      <c r="V180" s="5"/>
    </row>
    <row r="181" spans="1:22" ht="15.6" x14ac:dyDescent="0.3">
      <c r="A181" s="173"/>
      <c r="B181" s="174"/>
      <c r="C181" s="174"/>
      <c r="D181" s="174"/>
      <c r="E181" s="174"/>
      <c r="F181" s="174"/>
      <c r="G181" s="174"/>
      <c r="H181" s="174"/>
      <c r="I181" s="174"/>
      <c r="J181" s="174"/>
      <c r="K181" s="174"/>
      <c r="L181" s="174"/>
      <c r="M181" s="174"/>
      <c r="N181" s="174"/>
      <c r="O181" s="174"/>
      <c r="P181" s="174"/>
      <c r="Q181" s="174"/>
      <c r="R181" s="174"/>
      <c r="S181" s="174"/>
      <c r="T181" s="193"/>
      <c r="U181" s="174"/>
      <c r="V181" s="5"/>
    </row>
    <row r="182" spans="1:22" ht="15.6" x14ac:dyDescent="0.3">
      <c r="A182" s="175"/>
      <c r="B182" s="201" t="s">
        <v>66</v>
      </c>
      <c r="C182" s="177"/>
      <c r="D182" s="177"/>
      <c r="E182" s="177"/>
      <c r="F182" s="177"/>
      <c r="G182" s="177"/>
      <c r="H182" s="177"/>
      <c r="I182" s="177"/>
      <c r="J182" s="177"/>
      <c r="K182" s="177"/>
      <c r="L182" s="177"/>
      <c r="M182" s="177"/>
      <c r="N182" s="177"/>
      <c r="O182" s="177"/>
      <c r="P182" s="177"/>
      <c r="Q182" s="177"/>
      <c r="R182" s="177"/>
      <c r="S182" s="177"/>
      <c r="T182" s="206"/>
      <c r="U182" s="177"/>
      <c r="V182" s="5"/>
    </row>
    <row r="183" spans="1:22" ht="15.6" x14ac:dyDescent="0.3">
      <c r="A183" s="284"/>
      <c r="B183" s="285" t="s">
        <v>67</v>
      </c>
      <c r="C183" s="285"/>
      <c r="D183" s="285"/>
      <c r="E183" s="285"/>
      <c r="F183" s="285"/>
      <c r="G183" s="285"/>
      <c r="H183" s="285"/>
      <c r="I183" s="285"/>
      <c r="J183" s="285"/>
      <c r="K183" s="285"/>
      <c r="L183" s="285"/>
      <c r="M183" s="285"/>
      <c r="N183" s="285"/>
      <c r="O183" s="285"/>
      <c r="P183" s="285"/>
      <c r="Q183" s="285"/>
      <c r="R183" s="285"/>
      <c r="S183" s="285"/>
      <c r="T183" s="348">
        <f>(T100+T102+T103+T104+T105)/-(T106+T107)</f>
        <v>4.4431057563587686</v>
      </c>
      <c r="U183" s="288" t="s">
        <v>121</v>
      </c>
      <c r="V183" s="5"/>
    </row>
    <row r="184" spans="1:22" ht="15.6" x14ac:dyDescent="0.3">
      <c r="A184" s="284"/>
      <c r="B184" s="285" t="s">
        <v>68</v>
      </c>
      <c r="C184" s="285"/>
      <c r="D184" s="285"/>
      <c r="E184" s="285"/>
      <c r="F184" s="285"/>
      <c r="G184" s="285"/>
      <c r="H184" s="285"/>
      <c r="I184" s="285"/>
      <c r="J184" s="285"/>
      <c r="K184" s="285"/>
      <c r="L184" s="285"/>
      <c r="M184" s="285"/>
      <c r="N184" s="285"/>
      <c r="O184" s="285"/>
      <c r="P184" s="285"/>
      <c r="Q184" s="285"/>
      <c r="R184" s="285"/>
      <c r="S184" s="285"/>
      <c r="T184" s="349">
        <v>1.67</v>
      </c>
      <c r="U184" s="288" t="s">
        <v>121</v>
      </c>
      <c r="V184" s="5"/>
    </row>
    <row r="185" spans="1:22" ht="15.6" x14ac:dyDescent="0.3">
      <c r="A185" s="284"/>
      <c r="B185" s="285" t="s">
        <v>69</v>
      </c>
      <c r="C185" s="285"/>
      <c r="D185" s="285"/>
      <c r="E185" s="285"/>
      <c r="F185" s="285"/>
      <c r="G185" s="285"/>
      <c r="H185" s="285"/>
      <c r="I185" s="285"/>
      <c r="J185" s="285"/>
      <c r="K185" s="285"/>
      <c r="L185" s="285"/>
      <c r="M185" s="285"/>
      <c r="N185" s="285"/>
      <c r="O185" s="285"/>
      <c r="P185" s="285"/>
      <c r="Q185" s="285"/>
      <c r="R185" s="285"/>
      <c r="S185" s="285"/>
      <c r="T185" s="348">
        <f>(T100+T102+T103+T104+T105+T106+T107)/-(T108+T109)</f>
        <v>13.465968586387435</v>
      </c>
      <c r="U185" s="288" t="s">
        <v>121</v>
      </c>
      <c r="V185" s="5"/>
    </row>
    <row r="186" spans="1:22" ht="15.6" x14ac:dyDescent="0.3">
      <c r="A186" s="284"/>
      <c r="B186" s="285" t="s">
        <v>70</v>
      </c>
      <c r="C186" s="285"/>
      <c r="D186" s="285"/>
      <c r="E186" s="285"/>
      <c r="F186" s="285"/>
      <c r="G186" s="285"/>
      <c r="H186" s="285"/>
      <c r="I186" s="285"/>
      <c r="J186" s="285"/>
      <c r="K186" s="285"/>
      <c r="L186" s="285"/>
      <c r="M186" s="285"/>
      <c r="N186" s="285"/>
      <c r="O186" s="285"/>
      <c r="P186" s="285"/>
      <c r="Q186" s="285"/>
      <c r="R186" s="285"/>
      <c r="S186" s="285"/>
      <c r="T186" s="349">
        <v>5.79</v>
      </c>
      <c r="U186" s="288" t="s">
        <v>121</v>
      </c>
      <c r="V186" s="5"/>
    </row>
    <row r="187" spans="1:22" ht="15.6" x14ac:dyDescent="0.3">
      <c r="A187" s="284"/>
      <c r="B187" s="285" t="s">
        <v>206</v>
      </c>
      <c r="C187" s="285"/>
      <c r="D187" s="285"/>
      <c r="E187" s="285"/>
      <c r="F187" s="285"/>
      <c r="G187" s="285"/>
      <c r="H187" s="285"/>
      <c r="I187" s="285"/>
      <c r="J187" s="285"/>
      <c r="K187" s="285"/>
      <c r="L187" s="285"/>
      <c r="M187" s="285"/>
      <c r="N187" s="285"/>
      <c r="O187" s="285"/>
      <c r="P187" s="285"/>
      <c r="Q187" s="285"/>
      <c r="R187" s="285"/>
      <c r="S187" s="285"/>
      <c r="T187" s="348">
        <f>(T100+T102+T103+T104+T105+T106+T107+T108+T109)/-(T110)</f>
        <v>10.352173913043478</v>
      </c>
      <c r="U187" s="288" t="s">
        <v>121</v>
      </c>
      <c r="V187" s="5"/>
    </row>
    <row r="188" spans="1:22" ht="15.6" x14ac:dyDescent="0.3">
      <c r="A188" s="284"/>
      <c r="B188" s="285" t="s">
        <v>207</v>
      </c>
      <c r="C188" s="285"/>
      <c r="D188" s="285"/>
      <c r="E188" s="285"/>
      <c r="F188" s="285"/>
      <c r="G188" s="285"/>
      <c r="H188" s="285"/>
      <c r="I188" s="285"/>
      <c r="J188" s="285"/>
      <c r="K188" s="285"/>
      <c r="L188" s="285"/>
      <c r="M188" s="285"/>
      <c r="N188" s="285"/>
      <c r="O188" s="285"/>
      <c r="P188" s="285"/>
      <c r="Q188" s="285"/>
      <c r="R188" s="285"/>
      <c r="S188" s="285"/>
      <c r="T188" s="349">
        <v>5.28</v>
      </c>
      <c r="U188" s="288" t="s">
        <v>121</v>
      </c>
      <c r="V188" s="5"/>
    </row>
    <row r="189" spans="1:22" ht="15.6" x14ac:dyDescent="0.3">
      <c r="A189" s="284"/>
      <c r="B189" s="311"/>
      <c r="C189" s="311"/>
      <c r="D189" s="311"/>
      <c r="E189" s="311"/>
      <c r="F189" s="311"/>
      <c r="G189" s="311"/>
      <c r="H189" s="311"/>
      <c r="I189" s="311"/>
      <c r="J189" s="311"/>
      <c r="K189" s="311"/>
      <c r="L189" s="311"/>
      <c r="M189" s="311"/>
      <c r="N189" s="311"/>
      <c r="O189" s="311"/>
      <c r="P189" s="311"/>
      <c r="Q189" s="311"/>
      <c r="R189" s="311"/>
      <c r="S189" s="311"/>
      <c r="T189" s="311"/>
      <c r="U189" s="317"/>
      <c r="V189" s="5"/>
    </row>
    <row r="190" spans="1:22" ht="15.6" x14ac:dyDescent="0.3">
      <c r="A190" s="175"/>
      <c r="B190" s="334"/>
      <c r="C190" s="334"/>
      <c r="D190" s="334"/>
      <c r="E190" s="334"/>
      <c r="F190" s="334"/>
      <c r="G190" s="334"/>
      <c r="H190" s="334"/>
      <c r="I190" s="334"/>
      <c r="J190" s="334"/>
      <c r="K190" s="334"/>
      <c r="L190" s="334"/>
      <c r="M190" s="334"/>
      <c r="N190" s="334"/>
      <c r="O190" s="334"/>
      <c r="P190" s="334"/>
      <c r="Q190" s="334"/>
      <c r="R190" s="334"/>
      <c r="S190" s="334"/>
      <c r="T190" s="334"/>
      <c r="U190" s="334"/>
      <c r="V190" s="5"/>
    </row>
    <row r="191" spans="1:22" ht="15.6" x14ac:dyDescent="0.3">
      <c r="A191" s="175"/>
      <c r="B191" s="177"/>
      <c r="C191" s="177"/>
      <c r="D191" s="177"/>
      <c r="E191" s="177"/>
      <c r="F191" s="177"/>
      <c r="G191" s="177"/>
      <c r="H191" s="177"/>
      <c r="I191" s="177"/>
      <c r="J191" s="177"/>
      <c r="K191" s="177"/>
      <c r="L191" s="177"/>
      <c r="M191" s="177"/>
      <c r="N191" s="177"/>
      <c r="O191" s="177"/>
      <c r="P191" s="177"/>
      <c r="Q191" s="177"/>
      <c r="R191" s="177"/>
      <c r="S191" s="177"/>
      <c r="T191" s="177"/>
      <c r="U191" s="177"/>
      <c r="V191" s="5"/>
    </row>
    <row r="192" spans="1:22" ht="18" thickBot="1" x14ac:dyDescent="0.35">
      <c r="A192" s="192"/>
      <c r="B192" s="246" t="str">
        <f>B132</f>
        <v>PM11 INVESTOR REPORT QUARTER ENDING DECEMBER 2012</v>
      </c>
      <c r="C192" s="207"/>
      <c r="D192" s="207"/>
      <c r="E192" s="207"/>
      <c r="F192" s="207"/>
      <c r="G192" s="207"/>
      <c r="H192" s="207"/>
      <c r="I192" s="207"/>
      <c r="J192" s="207"/>
      <c r="K192" s="207"/>
      <c r="L192" s="207"/>
      <c r="M192" s="207"/>
      <c r="N192" s="207"/>
      <c r="O192" s="207"/>
      <c r="P192" s="207"/>
      <c r="Q192" s="207"/>
      <c r="R192" s="207"/>
      <c r="S192" s="207"/>
      <c r="T192" s="207"/>
      <c r="U192" s="208"/>
      <c r="V192" s="5"/>
    </row>
    <row r="193" spans="1:22" ht="15.6" x14ac:dyDescent="0.3">
      <c r="A193" s="260"/>
      <c r="B193" s="399" t="s">
        <v>71</v>
      </c>
      <c r="C193" s="400"/>
      <c r="D193" s="400"/>
      <c r="E193" s="400"/>
      <c r="F193" s="400"/>
      <c r="G193" s="401"/>
      <c r="H193" s="401"/>
      <c r="I193" s="401"/>
      <c r="J193" s="401"/>
      <c r="K193" s="401"/>
      <c r="L193" s="401"/>
      <c r="M193" s="401"/>
      <c r="N193" s="401"/>
      <c r="O193" s="401"/>
      <c r="P193" s="401"/>
      <c r="Q193" s="401"/>
      <c r="R193" s="401">
        <v>41274</v>
      </c>
      <c r="S193" s="261"/>
      <c r="T193" s="261"/>
      <c r="U193" s="261"/>
      <c r="V193" s="5"/>
    </row>
    <row r="194" spans="1:22" ht="15.6" x14ac:dyDescent="0.3">
      <c r="A194" s="209"/>
      <c r="B194" s="210"/>
      <c r="C194" s="211"/>
      <c r="D194" s="211"/>
      <c r="E194" s="211"/>
      <c r="F194" s="211"/>
      <c r="G194" s="212"/>
      <c r="H194" s="212"/>
      <c r="I194" s="212"/>
      <c r="J194" s="212"/>
      <c r="K194" s="212"/>
      <c r="L194" s="212"/>
      <c r="M194" s="212"/>
      <c r="N194" s="212"/>
      <c r="O194" s="212"/>
      <c r="P194" s="212"/>
      <c r="Q194" s="212"/>
      <c r="R194" s="212"/>
      <c r="S194" s="177"/>
      <c r="T194" s="177"/>
      <c r="U194" s="177"/>
      <c r="V194" s="5"/>
    </row>
    <row r="195" spans="1:22" ht="15.6" x14ac:dyDescent="0.3">
      <c r="A195" s="352"/>
      <c r="B195" s="285" t="s">
        <v>72</v>
      </c>
      <c r="C195" s="353"/>
      <c r="D195" s="353"/>
      <c r="E195" s="353"/>
      <c r="F195" s="353"/>
      <c r="G195" s="329"/>
      <c r="H195" s="329"/>
      <c r="I195" s="329"/>
      <c r="J195" s="329"/>
      <c r="K195" s="329"/>
      <c r="L195" s="329"/>
      <c r="M195" s="329"/>
      <c r="N195" s="329"/>
      <c r="O195" s="329"/>
      <c r="P195" s="329"/>
      <c r="Q195" s="329"/>
      <c r="R195" s="320">
        <v>5.1569999999999998E-2</v>
      </c>
      <c r="S195" s="285"/>
      <c r="T195" s="285"/>
      <c r="U195" s="317"/>
      <c r="V195" s="5"/>
    </row>
    <row r="196" spans="1:22" ht="15.6" x14ac:dyDescent="0.3">
      <c r="A196" s="352"/>
      <c r="B196" s="285" t="s">
        <v>157</v>
      </c>
      <c r="C196" s="353"/>
      <c r="D196" s="353"/>
      <c r="E196" s="353"/>
      <c r="F196" s="353"/>
      <c r="G196" s="329"/>
      <c r="H196" s="329"/>
      <c r="I196" s="329"/>
      <c r="J196" s="329"/>
      <c r="K196" s="329"/>
      <c r="L196" s="329"/>
      <c r="M196" s="329"/>
      <c r="N196" s="329"/>
      <c r="O196" s="329"/>
      <c r="P196" s="329"/>
      <c r="Q196" s="329"/>
      <c r="R196" s="320">
        <v>4.6899999999999997E-2</v>
      </c>
      <c r="S196" s="285"/>
      <c r="T196" s="285"/>
      <c r="U196" s="317"/>
      <c r="V196" s="5"/>
    </row>
    <row r="197" spans="1:22" ht="15.6" x14ac:dyDescent="0.3">
      <c r="A197" s="352"/>
      <c r="B197" s="285" t="s">
        <v>73</v>
      </c>
      <c r="C197" s="353"/>
      <c r="D197" s="353"/>
      <c r="E197" s="353"/>
      <c r="F197" s="353"/>
      <c r="G197" s="329"/>
      <c r="H197" s="329"/>
      <c r="I197" s="329"/>
      <c r="J197" s="329"/>
      <c r="K197" s="329"/>
      <c r="L197" s="329"/>
      <c r="M197" s="329"/>
      <c r="N197" s="329"/>
      <c r="O197" s="329"/>
      <c r="P197" s="329"/>
      <c r="Q197" s="329"/>
      <c r="R197" s="320">
        <f>R195-R196</f>
        <v>4.6700000000000005E-3</v>
      </c>
      <c r="S197" s="285"/>
      <c r="T197" s="285"/>
      <c r="U197" s="317"/>
      <c r="V197" s="5"/>
    </row>
    <row r="198" spans="1:22" ht="15.6" x14ac:dyDescent="0.3">
      <c r="A198" s="352"/>
      <c r="B198" s="285" t="s">
        <v>74</v>
      </c>
      <c r="C198" s="353"/>
      <c r="D198" s="353"/>
      <c r="E198" s="353"/>
      <c r="F198" s="353"/>
      <c r="G198" s="329"/>
      <c r="H198" s="329"/>
      <c r="I198" s="329"/>
      <c r="J198" s="329"/>
      <c r="K198" s="329"/>
      <c r="L198" s="329"/>
      <c r="M198" s="329"/>
      <c r="N198" s="329"/>
      <c r="O198" s="329"/>
      <c r="P198" s="329"/>
      <c r="Q198" s="329"/>
      <c r="R198" s="320">
        <v>2.3120000000000002E-2</v>
      </c>
      <c r="S198" s="285"/>
      <c r="T198" s="285"/>
      <c r="U198" s="317"/>
      <c r="V198" s="5"/>
    </row>
    <row r="199" spans="1:22" ht="15.6" x14ac:dyDescent="0.3">
      <c r="A199" s="352"/>
      <c r="B199" s="285" t="s">
        <v>257</v>
      </c>
      <c r="C199" s="353"/>
      <c r="D199" s="353"/>
      <c r="E199" s="353"/>
      <c r="F199" s="353"/>
      <c r="G199" s="329"/>
      <c r="H199" s="329"/>
      <c r="I199" s="329"/>
      <c r="J199" s="329"/>
      <c r="K199" s="329"/>
      <c r="L199" s="329"/>
      <c r="M199" s="329"/>
      <c r="N199" s="329"/>
      <c r="O199" s="329"/>
      <c r="P199" s="329"/>
      <c r="Q199" s="329"/>
      <c r="R199" s="320">
        <f>T43</f>
        <v>8.3552254697290499E-3</v>
      </c>
      <c r="S199" s="285"/>
      <c r="T199" s="285"/>
      <c r="U199" s="317"/>
      <c r="V199" s="5"/>
    </row>
    <row r="200" spans="1:22" ht="15.6" x14ac:dyDescent="0.3">
      <c r="A200" s="352"/>
      <c r="B200" s="285" t="s">
        <v>75</v>
      </c>
      <c r="C200" s="353"/>
      <c r="D200" s="353"/>
      <c r="E200" s="353"/>
      <c r="F200" s="353"/>
      <c r="G200" s="329"/>
      <c r="H200" s="329"/>
      <c r="I200" s="329"/>
      <c r="J200" s="329"/>
      <c r="K200" s="329"/>
      <c r="L200" s="329"/>
      <c r="M200" s="329"/>
      <c r="N200" s="329"/>
      <c r="O200" s="329"/>
      <c r="P200" s="329"/>
      <c r="Q200" s="329"/>
      <c r="R200" s="320">
        <f>R198-R199</f>
        <v>1.4764774530270952E-2</v>
      </c>
      <c r="S200" s="285"/>
      <c r="T200" s="285"/>
      <c r="U200" s="317"/>
      <c r="V200" s="5"/>
    </row>
    <row r="201" spans="1:22" ht="15.6" x14ac:dyDescent="0.3">
      <c r="A201" s="352"/>
      <c r="B201" s="285" t="s">
        <v>260</v>
      </c>
      <c r="C201" s="353"/>
      <c r="D201" s="353"/>
      <c r="E201" s="353"/>
      <c r="F201" s="353"/>
      <c r="G201" s="329"/>
      <c r="H201" s="329"/>
      <c r="I201" s="329"/>
      <c r="J201" s="329"/>
      <c r="K201" s="329"/>
      <c r="L201" s="329"/>
      <c r="M201" s="329"/>
      <c r="N201" s="329"/>
      <c r="O201" s="329"/>
      <c r="P201" s="329"/>
      <c r="Q201" s="329"/>
      <c r="R201" s="320">
        <f>+T100/L71</f>
        <v>6.7888074857243861E-3</v>
      </c>
      <c r="S201" s="285"/>
      <c r="T201" s="285"/>
      <c r="U201" s="317"/>
      <c r="V201" s="5"/>
    </row>
    <row r="202" spans="1:22" ht="15.6" x14ac:dyDescent="0.3">
      <c r="A202" s="352"/>
      <c r="B202" s="285" t="s">
        <v>217</v>
      </c>
      <c r="C202" s="353"/>
      <c r="D202" s="353"/>
      <c r="E202" s="353"/>
      <c r="F202" s="353"/>
      <c r="G202" s="329"/>
      <c r="H202" s="329"/>
      <c r="I202" s="329"/>
      <c r="J202" s="329"/>
      <c r="K202" s="329"/>
      <c r="L202" s="329"/>
      <c r="M202" s="329"/>
      <c r="N202" s="329"/>
      <c r="O202" s="329"/>
      <c r="P202" s="329"/>
      <c r="Q202" s="329"/>
      <c r="R202" s="354">
        <v>15250</v>
      </c>
      <c r="S202" s="285"/>
      <c r="T202" s="285"/>
      <c r="U202" s="317"/>
      <c r="V202" s="5"/>
    </row>
    <row r="203" spans="1:22" ht="15.6" x14ac:dyDescent="0.3">
      <c r="A203" s="352"/>
      <c r="B203" s="285" t="s">
        <v>218</v>
      </c>
      <c r="C203" s="353"/>
      <c r="D203" s="353"/>
      <c r="E203" s="353"/>
      <c r="F203" s="353"/>
      <c r="G203" s="329"/>
      <c r="H203" s="329"/>
      <c r="I203" s="329"/>
      <c r="J203" s="329"/>
      <c r="K203" s="329"/>
      <c r="L203" s="329"/>
      <c r="M203" s="329"/>
      <c r="N203" s="329"/>
      <c r="O203" s="329"/>
      <c r="P203" s="329"/>
      <c r="Q203" s="329"/>
      <c r="R203" s="354">
        <v>15250</v>
      </c>
      <c r="S203" s="285"/>
      <c r="T203" s="285"/>
      <c r="U203" s="317"/>
      <c r="V203" s="5"/>
    </row>
    <row r="204" spans="1:22" ht="15.6" x14ac:dyDescent="0.3">
      <c r="A204" s="352"/>
      <c r="B204" s="285" t="s">
        <v>219</v>
      </c>
      <c r="C204" s="353"/>
      <c r="D204" s="353"/>
      <c r="E204" s="353"/>
      <c r="F204" s="353"/>
      <c r="G204" s="329"/>
      <c r="H204" s="329"/>
      <c r="I204" s="329"/>
      <c r="J204" s="329"/>
      <c r="K204" s="329"/>
      <c r="L204" s="329"/>
      <c r="M204" s="329"/>
      <c r="N204" s="329"/>
      <c r="O204" s="329"/>
      <c r="P204" s="329"/>
      <c r="Q204" s="329"/>
      <c r="R204" s="354">
        <v>15250</v>
      </c>
      <c r="S204" s="285"/>
      <c r="T204" s="285"/>
      <c r="U204" s="317"/>
      <c r="V204" s="5"/>
    </row>
    <row r="205" spans="1:22" ht="15.6" x14ac:dyDescent="0.3">
      <c r="A205" s="352"/>
      <c r="B205" s="285" t="s">
        <v>76</v>
      </c>
      <c r="C205" s="353"/>
      <c r="D205" s="353"/>
      <c r="E205" s="353"/>
      <c r="F205" s="353"/>
      <c r="G205" s="329"/>
      <c r="H205" s="329"/>
      <c r="I205" s="329"/>
      <c r="J205" s="329"/>
      <c r="K205" s="329"/>
      <c r="L205" s="329"/>
      <c r="M205" s="329"/>
      <c r="N205" s="329"/>
      <c r="O205" s="329"/>
      <c r="P205" s="329"/>
      <c r="Q205" s="329"/>
      <c r="R205" s="326">
        <v>21.18</v>
      </c>
      <c r="S205" s="285" t="s">
        <v>116</v>
      </c>
      <c r="T205" s="285"/>
      <c r="U205" s="317"/>
      <c r="V205" s="5"/>
    </row>
    <row r="206" spans="1:22" ht="15.6" x14ac:dyDescent="0.3">
      <c r="A206" s="352"/>
      <c r="B206" s="285" t="s">
        <v>77</v>
      </c>
      <c r="C206" s="353"/>
      <c r="D206" s="353"/>
      <c r="E206" s="353"/>
      <c r="F206" s="353"/>
      <c r="G206" s="329"/>
      <c r="H206" s="329"/>
      <c r="I206" s="329"/>
      <c r="J206" s="329"/>
      <c r="K206" s="329"/>
      <c r="L206" s="329"/>
      <c r="M206" s="329"/>
      <c r="N206" s="329"/>
      <c r="O206" s="329"/>
      <c r="P206" s="329"/>
      <c r="Q206" s="329"/>
      <c r="R206" s="326">
        <v>14.62</v>
      </c>
      <c r="S206" s="285" t="s">
        <v>116</v>
      </c>
      <c r="T206" s="285"/>
      <c r="U206" s="317"/>
      <c r="V206" s="5"/>
    </row>
    <row r="207" spans="1:22" ht="15.6" x14ac:dyDescent="0.3">
      <c r="A207" s="352"/>
      <c r="B207" s="285" t="s">
        <v>78</v>
      </c>
      <c r="C207" s="353"/>
      <c r="D207" s="353"/>
      <c r="E207" s="353"/>
      <c r="F207" s="353"/>
      <c r="G207" s="329"/>
      <c r="H207" s="329"/>
      <c r="I207" s="329"/>
      <c r="J207" s="329"/>
      <c r="K207" s="329"/>
      <c r="L207" s="329"/>
      <c r="M207" s="329"/>
      <c r="N207" s="329"/>
      <c r="O207" s="329"/>
      <c r="P207" s="329"/>
      <c r="Q207" s="329"/>
      <c r="R207" s="320">
        <f>N68/L68</f>
        <v>7.7898139029871473E-3</v>
      </c>
      <c r="S207" s="285"/>
      <c r="T207" s="285"/>
      <c r="U207" s="317"/>
      <c r="V207" s="5"/>
    </row>
    <row r="208" spans="1:22" ht="15.6" x14ac:dyDescent="0.3">
      <c r="A208" s="352"/>
      <c r="B208" s="285" t="s">
        <v>79</v>
      </c>
      <c r="C208" s="353"/>
      <c r="D208" s="353"/>
      <c r="E208" s="353"/>
      <c r="F208" s="353"/>
      <c r="G208" s="329"/>
      <c r="H208" s="329"/>
      <c r="I208" s="329"/>
      <c r="J208" s="329"/>
      <c r="K208" s="329"/>
      <c r="L208" s="329"/>
      <c r="M208" s="329"/>
      <c r="N208" s="329"/>
      <c r="O208" s="329"/>
      <c r="P208" s="329"/>
      <c r="Q208" s="329"/>
      <c r="R208" s="320">
        <v>9.0999999999999998E-2</v>
      </c>
      <c r="S208" s="285"/>
      <c r="T208" s="285"/>
      <c r="U208" s="317"/>
      <c r="V208" s="5"/>
    </row>
    <row r="209" spans="1:22" ht="15.6" x14ac:dyDescent="0.3">
      <c r="A209" s="209"/>
      <c r="B209" s="350"/>
      <c r="C209" s="350"/>
      <c r="D209" s="350"/>
      <c r="E209" s="350"/>
      <c r="F209" s="350"/>
      <c r="G209" s="334"/>
      <c r="H209" s="334"/>
      <c r="I209" s="334"/>
      <c r="J209" s="334"/>
      <c r="K209" s="334"/>
      <c r="L209" s="334"/>
      <c r="M209" s="334"/>
      <c r="N209" s="334"/>
      <c r="O209" s="334"/>
      <c r="P209" s="334"/>
      <c r="Q209" s="334"/>
      <c r="R209" s="347"/>
      <c r="S209" s="334"/>
      <c r="T209" s="351"/>
      <c r="U209" s="334"/>
      <c r="V209" s="5"/>
    </row>
    <row r="210" spans="1:22" ht="15.6" x14ac:dyDescent="0.3">
      <c r="A210" s="266"/>
      <c r="B210" s="395" t="s">
        <v>80</v>
      </c>
      <c r="C210" s="396"/>
      <c r="D210" s="396"/>
      <c r="E210" s="396"/>
      <c r="F210" s="402"/>
      <c r="G210" s="396"/>
      <c r="H210" s="396"/>
      <c r="I210" s="396"/>
      <c r="J210" s="396"/>
      <c r="K210" s="396"/>
      <c r="L210" s="396"/>
      <c r="M210" s="396"/>
      <c r="N210" s="396"/>
      <c r="O210" s="396"/>
      <c r="P210" s="396"/>
      <c r="Q210" s="396" t="s">
        <v>105</v>
      </c>
      <c r="R210" s="402" t="s">
        <v>112</v>
      </c>
      <c r="S210" s="223"/>
      <c r="T210" s="223"/>
      <c r="U210" s="223"/>
      <c r="V210" s="5"/>
    </row>
    <row r="211" spans="1:22" ht="15.6" x14ac:dyDescent="0.3">
      <c r="A211" s="214"/>
      <c r="B211" s="239" t="s">
        <v>81</v>
      </c>
      <c r="C211" s="243"/>
      <c r="D211" s="243"/>
      <c r="E211" s="243"/>
      <c r="F211" s="239"/>
      <c r="G211" s="239"/>
      <c r="H211" s="242"/>
      <c r="I211" s="242"/>
      <c r="J211" s="242"/>
      <c r="K211" s="242"/>
      <c r="L211" s="242"/>
      <c r="M211" s="242"/>
      <c r="N211" s="242"/>
      <c r="O211" s="242"/>
      <c r="P211" s="242"/>
      <c r="Q211" s="242">
        <v>0</v>
      </c>
      <c r="R211" s="272">
        <v>0</v>
      </c>
      <c r="S211" s="239"/>
      <c r="T211" s="273"/>
      <c r="U211" s="215"/>
      <c r="V211" s="5"/>
    </row>
    <row r="212" spans="1:22" ht="15.6" x14ac:dyDescent="0.3">
      <c r="A212" s="360"/>
      <c r="B212" s="285" t="s">
        <v>151</v>
      </c>
      <c r="C212" s="338"/>
      <c r="D212" s="338"/>
      <c r="E212" s="338"/>
      <c r="F212" s="285"/>
      <c r="G212" s="285"/>
      <c r="H212" s="293"/>
      <c r="I212" s="293"/>
      <c r="J212" s="293"/>
      <c r="K212" s="293"/>
      <c r="L212" s="293"/>
      <c r="M212" s="293"/>
      <c r="N212" s="293"/>
      <c r="O212" s="293"/>
      <c r="P212" s="293"/>
      <c r="Q212" s="361">
        <f>+P264</f>
        <v>110</v>
      </c>
      <c r="R212" s="362">
        <f>+R264</f>
        <v>16657</v>
      </c>
      <c r="S212" s="285"/>
      <c r="T212" s="363"/>
      <c r="U212" s="364"/>
      <c r="V212" s="5"/>
    </row>
    <row r="213" spans="1:22" ht="15.6" x14ac:dyDescent="0.3">
      <c r="A213" s="360"/>
      <c r="B213" s="285" t="s">
        <v>82</v>
      </c>
      <c r="C213" s="338"/>
      <c r="D213" s="338"/>
      <c r="E213" s="338"/>
      <c r="F213" s="285"/>
      <c r="G213" s="285"/>
      <c r="H213" s="293"/>
      <c r="I213" s="293"/>
      <c r="J213" s="293"/>
      <c r="K213" s="293"/>
      <c r="L213" s="293"/>
      <c r="M213" s="293"/>
      <c r="N213" s="293"/>
      <c r="O213" s="293"/>
      <c r="P213" s="293"/>
      <c r="Q213" s="361">
        <f>+P276</f>
        <v>2</v>
      </c>
      <c r="R213" s="362">
        <f>+R276</f>
        <v>214</v>
      </c>
      <c r="S213" s="285"/>
      <c r="T213" s="363"/>
      <c r="U213" s="364"/>
      <c r="V213" s="5"/>
    </row>
    <row r="214" spans="1:22" ht="15.6" x14ac:dyDescent="0.3">
      <c r="A214" s="360"/>
      <c r="B214" s="310" t="s">
        <v>83</v>
      </c>
      <c r="C214" s="365"/>
      <c r="D214" s="365"/>
      <c r="E214" s="365"/>
      <c r="F214" s="311"/>
      <c r="G214" s="311"/>
      <c r="H214" s="311"/>
      <c r="I214" s="311"/>
      <c r="J214" s="311"/>
      <c r="K214" s="311"/>
      <c r="L214" s="311"/>
      <c r="M214" s="311"/>
      <c r="N214" s="311"/>
      <c r="O214" s="311"/>
      <c r="P214" s="311"/>
      <c r="Q214" s="285"/>
      <c r="R214" s="362">
        <v>0</v>
      </c>
      <c r="S214" s="311"/>
      <c r="T214" s="366"/>
      <c r="U214" s="364"/>
      <c r="V214" s="5"/>
    </row>
    <row r="215" spans="1:22" ht="15.6" x14ac:dyDescent="0.3">
      <c r="A215" s="360"/>
      <c r="B215" s="310" t="s">
        <v>84</v>
      </c>
      <c r="C215" s="365"/>
      <c r="D215" s="365"/>
      <c r="E215" s="365"/>
      <c r="F215" s="311"/>
      <c r="G215" s="311"/>
      <c r="H215" s="311"/>
      <c r="I215" s="311"/>
      <c r="J215" s="311"/>
      <c r="K215" s="311"/>
      <c r="L215" s="311"/>
      <c r="M215" s="311"/>
      <c r="N215" s="311"/>
      <c r="O215" s="311"/>
      <c r="P215" s="311"/>
      <c r="Q215" s="285"/>
      <c r="R215" s="367" t="s">
        <v>113</v>
      </c>
      <c r="S215" s="311"/>
      <c r="T215" s="366"/>
      <c r="U215" s="364"/>
      <c r="V215" s="5"/>
    </row>
    <row r="216" spans="1:22" ht="15.6" x14ac:dyDescent="0.3">
      <c r="A216" s="368"/>
      <c r="B216" s="310" t="s">
        <v>85</v>
      </c>
      <c r="C216" s="369"/>
      <c r="D216" s="369"/>
      <c r="E216" s="369"/>
      <c r="F216" s="369"/>
      <c r="G216" s="311"/>
      <c r="H216" s="311"/>
      <c r="I216" s="311"/>
      <c r="J216" s="311"/>
      <c r="K216" s="311"/>
      <c r="L216" s="311"/>
      <c r="M216" s="311"/>
      <c r="N216" s="311"/>
      <c r="O216" s="311"/>
      <c r="P216" s="311"/>
      <c r="Q216" s="285"/>
      <c r="R216" s="362"/>
      <c r="S216" s="311"/>
      <c r="T216" s="366"/>
      <c r="U216" s="370"/>
      <c r="V216" s="5"/>
    </row>
    <row r="217" spans="1:22" ht="15.6" x14ac:dyDescent="0.3">
      <c r="A217" s="368"/>
      <c r="B217" s="285" t="s">
        <v>86</v>
      </c>
      <c r="C217" s="285"/>
      <c r="D217" s="285"/>
      <c r="E217" s="285"/>
      <c r="F217" s="285"/>
      <c r="G217" s="285"/>
      <c r="H217" s="285"/>
      <c r="I217" s="285"/>
      <c r="J217" s="285"/>
      <c r="K217" s="285"/>
      <c r="L217" s="285"/>
      <c r="M217" s="285"/>
      <c r="N217" s="285"/>
      <c r="O217" s="285"/>
      <c r="P217" s="285"/>
      <c r="Q217" s="293"/>
      <c r="R217" s="362">
        <f>T161</f>
        <v>70</v>
      </c>
      <c r="S217" s="285"/>
      <c r="T217" s="363"/>
      <c r="U217" s="370"/>
      <c r="V217" s="5"/>
    </row>
    <row r="218" spans="1:22" ht="15.6" x14ac:dyDescent="0.3">
      <c r="A218" s="360"/>
      <c r="B218" s="285" t="s">
        <v>87</v>
      </c>
      <c r="C218" s="338"/>
      <c r="D218" s="338"/>
      <c r="E218" s="338"/>
      <c r="F218" s="338"/>
      <c r="G218" s="285"/>
      <c r="H218" s="285"/>
      <c r="I218" s="285"/>
      <c r="J218" s="285"/>
      <c r="K218" s="285"/>
      <c r="L218" s="285"/>
      <c r="M218" s="285"/>
      <c r="N218" s="285"/>
      <c r="O218" s="285"/>
      <c r="P218" s="285"/>
      <c r="Q218" s="293"/>
      <c r="R218" s="362">
        <f>'Sept 12'!R218+R217</f>
        <v>3754</v>
      </c>
      <c r="S218" s="285"/>
      <c r="T218" s="363"/>
      <c r="U218" s="370"/>
      <c r="V218" s="5"/>
    </row>
    <row r="219" spans="1:22" ht="15.6" x14ac:dyDescent="0.3">
      <c r="A219" s="368"/>
      <c r="B219" s="310" t="s">
        <v>282</v>
      </c>
      <c r="C219" s="369"/>
      <c r="D219" s="369"/>
      <c r="E219" s="369"/>
      <c r="F219" s="369"/>
      <c r="G219" s="311"/>
      <c r="H219" s="311"/>
      <c r="I219" s="311"/>
      <c r="J219" s="311"/>
      <c r="K219" s="311"/>
      <c r="L219" s="311"/>
      <c r="M219" s="311"/>
      <c r="N219" s="311"/>
      <c r="O219" s="311"/>
      <c r="P219" s="311"/>
      <c r="Q219" s="293"/>
      <c r="R219" s="362"/>
      <c r="S219" s="311"/>
      <c r="T219" s="366"/>
      <c r="U219" s="370"/>
      <c r="V219" s="5"/>
    </row>
    <row r="220" spans="1:22" ht="15.6" x14ac:dyDescent="0.3">
      <c r="A220" s="368"/>
      <c r="B220" s="285" t="s">
        <v>280</v>
      </c>
      <c r="C220" s="369"/>
      <c r="D220" s="369"/>
      <c r="E220" s="369"/>
      <c r="F220" s="369"/>
      <c r="G220" s="311"/>
      <c r="H220" s="311"/>
      <c r="I220" s="311"/>
      <c r="J220" s="311"/>
      <c r="K220" s="311"/>
      <c r="L220" s="311"/>
      <c r="M220" s="311"/>
      <c r="N220" s="311"/>
      <c r="O220" s="311"/>
      <c r="P220" s="311"/>
      <c r="Q220" s="293">
        <v>0</v>
      </c>
      <c r="R220" s="362">
        <v>0</v>
      </c>
      <c r="S220" s="311"/>
      <c r="T220" s="366"/>
      <c r="U220" s="370"/>
      <c r="V220" s="5"/>
    </row>
    <row r="221" spans="1:22" ht="15.6" x14ac:dyDescent="0.3">
      <c r="A221" s="360"/>
      <c r="B221" s="285" t="s">
        <v>89</v>
      </c>
      <c r="C221" s="373"/>
      <c r="D221" s="373"/>
      <c r="E221" s="373"/>
      <c r="F221" s="374"/>
      <c r="G221" s="311"/>
      <c r="H221" s="311"/>
      <c r="I221" s="311"/>
      <c r="J221" s="311"/>
      <c r="K221" s="311"/>
      <c r="L221" s="311"/>
      <c r="M221" s="311"/>
      <c r="N221" s="311"/>
      <c r="O221" s="311"/>
      <c r="P221" s="311"/>
      <c r="Q221" s="285"/>
      <c r="R221" s="367">
        <v>0</v>
      </c>
      <c r="S221" s="311"/>
      <c r="T221" s="366"/>
      <c r="U221" s="370"/>
      <c r="V221" s="5"/>
    </row>
    <row r="222" spans="1:22" ht="15.6" x14ac:dyDescent="0.3">
      <c r="A222" s="360"/>
      <c r="B222" s="285" t="s">
        <v>90</v>
      </c>
      <c r="C222" s="373"/>
      <c r="D222" s="373"/>
      <c r="E222" s="373"/>
      <c r="F222" s="374"/>
      <c r="G222" s="311"/>
      <c r="H222" s="311"/>
      <c r="I222" s="311"/>
      <c r="J222" s="311"/>
      <c r="K222" s="311"/>
      <c r="L222" s="311"/>
      <c r="M222" s="311"/>
      <c r="N222" s="311"/>
      <c r="O222" s="311"/>
      <c r="P222" s="311"/>
      <c r="Q222" s="285"/>
      <c r="R222" s="367">
        <v>0</v>
      </c>
      <c r="S222" s="311"/>
      <c r="T222" s="366"/>
      <c r="U222" s="370"/>
      <c r="V222" s="5"/>
    </row>
    <row r="223" spans="1:22" ht="15.6" x14ac:dyDescent="0.3">
      <c r="A223" s="360"/>
      <c r="B223" s="310" t="s">
        <v>226</v>
      </c>
      <c r="C223" s="373"/>
      <c r="D223" s="373"/>
      <c r="E223" s="373"/>
      <c r="F223" s="374"/>
      <c r="G223" s="311"/>
      <c r="H223" s="311"/>
      <c r="I223" s="311"/>
      <c r="J223" s="311"/>
      <c r="K223" s="311"/>
      <c r="L223" s="311"/>
      <c r="M223" s="311"/>
      <c r="N223" s="311"/>
      <c r="O223" s="311"/>
      <c r="P223" s="311"/>
      <c r="Q223" s="293"/>
      <c r="R223" s="375"/>
      <c r="S223" s="311"/>
      <c r="T223" s="366"/>
      <c r="U223" s="370"/>
      <c r="V223" s="5"/>
    </row>
    <row r="224" spans="1:22" ht="15.6" x14ac:dyDescent="0.3">
      <c r="A224" s="360"/>
      <c r="B224" s="285" t="s">
        <v>280</v>
      </c>
      <c r="C224" s="373"/>
      <c r="D224" s="373"/>
      <c r="E224" s="373"/>
      <c r="F224" s="374"/>
      <c r="G224" s="311"/>
      <c r="H224" s="311"/>
      <c r="I224" s="311"/>
      <c r="J224" s="311"/>
      <c r="K224" s="311"/>
      <c r="L224" s="311"/>
      <c r="M224" s="311"/>
      <c r="N224" s="311"/>
      <c r="O224" s="311"/>
      <c r="P224" s="311"/>
      <c r="Q224" s="293">
        <v>4</v>
      </c>
      <c r="R224" s="362">
        <v>526</v>
      </c>
      <c r="S224" s="311"/>
      <c r="T224" s="366"/>
      <c r="U224" s="370"/>
      <c r="V224" s="5"/>
    </row>
    <row r="225" spans="1:23" ht="15.6" x14ac:dyDescent="0.3">
      <c r="A225" s="360"/>
      <c r="B225" s="285" t="s">
        <v>227</v>
      </c>
      <c r="C225" s="373"/>
      <c r="D225" s="373"/>
      <c r="E225" s="373"/>
      <c r="F225" s="374"/>
      <c r="G225" s="311"/>
      <c r="H225" s="311"/>
      <c r="I225" s="311"/>
      <c r="J225" s="311"/>
      <c r="K225" s="311"/>
      <c r="L225" s="311"/>
      <c r="M225" s="311"/>
      <c r="N225" s="311"/>
      <c r="O225" s="311"/>
      <c r="P225" s="311"/>
      <c r="Q225" s="293"/>
      <c r="R225" s="367">
        <v>0.54</v>
      </c>
      <c r="S225" s="311"/>
      <c r="T225" s="366"/>
      <c r="U225" s="370"/>
      <c r="V225" s="5"/>
    </row>
    <row r="226" spans="1:23" ht="15.6" x14ac:dyDescent="0.3">
      <c r="A226" s="360"/>
      <c r="B226" s="369"/>
      <c r="C226" s="373"/>
      <c r="D226" s="373"/>
      <c r="E226" s="373"/>
      <c r="F226" s="374"/>
      <c r="G226" s="311"/>
      <c r="H226" s="311"/>
      <c r="I226" s="311"/>
      <c r="J226" s="311"/>
      <c r="K226" s="311"/>
      <c r="L226" s="311"/>
      <c r="M226" s="311"/>
      <c r="N226" s="311"/>
      <c r="O226" s="311"/>
      <c r="P226" s="311"/>
      <c r="Q226" s="311"/>
      <c r="R226" s="376"/>
      <c r="S226" s="311"/>
      <c r="T226" s="366"/>
      <c r="U226" s="370"/>
      <c r="V226" s="5"/>
    </row>
    <row r="227" spans="1:23" ht="15.6" x14ac:dyDescent="0.3">
      <c r="A227" s="360"/>
      <c r="B227" s="369"/>
      <c r="C227" s="373"/>
      <c r="D227" s="373"/>
      <c r="E227" s="373"/>
      <c r="F227" s="374"/>
      <c r="G227" s="311"/>
      <c r="H227" s="311"/>
      <c r="I227" s="311"/>
      <c r="J227" s="311"/>
      <c r="K227" s="311"/>
      <c r="L227" s="311"/>
      <c r="M227" s="311"/>
      <c r="N227" s="311"/>
      <c r="O227" s="311"/>
      <c r="P227" s="311"/>
      <c r="Q227" s="311"/>
      <c r="R227" s="376"/>
      <c r="S227" s="311"/>
      <c r="T227" s="366"/>
      <c r="U227" s="370"/>
      <c r="V227" s="5"/>
    </row>
    <row r="228" spans="1:23" ht="17.399999999999999" x14ac:dyDescent="0.3">
      <c r="A228" s="360"/>
      <c r="B228" s="377" t="s">
        <v>175</v>
      </c>
      <c r="C228" s="373"/>
      <c r="D228" s="373"/>
      <c r="E228" s="373"/>
      <c r="F228" s="374"/>
      <c r="G228" s="311"/>
      <c r="H228" s="311"/>
      <c r="I228" s="311"/>
      <c r="J228" s="311"/>
      <c r="K228" s="311"/>
      <c r="L228" s="311"/>
      <c r="M228" s="311"/>
      <c r="N228" s="378" t="s">
        <v>174</v>
      </c>
      <c r="O228" s="311"/>
      <c r="P228" s="311"/>
      <c r="Q228" s="311"/>
      <c r="R228" s="376"/>
      <c r="S228" s="311"/>
      <c r="T228" s="366"/>
      <c r="U228" s="370"/>
      <c r="V228" s="5"/>
    </row>
    <row r="229" spans="1:23" ht="15.6" x14ac:dyDescent="0.3">
      <c r="A229" s="355"/>
      <c r="B229" s="350"/>
      <c r="C229" s="356"/>
      <c r="D229" s="356"/>
      <c r="E229" s="356"/>
      <c r="F229" s="357"/>
      <c r="G229" s="334"/>
      <c r="H229" s="334"/>
      <c r="I229" s="334"/>
      <c r="J229" s="334"/>
      <c r="K229" s="334"/>
      <c r="L229" s="334"/>
      <c r="M229" s="334"/>
      <c r="N229" s="334"/>
      <c r="O229" s="334"/>
      <c r="P229" s="334"/>
      <c r="Q229" s="334"/>
      <c r="R229" s="358"/>
      <c r="S229" s="334"/>
      <c r="T229" s="351"/>
      <c r="U229" s="359"/>
      <c r="V229" s="5"/>
    </row>
    <row r="230" spans="1:23" ht="15.6" x14ac:dyDescent="0.3">
      <c r="A230" s="222"/>
      <c r="B230" s="395" t="s">
        <v>295</v>
      </c>
      <c r="C230" s="396"/>
      <c r="D230" s="396"/>
      <c r="E230" s="396"/>
      <c r="F230" s="402"/>
      <c r="G230" s="396"/>
      <c r="H230" s="396"/>
      <c r="I230" s="396"/>
      <c r="J230" s="396"/>
      <c r="K230" s="396"/>
      <c r="L230" s="396"/>
      <c r="M230" s="396"/>
      <c r="N230" s="396"/>
      <c r="O230" s="396"/>
      <c r="P230" s="402" t="s">
        <v>105</v>
      </c>
      <c r="Q230" s="396" t="s">
        <v>106</v>
      </c>
      <c r="R230" s="402" t="s">
        <v>114</v>
      </c>
      <c r="S230" s="396" t="s">
        <v>106</v>
      </c>
      <c r="T230" s="223"/>
      <c r="U230" s="395"/>
      <c r="V230" s="5"/>
    </row>
    <row r="231" spans="1:23" ht="15.6" x14ac:dyDescent="0.3">
      <c r="A231" s="190"/>
      <c r="B231" s="243" t="s">
        <v>91</v>
      </c>
      <c r="C231" s="217"/>
      <c r="D231" s="217"/>
      <c r="E231" s="217"/>
      <c r="F231" s="191"/>
      <c r="G231" s="217"/>
      <c r="H231" s="217"/>
      <c r="I231" s="217"/>
      <c r="J231" s="217"/>
      <c r="K231" s="217"/>
      <c r="L231" s="217"/>
      <c r="M231" s="217"/>
      <c r="N231" s="217"/>
      <c r="O231" s="217"/>
      <c r="P231" s="338">
        <f t="shared" ref="P231:P238" si="1">+P243+P255+P267</f>
        <v>4136</v>
      </c>
      <c r="Q231" s="384">
        <f t="shared" ref="Q231:Q238" si="2">P231/$P$240</f>
        <v>0.98711217183770883</v>
      </c>
      <c r="R231" s="339">
        <f t="shared" ref="R231:R238" si="3">+R243+R255+R267</f>
        <v>541663</v>
      </c>
      <c r="S231" s="384">
        <f t="shared" ref="S231:S238" si="4">R231/$R$240</f>
        <v>0.98458045682418849</v>
      </c>
      <c r="T231" s="213"/>
      <c r="U231" s="216"/>
      <c r="V231" s="5"/>
    </row>
    <row r="232" spans="1:23" ht="15.6" x14ac:dyDescent="0.3">
      <c r="A232" s="284"/>
      <c r="B232" s="338" t="s">
        <v>92</v>
      </c>
      <c r="C232" s="382"/>
      <c r="D232" s="382"/>
      <c r="E232" s="382"/>
      <c r="F232" s="311"/>
      <c r="G232" s="383"/>
      <c r="H232" s="382"/>
      <c r="I232" s="382"/>
      <c r="J232" s="382"/>
      <c r="K232" s="382"/>
      <c r="L232" s="382"/>
      <c r="M232" s="382"/>
      <c r="N232" s="382"/>
      <c r="O232" s="382"/>
      <c r="P232" s="338">
        <f t="shared" si="1"/>
        <v>26</v>
      </c>
      <c r="Q232" s="384">
        <f t="shared" si="2"/>
        <v>6.205250596658711E-3</v>
      </c>
      <c r="R232" s="339">
        <f t="shared" si="3"/>
        <v>3680</v>
      </c>
      <c r="S232" s="384">
        <f t="shared" si="4"/>
        <v>6.6891334300349364E-3</v>
      </c>
      <c r="T232" s="366"/>
      <c r="U232" s="370"/>
      <c r="V232" s="5"/>
      <c r="W232" s="109"/>
    </row>
    <row r="233" spans="1:23" ht="15.6" x14ac:dyDescent="0.3">
      <c r="A233" s="284"/>
      <c r="B233" s="338" t="s">
        <v>93</v>
      </c>
      <c r="C233" s="382"/>
      <c r="D233" s="382"/>
      <c r="E233" s="382"/>
      <c r="F233" s="311"/>
      <c r="G233" s="383"/>
      <c r="H233" s="382"/>
      <c r="I233" s="382"/>
      <c r="J233" s="382"/>
      <c r="K233" s="382"/>
      <c r="L233" s="382"/>
      <c r="M233" s="382"/>
      <c r="N233" s="382"/>
      <c r="O233" s="382"/>
      <c r="P233" s="338">
        <f t="shared" si="1"/>
        <v>9</v>
      </c>
      <c r="Q233" s="384">
        <f t="shared" si="2"/>
        <v>2.1479713603818618E-3</v>
      </c>
      <c r="R233" s="339">
        <f t="shared" si="3"/>
        <v>1184</v>
      </c>
      <c r="S233" s="384">
        <f t="shared" si="4"/>
        <v>2.1521559731416751E-3</v>
      </c>
      <c r="T233" s="366"/>
      <c r="U233" s="370"/>
      <c r="V233" s="5"/>
    </row>
    <row r="234" spans="1:23" ht="15.6" x14ac:dyDescent="0.3">
      <c r="A234" s="284"/>
      <c r="B234" s="338" t="s">
        <v>163</v>
      </c>
      <c r="C234" s="382"/>
      <c r="D234" s="382"/>
      <c r="E234" s="382"/>
      <c r="F234" s="311"/>
      <c r="G234" s="383"/>
      <c r="H234" s="382"/>
      <c r="I234" s="382"/>
      <c r="J234" s="382"/>
      <c r="K234" s="382"/>
      <c r="L234" s="382"/>
      <c r="M234" s="382"/>
      <c r="N234" s="382"/>
      <c r="O234" s="382"/>
      <c r="P234" s="338">
        <f t="shared" si="1"/>
        <v>1</v>
      </c>
      <c r="Q234" s="384">
        <f t="shared" si="2"/>
        <v>2.3866348448687351E-4</v>
      </c>
      <c r="R234" s="339">
        <f t="shared" si="3"/>
        <v>216</v>
      </c>
      <c r="S234" s="384">
        <f t="shared" si="4"/>
        <v>3.9262304915422451E-4</v>
      </c>
      <c r="T234" s="366"/>
      <c r="U234" s="370"/>
      <c r="V234" s="5"/>
      <c r="W234" s="109"/>
    </row>
    <row r="235" spans="1:23" ht="15.6" x14ac:dyDescent="0.3">
      <c r="A235" s="284"/>
      <c r="B235" s="338" t="s">
        <v>164</v>
      </c>
      <c r="C235" s="382"/>
      <c r="D235" s="382"/>
      <c r="E235" s="382"/>
      <c r="F235" s="311"/>
      <c r="G235" s="383"/>
      <c r="H235" s="382"/>
      <c r="I235" s="382"/>
      <c r="J235" s="382"/>
      <c r="K235" s="382"/>
      <c r="L235" s="382"/>
      <c r="M235" s="382"/>
      <c r="N235" s="382"/>
      <c r="O235" s="382"/>
      <c r="P235" s="338">
        <f t="shared" si="1"/>
        <v>2</v>
      </c>
      <c r="Q235" s="384">
        <f t="shared" si="2"/>
        <v>4.7732696897374703E-4</v>
      </c>
      <c r="R235" s="339">
        <f t="shared" si="3"/>
        <v>485</v>
      </c>
      <c r="S235" s="384">
        <f t="shared" si="4"/>
        <v>8.8158416129536523E-4</v>
      </c>
      <c r="T235" s="366"/>
      <c r="U235" s="370"/>
      <c r="V235" s="5"/>
    </row>
    <row r="236" spans="1:23" ht="15.6" x14ac:dyDescent="0.3">
      <c r="A236" s="284"/>
      <c r="B236" s="338" t="s">
        <v>165</v>
      </c>
      <c r="C236" s="382"/>
      <c r="D236" s="382"/>
      <c r="E236" s="382"/>
      <c r="F236" s="311"/>
      <c r="G236" s="383"/>
      <c r="H236" s="382"/>
      <c r="I236" s="382"/>
      <c r="J236" s="382"/>
      <c r="K236" s="382"/>
      <c r="L236" s="382"/>
      <c r="M236" s="382"/>
      <c r="N236" s="382"/>
      <c r="O236" s="382"/>
      <c r="P236" s="338">
        <f t="shared" si="1"/>
        <v>0</v>
      </c>
      <c r="Q236" s="384">
        <f t="shared" si="2"/>
        <v>0</v>
      </c>
      <c r="R236" s="339">
        <f t="shared" si="3"/>
        <v>0</v>
      </c>
      <c r="S236" s="384">
        <f t="shared" si="4"/>
        <v>0</v>
      </c>
      <c r="T236" s="366"/>
      <c r="U236" s="370"/>
      <c r="V236" s="5"/>
      <c r="W236" s="109"/>
    </row>
    <row r="237" spans="1:23" ht="15.6" x14ac:dyDescent="0.3">
      <c r="A237" s="284"/>
      <c r="B237" s="338" t="s">
        <v>166</v>
      </c>
      <c r="C237" s="382"/>
      <c r="D237" s="382"/>
      <c r="E237" s="382"/>
      <c r="F237" s="311"/>
      <c r="G237" s="383"/>
      <c r="H237" s="382"/>
      <c r="I237" s="382"/>
      <c r="J237" s="382"/>
      <c r="K237" s="382"/>
      <c r="L237" s="382"/>
      <c r="M237" s="382"/>
      <c r="N237" s="382"/>
      <c r="O237" s="382"/>
      <c r="P237" s="338">
        <f t="shared" si="1"/>
        <v>7</v>
      </c>
      <c r="Q237" s="384">
        <f t="shared" si="2"/>
        <v>1.6706443914081145E-3</v>
      </c>
      <c r="R237" s="339">
        <f t="shared" si="3"/>
        <v>1283</v>
      </c>
      <c r="S237" s="384">
        <f t="shared" si="4"/>
        <v>2.3321082040040279E-3</v>
      </c>
      <c r="T237" s="366"/>
      <c r="U237" s="370"/>
      <c r="V237" s="5"/>
    </row>
    <row r="238" spans="1:23" ht="15.6" x14ac:dyDescent="0.3">
      <c r="A238" s="284"/>
      <c r="B238" s="338" t="s">
        <v>167</v>
      </c>
      <c r="C238" s="382"/>
      <c r="D238" s="382"/>
      <c r="E238" s="382"/>
      <c r="F238" s="311"/>
      <c r="G238" s="383"/>
      <c r="H238" s="382"/>
      <c r="I238" s="382"/>
      <c r="J238" s="382"/>
      <c r="K238" s="382"/>
      <c r="L238" s="382"/>
      <c r="M238" s="382"/>
      <c r="N238" s="382"/>
      <c r="O238" s="382"/>
      <c r="P238" s="338">
        <f t="shared" si="1"/>
        <v>9</v>
      </c>
      <c r="Q238" s="384">
        <f t="shared" si="2"/>
        <v>2.1479713603818618E-3</v>
      </c>
      <c r="R238" s="339">
        <f t="shared" si="3"/>
        <v>1635</v>
      </c>
      <c r="S238" s="384">
        <f t="shared" si="4"/>
        <v>2.9719383581812827E-3</v>
      </c>
      <c r="T238" s="366"/>
      <c r="U238" s="370"/>
      <c r="V238" s="5"/>
      <c r="W238" s="109"/>
    </row>
    <row r="239" spans="1:23" ht="15.6" x14ac:dyDescent="0.3">
      <c r="A239" s="284"/>
      <c r="B239" s="338"/>
      <c r="C239" s="382"/>
      <c r="D239" s="382"/>
      <c r="E239" s="382"/>
      <c r="F239" s="311"/>
      <c r="G239" s="383"/>
      <c r="H239" s="382"/>
      <c r="I239" s="382"/>
      <c r="J239" s="382"/>
      <c r="K239" s="382"/>
      <c r="L239" s="382"/>
      <c r="M239" s="382"/>
      <c r="N239" s="382"/>
      <c r="O239" s="382"/>
      <c r="P239" s="338"/>
      <c r="Q239" s="384"/>
      <c r="R239" s="339"/>
      <c r="S239" s="384"/>
      <c r="T239" s="366"/>
      <c r="U239" s="370"/>
      <c r="V239" s="5"/>
    </row>
    <row r="240" spans="1:23" ht="15.6" x14ac:dyDescent="0.3">
      <c r="A240" s="284"/>
      <c r="B240" s="285" t="s">
        <v>120</v>
      </c>
      <c r="C240" s="311"/>
      <c r="D240" s="311"/>
      <c r="E240" s="311"/>
      <c r="F240" s="311"/>
      <c r="G240" s="311"/>
      <c r="H240" s="385"/>
      <c r="I240" s="385"/>
      <c r="J240" s="385"/>
      <c r="K240" s="385"/>
      <c r="L240" s="385"/>
      <c r="M240" s="385"/>
      <c r="N240" s="385"/>
      <c r="O240" s="385"/>
      <c r="P240" s="338">
        <f>SUM(P231:P239)</f>
        <v>4190</v>
      </c>
      <c r="Q240" s="384">
        <f>SUM(Q231:Q239)</f>
        <v>0.99999999999999978</v>
      </c>
      <c r="R240" s="339">
        <f>SUM(R231:R239)</f>
        <v>550146</v>
      </c>
      <c r="S240" s="384">
        <f>SUM(S231:S239)</f>
        <v>1</v>
      </c>
      <c r="T240" s="311"/>
      <c r="U240" s="317"/>
      <c r="V240" s="5"/>
    </row>
    <row r="241" spans="1:23" ht="15.6" x14ac:dyDescent="0.3">
      <c r="A241" s="355"/>
      <c r="B241" s="350"/>
      <c r="C241" s="356"/>
      <c r="D241" s="356"/>
      <c r="E241" s="356"/>
      <c r="F241" s="357"/>
      <c r="G241" s="334"/>
      <c r="H241" s="334"/>
      <c r="I241" s="334"/>
      <c r="J241" s="334"/>
      <c r="K241" s="334"/>
      <c r="L241" s="334"/>
      <c r="M241" s="334"/>
      <c r="N241" s="334"/>
      <c r="O241" s="334"/>
      <c r="P241" s="334"/>
      <c r="Q241" s="334"/>
      <c r="R241" s="358"/>
      <c r="S241" s="334"/>
      <c r="T241" s="351"/>
      <c r="U241" s="359"/>
      <c r="V241" s="5"/>
    </row>
    <row r="242" spans="1:23" ht="15.6" x14ac:dyDescent="0.3">
      <c r="A242" s="222"/>
      <c r="B242" s="395" t="s">
        <v>169</v>
      </c>
      <c r="C242" s="396"/>
      <c r="D242" s="396"/>
      <c r="E242" s="396"/>
      <c r="F242" s="402"/>
      <c r="G242" s="396"/>
      <c r="H242" s="396"/>
      <c r="I242" s="396"/>
      <c r="J242" s="396"/>
      <c r="K242" s="396"/>
      <c r="L242" s="396"/>
      <c r="M242" s="396"/>
      <c r="N242" s="396"/>
      <c r="O242" s="396"/>
      <c r="P242" s="402" t="s">
        <v>105</v>
      </c>
      <c r="Q242" s="396" t="s">
        <v>106</v>
      </c>
      <c r="R242" s="402" t="s">
        <v>114</v>
      </c>
      <c r="S242" s="396" t="s">
        <v>106</v>
      </c>
      <c r="T242" s="223"/>
      <c r="U242" s="395"/>
      <c r="V242" s="5"/>
    </row>
    <row r="243" spans="1:23" ht="15.6" x14ac:dyDescent="0.3">
      <c r="A243" s="190"/>
      <c r="B243" s="243" t="s">
        <v>91</v>
      </c>
      <c r="C243" s="217"/>
      <c r="D243" s="217"/>
      <c r="E243" s="217"/>
      <c r="F243" s="191"/>
      <c r="G243" s="217"/>
      <c r="H243" s="217"/>
      <c r="I243" s="217"/>
      <c r="J243" s="217"/>
      <c r="K243" s="217"/>
      <c r="L243" s="217"/>
      <c r="M243" s="217"/>
      <c r="N243" s="217"/>
      <c r="O243" s="217"/>
      <c r="P243" s="243">
        <v>4053</v>
      </c>
      <c r="Q243" s="274">
        <f t="shared" ref="Q243:Q250" si="5">P243/$P$252</f>
        <v>0.99386954389406568</v>
      </c>
      <c r="R243" s="251">
        <v>529497</v>
      </c>
      <c r="S243" s="274">
        <f t="shared" ref="S243:S250" si="6">R243/$R$252</f>
        <v>0.99291547513009237</v>
      </c>
      <c r="T243" s="213"/>
      <c r="U243" s="216"/>
      <c r="V243" s="5"/>
    </row>
    <row r="244" spans="1:23" ht="15.6" x14ac:dyDescent="0.3">
      <c r="A244" s="284"/>
      <c r="B244" s="338" t="s">
        <v>92</v>
      </c>
      <c r="C244" s="382"/>
      <c r="D244" s="382"/>
      <c r="E244" s="382"/>
      <c r="F244" s="311"/>
      <c r="G244" s="383"/>
      <c r="H244" s="382"/>
      <c r="I244" s="382"/>
      <c r="J244" s="382"/>
      <c r="K244" s="382"/>
      <c r="L244" s="382"/>
      <c r="M244" s="382"/>
      <c r="N244" s="382"/>
      <c r="O244" s="382"/>
      <c r="P244" s="338">
        <v>19</v>
      </c>
      <c r="Q244" s="384">
        <f t="shared" si="5"/>
        <v>4.6591466405100541E-3</v>
      </c>
      <c r="R244" s="339">
        <v>2570</v>
      </c>
      <c r="S244" s="384">
        <f t="shared" si="6"/>
        <v>4.8192771084337354E-3</v>
      </c>
      <c r="T244" s="366"/>
      <c r="U244" s="370"/>
      <c r="V244" s="5"/>
      <c r="W244" s="109"/>
    </row>
    <row r="245" spans="1:23" ht="15.6" x14ac:dyDescent="0.3">
      <c r="A245" s="284"/>
      <c r="B245" s="338" t="s">
        <v>93</v>
      </c>
      <c r="C245" s="382"/>
      <c r="D245" s="382"/>
      <c r="E245" s="382"/>
      <c r="F245" s="311"/>
      <c r="G245" s="383"/>
      <c r="H245" s="382"/>
      <c r="I245" s="382"/>
      <c r="J245" s="382"/>
      <c r="K245" s="382"/>
      <c r="L245" s="382"/>
      <c r="M245" s="382"/>
      <c r="N245" s="382"/>
      <c r="O245" s="382"/>
      <c r="P245" s="338">
        <v>3</v>
      </c>
      <c r="Q245" s="384">
        <f t="shared" si="5"/>
        <v>7.3565473271211383E-4</v>
      </c>
      <c r="R245" s="339">
        <v>584</v>
      </c>
      <c r="S245" s="384">
        <f t="shared" si="6"/>
        <v>1.0951197787257981E-3</v>
      </c>
      <c r="T245" s="366"/>
      <c r="U245" s="370"/>
      <c r="V245" s="5"/>
    </row>
    <row r="246" spans="1:23" ht="15.6" x14ac:dyDescent="0.3">
      <c r="A246" s="284"/>
      <c r="B246" s="338" t="s">
        <v>163</v>
      </c>
      <c r="C246" s="382"/>
      <c r="D246" s="382"/>
      <c r="E246" s="382"/>
      <c r="F246" s="311"/>
      <c r="G246" s="383"/>
      <c r="H246" s="382"/>
      <c r="I246" s="382"/>
      <c r="J246" s="382"/>
      <c r="K246" s="382"/>
      <c r="L246" s="382"/>
      <c r="M246" s="382"/>
      <c r="N246" s="382"/>
      <c r="O246" s="382"/>
      <c r="P246" s="338">
        <v>1</v>
      </c>
      <c r="Q246" s="384">
        <f t="shared" si="5"/>
        <v>2.4521824423737128E-4</v>
      </c>
      <c r="R246" s="339">
        <v>216</v>
      </c>
      <c r="S246" s="384">
        <f t="shared" si="6"/>
        <v>4.0504430172050066E-4</v>
      </c>
      <c r="T246" s="366"/>
      <c r="U246" s="370"/>
      <c r="V246" s="5"/>
      <c r="W246" s="109"/>
    </row>
    <row r="247" spans="1:23" ht="15.6" x14ac:dyDescent="0.3">
      <c r="A247" s="284"/>
      <c r="B247" s="338" t="s">
        <v>164</v>
      </c>
      <c r="C247" s="382"/>
      <c r="D247" s="382"/>
      <c r="E247" s="382"/>
      <c r="F247" s="311"/>
      <c r="G247" s="383"/>
      <c r="H247" s="382"/>
      <c r="I247" s="382"/>
      <c r="J247" s="382"/>
      <c r="K247" s="382"/>
      <c r="L247" s="382"/>
      <c r="M247" s="382"/>
      <c r="N247" s="382"/>
      <c r="O247" s="382"/>
      <c r="P247" s="338">
        <v>0</v>
      </c>
      <c r="Q247" s="384">
        <f t="shared" si="5"/>
        <v>0</v>
      </c>
      <c r="R247" s="339">
        <v>0</v>
      </c>
      <c r="S247" s="384">
        <f t="shared" si="6"/>
        <v>0</v>
      </c>
      <c r="T247" s="366"/>
      <c r="U247" s="370"/>
      <c r="V247" s="5"/>
    </row>
    <row r="248" spans="1:23" ht="15.6" x14ac:dyDescent="0.3">
      <c r="A248" s="284"/>
      <c r="B248" s="338" t="s">
        <v>165</v>
      </c>
      <c r="C248" s="382"/>
      <c r="D248" s="382"/>
      <c r="E248" s="382"/>
      <c r="F248" s="311"/>
      <c r="G248" s="383"/>
      <c r="H248" s="382"/>
      <c r="I248" s="382"/>
      <c r="J248" s="382"/>
      <c r="K248" s="382"/>
      <c r="L248" s="382"/>
      <c r="M248" s="382"/>
      <c r="N248" s="382"/>
      <c r="O248" s="382"/>
      <c r="P248" s="338">
        <v>0</v>
      </c>
      <c r="Q248" s="384">
        <f t="shared" si="5"/>
        <v>0</v>
      </c>
      <c r="R248" s="339">
        <v>0</v>
      </c>
      <c r="S248" s="384">
        <f t="shared" si="6"/>
        <v>0</v>
      </c>
      <c r="T248" s="366"/>
      <c r="U248" s="370"/>
      <c r="V248" s="5"/>
      <c r="W248" s="109"/>
    </row>
    <row r="249" spans="1:23" ht="15.6" x14ac:dyDescent="0.3">
      <c r="A249" s="284"/>
      <c r="B249" s="338" t="s">
        <v>166</v>
      </c>
      <c r="C249" s="382"/>
      <c r="D249" s="382"/>
      <c r="E249" s="382"/>
      <c r="F249" s="311"/>
      <c r="G249" s="383"/>
      <c r="H249" s="382"/>
      <c r="I249" s="382"/>
      <c r="J249" s="382"/>
      <c r="K249" s="382"/>
      <c r="L249" s="382"/>
      <c r="M249" s="382"/>
      <c r="N249" s="382"/>
      <c r="O249" s="382"/>
      <c r="P249" s="338">
        <v>1</v>
      </c>
      <c r="Q249" s="384">
        <f t="shared" si="5"/>
        <v>2.4521824423737128E-4</v>
      </c>
      <c r="R249" s="339">
        <v>299</v>
      </c>
      <c r="S249" s="384">
        <f t="shared" si="6"/>
        <v>5.6068632506680422E-4</v>
      </c>
      <c r="T249" s="366"/>
      <c r="U249" s="370"/>
      <c r="V249" s="5"/>
    </row>
    <row r="250" spans="1:23" ht="15.6" x14ac:dyDescent="0.3">
      <c r="A250" s="284"/>
      <c r="B250" s="338" t="s">
        <v>167</v>
      </c>
      <c r="C250" s="382"/>
      <c r="D250" s="382"/>
      <c r="E250" s="382"/>
      <c r="F250" s="311"/>
      <c r="G250" s="383"/>
      <c r="H250" s="382"/>
      <c r="I250" s="382"/>
      <c r="J250" s="382"/>
      <c r="K250" s="382"/>
      <c r="L250" s="382"/>
      <c r="M250" s="382"/>
      <c r="N250" s="382"/>
      <c r="O250" s="382"/>
      <c r="P250" s="338">
        <v>1</v>
      </c>
      <c r="Q250" s="384">
        <f t="shared" si="5"/>
        <v>2.4521824423737128E-4</v>
      </c>
      <c r="R250" s="339">
        <v>109</v>
      </c>
      <c r="S250" s="384">
        <f t="shared" si="6"/>
        <v>2.0439735596080821E-4</v>
      </c>
      <c r="T250" s="366"/>
      <c r="U250" s="370"/>
      <c r="V250" s="5"/>
      <c r="W250" s="109"/>
    </row>
    <row r="251" spans="1:23" ht="15.6" x14ac:dyDescent="0.3">
      <c r="A251" s="284"/>
      <c r="B251" s="338"/>
      <c r="C251" s="382"/>
      <c r="D251" s="382"/>
      <c r="E251" s="382"/>
      <c r="F251" s="311"/>
      <c r="G251" s="383"/>
      <c r="H251" s="382"/>
      <c r="I251" s="382"/>
      <c r="J251" s="382"/>
      <c r="K251" s="382"/>
      <c r="L251" s="382"/>
      <c r="M251" s="382"/>
      <c r="N251" s="382"/>
      <c r="O251" s="382"/>
      <c r="P251" s="338"/>
      <c r="Q251" s="384"/>
      <c r="R251" s="339"/>
      <c r="S251" s="384"/>
      <c r="T251" s="366"/>
      <c r="U251" s="370"/>
      <c r="V251" s="5"/>
    </row>
    <row r="252" spans="1:23" ht="15.6" x14ac:dyDescent="0.3">
      <c r="A252" s="284"/>
      <c r="B252" s="285" t="s">
        <v>120</v>
      </c>
      <c r="C252" s="311"/>
      <c r="D252" s="311"/>
      <c r="E252" s="311"/>
      <c r="F252" s="311"/>
      <c r="G252" s="311"/>
      <c r="H252" s="385"/>
      <c r="I252" s="385"/>
      <c r="J252" s="385"/>
      <c r="K252" s="385"/>
      <c r="L252" s="385"/>
      <c r="M252" s="385"/>
      <c r="N252" s="385"/>
      <c r="O252" s="385"/>
      <c r="P252" s="338">
        <f>SUM(P243:P251)</f>
        <v>4078</v>
      </c>
      <c r="Q252" s="384">
        <f>SUM(Q243:Q251)</f>
        <v>1</v>
      </c>
      <c r="R252" s="339">
        <f>SUM(R243:R251)</f>
        <v>533275</v>
      </c>
      <c r="S252" s="384">
        <f>SUM(S243:S251)</f>
        <v>1</v>
      </c>
      <c r="T252" s="311"/>
      <c r="U252" s="317"/>
      <c r="V252" s="5"/>
    </row>
    <row r="253" spans="1:23" ht="15.6" x14ac:dyDescent="0.3">
      <c r="A253" s="175"/>
      <c r="B253" s="334"/>
      <c r="C253" s="334"/>
      <c r="D253" s="334"/>
      <c r="E253" s="334"/>
      <c r="F253" s="334"/>
      <c r="G253" s="334"/>
      <c r="H253" s="379"/>
      <c r="I253" s="379"/>
      <c r="J253" s="379"/>
      <c r="K253" s="379"/>
      <c r="L253" s="379"/>
      <c r="M253" s="379"/>
      <c r="N253" s="379"/>
      <c r="O253" s="379"/>
      <c r="P253" s="335"/>
      <c r="Q253" s="380"/>
      <c r="R253" s="381"/>
      <c r="S253" s="380"/>
      <c r="T253" s="334"/>
      <c r="U253" s="334"/>
      <c r="V253" s="5"/>
    </row>
    <row r="254" spans="1:23" ht="15.6" x14ac:dyDescent="0.3">
      <c r="A254" s="268"/>
      <c r="B254" s="395" t="s">
        <v>267</v>
      </c>
      <c r="C254" s="396"/>
      <c r="D254" s="396"/>
      <c r="E254" s="396"/>
      <c r="F254" s="402"/>
      <c r="G254" s="396"/>
      <c r="H254" s="396"/>
      <c r="I254" s="396"/>
      <c r="J254" s="396"/>
      <c r="K254" s="396"/>
      <c r="L254" s="396"/>
      <c r="M254" s="396"/>
      <c r="N254" s="396"/>
      <c r="O254" s="396"/>
      <c r="P254" s="402" t="s">
        <v>105</v>
      </c>
      <c r="Q254" s="396" t="s">
        <v>106</v>
      </c>
      <c r="R254" s="402" t="s">
        <v>114</v>
      </c>
      <c r="S254" s="396" t="s">
        <v>106</v>
      </c>
      <c r="T254" s="269"/>
      <c r="U254" s="270"/>
      <c r="V254" s="5"/>
    </row>
    <row r="255" spans="1:23" ht="15.6" x14ac:dyDescent="0.3">
      <c r="A255" s="190"/>
      <c r="B255" s="243" t="s">
        <v>91</v>
      </c>
      <c r="C255" s="217"/>
      <c r="D255" s="217"/>
      <c r="E255" s="217"/>
      <c r="F255" s="191"/>
      <c r="G255" s="217"/>
      <c r="H255" s="217"/>
      <c r="I255" s="217"/>
      <c r="J255" s="217"/>
      <c r="K255" s="217"/>
      <c r="L255" s="217"/>
      <c r="M255" s="217"/>
      <c r="N255" s="217"/>
      <c r="O255" s="217"/>
      <c r="P255" s="243">
        <v>83</v>
      </c>
      <c r="Q255" s="274">
        <f t="shared" ref="Q255:Q262" si="7">P255/$P$264</f>
        <v>0.75454545454545452</v>
      </c>
      <c r="R255" s="251">
        <v>12166</v>
      </c>
      <c r="S255" s="274">
        <f t="shared" ref="S255:S262" si="8">R255/$R$264</f>
        <v>0.7303836225010506</v>
      </c>
      <c r="T255" s="191"/>
      <c r="U255" s="191"/>
      <c r="V255" s="5"/>
    </row>
    <row r="256" spans="1:23" ht="15.6" x14ac:dyDescent="0.3">
      <c r="A256" s="284"/>
      <c r="B256" s="338" t="s">
        <v>92</v>
      </c>
      <c r="C256" s="382"/>
      <c r="D256" s="382"/>
      <c r="E256" s="382"/>
      <c r="F256" s="311"/>
      <c r="G256" s="383"/>
      <c r="H256" s="382"/>
      <c r="I256" s="382"/>
      <c r="J256" s="382"/>
      <c r="K256" s="382"/>
      <c r="L256" s="382"/>
      <c r="M256" s="382"/>
      <c r="N256" s="382"/>
      <c r="O256" s="382"/>
      <c r="P256" s="338">
        <v>7</v>
      </c>
      <c r="Q256" s="384">
        <f t="shared" si="7"/>
        <v>6.363636363636363E-2</v>
      </c>
      <c r="R256" s="339">
        <v>1110</v>
      </c>
      <c r="S256" s="384">
        <f t="shared" si="8"/>
        <v>6.6638650417241999E-2</v>
      </c>
      <c r="T256" s="311"/>
      <c r="U256" s="317"/>
      <c r="V256" s="5"/>
    </row>
    <row r="257" spans="1:22" ht="15.6" x14ac:dyDescent="0.3">
      <c r="A257" s="284"/>
      <c r="B257" s="338" t="s">
        <v>93</v>
      </c>
      <c r="C257" s="382"/>
      <c r="D257" s="382"/>
      <c r="E257" s="382"/>
      <c r="F257" s="311"/>
      <c r="G257" s="383"/>
      <c r="H257" s="382"/>
      <c r="I257" s="382"/>
      <c r="J257" s="382"/>
      <c r="K257" s="382"/>
      <c r="L257" s="382"/>
      <c r="M257" s="382"/>
      <c r="N257" s="382"/>
      <c r="O257" s="382"/>
      <c r="P257" s="338">
        <v>6</v>
      </c>
      <c r="Q257" s="384">
        <f t="shared" si="7"/>
        <v>5.4545454545454543E-2</v>
      </c>
      <c r="R257" s="339">
        <v>600</v>
      </c>
      <c r="S257" s="384">
        <f t="shared" si="8"/>
        <v>3.6020892117428108E-2</v>
      </c>
      <c r="T257" s="311"/>
      <c r="U257" s="317"/>
      <c r="V257" s="5"/>
    </row>
    <row r="258" spans="1:22" ht="15.6" x14ac:dyDescent="0.3">
      <c r="A258" s="284"/>
      <c r="B258" s="338" t="s">
        <v>163</v>
      </c>
      <c r="C258" s="382"/>
      <c r="D258" s="382"/>
      <c r="E258" s="382"/>
      <c r="F258" s="311"/>
      <c r="G258" s="383"/>
      <c r="H258" s="382"/>
      <c r="I258" s="382"/>
      <c r="J258" s="382"/>
      <c r="K258" s="382"/>
      <c r="L258" s="382"/>
      <c r="M258" s="382"/>
      <c r="N258" s="382"/>
      <c r="O258" s="382"/>
      <c r="P258" s="338">
        <v>0</v>
      </c>
      <c r="Q258" s="384">
        <f t="shared" si="7"/>
        <v>0</v>
      </c>
      <c r="R258" s="339">
        <v>0</v>
      </c>
      <c r="S258" s="384">
        <f t="shared" si="8"/>
        <v>0</v>
      </c>
      <c r="T258" s="311"/>
      <c r="U258" s="317"/>
      <c r="V258" s="5"/>
    </row>
    <row r="259" spans="1:22" ht="15.6" x14ac:dyDescent="0.3">
      <c r="A259" s="284"/>
      <c r="B259" s="338" t="s">
        <v>164</v>
      </c>
      <c r="C259" s="382"/>
      <c r="D259" s="382"/>
      <c r="E259" s="382"/>
      <c r="F259" s="311"/>
      <c r="G259" s="383"/>
      <c r="H259" s="382"/>
      <c r="I259" s="382"/>
      <c r="J259" s="382"/>
      <c r="K259" s="382"/>
      <c r="L259" s="382"/>
      <c r="M259" s="382"/>
      <c r="N259" s="382"/>
      <c r="O259" s="382"/>
      <c r="P259" s="338">
        <v>2</v>
      </c>
      <c r="Q259" s="384">
        <f t="shared" si="7"/>
        <v>1.8181818181818181E-2</v>
      </c>
      <c r="R259" s="339">
        <v>485</v>
      </c>
      <c r="S259" s="384">
        <f t="shared" si="8"/>
        <v>2.9116887794921054E-2</v>
      </c>
      <c r="T259" s="311"/>
      <c r="U259" s="317"/>
      <c r="V259" s="5"/>
    </row>
    <row r="260" spans="1:22" ht="15.6" x14ac:dyDescent="0.3">
      <c r="A260" s="284"/>
      <c r="B260" s="338" t="s">
        <v>165</v>
      </c>
      <c r="C260" s="382"/>
      <c r="D260" s="382"/>
      <c r="E260" s="382"/>
      <c r="F260" s="311"/>
      <c r="G260" s="383"/>
      <c r="H260" s="382"/>
      <c r="I260" s="382"/>
      <c r="J260" s="382"/>
      <c r="K260" s="382"/>
      <c r="L260" s="382"/>
      <c r="M260" s="382"/>
      <c r="N260" s="382"/>
      <c r="O260" s="382"/>
      <c r="P260" s="338">
        <v>0</v>
      </c>
      <c r="Q260" s="384">
        <f t="shared" si="7"/>
        <v>0</v>
      </c>
      <c r="R260" s="339">
        <v>0</v>
      </c>
      <c r="S260" s="384">
        <f t="shared" si="8"/>
        <v>0</v>
      </c>
      <c r="T260" s="311"/>
      <c r="U260" s="317"/>
      <c r="V260" s="5"/>
    </row>
    <row r="261" spans="1:22" ht="15.6" x14ac:dyDescent="0.3">
      <c r="A261" s="284"/>
      <c r="B261" s="338" t="s">
        <v>166</v>
      </c>
      <c r="C261" s="382"/>
      <c r="D261" s="382"/>
      <c r="E261" s="382"/>
      <c r="F261" s="311"/>
      <c r="G261" s="383"/>
      <c r="H261" s="382"/>
      <c r="I261" s="382"/>
      <c r="J261" s="382"/>
      <c r="K261" s="382"/>
      <c r="L261" s="382"/>
      <c r="M261" s="382"/>
      <c r="N261" s="382"/>
      <c r="O261" s="382"/>
      <c r="P261" s="338">
        <v>4</v>
      </c>
      <c r="Q261" s="384">
        <f t="shared" si="7"/>
        <v>3.6363636363636362E-2</v>
      </c>
      <c r="R261" s="339">
        <v>770</v>
      </c>
      <c r="S261" s="384">
        <f t="shared" si="8"/>
        <v>4.6226811550699402E-2</v>
      </c>
      <c r="T261" s="311"/>
      <c r="U261" s="317"/>
      <c r="V261" s="5"/>
    </row>
    <row r="262" spans="1:22" ht="15.6" x14ac:dyDescent="0.3">
      <c r="A262" s="284"/>
      <c r="B262" s="338" t="s">
        <v>167</v>
      </c>
      <c r="C262" s="382"/>
      <c r="D262" s="382"/>
      <c r="E262" s="382"/>
      <c r="F262" s="311"/>
      <c r="G262" s="383"/>
      <c r="H262" s="382"/>
      <c r="I262" s="382"/>
      <c r="J262" s="382"/>
      <c r="K262" s="382"/>
      <c r="L262" s="382"/>
      <c r="M262" s="382"/>
      <c r="N262" s="382"/>
      <c r="O262" s="382"/>
      <c r="P262" s="338">
        <v>8</v>
      </c>
      <c r="Q262" s="384">
        <f t="shared" si="7"/>
        <v>7.2727272727272724E-2</v>
      </c>
      <c r="R262" s="339">
        <v>1526</v>
      </c>
      <c r="S262" s="384">
        <f t="shared" si="8"/>
        <v>9.1613135618658817E-2</v>
      </c>
      <c r="T262" s="311"/>
      <c r="U262" s="317"/>
      <c r="V262" s="5"/>
    </row>
    <row r="263" spans="1:22" ht="15.6" x14ac:dyDescent="0.3">
      <c r="A263" s="284"/>
      <c r="B263" s="338"/>
      <c r="C263" s="382"/>
      <c r="D263" s="382"/>
      <c r="E263" s="382"/>
      <c r="F263" s="311"/>
      <c r="G263" s="383"/>
      <c r="H263" s="382"/>
      <c r="I263" s="382"/>
      <c r="J263" s="382"/>
      <c r="K263" s="382"/>
      <c r="L263" s="382"/>
      <c r="M263" s="382"/>
      <c r="N263" s="382"/>
      <c r="O263" s="382"/>
      <c r="P263" s="338"/>
      <c r="Q263" s="384"/>
      <c r="R263" s="339"/>
      <c r="S263" s="384"/>
      <c r="T263" s="311"/>
      <c r="U263" s="317"/>
      <c r="V263" s="5"/>
    </row>
    <row r="264" spans="1:22" ht="15.6" x14ac:dyDescent="0.3">
      <c r="A264" s="284"/>
      <c r="B264" s="285" t="s">
        <v>120</v>
      </c>
      <c r="C264" s="311"/>
      <c r="D264" s="311"/>
      <c r="E264" s="311"/>
      <c r="F264" s="311"/>
      <c r="G264" s="311"/>
      <c r="H264" s="385"/>
      <c r="I264" s="385"/>
      <c r="J264" s="385"/>
      <c r="K264" s="385"/>
      <c r="L264" s="385"/>
      <c r="M264" s="385"/>
      <c r="N264" s="385"/>
      <c r="O264" s="385"/>
      <c r="P264" s="338">
        <f>SUM(P255:P263)</f>
        <v>110</v>
      </c>
      <c r="Q264" s="384">
        <f>SUM(Q255:Q263)</f>
        <v>1</v>
      </c>
      <c r="R264" s="339">
        <f>SUM(R255:R263)</f>
        <v>16657</v>
      </c>
      <c r="S264" s="384">
        <f>SUM(S255:S263)</f>
        <v>1</v>
      </c>
      <c r="T264" s="311"/>
      <c r="U264" s="317"/>
      <c r="V264" s="5"/>
    </row>
    <row r="265" spans="1:22" ht="15.6" x14ac:dyDescent="0.3">
      <c r="A265" s="175"/>
      <c r="B265" s="334"/>
      <c r="C265" s="334"/>
      <c r="D265" s="334"/>
      <c r="E265" s="334"/>
      <c r="F265" s="334"/>
      <c r="G265" s="334"/>
      <c r="H265" s="379"/>
      <c r="I265" s="379"/>
      <c r="J265" s="379"/>
      <c r="K265" s="379"/>
      <c r="L265" s="379"/>
      <c r="M265" s="379"/>
      <c r="N265" s="379"/>
      <c r="O265" s="379"/>
      <c r="P265" s="335"/>
      <c r="Q265" s="380"/>
      <c r="R265" s="381"/>
      <c r="S265" s="380"/>
      <c r="T265" s="334"/>
      <c r="U265" s="334"/>
      <c r="V265" s="5"/>
    </row>
    <row r="266" spans="1:22" ht="15.6" x14ac:dyDescent="0.3">
      <c r="A266" s="268"/>
      <c r="B266" s="395" t="s">
        <v>170</v>
      </c>
      <c r="C266" s="269"/>
      <c r="D266" s="269"/>
      <c r="E266" s="269"/>
      <c r="F266" s="269"/>
      <c r="G266" s="269"/>
      <c r="H266" s="271"/>
      <c r="I266" s="271"/>
      <c r="J266" s="271"/>
      <c r="K266" s="271"/>
      <c r="L266" s="271"/>
      <c r="M266" s="271"/>
      <c r="N266" s="271"/>
      <c r="O266" s="271"/>
      <c r="P266" s="402" t="s">
        <v>105</v>
      </c>
      <c r="Q266" s="396" t="s">
        <v>106</v>
      </c>
      <c r="R266" s="402" t="s">
        <v>114</v>
      </c>
      <c r="S266" s="396" t="s">
        <v>106</v>
      </c>
      <c r="T266" s="269"/>
      <c r="U266" s="270"/>
      <c r="V266" s="5"/>
    </row>
    <row r="267" spans="1:22" ht="15.6" x14ac:dyDescent="0.3">
      <c r="A267" s="190"/>
      <c r="B267" s="243" t="s">
        <v>91</v>
      </c>
      <c r="C267" s="239"/>
      <c r="D267" s="239"/>
      <c r="E267" s="239"/>
      <c r="F267" s="239"/>
      <c r="G267" s="239"/>
      <c r="H267" s="275"/>
      <c r="I267" s="275"/>
      <c r="J267" s="275"/>
      <c r="K267" s="275"/>
      <c r="L267" s="218"/>
      <c r="M267" s="218"/>
      <c r="N267" s="218"/>
      <c r="O267" s="218"/>
      <c r="P267" s="243">
        <v>0</v>
      </c>
      <c r="Q267" s="274">
        <v>0</v>
      </c>
      <c r="R267" s="251">
        <v>0</v>
      </c>
      <c r="S267" s="274">
        <v>0</v>
      </c>
      <c r="T267" s="239"/>
      <c r="U267" s="191"/>
      <c r="V267" s="5"/>
    </row>
    <row r="268" spans="1:22" ht="15.6" x14ac:dyDescent="0.3">
      <c r="A268" s="284"/>
      <c r="B268" s="338" t="s">
        <v>92</v>
      </c>
      <c r="C268" s="285"/>
      <c r="D268" s="285"/>
      <c r="E268" s="285"/>
      <c r="F268" s="285"/>
      <c r="G268" s="285"/>
      <c r="H268" s="387"/>
      <c r="I268" s="387"/>
      <c r="J268" s="387"/>
      <c r="K268" s="387"/>
      <c r="L268" s="385"/>
      <c r="M268" s="385"/>
      <c r="N268" s="385"/>
      <c r="O268" s="385"/>
      <c r="P268" s="338">
        <v>0</v>
      </c>
      <c r="Q268" s="384">
        <v>0</v>
      </c>
      <c r="R268" s="339">
        <v>0</v>
      </c>
      <c r="S268" s="384">
        <v>0</v>
      </c>
      <c r="T268" s="285"/>
      <c r="U268" s="317"/>
      <c r="V268" s="5"/>
    </row>
    <row r="269" spans="1:22" ht="15.6" x14ac:dyDescent="0.3">
      <c r="A269" s="284"/>
      <c r="B269" s="338" t="s">
        <v>93</v>
      </c>
      <c r="C269" s="285"/>
      <c r="D269" s="285"/>
      <c r="E269" s="285"/>
      <c r="F269" s="285"/>
      <c r="G269" s="285"/>
      <c r="H269" s="387"/>
      <c r="I269" s="387"/>
      <c r="J269" s="387"/>
      <c r="K269" s="387"/>
      <c r="L269" s="385"/>
      <c r="M269" s="385"/>
      <c r="N269" s="385"/>
      <c r="O269" s="385"/>
      <c r="P269" s="338">
        <v>0</v>
      </c>
      <c r="Q269" s="384">
        <v>0</v>
      </c>
      <c r="R269" s="339">
        <v>0</v>
      </c>
      <c r="S269" s="384">
        <v>0</v>
      </c>
      <c r="T269" s="285"/>
      <c r="U269" s="317"/>
      <c r="V269" s="5"/>
    </row>
    <row r="270" spans="1:22" ht="15.6" x14ac:dyDescent="0.3">
      <c r="A270" s="284"/>
      <c r="B270" s="338" t="s">
        <v>163</v>
      </c>
      <c r="C270" s="285"/>
      <c r="D270" s="285"/>
      <c r="E270" s="285"/>
      <c r="F270" s="285"/>
      <c r="G270" s="285"/>
      <c r="H270" s="387"/>
      <c r="I270" s="387"/>
      <c r="J270" s="387"/>
      <c r="K270" s="387"/>
      <c r="L270" s="385"/>
      <c r="M270" s="385"/>
      <c r="N270" s="385"/>
      <c r="O270" s="385"/>
      <c r="P270" s="338">
        <v>0</v>
      </c>
      <c r="Q270" s="384">
        <v>0</v>
      </c>
      <c r="R270" s="339">
        <v>0</v>
      </c>
      <c r="S270" s="384">
        <v>0</v>
      </c>
      <c r="T270" s="285"/>
      <c r="U270" s="317"/>
      <c r="V270" s="5"/>
    </row>
    <row r="271" spans="1:22" ht="15.6" x14ac:dyDescent="0.3">
      <c r="A271" s="284"/>
      <c r="B271" s="338" t="s">
        <v>164</v>
      </c>
      <c r="C271" s="285"/>
      <c r="D271" s="285"/>
      <c r="E271" s="285"/>
      <c r="F271" s="285"/>
      <c r="G271" s="285"/>
      <c r="H271" s="387"/>
      <c r="I271" s="387"/>
      <c r="J271" s="387"/>
      <c r="K271" s="387"/>
      <c r="L271" s="385"/>
      <c r="M271" s="385"/>
      <c r="N271" s="385"/>
      <c r="O271" s="385"/>
      <c r="P271" s="338">
        <v>0</v>
      </c>
      <c r="Q271" s="384">
        <v>0</v>
      </c>
      <c r="R271" s="339">
        <v>0</v>
      </c>
      <c r="S271" s="384">
        <v>0</v>
      </c>
      <c r="T271" s="285"/>
      <c r="U271" s="317"/>
      <c r="V271" s="5"/>
    </row>
    <row r="272" spans="1:22" ht="15.6" x14ac:dyDescent="0.3">
      <c r="A272" s="284"/>
      <c r="B272" s="338" t="s">
        <v>165</v>
      </c>
      <c r="C272" s="285"/>
      <c r="D272" s="285"/>
      <c r="E272" s="285"/>
      <c r="F272" s="285"/>
      <c r="G272" s="285"/>
      <c r="H272" s="387"/>
      <c r="I272" s="387"/>
      <c r="J272" s="387"/>
      <c r="K272" s="387"/>
      <c r="L272" s="385"/>
      <c r="M272" s="385"/>
      <c r="N272" s="385"/>
      <c r="O272" s="385"/>
      <c r="P272" s="338">
        <v>0</v>
      </c>
      <c r="Q272" s="384">
        <v>0</v>
      </c>
      <c r="R272" s="339">
        <v>0</v>
      </c>
      <c r="S272" s="384">
        <v>0</v>
      </c>
      <c r="T272" s="285"/>
      <c r="U272" s="317"/>
      <c r="V272" s="5"/>
    </row>
    <row r="273" spans="1:22" ht="15.6" x14ac:dyDescent="0.3">
      <c r="A273" s="284"/>
      <c r="B273" s="338" t="s">
        <v>166</v>
      </c>
      <c r="C273" s="285"/>
      <c r="D273" s="285"/>
      <c r="E273" s="285"/>
      <c r="F273" s="285"/>
      <c r="G273" s="285"/>
      <c r="H273" s="387"/>
      <c r="I273" s="387"/>
      <c r="J273" s="387"/>
      <c r="K273" s="387"/>
      <c r="L273" s="385"/>
      <c r="M273" s="385"/>
      <c r="N273" s="385"/>
      <c r="O273" s="385"/>
      <c r="P273" s="338">
        <v>2</v>
      </c>
      <c r="Q273" s="384">
        <f>+P273/P276</f>
        <v>1</v>
      </c>
      <c r="R273" s="339">
        <v>214</v>
      </c>
      <c r="S273" s="384">
        <f>+R273/R276</f>
        <v>1</v>
      </c>
      <c r="T273" s="285"/>
      <c r="U273" s="317"/>
      <c r="V273" s="5"/>
    </row>
    <row r="274" spans="1:22" ht="15.6" x14ac:dyDescent="0.3">
      <c r="A274" s="284"/>
      <c r="B274" s="338" t="s">
        <v>167</v>
      </c>
      <c r="C274" s="285"/>
      <c r="D274" s="285"/>
      <c r="E274" s="285"/>
      <c r="F274" s="285"/>
      <c r="G274" s="285"/>
      <c r="H274" s="387"/>
      <c r="I274" s="387"/>
      <c r="J274" s="387"/>
      <c r="K274" s="387"/>
      <c r="L274" s="385"/>
      <c r="M274" s="385"/>
      <c r="N274" s="385"/>
      <c r="O274" s="385"/>
      <c r="P274" s="338">
        <v>0</v>
      </c>
      <c r="Q274" s="384">
        <v>0</v>
      </c>
      <c r="R274" s="339">
        <v>0</v>
      </c>
      <c r="S274" s="384">
        <v>0</v>
      </c>
      <c r="T274" s="285"/>
      <c r="U274" s="317"/>
      <c r="V274" s="5"/>
    </row>
    <row r="275" spans="1:22" ht="15.6" x14ac:dyDescent="0.3">
      <c r="A275" s="284"/>
      <c r="B275" s="338"/>
      <c r="C275" s="285"/>
      <c r="D275" s="285"/>
      <c r="E275" s="285"/>
      <c r="F275" s="285"/>
      <c r="G275" s="285"/>
      <c r="H275" s="387"/>
      <c r="I275" s="387"/>
      <c r="J275" s="387"/>
      <c r="K275" s="387"/>
      <c r="L275" s="385"/>
      <c r="M275" s="385"/>
      <c r="N275" s="385"/>
      <c r="O275" s="385"/>
      <c r="P275" s="338"/>
      <c r="Q275" s="384"/>
      <c r="R275" s="339"/>
      <c r="S275" s="384"/>
      <c r="T275" s="285"/>
      <c r="U275" s="317"/>
      <c r="V275" s="5"/>
    </row>
    <row r="276" spans="1:22" ht="15.6" x14ac:dyDescent="0.3">
      <c r="A276" s="284"/>
      <c r="B276" s="285" t="s">
        <v>120</v>
      </c>
      <c r="C276" s="285"/>
      <c r="D276" s="285"/>
      <c r="E276" s="285"/>
      <c r="F276" s="285"/>
      <c r="G276" s="285"/>
      <c r="H276" s="387"/>
      <c r="I276" s="387"/>
      <c r="J276" s="387"/>
      <c r="K276" s="387"/>
      <c r="L276" s="385"/>
      <c r="M276" s="385"/>
      <c r="N276" s="385"/>
      <c r="O276" s="385"/>
      <c r="P276" s="338">
        <f>SUM(P267:P274)</f>
        <v>2</v>
      </c>
      <c r="Q276" s="384">
        <f>SUM(Q267:Q275)</f>
        <v>1</v>
      </c>
      <c r="R276" s="339">
        <f>SUM(R267:R274)</f>
        <v>214</v>
      </c>
      <c r="S276" s="384">
        <f>SUM(S267:S275)</f>
        <v>1</v>
      </c>
      <c r="T276" s="285"/>
      <c r="U276" s="317"/>
      <c r="V276" s="5"/>
    </row>
    <row r="277" spans="1:22" ht="15.6" x14ac:dyDescent="0.3">
      <c r="A277" s="284"/>
      <c r="B277" s="285"/>
      <c r="C277" s="285"/>
      <c r="D277" s="285"/>
      <c r="E277" s="285"/>
      <c r="F277" s="285"/>
      <c r="G277" s="285"/>
      <c r="H277" s="387"/>
      <c r="I277" s="387"/>
      <c r="J277" s="387"/>
      <c r="K277" s="387"/>
      <c r="L277" s="385"/>
      <c r="M277" s="385"/>
      <c r="N277" s="385"/>
      <c r="O277" s="385"/>
      <c r="P277" s="344"/>
      <c r="Q277" s="388"/>
      <c r="R277" s="345"/>
      <c r="S277" s="388"/>
      <c r="T277" s="311"/>
      <c r="U277" s="317"/>
      <c r="V277" s="5"/>
    </row>
    <row r="278" spans="1:22" ht="15.6" x14ac:dyDescent="0.3">
      <c r="A278" s="284"/>
      <c r="B278" s="292" t="s">
        <v>171</v>
      </c>
      <c r="C278" s="285"/>
      <c r="D278" s="285"/>
      <c r="E278" s="285"/>
      <c r="F278" s="285"/>
      <c r="G278" s="285"/>
      <c r="H278" s="387"/>
      <c r="I278" s="387"/>
      <c r="J278" s="387"/>
      <c r="K278" s="387"/>
      <c r="L278" s="385"/>
      <c r="M278" s="385"/>
      <c r="N278" s="385"/>
      <c r="O278" s="385"/>
      <c r="P278" s="403">
        <f>P276+P264+P252</f>
        <v>4190</v>
      </c>
      <c r="Q278" s="384"/>
      <c r="R278" s="404">
        <f>+R276+R264+R252</f>
        <v>550146</v>
      </c>
      <c r="S278" s="384"/>
      <c r="T278" s="311"/>
      <c r="U278" s="317"/>
      <c r="V278" s="5"/>
    </row>
    <row r="279" spans="1:22" ht="15.6" x14ac:dyDescent="0.3">
      <c r="A279" s="175"/>
      <c r="B279" s="281"/>
      <c r="C279" s="281"/>
      <c r="D279" s="281"/>
      <c r="E279" s="281"/>
      <c r="F279" s="281"/>
      <c r="G279" s="281"/>
      <c r="H279" s="386"/>
      <c r="I279" s="386"/>
      <c r="J279" s="386"/>
      <c r="K279" s="386"/>
      <c r="L279" s="379"/>
      <c r="M279" s="379"/>
      <c r="N279" s="379"/>
      <c r="O279" s="379"/>
      <c r="P279" s="379"/>
      <c r="Q279" s="379"/>
      <c r="R279" s="381"/>
      <c r="S279" s="379"/>
      <c r="T279" s="334"/>
      <c r="U279" s="334"/>
      <c r="V279" s="5"/>
    </row>
    <row r="280" spans="1:22" ht="15.6" x14ac:dyDescent="0.3">
      <c r="A280" s="175"/>
      <c r="B280" s="231"/>
      <c r="C280" s="231"/>
      <c r="D280" s="231"/>
      <c r="E280" s="231"/>
      <c r="F280" s="231"/>
      <c r="G280" s="231"/>
      <c r="H280" s="276"/>
      <c r="I280" s="276"/>
      <c r="J280" s="276"/>
      <c r="K280" s="276"/>
      <c r="L280" s="219"/>
      <c r="M280" s="219"/>
      <c r="N280" s="219"/>
      <c r="O280" s="219"/>
      <c r="P280" s="219"/>
      <c r="Q280" s="219"/>
      <c r="R280" s="220"/>
      <c r="S280" s="219"/>
      <c r="T280" s="177"/>
      <c r="U280" s="177"/>
      <c r="V280" s="5"/>
    </row>
    <row r="281" spans="1:22" ht="15.6" x14ac:dyDescent="0.3">
      <c r="A281" s="221"/>
      <c r="B281" s="230" t="s">
        <v>94</v>
      </c>
      <c r="C281" s="231"/>
      <c r="D281" s="231"/>
      <c r="E281" s="231"/>
      <c r="F281" s="236" t="s">
        <v>100</v>
      </c>
      <c r="G281" s="231"/>
      <c r="H281" s="230" t="s">
        <v>102</v>
      </c>
      <c r="I281" s="277"/>
      <c r="J281" s="277"/>
      <c r="K281" s="277"/>
      <c r="L281" s="188"/>
      <c r="M281" s="188"/>
      <c r="N281" s="188"/>
      <c r="O281" s="188"/>
      <c r="P281" s="188"/>
      <c r="Q281" s="188"/>
      <c r="R281" s="188"/>
      <c r="S281" s="188"/>
      <c r="T281" s="188"/>
      <c r="U281" s="188"/>
      <c r="V281" s="5"/>
    </row>
    <row r="282" spans="1:22" ht="15.6" x14ac:dyDescent="0.3">
      <c r="A282" s="221"/>
      <c r="B282" s="230" t="s">
        <v>95</v>
      </c>
      <c r="C282" s="230"/>
      <c r="D282" s="230"/>
      <c r="E282" s="230"/>
      <c r="F282" s="278" t="s">
        <v>154</v>
      </c>
      <c r="G282" s="230"/>
      <c r="H282" s="230" t="s">
        <v>158</v>
      </c>
      <c r="I282" s="277"/>
      <c r="J282" s="277"/>
      <c r="K282" s="277"/>
      <c r="L282" s="188"/>
      <c r="M282" s="188"/>
      <c r="N282" s="188"/>
      <c r="O282" s="188"/>
      <c r="P282" s="188"/>
      <c r="Q282" s="188"/>
      <c r="R282" s="188"/>
      <c r="S282" s="188"/>
      <c r="T282" s="188"/>
      <c r="U282" s="188"/>
      <c r="V282" s="5"/>
    </row>
    <row r="283" spans="1:22" ht="15.6" x14ac:dyDescent="0.3">
      <c r="A283" s="221"/>
      <c r="B283" s="230" t="s">
        <v>268</v>
      </c>
      <c r="C283" s="230"/>
      <c r="D283" s="230"/>
      <c r="E283" s="230"/>
      <c r="F283" s="278" t="s">
        <v>269</v>
      </c>
      <c r="G283" s="230"/>
      <c r="H283" s="230" t="s">
        <v>270</v>
      </c>
      <c r="I283" s="277"/>
      <c r="J283" s="277"/>
      <c r="K283" s="277"/>
      <c r="L283" s="188"/>
      <c r="M283" s="188"/>
      <c r="N283" s="188"/>
      <c r="O283" s="188"/>
      <c r="P283" s="188"/>
      <c r="Q283" s="188"/>
      <c r="R283" s="188"/>
      <c r="S283" s="188"/>
      <c r="T283" s="188"/>
      <c r="U283" s="188"/>
      <c r="V283" s="5"/>
    </row>
    <row r="284" spans="1:22" ht="15.6" x14ac:dyDescent="0.3">
      <c r="A284" s="221"/>
      <c r="B284" s="230" t="s">
        <v>96</v>
      </c>
      <c r="C284" s="230"/>
      <c r="D284" s="230"/>
      <c r="E284" s="230"/>
      <c r="F284" s="278" t="s">
        <v>153</v>
      </c>
      <c r="G284" s="230"/>
      <c r="H284" s="230" t="s">
        <v>159</v>
      </c>
      <c r="I284" s="277"/>
      <c r="J284" s="277"/>
      <c r="K284" s="277"/>
      <c r="L284" s="188"/>
      <c r="M284" s="188"/>
      <c r="N284" s="188"/>
      <c r="O284" s="188"/>
      <c r="P284" s="188"/>
      <c r="Q284" s="188"/>
      <c r="R284" s="188"/>
      <c r="S284" s="188"/>
      <c r="T284" s="188"/>
      <c r="U284" s="188"/>
      <c r="V284" s="5"/>
    </row>
    <row r="285" spans="1:22" ht="15.6" x14ac:dyDescent="0.3">
      <c r="A285" s="221"/>
      <c r="B285" s="230"/>
      <c r="C285" s="230"/>
      <c r="D285" s="230"/>
      <c r="E285" s="230"/>
      <c r="F285" s="230"/>
      <c r="G285" s="279"/>
      <c r="H285" s="277"/>
      <c r="I285" s="277"/>
      <c r="J285" s="277"/>
      <c r="K285" s="277"/>
      <c r="L285" s="188"/>
      <c r="M285" s="188"/>
      <c r="N285" s="188"/>
      <c r="O285" s="188"/>
      <c r="P285" s="188"/>
      <c r="Q285" s="188"/>
      <c r="R285" s="188"/>
      <c r="S285" s="188"/>
      <c r="T285" s="188"/>
      <c r="U285" s="188"/>
      <c r="V285" s="5"/>
    </row>
    <row r="286" spans="1:22" ht="15.6" x14ac:dyDescent="0.3">
      <c r="A286" s="221"/>
      <c r="B286" s="230"/>
      <c r="C286" s="230"/>
      <c r="D286" s="230"/>
      <c r="E286" s="230"/>
      <c r="F286" s="230"/>
      <c r="G286" s="279"/>
      <c r="H286" s="277"/>
      <c r="I286" s="277"/>
      <c r="J286" s="277"/>
      <c r="K286" s="277"/>
      <c r="L286" s="188"/>
      <c r="M286" s="188"/>
      <c r="N286" s="188"/>
      <c r="O286" s="188"/>
      <c r="P286" s="188"/>
      <c r="Q286" s="188"/>
      <c r="R286" s="188"/>
      <c r="S286" s="188"/>
      <c r="T286" s="188"/>
      <c r="U286" s="188"/>
      <c r="V286" s="5"/>
    </row>
    <row r="287" spans="1:22" ht="18" thickBot="1" x14ac:dyDescent="0.35">
      <c r="A287" s="221"/>
      <c r="B287" s="280" t="str">
        <f>B192</f>
        <v>PM11 INVESTOR REPORT QUARTER ENDING DECEMBER 2012</v>
      </c>
      <c r="C287" s="230"/>
      <c r="D287" s="230"/>
      <c r="E287" s="230"/>
      <c r="F287" s="230"/>
      <c r="G287" s="279"/>
      <c r="H287" s="277"/>
      <c r="I287" s="277"/>
      <c r="J287" s="277"/>
      <c r="K287" s="277"/>
      <c r="L287" s="188"/>
      <c r="M287" s="188"/>
      <c r="N287" s="188"/>
      <c r="O287" s="188"/>
      <c r="P287" s="188"/>
      <c r="Q287" s="188"/>
      <c r="R287" s="188"/>
      <c r="S287" s="188"/>
      <c r="T287" s="188"/>
      <c r="U287" s="188"/>
      <c r="V287" s="5"/>
    </row>
    <row r="288" spans="1:22" x14ac:dyDescent="0.25">
      <c r="A288" s="100"/>
      <c r="B288" s="100"/>
      <c r="C288" s="100"/>
      <c r="D288" s="100"/>
      <c r="E288" s="100"/>
      <c r="F288" s="100"/>
      <c r="G288" s="100"/>
      <c r="H288" s="100"/>
      <c r="I288" s="100"/>
      <c r="J288" s="100"/>
      <c r="K288" s="100"/>
      <c r="L288" s="100"/>
      <c r="M288" s="100"/>
      <c r="N288" s="100"/>
      <c r="O288" s="100"/>
      <c r="P288" s="100"/>
      <c r="Q288" s="100"/>
      <c r="R288" s="100"/>
      <c r="S288" s="100"/>
      <c r="T288" s="100"/>
      <c r="U288" s="100"/>
    </row>
  </sheetData>
  <hyperlinks>
    <hyperlink ref="N228" r:id="rId1" xr:uid="{00000000-0004-0000-1A00-000000000000}"/>
    <hyperlink ref="J9" r:id="rId2" xr:uid="{00000000-0004-0000-1A00-000001000000}"/>
  </hyperlinks>
  <printOptions horizontalCentered="1" verticalCentered="1"/>
  <pageMargins left="0.19685039370078741" right="0.19685039370078741" top="0.27559055118110237" bottom="0.27559055118110237" header="0" footer="0"/>
  <pageSetup scale="40" orientation="landscape" r:id="rId3"/>
  <headerFooter alignWithMargins="0"/>
  <rowBreaks count="3" manualBreakCount="3">
    <brk id="64" max="21" man="1"/>
    <brk id="132" max="14" man="1"/>
    <brk id="192" max="14" man="1"/>
  </rowBreaks>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2D2926"/>
  </sheetPr>
  <dimension ref="A1:X289"/>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08984375" style="1" customWidth="1"/>
    <col min="10" max="10" width="17.81640625" style="1" customWidth="1"/>
    <col min="11" max="11" width="2.1796875" style="1" customWidth="1"/>
    <col min="12" max="12" width="14.81640625" style="1" customWidth="1"/>
    <col min="13" max="13" width="2.1796875" style="1" customWidth="1"/>
    <col min="14" max="14" width="15.54296875" style="1" customWidth="1"/>
    <col min="15" max="15" width="2.08984375" style="1" customWidth="1"/>
    <col min="16" max="16" width="15.54296875" style="1" customWidth="1"/>
    <col min="17" max="18" width="12.81640625" style="1" customWidth="1"/>
    <col min="19" max="19" width="7.81640625" style="1" customWidth="1"/>
    <col min="20" max="20" width="14.81640625" style="1" customWidth="1"/>
    <col min="21" max="21" width="11.81640625" style="1" customWidth="1"/>
    <col min="22" max="16384" width="9.81640625" style="1"/>
  </cols>
  <sheetData>
    <row r="1" spans="1:22" ht="20.399999999999999" x14ac:dyDescent="0.35">
      <c r="A1" s="173"/>
      <c r="B1" s="228" t="s">
        <v>228</v>
      </c>
      <c r="C1" s="174"/>
      <c r="D1" s="174"/>
      <c r="E1" s="174"/>
      <c r="F1" s="174"/>
      <c r="G1" s="174"/>
      <c r="H1" s="174"/>
      <c r="I1" s="174"/>
      <c r="J1" s="174"/>
      <c r="K1" s="174"/>
      <c r="L1" s="174"/>
      <c r="M1" s="174"/>
      <c r="N1" s="174"/>
      <c r="O1" s="174"/>
      <c r="P1" s="174"/>
      <c r="Q1" s="174"/>
      <c r="R1" s="174"/>
      <c r="S1" s="174"/>
      <c r="T1" s="174"/>
      <c r="U1" s="174"/>
      <c r="V1" s="5"/>
    </row>
    <row r="2" spans="1:22" ht="15.6" x14ac:dyDescent="0.3">
      <c r="A2" s="175"/>
      <c r="B2" s="176"/>
      <c r="C2" s="177"/>
      <c r="D2" s="177"/>
      <c r="E2" s="177"/>
      <c r="F2" s="177"/>
      <c r="G2" s="177"/>
      <c r="H2" s="177"/>
      <c r="I2" s="177"/>
      <c r="J2" s="177"/>
      <c r="K2" s="177"/>
      <c r="L2" s="177"/>
      <c r="M2" s="177"/>
      <c r="N2" s="177"/>
      <c r="O2" s="177"/>
      <c r="P2" s="177"/>
      <c r="Q2" s="177"/>
      <c r="R2" s="177"/>
      <c r="S2" s="177"/>
      <c r="T2" s="177"/>
      <c r="U2" s="177"/>
      <c r="V2" s="5"/>
    </row>
    <row r="3" spans="1:22" ht="15.6" x14ac:dyDescent="0.3">
      <c r="A3" s="178"/>
      <c r="B3" s="179" t="s">
        <v>229</v>
      </c>
      <c r="C3" s="177"/>
      <c r="D3" s="177"/>
      <c r="E3" s="177"/>
      <c r="F3" s="177"/>
      <c r="G3" s="177"/>
      <c r="H3" s="177"/>
      <c r="I3" s="177"/>
      <c r="J3" s="177"/>
      <c r="K3" s="177"/>
      <c r="L3" s="177"/>
      <c r="M3" s="177"/>
      <c r="N3" s="177"/>
      <c r="O3" s="177"/>
      <c r="P3" s="177"/>
      <c r="Q3" s="177"/>
      <c r="R3" s="177"/>
      <c r="S3" s="177"/>
      <c r="T3" s="177"/>
      <c r="U3" s="177"/>
      <c r="V3" s="5"/>
    </row>
    <row r="4" spans="1:22" ht="15.6" x14ac:dyDescent="0.3">
      <c r="A4" s="175"/>
      <c r="B4" s="176"/>
      <c r="C4" s="177"/>
      <c r="D4" s="177"/>
      <c r="E4" s="177"/>
      <c r="F4" s="177"/>
      <c r="G4" s="177"/>
      <c r="H4" s="177"/>
      <c r="I4" s="177"/>
      <c r="J4" s="177"/>
      <c r="K4" s="177"/>
      <c r="L4" s="177"/>
      <c r="M4" s="177"/>
      <c r="N4" s="177"/>
      <c r="O4" s="177"/>
      <c r="P4" s="177"/>
      <c r="Q4" s="177"/>
      <c r="R4" s="177"/>
      <c r="S4" s="177"/>
      <c r="T4" s="177"/>
      <c r="U4" s="177"/>
      <c r="V4" s="5"/>
    </row>
    <row r="5" spans="1:22" ht="15.6" x14ac:dyDescent="0.3">
      <c r="A5" s="175"/>
      <c r="B5" s="229" t="s">
        <v>143</v>
      </c>
      <c r="C5" s="177"/>
      <c r="D5" s="177"/>
      <c r="E5" s="177"/>
      <c r="F5" s="177"/>
      <c r="G5" s="177"/>
      <c r="H5" s="177"/>
      <c r="I5" s="177"/>
      <c r="J5" s="177"/>
      <c r="K5" s="177"/>
      <c r="L5" s="177"/>
      <c r="M5" s="177"/>
      <c r="N5" s="177"/>
      <c r="O5" s="177"/>
      <c r="P5" s="177"/>
      <c r="Q5" s="177"/>
      <c r="R5" s="177"/>
      <c r="S5" s="177"/>
      <c r="T5" s="177"/>
      <c r="U5" s="177"/>
      <c r="V5" s="5"/>
    </row>
    <row r="6" spans="1:22" ht="15.6" x14ac:dyDescent="0.3">
      <c r="A6" s="175"/>
      <c r="B6" s="229" t="s">
        <v>145</v>
      </c>
      <c r="C6" s="177"/>
      <c r="D6" s="177"/>
      <c r="E6" s="177"/>
      <c r="F6" s="177"/>
      <c r="G6" s="177"/>
      <c r="H6" s="177"/>
      <c r="I6" s="177"/>
      <c r="J6" s="177"/>
      <c r="K6" s="177"/>
      <c r="L6" s="177"/>
      <c r="M6" s="177"/>
      <c r="N6" s="177"/>
      <c r="O6" s="177"/>
      <c r="P6" s="177"/>
      <c r="Q6" s="177"/>
      <c r="R6" s="177"/>
      <c r="S6" s="177"/>
      <c r="T6" s="177"/>
      <c r="U6" s="177"/>
      <c r="V6" s="5"/>
    </row>
    <row r="7" spans="1:22" ht="15.6" x14ac:dyDescent="0.3">
      <c r="A7" s="175"/>
      <c r="B7" s="229" t="s">
        <v>144</v>
      </c>
      <c r="C7" s="177"/>
      <c r="D7" s="177"/>
      <c r="E7" s="177"/>
      <c r="F7" s="177"/>
      <c r="G7" s="177"/>
      <c r="H7" s="177"/>
      <c r="I7" s="177"/>
      <c r="J7" s="177"/>
      <c r="K7" s="177"/>
      <c r="L7" s="177"/>
      <c r="M7" s="177"/>
      <c r="N7" s="177"/>
      <c r="O7" s="177"/>
      <c r="P7" s="177"/>
      <c r="Q7" s="177"/>
      <c r="R7" s="177"/>
      <c r="S7" s="177"/>
      <c r="T7" s="177"/>
      <c r="U7" s="177"/>
      <c r="V7" s="5"/>
    </row>
    <row r="8" spans="1:22" ht="15.6" x14ac:dyDescent="0.3">
      <c r="A8" s="175"/>
      <c r="B8" s="180"/>
      <c r="C8" s="177"/>
      <c r="D8" s="177"/>
      <c r="E8" s="177"/>
      <c r="F8" s="177"/>
      <c r="G8" s="177"/>
      <c r="H8" s="177"/>
      <c r="I8" s="177"/>
      <c r="J8" s="177"/>
      <c r="K8" s="177"/>
      <c r="L8" s="177"/>
      <c r="M8" s="177"/>
      <c r="N8" s="177"/>
      <c r="O8" s="177"/>
      <c r="P8" s="177"/>
      <c r="Q8" s="177"/>
      <c r="R8" s="177"/>
      <c r="S8" s="177"/>
      <c r="T8" s="177"/>
      <c r="U8" s="177"/>
      <c r="V8" s="5"/>
    </row>
    <row r="9" spans="1:22" ht="17.399999999999999" x14ac:dyDescent="0.3">
      <c r="A9" s="175"/>
      <c r="B9" s="181" t="s">
        <v>173</v>
      </c>
      <c r="C9" s="177"/>
      <c r="D9" s="177"/>
      <c r="E9" s="177"/>
      <c r="F9" s="177"/>
      <c r="G9" s="177"/>
      <c r="H9" s="177"/>
      <c r="I9" s="177"/>
      <c r="J9" s="182" t="s">
        <v>174</v>
      </c>
      <c r="K9" s="177"/>
      <c r="L9" s="182"/>
      <c r="M9" s="177"/>
      <c r="N9" s="177"/>
      <c r="O9" s="177"/>
      <c r="P9" s="177"/>
      <c r="Q9" s="177"/>
      <c r="R9" s="177"/>
      <c r="S9" s="177"/>
      <c r="T9" s="177"/>
      <c r="U9" s="177"/>
      <c r="V9" s="5"/>
    </row>
    <row r="10" spans="1:22" ht="15.6" x14ac:dyDescent="0.3">
      <c r="A10" s="175"/>
      <c r="B10" s="180"/>
      <c r="C10" s="183"/>
      <c r="D10" s="183"/>
      <c r="E10" s="183"/>
      <c r="F10" s="177"/>
      <c r="G10" s="177"/>
      <c r="H10" s="177"/>
      <c r="I10" s="177"/>
      <c r="J10" s="177"/>
      <c r="K10" s="177"/>
      <c r="L10" s="177"/>
      <c r="M10" s="177"/>
      <c r="N10" s="177"/>
      <c r="O10" s="177"/>
      <c r="P10" s="177"/>
      <c r="Q10" s="177"/>
      <c r="R10" s="177"/>
      <c r="S10" s="177"/>
      <c r="T10" s="177"/>
      <c r="U10" s="177"/>
      <c r="V10" s="5"/>
    </row>
    <row r="11" spans="1:22" ht="15.6" x14ac:dyDescent="0.3">
      <c r="A11" s="175"/>
      <c r="B11" s="230" t="s">
        <v>0</v>
      </c>
      <c r="C11" s="177"/>
      <c r="D11" s="177"/>
      <c r="E11" s="177"/>
      <c r="F11" s="177"/>
      <c r="G11" s="177"/>
      <c r="H11" s="177"/>
      <c r="I11" s="177"/>
      <c r="J11" s="177"/>
      <c r="K11" s="177"/>
      <c r="L11" s="177"/>
      <c r="M11" s="177"/>
      <c r="N11" s="177"/>
      <c r="O11" s="177"/>
      <c r="P11" s="177"/>
      <c r="Q11" s="177"/>
      <c r="R11" s="177"/>
      <c r="S11" s="177"/>
      <c r="T11" s="177"/>
      <c r="U11" s="177"/>
      <c r="V11" s="5"/>
    </row>
    <row r="12" spans="1:22" ht="16.2" thickBot="1" x14ac:dyDescent="0.35">
      <c r="A12" s="175"/>
      <c r="B12" s="183"/>
      <c r="C12" s="177"/>
      <c r="D12" s="177"/>
      <c r="E12" s="177"/>
      <c r="F12" s="177"/>
      <c r="G12" s="177"/>
      <c r="H12" s="177"/>
      <c r="I12" s="177"/>
      <c r="J12" s="177"/>
      <c r="K12" s="177"/>
      <c r="L12" s="177"/>
      <c r="M12" s="177"/>
      <c r="N12" s="177"/>
      <c r="O12" s="177"/>
      <c r="P12" s="177"/>
      <c r="Q12" s="177"/>
      <c r="R12" s="177"/>
      <c r="S12" s="177"/>
      <c r="T12" s="177"/>
      <c r="U12" s="177"/>
      <c r="V12" s="5"/>
    </row>
    <row r="13" spans="1:22" ht="15.6" x14ac:dyDescent="0.3">
      <c r="A13" s="173"/>
      <c r="B13" s="174"/>
      <c r="C13" s="174"/>
      <c r="D13" s="174"/>
      <c r="E13" s="174"/>
      <c r="F13" s="174"/>
      <c r="G13" s="174"/>
      <c r="H13" s="174"/>
      <c r="I13" s="174"/>
      <c r="J13" s="174"/>
      <c r="K13" s="174"/>
      <c r="L13" s="174"/>
      <c r="M13" s="174"/>
      <c r="N13" s="174"/>
      <c r="O13" s="174"/>
      <c r="P13" s="174"/>
      <c r="Q13" s="174"/>
      <c r="R13" s="174"/>
      <c r="S13" s="174"/>
      <c r="T13" s="174"/>
      <c r="U13" s="174"/>
      <c r="V13" s="5"/>
    </row>
    <row r="14" spans="1:22" ht="15.6" x14ac:dyDescent="0.3">
      <c r="A14" s="175"/>
      <c r="B14" s="230" t="s">
        <v>1</v>
      </c>
      <c r="C14" s="184"/>
      <c r="D14" s="184"/>
      <c r="E14" s="184"/>
      <c r="F14" s="184"/>
      <c r="G14" s="184"/>
      <c r="H14" s="184"/>
      <c r="I14" s="184"/>
      <c r="J14" s="184"/>
      <c r="K14" s="184"/>
      <c r="L14" s="184"/>
      <c r="M14" s="184"/>
      <c r="N14" s="184"/>
      <c r="O14" s="184"/>
      <c r="P14" s="231"/>
      <c r="Q14" s="231"/>
      <c r="R14" s="231"/>
      <c r="S14" s="231"/>
      <c r="T14" s="233" t="s">
        <v>230</v>
      </c>
      <c r="U14" s="184"/>
      <c r="V14" s="5"/>
    </row>
    <row r="15" spans="1:22" ht="15.6" x14ac:dyDescent="0.3">
      <c r="A15" s="175"/>
      <c r="B15" s="230" t="s">
        <v>2</v>
      </c>
      <c r="C15" s="184"/>
      <c r="D15" s="184"/>
      <c r="E15" s="184"/>
      <c r="F15" s="184"/>
      <c r="G15" s="184"/>
      <c r="H15" s="185"/>
      <c r="I15" s="185"/>
      <c r="J15" s="185"/>
      <c r="K15" s="185"/>
      <c r="L15" s="185"/>
      <c r="M15" s="185"/>
      <c r="N15" s="185"/>
      <c r="O15" s="185"/>
      <c r="P15" s="234" t="s">
        <v>107</v>
      </c>
      <c r="Q15" s="235">
        <v>0.40749999999999997</v>
      </c>
      <c r="R15" s="236" t="s">
        <v>146</v>
      </c>
      <c r="S15" s="235">
        <v>0.59250000000000003</v>
      </c>
      <c r="T15" s="233"/>
      <c r="U15" s="184"/>
      <c r="V15" s="5"/>
    </row>
    <row r="16" spans="1:22" ht="15.6" x14ac:dyDescent="0.3">
      <c r="A16" s="175"/>
      <c r="B16" s="230" t="s">
        <v>3</v>
      </c>
      <c r="C16" s="184"/>
      <c r="D16" s="184"/>
      <c r="E16" s="184"/>
      <c r="F16" s="184"/>
      <c r="G16" s="184"/>
      <c r="H16" s="185"/>
      <c r="I16" s="185"/>
      <c r="J16" s="185"/>
      <c r="K16" s="185"/>
      <c r="L16" s="185"/>
      <c r="M16" s="185"/>
      <c r="N16" s="185"/>
      <c r="O16" s="185"/>
      <c r="P16" s="234" t="s">
        <v>107</v>
      </c>
      <c r="Q16" s="235">
        <v>0.45290000000000002</v>
      </c>
      <c r="R16" s="236" t="s">
        <v>146</v>
      </c>
      <c r="S16" s="235">
        <v>0.54710000000000003</v>
      </c>
      <c r="T16" s="233"/>
      <c r="U16" s="184"/>
      <c r="V16" s="5"/>
    </row>
    <row r="17" spans="1:22" ht="15.6" x14ac:dyDescent="0.3">
      <c r="A17" s="175"/>
      <c r="B17" s="230" t="s">
        <v>4</v>
      </c>
      <c r="C17" s="184"/>
      <c r="D17" s="184"/>
      <c r="E17" s="184"/>
      <c r="F17" s="184"/>
      <c r="G17" s="184"/>
      <c r="H17" s="184"/>
      <c r="I17" s="184"/>
      <c r="J17" s="184"/>
      <c r="K17" s="184"/>
      <c r="L17" s="184"/>
      <c r="M17" s="184"/>
      <c r="N17" s="184"/>
      <c r="O17" s="184"/>
      <c r="P17" s="231"/>
      <c r="Q17" s="231"/>
      <c r="R17" s="231"/>
      <c r="S17" s="231"/>
      <c r="T17" s="237">
        <v>38799</v>
      </c>
      <c r="U17" s="184"/>
      <c r="V17" s="5"/>
    </row>
    <row r="18" spans="1:22" ht="15.6" x14ac:dyDescent="0.3">
      <c r="A18" s="175"/>
      <c r="B18" s="230" t="s">
        <v>5</v>
      </c>
      <c r="C18" s="184"/>
      <c r="D18" s="184"/>
      <c r="E18" s="184"/>
      <c r="F18" s="184"/>
      <c r="G18" s="184"/>
      <c r="H18" s="184"/>
      <c r="I18" s="184"/>
      <c r="J18" s="184"/>
      <c r="K18" s="184"/>
      <c r="L18" s="184"/>
      <c r="M18" s="184"/>
      <c r="N18" s="184"/>
      <c r="O18" s="184"/>
      <c r="P18" s="231"/>
      <c r="Q18" s="231"/>
      <c r="R18" s="231"/>
      <c r="S18" s="231"/>
      <c r="T18" s="237">
        <v>41386</v>
      </c>
      <c r="U18" s="184"/>
      <c r="V18" s="5"/>
    </row>
    <row r="19" spans="1:22" ht="15.6" x14ac:dyDescent="0.3">
      <c r="A19" s="175"/>
      <c r="B19" s="177"/>
      <c r="C19" s="177"/>
      <c r="D19" s="177"/>
      <c r="E19" s="177"/>
      <c r="F19" s="177"/>
      <c r="G19" s="177"/>
      <c r="H19" s="177"/>
      <c r="I19" s="177"/>
      <c r="J19" s="177"/>
      <c r="K19" s="177"/>
      <c r="L19" s="177"/>
      <c r="M19" s="177"/>
      <c r="N19" s="177"/>
      <c r="O19" s="177"/>
      <c r="P19" s="177"/>
      <c r="Q19" s="177"/>
      <c r="R19" s="177"/>
      <c r="S19" s="177"/>
      <c r="T19" s="186"/>
      <c r="U19" s="177"/>
      <c r="V19" s="5"/>
    </row>
    <row r="20" spans="1:22" ht="15.6" x14ac:dyDescent="0.3">
      <c r="A20" s="175"/>
      <c r="B20" s="232" t="s">
        <v>6</v>
      </c>
      <c r="C20" s="177"/>
      <c r="D20" s="177"/>
      <c r="E20" s="177"/>
      <c r="F20" s="177"/>
      <c r="G20" s="177"/>
      <c r="H20" s="177"/>
      <c r="I20" s="177"/>
      <c r="J20" s="177"/>
      <c r="K20" s="177"/>
      <c r="L20" s="177"/>
      <c r="M20" s="177"/>
      <c r="N20" s="177"/>
      <c r="O20" s="177"/>
      <c r="P20" s="177"/>
      <c r="Q20" s="177"/>
      <c r="R20" s="238" t="s">
        <v>108</v>
      </c>
      <c r="S20" s="177"/>
      <c r="T20" s="188"/>
      <c r="U20" s="177"/>
      <c r="V20" s="5"/>
    </row>
    <row r="21" spans="1:22" ht="15.6" x14ac:dyDescent="0.3">
      <c r="A21" s="175"/>
      <c r="B21" s="177"/>
      <c r="C21" s="177"/>
      <c r="D21" s="177"/>
      <c r="E21" s="177"/>
      <c r="F21" s="177"/>
      <c r="G21" s="177"/>
      <c r="H21" s="177"/>
      <c r="I21" s="177"/>
      <c r="J21" s="177"/>
      <c r="K21" s="177"/>
      <c r="L21" s="177"/>
      <c r="M21" s="177"/>
      <c r="N21" s="177"/>
      <c r="O21" s="177"/>
      <c r="P21" s="177"/>
      <c r="Q21" s="177"/>
      <c r="R21" s="177"/>
      <c r="S21" s="177"/>
      <c r="T21" s="189"/>
      <c r="U21" s="177"/>
      <c r="V21" s="5"/>
    </row>
    <row r="22" spans="1:22" ht="15.6" x14ac:dyDescent="0.3">
      <c r="A22" s="222"/>
      <c r="B22" s="223"/>
      <c r="C22" s="224"/>
      <c r="D22" s="224" t="s">
        <v>184</v>
      </c>
      <c r="E22" s="224"/>
      <c r="F22" s="224" t="s">
        <v>185</v>
      </c>
      <c r="G22" s="224"/>
      <c r="H22" s="224" t="s">
        <v>186</v>
      </c>
      <c r="I22" s="224"/>
      <c r="J22" s="224" t="s">
        <v>187</v>
      </c>
      <c r="K22" s="224"/>
      <c r="L22" s="224" t="s">
        <v>188</v>
      </c>
      <c r="M22" s="224"/>
      <c r="N22" s="224" t="s">
        <v>189</v>
      </c>
      <c r="O22" s="224"/>
      <c r="P22" s="224"/>
      <c r="Q22" s="226"/>
      <c r="R22" s="226"/>
      <c r="S22" s="227"/>
      <c r="T22" s="227"/>
      <c r="U22" s="223"/>
      <c r="V22" s="5"/>
    </row>
    <row r="23" spans="1:22" ht="15.6" x14ac:dyDescent="0.3">
      <c r="A23" s="190"/>
      <c r="B23" s="239" t="s">
        <v>7</v>
      </c>
      <c r="C23" s="240"/>
      <c r="D23" s="240" t="s">
        <v>222</v>
      </c>
      <c r="E23" s="240"/>
      <c r="F23" s="240" t="s">
        <v>147</v>
      </c>
      <c r="G23" s="240"/>
      <c r="H23" s="240" t="s">
        <v>147</v>
      </c>
      <c r="I23" s="240"/>
      <c r="J23" s="240" t="s">
        <v>190</v>
      </c>
      <c r="K23" s="240"/>
      <c r="L23" s="240" t="s">
        <v>190</v>
      </c>
      <c r="M23" s="240"/>
      <c r="N23" s="240" t="s">
        <v>148</v>
      </c>
      <c r="O23" s="240"/>
      <c r="P23" s="240"/>
      <c r="Q23" s="240"/>
      <c r="R23" s="240"/>
      <c r="S23" s="241"/>
      <c r="T23" s="241"/>
      <c r="U23" s="239"/>
      <c r="V23" s="5"/>
    </row>
    <row r="24" spans="1:22" ht="15.6" x14ac:dyDescent="0.3">
      <c r="A24" s="284"/>
      <c r="B24" s="285" t="s">
        <v>8</v>
      </c>
      <c r="C24" s="286"/>
      <c r="D24" s="286" t="s">
        <v>223</v>
      </c>
      <c r="E24" s="286"/>
      <c r="F24" s="286" t="s">
        <v>149</v>
      </c>
      <c r="G24" s="286"/>
      <c r="H24" s="286" t="s">
        <v>149</v>
      </c>
      <c r="I24" s="286"/>
      <c r="J24" s="286" t="s">
        <v>172</v>
      </c>
      <c r="K24" s="286"/>
      <c r="L24" s="286" t="s">
        <v>172</v>
      </c>
      <c r="M24" s="286"/>
      <c r="N24" s="286" t="s">
        <v>150</v>
      </c>
      <c r="O24" s="286"/>
      <c r="P24" s="286"/>
      <c r="Q24" s="286"/>
      <c r="R24" s="286"/>
      <c r="S24" s="287"/>
      <c r="T24" s="287"/>
      <c r="U24" s="288"/>
      <c r="V24" s="5"/>
    </row>
    <row r="25" spans="1:22" ht="15.6" x14ac:dyDescent="0.3">
      <c r="A25" s="289"/>
      <c r="B25" s="285" t="s">
        <v>198</v>
      </c>
      <c r="C25" s="394"/>
      <c r="D25" s="286" t="s">
        <v>224</v>
      </c>
      <c r="E25" s="286"/>
      <c r="F25" s="286" t="s">
        <v>149</v>
      </c>
      <c r="G25" s="286"/>
      <c r="H25" s="286" t="s">
        <v>149</v>
      </c>
      <c r="I25" s="286"/>
      <c r="J25" s="286" t="s">
        <v>172</v>
      </c>
      <c r="K25" s="286"/>
      <c r="L25" s="286" t="s">
        <v>172</v>
      </c>
      <c r="M25" s="286"/>
      <c r="N25" s="286" t="s">
        <v>150</v>
      </c>
      <c r="O25" s="286"/>
      <c r="P25" s="286"/>
      <c r="Q25" s="394"/>
      <c r="R25" s="286"/>
      <c r="S25" s="287"/>
      <c r="T25" s="287"/>
      <c r="U25" s="288"/>
      <c r="V25" s="5"/>
    </row>
    <row r="26" spans="1:22" ht="15.6" x14ac:dyDescent="0.3">
      <c r="A26" s="289"/>
      <c r="B26" s="292" t="s">
        <v>9</v>
      </c>
      <c r="C26" s="394"/>
      <c r="D26" s="394" t="s">
        <v>306</v>
      </c>
      <c r="E26" s="394"/>
      <c r="F26" s="394" t="s">
        <v>147</v>
      </c>
      <c r="G26" s="394"/>
      <c r="H26" s="394" t="s">
        <v>147</v>
      </c>
      <c r="I26" s="394"/>
      <c r="J26" s="394" t="s">
        <v>190</v>
      </c>
      <c r="K26" s="394"/>
      <c r="L26" s="394" t="s">
        <v>190</v>
      </c>
      <c r="M26" s="394"/>
      <c r="N26" s="394" t="s">
        <v>148</v>
      </c>
      <c r="O26" s="394"/>
      <c r="P26" s="394"/>
      <c r="Q26" s="394"/>
      <c r="R26" s="286"/>
      <c r="S26" s="287"/>
      <c r="T26" s="287"/>
      <c r="U26" s="288"/>
      <c r="V26" s="5"/>
    </row>
    <row r="27" spans="1:22" ht="15.6" x14ac:dyDescent="0.3">
      <c r="A27" s="284"/>
      <c r="B27" s="292" t="s">
        <v>199</v>
      </c>
      <c r="C27" s="286"/>
      <c r="D27" s="394" t="s">
        <v>307</v>
      </c>
      <c r="E27" s="394"/>
      <c r="F27" s="394" t="s">
        <v>172</v>
      </c>
      <c r="G27" s="394"/>
      <c r="H27" s="394" t="s">
        <v>172</v>
      </c>
      <c r="I27" s="394"/>
      <c r="J27" s="394" t="s">
        <v>150</v>
      </c>
      <c r="K27" s="394"/>
      <c r="L27" s="394" t="s">
        <v>150</v>
      </c>
      <c r="M27" s="394"/>
      <c r="N27" s="394" t="s">
        <v>308</v>
      </c>
      <c r="O27" s="394"/>
      <c r="P27" s="394"/>
      <c r="Q27" s="286"/>
      <c r="R27" s="293"/>
      <c r="S27" s="287"/>
      <c r="T27" s="287"/>
      <c r="U27" s="288"/>
      <c r="V27" s="5"/>
    </row>
    <row r="28" spans="1:22" ht="15.6" x14ac:dyDescent="0.3">
      <c r="A28" s="284"/>
      <c r="B28" s="292" t="s">
        <v>200</v>
      </c>
      <c r="C28" s="286"/>
      <c r="D28" s="394" t="s">
        <v>302</v>
      </c>
      <c r="E28" s="394"/>
      <c r="F28" s="394" t="s">
        <v>149</v>
      </c>
      <c r="G28" s="394"/>
      <c r="H28" s="394" t="s">
        <v>149</v>
      </c>
      <c r="I28" s="394"/>
      <c r="J28" s="394" t="s">
        <v>172</v>
      </c>
      <c r="K28" s="394"/>
      <c r="L28" s="394" t="s">
        <v>172</v>
      </c>
      <c r="M28" s="394"/>
      <c r="N28" s="394" t="s">
        <v>150</v>
      </c>
      <c r="O28" s="394"/>
      <c r="P28" s="394"/>
      <c r="Q28" s="286"/>
      <c r="R28" s="293"/>
      <c r="S28" s="287"/>
      <c r="T28" s="287"/>
      <c r="U28" s="288"/>
      <c r="V28" s="5"/>
    </row>
    <row r="29" spans="1:22" ht="15.6" x14ac:dyDescent="0.3">
      <c r="A29" s="284"/>
      <c r="B29" s="285" t="s">
        <v>10</v>
      </c>
      <c r="C29" s="295"/>
      <c r="D29" s="286" t="s">
        <v>237</v>
      </c>
      <c r="E29" s="286"/>
      <c r="F29" s="293" t="s">
        <v>238</v>
      </c>
      <c r="G29" s="286"/>
      <c r="H29" s="286" t="s">
        <v>239</v>
      </c>
      <c r="I29" s="286"/>
      <c r="J29" s="286" t="s">
        <v>240</v>
      </c>
      <c r="K29" s="286"/>
      <c r="L29" s="286" t="s">
        <v>241</v>
      </c>
      <c r="M29" s="286"/>
      <c r="N29" s="286" t="s">
        <v>242</v>
      </c>
      <c r="O29" s="286"/>
      <c r="P29" s="286"/>
      <c r="Q29" s="296"/>
      <c r="R29" s="296"/>
      <c r="S29" s="297"/>
      <c r="T29" s="296"/>
      <c r="U29" s="298"/>
      <c r="V29" s="5"/>
    </row>
    <row r="30" spans="1:22" ht="15.6" x14ac:dyDescent="0.3">
      <c r="A30" s="284"/>
      <c r="B30" s="285" t="s">
        <v>10</v>
      </c>
      <c r="C30" s="295"/>
      <c r="D30" s="286" t="s">
        <v>236</v>
      </c>
      <c r="E30" s="286"/>
      <c r="F30" s="293" t="s">
        <v>124</v>
      </c>
      <c r="G30" s="286"/>
      <c r="H30" s="286" t="s">
        <v>124</v>
      </c>
      <c r="I30" s="286"/>
      <c r="J30" s="286" t="s">
        <v>124</v>
      </c>
      <c r="K30" s="286"/>
      <c r="L30" s="286" t="s">
        <v>124</v>
      </c>
      <c r="M30" s="286"/>
      <c r="N30" s="286" t="s">
        <v>124</v>
      </c>
      <c r="O30" s="286"/>
      <c r="P30" s="286"/>
      <c r="Q30" s="296"/>
      <c r="R30" s="296"/>
      <c r="S30" s="297"/>
      <c r="T30" s="296"/>
      <c r="U30" s="298"/>
      <c r="V30" s="5"/>
    </row>
    <row r="31" spans="1:22" ht="15.6" x14ac:dyDescent="0.3">
      <c r="A31" s="289"/>
      <c r="B31" s="285" t="s">
        <v>139</v>
      </c>
      <c r="C31" s="299"/>
      <c r="D31" s="300">
        <v>985000</v>
      </c>
      <c r="E31" s="295"/>
      <c r="F31" s="296">
        <v>149500</v>
      </c>
      <c r="G31" s="296"/>
      <c r="H31" s="301">
        <v>219700</v>
      </c>
      <c r="I31" s="296"/>
      <c r="J31" s="296">
        <v>16000</v>
      </c>
      <c r="K31" s="296"/>
      <c r="L31" s="301">
        <v>82400</v>
      </c>
      <c r="M31" s="296"/>
      <c r="N31" s="301">
        <v>87500</v>
      </c>
      <c r="O31" s="296"/>
      <c r="P31" s="301"/>
      <c r="Q31" s="302"/>
      <c r="R31" s="302"/>
      <c r="S31" s="303"/>
      <c r="T31" s="302"/>
      <c r="U31" s="298"/>
      <c r="V31" s="5"/>
    </row>
    <row r="32" spans="1:22" ht="15.6" x14ac:dyDescent="0.3">
      <c r="A32" s="284"/>
      <c r="B32" s="285" t="s">
        <v>138</v>
      </c>
      <c r="C32" s="295"/>
      <c r="D32" s="300">
        <f>D38*D31</f>
        <v>474155.45849999995</v>
      </c>
      <c r="E32" s="295"/>
      <c r="F32" s="296">
        <f>F38*F31</f>
        <v>71965.891400000008</v>
      </c>
      <c r="G32" s="296"/>
      <c r="H32" s="301">
        <f>H38*H31</f>
        <v>105758.57084</v>
      </c>
      <c r="I32" s="296"/>
      <c r="J32" s="296">
        <f>+J31</f>
        <v>16000</v>
      </c>
      <c r="K32" s="296"/>
      <c r="L32" s="301">
        <f>+L31</f>
        <v>82400</v>
      </c>
      <c r="M32" s="296"/>
      <c r="N32" s="301">
        <f>+N31</f>
        <v>87500</v>
      </c>
      <c r="O32" s="296"/>
      <c r="P32" s="301"/>
      <c r="Q32" s="296"/>
      <c r="R32" s="296"/>
      <c r="S32" s="297"/>
      <c r="T32" s="296"/>
      <c r="U32" s="298"/>
      <c r="V32" s="5"/>
    </row>
    <row r="33" spans="1:22" ht="15.6" x14ac:dyDescent="0.3">
      <c r="A33" s="284"/>
      <c r="B33" s="292" t="s">
        <v>140</v>
      </c>
      <c r="C33" s="295"/>
      <c r="D33" s="304">
        <f>D37*D31</f>
        <v>471407.80099999998</v>
      </c>
      <c r="E33" s="299"/>
      <c r="F33" s="302">
        <f>F37*F31</f>
        <v>71548.876099999994</v>
      </c>
      <c r="G33" s="302"/>
      <c r="H33" s="305">
        <f>H31*H37</f>
        <v>105145.73966000001</v>
      </c>
      <c r="I33" s="302"/>
      <c r="J33" s="302">
        <f>J31*J37</f>
        <v>16000</v>
      </c>
      <c r="K33" s="302"/>
      <c r="L33" s="305">
        <f>L31*L37</f>
        <v>82400</v>
      </c>
      <c r="M33" s="302"/>
      <c r="N33" s="305">
        <f>N31*N37</f>
        <v>87500</v>
      </c>
      <c r="O33" s="302"/>
      <c r="P33" s="305"/>
      <c r="Q33" s="296"/>
      <c r="R33" s="296"/>
      <c r="S33" s="297"/>
      <c r="T33" s="296"/>
      <c r="U33" s="298"/>
      <c r="V33" s="5"/>
    </row>
    <row r="34" spans="1:22" ht="15.6" x14ac:dyDescent="0.3">
      <c r="A34" s="289"/>
      <c r="B34" s="285" t="s">
        <v>283</v>
      </c>
      <c r="C34" s="299"/>
      <c r="D34" s="296">
        <v>567282</v>
      </c>
      <c r="E34" s="295"/>
      <c r="F34" s="296">
        <v>149500</v>
      </c>
      <c r="G34" s="296"/>
      <c r="H34" s="296">
        <v>150716</v>
      </c>
      <c r="I34" s="296"/>
      <c r="J34" s="296">
        <v>16000</v>
      </c>
      <c r="K34" s="296"/>
      <c r="L34" s="296">
        <v>56527</v>
      </c>
      <c r="M34" s="296"/>
      <c r="N34" s="296">
        <v>60025</v>
      </c>
      <c r="O34" s="296"/>
      <c r="P34" s="296"/>
      <c r="Q34" s="302"/>
      <c r="R34" s="302"/>
      <c r="S34" s="303"/>
      <c r="T34" s="296">
        <f>SUM(C34:P34)</f>
        <v>1000050</v>
      </c>
      <c r="U34" s="298"/>
      <c r="V34" s="5"/>
    </row>
    <row r="35" spans="1:22" ht="15.6" x14ac:dyDescent="0.3">
      <c r="A35" s="289"/>
      <c r="B35" s="285" t="s">
        <v>284</v>
      </c>
      <c r="C35" s="299"/>
      <c r="D35" s="296">
        <f>D38*D34</f>
        <v>273075.99676020001</v>
      </c>
      <c r="E35" s="295"/>
      <c r="F35" s="296">
        <f>F38*F34</f>
        <v>71965.891400000008</v>
      </c>
      <c r="G35" s="296"/>
      <c r="H35" s="296">
        <f>H38*H34</f>
        <v>72551.246075200004</v>
      </c>
      <c r="I35" s="296"/>
      <c r="J35" s="296">
        <f>+J34</f>
        <v>16000</v>
      </c>
      <c r="K35" s="296"/>
      <c r="L35" s="296">
        <f>+L34</f>
        <v>56527</v>
      </c>
      <c r="M35" s="296"/>
      <c r="N35" s="296">
        <f>+N34</f>
        <v>60025</v>
      </c>
      <c r="O35" s="296"/>
      <c r="P35" s="296"/>
      <c r="Q35" s="296"/>
      <c r="R35" s="296"/>
      <c r="S35" s="297"/>
      <c r="T35" s="296">
        <f>SUM(C35:P35)+1</f>
        <v>550146.13423540001</v>
      </c>
      <c r="U35" s="298"/>
      <c r="V35" s="5"/>
    </row>
    <row r="36" spans="1:22" ht="15.6" x14ac:dyDescent="0.3">
      <c r="A36" s="289"/>
      <c r="B36" s="292" t="s">
        <v>285</v>
      </c>
      <c r="C36" s="299"/>
      <c r="D36" s="302">
        <f>D37*D34</f>
        <v>271493.56362119998</v>
      </c>
      <c r="E36" s="299"/>
      <c r="F36" s="302">
        <f>F37*F34</f>
        <v>71548.876099999994</v>
      </c>
      <c r="G36" s="302"/>
      <c r="H36" s="302">
        <f>H37*H34</f>
        <v>72130.838864799996</v>
      </c>
      <c r="I36" s="302"/>
      <c r="J36" s="302">
        <f>+J34</f>
        <v>16000</v>
      </c>
      <c r="K36" s="302"/>
      <c r="L36" s="302">
        <f>+L34</f>
        <v>56527</v>
      </c>
      <c r="M36" s="302"/>
      <c r="N36" s="302">
        <f>+N34</f>
        <v>60025</v>
      </c>
      <c r="O36" s="302"/>
      <c r="P36" s="302"/>
      <c r="Q36" s="327"/>
      <c r="R36" s="327"/>
      <c r="S36" s="297"/>
      <c r="T36" s="302">
        <f>SUM(C36:P36)+1</f>
        <v>547726.27858599997</v>
      </c>
      <c r="U36" s="298"/>
      <c r="V36" s="5"/>
    </row>
    <row r="37" spans="1:22" ht="15.6" x14ac:dyDescent="0.3">
      <c r="A37" s="284"/>
      <c r="B37" s="310" t="s">
        <v>136</v>
      </c>
      <c r="C37" s="311"/>
      <c r="D37" s="312">
        <v>0.47858659999999997</v>
      </c>
      <c r="E37" s="313"/>
      <c r="F37" s="312">
        <v>0.47858780000000001</v>
      </c>
      <c r="G37" s="314"/>
      <c r="H37" s="312">
        <v>0.47858780000000001</v>
      </c>
      <c r="I37" s="314"/>
      <c r="J37" s="312">
        <v>1</v>
      </c>
      <c r="K37" s="314"/>
      <c r="L37" s="312">
        <v>1</v>
      </c>
      <c r="M37" s="314"/>
      <c r="N37" s="312">
        <v>1</v>
      </c>
      <c r="O37" s="314"/>
      <c r="P37" s="314"/>
      <c r="Q37" s="315"/>
      <c r="R37" s="315"/>
      <c r="S37" s="316"/>
      <c r="T37" s="316"/>
      <c r="U37" s="317"/>
      <c r="V37" s="5"/>
    </row>
    <row r="38" spans="1:22" ht="15.6" x14ac:dyDescent="0.3">
      <c r="A38" s="284"/>
      <c r="B38" s="310" t="s">
        <v>137</v>
      </c>
      <c r="C38" s="311"/>
      <c r="D38" s="312">
        <v>0.48137609999999997</v>
      </c>
      <c r="E38" s="313"/>
      <c r="F38" s="312">
        <v>0.48137720000000001</v>
      </c>
      <c r="G38" s="314"/>
      <c r="H38" s="312">
        <v>0.48137720000000001</v>
      </c>
      <c r="I38" s="314"/>
      <c r="J38" s="312">
        <v>1</v>
      </c>
      <c r="K38" s="312"/>
      <c r="L38" s="312">
        <v>1</v>
      </c>
      <c r="M38" s="312"/>
      <c r="N38" s="312">
        <v>1</v>
      </c>
      <c r="O38" s="314"/>
      <c r="P38" s="314"/>
      <c r="Q38" s="318"/>
      <c r="R38" s="319"/>
      <c r="S38" s="316"/>
      <c r="T38" s="318"/>
      <c r="U38" s="317"/>
      <c r="V38" s="5"/>
    </row>
    <row r="39" spans="1:22" ht="15.6" x14ac:dyDescent="0.3">
      <c r="A39" s="284"/>
      <c r="B39" s="285" t="s">
        <v>11</v>
      </c>
      <c r="C39" s="285"/>
      <c r="D39" s="293" t="s">
        <v>275</v>
      </c>
      <c r="E39" s="285"/>
      <c r="F39" s="293" t="s">
        <v>232</v>
      </c>
      <c r="G39" s="293"/>
      <c r="H39" s="293" t="s">
        <v>232</v>
      </c>
      <c r="I39" s="293"/>
      <c r="J39" s="293" t="s">
        <v>234</v>
      </c>
      <c r="K39" s="293"/>
      <c r="L39" s="293" t="s">
        <v>234</v>
      </c>
      <c r="M39" s="293"/>
      <c r="N39" s="293" t="s">
        <v>235</v>
      </c>
      <c r="O39" s="293"/>
      <c r="P39" s="293"/>
      <c r="Q39" s="320"/>
      <c r="R39" s="321"/>
      <c r="S39" s="287"/>
      <c r="T39" s="287"/>
      <c r="U39" s="288"/>
      <c r="V39" s="5"/>
    </row>
    <row r="40" spans="1:22" ht="15.6" x14ac:dyDescent="0.3">
      <c r="A40" s="284"/>
      <c r="B40" s="285" t="s">
        <v>12</v>
      </c>
      <c r="C40" s="285"/>
      <c r="D40" s="321">
        <v>3.032E-3</v>
      </c>
      <c r="E40" s="285"/>
      <c r="F40" s="321">
        <v>7.5125000000000001E-3</v>
      </c>
      <c r="G40" s="320"/>
      <c r="H40" s="321">
        <v>4.3499999999999997E-3</v>
      </c>
      <c r="I40" s="320"/>
      <c r="J40" s="321">
        <v>9.9124999999999994E-3</v>
      </c>
      <c r="K40" s="320"/>
      <c r="L40" s="321">
        <v>6.7499999999999999E-3</v>
      </c>
      <c r="M40" s="320"/>
      <c r="N40" s="321">
        <v>1.095E-2</v>
      </c>
      <c r="O40" s="320"/>
      <c r="P40" s="321"/>
      <c r="Q40" s="320"/>
      <c r="R40" s="321"/>
      <c r="S40" s="287"/>
      <c r="T40" s="293"/>
      <c r="U40" s="288"/>
      <c r="V40" s="5"/>
    </row>
    <row r="41" spans="1:22" ht="15.6" x14ac:dyDescent="0.3">
      <c r="A41" s="284"/>
      <c r="B41" s="285" t="s">
        <v>13</v>
      </c>
      <c r="C41" s="285"/>
      <c r="D41" s="321">
        <v>3.0899999999999999E-3</v>
      </c>
      <c r="E41" s="285"/>
      <c r="F41" s="321">
        <v>7.7875000000000002E-3</v>
      </c>
      <c r="G41" s="320"/>
      <c r="H41" s="321">
        <v>4.4999999999999997E-3</v>
      </c>
      <c r="I41" s="320"/>
      <c r="J41" s="321">
        <v>1.01875E-2</v>
      </c>
      <c r="K41" s="320"/>
      <c r="L41" s="321">
        <v>6.8999999999999999E-3</v>
      </c>
      <c r="M41" s="320"/>
      <c r="N41" s="321">
        <v>1.11E-2</v>
      </c>
      <c r="O41" s="320"/>
      <c r="P41" s="321"/>
      <c r="Q41" s="320"/>
      <c r="R41" s="321"/>
      <c r="S41" s="287"/>
      <c r="T41" s="320" t="s">
        <v>201</v>
      </c>
      <c r="U41" s="288"/>
      <c r="V41" s="5"/>
    </row>
    <row r="42" spans="1:22" ht="15.6" x14ac:dyDescent="0.3">
      <c r="A42" s="284"/>
      <c r="B42" s="285" t="s">
        <v>286</v>
      </c>
      <c r="C42" s="285"/>
      <c r="D42" s="293" t="s">
        <v>231</v>
      </c>
      <c r="E42" s="285"/>
      <c r="F42" s="293" t="s">
        <v>232</v>
      </c>
      <c r="G42" s="293"/>
      <c r="H42" s="293" t="s">
        <v>232</v>
      </c>
      <c r="I42" s="293"/>
      <c r="J42" s="293" t="s">
        <v>234</v>
      </c>
      <c r="K42" s="293"/>
      <c r="L42" s="293" t="s">
        <v>245</v>
      </c>
      <c r="M42" s="293"/>
      <c r="N42" s="293" t="s">
        <v>247</v>
      </c>
      <c r="O42" s="293"/>
      <c r="P42" s="293"/>
      <c r="Q42" s="320"/>
      <c r="R42" s="321"/>
      <c r="S42" s="287"/>
      <c r="T42" s="287"/>
      <c r="U42" s="288"/>
      <c r="V42" s="5"/>
    </row>
    <row r="43" spans="1:22" ht="15.6" x14ac:dyDescent="0.3">
      <c r="A43" s="284"/>
      <c r="B43" s="285" t="s">
        <v>287</v>
      </c>
      <c r="C43" s="322"/>
      <c r="D43" s="321">
        <v>6.3486999999999997E-3</v>
      </c>
      <c r="E43" s="321"/>
      <c r="F43" s="321">
        <f>+F40</f>
        <v>7.5125000000000001E-3</v>
      </c>
      <c r="G43" s="321"/>
      <c r="H43" s="321">
        <v>7.5085000000000004E-3</v>
      </c>
      <c r="I43" s="321"/>
      <c r="J43" s="321">
        <f>+J40</f>
        <v>9.9124999999999994E-3</v>
      </c>
      <c r="K43" s="321"/>
      <c r="L43" s="321">
        <v>1.02185E-2</v>
      </c>
      <c r="M43" s="321"/>
      <c r="N43" s="321">
        <v>1.49225E-2</v>
      </c>
      <c r="O43" s="320"/>
      <c r="P43" s="321"/>
      <c r="Q43" s="293"/>
      <c r="R43" s="293"/>
      <c r="S43" s="287"/>
      <c r="T43" s="320">
        <f>SUMPRODUCT(D43:N43,D35:N35)/T35</f>
        <v>8.0906077602739129E-3</v>
      </c>
      <c r="U43" s="288"/>
      <c r="V43" s="5"/>
    </row>
    <row r="44" spans="1:22" ht="15.6" x14ac:dyDescent="0.3">
      <c r="A44" s="284"/>
      <c r="B44" s="285" t="s">
        <v>288</v>
      </c>
      <c r="C44" s="322"/>
      <c r="D44" s="321">
        <v>6.6236999999999997E-3</v>
      </c>
      <c r="E44" s="321"/>
      <c r="F44" s="321">
        <f>+F41</f>
        <v>7.7875000000000002E-3</v>
      </c>
      <c r="G44" s="321"/>
      <c r="H44" s="321">
        <v>7.7834999999999996E-3</v>
      </c>
      <c r="I44" s="321"/>
      <c r="J44" s="321">
        <f>+J41</f>
        <v>1.01875E-2</v>
      </c>
      <c r="K44" s="321"/>
      <c r="L44" s="321">
        <v>1.0493499999999999E-2</v>
      </c>
      <c r="M44" s="321"/>
      <c r="N44" s="321">
        <v>1.5197499999999999E-2</v>
      </c>
      <c r="O44" s="320"/>
      <c r="P44" s="321"/>
      <c r="Q44" s="293"/>
      <c r="R44" s="293"/>
      <c r="S44" s="287"/>
      <c r="T44" s="287"/>
      <c r="U44" s="288"/>
      <c r="V44" s="5"/>
    </row>
    <row r="45" spans="1:22" ht="15.6" x14ac:dyDescent="0.3">
      <c r="A45" s="284"/>
      <c r="B45" s="285" t="s">
        <v>14</v>
      </c>
      <c r="C45" s="285"/>
      <c r="D45" s="322">
        <v>40283</v>
      </c>
      <c r="E45" s="322"/>
      <c r="F45" s="322">
        <v>40283</v>
      </c>
      <c r="G45" s="322"/>
      <c r="H45" s="322">
        <v>40283</v>
      </c>
      <c r="I45" s="322"/>
      <c r="J45" s="322">
        <v>40283</v>
      </c>
      <c r="K45" s="322"/>
      <c r="L45" s="322">
        <v>40283</v>
      </c>
      <c r="M45" s="322"/>
      <c r="N45" s="322">
        <v>40283</v>
      </c>
      <c r="O45" s="322"/>
      <c r="P45" s="322"/>
      <c r="Q45" s="293"/>
      <c r="R45" s="293"/>
      <c r="S45" s="287"/>
      <c r="T45" s="287"/>
      <c r="U45" s="288"/>
      <c r="V45" s="5"/>
    </row>
    <row r="46" spans="1:22" ht="15.6" x14ac:dyDescent="0.3">
      <c r="A46" s="284"/>
      <c r="B46" s="285" t="s">
        <v>15</v>
      </c>
      <c r="C46" s="285"/>
      <c r="D46" s="322">
        <v>40648</v>
      </c>
      <c r="E46" s="322"/>
      <c r="F46" s="322">
        <v>40648</v>
      </c>
      <c r="G46" s="322"/>
      <c r="H46" s="322">
        <v>40648</v>
      </c>
      <c r="I46" s="293"/>
      <c r="J46" s="322">
        <v>40648</v>
      </c>
      <c r="K46" s="293"/>
      <c r="L46" s="322">
        <v>40648</v>
      </c>
      <c r="M46" s="293"/>
      <c r="N46" s="322">
        <v>40648</v>
      </c>
      <c r="O46" s="293"/>
      <c r="P46" s="322"/>
      <c r="Q46" s="293"/>
      <c r="R46" s="293"/>
      <c r="S46" s="287"/>
      <c r="T46" s="287"/>
      <c r="U46" s="288"/>
      <c r="V46" s="5"/>
    </row>
    <row r="47" spans="1:22" ht="15.6" x14ac:dyDescent="0.3">
      <c r="A47" s="284"/>
      <c r="B47" s="285" t="s">
        <v>125</v>
      </c>
      <c r="C47" s="285"/>
      <c r="D47" s="293" t="s">
        <v>124</v>
      </c>
      <c r="E47" s="285"/>
      <c r="F47" s="293" t="s">
        <v>232</v>
      </c>
      <c r="G47" s="293"/>
      <c r="H47" s="293" t="s">
        <v>232</v>
      </c>
      <c r="I47" s="293"/>
      <c r="J47" s="293" t="s">
        <v>234</v>
      </c>
      <c r="K47" s="293"/>
      <c r="L47" s="293" t="s">
        <v>234</v>
      </c>
      <c r="M47" s="293"/>
      <c r="N47" s="293" t="s">
        <v>235</v>
      </c>
      <c r="O47" s="293"/>
      <c r="P47" s="293"/>
      <c r="Q47" s="324"/>
      <c r="R47" s="324"/>
      <c r="S47" s="324"/>
      <c r="T47" s="324"/>
      <c r="U47" s="288"/>
      <c r="V47" s="5"/>
    </row>
    <row r="48" spans="1:22" ht="15.6" x14ac:dyDescent="0.3">
      <c r="A48" s="284"/>
      <c r="B48" s="285" t="s">
        <v>289</v>
      </c>
      <c r="C48" s="285"/>
      <c r="D48" s="293" t="s">
        <v>208</v>
      </c>
      <c r="E48" s="285"/>
      <c r="F48" s="293" t="s">
        <v>232</v>
      </c>
      <c r="G48" s="293"/>
      <c r="H48" s="293" t="s">
        <v>232</v>
      </c>
      <c r="I48" s="293"/>
      <c r="J48" s="293" t="s">
        <v>234</v>
      </c>
      <c r="K48" s="293"/>
      <c r="L48" s="293" t="s">
        <v>245</v>
      </c>
      <c r="M48" s="293"/>
      <c r="N48" s="293" t="s">
        <v>247</v>
      </c>
      <c r="O48" s="293"/>
      <c r="P48" s="293"/>
      <c r="Q48" s="285"/>
      <c r="R48" s="285"/>
      <c r="S48" s="285"/>
      <c r="T48" s="320"/>
      <c r="U48" s="288"/>
      <c r="V48" s="5"/>
    </row>
    <row r="49" spans="1:23" ht="15.6" x14ac:dyDescent="0.3">
      <c r="A49" s="284"/>
      <c r="B49" s="285"/>
      <c r="C49" s="285"/>
      <c r="D49" s="293"/>
      <c r="E49" s="285"/>
      <c r="F49" s="293"/>
      <c r="G49" s="293"/>
      <c r="H49" s="293"/>
      <c r="I49" s="293"/>
      <c r="J49" s="293"/>
      <c r="K49" s="293"/>
      <c r="L49" s="293"/>
      <c r="M49" s="293"/>
      <c r="N49" s="293"/>
      <c r="O49" s="293"/>
      <c r="P49" s="293"/>
      <c r="Q49" s="285"/>
      <c r="R49" s="285"/>
      <c r="S49" s="285"/>
      <c r="T49" s="320" t="s">
        <v>201</v>
      </c>
      <c r="U49" s="288"/>
      <c r="V49" s="5"/>
    </row>
    <row r="50" spans="1:23" ht="15.6" x14ac:dyDescent="0.3">
      <c r="A50" s="284"/>
      <c r="B50" s="285" t="s">
        <v>176</v>
      </c>
      <c r="C50" s="285"/>
      <c r="D50" s="293"/>
      <c r="E50" s="285"/>
      <c r="F50" s="293"/>
      <c r="G50" s="293"/>
      <c r="H50" s="293"/>
      <c r="I50" s="293"/>
      <c r="J50" s="293"/>
      <c r="K50" s="293"/>
      <c r="L50" s="293"/>
      <c r="M50" s="293"/>
      <c r="N50" s="293"/>
      <c r="O50" s="293"/>
      <c r="P50" s="293"/>
      <c r="Q50" s="285"/>
      <c r="R50" s="285"/>
      <c r="S50" s="285"/>
      <c r="T50" s="320">
        <f>SUM(J34:P34)/SUM(D34:H34)</f>
        <v>0.15279804679664968</v>
      </c>
      <c r="U50" s="288"/>
      <c r="V50" s="5"/>
    </row>
    <row r="51" spans="1:23" ht="15.6" x14ac:dyDescent="0.3">
      <c r="A51" s="284"/>
      <c r="B51" s="285" t="s">
        <v>177</v>
      </c>
      <c r="C51" s="285"/>
      <c r="D51" s="285"/>
      <c r="E51" s="285"/>
      <c r="F51" s="325"/>
      <c r="G51" s="285"/>
      <c r="H51" s="285"/>
      <c r="I51" s="285"/>
      <c r="J51" s="285"/>
      <c r="K51" s="285"/>
      <c r="L51" s="285"/>
      <c r="M51" s="285"/>
      <c r="N51" s="285"/>
      <c r="O51" s="285"/>
      <c r="P51" s="285"/>
      <c r="Q51" s="285"/>
      <c r="R51" s="285"/>
      <c r="S51" s="285"/>
      <c r="T51" s="320">
        <f>SUM(J36:P36)/SUM(D36:H36)</f>
        <v>0.3192691024129648</v>
      </c>
      <c r="U51" s="288"/>
      <c r="V51" s="5"/>
    </row>
    <row r="52" spans="1:23" ht="15.6" x14ac:dyDescent="0.3">
      <c r="A52" s="284"/>
      <c r="B52" s="285" t="s">
        <v>178</v>
      </c>
      <c r="C52" s="285"/>
      <c r="D52" s="285"/>
      <c r="E52" s="285"/>
      <c r="F52" s="285"/>
      <c r="G52" s="285"/>
      <c r="H52" s="285"/>
      <c r="I52" s="285"/>
      <c r="J52" s="285"/>
      <c r="K52" s="285"/>
      <c r="L52" s="285"/>
      <c r="M52" s="285"/>
      <c r="N52" s="285"/>
      <c r="O52" s="285"/>
      <c r="P52" s="285"/>
      <c r="Q52" s="285"/>
      <c r="R52" s="293" t="s">
        <v>109</v>
      </c>
      <c r="S52" s="293" t="s">
        <v>115</v>
      </c>
      <c r="T52" s="296">
        <f>+T34/2-SUM(J34:P34)</f>
        <v>367473</v>
      </c>
      <c r="U52" s="288"/>
      <c r="V52" s="5"/>
    </row>
    <row r="53" spans="1:23" ht="15.6" x14ac:dyDescent="0.3">
      <c r="A53" s="284"/>
      <c r="B53" s="285"/>
      <c r="C53" s="285"/>
      <c r="D53" s="285"/>
      <c r="E53" s="285"/>
      <c r="F53" s="285"/>
      <c r="G53" s="285"/>
      <c r="H53" s="285"/>
      <c r="I53" s="285"/>
      <c r="J53" s="285"/>
      <c r="K53" s="285"/>
      <c r="L53" s="285"/>
      <c r="M53" s="285"/>
      <c r="N53" s="285"/>
      <c r="O53" s="285"/>
      <c r="P53" s="285"/>
      <c r="Q53" s="285"/>
      <c r="R53" s="285"/>
      <c r="S53" s="285"/>
      <c r="T53" s="326"/>
      <c r="U53" s="288"/>
      <c r="V53" s="5"/>
    </row>
    <row r="54" spans="1:23" ht="15.6" x14ac:dyDescent="0.3">
      <c r="A54" s="284"/>
      <c r="B54" s="285" t="s">
        <v>211</v>
      </c>
      <c r="C54" s="285"/>
      <c r="D54" s="285"/>
      <c r="E54" s="285"/>
      <c r="F54" s="285"/>
      <c r="G54" s="285"/>
      <c r="H54" s="285"/>
      <c r="I54" s="285"/>
      <c r="J54" s="285"/>
      <c r="K54" s="285"/>
      <c r="L54" s="285"/>
      <c r="M54" s="285"/>
      <c r="N54" s="285"/>
      <c r="O54" s="285"/>
      <c r="P54" s="285"/>
      <c r="Q54" s="285"/>
      <c r="R54" s="285"/>
      <c r="S54" s="285"/>
      <c r="T54" s="327" t="s">
        <v>212</v>
      </c>
      <c r="U54" s="288"/>
      <c r="V54" s="5"/>
    </row>
    <row r="55" spans="1:23" ht="15.6" x14ac:dyDescent="0.3">
      <c r="A55" s="284"/>
      <c r="B55" s="285" t="s">
        <v>253</v>
      </c>
      <c r="C55" s="285"/>
      <c r="D55" s="285"/>
      <c r="E55" s="285"/>
      <c r="F55" s="285"/>
      <c r="G55" s="285"/>
      <c r="H55" s="285"/>
      <c r="I55" s="285"/>
      <c r="J55" s="285"/>
      <c r="K55" s="285"/>
      <c r="L55" s="285"/>
      <c r="M55" s="285"/>
      <c r="N55" s="285"/>
      <c r="O55" s="285"/>
      <c r="P55" s="285"/>
      <c r="Q55" s="285"/>
      <c r="R55" s="293"/>
      <c r="S55" s="293"/>
      <c r="T55" s="328" t="s">
        <v>117</v>
      </c>
      <c r="U55" s="288"/>
      <c r="V55" s="5"/>
    </row>
    <row r="56" spans="1:23" ht="15.6" x14ac:dyDescent="0.3">
      <c r="A56" s="284"/>
      <c r="B56" s="292" t="s">
        <v>210</v>
      </c>
      <c r="C56" s="292"/>
      <c r="D56" s="292"/>
      <c r="E56" s="292"/>
      <c r="F56" s="292"/>
      <c r="G56" s="292"/>
      <c r="H56" s="292"/>
      <c r="I56" s="292"/>
      <c r="J56" s="292"/>
      <c r="K56" s="292"/>
      <c r="L56" s="292"/>
      <c r="M56" s="292"/>
      <c r="N56" s="292"/>
      <c r="O56" s="292"/>
      <c r="P56" s="292"/>
      <c r="Q56" s="292"/>
      <c r="R56" s="329"/>
      <c r="S56" s="329"/>
      <c r="T56" s="330">
        <v>41379</v>
      </c>
      <c r="U56" s="288"/>
      <c r="V56" s="5"/>
    </row>
    <row r="57" spans="1:23" ht="15.6" x14ac:dyDescent="0.3">
      <c r="A57" s="284"/>
      <c r="B57" s="285" t="s">
        <v>127</v>
      </c>
      <c r="C57" s="285"/>
      <c r="D57" s="285"/>
      <c r="E57" s="285"/>
      <c r="F57" s="285"/>
      <c r="G57" s="285"/>
      <c r="H57" s="331"/>
      <c r="I57" s="331"/>
      <c r="J57" s="331"/>
      <c r="K57" s="331"/>
      <c r="L57" s="331"/>
      <c r="M57" s="331"/>
      <c r="N57" s="331"/>
      <c r="O57" s="331"/>
      <c r="P57" s="285">
        <f>+T57-R57+1</f>
        <v>92</v>
      </c>
      <c r="Q57" s="331"/>
      <c r="R57" s="332">
        <v>41197</v>
      </c>
      <c r="S57" s="333"/>
      <c r="T57" s="332">
        <v>41288</v>
      </c>
      <c r="U57" s="288"/>
      <c r="V57" s="5"/>
    </row>
    <row r="58" spans="1:23" ht="15.6" x14ac:dyDescent="0.3">
      <c r="A58" s="284"/>
      <c r="B58" s="285" t="s">
        <v>128</v>
      </c>
      <c r="C58" s="285"/>
      <c r="D58" s="285"/>
      <c r="E58" s="285"/>
      <c r="F58" s="285"/>
      <c r="G58" s="285"/>
      <c r="H58" s="285"/>
      <c r="I58" s="285"/>
      <c r="J58" s="285"/>
      <c r="K58" s="285"/>
      <c r="L58" s="285"/>
      <c r="M58" s="285"/>
      <c r="N58" s="285"/>
      <c r="O58" s="285"/>
      <c r="P58" s="285">
        <f>+T58-R58+1</f>
        <v>90</v>
      </c>
      <c r="Q58" s="285"/>
      <c r="R58" s="332">
        <v>41289</v>
      </c>
      <c r="S58" s="333"/>
      <c r="T58" s="332">
        <v>41378</v>
      </c>
      <c r="U58" s="288"/>
      <c r="V58" s="5"/>
    </row>
    <row r="59" spans="1:23" ht="15.6" x14ac:dyDescent="0.3">
      <c r="A59" s="284"/>
      <c r="B59" s="285" t="s">
        <v>209</v>
      </c>
      <c r="C59" s="285"/>
      <c r="D59" s="285"/>
      <c r="E59" s="285"/>
      <c r="F59" s="285"/>
      <c r="G59" s="285"/>
      <c r="H59" s="285"/>
      <c r="I59" s="285"/>
      <c r="J59" s="285"/>
      <c r="K59" s="285"/>
      <c r="L59" s="285"/>
      <c r="M59" s="285"/>
      <c r="N59" s="285"/>
      <c r="O59" s="285"/>
      <c r="P59" s="285"/>
      <c r="Q59" s="285"/>
      <c r="R59" s="332"/>
      <c r="S59" s="333"/>
      <c r="T59" s="332" t="s">
        <v>126</v>
      </c>
      <c r="U59" s="288"/>
      <c r="V59" s="5"/>
    </row>
    <row r="60" spans="1:23" ht="15.6" x14ac:dyDescent="0.3">
      <c r="A60" s="284"/>
      <c r="B60" s="285" t="s">
        <v>249</v>
      </c>
      <c r="C60" s="285"/>
      <c r="D60" s="285"/>
      <c r="E60" s="285"/>
      <c r="F60" s="285"/>
      <c r="G60" s="285"/>
      <c r="H60" s="285"/>
      <c r="I60" s="285"/>
      <c r="J60" s="285"/>
      <c r="K60" s="285"/>
      <c r="L60" s="285"/>
      <c r="M60" s="285"/>
      <c r="N60" s="285"/>
      <c r="O60" s="285"/>
      <c r="P60" s="285"/>
      <c r="Q60" s="285"/>
      <c r="R60" s="332"/>
      <c r="S60" s="333"/>
      <c r="T60" s="332" t="s">
        <v>160</v>
      </c>
      <c r="U60" s="288"/>
      <c r="V60" s="5"/>
      <c r="W60" s="134"/>
    </row>
    <row r="61" spans="1:23" ht="15.6" x14ac:dyDescent="0.3">
      <c r="A61" s="284"/>
      <c r="B61" s="285" t="s">
        <v>16</v>
      </c>
      <c r="C61" s="285"/>
      <c r="D61" s="285"/>
      <c r="E61" s="285"/>
      <c r="F61" s="285"/>
      <c r="G61" s="285"/>
      <c r="H61" s="285"/>
      <c r="I61" s="285"/>
      <c r="J61" s="285"/>
      <c r="K61" s="285"/>
      <c r="L61" s="285"/>
      <c r="M61" s="285"/>
      <c r="N61" s="285"/>
      <c r="O61" s="285"/>
      <c r="P61" s="285"/>
      <c r="Q61" s="285"/>
      <c r="R61" s="332"/>
      <c r="S61" s="333"/>
      <c r="T61" s="332">
        <v>41366</v>
      </c>
      <c r="U61" s="288"/>
      <c r="V61" s="5"/>
    </row>
    <row r="62" spans="1:23" ht="15.6" x14ac:dyDescent="0.3">
      <c r="A62" s="175"/>
      <c r="B62" s="281"/>
      <c r="C62" s="281"/>
      <c r="D62" s="281"/>
      <c r="E62" s="281"/>
      <c r="F62" s="281"/>
      <c r="G62" s="281"/>
      <c r="H62" s="281"/>
      <c r="I62" s="281"/>
      <c r="J62" s="281"/>
      <c r="K62" s="281"/>
      <c r="L62" s="281"/>
      <c r="M62" s="281"/>
      <c r="N62" s="281"/>
      <c r="O62" s="281"/>
      <c r="P62" s="281"/>
      <c r="Q62" s="281"/>
      <c r="R62" s="282"/>
      <c r="S62" s="283"/>
      <c r="T62" s="282"/>
      <c r="U62" s="281"/>
      <c r="V62" s="5"/>
    </row>
    <row r="63" spans="1:23" ht="15.6" x14ac:dyDescent="0.3">
      <c r="A63" s="175"/>
      <c r="B63" s="231"/>
      <c r="C63" s="231"/>
      <c r="D63" s="231"/>
      <c r="E63" s="231"/>
      <c r="F63" s="231"/>
      <c r="G63" s="231"/>
      <c r="H63" s="231"/>
      <c r="I63" s="231"/>
      <c r="J63" s="231"/>
      <c r="K63" s="231"/>
      <c r="L63" s="231"/>
      <c r="M63" s="231"/>
      <c r="N63" s="231"/>
      <c r="O63" s="231"/>
      <c r="P63" s="231"/>
      <c r="Q63" s="231"/>
      <c r="R63" s="244"/>
      <c r="S63" s="245"/>
      <c r="T63" s="244"/>
      <c r="U63" s="231"/>
      <c r="V63" s="5"/>
    </row>
    <row r="64" spans="1:23" ht="18" thickBot="1" x14ac:dyDescent="0.35">
      <c r="A64" s="192"/>
      <c r="B64" s="246" t="s">
        <v>311</v>
      </c>
      <c r="C64" s="247"/>
      <c r="D64" s="247"/>
      <c r="E64" s="247"/>
      <c r="F64" s="247"/>
      <c r="G64" s="247"/>
      <c r="H64" s="247"/>
      <c r="I64" s="247"/>
      <c r="J64" s="247"/>
      <c r="K64" s="247"/>
      <c r="L64" s="247"/>
      <c r="M64" s="247"/>
      <c r="N64" s="247"/>
      <c r="O64" s="247"/>
      <c r="P64" s="247"/>
      <c r="Q64" s="247"/>
      <c r="R64" s="247"/>
      <c r="S64" s="247"/>
      <c r="T64" s="248"/>
      <c r="U64" s="249"/>
      <c r="V64" s="5"/>
    </row>
    <row r="65" spans="1:22" ht="15.6" x14ac:dyDescent="0.3">
      <c r="A65" s="222"/>
      <c r="B65" s="395" t="s">
        <v>17</v>
      </c>
      <c r="C65" s="223"/>
      <c r="D65" s="223"/>
      <c r="E65" s="223"/>
      <c r="F65" s="223"/>
      <c r="G65" s="223"/>
      <c r="H65" s="223"/>
      <c r="I65" s="223"/>
      <c r="J65" s="223"/>
      <c r="K65" s="223"/>
      <c r="L65" s="223"/>
      <c r="M65" s="223"/>
      <c r="N65" s="223"/>
      <c r="O65" s="223"/>
      <c r="P65" s="223"/>
      <c r="Q65" s="223"/>
      <c r="R65" s="223"/>
      <c r="S65" s="223"/>
      <c r="T65" s="250"/>
      <c r="U65" s="223"/>
      <c r="V65" s="5"/>
    </row>
    <row r="66" spans="1:22" ht="15.6" x14ac:dyDescent="0.3">
      <c r="A66" s="175"/>
      <c r="B66" s="183"/>
      <c r="C66" s="177"/>
      <c r="D66" s="177"/>
      <c r="E66" s="177"/>
      <c r="F66" s="177"/>
      <c r="G66" s="177"/>
      <c r="H66" s="177"/>
      <c r="I66" s="177"/>
      <c r="J66" s="177"/>
      <c r="K66" s="177"/>
      <c r="L66" s="177"/>
      <c r="M66" s="177"/>
      <c r="N66" s="177"/>
      <c r="O66" s="177"/>
      <c r="P66" s="177"/>
      <c r="Q66" s="177"/>
      <c r="R66" s="177"/>
      <c r="S66" s="177"/>
      <c r="T66" s="194"/>
      <c r="U66" s="177"/>
      <c r="V66" s="5"/>
    </row>
    <row r="67" spans="1:22" ht="46.8" x14ac:dyDescent="0.3">
      <c r="A67" s="175"/>
      <c r="B67" s="195" t="s">
        <v>18</v>
      </c>
      <c r="C67" s="196"/>
      <c r="D67" s="196"/>
      <c r="E67" s="196"/>
      <c r="F67" s="196"/>
      <c r="G67" s="196"/>
      <c r="H67" s="196"/>
      <c r="I67" s="196"/>
      <c r="J67" s="196" t="s">
        <v>97</v>
      </c>
      <c r="K67" s="196"/>
      <c r="L67" s="196" t="s">
        <v>99</v>
      </c>
      <c r="M67" s="196"/>
      <c r="N67" s="196" t="s">
        <v>101</v>
      </c>
      <c r="O67" s="196"/>
      <c r="P67" s="196" t="s">
        <v>103</v>
      </c>
      <c r="Q67" s="196"/>
      <c r="R67" s="196" t="s">
        <v>110</v>
      </c>
      <c r="S67" s="196"/>
      <c r="T67" s="197" t="s">
        <v>118</v>
      </c>
      <c r="U67" s="198"/>
      <c r="V67" s="5"/>
    </row>
    <row r="68" spans="1:22" ht="15.6" x14ac:dyDescent="0.3">
      <c r="A68" s="337"/>
      <c r="B68" s="285" t="s">
        <v>19</v>
      </c>
      <c r="C68" s="338"/>
      <c r="D68" s="338"/>
      <c r="E68" s="338"/>
      <c r="F68" s="338"/>
      <c r="G68" s="338"/>
      <c r="H68" s="338"/>
      <c r="I68" s="338"/>
      <c r="J68" s="338">
        <v>1000039</v>
      </c>
      <c r="K68" s="338"/>
      <c r="L68" s="339">
        <v>550146</v>
      </c>
      <c r="M68" s="338"/>
      <c r="N68" s="338">
        <f>2420+52+11</f>
        <v>2483</v>
      </c>
      <c r="O68" s="338"/>
      <c r="P68" s="338">
        <f>52+11</f>
        <v>63</v>
      </c>
      <c r="Q68" s="338"/>
      <c r="R68" s="338">
        <v>0</v>
      </c>
      <c r="S68" s="338"/>
      <c r="T68" s="339">
        <f>+L68-N68+P68-R68</f>
        <v>547726</v>
      </c>
      <c r="U68" s="288"/>
      <c r="V68" s="5"/>
    </row>
    <row r="69" spans="1:22" ht="15.6" x14ac:dyDescent="0.3">
      <c r="A69" s="337"/>
      <c r="B69" s="285" t="s">
        <v>20</v>
      </c>
      <c r="C69" s="338"/>
      <c r="D69" s="338"/>
      <c r="E69" s="338"/>
      <c r="F69" s="338"/>
      <c r="G69" s="338"/>
      <c r="H69" s="338"/>
      <c r="I69" s="338"/>
      <c r="J69" s="338">
        <v>10</v>
      </c>
      <c r="K69" s="338"/>
      <c r="L69" s="339">
        <v>0</v>
      </c>
      <c r="M69" s="338"/>
      <c r="N69" s="338">
        <v>0</v>
      </c>
      <c r="O69" s="338"/>
      <c r="P69" s="338">
        <v>0</v>
      </c>
      <c r="Q69" s="338"/>
      <c r="R69" s="338">
        <v>0</v>
      </c>
      <c r="S69" s="338"/>
      <c r="T69" s="339">
        <v>0</v>
      </c>
      <c r="U69" s="288"/>
      <c r="V69" s="5"/>
    </row>
    <row r="70" spans="1:22" ht="15.6" x14ac:dyDescent="0.3">
      <c r="A70" s="337"/>
      <c r="B70" s="285"/>
      <c r="C70" s="338"/>
      <c r="D70" s="338"/>
      <c r="E70" s="338"/>
      <c r="F70" s="338"/>
      <c r="G70" s="338"/>
      <c r="H70" s="338"/>
      <c r="I70" s="338"/>
      <c r="J70" s="338"/>
      <c r="K70" s="338"/>
      <c r="L70" s="339"/>
      <c r="M70" s="338"/>
      <c r="N70" s="338"/>
      <c r="O70" s="338"/>
      <c r="P70" s="338"/>
      <c r="Q70" s="338"/>
      <c r="R70" s="338"/>
      <c r="S70" s="338"/>
      <c r="T70" s="339"/>
      <c r="U70" s="288"/>
      <c r="V70" s="5"/>
    </row>
    <row r="71" spans="1:22" ht="15.6" x14ac:dyDescent="0.3">
      <c r="A71" s="337"/>
      <c r="B71" s="285" t="s">
        <v>21</v>
      </c>
      <c r="C71" s="338"/>
      <c r="D71" s="338"/>
      <c r="E71" s="338"/>
      <c r="F71" s="338"/>
      <c r="G71" s="338"/>
      <c r="H71" s="338"/>
      <c r="I71" s="338"/>
      <c r="J71" s="338">
        <f>SUM(J68:J70)</f>
        <v>1000049</v>
      </c>
      <c r="K71" s="338"/>
      <c r="L71" s="338">
        <f>L68+L69</f>
        <v>550146</v>
      </c>
      <c r="M71" s="338"/>
      <c r="N71" s="338">
        <f>SUM(N68:N70)</f>
        <v>2483</v>
      </c>
      <c r="O71" s="338"/>
      <c r="P71" s="338">
        <f>SUM(P68:P70)</f>
        <v>63</v>
      </c>
      <c r="Q71" s="338"/>
      <c r="R71" s="338">
        <f>SUM(R68:R70)</f>
        <v>0</v>
      </c>
      <c r="S71" s="338"/>
      <c r="T71" s="338">
        <f>SUM(T68:T70)</f>
        <v>547726</v>
      </c>
      <c r="U71" s="288"/>
      <c r="V71" s="5"/>
    </row>
    <row r="72" spans="1:22" ht="15.6" x14ac:dyDescent="0.3">
      <c r="A72" s="175"/>
      <c r="B72" s="334"/>
      <c r="C72" s="335"/>
      <c r="D72" s="335"/>
      <c r="E72" s="335"/>
      <c r="F72" s="335"/>
      <c r="G72" s="335"/>
      <c r="H72" s="335"/>
      <c r="I72" s="335"/>
      <c r="J72" s="335"/>
      <c r="K72" s="335"/>
      <c r="L72" s="335"/>
      <c r="M72" s="335"/>
      <c r="N72" s="335"/>
      <c r="O72" s="335"/>
      <c r="P72" s="335"/>
      <c r="Q72" s="335"/>
      <c r="R72" s="335"/>
      <c r="S72" s="335"/>
      <c r="T72" s="336"/>
      <c r="U72" s="334"/>
      <c r="V72" s="5"/>
    </row>
    <row r="73" spans="1:22" ht="15.6" x14ac:dyDescent="0.3">
      <c r="A73" s="175"/>
      <c r="B73" s="179" t="s">
        <v>22</v>
      </c>
      <c r="C73" s="199"/>
      <c r="D73" s="199"/>
      <c r="E73" s="199"/>
      <c r="F73" s="199"/>
      <c r="G73" s="199"/>
      <c r="H73" s="199"/>
      <c r="I73" s="199"/>
      <c r="J73" s="199"/>
      <c r="K73" s="199"/>
      <c r="L73" s="199"/>
      <c r="M73" s="199"/>
      <c r="N73" s="199"/>
      <c r="O73" s="199"/>
      <c r="P73" s="199"/>
      <c r="Q73" s="199"/>
      <c r="R73" s="199"/>
      <c r="S73" s="199"/>
      <c r="T73" s="200"/>
      <c r="U73" s="177"/>
      <c r="V73" s="5"/>
    </row>
    <row r="74" spans="1:22" ht="15.6" x14ac:dyDescent="0.3">
      <c r="A74" s="175"/>
      <c r="B74" s="177"/>
      <c r="C74" s="199"/>
      <c r="D74" s="199"/>
      <c r="E74" s="199"/>
      <c r="F74" s="199"/>
      <c r="G74" s="199"/>
      <c r="H74" s="199"/>
      <c r="I74" s="199"/>
      <c r="J74" s="199"/>
      <c r="K74" s="199"/>
      <c r="L74" s="199"/>
      <c r="M74" s="199"/>
      <c r="N74" s="199"/>
      <c r="O74" s="199"/>
      <c r="P74" s="199"/>
      <c r="Q74" s="199"/>
      <c r="R74" s="199"/>
      <c r="S74" s="199"/>
      <c r="T74" s="200"/>
      <c r="U74" s="177"/>
      <c r="V74" s="5"/>
    </row>
    <row r="75" spans="1:22" ht="15.6" x14ac:dyDescent="0.3">
      <c r="A75" s="284"/>
      <c r="B75" s="285" t="s">
        <v>19</v>
      </c>
      <c r="C75" s="338"/>
      <c r="D75" s="338"/>
      <c r="E75" s="338"/>
      <c r="F75" s="338"/>
      <c r="G75" s="338"/>
      <c r="H75" s="338"/>
      <c r="I75" s="338"/>
      <c r="J75" s="338"/>
      <c r="K75" s="338"/>
      <c r="L75" s="338"/>
      <c r="M75" s="338"/>
      <c r="N75" s="338"/>
      <c r="O75" s="338"/>
      <c r="P75" s="338"/>
      <c r="Q75" s="338"/>
      <c r="R75" s="338"/>
      <c r="S75" s="338"/>
      <c r="T75" s="338"/>
      <c r="U75" s="288"/>
      <c r="V75" s="5"/>
    </row>
    <row r="76" spans="1:22" ht="15.6" x14ac:dyDescent="0.3">
      <c r="A76" s="284"/>
      <c r="B76" s="285" t="s">
        <v>20</v>
      </c>
      <c r="C76" s="338"/>
      <c r="D76" s="338"/>
      <c r="E76" s="338"/>
      <c r="F76" s="338"/>
      <c r="G76" s="338"/>
      <c r="H76" s="338"/>
      <c r="I76" s="338"/>
      <c r="J76" s="338"/>
      <c r="K76" s="338"/>
      <c r="L76" s="338"/>
      <c r="M76" s="338"/>
      <c r="N76" s="338"/>
      <c r="O76" s="338"/>
      <c r="P76" s="338"/>
      <c r="Q76" s="338"/>
      <c r="R76" s="338"/>
      <c r="S76" s="338"/>
      <c r="T76" s="338"/>
      <c r="U76" s="288"/>
      <c r="V76" s="5"/>
    </row>
    <row r="77" spans="1:22" ht="15.6" x14ac:dyDescent="0.3">
      <c r="A77" s="284"/>
      <c r="B77" s="285"/>
      <c r="C77" s="338"/>
      <c r="D77" s="338"/>
      <c r="E77" s="338"/>
      <c r="F77" s="338"/>
      <c r="G77" s="338"/>
      <c r="H77" s="338"/>
      <c r="I77" s="338"/>
      <c r="J77" s="338"/>
      <c r="K77" s="338"/>
      <c r="L77" s="338"/>
      <c r="M77" s="338"/>
      <c r="N77" s="338"/>
      <c r="O77" s="338"/>
      <c r="P77" s="338"/>
      <c r="Q77" s="338"/>
      <c r="R77" s="338"/>
      <c r="S77" s="338"/>
      <c r="T77" s="338"/>
      <c r="U77" s="288"/>
      <c r="V77" s="5"/>
    </row>
    <row r="78" spans="1:22" ht="15.6" x14ac:dyDescent="0.3">
      <c r="A78" s="284"/>
      <c r="B78" s="285" t="s">
        <v>21</v>
      </c>
      <c r="C78" s="338"/>
      <c r="D78" s="338"/>
      <c r="E78" s="338"/>
      <c r="F78" s="338"/>
      <c r="G78" s="338"/>
      <c r="H78" s="338"/>
      <c r="I78" s="338"/>
      <c r="J78" s="338"/>
      <c r="K78" s="338"/>
      <c r="L78" s="338"/>
      <c r="M78" s="338"/>
      <c r="N78" s="338"/>
      <c r="O78" s="338"/>
      <c r="P78" s="338"/>
      <c r="Q78" s="338"/>
      <c r="R78" s="338"/>
      <c r="S78" s="338"/>
      <c r="T78" s="338"/>
      <c r="U78" s="288"/>
      <c r="V78" s="5"/>
    </row>
    <row r="79" spans="1:22" ht="15.6" x14ac:dyDescent="0.3">
      <c r="A79" s="284"/>
      <c r="B79" s="285"/>
      <c r="C79" s="338"/>
      <c r="D79" s="338"/>
      <c r="E79" s="338"/>
      <c r="F79" s="338"/>
      <c r="G79" s="338"/>
      <c r="H79" s="338"/>
      <c r="I79" s="338"/>
      <c r="J79" s="338"/>
      <c r="K79" s="338"/>
      <c r="L79" s="338"/>
      <c r="M79" s="338"/>
      <c r="N79" s="338"/>
      <c r="O79" s="338"/>
      <c r="P79" s="338"/>
      <c r="Q79" s="338"/>
      <c r="R79" s="338"/>
      <c r="S79" s="338"/>
      <c r="T79" s="338"/>
      <c r="U79" s="288"/>
      <c r="V79" s="5"/>
    </row>
    <row r="80" spans="1:22" ht="15.6" x14ac:dyDescent="0.3">
      <c r="A80" s="284"/>
      <c r="B80" s="285" t="s">
        <v>23</v>
      </c>
      <c r="C80" s="338"/>
      <c r="D80" s="338"/>
      <c r="E80" s="338"/>
      <c r="F80" s="338"/>
      <c r="G80" s="338"/>
      <c r="H80" s="338"/>
      <c r="I80" s="338"/>
      <c r="J80" s="338">
        <v>0</v>
      </c>
      <c r="K80" s="338"/>
      <c r="L80" s="338">
        <v>0</v>
      </c>
      <c r="M80" s="338"/>
      <c r="N80" s="338"/>
      <c r="O80" s="338"/>
      <c r="P80" s="338"/>
      <c r="Q80" s="338"/>
      <c r="R80" s="338"/>
      <c r="S80" s="338"/>
      <c r="T80" s="339">
        <v>0</v>
      </c>
      <c r="U80" s="288"/>
      <c r="V80" s="5"/>
    </row>
    <row r="81" spans="1:22" ht="15.6" x14ac:dyDescent="0.3">
      <c r="A81" s="284"/>
      <c r="B81" s="285" t="s">
        <v>123</v>
      </c>
      <c r="C81" s="338"/>
      <c r="D81" s="338"/>
      <c r="E81" s="338"/>
      <c r="F81" s="338"/>
      <c r="G81" s="338"/>
      <c r="H81" s="338"/>
      <c r="I81" s="338"/>
      <c r="J81" s="338">
        <v>0</v>
      </c>
      <c r="K81" s="338"/>
      <c r="L81" s="338">
        <v>0</v>
      </c>
      <c r="M81" s="338"/>
      <c r="N81" s="338"/>
      <c r="O81" s="338"/>
      <c r="P81" s="338"/>
      <c r="Q81" s="338"/>
      <c r="R81" s="338"/>
      <c r="S81" s="338"/>
      <c r="T81" s="338">
        <f>SUM(J81:P81)</f>
        <v>0</v>
      </c>
      <c r="U81" s="288"/>
      <c r="V81" s="5"/>
    </row>
    <row r="82" spans="1:22" ht="15.6" x14ac:dyDescent="0.3">
      <c r="A82" s="284"/>
      <c r="B82" s="285" t="s">
        <v>152</v>
      </c>
      <c r="C82" s="338"/>
      <c r="D82" s="338"/>
      <c r="E82" s="338"/>
      <c r="F82" s="338"/>
      <c r="G82" s="338"/>
      <c r="H82" s="338"/>
      <c r="I82" s="338"/>
      <c r="J82" s="338">
        <v>1</v>
      </c>
      <c r="K82" s="338"/>
      <c r="L82" s="338">
        <v>0</v>
      </c>
      <c r="M82" s="338"/>
      <c r="N82" s="338">
        <v>0</v>
      </c>
      <c r="O82" s="338"/>
      <c r="P82" s="338"/>
      <c r="Q82" s="338"/>
      <c r="R82" s="338"/>
      <c r="S82" s="338"/>
      <c r="T82" s="338">
        <f>+L82+N82</f>
        <v>0</v>
      </c>
      <c r="U82" s="288"/>
      <c r="V82" s="5"/>
    </row>
    <row r="83" spans="1:22" ht="15.6" x14ac:dyDescent="0.3">
      <c r="A83" s="284"/>
      <c r="B83" s="285" t="s">
        <v>25</v>
      </c>
      <c r="C83" s="338"/>
      <c r="D83" s="338"/>
      <c r="E83" s="338"/>
      <c r="F83" s="338"/>
      <c r="G83" s="338"/>
      <c r="H83" s="338"/>
      <c r="I83" s="338"/>
      <c r="J83" s="338">
        <v>0</v>
      </c>
      <c r="K83" s="338"/>
      <c r="L83" s="338">
        <v>0</v>
      </c>
      <c r="M83" s="338"/>
      <c r="N83" s="338"/>
      <c r="O83" s="338"/>
      <c r="P83" s="338"/>
      <c r="Q83" s="338"/>
      <c r="R83" s="338"/>
      <c r="S83" s="338"/>
      <c r="T83" s="338">
        <v>0</v>
      </c>
      <c r="U83" s="288"/>
      <c r="V83" s="5"/>
    </row>
    <row r="84" spans="1:22" ht="15.6" x14ac:dyDescent="0.3">
      <c r="A84" s="284"/>
      <c r="B84" s="285" t="s">
        <v>26</v>
      </c>
      <c r="C84" s="338"/>
      <c r="D84" s="338"/>
      <c r="E84" s="338"/>
      <c r="F84" s="338"/>
      <c r="G84" s="338"/>
      <c r="H84" s="338"/>
      <c r="I84" s="338"/>
      <c r="J84" s="338">
        <f>SUM(J71:J83)</f>
        <v>1000050</v>
      </c>
      <c r="K84" s="338"/>
      <c r="L84" s="338">
        <f>SUM(L71:L83)</f>
        <v>550146</v>
      </c>
      <c r="M84" s="338"/>
      <c r="N84" s="338"/>
      <c r="O84" s="338"/>
      <c r="P84" s="338"/>
      <c r="Q84" s="338"/>
      <c r="R84" s="338"/>
      <c r="S84" s="338"/>
      <c r="T84" s="338">
        <f>SUM(T71:T83)</f>
        <v>547726</v>
      </c>
      <c r="U84" s="288"/>
      <c r="V84" s="5"/>
    </row>
    <row r="85" spans="1:22" ht="15.6" x14ac:dyDescent="0.3">
      <c r="A85" s="175"/>
      <c r="B85" s="334"/>
      <c r="C85" s="335"/>
      <c r="D85" s="335"/>
      <c r="E85" s="335"/>
      <c r="F85" s="335"/>
      <c r="G85" s="335"/>
      <c r="H85" s="335"/>
      <c r="I85" s="335"/>
      <c r="J85" s="335"/>
      <c r="K85" s="335"/>
      <c r="L85" s="335"/>
      <c r="M85" s="335"/>
      <c r="N85" s="335"/>
      <c r="O85" s="335"/>
      <c r="P85" s="335"/>
      <c r="Q85" s="335"/>
      <c r="R85" s="335"/>
      <c r="S85" s="335"/>
      <c r="T85" s="336"/>
      <c r="U85" s="334"/>
      <c r="V85" s="5"/>
    </row>
    <row r="86" spans="1:22" ht="15.6" x14ac:dyDescent="0.3">
      <c r="A86" s="175"/>
      <c r="B86" s="177"/>
      <c r="C86" s="177"/>
      <c r="D86" s="177"/>
      <c r="E86" s="177"/>
      <c r="F86" s="177"/>
      <c r="G86" s="177"/>
      <c r="H86" s="177"/>
      <c r="I86" s="177"/>
      <c r="J86" s="177"/>
      <c r="K86" s="177"/>
      <c r="L86" s="177"/>
      <c r="M86" s="177"/>
      <c r="N86" s="177"/>
      <c r="O86" s="177"/>
      <c r="P86" s="177"/>
      <c r="Q86" s="177"/>
      <c r="R86" s="177"/>
      <c r="S86" s="177"/>
      <c r="T86" s="177"/>
      <c r="U86" s="177"/>
      <c r="V86" s="5"/>
    </row>
    <row r="87" spans="1:22" ht="15.6" x14ac:dyDescent="0.3">
      <c r="A87" s="222"/>
      <c r="B87" s="395" t="s">
        <v>27</v>
      </c>
      <c r="C87" s="395"/>
      <c r="D87" s="395"/>
      <c r="E87" s="395"/>
      <c r="F87" s="395"/>
      <c r="G87" s="395"/>
      <c r="H87" s="396"/>
      <c r="I87" s="396"/>
      <c r="J87" s="397" t="s">
        <v>98</v>
      </c>
      <c r="K87" s="396"/>
      <c r="L87" s="398">
        <f>+R194</f>
        <v>41361</v>
      </c>
      <c r="M87" s="396"/>
      <c r="N87" s="396"/>
      <c r="O87" s="396"/>
      <c r="P87" s="396"/>
      <c r="Q87" s="396"/>
      <c r="R87" s="396" t="s">
        <v>111</v>
      </c>
      <c r="S87" s="396"/>
      <c r="T87" s="396" t="s">
        <v>119</v>
      </c>
      <c r="U87" s="223"/>
      <c r="V87" s="5"/>
    </row>
    <row r="88" spans="1:22" ht="15.6" x14ac:dyDescent="0.3">
      <c r="A88" s="190"/>
      <c r="B88" s="239" t="s">
        <v>28</v>
      </c>
      <c r="C88" s="239"/>
      <c r="D88" s="239"/>
      <c r="E88" s="239"/>
      <c r="F88" s="239"/>
      <c r="G88" s="239"/>
      <c r="H88" s="239"/>
      <c r="I88" s="239"/>
      <c r="J88" s="239"/>
      <c r="K88" s="239"/>
      <c r="L88" s="239"/>
      <c r="M88" s="239"/>
      <c r="N88" s="239"/>
      <c r="O88" s="239"/>
      <c r="P88" s="239"/>
      <c r="Q88" s="239"/>
      <c r="R88" s="243">
        <v>0</v>
      </c>
      <c r="S88" s="239"/>
      <c r="T88" s="251">
        <v>0</v>
      </c>
      <c r="U88" s="239"/>
      <c r="V88" s="5"/>
    </row>
    <row r="89" spans="1:22" ht="15.6" x14ac:dyDescent="0.3">
      <c r="A89" s="284"/>
      <c r="B89" s="285" t="s">
        <v>29</v>
      </c>
      <c r="C89" s="285"/>
      <c r="D89" s="285"/>
      <c r="E89" s="285"/>
      <c r="F89" s="285"/>
      <c r="G89" s="285"/>
      <c r="H89" s="324"/>
      <c r="I89" s="341"/>
      <c r="J89" s="324"/>
      <c r="K89" s="285"/>
      <c r="L89" s="342"/>
      <c r="M89" s="285"/>
      <c r="N89" s="285"/>
      <c r="O89" s="285"/>
      <c r="P89" s="285"/>
      <c r="Q89" s="285"/>
      <c r="R89" s="338">
        <f>2483-61</f>
        <v>2422</v>
      </c>
      <c r="S89" s="285"/>
      <c r="T89" s="339"/>
      <c r="U89" s="288"/>
      <c r="V89" s="5"/>
    </row>
    <row r="90" spans="1:22" ht="15.6" x14ac:dyDescent="0.3">
      <c r="A90" s="284"/>
      <c r="B90" s="285" t="s">
        <v>225</v>
      </c>
      <c r="C90" s="285"/>
      <c r="D90" s="285"/>
      <c r="E90" s="285"/>
      <c r="F90" s="285"/>
      <c r="G90" s="285"/>
      <c r="H90" s="324"/>
      <c r="I90" s="341"/>
      <c r="J90" s="324"/>
      <c r="K90" s="285"/>
      <c r="L90" s="342"/>
      <c r="M90" s="285"/>
      <c r="N90" s="285"/>
      <c r="O90" s="285"/>
      <c r="P90" s="285"/>
      <c r="Q90" s="285"/>
      <c r="R90" s="338"/>
      <c r="S90" s="285"/>
      <c r="T90" s="339">
        <f>1889+2142-436-387</f>
        <v>3208</v>
      </c>
      <c r="U90" s="288"/>
      <c r="V90" s="5"/>
    </row>
    <row r="91" spans="1:22" ht="15.6" x14ac:dyDescent="0.3">
      <c r="A91" s="284"/>
      <c r="B91" s="285" t="s">
        <v>220</v>
      </c>
      <c r="C91" s="285"/>
      <c r="D91" s="285"/>
      <c r="E91" s="285"/>
      <c r="F91" s="285"/>
      <c r="G91" s="285"/>
      <c r="H91" s="324"/>
      <c r="I91" s="341"/>
      <c r="J91" s="324"/>
      <c r="K91" s="285"/>
      <c r="L91" s="342"/>
      <c r="M91" s="285"/>
      <c r="N91" s="285"/>
      <c r="O91" s="285"/>
      <c r="P91" s="285"/>
      <c r="Q91" s="285"/>
      <c r="R91" s="338"/>
      <c r="S91" s="285"/>
      <c r="T91" s="339">
        <f>2+29</f>
        <v>31</v>
      </c>
      <c r="U91" s="288"/>
      <c r="V91" s="5"/>
    </row>
    <row r="92" spans="1:22" ht="15.6" x14ac:dyDescent="0.3">
      <c r="A92" s="284"/>
      <c r="B92" s="285" t="s">
        <v>221</v>
      </c>
      <c r="C92" s="285"/>
      <c r="D92" s="285"/>
      <c r="E92" s="285"/>
      <c r="F92" s="285"/>
      <c r="G92" s="285"/>
      <c r="H92" s="324"/>
      <c r="I92" s="341"/>
      <c r="J92" s="324"/>
      <c r="K92" s="285"/>
      <c r="L92" s="342"/>
      <c r="M92" s="285"/>
      <c r="N92" s="285"/>
      <c r="O92" s="285"/>
      <c r="P92" s="285"/>
      <c r="Q92" s="285"/>
      <c r="R92" s="338"/>
      <c r="S92" s="285"/>
      <c r="T92" s="339">
        <v>24</v>
      </c>
      <c r="U92" s="288"/>
      <c r="V92" s="5"/>
    </row>
    <row r="93" spans="1:22" ht="15.6" x14ac:dyDescent="0.3">
      <c r="A93" s="284"/>
      <c r="B93" s="285" t="s">
        <v>261</v>
      </c>
      <c r="C93" s="285"/>
      <c r="D93" s="285"/>
      <c r="E93" s="285"/>
      <c r="F93" s="285"/>
      <c r="G93" s="285"/>
      <c r="H93" s="324"/>
      <c r="I93" s="341"/>
      <c r="J93" s="324"/>
      <c r="K93" s="285"/>
      <c r="L93" s="342"/>
      <c r="M93" s="285"/>
      <c r="N93" s="285"/>
      <c r="O93" s="285"/>
      <c r="P93" s="285"/>
      <c r="Q93" s="285"/>
      <c r="R93" s="338"/>
      <c r="S93" s="285"/>
      <c r="T93" s="339">
        <v>0</v>
      </c>
      <c r="U93" s="288"/>
      <c r="V93" s="5"/>
    </row>
    <row r="94" spans="1:22" ht="15.6" x14ac:dyDescent="0.3">
      <c r="A94" s="284"/>
      <c r="B94" s="285" t="s">
        <v>141</v>
      </c>
      <c r="C94" s="285"/>
      <c r="D94" s="285"/>
      <c r="E94" s="285"/>
      <c r="F94" s="285"/>
      <c r="G94" s="285"/>
      <c r="H94" s="285"/>
      <c r="I94" s="285"/>
      <c r="J94" s="285"/>
      <c r="K94" s="285"/>
      <c r="L94" s="285"/>
      <c r="M94" s="285"/>
      <c r="N94" s="285"/>
      <c r="O94" s="285"/>
      <c r="P94" s="285"/>
      <c r="Q94" s="285"/>
      <c r="R94" s="338"/>
      <c r="S94" s="285"/>
      <c r="T94" s="339">
        <v>0</v>
      </c>
      <c r="U94" s="288"/>
      <c r="V94" s="5"/>
    </row>
    <row r="95" spans="1:22" ht="15.6" x14ac:dyDescent="0.3">
      <c r="A95" s="284"/>
      <c r="B95" s="285" t="s">
        <v>250</v>
      </c>
      <c r="C95" s="285"/>
      <c r="D95" s="285"/>
      <c r="E95" s="285"/>
      <c r="F95" s="285"/>
      <c r="G95" s="285"/>
      <c r="H95" s="285"/>
      <c r="I95" s="285"/>
      <c r="J95" s="285"/>
      <c r="K95" s="285"/>
      <c r="L95" s="285"/>
      <c r="M95" s="285"/>
      <c r="N95" s="285"/>
      <c r="O95" s="285"/>
      <c r="P95" s="285"/>
      <c r="Q95" s="285"/>
      <c r="R95" s="338"/>
      <c r="S95" s="285"/>
      <c r="T95" s="339">
        <v>271</v>
      </c>
      <c r="U95" s="288"/>
      <c r="V95" s="5"/>
    </row>
    <row r="96" spans="1:22" ht="15.6" x14ac:dyDescent="0.3">
      <c r="A96" s="284"/>
      <c r="B96" s="285" t="s">
        <v>30</v>
      </c>
      <c r="C96" s="285"/>
      <c r="D96" s="285"/>
      <c r="E96" s="285"/>
      <c r="F96" s="285"/>
      <c r="G96" s="285"/>
      <c r="H96" s="285"/>
      <c r="I96" s="285"/>
      <c r="J96" s="285"/>
      <c r="K96" s="285"/>
      <c r="L96" s="285"/>
      <c r="M96" s="285"/>
      <c r="N96" s="285"/>
      <c r="O96" s="285"/>
      <c r="P96" s="285"/>
      <c r="Q96" s="285"/>
      <c r="R96" s="338">
        <f>SUM(R88:R95)</f>
        <v>2422</v>
      </c>
      <c r="S96" s="285"/>
      <c r="T96" s="338">
        <f>SUM(T88:T95)</f>
        <v>3534</v>
      </c>
      <c r="U96" s="288"/>
      <c r="V96" s="5"/>
    </row>
    <row r="97" spans="1:24" ht="15.6" x14ac:dyDescent="0.3">
      <c r="A97" s="284"/>
      <c r="B97" s="285" t="s">
        <v>168</v>
      </c>
      <c r="C97" s="285"/>
      <c r="D97" s="285"/>
      <c r="E97" s="285"/>
      <c r="F97" s="285"/>
      <c r="G97" s="285"/>
      <c r="H97" s="285"/>
      <c r="I97" s="285"/>
      <c r="J97" s="285"/>
      <c r="K97" s="285"/>
      <c r="L97" s="285"/>
      <c r="M97" s="285"/>
      <c r="N97" s="285"/>
      <c r="O97" s="285"/>
      <c r="P97" s="285"/>
      <c r="Q97" s="285"/>
      <c r="R97" s="338">
        <v>0</v>
      </c>
      <c r="S97" s="285"/>
      <c r="T97" s="338">
        <f>-R97</f>
        <v>0</v>
      </c>
      <c r="U97" s="288"/>
      <c r="V97" s="5"/>
    </row>
    <row r="98" spans="1:24" ht="15.6" x14ac:dyDescent="0.3">
      <c r="A98" s="284"/>
      <c r="B98" s="285" t="s">
        <v>31</v>
      </c>
      <c r="C98" s="285"/>
      <c r="D98" s="285"/>
      <c r="E98" s="285"/>
      <c r="F98" s="285"/>
      <c r="G98" s="285"/>
      <c r="H98" s="285"/>
      <c r="I98" s="285"/>
      <c r="J98" s="285"/>
      <c r="K98" s="285"/>
      <c r="L98" s="285"/>
      <c r="M98" s="285"/>
      <c r="N98" s="285"/>
      <c r="O98" s="285"/>
      <c r="P98" s="285"/>
      <c r="Q98" s="285"/>
      <c r="R98" s="338">
        <f>-T98</f>
        <v>0</v>
      </c>
      <c r="S98" s="285"/>
      <c r="T98" s="339">
        <v>0</v>
      </c>
      <c r="U98" s="288"/>
      <c r="V98" s="5"/>
    </row>
    <row r="99" spans="1:24" ht="15.6" x14ac:dyDescent="0.3">
      <c r="A99" s="284"/>
      <c r="B99" s="285" t="s">
        <v>273</v>
      </c>
      <c r="C99" s="285"/>
      <c r="D99" s="285"/>
      <c r="E99" s="285"/>
      <c r="F99" s="285"/>
      <c r="G99" s="285"/>
      <c r="H99" s="285"/>
      <c r="I99" s="285"/>
      <c r="J99" s="285"/>
      <c r="K99" s="285"/>
      <c r="L99" s="285"/>
      <c r="M99" s="285"/>
      <c r="N99" s="285"/>
      <c r="O99" s="285"/>
      <c r="P99" s="285"/>
      <c r="Q99" s="285"/>
      <c r="R99" s="338"/>
      <c r="S99" s="285"/>
      <c r="T99" s="339">
        <v>-28</v>
      </c>
      <c r="U99" s="288"/>
      <c r="V99" s="5"/>
    </row>
    <row r="100" spans="1:24" ht="15.6" x14ac:dyDescent="0.3">
      <c r="A100" s="284"/>
      <c r="B100" s="285" t="s">
        <v>32</v>
      </c>
      <c r="C100" s="285"/>
      <c r="D100" s="285"/>
      <c r="E100" s="285"/>
      <c r="F100" s="285"/>
      <c r="G100" s="285"/>
      <c r="H100" s="285"/>
      <c r="I100" s="285"/>
      <c r="J100" s="285"/>
      <c r="K100" s="285"/>
      <c r="L100" s="285"/>
      <c r="M100" s="285"/>
      <c r="N100" s="285"/>
      <c r="O100" s="285"/>
      <c r="P100" s="285"/>
      <c r="Q100" s="285"/>
      <c r="R100" s="338">
        <f>R96+R98+R97</f>
        <v>2422</v>
      </c>
      <c r="S100" s="285"/>
      <c r="T100" s="338">
        <f>T96+T98+T97+T99</f>
        <v>3506</v>
      </c>
      <c r="U100" s="288"/>
      <c r="V100" s="5"/>
    </row>
    <row r="101" spans="1:24" ht="15.6" x14ac:dyDescent="0.3">
      <c r="A101" s="284"/>
      <c r="B101" s="343" t="s">
        <v>33</v>
      </c>
      <c r="C101" s="311"/>
      <c r="D101" s="311"/>
      <c r="E101" s="311"/>
      <c r="F101" s="311"/>
      <c r="G101" s="311"/>
      <c r="H101" s="311"/>
      <c r="I101" s="311"/>
      <c r="J101" s="311"/>
      <c r="K101" s="311"/>
      <c r="L101" s="311"/>
      <c r="M101" s="311"/>
      <c r="N101" s="311"/>
      <c r="O101" s="311"/>
      <c r="P101" s="311"/>
      <c r="Q101" s="311"/>
      <c r="R101" s="344"/>
      <c r="S101" s="311"/>
      <c r="T101" s="345"/>
      <c r="U101" s="317"/>
      <c r="V101" s="5"/>
    </row>
    <row r="102" spans="1:24" ht="15.6" x14ac:dyDescent="0.3">
      <c r="A102" s="337">
        <v>1</v>
      </c>
      <c r="B102" s="285" t="s">
        <v>34</v>
      </c>
      <c r="C102" s="285"/>
      <c r="D102" s="285"/>
      <c r="E102" s="285"/>
      <c r="F102" s="285"/>
      <c r="G102" s="285"/>
      <c r="H102" s="285"/>
      <c r="I102" s="285"/>
      <c r="J102" s="285"/>
      <c r="K102" s="285"/>
      <c r="L102" s="285"/>
      <c r="M102" s="285"/>
      <c r="N102" s="285"/>
      <c r="O102" s="285"/>
      <c r="P102" s="285"/>
      <c r="Q102" s="285"/>
      <c r="R102" s="285"/>
      <c r="S102" s="285"/>
      <c r="T102" s="339">
        <v>0</v>
      </c>
      <c r="U102" s="288"/>
      <c r="V102" s="5"/>
    </row>
    <row r="103" spans="1:24" ht="15.6" x14ac:dyDescent="0.3">
      <c r="A103" s="337">
        <f>+A102+1</f>
        <v>2</v>
      </c>
      <c r="B103" s="285" t="s">
        <v>312</v>
      </c>
      <c r="C103" s="285"/>
      <c r="D103" s="285"/>
      <c r="E103" s="285"/>
      <c r="F103" s="285"/>
      <c r="G103" s="285"/>
      <c r="H103" s="285"/>
      <c r="I103" s="285"/>
      <c r="J103" s="285"/>
      <c r="K103" s="285"/>
      <c r="L103" s="285"/>
      <c r="M103" s="285"/>
      <c r="N103" s="285"/>
      <c r="O103" s="285"/>
      <c r="P103" s="285"/>
      <c r="Q103" s="285"/>
      <c r="R103" s="285"/>
      <c r="S103" s="285"/>
      <c r="T103" s="339">
        <v>-2</v>
      </c>
      <c r="U103" s="288"/>
      <c r="V103" s="5"/>
    </row>
    <row r="104" spans="1:24" ht="15.6" x14ac:dyDescent="0.3">
      <c r="A104" s="337">
        <f>+A103+1</f>
        <v>3</v>
      </c>
      <c r="B104" s="407" t="s">
        <v>314</v>
      </c>
      <c r="C104" s="285"/>
      <c r="D104" s="285"/>
      <c r="E104" s="285"/>
      <c r="F104" s="285"/>
      <c r="G104" s="285"/>
      <c r="H104" s="285"/>
      <c r="I104" s="285"/>
      <c r="J104" s="285"/>
      <c r="K104" s="285"/>
      <c r="L104" s="285"/>
      <c r="M104" s="285"/>
      <c r="N104" s="285"/>
      <c r="O104" s="285"/>
      <c r="P104" s="285"/>
      <c r="Q104" s="285"/>
      <c r="R104" s="285"/>
      <c r="S104" s="285"/>
      <c r="T104" s="339">
        <f>-206-190-7</f>
        <v>-403</v>
      </c>
      <c r="U104" s="288"/>
      <c r="V104" s="5"/>
    </row>
    <row r="105" spans="1:24" ht="15.6" x14ac:dyDescent="0.3">
      <c r="A105" s="337" t="s">
        <v>133</v>
      </c>
      <c r="B105" s="285" t="s">
        <v>122</v>
      </c>
      <c r="C105" s="285"/>
      <c r="D105" s="285"/>
      <c r="E105" s="285"/>
      <c r="F105" s="285"/>
      <c r="G105" s="285"/>
      <c r="H105" s="285"/>
      <c r="I105" s="285"/>
      <c r="J105" s="285"/>
      <c r="K105" s="285"/>
      <c r="L105" s="285"/>
      <c r="M105" s="285"/>
      <c r="N105" s="285"/>
      <c r="O105" s="285"/>
      <c r="P105" s="285"/>
      <c r="Q105" s="285"/>
      <c r="R105" s="285"/>
      <c r="S105" s="285"/>
      <c r="T105" s="339">
        <v>-47</v>
      </c>
      <c r="U105" s="288"/>
      <c r="V105" s="5"/>
    </row>
    <row r="106" spans="1:24" ht="15.6" x14ac:dyDescent="0.3">
      <c r="A106" s="337" t="s">
        <v>134</v>
      </c>
      <c r="B106" s="285" t="s">
        <v>194</v>
      </c>
      <c r="C106" s="285"/>
      <c r="D106" s="285"/>
      <c r="E106" s="285"/>
      <c r="F106" s="285"/>
      <c r="G106" s="285"/>
      <c r="H106" s="285"/>
      <c r="I106" s="285"/>
      <c r="J106" s="285"/>
      <c r="K106" s="285"/>
      <c r="L106" s="285"/>
      <c r="M106" s="285"/>
      <c r="N106" s="285"/>
      <c r="O106" s="285"/>
      <c r="P106" s="285"/>
      <c r="Q106" s="285"/>
      <c r="R106" s="285"/>
      <c r="S106" s="285"/>
      <c r="T106" s="339">
        <f>-695+133</f>
        <v>-562</v>
      </c>
      <c r="U106" s="288"/>
      <c r="V106" s="5"/>
      <c r="W106" s="109"/>
    </row>
    <row r="107" spans="1:24" ht="15.6" x14ac:dyDescent="0.3">
      <c r="A107" s="337" t="s">
        <v>156</v>
      </c>
      <c r="B107" s="285" t="s">
        <v>191</v>
      </c>
      <c r="C107" s="285"/>
      <c r="D107" s="285"/>
      <c r="E107" s="285"/>
      <c r="F107" s="285"/>
      <c r="G107" s="285"/>
      <c r="H107" s="285"/>
      <c r="I107" s="285"/>
      <c r="J107" s="285"/>
      <c r="K107" s="285"/>
      <c r="L107" s="285"/>
      <c r="M107" s="285"/>
      <c r="N107" s="285"/>
      <c r="O107" s="285"/>
      <c r="P107" s="285"/>
      <c r="Q107" s="285"/>
      <c r="R107" s="285"/>
      <c r="S107" s="285"/>
      <c r="T107" s="339">
        <v>-133</v>
      </c>
      <c r="U107" s="288"/>
      <c r="V107" s="5"/>
      <c r="W107" s="109"/>
    </row>
    <row r="108" spans="1:24" ht="15.6" x14ac:dyDescent="0.3">
      <c r="A108" s="337" t="s">
        <v>214</v>
      </c>
      <c r="B108" s="285" t="s">
        <v>192</v>
      </c>
      <c r="C108" s="285"/>
      <c r="D108" s="285"/>
      <c r="E108" s="285"/>
      <c r="F108" s="285"/>
      <c r="G108" s="285"/>
      <c r="H108" s="285"/>
      <c r="I108" s="285"/>
      <c r="J108" s="285"/>
      <c r="K108" s="285"/>
      <c r="L108" s="285"/>
      <c r="M108" s="285"/>
      <c r="N108" s="285"/>
      <c r="O108" s="285"/>
      <c r="P108" s="285"/>
      <c r="Q108" s="285"/>
      <c r="R108" s="285"/>
      <c r="S108" s="285"/>
      <c r="T108" s="339">
        <v>-142</v>
      </c>
      <c r="U108" s="288"/>
      <c r="V108" s="5"/>
      <c r="W108" s="109"/>
      <c r="X108" s="109"/>
    </row>
    <row r="109" spans="1:24" ht="15.6" x14ac:dyDescent="0.3">
      <c r="A109" s="337" t="s">
        <v>215</v>
      </c>
      <c r="B109" s="285" t="s">
        <v>193</v>
      </c>
      <c r="C109" s="285"/>
      <c r="D109" s="285"/>
      <c r="E109" s="285"/>
      <c r="F109" s="285"/>
      <c r="G109" s="285"/>
      <c r="H109" s="285"/>
      <c r="I109" s="285"/>
      <c r="J109" s="285"/>
      <c r="K109" s="285"/>
      <c r="L109" s="285"/>
      <c r="M109" s="285"/>
      <c r="N109" s="285"/>
      <c r="O109" s="285"/>
      <c r="P109" s="285"/>
      <c r="Q109" s="285"/>
      <c r="R109" s="285"/>
      <c r="S109" s="285"/>
      <c r="T109" s="339">
        <v>-39</v>
      </c>
      <c r="U109" s="288"/>
      <c r="V109" s="169"/>
      <c r="W109" s="109"/>
    </row>
    <row r="110" spans="1:24" ht="15.6" x14ac:dyDescent="0.3">
      <c r="A110" s="337" t="s">
        <v>216</v>
      </c>
      <c r="B110" s="285" t="s">
        <v>204</v>
      </c>
      <c r="C110" s="285"/>
      <c r="D110" s="285"/>
      <c r="E110" s="285"/>
      <c r="F110" s="285"/>
      <c r="G110" s="285"/>
      <c r="H110" s="285"/>
      <c r="I110" s="285"/>
      <c r="J110" s="285"/>
      <c r="K110" s="285"/>
      <c r="L110" s="285"/>
      <c r="M110" s="285"/>
      <c r="N110" s="285"/>
      <c r="O110" s="285"/>
      <c r="P110" s="285"/>
      <c r="Q110" s="285"/>
      <c r="R110" s="285"/>
      <c r="S110" s="285"/>
      <c r="T110" s="339">
        <v>-221</v>
      </c>
      <c r="U110" s="288"/>
      <c r="V110" s="5"/>
      <c r="W110" s="109"/>
    </row>
    <row r="111" spans="1:24" ht="15.6" x14ac:dyDescent="0.3">
      <c r="A111" s="406">
        <v>7</v>
      </c>
      <c r="B111" s="407" t="s">
        <v>313</v>
      </c>
      <c r="C111" s="407"/>
      <c r="D111" s="407"/>
      <c r="E111" s="407"/>
      <c r="F111" s="407"/>
      <c r="G111" s="285"/>
      <c r="H111" s="285"/>
      <c r="I111" s="285"/>
      <c r="J111" s="285"/>
      <c r="K111" s="285"/>
      <c r="L111" s="285"/>
      <c r="M111" s="285"/>
      <c r="N111" s="285"/>
      <c r="O111" s="285"/>
      <c r="P111" s="285"/>
      <c r="Q111" s="285"/>
      <c r="R111" s="285"/>
      <c r="S111" s="285"/>
      <c r="T111" s="339">
        <v>0</v>
      </c>
      <c r="U111" s="288"/>
      <c r="V111" s="5"/>
      <c r="W111" s="109"/>
    </row>
    <row r="112" spans="1:24" ht="15.6" x14ac:dyDescent="0.3">
      <c r="A112" s="337">
        <f t="shared" ref="A112:A118" si="0">+A111+1</f>
        <v>8</v>
      </c>
      <c r="B112" s="285" t="s">
        <v>35</v>
      </c>
      <c r="C112" s="285"/>
      <c r="D112" s="285"/>
      <c r="E112" s="285"/>
      <c r="F112" s="285"/>
      <c r="G112" s="285"/>
      <c r="H112" s="285"/>
      <c r="I112" s="285"/>
      <c r="J112" s="285"/>
      <c r="K112" s="285"/>
      <c r="L112" s="285"/>
      <c r="M112" s="285"/>
      <c r="N112" s="285"/>
      <c r="O112" s="285"/>
      <c r="P112" s="285"/>
      <c r="Q112" s="285"/>
      <c r="R112" s="285"/>
      <c r="S112" s="285"/>
      <c r="T112" s="339">
        <v>-10</v>
      </c>
      <c r="U112" s="288"/>
      <c r="V112" s="5"/>
    </row>
    <row r="113" spans="1:22" ht="15.6" x14ac:dyDescent="0.3">
      <c r="A113" s="337">
        <f t="shared" si="0"/>
        <v>9</v>
      </c>
      <c r="B113" s="285" t="s">
        <v>46</v>
      </c>
      <c r="C113" s="285"/>
      <c r="D113" s="285"/>
      <c r="E113" s="285"/>
      <c r="F113" s="285"/>
      <c r="G113" s="285"/>
      <c r="H113" s="285"/>
      <c r="I113" s="285"/>
      <c r="J113" s="285"/>
      <c r="K113" s="285"/>
      <c r="L113" s="285"/>
      <c r="M113" s="285"/>
      <c r="N113" s="285"/>
      <c r="O113" s="285"/>
      <c r="P113" s="285"/>
      <c r="Q113" s="285"/>
      <c r="R113" s="338">
        <f>-T113</f>
        <v>61</v>
      </c>
      <c r="S113" s="285"/>
      <c r="T113" s="339">
        <v>-61</v>
      </c>
      <c r="U113" s="288"/>
      <c r="V113" s="5"/>
    </row>
    <row r="114" spans="1:22" ht="15.6" x14ac:dyDescent="0.3">
      <c r="A114" s="337">
        <f t="shared" si="0"/>
        <v>10</v>
      </c>
      <c r="B114" s="285" t="s">
        <v>131</v>
      </c>
      <c r="C114" s="285"/>
      <c r="D114" s="285"/>
      <c r="E114" s="285"/>
      <c r="F114" s="285"/>
      <c r="G114" s="285"/>
      <c r="H114" s="285"/>
      <c r="I114" s="285"/>
      <c r="J114" s="285"/>
      <c r="K114" s="285"/>
      <c r="L114" s="285"/>
      <c r="M114" s="285"/>
      <c r="N114" s="285"/>
      <c r="O114" s="285"/>
      <c r="P114" s="285"/>
      <c r="Q114" s="285"/>
      <c r="R114" s="285"/>
      <c r="S114" s="285"/>
      <c r="T114" s="339">
        <v>0</v>
      </c>
      <c r="U114" s="288"/>
      <c r="V114" s="5"/>
    </row>
    <row r="115" spans="1:22" ht="15.6" x14ac:dyDescent="0.3">
      <c r="A115" s="337">
        <f t="shared" si="0"/>
        <v>11</v>
      </c>
      <c r="B115" s="285" t="s">
        <v>36</v>
      </c>
      <c r="C115" s="285"/>
      <c r="D115" s="285"/>
      <c r="E115" s="285"/>
      <c r="F115" s="285"/>
      <c r="G115" s="285"/>
      <c r="H115" s="285"/>
      <c r="I115" s="285"/>
      <c r="J115" s="285"/>
      <c r="K115" s="285"/>
      <c r="L115" s="285"/>
      <c r="M115" s="285"/>
      <c r="N115" s="285"/>
      <c r="O115" s="285"/>
      <c r="P115" s="285"/>
      <c r="Q115" s="285"/>
      <c r="R115" s="285"/>
      <c r="S115" s="285"/>
      <c r="T115" s="339">
        <v>0</v>
      </c>
      <c r="U115" s="288"/>
      <c r="V115" s="5"/>
    </row>
    <row r="116" spans="1:22" ht="15.6" x14ac:dyDescent="0.3">
      <c r="A116" s="337">
        <f t="shared" si="0"/>
        <v>12</v>
      </c>
      <c r="B116" s="285" t="s">
        <v>37</v>
      </c>
      <c r="C116" s="285"/>
      <c r="D116" s="285"/>
      <c r="E116" s="285"/>
      <c r="F116" s="285"/>
      <c r="G116" s="285"/>
      <c r="H116" s="285"/>
      <c r="I116" s="285"/>
      <c r="J116" s="285"/>
      <c r="K116" s="285"/>
      <c r="L116" s="285"/>
      <c r="M116" s="285"/>
      <c r="N116" s="285"/>
      <c r="O116" s="285"/>
      <c r="P116" s="285"/>
      <c r="Q116" s="285"/>
      <c r="R116" s="285"/>
      <c r="S116" s="285"/>
      <c r="T116" s="339">
        <v>0</v>
      </c>
      <c r="U116" s="288"/>
      <c r="V116" s="5"/>
    </row>
    <row r="117" spans="1:22" ht="15.6" x14ac:dyDescent="0.3">
      <c r="A117" s="337">
        <f t="shared" si="0"/>
        <v>13</v>
      </c>
      <c r="B117" s="285" t="s">
        <v>155</v>
      </c>
      <c r="C117" s="285"/>
      <c r="D117" s="285"/>
      <c r="E117" s="285"/>
      <c r="F117" s="285"/>
      <c r="G117" s="285"/>
      <c r="H117" s="285"/>
      <c r="I117" s="285"/>
      <c r="J117" s="285"/>
      <c r="K117" s="285"/>
      <c r="L117" s="285"/>
      <c r="M117" s="285"/>
      <c r="N117" s="285"/>
      <c r="O117" s="285"/>
      <c r="P117" s="285"/>
      <c r="Q117" s="285"/>
      <c r="R117" s="285"/>
      <c r="S117" s="285"/>
      <c r="T117" s="339">
        <v>-205</v>
      </c>
      <c r="U117" s="288"/>
      <c r="V117" s="5"/>
    </row>
    <row r="118" spans="1:22" ht="15.6" x14ac:dyDescent="0.3">
      <c r="A118" s="337">
        <f t="shared" si="0"/>
        <v>14</v>
      </c>
      <c r="B118" s="285" t="s">
        <v>132</v>
      </c>
      <c r="C118" s="285"/>
      <c r="D118" s="285"/>
      <c r="E118" s="285"/>
      <c r="F118" s="285"/>
      <c r="G118" s="285"/>
      <c r="H118" s="285"/>
      <c r="I118" s="285"/>
      <c r="J118" s="285"/>
      <c r="K118" s="285"/>
      <c r="L118" s="285"/>
      <c r="M118" s="285"/>
      <c r="N118" s="285"/>
      <c r="O118" s="285"/>
      <c r="P118" s="285"/>
      <c r="Q118" s="285"/>
      <c r="R118" s="285"/>
      <c r="S118" s="285"/>
      <c r="T118" s="339">
        <f>-T100-SUM(T102:T117)</f>
        <v>-1681</v>
      </c>
      <c r="U118" s="288"/>
      <c r="V118" s="5"/>
    </row>
    <row r="119" spans="1:22" ht="15.6" x14ac:dyDescent="0.3">
      <c r="A119" s="284"/>
      <c r="B119" s="343" t="s">
        <v>38</v>
      </c>
      <c r="C119" s="311"/>
      <c r="D119" s="311"/>
      <c r="E119" s="311"/>
      <c r="F119" s="311"/>
      <c r="G119" s="311"/>
      <c r="H119" s="311"/>
      <c r="I119" s="311"/>
      <c r="J119" s="311"/>
      <c r="K119" s="311"/>
      <c r="L119" s="311"/>
      <c r="M119" s="311"/>
      <c r="N119" s="311"/>
      <c r="O119" s="311"/>
      <c r="P119" s="311"/>
      <c r="Q119" s="311"/>
      <c r="R119" s="311"/>
      <c r="S119" s="311"/>
      <c r="T119" s="346"/>
      <c r="U119" s="317"/>
      <c r="V119" s="5"/>
    </row>
    <row r="120" spans="1:22" ht="15.6" x14ac:dyDescent="0.3">
      <c r="A120" s="337"/>
      <c r="B120" s="285" t="s">
        <v>180</v>
      </c>
      <c r="C120" s="285"/>
      <c r="D120" s="285"/>
      <c r="E120" s="285"/>
      <c r="F120" s="285"/>
      <c r="G120" s="285"/>
      <c r="H120" s="285"/>
      <c r="I120" s="285"/>
      <c r="J120" s="285"/>
      <c r="K120" s="285"/>
      <c r="L120" s="285"/>
      <c r="M120" s="285"/>
      <c r="N120" s="285"/>
      <c r="O120" s="285"/>
      <c r="P120" s="285"/>
      <c r="Q120" s="285"/>
      <c r="R120" s="338">
        <f>-R178</f>
        <v>0</v>
      </c>
      <c r="S120" s="338"/>
      <c r="T120" s="339"/>
      <c r="U120" s="288"/>
      <c r="V120" s="5"/>
    </row>
    <row r="121" spans="1:22" ht="15.6" x14ac:dyDescent="0.3">
      <c r="A121" s="337"/>
      <c r="B121" s="285" t="s">
        <v>181</v>
      </c>
      <c r="C121" s="285"/>
      <c r="D121" s="285"/>
      <c r="E121" s="285"/>
      <c r="F121" s="285"/>
      <c r="G121" s="285"/>
      <c r="H121" s="285"/>
      <c r="I121" s="285"/>
      <c r="J121" s="285"/>
      <c r="K121" s="285"/>
      <c r="L121" s="285"/>
      <c r="M121" s="285"/>
      <c r="N121" s="285"/>
      <c r="O121" s="285"/>
      <c r="P121" s="285"/>
      <c r="Q121" s="285"/>
      <c r="R121" s="338">
        <v>-5</v>
      </c>
      <c r="S121" s="338"/>
      <c r="T121" s="339"/>
      <c r="U121" s="288"/>
      <c r="V121" s="5"/>
    </row>
    <row r="122" spans="1:22" ht="15.6" x14ac:dyDescent="0.3">
      <c r="A122" s="337"/>
      <c r="B122" s="285" t="s">
        <v>39</v>
      </c>
      <c r="C122" s="285"/>
      <c r="D122" s="285"/>
      <c r="E122" s="285"/>
      <c r="F122" s="285"/>
      <c r="G122" s="285"/>
      <c r="H122" s="285"/>
      <c r="I122" s="285"/>
      <c r="J122" s="285"/>
      <c r="K122" s="285"/>
      <c r="L122" s="285"/>
      <c r="M122" s="285"/>
      <c r="N122" s="285"/>
      <c r="O122" s="285"/>
      <c r="P122" s="285"/>
      <c r="Q122" s="285"/>
      <c r="R122" s="338">
        <f>-Q178</f>
        <v>-58</v>
      </c>
      <c r="S122" s="338"/>
      <c r="T122" s="339"/>
      <c r="U122" s="288"/>
      <c r="V122" s="5"/>
    </row>
    <row r="123" spans="1:22" ht="15.6" x14ac:dyDescent="0.3">
      <c r="A123" s="337"/>
      <c r="B123" s="285" t="s">
        <v>205</v>
      </c>
      <c r="C123" s="285"/>
      <c r="D123" s="285"/>
      <c r="E123" s="285"/>
      <c r="F123" s="285"/>
      <c r="G123" s="285"/>
      <c r="H123" s="285"/>
      <c r="I123" s="285"/>
      <c r="J123" s="285"/>
      <c r="K123" s="285"/>
      <c r="L123" s="285"/>
      <c r="M123" s="285"/>
      <c r="N123" s="285"/>
      <c r="O123" s="285"/>
      <c r="P123" s="285"/>
      <c r="Q123" s="285"/>
      <c r="R123" s="338">
        <v>-1582</v>
      </c>
      <c r="S123" s="338"/>
      <c r="T123" s="339"/>
      <c r="U123" s="288"/>
      <c r="V123" s="5"/>
    </row>
    <row r="124" spans="1:22" ht="15.6" x14ac:dyDescent="0.3">
      <c r="A124" s="337"/>
      <c r="B124" s="285" t="s">
        <v>203</v>
      </c>
      <c r="C124" s="285"/>
      <c r="D124" s="285"/>
      <c r="E124" s="285"/>
      <c r="F124" s="285"/>
      <c r="G124" s="285"/>
      <c r="H124" s="285"/>
      <c r="I124" s="285"/>
      <c r="J124" s="285"/>
      <c r="K124" s="285"/>
      <c r="L124" s="285"/>
      <c r="M124" s="285"/>
      <c r="N124" s="285"/>
      <c r="O124" s="285"/>
      <c r="P124" s="285"/>
      <c r="Q124" s="285"/>
      <c r="R124" s="338">
        <v>-417</v>
      </c>
      <c r="S124" s="338"/>
      <c r="T124" s="339"/>
      <c r="U124" s="288"/>
      <c r="V124" s="5"/>
    </row>
    <row r="125" spans="1:22" ht="15.6" x14ac:dyDescent="0.3">
      <c r="A125" s="337"/>
      <c r="B125" s="285" t="s">
        <v>202</v>
      </c>
      <c r="C125" s="285"/>
      <c r="D125" s="285"/>
      <c r="E125" s="285"/>
      <c r="F125" s="285"/>
      <c r="G125" s="285"/>
      <c r="H125" s="285"/>
      <c r="I125" s="285"/>
      <c r="J125" s="285"/>
      <c r="K125" s="285"/>
      <c r="L125" s="285"/>
      <c r="M125" s="285"/>
      <c r="N125" s="285"/>
      <c r="O125" s="285"/>
      <c r="P125" s="285"/>
      <c r="Q125" s="285"/>
      <c r="R125" s="338">
        <v>-421</v>
      </c>
      <c r="S125" s="338"/>
      <c r="T125" s="339"/>
      <c r="U125" s="288"/>
      <c r="V125" s="5"/>
    </row>
    <row r="126" spans="1:22" ht="15.6" x14ac:dyDescent="0.3">
      <c r="A126" s="337"/>
      <c r="B126" s="285" t="s">
        <v>197</v>
      </c>
      <c r="C126" s="285"/>
      <c r="D126" s="285"/>
      <c r="E126" s="285"/>
      <c r="F126" s="285"/>
      <c r="G126" s="285"/>
      <c r="H126" s="285"/>
      <c r="I126" s="285"/>
      <c r="J126" s="285"/>
      <c r="K126" s="285"/>
      <c r="L126" s="285"/>
      <c r="M126" s="285"/>
      <c r="N126" s="285"/>
      <c r="O126" s="285"/>
      <c r="P126" s="285"/>
      <c r="Q126" s="285"/>
      <c r="R126" s="338">
        <v>0</v>
      </c>
      <c r="S126" s="338"/>
      <c r="T126" s="339"/>
      <c r="U126" s="288"/>
      <c r="V126" s="5"/>
    </row>
    <row r="127" spans="1:22" ht="15.6" x14ac:dyDescent="0.3">
      <c r="A127" s="337"/>
      <c r="B127" s="285" t="s">
        <v>196</v>
      </c>
      <c r="C127" s="285"/>
      <c r="D127" s="285"/>
      <c r="E127" s="285"/>
      <c r="F127" s="285"/>
      <c r="G127" s="285"/>
      <c r="H127" s="285"/>
      <c r="I127" s="285"/>
      <c r="J127" s="285"/>
      <c r="K127" s="285"/>
      <c r="L127" s="285"/>
      <c r="M127" s="285"/>
      <c r="N127" s="285"/>
      <c r="O127" s="285"/>
      <c r="P127" s="285"/>
      <c r="Q127" s="285"/>
      <c r="R127" s="338">
        <v>0</v>
      </c>
      <c r="S127" s="338"/>
      <c r="T127" s="339"/>
      <c r="U127" s="288"/>
      <c r="V127" s="5"/>
    </row>
    <row r="128" spans="1:22" ht="15.6" x14ac:dyDescent="0.3">
      <c r="A128" s="337"/>
      <c r="B128" s="285" t="s">
        <v>195</v>
      </c>
      <c r="C128" s="285"/>
      <c r="D128" s="285"/>
      <c r="E128" s="285"/>
      <c r="F128" s="285"/>
      <c r="G128" s="285"/>
      <c r="H128" s="285"/>
      <c r="I128" s="285"/>
      <c r="J128" s="285"/>
      <c r="K128" s="285"/>
      <c r="L128" s="285"/>
      <c r="M128" s="285"/>
      <c r="N128" s="285"/>
      <c r="O128" s="285"/>
      <c r="P128" s="285"/>
      <c r="Q128" s="285"/>
      <c r="R128" s="338">
        <v>0</v>
      </c>
      <c r="S128" s="338"/>
      <c r="T128" s="339"/>
      <c r="U128" s="288"/>
      <c r="V128" s="5"/>
    </row>
    <row r="129" spans="1:22" ht="15.6" x14ac:dyDescent="0.3">
      <c r="A129" s="337"/>
      <c r="B129" s="285" t="s">
        <v>40</v>
      </c>
      <c r="C129" s="285"/>
      <c r="D129" s="285"/>
      <c r="E129" s="285"/>
      <c r="F129" s="285"/>
      <c r="G129" s="285"/>
      <c r="H129" s="285"/>
      <c r="I129" s="285"/>
      <c r="J129" s="285"/>
      <c r="K129" s="285"/>
      <c r="L129" s="285"/>
      <c r="M129" s="285"/>
      <c r="N129" s="285"/>
      <c r="O129" s="285"/>
      <c r="P129" s="285"/>
      <c r="Q129" s="285"/>
      <c r="R129" s="338">
        <f>SUM(R120:R128)</f>
        <v>-2483</v>
      </c>
      <c r="S129" s="338"/>
      <c r="T129" s="338">
        <f>SUM(T101:T127)</f>
        <v>-3506</v>
      </c>
      <c r="U129" s="288"/>
      <c r="V129" s="5"/>
    </row>
    <row r="130" spans="1:22" ht="15.6" x14ac:dyDescent="0.3">
      <c r="A130" s="337"/>
      <c r="B130" s="285" t="s">
        <v>41</v>
      </c>
      <c r="C130" s="285"/>
      <c r="D130" s="285"/>
      <c r="E130" s="285"/>
      <c r="F130" s="285"/>
      <c r="G130" s="285"/>
      <c r="H130" s="285"/>
      <c r="I130" s="285"/>
      <c r="J130" s="285"/>
      <c r="K130" s="285"/>
      <c r="L130" s="285"/>
      <c r="M130" s="285"/>
      <c r="N130" s="285"/>
      <c r="O130" s="285"/>
      <c r="P130" s="285"/>
      <c r="Q130" s="285"/>
      <c r="R130" s="338">
        <f>R100+R129+R113</f>
        <v>0</v>
      </c>
      <c r="S130" s="338"/>
      <c r="T130" s="338">
        <f>T100+T129</f>
        <v>0</v>
      </c>
      <c r="U130" s="288"/>
      <c r="V130" s="5"/>
    </row>
    <row r="131" spans="1:22" ht="15.6" x14ac:dyDescent="0.3">
      <c r="A131" s="256"/>
      <c r="B131" s="281"/>
      <c r="C131" s="281"/>
      <c r="D131" s="281"/>
      <c r="E131" s="281"/>
      <c r="F131" s="281"/>
      <c r="G131" s="281"/>
      <c r="H131" s="281"/>
      <c r="I131" s="281"/>
      <c r="J131" s="281"/>
      <c r="K131" s="281"/>
      <c r="L131" s="281"/>
      <c r="M131" s="281"/>
      <c r="N131" s="281"/>
      <c r="O131" s="281"/>
      <c r="P131" s="281"/>
      <c r="Q131" s="281"/>
      <c r="R131" s="340"/>
      <c r="S131" s="340"/>
      <c r="T131" s="340"/>
      <c r="U131" s="281"/>
      <c r="V131" s="5"/>
    </row>
    <row r="132" spans="1:22" ht="15.6" x14ac:dyDescent="0.3">
      <c r="A132" s="256"/>
      <c r="B132" s="231"/>
      <c r="C132" s="231"/>
      <c r="D132" s="231"/>
      <c r="E132" s="231"/>
      <c r="F132" s="231"/>
      <c r="G132" s="231"/>
      <c r="H132" s="231"/>
      <c r="I132" s="231"/>
      <c r="J132" s="231"/>
      <c r="K132" s="231"/>
      <c r="L132" s="231"/>
      <c r="M132" s="231"/>
      <c r="N132" s="231"/>
      <c r="O132" s="231"/>
      <c r="P132" s="231"/>
      <c r="Q132" s="231"/>
      <c r="R132" s="231"/>
      <c r="S132" s="231"/>
      <c r="T132" s="257"/>
      <c r="U132" s="231"/>
      <c r="V132" s="5"/>
    </row>
    <row r="133" spans="1:22" ht="18" thickBot="1" x14ac:dyDescent="0.35">
      <c r="A133" s="258"/>
      <c r="B133" s="246" t="str">
        <f>B64</f>
        <v>PM11 INVESTOR REPORT QUARTER ENDING MARCH 2013</v>
      </c>
      <c r="C133" s="247"/>
      <c r="D133" s="247"/>
      <c r="E133" s="247"/>
      <c r="F133" s="247"/>
      <c r="G133" s="247"/>
      <c r="H133" s="247"/>
      <c r="I133" s="247"/>
      <c r="J133" s="247"/>
      <c r="K133" s="247"/>
      <c r="L133" s="247"/>
      <c r="M133" s="247"/>
      <c r="N133" s="247"/>
      <c r="O133" s="247"/>
      <c r="P133" s="247"/>
      <c r="Q133" s="247"/>
      <c r="R133" s="247"/>
      <c r="S133" s="247"/>
      <c r="T133" s="259"/>
      <c r="U133" s="249"/>
      <c r="V133" s="5"/>
    </row>
    <row r="134" spans="1:22" ht="15.6" x14ac:dyDescent="0.3">
      <c r="A134" s="260"/>
      <c r="B134" s="399" t="s">
        <v>42</v>
      </c>
      <c r="C134" s="261"/>
      <c r="D134" s="261"/>
      <c r="E134" s="261"/>
      <c r="F134" s="261"/>
      <c r="G134" s="261"/>
      <c r="H134" s="261"/>
      <c r="I134" s="261"/>
      <c r="J134" s="261"/>
      <c r="K134" s="261"/>
      <c r="L134" s="261"/>
      <c r="M134" s="261"/>
      <c r="N134" s="261"/>
      <c r="O134" s="261"/>
      <c r="P134" s="261"/>
      <c r="Q134" s="261"/>
      <c r="R134" s="261"/>
      <c r="S134" s="261"/>
      <c r="T134" s="262"/>
      <c r="U134" s="261"/>
      <c r="V134" s="5"/>
    </row>
    <row r="135" spans="1:22" ht="15.6" x14ac:dyDescent="0.3">
      <c r="A135" s="175"/>
      <c r="B135" s="187"/>
      <c r="C135" s="177"/>
      <c r="D135" s="177"/>
      <c r="E135" s="177"/>
      <c r="F135" s="177"/>
      <c r="G135" s="177"/>
      <c r="H135" s="177"/>
      <c r="I135" s="177"/>
      <c r="J135" s="177"/>
      <c r="K135" s="177"/>
      <c r="L135" s="177"/>
      <c r="M135" s="177"/>
      <c r="N135" s="177"/>
      <c r="O135" s="177"/>
      <c r="P135" s="177"/>
      <c r="Q135" s="177"/>
      <c r="R135" s="177"/>
      <c r="S135" s="177"/>
      <c r="T135" s="194"/>
      <c r="U135" s="177"/>
      <c r="V135" s="5"/>
    </row>
    <row r="136" spans="1:22" ht="15.6" x14ac:dyDescent="0.3">
      <c r="A136" s="175"/>
      <c r="B136" s="201" t="s">
        <v>43</v>
      </c>
      <c r="C136" s="177"/>
      <c r="D136" s="177"/>
      <c r="E136" s="177"/>
      <c r="F136" s="177"/>
      <c r="G136" s="177"/>
      <c r="H136" s="177"/>
      <c r="I136" s="177"/>
      <c r="J136" s="177"/>
      <c r="K136" s="177"/>
      <c r="L136" s="177"/>
      <c r="M136" s="177"/>
      <c r="N136" s="177"/>
      <c r="O136" s="177"/>
      <c r="P136" s="177"/>
      <c r="Q136" s="177"/>
      <c r="R136" s="177"/>
      <c r="S136" s="177"/>
      <c r="T136" s="194"/>
      <c r="U136" s="177"/>
      <c r="V136" s="5"/>
    </row>
    <row r="137" spans="1:22" ht="15.6" x14ac:dyDescent="0.3">
      <c r="A137" s="284"/>
      <c r="B137" s="285" t="s">
        <v>44</v>
      </c>
      <c r="C137" s="285"/>
      <c r="D137" s="285"/>
      <c r="E137" s="285"/>
      <c r="F137" s="285"/>
      <c r="G137" s="285"/>
      <c r="H137" s="285"/>
      <c r="I137" s="285"/>
      <c r="J137" s="285"/>
      <c r="K137" s="285"/>
      <c r="L137" s="285"/>
      <c r="M137" s="285"/>
      <c r="N137" s="285"/>
      <c r="O137" s="285"/>
      <c r="P137" s="285"/>
      <c r="Q137" s="285"/>
      <c r="R137" s="285"/>
      <c r="S137" s="285"/>
      <c r="T137" s="339">
        <f>+T34*0.019</f>
        <v>19000.95</v>
      </c>
      <c r="U137" s="288"/>
      <c r="V137" s="5"/>
    </row>
    <row r="138" spans="1:22" ht="15.6" x14ac:dyDescent="0.3">
      <c r="A138" s="284"/>
      <c r="B138" s="285" t="s">
        <v>45</v>
      </c>
      <c r="C138" s="285"/>
      <c r="D138" s="285"/>
      <c r="E138" s="285"/>
      <c r="F138" s="285"/>
      <c r="G138" s="285"/>
      <c r="H138" s="285"/>
      <c r="I138" s="285"/>
      <c r="J138" s="285"/>
      <c r="K138" s="285"/>
      <c r="L138" s="285"/>
      <c r="M138" s="285"/>
      <c r="N138" s="285"/>
      <c r="O138" s="285"/>
      <c r="P138" s="285"/>
      <c r="Q138" s="285"/>
      <c r="R138" s="285"/>
      <c r="S138" s="285"/>
      <c r="T138" s="339">
        <v>19001</v>
      </c>
      <c r="U138" s="288"/>
      <c r="V138" s="5"/>
    </row>
    <row r="139" spans="1:22" ht="15.6" x14ac:dyDescent="0.3">
      <c r="A139" s="284"/>
      <c r="B139" s="285" t="s">
        <v>142</v>
      </c>
      <c r="C139" s="285"/>
      <c r="D139" s="285"/>
      <c r="E139" s="285"/>
      <c r="F139" s="285"/>
      <c r="G139" s="285"/>
      <c r="H139" s="285"/>
      <c r="I139" s="285"/>
      <c r="J139" s="285"/>
      <c r="K139" s="285"/>
      <c r="L139" s="285"/>
      <c r="M139" s="285"/>
      <c r="N139" s="285"/>
      <c r="O139" s="285"/>
      <c r="P139" s="285"/>
      <c r="Q139" s="285"/>
      <c r="R139" s="285"/>
      <c r="S139" s="285"/>
      <c r="T139" s="339">
        <v>0</v>
      </c>
      <c r="U139" s="288"/>
      <c r="V139" s="5"/>
    </row>
    <row r="140" spans="1:22" ht="15.6" x14ac:dyDescent="0.3">
      <c r="A140" s="284"/>
      <c r="B140" s="285" t="s">
        <v>129</v>
      </c>
      <c r="C140" s="285"/>
      <c r="D140" s="285"/>
      <c r="E140" s="285"/>
      <c r="F140" s="285"/>
      <c r="G140" s="285"/>
      <c r="H140" s="285"/>
      <c r="I140" s="285"/>
      <c r="J140" s="285"/>
      <c r="K140" s="285"/>
      <c r="L140" s="285"/>
      <c r="M140" s="285"/>
      <c r="N140" s="285"/>
      <c r="O140" s="285"/>
      <c r="P140" s="285"/>
      <c r="Q140" s="285"/>
      <c r="R140" s="285"/>
      <c r="S140" s="285"/>
      <c r="T140" s="339">
        <v>0</v>
      </c>
      <c r="U140" s="288"/>
      <c r="V140" s="5"/>
    </row>
    <row r="141" spans="1:22" ht="15.6" x14ac:dyDescent="0.3">
      <c r="A141" s="284"/>
      <c r="B141" s="285" t="s">
        <v>130</v>
      </c>
      <c r="C141" s="285"/>
      <c r="D141" s="285"/>
      <c r="E141" s="285"/>
      <c r="F141" s="285"/>
      <c r="G141" s="285"/>
      <c r="H141" s="285"/>
      <c r="I141" s="285"/>
      <c r="J141" s="285"/>
      <c r="K141" s="285"/>
      <c r="L141" s="285"/>
      <c r="M141" s="285"/>
      <c r="N141" s="285"/>
      <c r="O141" s="285"/>
      <c r="P141" s="285"/>
      <c r="Q141" s="285"/>
      <c r="R141" s="285"/>
      <c r="S141" s="285"/>
      <c r="T141" s="339">
        <v>0</v>
      </c>
      <c r="U141" s="288"/>
      <c r="V141" s="5"/>
    </row>
    <row r="142" spans="1:22" ht="15.6" x14ac:dyDescent="0.3">
      <c r="A142" s="284"/>
      <c r="B142" s="285" t="s">
        <v>182</v>
      </c>
      <c r="C142" s="285"/>
      <c r="D142" s="285"/>
      <c r="E142" s="285"/>
      <c r="F142" s="285"/>
      <c r="G142" s="285"/>
      <c r="H142" s="285"/>
      <c r="I142" s="285"/>
      <c r="J142" s="285"/>
      <c r="K142" s="285"/>
      <c r="L142" s="285"/>
      <c r="M142" s="285"/>
      <c r="N142" s="285"/>
      <c r="O142" s="285"/>
      <c r="P142" s="285"/>
      <c r="Q142" s="285"/>
      <c r="R142" s="285"/>
      <c r="S142" s="285"/>
      <c r="T142" s="339">
        <v>0</v>
      </c>
      <c r="U142" s="288"/>
      <c r="V142" s="5"/>
    </row>
    <row r="143" spans="1:22" ht="15.6" x14ac:dyDescent="0.3">
      <c r="A143" s="284"/>
      <c r="B143" s="285" t="s">
        <v>46</v>
      </c>
      <c r="C143" s="285"/>
      <c r="D143" s="285"/>
      <c r="E143" s="285"/>
      <c r="F143" s="285"/>
      <c r="G143" s="285"/>
      <c r="H143" s="285"/>
      <c r="I143" s="285"/>
      <c r="J143" s="285"/>
      <c r="K143" s="285"/>
      <c r="L143" s="285"/>
      <c r="M143" s="285"/>
      <c r="N143" s="285"/>
      <c r="O143" s="285"/>
      <c r="P143" s="285"/>
      <c r="Q143" s="285"/>
      <c r="R143" s="285"/>
      <c r="S143" s="285"/>
      <c r="T143" s="339">
        <v>0</v>
      </c>
      <c r="U143" s="288"/>
      <c r="V143" s="5"/>
    </row>
    <row r="144" spans="1:22" ht="15.6" x14ac:dyDescent="0.3">
      <c r="A144" s="284"/>
      <c r="B144" s="285" t="s">
        <v>135</v>
      </c>
      <c r="C144" s="285"/>
      <c r="D144" s="285"/>
      <c r="E144" s="285"/>
      <c r="F144" s="285"/>
      <c r="G144" s="285"/>
      <c r="H144" s="285"/>
      <c r="I144" s="285"/>
      <c r="J144" s="285"/>
      <c r="K144" s="285"/>
      <c r="L144" s="285"/>
      <c r="M144" s="285"/>
      <c r="N144" s="285"/>
      <c r="O144" s="285"/>
      <c r="P144" s="285"/>
      <c r="Q144" s="285"/>
      <c r="R144" s="285"/>
      <c r="S144" s="285"/>
      <c r="T144" s="339">
        <v>0</v>
      </c>
      <c r="U144" s="288"/>
      <c r="V144" s="5"/>
    </row>
    <row r="145" spans="1:23" ht="15.6" x14ac:dyDescent="0.3">
      <c r="A145" s="284"/>
      <c r="B145" s="285" t="s">
        <v>251</v>
      </c>
      <c r="C145" s="285"/>
      <c r="D145" s="285"/>
      <c r="E145" s="285"/>
      <c r="F145" s="285"/>
      <c r="G145" s="285"/>
      <c r="H145" s="285"/>
      <c r="I145" s="285"/>
      <c r="J145" s="285"/>
      <c r="K145" s="285"/>
      <c r="L145" s="285"/>
      <c r="M145" s="285"/>
      <c r="N145" s="285"/>
      <c r="O145" s="285"/>
      <c r="P145" s="285"/>
      <c r="Q145" s="285"/>
      <c r="R145" s="285"/>
      <c r="S145" s="285"/>
      <c r="T145" s="339">
        <v>0</v>
      </c>
      <c r="U145" s="288"/>
      <c r="V145" s="5"/>
      <c r="W145" s="109"/>
    </row>
    <row r="146" spans="1:23" ht="15.6" x14ac:dyDescent="0.3">
      <c r="A146" s="284"/>
      <c r="B146" s="285" t="s">
        <v>47</v>
      </c>
      <c r="C146" s="285"/>
      <c r="D146" s="285"/>
      <c r="E146" s="285"/>
      <c r="F146" s="285"/>
      <c r="G146" s="285"/>
      <c r="H146" s="285"/>
      <c r="I146" s="285"/>
      <c r="J146" s="285"/>
      <c r="K146" s="285"/>
      <c r="L146" s="285"/>
      <c r="M146" s="285"/>
      <c r="N146" s="285"/>
      <c r="O146" s="285"/>
      <c r="P146" s="285"/>
      <c r="Q146" s="285"/>
      <c r="R146" s="285"/>
      <c r="S146" s="285"/>
      <c r="T146" s="339">
        <f>SUM(T138:T145)</f>
        <v>19001</v>
      </c>
      <c r="U146" s="288"/>
      <c r="V146" s="5"/>
    </row>
    <row r="147" spans="1:23" ht="15.6" x14ac:dyDescent="0.3">
      <c r="A147" s="284"/>
      <c r="B147" s="311"/>
      <c r="C147" s="311"/>
      <c r="D147" s="311"/>
      <c r="E147" s="311"/>
      <c r="F147" s="311"/>
      <c r="G147" s="311"/>
      <c r="H147" s="311"/>
      <c r="I147" s="311"/>
      <c r="J147" s="311"/>
      <c r="K147" s="311"/>
      <c r="L147" s="311"/>
      <c r="M147" s="311"/>
      <c r="N147" s="311"/>
      <c r="O147" s="311"/>
      <c r="P147" s="311"/>
      <c r="Q147" s="311"/>
      <c r="R147" s="311"/>
      <c r="S147" s="311"/>
      <c r="T147" s="345"/>
      <c r="U147" s="317"/>
      <c r="V147" s="5"/>
    </row>
    <row r="148" spans="1:23" ht="15.6" x14ac:dyDescent="0.3">
      <c r="A148" s="284"/>
      <c r="B148" s="343" t="s">
        <v>262</v>
      </c>
      <c r="C148" s="311"/>
      <c r="D148" s="311"/>
      <c r="E148" s="311"/>
      <c r="F148" s="311"/>
      <c r="G148" s="311"/>
      <c r="H148" s="311"/>
      <c r="I148" s="311"/>
      <c r="J148" s="311"/>
      <c r="K148" s="311"/>
      <c r="L148" s="311"/>
      <c r="M148" s="311"/>
      <c r="N148" s="311"/>
      <c r="O148" s="311"/>
      <c r="P148" s="311"/>
      <c r="Q148" s="311"/>
      <c r="R148" s="311"/>
      <c r="S148" s="311"/>
      <c r="T148" s="345"/>
      <c r="U148" s="317"/>
      <c r="V148" s="5"/>
    </row>
    <row r="149" spans="1:23" ht="15.6" x14ac:dyDescent="0.3">
      <c r="A149" s="284"/>
      <c r="B149" s="285" t="s">
        <v>263</v>
      </c>
      <c r="C149" s="285"/>
      <c r="D149" s="285"/>
      <c r="E149" s="285"/>
      <c r="F149" s="285"/>
      <c r="G149" s="285"/>
      <c r="H149" s="285"/>
      <c r="I149" s="285"/>
      <c r="J149" s="285"/>
      <c r="K149" s="285"/>
      <c r="L149" s="285"/>
      <c r="M149" s="285"/>
      <c r="N149" s="285"/>
      <c r="O149" s="285"/>
      <c r="P149" s="285"/>
      <c r="Q149" s="285"/>
      <c r="R149" s="285"/>
      <c r="S149" s="285"/>
      <c r="T149" s="339">
        <v>0</v>
      </c>
      <c r="U149" s="288"/>
      <c r="V149" s="5"/>
    </row>
    <row r="150" spans="1:23" ht="15.6" x14ac:dyDescent="0.3">
      <c r="A150" s="284"/>
      <c r="B150" s="285" t="s">
        <v>179</v>
      </c>
      <c r="C150" s="285"/>
      <c r="D150" s="285"/>
      <c r="E150" s="285"/>
      <c r="F150" s="285"/>
      <c r="G150" s="285"/>
      <c r="H150" s="285"/>
      <c r="I150" s="285"/>
      <c r="J150" s="285"/>
      <c r="K150" s="285"/>
      <c r="L150" s="285"/>
      <c r="M150" s="285"/>
      <c r="N150" s="285"/>
      <c r="O150" s="285"/>
      <c r="P150" s="285"/>
      <c r="Q150" s="285"/>
      <c r="R150" s="285"/>
      <c r="S150" s="285"/>
      <c r="T150" s="339">
        <v>0</v>
      </c>
      <c r="U150" s="288"/>
      <c r="V150" s="5"/>
    </row>
    <row r="151" spans="1:23" ht="15.6" x14ac:dyDescent="0.3">
      <c r="A151" s="284"/>
      <c r="B151" s="285" t="s">
        <v>264</v>
      </c>
      <c r="C151" s="285"/>
      <c r="D151" s="285"/>
      <c r="E151" s="285"/>
      <c r="F151" s="285"/>
      <c r="G151" s="285"/>
      <c r="H151" s="285"/>
      <c r="I151" s="285"/>
      <c r="J151" s="285"/>
      <c r="K151" s="285"/>
      <c r="L151" s="285"/>
      <c r="M151" s="285"/>
      <c r="N151" s="285"/>
      <c r="O151" s="285"/>
      <c r="P151" s="285"/>
      <c r="Q151" s="285"/>
      <c r="R151" s="285"/>
      <c r="S151" s="285"/>
      <c r="T151" s="339">
        <v>0</v>
      </c>
      <c r="U151" s="288"/>
      <c r="V151" s="5"/>
    </row>
    <row r="152" spans="1:23" ht="15.6" x14ac:dyDescent="0.3">
      <c r="A152" s="284"/>
      <c r="B152" s="285"/>
      <c r="C152" s="285"/>
      <c r="D152" s="285"/>
      <c r="E152" s="285"/>
      <c r="F152" s="285"/>
      <c r="G152" s="285"/>
      <c r="H152" s="285"/>
      <c r="I152" s="285"/>
      <c r="J152" s="285"/>
      <c r="K152" s="285"/>
      <c r="L152" s="285"/>
      <c r="M152" s="285"/>
      <c r="N152" s="285"/>
      <c r="O152" s="285"/>
      <c r="P152" s="285"/>
      <c r="Q152" s="285"/>
      <c r="R152" s="285"/>
      <c r="S152" s="285"/>
      <c r="T152" s="339"/>
      <c r="U152" s="288"/>
      <c r="V152" s="5"/>
    </row>
    <row r="153" spans="1:23" ht="15.6" x14ac:dyDescent="0.3">
      <c r="A153" s="175"/>
      <c r="B153" s="334"/>
      <c r="C153" s="334"/>
      <c r="D153" s="334"/>
      <c r="E153" s="334"/>
      <c r="F153" s="334"/>
      <c r="G153" s="334"/>
      <c r="H153" s="334"/>
      <c r="I153" s="334"/>
      <c r="J153" s="334"/>
      <c r="K153" s="334"/>
      <c r="L153" s="334"/>
      <c r="M153" s="334"/>
      <c r="N153" s="334"/>
      <c r="O153" s="334"/>
      <c r="P153" s="334"/>
      <c r="Q153" s="334"/>
      <c r="R153" s="334"/>
      <c r="S153" s="334"/>
      <c r="T153" s="347"/>
      <c r="U153" s="334"/>
      <c r="V153" s="5"/>
    </row>
    <row r="154" spans="1:23" ht="15.6" x14ac:dyDescent="0.3">
      <c r="A154" s="175"/>
      <c r="B154" s="201" t="s">
        <v>24</v>
      </c>
      <c r="C154" s="177"/>
      <c r="D154" s="177"/>
      <c r="E154" s="177"/>
      <c r="F154" s="177"/>
      <c r="G154" s="177"/>
      <c r="H154" s="177"/>
      <c r="I154" s="177"/>
      <c r="J154" s="177"/>
      <c r="K154" s="177"/>
      <c r="L154" s="177"/>
      <c r="M154" s="177"/>
      <c r="N154" s="177"/>
      <c r="O154" s="177"/>
      <c r="P154" s="177"/>
      <c r="Q154" s="177"/>
      <c r="R154" s="177"/>
      <c r="S154" s="177"/>
      <c r="T154" s="194"/>
      <c r="U154" s="177"/>
      <c r="V154" s="5"/>
    </row>
    <row r="155" spans="1:23" ht="15.6" x14ac:dyDescent="0.3">
      <c r="A155" s="284"/>
      <c r="B155" s="285" t="s">
        <v>48</v>
      </c>
      <c r="C155" s="285"/>
      <c r="D155" s="285"/>
      <c r="E155" s="285"/>
      <c r="F155" s="285"/>
      <c r="G155" s="285"/>
      <c r="H155" s="285"/>
      <c r="I155" s="285"/>
      <c r="J155" s="285"/>
      <c r="K155" s="285"/>
      <c r="L155" s="285"/>
      <c r="M155" s="285"/>
      <c r="N155" s="285"/>
      <c r="O155" s="285"/>
      <c r="P155" s="285"/>
      <c r="Q155" s="285"/>
      <c r="R155" s="285"/>
      <c r="S155" s="285"/>
      <c r="T155" s="348" t="s">
        <v>124</v>
      </c>
      <c r="U155" s="288"/>
      <c r="V155" s="5"/>
    </row>
    <row r="156" spans="1:23" ht="15.6" x14ac:dyDescent="0.3">
      <c r="A156" s="284"/>
      <c r="B156" s="285" t="s">
        <v>49</v>
      </c>
      <c r="C156" s="287"/>
      <c r="D156" s="287"/>
      <c r="E156" s="287"/>
      <c r="F156" s="287"/>
      <c r="G156" s="287"/>
      <c r="H156" s="287"/>
      <c r="I156" s="287"/>
      <c r="J156" s="287"/>
      <c r="K156" s="287"/>
      <c r="L156" s="287"/>
      <c r="M156" s="287"/>
      <c r="N156" s="287"/>
      <c r="O156" s="287"/>
      <c r="P156" s="287"/>
      <c r="Q156" s="287"/>
      <c r="R156" s="287"/>
      <c r="S156" s="287"/>
      <c r="T156" s="348" t="s">
        <v>124</v>
      </c>
      <c r="U156" s="288"/>
      <c r="V156" s="5"/>
    </row>
    <row r="157" spans="1:23" ht="15.6" x14ac:dyDescent="0.3">
      <c r="A157" s="284"/>
      <c r="B157" s="285" t="s">
        <v>50</v>
      </c>
      <c r="C157" s="285"/>
      <c r="D157" s="285"/>
      <c r="E157" s="285"/>
      <c r="F157" s="285"/>
      <c r="G157" s="285"/>
      <c r="H157" s="285"/>
      <c r="I157" s="285"/>
      <c r="J157" s="285"/>
      <c r="K157" s="285"/>
      <c r="L157" s="285"/>
      <c r="M157" s="285"/>
      <c r="N157" s="285"/>
      <c r="O157" s="285"/>
      <c r="P157" s="285"/>
      <c r="Q157" s="285"/>
      <c r="R157" s="285"/>
      <c r="S157" s="285"/>
      <c r="T157" s="348" t="s">
        <v>124</v>
      </c>
      <c r="U157" s="288"/>
      <c r="V157" s="5"/>
    </row>
    <row r="158" spans="1:23" ht="15.6" x14ac:dyDescent="0.3">
      <c r="A158" s="284"/>
      <c r="B158" s="285" t="s">
        <v>51</v>
      </c>
      <c r="C158" s="285"/>
      <c r="D158" s="285"/>
      <c r="E158" s="285"/>
      <c r="F158" s="285"/>
      <c r="G158" s="285"/>
      <c r="H158" s="285"/>
      <c r="I158" s="285"/>
      <c r="J158" s="285"/>
      <c r="K158" s="285"/>
      <c r="L158" s="285"/>
      <c r="M158" s="285"/>
      <c r="N158" s="285"/>
      <c r="O158" s="285"/>
      <c r="P158" s="285"/>
      <c r="Q158" s="285"/>
      <c r="R158" s="285"/>
      <c r="S158" s="285"/>
      <c r="T158" s="348" t="s">
        <v>124</v>
      </c>
      <c r="U158" s="288"/>
      <c r="V158" s="5"/>
    </row>
    <row r="159" spans="1:23" ht="15.6" x14ac:dyDescent="0.3">
      <c r="A159" s="175"/>
      <c r="B159" s="334"/>
      <c r="C159" s="334"/>
      <c r="D159" s="334"/>
      <c r="E159" s="334"/>
      <c r="F159" s="334"/>
      <c r="G159" s="334"/>
      <c r="H159" s="334"/>
      <c r="I159" s="334"/>
      <c r="J159" s="334"/>
      <c r="K159" s="334"/>
      <c r="L159" s="334"/>
      <c r="M159" s="334"/>
      <c r="N159" s="334"/>
      <c r="O159" s="334"/>
      <c r="P159" s="334"/>
      <c r="Q159" s="334"/>
      <c r="R159" s="334"/>
      <c r="S159" s="334"/>
      <c r="T159" s="347"/>
      <c r="U159" s="334"/>
      <c r="V159" s="5"/>
    </row>
    <row r="160" spans="1:23" ht="15.6" x14ac:dyDescent="0.3">
      <c r="A160" s="175"/>
      <c r="B160" s="201" t="s">
        <v>52</v>
      </c>
      <c r="C160" s="177"/>
      <c r="D160" s="177"/>
      <c r="E160" s="177"/>
      <c r="F160" s="177"/>
      <c r="G160" s="177"/>
      <c r="H160" s="177"/>
      <c r="I160" s="177"/>
      <c r="J160" s="177"/>
      <c r="K160" s="177"/>
      <c r="L160" s="177"/>
      <c r="M160" s="177"/>
      <c r="N160" s="177"/>
      <c r="O160" s="177"/>
      <c r="P160" s="177"/>
      <c r="Q160" s="177"/>
      <c r="R160" s="177"/>
      <c r="S160" s="177"/>
      <c r="T160" s="202"/>
      <c r="U160" s="177"/>
      <c r="V160" s="5"/>
    </row>
    <row r="161" spans="1:22" ht="15.6" x14ac:dyDescent="0.3">
      <c r="A161" s="284"/>
      <c r="B161" s="285" t="s">
        <v>53</v>
      </c>
      <c r="C161" s="285"/>
      <c r="D161" s="285"/>
      <c r="E161" s="285"/>
      <c r="F161" s="285"/>
      <c r="G161" s="285"/>
      <c r="H161" s="285"/>
      <c r="I161" s="285"/>
      <c r="J161" s="285"/>
      <c r="K161" s="285"/>
      <c r="L161" s="285"/>
      <c r="M161" s="285"/>
      <c r="N161" s="285"/>
      <c r="O161" s="285"/>
      <c r="P161" s="285"/>
      <c r="Q161" s="285"/>
      <c r="R161" s="285"/>
      <c r="S161" s="285"/>
      <c r="T161" s="339">
        <v>0</v>
      </c>
      <c r="U161" s="288"/>
      <c r="V161" s="5"/>
    </row>
    <row r="162" spans="1:22" ht="15.6" x14ac:dyDescent="0.3">
      <c r="A162" s="284"/>
      <c r="B162" s="285" t="s">
        <v>54</v>
      </c>
      <c r="C162" s="285"/>
      <c r="D162" s="285"/>
      <c r="E162" s="285"/>
      <c r="F162" s="285"/>
      <c r="G162" s="285"/>
      <c r="H162" s="285"/>
      <c r="I162" s="285"/>
      <c r="J162" s="285"/>
      <c r="K162" s="285"/>
      <c r="L162" s="285"/>
      <c r="M162" s="285"/>
      <c r="N162" s="285"/>
      <c r="O162" s="285"/>
      <c r="P162" s="285"/>
      <c r="Q162" s="285"/>
      <c r="R162" s="285"/>
      <c r="S162" s="285"/>
      <c r="T162" s="339">
        <f>R113</f>
        <v>61</v>
      </c>
      <c r="U162" s="288"/>
      <c r="V162" s="5"/>
    </row>
    <row r="163" spans="1:22" ht="15.6" x14ac:dyDescent="0.3">
      <c r="A163" s="284"/>
      <c r="B163" s="285" t="s">
        <v>55</v>
      </c>
      <c r="C163" s="285"/>
      <c r="D163" s="285"/>
      <c r="E163" s="285"/>
      <c r="F163" s="285"/>
      <c r="G163" s="285"/>
      <c r="H163" s="285"/>
      <c r="I163" s="285"/>
      <c r="J163" s="285"/>
      <c r="K163" s="285"/>
      <c r="L163" s="285"/>
      <c r="M163" s="285"/>
      <c r="N163" s="285"/>
      <c r="O163" s="285"/>
      <c r="P163" s="285"/>
      <c r="Q163" s="285"/>
      <c r="R163" s="285"/>
      <c r="S163" s="285"/>
      <c r="T163" s="339">
        <f>T162+T161</f>
        <v>61</v>
      </c>
      <c r="U163" s="288"/>
      <c r="V163" s="5"/>
    </row>
    <row r="164" spans="1:22" ht="15.6" x14ac:dyDescent="0.3">
      <c r="A164" s="284"/>
      <c r="B164" s="285" t="s">
        <v>301</v>
      </c>
      <c r="C164" s="285"/>
      <c r="D164" s="285"/>
      <c r="E164" s="285"/>
      <c r="F164" s="285"/>
      <c r="G164" s="285"/>
      <c r="H164" s="285"/>
      <c r="I164" s="285"/>
      <c r="J164" s="285"/>
      <c r="K164" s="285"/>
      <c r="L164" s="285"/>
      <c r="M164" s="285"/>
      <c r="N164" s="285"/>
      <c r="O164" s="285"/>
      <c r="P164" s="285"/>
      <c r="Q164" s="285"/>
      <c r="R164" s="285"/>
      <c r="S164" s="285"/>
      <c r="T164" s="339">
        <f>T113</f>
        <v>-61</v>
      </c>
      <c r="U164" s="288"/>
      <c r="V164" s="5"/>
    </row>
    <row r="165" spans="1:22" ht="15.6" x14ac:dyDescent="0.3">
      <c r="A165" s="284"/>
      <c r="B165" s="285" t="s">
        <v>56</v>
      </c>
      <c r="C165" s="285"/>
      <c r="D165" s="285"/>
      <c r="E165" s="285"/>
      <c r="F165" s="285"/>
      <c r="G165" s="285"/>
      <c r="H165" s="285"/>
      <c r="I165" s="285"/>
      <c r="J165" s="285"/>
      <c r="K165" s="285"/>
      <c r="L165" s="285"/>
      <c r="M165" s="285"/>
      <c r="N165" s="285"/>
      <c r="O165" s="285"/>
      <c r="P165" s="285"/>
      <c r="Q165" s="285"/>
      <c r="R165" s="285"/>
      <c r="S165" s="285"/>
      <c r="T165" s="339">
        <f>T163+T164</f>
        <v>0</v>
      </c>
      <c r="U165" s="288"/>
      <c r="V165" s="5"/>
    </row>
    <row r="166" spans="1:22" ht="15.6" x14ac:dyDescent="0.3">
      <c r="A166" s="284"/>
      <c r="B166" s="285" t="s">
        <v>273</v>
      </c>
      <c r="C166" s="285"/>
      <c r="D166" s="285"/>
      <c r="E166" s="285"/>
      <c r="F166" s="285"/>
      <c r="G166" s="285"/>
      <c r="H166" s="285"/>
      <c r="I166" s="285"/>
      <c r="J166" s="285"/>
      <c r="K166" s="285"/>
      <c r="L166" s="285"/>
      <c r="M166" s="285"/>
      <c r="N166" s="285"/>
      <c r="O166" s="285"/>
      <c r="P166" s="285"/>
      <c r="Q166" s="285"/>
      <c r="R166" s="285"/>
      <c r="S166" s="285"/>
      <c r="T166" s="339">
        <f>-T99</f>
        <v>28</v>
      </c>
      <c r="U166" s="288"/>
      <c r="V166" s="5"/>
    </row>
    <row r="167" spans="1:22" ht="16.2" thickBot="1" x14ac:dyDescent="0.35">
      <c r="A167" s="175"/>
      <c r="B167" s="334"/>
      <c r="C167" s="334"/>
      <c r="D167" s="334"/>
      <c r="E167" s="334"/>
      <c r="F167" s="334"/>
      <c r="G167" s="334"/>
      <c r="H167" s="334"/>
      <c r="I167" s="334"/>
      <c r="J167" s="334"/>
      <c r="K167" s="334"/>
      <c r="L167" s="334"/>
      <c r="M167" s="334"/>
      <c r="N167" s="334"/>
      <c r="O167" s="334"/>
      <c r="P167" s="334"/>
      <c r="Q167" s="334"/>
      <c r="R167" s="334"/>
      <c r="S167" s="334"/>
      <c r="T167" s="347"/>
      <c r="U167" s="334"/>
      <c r="V167" s="5"/>
    </row>
    <row r="168" spans="1:22" ht="15.6" x14ac:dyDescent="0.3">
      <c r="A168" s="173"/>
      <c r="B168" s="174"/>
      <c r="C168" s="174"/>
      <c r="D168" s="174"/>
      <c r="E168" s="174"/>
      <c r="F168" s="174"/>
      <c r="G168" s="174"/>
      <c r="H168" s="174"/>
      <c r="I168" s="174"/>
      <c r="J168" s="174"/>
      <c r="K168" s="174"/>
      <c r="L168" s="174"/>
      <c r="M168" s="174"/>
      <c r="N168" s="174"/>
      <c r="O168" s="174"/>
      <c r="P168" s="174"/>
      <c r="Q168" s="174"/>
      <c r="R168" s="174"/>
      <c r="S168" s="174"/>
      <c r="T168" s="193"/>
      <c r="U168" s="174"/>
      <c r="V168" s="5"/>
    </row>
    <row r="169" spans="1:22" ht="15.6" x14ac:dyDescent="0.3">
      <c r="A169" s="175"/>
      <c r="B169" s="201" t="s">
        <v>57</v>
      </c>
      <c r="C169" s="177"/>
      <c r="D169" s="177"/>
      <c r="E169" s="177"/>
      <c r="F169" s="177"/>
      <c r="G169" s="177"/>
      <c r="H169" s="177"/>
      <c r="I169" s="177"/>
      <c r="J169" s="177"/>
      <c r="K169" s="177"/>
      <c r="L169" s="177"/>
      <c r="M169" s="177"/>
      <c r="N169" s="177"/>
      <c r="O169" s="177"/>
      <c r="P169" s="177"/>
      <c r="Q169" s="177"/>
      <c r="R169" s="177"/>
      <c r="S169" s="177"/>
      <c r="T169" s="194"/>
      <c r="U169" s="177"/>
      <c r="V169" s="5"/>
    </row>
    <row r="170" spans="1:22" ht="15.6" x14ac:dyDescent="0.3">
      <c r="A170" s="175"/>
      <c r="B170" s="187"/>
      <c r="C170" s="177"/>
      <c r="D170" s="177"/>
      <c r="E170" s="177"/>
      <c r="F170" s="177"/>
      <c r="G170" s="177"/>
      <c r="H170" s="177"/>
      <c r="I170" s="177"/>
      <c r="J170" s="177"/>
      <c r="K170" s="177"/>
      <c r="L170" s="177"/>
      <c r="M170" s="177"/>
      <c r="N170" s="177"/>
      <c r="O170" s="177"/>
      <c r="P170" s="177"/>
      <c r="Q170" s="177"/>
      <c r="R170" s="177"/>
      <c r="S170" s="177"/>
      <c r="T170" s="194"/>
      <c r="U170" s="177"/>
      <c r="V170" s="5"/>
    </row>
    <row r="171" spans="1:22" ht="15.6" x14ac:dyDescent="0.3">
      <c r="A171" s="284"/>
      <c r="B171" s="285" t="s">
        <v>58</v>
      </c>
      <c r="C171" s="285"/>
      <c r="D171" s="285"/>
      <c r="E171" s="285"/>
      <c r="F171" s="285"/>
      <c r="G171" s="285"/>
      <c r="H171" s="285"/>
      <c r="I171" s="285"/>
      <c r="J171" s="285"/>
      <c r="K171" s="285"/>
      <c r="L171" s="285"/>
      <c r="M171" s="285"/>
      <c r="N171" s="285"/>
      <c r="O171" s="285"/>
      <c r="P171" s="285"/>
      <c r="Q171" s="285"/>
      <c r="R171" s="285"/>
      <c r="S171" s="285"/>
      <c r="T171" s="339">
        <f>T71</f>
        <v>547726</v>
      </c>
      <c r="U171" s="288"/>
      <c r="V171" s="5"/>
    </row>
    <row r="172" spans="1:22" ht="15.6" x14ac:dyDescent="0.3">
      <c r="A172" s="284"/>
      <c r="B172" s="285" t="s">
        <v>59</v>
      </c>
      <c r="C172" s="285"/>
      <c r="D172" s="285"/>
      <c r="E172" s="285"/>
      <c r="F172" s="285"/>
      <c r="G172" s="285"/>
      <c r="H172" s="285"/>
      <c r="I172" s="285"/>
      <c r="J172" s="285"/>
      <c r="K172" s="285"/>
      <c r="L172" s="285"/>
      <c r="M172" s="285"/>
      <c r="N172" s="285"/>
      <c r="O172" s="285"/>
      <c r="P172" s="285"/>
      <c r="Q172" s="285"/>
      <c r="R172" s="285"/>
      <c r="S172" s="285"/>
      <c r="T172" s="339">
        <f>T84</f>
        <v>547726</v>
      </c>
      <c r="U172" s="288"/>
      <c r="V172" s="5"/>
    </row>
    <row r="173" spans="1:22" ht="16.2" thickBot="1" x14ac:dyDescent="0.35">
      <c r="A173" s="175"/>
      <c r="B173" s="334"/>
      <c r="C173" s="334"/>
      <c r="D173" s="334"/>
      <c r="E173" s="334"/>
      <c r="F173" s="334"/>
      <c r="G173" s="334"/>
      <c r="H173" s="334"/>
      <c r="I173" s="334"/>
      <c r="J173" s="334"/>
      <c r="K173" s="334"/>
      <c r="L173" s="334"/>
      <c r="M173" s="334"/>
      <c r="N173" s="334"/>
      <c r="O173" s="334"/>
      <c r="P173" s="334"/>
      <c r="Q173" s="334"/>
      <c r="R173" s="334"/>
      <c r="S173" s="334"/>
      <c r="T173" s="347"/>
      <c r="U173" s="334"/>
      <c r="V173" s="5"/>
    </row>
    <row r="174" spans="1:22" ht="15.6" x14ac:dyDescent="0.3">
      <c r="A174" s="173"/>
      <c r="B174" s="174"/>
      <c r="C174" s="174"/>
      <c r="D174" s="174"/>
      <c r="E174" s="174"/>
      <c r="F174" s="174"/>
      <c r="G174" s="174"/>
      <c r="H174" s="174"/>
      <c r="I174" s="174"/>
      <c r="J174" s="174"/>
      <c r="K174" s="174"/>
      <c r="L174" s="174"/>
      <c r="M174" s="174"/>
      <c r="N174" s="174"/>
      <c r="O174" s="174"/>
      <c r="P174" s="174"/>
      <c r="Q174" s="174"/>
      <c r="R174" s="174"/>
      <c r="S174" s="174"/>
      <c r="T174" s="193"/>
      <c r="U174" s="174"/>
      <c r="V174" s="5"/>
    </row>
    <row r="175" spans="1:22" ht="15.6" x14ac:dyDescent="0.3">
      <c r="A175" s="175"/>
      <c r="B175" s="201" t="s">
        <v>60</v>
      </c>
      <c r="C175" s="198"/>
      <c r="D175" s="198"/>
      <c r="E175" s="198"/>
      <c r="F175" s="198"/>
      <c r="G175" s="198"/>
      <c r="H175" s="203"/>
      <c r="I175" s="203"/>
      <c r="J175" s="203"/>
      <c r="K175" s="203"/>
      <c r="L175" s="203"/>
      <c r="M175" s="203"/>
      <c r="N175" s="203"/>
      <c r="O175" s="203"/>
      <c r="P175" s="203"/>
      <c r="Q175" s="203" t="s">
        <v>104</v>
      </c>
      <c r="R175" s="203" t="s">
        <v>183</v>
      </c>
      <c r="S175" s="179"/>
      <c r="T175" s="204" t="s">
        <v>120</v>
      </c>
      <c r="U175" s="205"/>
      <c r="V175" s="5"/>
    </row>
    <row r="176" spans="1:22" ht="15.6" x14ac:dyDescent="0.3">
      <c r="A176" s="284"/>
      <c r="B176" s="285" t="s">
        <v>61</v>
      </c>
      <c r="C176" s="285"/>
      <c r="D176" s="285"/>
      <c r="E176" s="285"/>
      <c r="F176" s="285"/>
      <c r="G176" s="285"/>
      <c r="H176" s="285"/>
      <c r="I176" s="285"/>
      <c r="J176" s="285"/>
      <c r="K176" s="285"/>
      <c r="L176" s="285"/>
      <c r="M176" s="285"/>
      <c r="N176" s="285"/>
      <c r="O176" s="285"/>
      <c r="P176" s="285"/>
      <c r="Q176" s="339">
        <v>160008</v>
      </c>
      <c r="R176" s="324"/>
      <c r="S176" s="285"/>
      <c r="T176" s="339"/>
      <c r="U176" s="288"/>
      <c r="V176" s="5"/>
    </row>
    <row r="177" spans="1:22" ht="15.6" x14ac:dyDescent="0.3">
      <c r="A177" s="284"/>
      <c r="B177" s="285" t="s">
        <v>62</v>
      </c>
      <c r="C177" s="285"/>
      <c r="D177" s="285"/>
      <c r="E177" s="285"/>
      <c r="F177" s="285"/>
      <c r="G177" s="285"/>
      <c r="H177" s="285"/>
      <c r="I177" s="285"/>
      <c r="J177" s="285"/>
      <c r="K177" s="285"/>
      <c r="L177" s="285"/>
      <c r="M177" s="285"/>
      <c r="N177" s="285"/>
      <c r="O177" s="285"/>
      <c r="P177" s="285"/>
      <c r="Q177" s="339">
        <f>+'Dec 12'!Q178</f>
        <v>37136</v>
      </c>
      <c r="R177" s="339">
        <f>+'Dec 12'!R178</f>
        <v>3447</v>
      </c>
      <c r="S177" s="285"/>
      <c r="T177" s="339">
        <f>Q177+R177</f>
        <v>40583</v>
      </c>
      <c r="U177" s="288"/>
      <c r="V177" s="5"/>
    </row>
    <row r="178" spans="1:22" ht="15.6" x14ac:dyDescent="0.3">
      <c r="A178" s="284"/>
      <c r="B178" s="285" t="s">
        <v>63</v>
      </c>
      <c r="C178" s="285"/>
      <c r="D178" s="285"/>
      <c r="E178" s="285"/>
      <c r="F178" s="285"/>
      <c r="G178" s="285"/>
      <c r="H178" s="285"/>
      <c r="I178" s="285"/>
      <c r="J178" s="285"/>
      <c r="K178" s="285"/>
      <c r="L178" s="285"/>
      <c r="M178" s="285"/>
      <c r="N178" s="285"/>
      <c r="O178" s="285"/>
      <c r="P178" s="285"/>
      <c r="Q178" s="338">
        <f>52+6</f>
        <v>58</v>
      </c>
      <c r="R178" s="338">
        <v>0</v>
      </c>
      <c r="S178" s="285"/>
      <c r="T178" s="339">
        <f>Q178+R178</f>
        <v>58</v>
      </c>
      <c r="U178" s="288"/>
      <c r="V178" s="5"/>
    </row>
    <row r="179" spans="1:22" ht="15.6" x14ac:dyDescent="0.3">
      <c r="A179" s="284"/>
      <c r="B179" s="285" t="s">
        <v>64</v>
      </c>
      <c r="C179" s="285"/>
      <c r="D179" s="285"/>
      <c r="E179" s="285"/>
      <c r="F179" s="285"/>
      <c r="G179" s="285"/>
      <c r="H179" s="285"/>
      <c r="I179" s="285"/>
      <c r="J179" s="285"/>
      <c r="K179" s="285"/>
      <c r="L179" s="285"/>
      <c r="M179" s="285"/>
      <c r="N179" s="285"/>
      <c r="O179" s="285"/>
      <c r="P179" s="285"/>
      <c r="Q179" s="339">
        <f>Q177+Q178</f>
        <v>37194</v>
      </c>
      <c r="R179" s="339">
        <f>R178+R177</f>
        <v>3447</v>
      </c>
      <c r="S179" s="285"/>
      <c r="T179" s="339">
        <f>Q179+R179</f>
        <v>40641</v>
      </c>
      <c r="U179" s="288"/>
      <c r="V179" s="5"/>
    </row>
    <row r="180" spans="1:22" ht="15.6" x14ac:dyDescent="0.3">
      <c r="A180" s="284"/>
      <c r="B180" s="285" t="s">
        <v>65</v>
      </c>
      <c r="C180" s="285"/>
      <c r="D180" s="285"/>
      <c r="E180" s="285"/>
      <c r="F180" s="285"/>
      <c r="G180" s="285"/>
      <c r="H180" s="285"/>
      <c r="I180" s="285"/>
      <c r="J180" s="285"/>
      <c r="K180" s="285"/>
      <c r="L180" s="285"/>
      <c r="M180" s="285"/>
      <c r="N180" s="285"/>
      <c r="O180" s="285"/>
      <c r="P180" s="285"/>
      <c r="Q180" s="339">
        <f>Q176-Q179-R179</f>
        <v>119367</v>
      </c>
      <c r="R180" s="324"/>
      <c r="S180" s="285"/>
      <c r="T180" s="339"/>
      <c r="U180" s="288"/>
      <c r="V180" s="5"/>
    </row>
    <row r="181" spans="1:22" ht="16.2" thickBot="1" x14ac:dyDescent="0.35">
      <c r="A181" s="175"/>
      <c r="B181" s="334"/>
      <c r="C181" s="334"/>
      <c r="D181" s="334"/>
      <c r="E181" s="334"/>
      <c r="F181" s="334"/>
      <c r="G181" s="334"/>
      <c r="H181" s="334"/>
      <c r="I181" s="334"/>
      <c r="J181" s="334"/>
      <c r="K181" s="334"/>
      <c r="L181" s="334"/>
      <c r="M181" s="334"/>
      <c r="N181" s="334"/>
      <c r="O181" s="334"/>
      <c r="P181" s="334"/>
      <c r="Q181" s="334"/>
      <c r="R181" s="334"/>
      <c r="S181" s="334"/>
      <c r="T181" s="347"/>
      <c r="U181" s="334"/>
      <c r="V181" s="5"/>
    </row>
    <row r="182" spans="1:22" ht="15.6" x14ac:dyDescent="0.3">
      <c r="A182" s="173"/>
      <c r="B182" s="174"/>
      <c r="C182" s="174"/>
      <c r="D182" s="174"/>
      <c r="E182" s="174"/>
      <c r="F182" s="174"/>
      <c r="G182" s="174"/>
      <c r="H182" s="174"/>
      <c r="I182" s="174"/>
      <c r="J182" s="174"/>
      <c r="K182" s="174"/>
      <c r="L182" s="174"/>
      <c r="M182" s="174"/>
      <c r="N182" s="174"/>
      <c r="O182" s="174"/>
      <c r="P182" s="174"/>
      <c r="Q182" s="174"/>
      <c r="R182" s="174"/>
      <c r="S182" s="174"/>
      <c r="T182" s="193"/>
      <c r="U182" s="174"/>
      <c r="V182" s="5"/>
    </row>
    <row r="183" spans="1:22" ht="15.6" x14ac:dyDescent="0.3">
      <c r="A183" s="175"/>
      <c r="B183" s="201" t="s">
        <v>66</v>
      </c>
      <c r="C183" s="177"/>
      <c r="D183" s="177"/>
      <c r="E183" s="177"/>
      <c r="F183" s="177"/>
      <c r="G183" s="177"/>
      <c r="H183" s="177"/>
      <c r="I183" s="177"/>
      <c r="J183" s="177"/>
      <c r="K183" s="177"/>
      <c r="L183" s="177"/>
      <c r="M183" s="177"/>
      <c r="N183" s="177"/>
      <c r="O183" s="177"/>
      <c r="P183" s="177"/>
      <c r="Q183" s="177"/>
      <c r="R183" s="177"/>
      <c r="S183" s="177"/>
      <c r="T183" s="206"/>
      <c r="U183" s="177"/>
      <c r="V183" s="5"/>
    </row>
    <row r="184" spans="1:22" ht="15.6" x14ac:dyDescent="0.3">
      <c r="A184" s="284"/>
      <c r="B184" s="285" t="s">
        <v>67</v>
      </c>
      <c r="C184" s="285"/>
      <c r="D184" s="285"/>
      <c r="E184" s="285"/>
      <c r="F184" s="285"/>
      <c r="G184" s="285"/>
      <c r="H184" s="285"/>
      <c r="I184" s="285"/>
      <c r="J184" s="285"/>
      <c r="K184" s="285"/>
      <c r="L184" s="285"/>
      <c r="M184" s="285"/>
      <c r="N184" s="285"/>
      <c r="O184" s="285"/>
      <c r="P184" s="285"/>
      <c r="Q184" s="285"/>
      <c r="R184" s="285"/>
      <c r="S184" s="285"/>
      <c r="T184" s="348">
        <f>(T100+T102+T103+T104+T105)/-(T106+T107)</f>
        <v>4.3942446043165466</v>
      </c>
      <c r="U184" s="288" t="s">
        <v>121</v>
      </c>
      <c r="V184" s="5"/>
    </row>
    <row r="185" spans="1:22" ht="15.6" x14ac:dyDescent="0.3">
      <c r="A185" s="284"/>
      <c r="B185" s="285" t="s">
        <v>68</v>
      </c>
      <c r="C185" s="285"/>
      <c r="D185" s="285"/>
      <c r="E185" s="285"/>
      <c r="F185" s="285"/>
      <c r="G185" s="285"/>
      <c r="H185" s="285"/>
      <c r="I185" s="285"/>
      <c r="J185" s="285"/>
      <c r="K185" s="285"/>
      <c r="L185" s="285"/>
      <c r="M185" s="285"/>
      <c r="N185" s="285"/>
      <c r="O185" s="285"/>
      <c r="P185" s="285"/>
      <c r="Q185" s="285"/>
      <c r="R185" s="285"/>
      <c r="S185" s="285"/>
      <c r="T185" s="349">
        <v>1.68</v>
      </c>
      <c r="U185" s="288" t="s">
        <v>121</v>
      </c>
      <c r="V185" s="5"/>
    </row>
    <row r="186" spans="1:22" ht="15.6" x14ac:dyDescent="0.3">
      <c r="A186" s="284"/>
      <c r="B186" s="285" t="s">
        <v>69</v>
      </c>
      <c r="C186" s="285"/>
      <c r="D186" s="285"/>
      <c r="E186" s="285"/>
      <c r="F186" s="285"/>
      <c r="G186" s="285"/>
      <c r="H186" s="285"/>
      <c r="I186" s="285"/>
      <c r="J186" s="285"/>
      <c r="K186" s="285"/>
      <c r="L186" s="285"/>
      <c r="M186" s="285"/>
      <c r="N186" s="285"/>
      <c r="O186" s="285"/>
      <c r="P186" s="285"/>
      <c r="Q186" s="285"/>
      <c r="R186" s="285"/>
      <c r="S186" s="285"/>
      <c r="T186" s="348">
        <f>(T100+T102+T103+T104+T105+T106+T107)/-(T108+T109)</f>
        <v>13.033149171270718</v>
      </c>
      <c r="U186" s="288" t="s">
        <v>121</v>
      </c>
      <c r="V186" s="5"/>
    </row>
    <row r="187" spans="1:22" ht="15.6" x14ac:dyDescent="0.3">
      <c r="A187" s="284"/>
      <c r="B187" s="285" t="s">
        <v>70</v>
      </c>
      <c r="C187" s="285"/>
      <c r="D187" s="285"/>
      <c r="E187" s="285"/>
      <c r="F187" s="285"/>
      <c r="G187" s="285"/>
      <c r="H187" s="285"/>
      <c r="I187" s="285"/>
      <c r="J187" s="285"/>
      <c r="K187" s="285"/>
      <c r="L187" s="285"/>
      <c r="M187" s="285"/>
      <c r="N187" s="285"/>
      <c r="O187" s="285"/>
      <c r="P187" s="285"/>
      <c r="Q187" s="285"/>
      <c r="R187" s="285"/>
      <c r="S187" s="285"/>
      <c r="T187" s="349">
        <v>5.87</v>
      </c>
      <c r="U187" s="288" t="s">
        <v>121</v>
      </c>
      <c r="V187" s="5"/>
    </row>
    <row r="188" spans="1:22" ht="15.6" x14ac:dyDescent="0.3">
      <c r="A188" s="284"/>
      <c r="B188" s="285" t="s">
        <v>206</v>
      </c>
      <c r="C188" s="285"/>
      <c r="D188" s="285"/>
      <c r="E188" s="285"/>
      <c r="F188" s="285"/>
      <c r="G188" s="285"/>
      <c r="H188" s="285"/>
      <c r="I188" s="285"/>
      <c r="J188" s="285"/>
      <c r="K188" s="285"/>
      <c r="L188" s="285"/>
      <c r="M188" s="285"/>
      <c r="N188" s="285"/>
      <c r="O188" s="285"/>
      <c r="P188" s="285"/>
      <c r="Q188" s="285"/>
      <c r="R188" s="285"/>
      <c r="S188" s="285"/>
      <c r="T188" s="348">
        <f>(T100+T102+T103+T104+T105+T106+T107+T108+T109)/-(T110)</f>
        <v>9.8552036199095028</v>
      </c>
      <c r="U188" s="288" t="s">
        <v>121</v>
      </c>
      <c r="V188" s="5"/>
    </row>
    <row r="189" spans="1:22" ht="15.6" x14ac:dyDescent="0.3">
      <c r="A189" s="284"/>
      <c r="B189" s="285" t="s">
        <v>207</v>
      </c>
      <c r="C189" s="285"/>
      <c r="D189" s="285"/>
      <c r="E189" s="285"/>
      <c r="F189" s="285"/>
      <c r="G189" s="285"/>
      <c r="H189" s="285"/>
      <c r="I189" s="285"/>
      <c r="J189" s="285"/>
      <c r="K189" s="285"/>
      <c r="L189" s="285"/>
      <c r="M189" s="285"/>
      <c r="N189" s="285"/>
      <c r="O189" s="285"/>
      <c r="P189" s="285"/>
      <c r="Q189" s="285"/>
      <c r="R189" s="285"/>
      <c r="S189" s="285"/>
      <c r="T189" s="349">
        <v>5.35</v>
      </c>
      <c r="U189" s="288" t="s">
        <v>121</v>
      </c>
      <c r="V189" s="5"/>
    </row>
    <row r="190" spans="1:22" ht="15.6" x14ac:dyDescent="0.3">
      <c r="A190" s="284"/>
      <c r="B190" s="311"/>
      <c r="C190" s="311"/>
      <c r="D190" s="311"/>
      <c r="E190" s="311"/>
      <c r="F190" s="311"/>
      <c r="G190" s="311"/>
      <c r="H190" s="311"/>
      <c r="I190" s="311"/>
      <c r="J190" s="311"/>
      <c r="K190" s="311"/>
      <c r="L190" s="311"/>
      <c r="M190" s="311"/>
      <c r="N190" s="311"/>
      <c r="O190" s="311"/>
      <c r="P190" s="311"/>
      <c r="Q190" s="311"/>
      <c r="R190" s="311"/>
      <c r="S190" s="311"/>
      <c r="T190" s="311"/>
      <c r="U190" s="317"/>
      <c r="V190" s="5"/>
    </row>
    <row r="191" spans="1:22" ht="15.6" x14ac:dyDescent="0.3">
      <c r="A191" s="175"/>
      <c r="B191" s="334"/>
      <c r="C191" s="334"/>
      <c r="D191" s="334"/>
      <c r="E191" s="334"/>
      <c r="F191" s="334"/>
      <c r="G191" s="334"/>
      <c r="H191" s="334"/>
      <c r="I191" s="334"/>
      <c r="J191" s="334"/>
      <c r="K191" s="334"/>
      <c r="L191" s="334"/>
      <c r="M191" s="334"/>
      <c r="N191" s="334"/>
      <c r="O191" s="334"/>
      <c r="P191" s="334"/>
      <c r="Q191" s="334"/>
      <c r="R191" s="334"/>
      <c r="S191" s="334"/>
      <c r="T191" s="334"/>
      <c r="U191" s="334"/>
      <c r="V191" s="5"/>
    </row>
    <row r="192" spans="1:22" ht="15.6" x14ac:dyDescent="0.3">
      <c r="A192" s="175"/>
      <c r="B192" s="177"/>
      <c r="C192" s="177"/>
      <c r="D192" s="177"/>
      <c r="E192" s="177"/>
      <c r="F192" s="177"/>
      <c r="G192" s="177"/>
      <c r="H192" s="177"/>
      <c r="I192" s="177"/>
      <c r="J192" s="177"/>
      <c r="K192" s="177"/>
      <c r="L192" s="177"/>
      <c r="M192" s="177"/>
      <c r="N192" s="177"/>
      <c r="O192" s="177"/>
      <c r="P192" s="177"/>
      <c r="Q192" s="177"/>
      <c r="R192" s="177"/>
      <c r="S192" s="177"/>
      <c r="T192" s="177"/>
      <c r="U192" s="177"/>
      <c r="V192" s="5"/>
    </row>
    <row r="193" spans="1:22" ht="18" thickBot="1" x14ac:dyDescent="0.35">
      <c r="A193" s="192"/>
      <c r="B193" s="246" t="str">
        <f>B133</f>
        <v>PM11 INVESTOR REPORT QUARTER ENDING MARCH 2013</v>
      </c>
      <c r="C193" s="207"/>
      <c r="D193" s="207"/>
      <c r="E193" s="207"/>
      <c r="F193" s="207"/>
      <c r="G193" s="207"/>
      <c r="H193" s="207"/>
      <c r="I193" s="207"/>
      <c r="J193" s="207"/>
      <c r="K193" s="207"/>
      <c r="L193" s="207"/>
      <c r="M193" s="207"/>
      <c r="N193" s="207"/>
      <c r="O193" s="207"/>
      <c r="P193" s="207"/>
      <c r="Q193" s="207"/>
      <c r="R193" s="207"/>
      <c r="S193" s="207"/>
      <c r="T193" s="207"/>
      <c r="U193" s="208"/>
      <c r="V193" s="5"/>
    </row>
    <row r="194" spans="1:22" ht="15.6" x14ac:dyDescent="0.3">
      <c r="A194" s="260"/>
      <c r="B194" s="399" t="s">
        <v>71</v>
      </c>
      <c r="C194" s="400"/>
      <c r="D194" s="400"/>
      <c r="E194" s="400"/>
      <c r="F194" s="400"/>
      <c r="G194" s="401"/>
      <c r="H194" s="401"/>
      <c r="I194" s="401"/>
      <c r="J194" s="401"/>
      <c r="K194" s="401"/>
      <c r="L194" s="401"/>
      <c r="M194" s="401"/>
      <c r="N194" s="401"/>
      <c r="O194" s="401"/>
      <c r="P194" s="401"/>
      <c r="Q194" s="401"/>
      <c r="R194" s="401">
        <v>41361</v>
      </c>
      <c r="S194" s="261"/>
      <c r="T194" s="261"/>
      <c r="U194" s="261"/>
      <c r="V194" s="5"/>
    </row>
    <row r="195" spans="1:22" ht="15.6" x14ac:dyDescent="0.3">
      <c r="A195" s="209"/>
      <c r="B195" s="210"/>
      <c r="C195" s="211"/>
      <c r="D195" s="211"/>
      <c r="E195" s="211"/>
      <c r="F195" s="211"/>
      <c r="G195" s="212"/>
      <c r="H195" s="212"/>
      <c r="I195" s="212"/>
      <c r="J195" s="212"/>
      <c r="K195" s="212"/>
      <c r="L195" s="212"/>
      <c r="M195" s="212"/>
      <c r="N195" s="212"/>
      <c r="O195" s="212"/>
      <c r="P195" s="212"/>
      <c r="Q195" s="212"/>
      <c r="R195" s="212"/>
      <c r="S195" s="177"/>
      <c r="T195" s="177"/>
      <c r="U195" s="177"/>
      <c r="V195" s="5"/>
    </row>
    <row r="196" spans="1:22" ht="15.6" x14ac:dyDescent="0.3">
      <c r="A196" s="352"/>
      <c r="B196" s="285" t="s">
        <v>72</v>
      </c>
      <c r="C196" s="353"/>
      <c r="D196" s="353"/>
      <c r="E196" s="353"/>
      <c r="F196" s="353"/>
      <c r="G196" s="329"/>
      <c r="H196" s="329"/>
      <c r="I196" s="329"/>
      <c r="J196" s="329"/>
      <c r="K196" s="329"/>
      <c r="L196" s="329"/>
      <c r="M196" s="329"/>
      <c r="N196" s="329"/>
      <c r="O196" s="329"/>
      <c r="P196" s="329"/>
      <c r="Q196" s="329"/>
      <c r="R196" s="320">
        <v>5.1569999999999998E-2</v>
      </c>
      <c r="S196" s="285"/>
      <c r="T196" s="285"/>
      <c r="U196" s="317"/>
      <c r="V196" s="5"/>
    </row>
    <row r="197" spans="1:22" ht="15.6" x14ac:dyDescent="0.3">
      <c r="A197" s="352"/>
      <c r="B197" s="285" t="s">
        <v>157</v>
      </c>
      <c r="C197" s="353"/>
      <c r="D197" s="353"/>
      <c r="E197" s="353"/>
      <c r="F197" s="353"/>
      <c r="G197" s="329"/>
      <c r="H197" s="329"/>
      <c r="I197" s="329"/>
      <c r="J197" s="329"/>
      <c r="K197" s="329"/>
      <c r="L197" s="329"/>
      <c r="M197" s="329"/>
      <c r="N197" s="329"/>
      <c r="O197" s="329"/>
      <c r="P197" s="329"/>
      <c r="Q197" s="329"/>
      <c r="R197" s="320">
        <v>4.6899999999999997E-2</v>
      </c>
      <c r="S197" s="285"/>
      <c r="T197" s="285"/>
      <c r="U197" s="317"/>
      <c r="V197" s="5"/>
    </row>
    <row r="198" spans="1:22" ht="15.6" x14ac:dyDescent="0.3">
      <c r="A198" s="352"/>
      <c r="B198" s="285" t="s">
        <v>73</v>
      </c>
      <c r="C198" s="353"/>
      <c r="D198" s="353"/>
      <c r="E198" s="353"/>
      <c r="F198" s="353"/>
      <c r="G198" s="329"/>
      <c r="H198" s="329"/>
      <c r="I198" s="329"/>
      <c r="J198" s="329"/>
      <c r="K198" s="329"/>
      <c r="L198" s="329"/>
      <c r="M198" s="329"/>
      <c r="N198" s="329"/>
      <c r="O198" s="329"/>
      <c r="P198" s="329"/>
      <c r="Q198" s="329"/>
      <c r="R198" s="320">
        <f>R196-R197</f>
        <v>4.6700000000000005E-3</v>
      </c>
      <c r="S198" s="285"/>
      <c r="T198" s="285"/>
      <c r="U198" s="317"/>
      <c r="V198" s="5"/>
    </row>
    <row r="199" spans="1:22" ht="15.6" x14ac:dyDescent="0.3">
      <c r="A199" s="352"/>
      <c r="B199" s="285" t="s">
        <v>74</v>
      </c>
      <c r="C199" s="353"/>
      <c r="D199" s="353"/>
      <c r="E199" s="353"/>
      <c r="F199" s="353"/>
      <c r="G199" s="329"/>
      <c r="H199" s="329"/>
      <c r="I199" s="329"/>
      <c r="J199" s="329"/>
      <c r="K199" s="329"/>
      <c r="L199" s="329"/>
      <c r="M199" s="329"/>
      <c r="N199" s="329"/>
      <c r="O199" s="329"/>
      <c r="P199" s="329"/>
      <c r="Q199" s="329"/>
      <c r="R199" s="320">
        <v>2.3E-2</v>
      </c>
      <c r="S199" s="285"/>
      <c r="T199" s="285"/>
      <c r="U199" s="317"/>
      <c r="V199" s="5"/>
    </row>
    <row r="200" spans="1:22" ht="15.6" x14ac:dyDescent="0.3">
      <c r="A200" s="352"/>
      <c r="B200" s="285" t="s">
        <v>257</v>
      </c>
      <c r="C200" s="353"/>
      <c r="D200" s="353"/>
      <c r="E200" s="353"/>
      <c r="F200" s="353"/>
      <c r="G200" s="329"/>
      <c r="H200" s="329"/>
      <c r="I200" s="329"/>
      <c r="J200" s="329"/>
      <c r="K200" s="329"/>
      <c r="L200" s="329"/>
      <c r="M200" s="329"/>
      <c r="N200" s="329"/>
      <c r="O200" s="329"/>
      <c r="P200" s="329"/>
      <c r="Q200" s="329"/>
      <c r="R200" s="320">
        <f>T43</f>
        <v>8.0906077602739129E-3</v>
      </c>
      <c r="S200" s="285"/>
      <c r="T200" s="285"/>
      <c r="U200" s="317"/>
      <c r="V200" s="5"/>
    </row>
    <row r="201" spans="1:22" ht="15.6" x14ac:dyDescent="0.3">
      <c r="A201" s="352"/>
      <c r="B201" s="285" t="s">
        <v>75</v>
      </c>
      <c r="C201" s="353"/>
      <c r="D201" s="353"/>
      <c r="E201" s="353"/>
      <c r="F201" s="353"/>
      <c r="G201" s="329"/>
      <c r="H201" s="329"/>
      <c r="I201" s="329"/>
      <c r="J201" s="329"/>
      <c r="K201" s="329"/>
      <c r="L201" s="329"/>
      <c r="M201" s="329"/>
      <c r="N201" s="329"/>
      <c r="O201" s="329"/>
      <c r="P201" s="329"/>
      <c r="Q201" s="329"/>
      <c r="R201" s="320">
        <f>R199-R200</f>
        <v>1.4909392239726087E-2</v>
      </c>
      <c r="S201" s="285"/>
      <c r="T201" s="285"/>
      <c r="U201" s="317"/>
      <c r="V201" s="5"/>
    </row>
    <row r="202" spans="1:22" ht="15.6" x14ac:dyDescent="0.3">
      <c r="A202" s="352"/>
      <c r="B202" s="285" t="s">
        <v>260</v>
      </c>
      <c r="C202" s="353"/>
      <c r="D202" s="353"/>
      <c r="E202" s="353"/>
      <c r="F202" s="353"/>
      <c r="G202" s="329"/>
      <c r="H202" s="329"/>
      <c r="I202" s="329"/>
      <c r="J202" s="329"/>
      <c r="K202" s="329"/>
      <c r="L202" s="329"/>
      <c r="M202" s="329"/>
      <c r="N202" s="329"/>
      <c r="O202" s="329"/>
      <c r="P202" s="329"/>
      <c r="Q202" s="329"/>
      <c r="R202" s="320">
        <f>+T100/L71</f>
        <v>6.3728537515495886E-3</v>
      </c>
      <c r="S202" s="285"/>
      <c r="T202" s="285"/>
      <c r="U202" s="317"/>
      <c r="V202" s="5"/>
    </row>
    <row r="203" spans="1:22" ht="15.6" x14ac:dyDescent="0.3">
      <c r="A203" s="352"/>
      <c r="B203" s="285" t="s">
        <v>217</v>
      </c>
      <c r="C203" s="353"/>
      <c r="D203" s="353"/>
      <c r="E203" s="353"/>
      <c r="F203" s="353"/>
      <c r="G203" s="329"/>
      <c r="H203" s="329"/>
      <c r="I203" s="329"/>
      <c r="J203" s="329"/>
      <c r="K203" s="329"/>
      <c r="L203" s="329"/>
      <c r="M203" s="329"/>
      <c r="N203" s="329"/>
      <c r="O203" s="329"/>
      <c r="P203" s="329"/>
      <c r="Q203" s="329"/>
      <c r="R203" s="354">
        <v>15250</v>
      </c>
      <c r="S203" s="285"/>
      <c r="T203" s="285"/>
      <c r="U203" s="317"/>
      <c r="V203" s="5"/>
    </row>
    <row r="204" spans="1:22" ht="15.6" x14ac:dyDescent="0.3">
      <c r="A204" s="352"/>
      <c r="B204" s="285" t="s">
        <v>218</v>
      </c>
      <c r="C204" s="353"/>
      <c r="D204" s="353"/>
      <c r="E204" s="353"/>
      <c r="F204" s="353"/>
      <c r="G204" s="329"/>
      <c r="H204" s="329"/>
      <c r="I204" s="329"/>
      <c r="J204" s="329"/>
      <c r="K204" s="329"/>
      <c r="L204" s="329"/>
      <c r="M204" s="329"/>
      <c r="N204" s="329"/>
      <c r="O204" s="329"/>
      <c r="P204" s="329"/>
      <c r="Q204" s="329"/>
      <c r="R204" s="354">
        <v>15250</v>
      </c>
      <c r="S204" s="285"/>
      <c r="T204" s="285"/>
      <c r="U204" s="317"/>
      <c r="V204" s="5"/>
    </row>
    <row r="205" spans="1:22" ht="15.6" x14ac:dyDescent="0.3">
      <c r="A205" s="352"/>
      <c r="B205" s="285" t="s">
        <v>219</v>
      </c>
      <c r="C205" s="353"/>
      <c r="D205" s="353"/>
      <c r="E205" s="353"/>
      <c r="F205" s="353"/>
      <c r="G205" s="329"/>
      <c r="H205" s="329"/>
      <c r="I205" s="329"/>
      <c r="J205" s="329"/>
      <c r="K205" s="329"/>
      <c r="L205" s="329"/>
      <c r="M205" s="329"/>
      <c r="N205" s="329"/>
      <c r="O205" s="329"/>
      <c r="P205" s="329"/>
      <c r="Q205" s="329"/>
      <c r="R205" s="354">
        <v>15250</v>
      </c>
      <c r="S205" s="285"/>
      <c r="T205" s="285"/>
      <c r="U205" s="317"/>
      <c r="V205" s="5"/>
    </row>
    <row r="206" spans="1:22" ht="15.6" x14ac:dyDescent="0.3">
      <c r="A206" s="352"/>
      <c r="B206" s="285" t="s">
        <v>76</v>
      </c>
      <c r="C206" s="353"/>
      <c r="D206" s="353"/>
      <c r="E206" s="353"/>
      <c r="F206" s="353"/>
      <c r="G206" s="329"/>
      <c r="H206" s="329"/>
      <c r="I206" s="329"/>
      <c r="J206" s="329"/>
      <c r="K206" s="329"/>
      <c r="L206" s="329"/>
      <c r="M206" s="329"/>
      <c r="N206" s="329"/>
      <c r="O206" s="329"/>
      <c r="P206" s="329"/>
      <c r="Q206" s="329"/>
      <c r="R206" s="326">
        <v>21.18</v>
      </c>
      <c r="S206" s="285" t="s">
        <v>116</v>
      </c>
      <c r="T206" s="285"/>
      <c r="U206" s="317"/>
      <c r="V206" s="5"/>
    </row>
    <row r="207" spans="1:22" ht="15.6" x14ac:dyDescent="0.3">
      <c r="A207" s="352"/>
      <c r="B207" s="285" t="s">
        <v>77</v>
      </c>
      <c r="C207" s="353"/>
      <c r="D207" s="353"/>
      <c r="E207" s="353"/>
      <c r="F207" s="353"/>
      <c r="G207" s="329"/>
      <c r="H207" s="329"/>
      <c r="I207" s="329"/>
      <c r="J207" s="329"/>
      <c r="K207" s="329"/>
      <c r="L207" s="329"/>
      <c r="M207" s="329"/>
      <c r="N207" s="329"/>
      <c r="O207" s="329"/>
      <c r="P207" s="329"/>
      <c r="Q207" s="329"/>
      <c r="R207" s="326">
        <v>14.37</v>
      </c>
      <c r="S207" s="285" t="s">
        <v>116</v>
      </c>
      <c r="T207" s="285"/>
      <c r="U207" s="317"/>
      <c r="V207" s="5"/>
    </row>
    <row r="208" spans="1:22" ht="15.6" x14ac:dyDescent="0.3">
      <c r="A208" s="352"/>
      <c r="B208" s="285" t="s">
        <v>78</v>
      </c>
      <c r="C208" s="353"/>
      <c r="D208" s="353"/>
      <c r="E208" s="353"/>
      <c r="F208" s="353"/>
      <c r="G208" s="329"/>
      <c r="H208" s="329"/>
      <c r="I208" s="329"/>
      <c r="J208" s="329"/>
      <c r="K208" s="329"/>
      <c r="L208" s="329"/>
      <c r="M208" s="329"/>
      <c r="N208" s="329"/>
      <c r="O208" s="329"/>
      <c r="P208" s="329"/>
      <c r="Q208" s="329"/>
      <c r="R208" s="320">
        <f>N68/L68</f>
        <v>4.513347365971942E-3</v>
      </c>
      <c r="S208" s="285"/>
      <c r="T208" s="285"/>
      <c r="U208" s="317"/>
      <c r="V208" s="5"/>
    </row>
    <row r="209" spans="1:22" ht="15.6" x14ac:dyDescent="0.3">
      <c r="A209" s="352"/>
      <c r="B209" s="285" t="s">
        <v>79</v>
      </c>
      <c r="C209" s="353"/>
      <c r="D209" s="353"/>
      <c r="E209" s="353"/>
      <c r="F209" s="353"/>
      <c r="G209" s="329"/>
      <c r="H209" s="329"/>
      <c r="I209" s="329"/>
      <c r="J209" s="329"/>
      <c r="K209" s="329"/>
      <c r="L209" s="329"/>
      <c r="M209" s="329"/>
      <c r="N209" s="329"/>
      <c r="O209" s="329"/>
      <c r="P209" s="329"/>
      <c r="Q209" s="329"/>
      <c r="R209" s="320">
        <v>8.8499999999999995E-2</v>
      </c>
      <c r="S209" s="285"/>
      <c r="T209" s="285"/>
      <c r="U209" s="317"/>
      <c r="V209" s="5"/>
    </row>
    <row r="210" spans="1:22" ht="15.6" x14ac:dyDescent="0.3">
      <c r="A210" s="209"/>
      <c r="B210" s="350"/>
      <c r="C210" s="350"/>
      <c r="D210" s="350"/>
      <c r="E210" s="350"/>
      <c r="F210" s="350"/>
      <c r="G210" s="334"/>
      <c r="H210" s="334"/>
      <c r="I210" s="334"/>
      <c r="J210" s="334"/>
      <c r="K210" s="334"/>
      <c r="L210" s="334"/>
      <c r="M210" s="334"/>
      <c r="N210" s="334"/>
      <c r="O210" s="334"/>
      <c r="P210" s="334"/>
      <c r="Q210" s="334"/>
      <c r="R210" s="347"/>
      <c r="S210" s="334"/>
      <c r="T210" s="351"/>
      <c r="U210" s="334"/>
      <c r="V210" s="5"/>
    </row>
    <row r="211" spans="1:22" ht="15.6" x14ac:dyDescent="0.3">
      <c r="A211" s="266"/>
      <c r="B211" s="395" t="s">
        <v>80</v>
      </c>
      <c r="C211" s="396"/>
      <c r="D211" s="396"/>
      <c r="E211" s="396"/>
      <c r="F211" s="402"/>
      <c r="G211" s="396"/>
      <c r="H211" s="396"/>
      <c r="I211" s="396"/>
      <c r="J211" s="396"/>
      <c r="K211" s="396"/>
      <c r="L211" s="396"/>
      <c r="M211" s="396"/>
      <c r="N211" s="396"/>
      <c r="O211" s="396"/>
      <c r="P211" s="396"/>
      <c r="Q211" s="396" t="s">
        <v>105</v>
      </c>
      <c r="R211" s="402" t="s">
        <v>112</v>
      </c>
      <c r="S211" s="223"/>
      <c r="T211" s="223"/>
      <c r="U211" s="223"/>
      <c r="V211" s="5"/>
    </row>
    <row r="212" spans="1:22" ht="15.6" x14ac:dyDescent="0.3">
      <c r="A212" s="214"/>
      <c r="B212" s="239" t="s">
        <v>81</v>
      </c>
      <c r="C212" s="243"/>
      <c r="D212" s="243"/>
      <c r="E212" s="243"/>
      <c r="F212" s="239"/>
      <c r="G212" s="239"/>
      <c r="H212" s="242"/>
      <c r="I212" s="242"/>
      <c r="J212" s="242"/>
      <c r="K212" s="242"/>
      <c r="L212" s="242"/>
      <c r="M212" s="242"/>
      <c r="N212" s="242"/>
      <c r="O212" s="242"/>
      <c r="P212" s="242"/>
      <c r="Q212" s="242">
        <v>0</v>
      </c>
      <c r="R212" s="272">
        <v>0</v>
      </c>
      <c r="S212" s="239"/>
      <c r="T212" s="273"/>
      <c r="U212" s="215"/>
      <c r="V212" s="5"/>
    </row>
    <row r="213" spans="1:22" ht="15.6" x14ac:dyDescent="0.3">
      <c r="A213" s="360"/>
      <c r="B213" s="285" t="s">
        <v>151</v>
      </c>
      <c r="C213" s="338"/>
      <c r="D213" s="338"/>
      <c r="E213" s="338"/>
      <c r="F213" s="285"/>
      <c r="G213" s="285"/>
      <c r="H213" s="293"/>
      <c r="I213" s="293"/>
      <c r="J213" s="293"/>
      <c r="K213" s="293"/>
      <c r="L213" s="293"/>
      <c r="M213" s="293"/>
      <c r="N213" s="293"/>
      <c r="O213" s="293"/>
      <c r="P213" s="293"/>
      <c r="Q213" s="361">
        <f>+P265</f>
        <v>106</v>
      </c>
      <c r="R213" s="362">
        <f>+R265</f>
        <v>16216</v>
      </c>
      <c r="S213" s="285"/>
      <c r="T213" s="363"/>
      <c r="U213" s="364"/>
      <c r="V213" s="5"/>
    </row>
    <row r="214" spans="1:22" ht="15.6" x14ac:dyDescent="0.3">
      <c r="A214" s="360"/>
      <c r="B214" s="285" t="s">
        <v>82</v>
      </c>
      <c r="C214" s="338"/>
      <c r="D214" s="338"/>
      <c r="E214" s="338"/>
      <c r="F214" s="285"/>
      <c r="G214" s="285"/>
      <c r="H214" s="293"/>
      <c r="I214" s="293"/>
      <c r="J214" s="293"/>
      <c r="K214" s="293"/>
      <c r="L214" s="293"/>
      <c r="M214" s="293"/>
      <c r="N214" s="293"/>
      <c r="O214" s="293"/>
      <c r="P214" s="293"/>
      <c r="Q214" s="361">
        <f>+P277</f>
        <v>1</v>
      </c>
      <c r="R214" s="362">
        <f>+R277</f>
        <v>125</v>
      </c>
      <c r="S214" s="285"/>
      <c r="T214" s="363"/>
      <c r="U214" s="364"/>
      <c r="V214" s="5"/>
    </row>
    <row r="215" spans="1:22" ht="15.6" x14ac:dyDescent="0.3">
      <c r="A215" s="360"/>
      <c r="B215" s="310" t="s">
        <v>83</v>
      </c>
      <c r="C215" s="365"/>
      <c r="D215" s="365"/>
      <c r="E215" s="365"/>
      <c r="F215" s="311"/>
      <c r="G215" s="311"/>
      <c r="H215" s="311"/>
      <c r="I215" s="311"/>
      <c r="J215" s="311"/>
      <c r="K215" s="311"/>
      <c r="L215" s="311"/>
      <c r="M215" s="311"/>
      <c r="N215" s="311"/>
      <c r="O215" s="311"/>
      <c r="P215" s="311"/>
      <c r="Q215" s="285"/>
      <c r="R215" s="362">
        <v>0</v>
      </c>
      <c r="S215" s="311"/>
      <c r="T215" s="366"/>
      <c r="U215" s="364"/>
      <c r="V215" s="5"/>
    </row>
    <row r="216" spans="1:22" ht="15.6" x14ac:dyDescent="0.3">
      <c r="A216" s="360"/>
      <c r="B216" s="310" t="s">
        <v>84</v>
      </c>
      <c r="C216" s="365"/>
      <c r="D216" s="365"/>
      <c r="E216" s="365"/>
      <c r="F216" s="311"/>
      <c r="G216" s="311"/>
      <c r="H216" s="311"/>
      <c r="I216" s="311"/>
      <c r="J216" s="311"/>
      <c r="K216" s="311"/>
      <c r="L216" s="311"/>
      <c r="M216" s="311"/>
      <c r="N216" s="311"/>
      <c r="O216" s="311"/>
      <c r="P216" s="311"/>
      <c r="Q216" s="285"/>
      <c r="R216" s="367" t="s">
        <v>113</v>
      </c>
      <c r="S216" s="311"/>
      <c r="T216" s="366"/>
      <c r="U216" s="364"/>
      <c r="V216" s="5"/>
    </row>
    <row r="217" spans="1:22" ht="15.6" x14ac:dyDescent="0.3">
      <c r="A217" s="368"/>
      <c r="B217" s="310" t="s">
        <v>85</v>
      </c>
      <c r="C217" s="369"/>
      <c r="D217" s="369"/>
      <c r="E217" s="369"/>
      <c r="F217" s="369"/>
      <c r="G217" s="311"/>
      <c r="H217" s="311"/>
      <c r="I217" s="311"/>
      <c r="J217" s="311"/>
      <c r="K217" s="311"/>
      <c r="L217" s="311"/>
      <c r="M217" s="311"/>
      <c r="N217" s="311"/>
      <c r="O217" s="311"/>
      <c r="P217" s="311"/>
      <c r="Q217" s="285"/>
      <c r="R217" s="362"/>
      <c r="S217" s="311"/>
      <c r="T217" s="366"/>
      <c r="U217" s="370"/>
      <c r="V217" s="5"/>
    </row>
    <row r="218" spans="1:22" ht="15.6" x14ac:dyDescent="0.3">
      <c r="A218" s="368"/>
      <c r="B218" s="285" t="s">
        <v>86</v>
      </c>
      <c r="C218" s="285"/>
      <c r="D218" s="285"/>
      <c r="E218" s="285"/>
      <c r="F218" s="285"/>
      <c r="G218" s="285"/>
      <c r="H218" s="285"/>
      <c r="I218" s="285"/>
      <c r="J218" s="285"/>
      <c r="K218" s="285"/>
      <c r="L218" s="285"/>
      <c r="M218" s="285"/>
      <c r="N218" s="285"/>
      <c r="O218" s="285"/>
      <c r="P218" s="285"/>
      <c r="Q218" s="293"/>
      <c r="R218" s="362">
        <f>T162</f>
        <v>61</v>
      </c>
      <c r="S218" s="285"/>
      <c r="T218" s="363"/>
      <c r="U218" s="370"/>
      <c r="V218" s="5"/>
    </row>
    <row r="219" spans="1:22" ht="15.6" x14ac:dyDescent="0.3">
      <c r="A219" s="360"/>
      <c r="B219" s="285" t="s">
        <v>87</v>
      </c>
      <c r="C219" s="338"/>
      <c r="D219" s="338"/>
      <c r="E219" s="338"/>
      <c r="F219" s="338"/>
      <c r="G219" s="285"/>
      <c r="H219" s="285"/>
      <c r="I219" s="285"/>
      <c r="J219" s="285"/>
      <c r="K219" s="285"/>
      <c r="L219" s="285"/>
      <c r="M219" s="285"/>
      <c r="N219" s="285"/>
      <c r="O219" s="285"/>
      <c r="P219" s="285"/>
      <c r="Q219" s="293"/>
      <c r="R219" s="362">
        <f>'Dec 12'!R218+R218</f>
        <v>3815</v>
      </c>
      <c r="S219" s="285"/>
      <c r="T219" s="363"/>
      <c r="U219" s="370"/>
      <c r="V219" s="5"/>
    </row>
    <row r="220" spans="1:22" ht="15.6" x14ac:dyDescent="0.3">
      <c r="A220" s="368"/>
      <c r="B220" s="310" t="s">
        <v>282</v>
      </c>
      <c r="C220" s="369"/>
      <c r="D220" s="369"/>
      <c r="E220" s="369"/>
      <c r="F220" s="369"/>
      <c r="G220" s="311"/>
      <c r="H220" s="311"/>
      <c r="I220" s="311"/>
      <c r="J220" s="311"/>
      <c r="K220" s="311"/>
      <c r="L220" s="311"/>
      <c r="M220" s="311"/>
      <c r="N220" s="311"/>
      <c r="O220" s="311"/>
      <c r="P220" s="311"/>
      <c r="Q220" s="293"/>
      <c r="R220" s="362"/>
      <c r="S220" s="311"/>
      <c r="T220" s="366"/>
      <c r="U220" s="370"/>
      <c r="V220" s="5"/>
    </row>
    <row r="221" spans="1:22" ht="15.6" x14ac:dyDescent="0.3">
      <c r="A221" s="368"/>
      <c r="B221" s="285" t="s">
        <v>280</v>
      </c>
      <c r="C221" s="369"/>
      <c r="D221" s="369"/>
      <c r="E221" s="369"/>
      <c r="F221" s="369"/>
      <c r="G221" s="311"/>
      <c r="H221" s="311"/>
      <c r="I221" s="311"/>
      <c r="J221" s="311"/>
      <c r="K221" s="311"/>
      <c r="L221" s="311"/>
      <c r="M221" s="311"/>
      <c r="N221" s="311"/>
      <c r="O221" s="311"/>
      <c r="P221" s="311"/>
      <c r="Q221" s="293">
        <v>0</v>
      </c>
      <c r="R221" s="362">
        <v>0</v>
      </c>
      <c r="S221" s="311"/>
      <c r="T221" s="366"/>
      <c r="U221" s="370"/>
      <c r="V221" s="5"/>
    </row>
    <row r="222" spans="1:22" ht="15.6" x14ac:dyDescent="0.3">
      <c r="A222" s="360"/>
      <c r="B222" s="285" t="s">
        <v>89</v>
      </c>
      <c r="C222" s="373"/>
      <c r="D222" s="373"/>
      <c r="E222" s="373"/>
      <c r="F222" s="374"/>
      <c r="G222" s="311"/>
      <c r="H222" s="311"/>
      <c r="I222" s="311"/>
      <c r="J222" s="311"/>
      <c r="K222" s="311"/>
      <c r="L222" s="311"/>
      <c r="M222" s="311"/>
      <c r="N222" s="311"/>
      <c r="O222" s="311"/>
      <c r="P222" s="311"/>
      <c r="Q222" s="285"/>
      <c r="R222" s="367">
        <v>0</v>
      </c>
      <c r="S222" s="311"/>
      <c r="T222" s="366"/>
      <c r="U222" s="370"/>
      <c r="V222" s="5"/>
    </row>
    <row r="223" spans="1:22" ht="15.6" x14ac:dyDescent="0.3">
      <c r="A223" s="360"/>
      <c r="B223" s="285" t="s">
        <v>90</v>
      </c>
      <c r="C223" s="373"/>
      <c r="D223" s="373"/>
      <c r="E223" s="373"/>
      <c r="F223" s="374"/>
      <c r="G223" s="311"/>
      <c r="H223" s="311"/>
      <c r="I223" s="311"/>
      <c r="J223" s="311"/>
      <c r="K223" s="311"/>
      <c r="L223" s="311"/>
      <c r="M223" s="311"/>
      <c r="N223" s="311"/>
      <c r="O223" s="311"/>
      <c r="P223" s="311"/>
      <c r="Q223" s="285"/>
      <c r="R223" s="367">
        <v>0</v>
      </c>
      <c r="S223" s="311"/>
      <c r="T223" s="366"/>
      <c r="U223" s="370"/>
      <c r="V223" s="5"/>
    </row>
    <row r="224" spans="1:22" ht="15.6" x14ac:dyDescent="0.3">
      <c r="A224" s="360"/>
      <c r="B224" s="310" t="s">
        <v>226</v>
      </c>
      <c r="C224" s="373"/>
      <c r="D224" s="373"/>
      <c r="E224" s="373"/>
      <c r="F224" s="374"/>
      <c r="G224" s="311"/>
      <c r="H224" s="311"/>
      <c r="I224" s="311"/>
      <c r="J224" s="311"/>
      <c r="K224" s="311"/>
      <c r="L224" s="311"/>
      <c r="M224" s="311"/>
      <c r="N224" s="311"/>
      <c r="O224" s="311"/>
      <c r="P224" s="311"/>
      <c r="Q224" s="293"/>
      <c r="R224" s="375"/>
      <c r="S224" s="311"/>
      <c r="T224" s="366"/>
      <c r="U224" s="370"/>
      <c r="V224" s="5"/>
    </row>
    <row r="225" spans="1:23" ht="15.6" x14ac:dyDescent="0.3">
      <c r="A225" s="360"/>
      <c r="B225" s="285" t="s">
        <v>280</v>
      </c>
      <c r="C225" s="373"/>
      <c r="D225" s="373"/>
      <c r="E225" s="373"/>
      <c r="F225" s="374"/>
      <c r="G225" s="311"/>
      <c r="H225" s="311"/>
      <c r="I225" s="311"/>
      <c r="J225" s="311"/>
      <c r="K225" s="311"/>
      <c r="L225" s="311"/>
      <c r="M225" s="311"/>
      <c r="N225" s="311"/>
      <c r="O225" s="311"/>
      <c r="P225" s="311"/>
      <c r="Q225" s="293">
        <v>5</v>
      </c>
      <c r="R225" s="362">
        <v>526</v>
      </c>
      <c r="S225" s="311"/>
      <c r="T225" s="366"/>
      <c r="U225" s="370"/>
      <c r="V225" s="5"/>
    </row>
    <row r="226" spans="1:23" ht="15.6" x14ac:dyDescent="0.3">
      <c r="A226" s="360"/>
      <c r="B226" s="285" t="s">
        <v>227</v>
      </c>
      <c r="C226" s="373"/>
      <c r="D226" s="373"/>
      <c r="E226" s="373"/>
      <c r="F226" s="374"/>
      <c r="G226" s="311"/>
      <c r="H226" s="311"/>
      <c r="I226" s="311"/>
      <c r="J226" s="311"/>
      <c r="K226" s="311"/>
      <c r="L226" s="311"/>
      <c r="M226" s="311"/>
      <c r="N226" s="311"/>
      <c r="O226" s="311"/>
      <c r="P226" s="311"/>
      <c r="Q226" s="293"/>
      <c r="R226" s="367">
        <v>0.77</v>
      </c>
      <c r="S226" s="311"/>
      <c r="T226" s="366"/>
      <c r="U226" s="370"/>
      <c r="V226" s="5"/>
    </row>
    <row r="227" spans="1:23" ht="15.6" x14ac:dyDescent="0.3">
      <c r="A227" s="360"/>
      <c r="B227" s="369"/>
      <c r="C227" s="373"/>
      <c r="D227" s="373"/>
      <c r="E227" s="373"/>
      <c r="F227" s="374"/>
      <c r="G227" s="311"/>
      <c r="H227" s="311"/>
      <c r="I227" s="311"/>
      <c r="J227" s="311"/>
      <c r="K227" s="311"/>
      <c r="L227" s="311"/>
      <c r="M227" s="311"/>
      <c r="N227" s="311"/>
      <c r="O227" s="311"/>
      <c r="P227" s="311"/>
      <c r="Q227" s="311"/>
      <c r="R227" s="376"/>
      <c r="S227" s="311"/>
      <c r="T227" s="366"/>
      <c r="U227" s="370"/>
      <c r="V227" s="5"/>
    </row>
    <row r="228" spans="1:23" ht="15.6" x14ac:dyDescent="0.3">
      <c r="A228" s="360"/>
      <c r="B228" s="369"/>
      <c r="C228" s="373"/>
      <c r="D228" s="373"/>
      <c r="E228" s="373"/>
      <c r="F228" s="374"/>
      <c r="G228" s="311"/>
      <c r="H228" s="311"/>
      <c r="I228" s="311"/>
      <c r="J228" s="311"/>
      <c r="K228" s="311"/>
      <c r="L228" s="311"/>
      <c r="M228" s="311"/>
      <c r="N228" s="311"/>
      <c r="O228" s="311"/>
      <c r="P228" s="311"/>
      <c r="Q228" s="311"/>
      <c r="R228" s="376"/>
      <c r="S228" s="311"/>
      <c r="T228" s="366"/>
      <c r="U228" s="370"/>
      <c r="V228" s="5"/>
    </row>
    <row r="229" spans="1:23" ht="17.399999999999999" x14ac:dyDescent="0.3">
      <c r="A229" s="360"/>
      <c r="B229" s="377" t="s">
        <v>175</v>
      </c>
      <c r="C229" s="373"/>
      <c r="D229" s="373"/>
      <c r="E229" s="373"/>
      <c r="F229" s="374"/>
      <c r="G229" s="311"/>
      <c r="H229" s="311"/>
      <c r="I229" s="311"/>
      <c r="J229" s="311"/>
      <c r="K229" s="311"/>
      <c r="L229" s="311"/>
      <c r="M229" s="311"/>
      <c r="N229" s="378" t="s">
        <v>174</v>
      </c>
      <c r="O229" s="311"/>
      <c r="P229" s="311"/>
      <c r="Q229" s="311"/>
      <c r="R229" s="376"/>
      <c r="S229" s="311"/>
      <c r="T229" s="366"/>
      <c r="U229" s="370"/>
      <c r="V229" s="5"/>
    </row>
    <row r="230" spans="1:23" ht="15.6" x14ac:dyDescent="0.3">
      <c r="A230" s="355"/>
      <c r="B230" s="350"/>
      <c r="C230" s="356"/>
      <c r="D230" s="356"/>
      <c r="E230" s="356"/>
      <c r="F230" s="357"/>
      <c r="G230" s="334"/>
      <c r="H230" s="334"/>
      <c r="I230" s="334"/>
      <c r="J230" s="334"/>
      <c r="K230" s="334"/>
      <c r="L230" s="334"/>
      <c r="M230" s="334"/>
      <c r="N230" s="334"/>
      <c r="O230" s="334"/>
      <c r="P230" s="334"/>
      <c r="Q230" s="334"/>
      <c r="R230" s="358"/>
      <c r="S230" s="334"/>
      <c r="T230" s="351"/>
      <c r="U230" s="359"/>
      <c r="V230" s="5"/>
    </row>
    <row r="231" spans="1:23" ht="15.6" x14ac:dyDescent="0.3">
      <c r="A231" s="222"/>
      <c r="B231" s="395" t="s">
        <v>295</v>
      </c>
      <c r="C231" s="396"/>
      <c r="D231" s="396"/>
      <c r="E231" s="396"/>
      <c r="F231" s="402"/>
      <c r="G231" s="396"/>
      <c r="H231" s="396"/>
      <c r="I231" s="396"/>
      <c r="J231" s="396"/>
      <c r="K231" s="396"/>
      <c r="L231" s="396"/>
      <c r="M231" s="396"/>
      <c r="N231" s="396"/>
      <c r="O231" s="396"/>
      <c r="P231" s="402" t="s">
        <v>105</v>
      </c>
      <c r="Q231" s="396" t="s">
        <v>106</v>
      </c>
      <c r="R231" s="402" t="s">
        <v>114</v>
      </c>
      <c r="S231" s="396" t="s">
        <v>106</v>
      </c>
      <c r="T231" s="223"/>
      <c r="U231" s="395"/>
      <c r="V231" s="5"/>
    </row>
    <row r="232" spans="1:23" ht="15.6" x14ac:dyDescent="0.3">
      <c r="A232" s="190"/>
      <c r="B232" s="243" t="s">
        <v>91</v>
      </c>
      <c r="C232" s="217"/>
      <c r="D232" s="217"/>
      <c r="E232" s="217"/>
      <c r="F232" s="191"/>
      <c r="G232" s="217"/>
      <c r="H232" s="217"/>
      <c r="I232" s="217"/>
      <c r="J232" s="217"/>
      <c r="K232" s="217"/>
      <c r="L232" s="217"/>
      <c r="M232" s="217"/>
      <c r="N232" s="217"/>
      <c r="O232" s="217"/>
      <c r="P232" s="338">
        <f t="shared" ref="P232:P239" si="1">+P244+P256+P268</f>
        <v>4133</v>
      </c>
      <c r="Q232" s="384">
        <f t="shared" ref="Q232:Q239" si="2">P232/$P$241</f>
        <v>0.98994011976047902</v>
      </c>
      <c r="R232" s="339">
        <f t="shared" ref="R232:R239" si="3">+R244+R256+R268</f>
        <v>540975</v>
      </c>
      <c r="S232" s="384">
        <f t="shared" ref="S232:S239" si="4">R232/$R$241</f>
        <v>0.9876744941813973</v>
      </c>
      <c r="T232" s="213"/>
      <c r="U232" s="216"/>
      <c r="V232" s="5"/>
    </row>
    <row r="233" spans="1:23" ht="15.6" x14ac:dyDescent="0.3">
      <c r="A233" s="284"/>
      <c r="B233" s="338" t="s">
        <v>92</v>
      </c>
      <c r="C233" s="382"/>
      <c r="D233" s="382"/>
      <c r="E233" s="382"/>
      <c r="F233" s="311"/>
      <c r="G233" s="383"/>
      <c r="H233" s="382"/>
      <c r="I233" s="382"/>
      <c r="J233" s="382"/>
      <c r="K233" s="382"/>
      <c r="L233" s="382"/>
      <c r="M233" s="382"/>
      <c r="N233" s="382"/>
      <c r="O233" s="382"/>
      <c r="P233" s="338">
        <f t="shared" si="1"/>
        <v>14</v>
      </c>
      <c r="Q233" s="384">
        <f t="shared" si="2"/>
        <v>3.3532934131736527E-3</v>
      </c>
      <c r="R233" s="339">
        <f t="shared" si="3"/>
        <v>1848</v>
      </c>
      <c r="S233" s="384">
        <f t="shared" si="4"/>
        <v>3.373949748596926E-3</v>
      </c>
      <c r="T233" s="366"/>
      <c r="U233" s="370"/>
      <c r="V233" s="5"/>
      <c r="W233" s="109"/>
    </row>
    <row r="234" spans="1:23" ht="15.6" x14ac:dyDescent="0.3">
      <c r="A234" s="284"/>
      <c r="B234" s="338" t="s">
        <v>93</v>
      </c>
      <c r="C234" s="382"/>
      <c r="D234" s="382"/>
      <c r="E234" s="382"/>
      <c r="F234" s="311"/>
      <c r="G234" s="383"/>
      <c r="H234" s="382"/>
      <c r="I234" s="382"/>
      <c r="J234" s="382"/>
      <c r="K234" s="382"/>
      <c r="L234" s="382"/>
      <c r="M234" s="382"/>
      <c r="N234" s="382"/>
      <c r="O234" s="382"/>
      <c r="P234" s="338">
        <f t="shared" si="1"/>
        <v>5</v>
      </c>
      <c r="Q234" s="384">
        <f t="shared" si="2"/>
        <v>1.1976047904191617E-3</v>
      </c>
      <c r="R234" s="339">
        <f t="shared" si="3"/>
        <v>826</v>
      </c>
      <c r="S234" s="384">
        <f t="shared" si="4"/>
        <v>1.5080532967213533E-3</v>
      </c>
      <c r="T234" s="366"/>
      <c r="U234" s="370"/>
      <c r="V234" s="5"/>
    </row>
    <row r="235" spans="1:23" ht="15.6" x14ac:dyDescent="0.3">
      <c r="A235" s="284"/>
      <c r="B235" s="338" t="s">
        <v>163</v>
      </c>
      <c r="C235" s="382"/>
      <c r="D235" s="382"/>
      <c r="E235" s="382"/>
      <c r="F235" s="311"/>
      <c r="G235" s="383"/>
      <c r="H235" s="382"/>
      <c r="I235" s="382"/>
      <c r="J235" s="382"/>
      <c r="K235" s="382"/>
      <c r="L235" s="382"/>
      <c r="M235" s="382"/>
      <c r="N235" s="382"/>
      <c r="O235" s="382"/>
      <c r="P235" s="338">
        <f t="shared" si="1"/>
        <v>2</v>
      </c>
      <c r="Q235" s="384">
        <f t="shared" si="2"/>
        <v>4.7904191616766467E-4</v>
      </c>
      <c r="R235" s="339">
        <f t="shared" si="3"/>
        <v>384</v>
      </c>
      <c r="S235" s="384">
        <f t="shared" si="4"/>
        <v>7.0108046724091976E-4</v>
      </c>
      <c r="T235" s="366"/>
      <c r="U235" s="370"/>
      <c r="V235" s="5"/>
      <c r="W235" s="109"/>
    </row>
    <row r="236" spans="1:23" ht="15.6" x14ac:dyDescent="0.3">
      <c r="A236" s="284"/>
      <c r="B236" s="338" t="s">
        <v>164</v>
      </c>
      <c r="C236" s="382"/>
      <c r="D236" s="382"/>
      <c r="E236" s="382"/>
      <c r="F236" s="311"/>
      <c r="G236" s="383"/>
      <c r="H236" s="382"/>
      <c r="I236" s="382"/>
      <c r="J236" s="382"/>
      <c r="K236" s="382"/>
      <c r="L236" s="382"/>
      <c r="M236" s="382"/>
      <c r="N236" s="382"/>
      <c r="O236" s="382"/>
      <c r="P236" s="338">
        <f t="shared" si="1"/>
        <v>4</v>
      </c>
      <c r="Q236" s="384">
        <f t="shared" si="2"/>
        <v>9.5808383233532933E-4</v>
      </c>
      <c r="R236" s="339">
        <f t="shared" si="3"/>
        <v>485</v>
      </c>
      <c r="S236" s="384">
        <f t="shared" si="4"/>
        <v>8.8547923596834913E-4</v>
      </c>
      <c r="T236" s="366"/>
      <c r="U236" s="370"/>
      <c r="V236" s="5"/>
    </row>
    <row r="237" spans="1:23" ht="15.6" x14ac:dyDescent="0.3">
      <c r="A237" s="284"/>
      <c r="B237" s="338" t="s">
        <v>165</v>
      </c>
      <c r="C237" s="382"/>
      <c r="D237" s="382"/>
      <c r="E237" s="382"/>
      <c r="F237" s="311"/>
      <c r="G237" s="383"/>
      <c r="H237" s="382"/>
      <c r="I237" s="382"/>
      <c r="J237" s="382"/>
      <c r="K237" s="382"/>
      <c r="L237" s="382"/>
      <c r="M237" s="382"/>
      <c r="N237" s="382"/>
      <c r="O237" s="382"/>
      <c r="P237" s="338">
        <f t="shared" si="1"/>
        <v>2</v>
      </c>
      <c r="Q237" s="384">
        <f t="shared" si="2"/>
        <v>4.7904191616766467E-4</v>
      </c>
      <c r="R237" s="339">
        <f t="shared" si="3"/>
        <v>149</v>
      </c>
      <c r="S237" s="384">
        <f t="shared" si="4"/>
        <v>2.720338271325444E-4</v>
      </c>
      <c r="T237" s="366"/>
      <c r="U237" s="370"/>
      <c r="V237" s="5"/>
      <c r="W237" s="109"/>
    </row>
    <row r="238" spans="1:23" ht="15.6" x14ac:dyDescent="0.3">
      <c r="A238" s="284"/>
      <c r="B238" s="338" t="s">
        <v>166</v>
      </c>
      <c r="C238" s="382"/>
      <c r="D238" s="382"/>
      <c r="E238" s="382"/>
      <c r="F238" s="311"/>
      <c r="G238" s="383"/>
      <c r="H238" s="382"/>
      <c r="I238" s="382"/>
      <c r="J238" s="382"/>
      <c r="K238" s="382"/>
      <c r="L238" s="382"/>
      <c r="M238" s="382"/>
      <c r="N238" s="382"/>
      <c r="O238" s="382"/>
      <c r="P238" s="338">
        <f t="shared" si="1"/>
        <v>8</v>
      </c>
      <c r="Q238" s="384">
        <f t="shared" si="2"/>
        <v>1.9161676646706587E-3</v>
      </c>
      <c r="R238" s="339">
        <f t="shared" si="3"/>
        <v>1523</v>
      </c>
      <c r="S238" s="384">
        <f t="shared" si="4"/>
        <v>2.7805873739789604E-3</v>
      </c>
      <c r="T238" s="366"/>
      <c r="U238" s="370"/>
      <c r="V238" s="5"/>
    </row>
    <row r="239" spans="1:23" ht="15.6" x14ac:dyDescent="0.3">
      <c r="A239" s="284"/>
      <c r="B239" s="338" t="s">
        <v>167</v>
      </c>
      <c r="C239" s="382"/>
      <c r="D239" s="382"/>
      <c r="E239" s="382"/>
      <c r="F239" s="311"/>
      <c r="G239" s="383"/>
      <c r="H239" s="382"/>
      <c r="I239" s="382"/>
      <c r="J239" s="382"/>
      <c r="K239" s="382"/>
      <c r="L239" s="382"/>
      <c r="M239" s="382"/>
      <c r="N239" s="382"/>
      <c r="O239" s="382"/>
      <c r="P239" s="338">
        <f t="shared" si="1"/>
        <v>7</v>
      </c>
      <c r="Q239" s="384">
        <f t="shared" si="2"/>
        <v>1.6766467065868263E-3</v>
      </c>
      <c r="R239" s="339">
        <f t="shared" si="3"/>
        <v>1536</v>
      </c>
      <c r="S239" s="384">
        <f t="shared" si="4"/>
        <v>2.804321868963679E-3</v>
      </c>
      <c r="T239" s="366"/>
      <c r="U239" s="370"/>
      <c r="V239" s="5"/>
      <c r="W239" s="109"/>
    </row>
    <row r="240" spans="1:23" ht="15.6" x14ac:dyDescent="0.3">
      <c r="A240" s="284"/>
      <c r="B240" s="338"/>
      <c r="C240" s="382"/>
      <c r="D240" s="382"/>
      <c r="E240" s="382"/>
      <c r="F240" s="311"/>
      <c r="G240" s="383"/>
      <c r="H240" s="382"/>
      <c r="I240" s="382"/>
      <c r="J240" s="382"/>
      <c r="K240" s="382"/>
      <c r="L240" s="382"/>
      <c r="M240" s="382"/>
      <c r="N240" s="382"/>
      <c r="O240" s="382"/>
      <c r="P240" s="338"/>
      <c r="Q240" s="384"/>
      <c r="R240" s="339"/>
      <c r="S240" s="384"/>
      <c r="T240" s="366"/>
      <c r="U240" s="370"/>
      <c r="V240" s="5"/>
    </row>
    <row r="241" spans="1:23" ht="15.6" x14ac:dyDescent="0.3">
      <c r="A241" s="284"/>
      <c r="B241" s="285" t="s">
        <v>120</v>
      </c>
      <c r="C241" s="311"/>
      <c r="D241" s="311"/>
      <c r="E241" s="311"/>
      <c r="F241" s="311"/>
      <c r="G241" s="311"/>
      <c r="H241" s="385"/>
      <c r="I241" s="385"/>
      <c r="J241" s="385"/>
      <c r="K241" s="385"/>
      <c r="L241" s="385"/>
      <c r="M241" s="385"/>
      <c r="N241" s="385"/>
      <c r="O241" s="385"/>
      <c r="P241" s="338">
        <f>SUM(P232:P240)</f>
        <v>4175</v>
      </c>
      <c r="Q241" s="384">
        <f>SUM(Q232:Q240)</f>
        <v>1</v>
      </c>
      <c r="R241" s="339">
        <f>SUM(R232:R240)</f>
        <v>547726</v>
      </c>
      <c r="S241" s="384">
        <f>SUM(S232:S240)</f>
        <v>1.0000000000000002</v>
      </c>
      <c r="T241" s="311"/>
      <c r="U241" s="317"/>
      <c r="V241" s="5"/>
    </row>
    <row r="242" spans="1:23" ht="15.6" x14ac:dyDescent="0.3">
      <c r="A242" s="355"/>
      <c r="B242" s="350"/>
      <c r="C242" s="356"/>
      <c r="D242" s="356"/>
      <c r="E242" s="356"/>
      <c r="F242" s="357"/>
      <c r="G242" s="334"/>
      <c r="H242" s="334"/>
      <c r="I242" s="334"/>
      <c r="J242" s="334"/>
      <c r="K242" s="334"/>
      <c r="L242" s="334"/>
      <c r="M242" s="334"/>
      <c r="N242" s="334"/>
      <c r="O242" s="334"/>
      <c r="P242" s="334"/>
      <c r="Q242" s="334"/>
      <c r="R242" s="358"/>
      <c r="S242" s="334"/>
      <c r="T242" s="351"/>
      <c r="U242" s="359"/>
      <c r="V242" s="5"/>
    </row>
    <row r="243" spans="1:23" ht="15.6" x14ac:dyDescent="0.3">
      <c r="A243" s="222"/>
      <c r="B243" s="395" t="s">
        <v>169</v>
      </c>
      <c r="C243" s="396"/>
      <c r="D243" s="396"/>
      <c r="E243" s="396"/>
      <c r="F243" s="402"/>
      <c r="G243" s="396"/>
      <c r="H243" s="396"/>
      <c r="I243" s="396"/>
      <c r="J243" s="396"/>
      <c r="K243" s="396"/>
      <c r="L243" s="396"/>
      <c r="M243" s="396"/>
      <c r="N243" s="396"/>
      <c r="O243" s="396"/>
      <c r="P243" s="402" t="s">
        <v>105</v>
      </c>
      <c r="Q243" s="396" t="s">
        <v>106</v>
      </c>
      <c r="R243" s="402" t="s">
        <v>114</v>
      </c>
      <c r="S243" s="396" t="s">
        <v>106</v>
      </c>
      <c r="T243" s="223"/>
      <c r="U243" s="395"/>
      <c r="V243" s="5"/>
    </row>
    <row r="244" spans="1:23" ht="15.6" x14ac:dyDescent="0.3">
      <c r="A244" s="190"/>
      <c r="B244" s="243" t="s">
        <v>91</v>
      </c>
      <c r="C244" s="217"/>
      <c r="D244" s="217"/>
      <c r="E244" s="217"/>
      <c r="F244" s="191"/>
      <c r="G244" s="217"/>
      <c r="H244" s="217"/>
      <c r="I244" s="217"/>
      <c r="J244" s="217"/>
      <c r="K244" s="217"/>
      <c r="L244" s="217"/>
      <c r="M244" s="217"/>
      <c r="N244" s="217"/>
      <c r="O244" s="217"/>
      <c r="P244" s="243">
        <v>4055</v>
      </c>
      <c r="Q244" s="274">
        <f t="shared" ref="Q244:Q251" si="5">P244/$P$253</f>
        <v>0.99680432645034411</v>
      </c>
      <c r="R244" s="251">
        <v>529394</v>
      </c>
      <c r="S244" s="274">
        <f t="shared" ref="S244:S251" si="6">R244/$R$253</f>
        <v>0.9962531874253131</v>
      </c>
      <c r="T244" s="213"/>
      <c r="U244" s="216"/>
      <c r="V244" s="5"/>
    </row>
    <row r="245" spans="1:23" ht="15.6" x14ac:dyDescent="0.3">
      <c r="A245" s="284"/>
      <c r="B245" s="338" t="s">
        <v>92</v>
      </c>
      <c r="C245" s="382"/>
      <c r="D245" s="382"/>
      <c r="E245" s="382"/>
      <c r="F245" s="311"/>
      <c r="G245" s="383"/>
      <c r="H245" s="382"/>
      <c r="I245" s="382"/>
      <c r="J245" s="382"/>
      <c r="K245" s="382"/>
      <c r="L245" s="382"/>
      <c r="M245" s="382"/>
      <c r="N245" s="382"/>
      <c r="O245" s="382"/>
      <c r="P245" s="338">
        <v>11</v>
      </c>
      <c r="Q245" s="384">
        <f t="shared" si="5"/>
        <v>2.7040314650934121E-3</v>
      </c>
      <c r="R245" s="339">
        <v>1449</v>
      </c>
      <c r="S245" s="384">
        <f t="shared" si="6"/>
        <v>2.7268364744958929E-3</v>
      </c>
      <c r="T245" s="366"/>
      <c r="U245" s="370"/>
      <c r="V245" s="5"/>
      <c r="W245" s="109"/>
    </row>
    <row r="246" spans="1:23" ht="15.6" x14ac:dyDescent="0.3">
      <c r="A246" s="284"/>
      <c r="B246" s="338" t="s">
        <v>93</v>
      </c>
      <c r="C246" s="382"/>
      <c r="D246" s="382"/>
      <c r="E246" s="382"/>
      <c r="F246" s="311"/>
      <c r="G246" s="383"/>
      <c r="H246" s="382"/>
      <c r="I246" s="382"/>
      <c r="J246" s="382"/>
      <c r="K246" s="382"/>
      <c r="L246" s="382"/>
      <c r="M246" s="382"/>
      <c r="N246" s="382"/>
      <c r="O246" s="382"/>
      <c r="P246" s="338">
        <v>0</v>
      </c>
      <c r="Q246" s="384">
        <f t="shared" si="5"/>
        <v>0</v>
      </c>
      <c r="R246" s="339">
        <v>0</v>
      </c>
      <c r="S246" s="384">
        <f t="shared" si="6"/>
        <v>0</v>
      </c>
      <c r="T246" s="366"/>
      <c r="U246" s="370"/>
      <c r="V246" s="5"/>
    </row>
    <row r="247" spans="1:23" ht="15.6" x14ac:dyDescent="0.3">
      <c r="A247" s="284"/>
      <c r="B247" s="338" t="s">
        <v>163</v>
      </c>
      <c r="C247" s="382"/>
      <c r="D247" s="382"/>
      <c r="E247" s="382"/>
      <c r="F247" s="311"/>
      <c r="G247" s="383"/>
      <c r="H247" s="382"/>
      <c r="I247" s="382"/>
      <c r="J247" s="382"/>
      <c r="K247" s="382"/>
      <c r="L247" s="382"/>
      <c r="M247" s="382"/>
      <c r="N247" s="382"/>
      <c r="O247" s="382"/>
      <c r="P247" s="338">
        <v>0</v>
      </c>
      <c r="Q247" s="384">
        <f t="shared" si="5"/>
        <v>0</v>
      </c>
      <c r="R247" s="339">
        <v>0</v>
      </c>
      <c r="S247" s="384">
        <f t="shared" si="6"/>
        <v>0</v>
      </c>
      <c r="T247" s="366"/>
      <c r="U247" s="370"/>
      <c r="V247" s="5"/>
      <c r="W247" s="109"/>
    </row>
    <row r="248" spans="1:23" ht="15.6" x14ac:dyDescent="0.3">
      <c r="A248" s="284"/>
      <c r="B248" s="338" t="s">
        <v>164</v>
      </c>
      <c r="C248" s="382"/>
      <c r="D248" s="382"/>
      <c r="E248" s="382"/>
      <c r="F248" s="311"/>
      <c r="G248" s="383"/>
      <c r="H248" s="382"/>
      <c r="I248" s="382"/>
      <c r="J248" s="382"/>
      <c r="K248" s="382"/>
      <c r="L248" s="382"/>
      <c r="M248" s="382"/>
      <c r="N248" s="382"/>
      <c r="O248" s="382"/>
      <c r="P248" s="338">
        <v>0</v>
      </c>
      <c r="Q248" s="384">
        <f t="shared" si="5"/>
        <v>0</v>
      </c>
      <c r="R248" s="339">
        <v>0</v>
      </c>
      <c r="S248" s="384">
        <f t="shared" si="6"/>
        <v>0</v>
      </c>
      <c r="T248" s="366"/>
      <c r="U248" s="370"/>
      <c r="V248" s="5"/>
    </row>
    <row r="249" spans="1:23" ht="15.6" x14ac:dyDescent="0.3">
      <c r="A249" s="284"/>
      <c r="B249" s="338" t="s">
        <v>165</v>
      </c>
      <c r="C249" s="382"/>
      <c r="D249" s="382"/>
      <c r="E249" s="382"/>
      <c r="F249" s="311"/>
      <c r="G249" s="383"/>
      <c r="H249" s="382"/>
      <c r="I249" s="382"/>
      <c r="J249" s="382"/>
      <c r="K249" s="382"/>
      <c r="L249" s="382"/>
      <c r="M249" s="382"/>
      <c r="N249" s="382"/>
      <c r="O249" s="382"/>
      <c r="P249" s="338">
        <v>0</v>
      </c>
      <c r="Q249" s="384">
        <f t="shared" si="5"/>
        <v>0</v>
      </c>
      <c r="R249" s="339">
        <v>0</v>
      </c>
      <c r="S249" s="384">
        <f t="shared" si="6"/>
        <v>0</v>
      </c>
      <c r="T249" s="366"/>
      <c r="U249" s="370"/>
      <c r="V249" s="5"/>
      <c r="W249" s="109"/>
    </row>
    <row r="250" spans="1:23" ht="15.6" x14ac:dyDescent="0.3">
      <c r="A250" s="284"/>
      <c r="B250" s="338" t="s">
        <v>166</v>
      </c>
      <c r="C250" s="382"/>
      <c r="D250" s="382"/>
      <c r="E250" s="382"/>
      <c r="F250" s="311"/>
      <c r="G250" s="383"/>
      <c r="H250" s="382"/>
      <c r="I250" s="382"/>
      <c r="J250" s="382"/>
      <c r="K250" s="382"/>
      <c r="L250" s="382"/>
      <c r="M250" s="382"/>
      <c r="N250" s="382"/>
      <c r="O250" s="382"/>
      <c r="P250" s="338">
        <v>2</v>
      </c>
      <c r="Q250" s="384">
        <f t="shared" si="5"/>
        <v>4.9164208456243857E-4</v>
      </c>
      <c r="R250" s="339">
        <v>542</v>
      </c>
      <c r="S250" s="384">
        <f t="shared" si="6"/>
        <v>1.0199761001910103E-3</v>
      </c>
      <c r="T250" s="366"/>
      <c r="U250" s="370"/>
      <c r="V250" s="5"/>
    </row>
    <row r="251" spans="1:23" ht="15.6" x14ac:dyDescent="0.3">
      <c r="A251" s="284"/>
      <c r="B251" s="338" t="s">
        <v>167</v>
      </c>
      <c r="C251" s="382"/>
      <c r="D251" s="382"/>
      <c r="E251" s="382"/>
      <c r="F251" s="311"/>
      <c r="G251" s="383"/>
      <c r="H251" s="382"/>
      <c r="I251" s="382"/>
      <c r="J251" s="382"/>
      <c r="K251" s="382"/>
      <c r="L251" s="382"/>
      <c r="M251" s="382"/>
      <c r="N251" s="382"/>
      <c r="O251" s="382"/>
      <c r="P251" s="338">
        <v>0</v>
      </c>
      <c r="Q251" s="384">
        <f t="shared" si="5"/>
        <v>0</v>
      </c>
      <c r="R251" s="339">
        <v>0</v>
      </c>
      <c r="S251" s="384">
        <f t="shared" si="6"/>
        <v>0</v>
      </c>
      <c r="T251" s="366"/>
      <c r="U251" s="370"/>
      <c r="V251" s="5"/>
      <c r="W251" s="109"/>
    </row>
    <row r="252" spans="1:23" ht="15.6" x14ac:dyDescent="0.3">
      <c r="A252" s="284"/>
      <c r="B252" s="338"/>
      <c r="C252" s="382"/>
      <c r="D252" s="382"/>
      <c r="E252" s="382"/>
      <c r="F252" s="311"/>
      <c r="G252" s="383"/>
      <c r="H252" s="382"/>
      <c r="I252" s="382"/>
      <c r="J252" s="382"/>
      <c r="K252" s="382"/>
      <c r="L252" s="382"/>
      <c r="M252" s="382"/>
      <c r="N252" s="382"/>
      <c r="O252" s="382"/>
      <c r="P252" s="338"/>
      <c r="Q252" s="384"/>
      <c r="R252" s="339"/>
      <c r="S252" s="384"/>
      <c r="T252" s="366"/>
      <c r="U252" s="370"/>
      <c r="V252" s="5"/>
    </row>
    <row r="253" spans="1:23" ht="15.6" x14ac:dyDescent="0.3">
      <c r="A253" s="284"/>
      <c r="B253" s="285" t="s">
        <v>120</v>
      </c>
      <c r="C253" s="311"/>
      <c r="D253" s="311"/>
      <c r="E253" s="311"/>
      <c r="F253" s="311"/>
      <c r="G253" s="311"/>
      <c r="H253" s="385"/>
      <c r="I253" s="385"/>
      <c r="J253" s="385"/>
      <c r="K253" s="385"/>
      <c r="L253" s="385"/>
      <c r="M253" s="385"/>
      <c r="N253" s="385"/>
      <c r="O253" s="385"/>
      <c r="P253" s="338">
        <f>SUM(P244:P252)</f>
        <v>4068</v>
      </c>
      <c r="Q253" s="384">
        <f>SUM(Q244:Q252)</f>
        <v>1</v>
      </c>
      <c r="R253" s="339">
        <f>SUM(R244:R252)</f>
        <v>531385</v>
      </c>
      <c r="S253" s="384">
        <f>SUM(S244:S252)</f>
        <v>1</v>
      </c>
      <c r="T253" s="311"/>
      <c r="U253" s="317"/>
      <c r="V253" s="5"/>
    </row>
    <row r="254" spans="1:23" ht="15.6" x14ac:dyDescent="0.3">
      <c r="A254" s="175"/>
      <c r="B254" s="334"/>
      <c r="C254" s="334"/>
      <c r="D254" s="334"/>
      <c r="E254" s="334"/>
      <c r="F254" s="334"/>
      <c r="G254" s="334"/>
      <c r="H254" s="379"/>
      <c r="I254" s="379"/>
      <c r="J254" s="379"/>
      <c r="K254" s="379"/>
      <c r="L254" s="379"/>
      <c r="M254" s="379"/>
      <c r="N254" s="379"/>
      <c r="O254" s="379"/>
      <c r="P254" s="335"/>
      <c r="Q254" s="380"/>
      <c r="R254" s="381"/>
      <c r="S254" s="380"/>
      <c r="T254" s="334"/>
      <c r="U254" s="334"/>
      <c r="V254" s="5"/>
    </row>
    <row r="255" spans="1:23" ht="15.6" x14ac:dyDescent="0.3">
      <c r="A255" s="268"/>
      <c r="B255" s="395" t="s">
        <v>267</v>
      </c>
      <c r="C255" s="396"/>
      <c r="D255" s="396"/>
      <c r="E255" s="396"/>
      <c r="F255" s="402"/>
      <c r="G255" s="396"/>
      <c r="H255" s="396"/>
      <c r="I255" s="396"/>
      <c r="J255" s="396"/>
      <c r="K255" s="396"/>
      <c r="L255" s="396"/>
      <c r="M255" s="396"/>
      <c r="N255" s="396"/>
      <c r="O255" s="396"/>
      <c r="P255" s="402" t="s">
        <v>105</v>
      </c>
      <c r="Q255" s="396" t="s">
        <v>106</v>
      </c>
      <c r="R255" s="402" t="s">
        <v>114</v>
      </c>
      <c r="S255" s="396" t="s">
        <v>106</v>
      </c>
      <c r="T255" s="269"/>
      <c r="U255" s="270"/>
      <c r="V255" s="5"/>
    </row>
    <row r="256" spans="1:23" ht="15.6" x14ac:dyDescent="0.3">
      <c r="A256" s="190"/>
      <c r="B256" s="243" t="s">
        <v>91</v>
      </c>
      <c r="C256" s="217"/>
      <c r="D256" s="217"/>
      <c r="E256" s="217"/>
      <c r="F256" s="191"/>
      <c r="G256" s="217"/>
      <c r="H256" s="217"/>
      <c r="I256" s="217"/>
      <c r="J256" s="217"/>
      <c r="K256" s="217"/>
      <c r="L256" s="217"/>
      <c r="M256" s="217"/>
      <c r="N256" s="217"/>
      <c r="O256" s="217"/>
      <c r="P256" s="243">
        <v>78</v>
      </c>
      <c r="Q256" s="274">
        <f t="shared" ref="Q256:Q263" si="7">P256/$P$265</f>
        <v>0.73584905660377353</v>
      </c>
      <c r="R256" s="251">
        <v>11581</v>
      </c>
      <c r="S256" s="274">
        <f t="shared" ref="S256:S263" si="8">R256/$R$265</f>
        <v>0.71417118894918596</v>
      </c>
      <c r="T256" s="191"/>
      <c r="U256" s="191"/>
      <c r="V256" s="5"/>
    </row>
    <row r="257" spans="1:22" ht="15.6" x14ac:dyDescent="0.3">
      <c r="A257" s="284"/>
      <c r="B257" s="338" t="s">
        <v>92</v>
      </c>
      <c r="C257" s="382"/>
      <c r="D257" s="382"/>
      <c r="E257" s="382"/>
      <c r="F257" s="311"/>
      <c r="G257" s="383"/>
      <c r="H257" s="382"/>
      <c r="I257" s="382"/>
      <c r="J257" s="382"/>
      <c r="K257" s="382"/>
      <c r="L257" s="382"/>
      <c r="M257" s="382"/>
      <c r="N257" s="382"/>
      <c r="O257" s="382"/>
      <c r="P257" s="338">
        <v>3</v>
      </c>
      <c r="Q257" s="384">
        <f t="shared" si="7"/>
        <v>2.8301886792452831E-2</v>
      </c>
      <c r="R257" s="339">
        <v>399</v>
      </c>
      <c r="S257" s="384">
        <f t="shared" si="8"/>
        <v>2.4605328071040947E-2</v>
      </c>
      <c r="T257" s="311"/>
      <c r="U257" s="317"/>
      <c r="V257" s="5"/>
    </row>
    <row r="258" spans="1:22" ht="15.6" x14ac:dyDescent="0.3">
      <c r="A258" s="284"/>
      <c r="B258" s="338" t="s">
        <v>93</v>
      </c>
      <c r="C258" s="382"/>
      <c r="D258" s="382"/>
      <c r="E258" s="382"/>
      <c r="F258" s="311"/>
      <c r="G258" s="383"/>
      <c r="H258" s="382"/>
      <c r="I258" s="382"/>
      <c r="J258" s="382"/>
      <c r="K258" s="382"/>
      <c r="L258" s="382"/>
      <c r="M258" s="382"/>
      <c r="N258" s="382"/>
      <c r="O258" s="382"/>
      <c r="P258" s="338">
        <v>5</v>
      </c>
      <c r="Q258" s="384">
        <f t="shared" si="7"/>
        <v>4.716981132075472E-2</v>
      </c>
      <c r="R258" s="339">
        <v>826</v>
      </c>
      <c r="S258" s="384">
        <f t="shared" si="8"/>
        <v>5.093734583127775E-2</v>
      </c>
      <c r="T258" s="311"/>
      <c r="U258" s="317"/>
      <c r="V258" s="5"/>
    </row>
    <row r="259" spans="1:22" ht="15.6" x14ac:dyDescent="0.3">
      <c r="A259" s="284"/>
      <c r="B259" s="338" t="s">
        <v>163</v>
      </c>
      <c r="C259" s="382"/>
      <c r="D259" s="382"/>
      <c r="E259" s="382"/>
      <c r="F259" s="311"/>
      <c r="G259" s="383"/>
      <c r="H259" s="382"/>
      <c r="I259" s="382"/>
      <c r="J259" s="382"/>
      <c r="K259" s="382"/>
      <c r="L259" s="382"/>
      <c r="M259" s="382"/>
      <c r="N259" s="382"/>
      <c r="O259" s="382"/>
      <c r="P259" s="338">
        <v>2</v>
      </c>
      <c r="Q259" s="384">
        <f t="shared" si="7"/>
        <v>1.8867924528301886E-2</v>
      </c>
      <c r="R259" s="339">
        <v>384</v>
      </c>
      <c r="S259" s="384">
        <f t="shared" si="8"/>
        <v>2.3680315737543166E-2</v>
      </c>
      <c r="T259" s="311"/>
      <c r="U259" s="317"/>
      <c r="V259" s="5"/>
    </row>
    <row r="260" spans="1:22" ht="15.6" x14ac:dyDescent="0.3">
      <c r="A260" s="284"/>
      <c r="B260" s="338" t="s">
        <v>164</v>
      </c>
      <c r="C260" s="382"/>
      <c r="D260" s="382"/>
      <c r="E260" s="382"/>
      <c r="F260" s="311"/>
      <c r="G260" s="383"/>
      <c r="H260" s="382"/>
      <c r="I260" s="382"/>
      <c r="J260" s="382"/>
      <c r="K260" s="382"/>
      <c r="L260" s="382"/>
      <c r="M260" s="382"/>
      <c r="N260" s="382"/>
      <c r="O260" s="382"/>
      <c r="P260" s="338">
        <v>4</v>
      </c>
      <c r="Q260" s="384">
        <f t="shared" si="7"/>
        <v>3.7735849056603772E-2</v>
      </c>
      <c r="R260" s="339">
        <v>485</v>
      </c>
      <c r="S260" s="384">
        <f t="shared" si="8"/>
        <v>2.9908732116428218E-2</v>
      </c>
      <c r="T260" s="311"/>
      <c r="U260" s="317"/>
      <c r="V260" s="5"/>
    </row>
    <row r="261" spans="1:22" ht="15.6" x14ac:dyDescent="0.3">
      <c r="A261" s="284"/>
      <c r="B261" s="338" t="s">
        <v>165</v>
      </c>
      <c r="C261" s="382"/>
      <c r="D261" s="382"/>
      <c r="E261" s="382"/>
      <c r="F261" s="311"/>
      <c r="G261" s="383"/>
      <c r="H261" s="382"/>
      <c r="I261" s="382"/>
      <c r="J261" s="382"/>
      <c r="K261" s="382"/>
      <c r="L261" s="382"/>
      <c r="M261" s="382"/>
      <c r="N261" s="382"/>
      <c r="O261" s="382"/>
      <c r="P261" s="338">
        <v>2</v>
      </c>
      <c r="Q261" s="384">
        <f t="shared" si="7"/>
        <v>1.8867924528301886E-2</v>
      </c>
      <c r="R261" s="339">
        <v>149</v>
      </c>
      <c r="S261" s="384">
        <f t="shared" si="8"/>
        <v>9.1884558460779472E-3</v>
      </c>
      <c r="T261" s="311"/>
      <c r="U261" s="317"/>
      <c r="V261" s="5"/>
    </row>
    <row r="262" spans="1:22" ht="15.6" x14ac:dyDescent="0.3">
      <c r="A262" s="284"/>
      <c r="B262" s="338" t="s">
        <v>166</v>
      </c>
      <c r="C262" s="382"/>
      <c r="D262" s="382"/>
      <c r="E262" s="382"/>
      <c r="F262" s="311"/>
      <c r="G262" s="383"/>
      <c r="H262" s="382"/>
      <c r="I262" s="382"/>
      <c r="J262" s="382"/>
      <c r="K262" s="382"/>
      <c r="L262" s="382"/>
      <c r="M262" s="382"/>
      <c r="N262" s="382"/>
      <c r="O262" s="382"/>
      <c r="P262" s="338">
        <v>5</v>
      </c>
      <c r="Q262" s="384">
        <f t="shared" si="7"/>
        <v>4.716981132075472E-2</v>
      </c>
      <c r="R262" s="339">
        <v>856</v>
      </c>
      <c r="S262" s="384">
        <f t="shared" si="8"/>
        <v>5.2787370498273312E-2</v>
      </c>
      <c r="T262" s="311"/>
      <c r="U262" s="317"/>
      <c r="V262" s="5"/>
    </row>
    <row r="263" spans="1:22" ht="15.6" x14ac:dyDescent="0.3">
      <c r="A263" s="284"/>
      <c r="B263" s="338" t="s">
        <v>167</v>
      </c>
      <c r="C263" s="382"/>
      <c r="D263" s="382"/>
      <c r="E263" s="382"/>
      <c r="F263" s="311"/>
      <c r="G263" s="383"/>
      <c r="H263" s="382"/>
      <c r="I263" s="382"/>
      <c r="J263" s="382"/>
      <c r="K263" s="382"/>
      <c r="L263" s="382"/>
      <c r="M263" s="382"/>
      <c r="N263" s="382"/>
      <c r="O263" s="382"/>
      <c r="P263" s="338">
        <v>7</v>
      </c>
      <c r="Q263" s="384">
        <f t="shared" si="7"/>
        <v>6.6037735849056603E-2</v>
      </c>
      <c r="R263" s="339">
        <v>1536</v>
      </c>
      <c r="S263" s="384">
        <f t="shared" si="8"/>
        <v>9.4721262950172663E-2</v>
      </c>
      <c r="T263" s="311"/>
      <c r="U263" s="317"/>
      <c r="V263" s="5"/>
    </row>
    <row r="264" spans="1:22" ht="15.6" x14ac:dyDescent="0.3">
      <c r="A264" s="284"/>
      <c r="B264" s="338"/>
      <c r="C264" s="382"/>
      <c r="D264" s="382"/>
      <c r="E264" s="382"/>
      <c r="F264" s="311"/>
      <c r="G264" s="383"/>
      <c r="H264" s="382"/>
      <c r="I264" s="382"/>
      <c r="J264" s="382"/>
      <c r="K264" s="382"/>
      <c r="L264" s="382"/>
      <c r="M264" s="382"/>
      <c r="N264" s="382"/>
      <c r="O264" s="382"/>
      <c r="P264" s="338"/>
      <c r="Q264" s="384"/>
      <c r="R264" s="339"/>
      <c r="S264" s="384"/>
      <c r="T264" s="311"/>
      <c r="U264" s="317"/>
      <c r="V264" s="5"/>
    </row>
    <row r="265" spans="1:22" ht="15.6" x14ac:dyDescent="0.3">
      <c r="A265" s="284"/>
      <c r="B265" s="285" t="s">
        <v>120</v>
      </c>
      <c r="C265" s="311"/>
      <c r="D265" s="311"/>
      <c r="E265" s="311"/>
      <c r="F265" s="311"/>
      <c r="G265" s="311"/>
      <c r="H265" s="385"/>
      <c r="I265" s="385"/>
      <c r="J265" s="385"/>
      <c r="K265" s="385"/>
      <c r="L265" s="385"/>
      <c r="M265" s="385"/>
      <c r="N265" s="385"/>
      <c r="O265" s="385"/>
      <c r="P265" s="338">
        <f>SUM(P256:P264)</f>
        <v>106</v>
      </c>
      <c r="Q265" s="384">
        <f>SUM(Q256:Q264)</f>
        <v>0.99999999999999989</v>
      </c>
      <c r="R265" s="339">
        <f>SUM(R256:R264)</f>
        <v>16216</v>
      </c>
      <c r="S265" s="384">
        <f>SUM(S256:S264)</f>
        <v>1</v>
      </c>
      <c r="T265" s="311"/>
      <c r="U265" s="317"/>
      <c r="V265" s="5"/>
    </row>
    <row r="266" spans="1:22" ht="15.6" x14ac:dyDescent="0.3">
      <c r="A266" s="175"/>
      <c r="B266" s="334"/>
      <c r="C266" s="334"/>
      <c r="D266" s="334"/>
      <c r="E266" s="334"/>
      <c r="F266" s="334"/>
      <c r="G266" s="334"/>
      <c r="H266" s="379"/>
      <c r="I266" s="379"/>
      <c r="J266" s="379"/>
      <c r="K266" s="379"/>
      <c r="L266" s="379"/>
      <c r="M266" s="379"/>
      <c r="N266" s="379"/>
      <c r="O266" s="379"/>
      <c r="P266" s="335"/>
      <c r="Q266" s="380"/>
      <c r="R266" s="381"/>
      <c r="S266" s="380"/>
      <c r="T266" s="334"/>
      <c r="U266" s="334"/>
      <c r="V266" s="5"/>
    </row>
    <row r="267" spans="1:22" ht="15.6" x14ac:dyDescent="0.3">
      <c r="A267" s="268"/>
      <c r="B267" s="395" t="s">
        <v>170</v>
      </c>
      <c r="C267" s="269"/>
      <c r="D267" s="269"/>
      <c r="E267" s="269"/>
      <c r="F267" s="269"/>
      <c r="G267" s="269"/>
      <c r="H267" s="271"/>
      <c r="I267" s="271"/>
      <c r="J267" s="271"/>
      <c r="K267" s="271"/>
      <c r="L267" s="271"/>
      <c r="M267" s="271"/>
      <c r="N267" s="271"/>
      <c r="O267" s="271"/>
      <c r="P267" s="402" t="s">
        <v>105</v>
      </c>
      <c r="Q267" s="396" t="s">
        <v>106</v>
      </c>
      <c r="R267" s="402" t="s">
        <v>114</v>
      </c>
      <c r="S267" s="396" t="s">
        <v>106</v>
      </c>
      <c r="T267" s="269"/>
      <c r="U267" s="270"/>
      <c r="V267" s="5"/>
    </row>
    <row r="268" spans="1:22" ht="15.6" x14ac:dyDescent="0.3">
      <c r="A268" s="190"/>
      <c r="B268" s="243" t="s">
        <v>91</v>
      </c>
      <c r="C268" s="239"/>
      <c r="D268" s="239"/>
      <c r="E268" s="239"/>
      <c r="F268" s="239"/>
      <c r="G268" s="239"/>
      <c r="H268" s="275"/>
      <c r="I268" s="275"/>
      <c r="J268" s="275"/>
      <c r="K268" s="275"/>
      <c r="L268" s="218"/>
      <c r="M268" s="218"/>
      <c r="N268" s="218"/>
      <c r="O268" s="218"/>
      <c r="P268" s="243">
        <v>0</v>
      </c>
      <c r="Q268" s="274">
        <v>0</v>
      </c>
      <c r="R268" s="251">
        <v>0</v>
      </c>
      <c r="S268" s="274">
        <v>0</v>
      </c>
      <c r="T268" s="239"/>
      <c r="U268" s="191"/>
      <c r="V268" s="5"/>
    </row>
    <row r="269" spans="1:22" ht="15.6" x14ac:dyDescent="0.3">
      <c r="A269" s="284"/>
      <c r="B269" s="338" t="s">
        <v>92</v>
      </c>
      <c r="C269" s="285"/>
      <c r="D269" s="285"/>
      <c r="E269" s="285"/>
      <c r="F269" s="285"/>
      <c r="G269" s="285"/>
      <c r="H269" s="387"/>
      <c r="I269" s="387"/>
      <c r="J269" s="387"/>
      <c r="K269" s="387"/>
      <c r="L269" s="385"/>
      <c r="M269" s="385"/>
      <c r="N269" s="385"/>
      <c r="O269" s="385"/>
      <c r="P269" s="338">
        <v>0</v>
      </c>
      <c r="Q269" s="384">
        <v>0</v>
      </c>
      <c r="R269" s="339">
        <v>0</v>
      </c>
      <c r="S269" s="384">
        <v>0</v>
      </c>
      <c r="T269" s="285"/>
      <c r="U269" s="317"/>
      <c r="V269" s="5"/>
    </row>
    <row r="270" spans="1:22" ht="15.6" x14ac:dyDescent="0.3">
      <c r="A270" s="284"/>
      <c r="B270" s="338" t="s">
        <v>93</v>
      </c>
      <c r="C270" s="285"/>
      <c r="D270" s="285"/>
      <c r="E270" s="285"/>
      <c r="F270" s="285"/>
      <c r="G270" s="285"/>
      <c r="H270" s="387"/>
      <c r="I270" s="387"/>
      <c r="J270" s="387"/>
      <c r="K270" s="387"/>
      <c r="L270" s="385"/>
      <c r="M270" s="385"/>
      <c r="N270" s="385"/>
      <c r="O270" s="385"/>
      <c r="P270" s="338">
        <v>0</v>
      </c>
      <c r="Q270" s="384">
        <v>0</v>
      </c>
      <c r="R270" s="339">
        <v>0</v>
      </c>
      <c r="S270" s="384">
        <v>0</v>
      </c>
      <c r="T270" s="285"/>
      <c r="U270" s="317"/>
      <c r="V270" s="5"/>
    </row>
    <row r="271" spans="1:22" ht="15.6" x14ac:dyDescent="0.3">
      <c r="A271" s="284"/>
      <c r="B271" s="338" t="s">
        <v>163</v>
      </c>
      <c r="C271" s="285"/>
      <c r="D271" s="285"/>
      <c r="E271" s="285"/>
      <c r="F271" s="285"/>
      <c r="G271" s="285"/>
      <c r="H271" s="387"/>
      <c r="I271" s="387"/>
      <c r="J271" s="387"/>
      <c r="K271" s="387"/>
      <c r="L271" s="385"/>
      <c r="M271" s="385"/>
      <c r="N271" s="385"/>
      <c r="O271" s="385"/>
      <c r="P271" s="338">
        <v>0</v>
      </c>
      <c r="Q271" s="384">
        <v>0</v>
      </c>
      <c r="R271" s="339">
        <v>0</v>
      </c>
      <c r="S271" s="384">
        <v>0</v>
      </c>
      <c r="T271" s="285"/>
      <c r="U271" s="317"/>
      <c r="V271" s="5"/>
    </row>
    <row r="272" spans="1:22" ht="15.6" x14ac:dyDescent="0.3">
      <c r="A272" s="284"/>
      <c r="B272" s="338" t="s">
        <v>164</v>
      </c>
      <c r="C272" s="285"/>
      <c r="D272" s="285"/>
      <c r="E272" s="285"/>
      <c r="F272" s="285"/>
      <c r="G272" s="285"/>
      <c r="H272" s="387"/>
      <c r="I272" s="387"/>
      <c r="J272" s="387"/>
      <c r="K272" s="387"/>
      <c r="L272" s="385"/>
      <c r="M272" s="385"/>
      <c r="N272" s="385"/>
      <c r="O272" s="385"/>
      <c r="P272" s="338">
        <v>0</v>
      </c>
      <c r="Q272" s="384">
        <v>0</v>
      </c>
      <c r="R272" s="339">
        <v>0</v>
      </c>
      <c r="S272" s="384">
        <v>0</v>
      </c>
      <c r="T272" s="285"/>
      <c r="U272" s="317"/>
      <c r="V272" s="5"/>
    </row>
    <row r="273" spans="1:22" ht="15.6" x14ac:dyDescent="0.3">
      <c r="A273" s="284"/>
      <c r="B273" s="338" t="s">
        <v>165</v>
      </c>
      <c r="C273" s="285"/>
      <c r="D273" s="285"/>
      <c r="E273" s="285"/>
      <c r="F273" s="285"/>
      <c r="G273" s="285"/>
      <c r="H273" s="387"/>
      <c r="I273" s="387"/>
      <c r="J273" s="387"/>
      <c r="K273" s="387"/>
      <c r="L273" s="385"/>
      <c r="M273" s="385"/>
      <c r="N273" s="385"/>
      <c r="O273" s="385"/>
      <c r="P273" s="338">
        <v>0</v>
      </c>
      <c r="Q273" s="384">
        <v>0</v>
      </c>
      <c r="R273" s="339">
        <v>0</v>
      </c>
      <c r="S273" s="384">
        <v>0</v>
      </c>
      <c r="T273" s="285"/>
      <c r="U273" s="317"/>
      <c r="V273" s="5"/>
    </row>
    <row r="274" spans="1:22" ht="15.6" x14ac:dyDescent="0.3">
      <c r="A274" s="284"/>
      <c r="B274" s="338" t="s">
        <v>166</v>
      </c>
      <c r="C274" s="285"/>
      <c r="D274" s="285"/>
      <c r="E274" s="285"/>
      <c r="F274" s="285"/>
      <c r="G274" s="285"/>
      <c r="H274" s="387"/>
      <c r="I274" s="387"/>
      <c r="J274" s="387"/>
      <c r="K274" s="387"/>
      <c r="L274" s="385"/>
      <c r="M274" s="385"/>
      <c r="N274" s="385"/>
      <c r="O274" s="385"/>
      <c r="P274" s="338">
        <v>1</v>
      </c>
      <c r="Q274" s="384">
        <f>+P274/P277</f>
        <v>1</v>
      </c>
      <c r="R274" s="339">
        <v>125</v>
      </c>
      <c r="S274" s="384">
        <f>+R274/R277</f>
        <v>1</v>
      </c>
      <c r="T274" s="285"/>
      <c r="U274" s="317"/>
      <c r="V274" s="5"/>
    </row>
    <row r="275" spans="1:22" ht="15.6" x14ac:dyDescent="0.3">
      <c r="A275" s="284"/>
      <c r="B275" s="338" t="s">
        <v>167</v>
      </c>
      <c r="C275" s="285"/>
      <c r="D275" s="285"/>
      <c r="E275" s="285"/>
      <c r="F275" s="285"/>
      <c r="G275" s="285"/>
      <c r="H275" s="387"/>
      <c r="I275" s="387"/>
      <c r="J275" s="387"/>
      <c r="K275" s="387"/>
      <c r="L275" s="385"/>
      <c r="M275" s="385"/>
      <c r="N275" s="385"/>
      <c r="O275" s="385"/>
      <c r="P275" s="338">
        <v>0</v>
      </c>
      <c r="Q275" s="384">
        <v>0</v>
      </c>
      <c r="R275" s="339">
        <v>0</v>
      </c>
      <c r="S275" s="384">
        <v>0</v>
      </c>
      <c r="T275" s="285"/>
      <c r="U275" s="317"/>
      <c r="V275" s="5"/>
    </row>
    <row r="276" spans="1:22" ht="15.6" x14ac:dyDescent="0.3">
      <c r="A276" s="284"/>
      <c r="B276" s="338"/>
      <c r="C276" s="285"/>
      <c r="D276" s="285"/>
      <c r="E276" s="285"/>
      <c r="F276" s="285"/>
      <c r="G276" s="285"/>
      <c r="H276" s="387"/>
      <c r="I276" s="387"/>
      <c r="J276" s="387"/>
      <c r="K276" s="387"/>
      <c r="L276" s="385"/>
      <c r="M276" s="385"/>
      <c r="N276" s="385"/>
      <c r="O276" s="385"/>
      <c r="P276" s="338"/>
      <c r="Q276" s="384"/>
      <c r="R276" s="339"/>
      <c r="S276" s="384"/>
      <c r="T276" s="285"/>
      <c r="U276" s="317"/>
      <c r="V276" s="5"/>
    </row>
    <row r="277" spans="1:22" ht="15.6" x14ac:dyDescent="0.3">
      <c r="A277" s="284"/>
      <c r="B277" s="285" t="s">
        <v>120</v>
      </c>
      <c r="C277" s="285"/>
      <c r="D277" s="285"/>
      <c r="E277" s="285"/>
      <c r="F277" s="285"/>
      <c r="G277" s="285"/>
      <c r="H277" s="387"/>
      <c r="I277" s="387"/>
      <c r="J277" s="387"/>
      <c r="K277" s="387"/>
      <c r="L277" s="385"/>
      <c r="M277" s="385"/>
      <c r="N277" s="385"/>
      <c r="O277" s="385"/>
      <c r="P277" s="338">
        <f>SUM(P268:P275)</f>
        <v>1</v>
      </c>
      <c r="Q277" s="384">
        <f>SUM(Q268:Q276)</f>
        <v>1</v>
      </c>
      <c r="R277" s="339">
        <f>SUM(R268:R275)</f>
        <v>125</v>
      </c>
      <c r="S277" s="384">
        <f>SUM(S268:S276)</f>
        <v>1</v>
      </c>
      <c r="T277" s="285"/>
      <c r="U277" s="317"/>
      <c r="V277" s="5"/>
    </row>
    <row r="278" spans="1:22" ht="15.6" x14ac:dyDescent="0.3">
      <c r="A278" s="284"/>
      <c r="B278" s="285"/>
      <c r="C278" s="285"/>
      <c r="D278" s="285"/>
      <c r="E278" s="285"/>
      <c r="F278" s="285"/>
      <c r="G278" s="285"/>
      <c r="H278" s="387"/>
      <c r="I278" s="387"/>
      <c r="J278" s="387"/>
      <c r="K278" s="387"/>
      <c r="L278" s="385"/>
      <c r="M278" s="385"/>
      <c r="N278" s="385"/>
      <c r="O278" s="385"/>
      <c r="P278" s="344"/>
      <c r="Q278" s="388"/>
      <c r="R278" s="345"/>
      <c r="S278" s="388"/>
      <c r="T278" s="311"/>
      <c r="U278" s="317"/>
      <c r="V278" s="5"/>
    </row>
    <row r="279" spans="1:22" ht="15.6" x14ac:dyDescent="0.3">
      <c r="A279" s="284"/>
      <c r="B279" s="292" t="s">
        <v>171</v>
      </c>
      <c r="C279" s="285"/>
      <c r="D279" s="285"/>
      <c r="E279" s="285"/>
      <c r="F279" s="285"/>
      <c r="G279" s="285"/>
      <c r="H279" s="387"/>
      <c r="I279" s="387"/>
      <c r="J279" s="387"/>
      <c r="K279" s="387"/>
      <c r="L279" s="385"/>
      <c r="M279" s="385"/>
      <c r="N279" s="385"/>
      <c r="O279" s="385"/>
      <c r="P279" s="403">
        <f>P277+P265+P253</f>
        <v>4175</v>
      </c>
      <c r="Q279" s="384"/>
      <c r="R279" s="404">
        <f>+R277+R265+R253</f>
        <v>547726</v>
      </c>
      <c r="S279" s="384"/>
      <c r="T279" s="311"/>
      <c r="U279" s="317"/>
      <c r="V279" s="5"/>
    </row>
    <row r="280" spans="1:22" ht="15.6" x14ac:dyDescent="0.3">
      <c r="A280" s="175"/>
      <c r="B280" s="281"/>
      <c r="C280" s="281"/>
      <c r="D280" s="281"/>
      <c r="E280" s="281"/>
      <c r="F280" s="281"/>
      <c r="G280" s="281"/>
      <c r="H280" s="386"/>
      <c r="I280" s="386"/>
      <c r="J280" s="386"/>
      <c r="K280" s="386"/>
      <c r="L280" s="379"/>
      <c r="M280" s="379"/>
      <c r="N280" s="379"/>
      <c r="O280" s="379"/>
      <c r="P280" s="379"/>
      <c r="Q280" s="379"/>
      <c r="R280" s="381"/>
      <c r="S280" s="379"/>
      <c r="T280" s="334"/>
      <c r="U280" s="334"/>
      <c r="V280" s="5"/>
    </row>
    <row r="281" spans="1:22" ht="15.6" x14ac:dyDescent="0.3">
      <c r="A281" s="175"/>
      <c r="B281" s="231"/>
      <c r="C281" s="231"/>
      <c r="D281" s="231"/>
      <c r="E281" s="231"/>
      <c r="F281" s="231"/>
      <c r="G281" s="231"/>
      <c r="H281" s="276"/>
      <c r="I281" s="276"/>
      <c r="J281" s="276"/>
      <c r="K281" s="276"/>
      <c r="L281" s="219"/>
      <c r="M281" s="219"/>
      <c r="N281" s="219"/>
      <c r="O281" s="219"/>
      <c r="P281" s="219"/>
      <c r="Q281" s="219"/>
      <c r="R281" s="220"/>
      <c r="S281" s="219"/>
      <c r="T281" s="177"/>
      <c r="U281" s="177"/>
      <c r="V281" s="5"/>
    </row>
    <row r="282" spans="1:22" ht="15.6" x14ac:dyDescent="0.3">
      <c r="A282" s="221"/>
      <c r="B282" s="230" t="s">
        <v>94</v>
      </c>
      <c r="C282" s="231"/>
      <c r="D282" s="231"/>
      <c r="E282" s="231"/>
      <c r="F282" s="236" t="s">
        <v>100</v>
      </c>
      <c r="G282" s="231"/>
      <c r="H282" s="230" t="s">
        <v>102</v>
      </c>
      <c r="I282" s="277"/>
      <c r="J282" s="277"/>
      <c r="K282" s="277"/>
      <c r="L282" s="188"/>
      <c r="M282" s="188"/>
      <c r="N282" s="188"/>
      <c r="O282" s="188"/>
      <c r="P282" s="188"/>
      <c r="Q282" s="188"/>
      <c r="R282" s="188"/>
      <c r="S282" s="188"/>
      <c r="T282" s="188"/>
      <c r="U282" s="188"/>
      <c r="V282" s="5"/>
    </row>
    <row r="283" spans="1:22" ht="15.6" x14ac:dyDescent="0.3">
      <c r="A283" s="221"/>
      <c r="B283" s="230" t="s">
        <v>95</v>
      </c>
      <c r="C283" s="230"/>
      <c r="D283" s="230"/>
      <c r="E283" s="230"/>
      <c r="F283" s="278" t="s">
        <v>154</v>
      </c>
      <c r="G283" s="230"/>
      <c r="H283" s="230" t="s">
        <v>158</v>
      </c>
      <c r="I283" s="277"/>
      <c r="J283" s="277"/>
      <c r="K283" s="277"/>
      <c r="L283" s="188"/>
      <c r="M283" s="188"/>
      <c r="N283" s="188"/>
      <c r="O283" s="188"/>
      <c r="P283" s="188"/>
      <c r="Q283" s="188"/>
      <c r="R283" s="188"/>
      <c r="S283" s="188"/>
      <c r="T283" s="188"/>
      <c r="U283" s="188"/>
      <c r="V283" s="5"/>
    </row>
    <row r="284" spans="1:22" ht="15.6" x14ac:dyDescent="0.3">
      <c r="A284" s="221"/>
      <c r="B284" s="230" t="s">
        <v>268</v>
      </c>
      <c r="C284" s="230"/>
      <c r="D284" s="230"/>
      <c r="E284" s="230"/>
      <c r="F284" s="278" t="s">
        <v>269</v>
      </c>
      <c r="G284" s="230"/>
      <c r="H284" s="230" t="s">
        <v>270</v>
      </c>
      <c r="I284" s="277"/>
      <c r="J284" s="277"/>
      <c r="K284" s="277"/>
      <c r="L284" s="188"/>
      <c r="M284" s="188"/>
      <c r="N284" s="188"/>
      <c r="O284" s="188"/>
      <c r="P284" s="188"/>
      <c r="Q284" s="188"/>
      <c r="R284" s="188"/>
      <c r="S284" s="188"/>
      <c r="T284" s="188"/>
      <c r="U284" s="188"/>
      <c r="V284" s="5"/>
    </row>
    <row r="285" spans="1:22" ht="15.6" x14ac:dyDescent="0.3">
      <c r="A285" s="221"/>
      <c r="B285" s="230" t="s">
        <v>96</v>
      </c>
      <c r="C285" s="230"/>
      <c r="D285" s="230"/>
      <c r="E285" s="230"/>
      <c r="F285" s="278" t="s">
        <v>153</v>
      </c>
      <c r="G285" s="230"/>
      <c r="H285" s="230" t="s">
        <v>159</v>
      </c>
      <c r="I285" s="277"/>
      <c r="J285" s="277"/>
      <c r="K285" s="277"/>
      <c r="L285" s="188"/>
      <c r="M285" s="188"/>
      <c r="N285" s="188"/>
      <c r="O285" s="188"/>
      <c r="P285" s="188"/>
      <c r="Q285" s="188"/>
      <c r="R285" s="188"/>
      <c r="S285" s="188"/>
      <c r="T285" s="188"/>
      <c r="U285" s="188"/>
      <c r="V285" s="5"/>
    </row>
    <row r="286" spans="1:22" ht="15.6" x14ac:dyDescent="0.3">
      <c r="A286" s="221"/>
      <c r="B286" s="230"/>
      <c r="C286" s="230"/>
      <c r="D286" s="230"/>
      <c r="E286" s="230"/>
      <c r="F286" s="230"/>
      <c r="G286" s="279"/>
      <c r="H286" s="277"/>
      <c r="I286" s="277"/>
      <c r="J286" s="277"/>
      <c r="K286" s="277"/>
      <c r="L286" s="188"/>
      <c r="M286" s="188"/>
      <c r="N286" s="188"/>
      <c r="O286" s="188"/>
      <c r="P286" s="188"/>
      <c r="Q286" s="188"/>
      <c r="R286" s="188"/>
      <c r="S286" s="188"/>
      <c r="T286" s="188"/>
      <c r="U286" s="188"/>
      <c r="V286" s="5"/>
    </row>
    <row r="287" spans="1:22" ht="15.6" x14ac:dyDescent="0.3">
      <c r="A287" s="221"/>
      <c r="B287" s="230"/>
      <c r="C287" s="230"/>
      <c r="D287" s="230"/>
      <c r="E287" s="230"/>
      <c r="F287" s="230"/>
      <c r="G287" s="279"/>
      <c r="H287" s="277"/>
      <c r="I287" s="277"/>
      <c r="J287" s="277"/>
      <c r="K287" s="277"/>
      <c r="L287" s="188"/>
      <c r="M287" s="188"/>
      <c r="N287" s="188"/>
      <c r="O287" s="188"/>
      <c r="P287" s="188"/>
      <c r="Q287" s="188"/>
      <c r="R287" s="188"/>
      <c r="S287" s="188"/>
      <c r="T287" s="188"/>
      <c r="U287" s="188"/>
      <c r="V287" s="5"/>
    </row>
    <row r="288" spans="1:22" ht="18" thickBot="1" x14ac:dyDescent="0.35">
      <c r="A288" s="221"/>
      <c r="B288" s="280" t="str">
        <f>B193</f>
        <v>PM11 INVESTOR REPORT QUARTER ENDING MARCH 2013</v>
      </c>
      <c r="C288" s="230"/>
      <c r="D288" s="230"/>
      <c r="E288" s="230"/>
      <c r="F288" s="230"/>
      <c r="G288" s="279"/>
      <c r="H288" s="277"/>
      <c r="I288" s="277"/>
      <c r="J288" s="277"/>
      <c r="K288" s="277"/>
      <c r="L288" s="188"/>
      <c r="M288" s="188"/>
      <c r="N288" s="188"/>
      <c r="O288" s="188"/>
      <c r="P288" s="188"/>
      <c r="Q288" s="188"/>
      <c r="R288" s="188"/>
      <c r="S288" s="188"/>
      <c r="T288" s="188"/>
      <c r="U288" s="188"/>
      <c r="V288" s="5"/>
    </row>
    <row r="289" spans="1:21" x14ac:dyDescent="0.25">
      <c r="A289" s="100"/>
      <c r="B289" s="100"/>
      <c r="C289" s="100"/>
      <c r="D289" s="100"/>
      <c r="E289" s="100"/>
      <c r="F289" s="100"/>
      <c r="G289" s="100"/>
      <c r="H289" s="100"/>
      <c r="I289" s="100"/>
      <c r="J289" s="100"/>
      <c r="K289" s="100"/>
      <c r="L289" s="100"/>
      <c r="M289" s="100"/>
      <c r="N289" s="100"/>
      <c r="O289" s="100"/>
      <c r="P289" s="100"/>
      <c r="Q289" s="100"/>
      <c r="R289" s="100"/>
      <c r="S289" s="100"/>
      <c r="T289" s="100"/>
      <c r="U289" s="100"/>
    </row>
  </sheetData>
  <hyperlinks>
    <hyperlink ref="N229" r:id="rId1" xr:uid="{00000000-0004-0000-1B00-000000000000}"/>
    <hyperlink ref="J9" r:id="rId2" xr:uid="{00000000-0004-0000-1B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4" max="20" man="1"/>
    <brk id="133" max="20" man="1"/>
    <brk id="193" max="20" man="1"/>
  </rowBreaks>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89CB31"/>
  </sheetPr>
  <dimension ref="A1:X289"/>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08984375" style="1" customWidth="1"/>
    <col min="10" max="10" width="17.81640625" style="1" customWidth="1"/>
    <col min="11" max="11" width="2.1796875" style="1" customWidth="1"/>
    <col min="12" max="12" width="14.81640625" style="1" customWidth="1"/>
    <col min="13" max="13" width="2.1796875" style="1" customWidth="1"/>
    <col min="14" max="14" width="15.54296875" style="1" customWidth="1"/>
    <col min="15" max="15" width="2.08984375" style="1" customWidth="1"/>
    <col min="16" max="16" width="15.54296875" style="1" customWidth="1"/>
    <col min="17" max="18" width="12.81640625" style="1" customWidth="1"/>
    <col min="19" max="19" width="7.81640625" style="1" customWidth="1"/>
    <col min="20" max="20" width="14.81640625" style="1" customWidth="1"/>
    <col min="21" max="21" width="11.81640625" style="1" customWidth="1"/>
    <col min="22" max="16384" width="9.81640625" style="1"/>
  </cols>
  <sheetData>
    <row r="1" spans="1:22" ht="20.399999999999999" x14ac:dyDescent="0.35">
      <c r="A1" s="173"/>
      <c r="B1" s="228" t="s">
        <v>228</v>
      </c>
      <c r="C1" s="174"/>
      <c r="D1" s="174"/>
      <c r="E1" s="174"/>
      <c r="F1" s="174"/>
      <c r="G1" s="174"/>
      <c r="H1" s="174"/>
      <c r="I1" s="174"/>
      <c r="J1" s="174"/>
      <c r="K1" s="174"/>
      <c r="L1" s="174"/>
      <c r="M1" s="174"/>
      <c r="N1" s="174"/>
      <c r="O1" s="174"/>
      <c r="P1" s="174"/>
      <c r="Q1" s="174"/>
      <c r="R1" s="174"/>
      <c r="S1" s="174"/>
      <c r="T1" s="174"/>
      <c r="U1" s="174"/>
      <c r="V1" s="5"/>
    </row>
    <row r="2" spans="1:22" ht="15.6" x14ac:dyDescent="0.3">
      <c r="A2" s="175"/>
      <c r="B2" s="176"/>
      <c r="C2" s="177"/>
      <c r="D2" s="177"/>
      <c r="E2" s="177"/>
      <c r="F2" s="177"/>
      <c r="G2" s="177"/>
      <c r="H2" s="177"/>
      <c r="I2" s="177"/>
      <c r="J2" s="177"/>
      <c r="K2" s="177"/>
      <c r="L2" s="177"/>
      <c r="M2" s="177"/>
      <c r="N2" s="177"/>
      <c r="O2" s="177"/>
      <c r="P2" s="177"/>
      <c r="Q2" s="177"/>
      <c r="R2" s="177"/>
      <c r="S2" s="177"/>
      <c r="T2" s="177"/>
      <c r="U2" s="177"/>
      <c r="V2" s="5"/>
    </row>
    <row r="3" spans="1:22" ht="15.6" x14ac:dyDescent="0.3">
      <c r="A3" s="178"/>
      <c r="B3" s="179" t="s">
        <v>229</v>
      </c>
      <c r="C3" s="177"/>
      <c r="D3" s="177"/>
      <c r="E3" s="177"/>
      <c r="F3" s="177"/>
      <c r="G3" s="177"/>
      <c r="H3" s="177"/>
      <c r="I3" s="177"/>
      <c r="J3" s="177"/>
      <c r="K3" s="177"/>
      <c r="L3" s="177"/>
      <c r="M3" s="177"/>
      <c r="N3" s="177"/>
      <c r="O3" s="177"/>
      <c r="P3" s="177"/>
      <c r="Q3" s="177"/>
      <c r="R3" s="177"/>
      <c r="S3" s="177"/>
      <c r="T3" s="177"/>
      <c r="U3" s="177"/>
      <c r="V3" s="5"/>
    </row>
    <row r="4" spans="1:22" ht="15.6" x14ac:dyDescent="0.3">
      <c r="A4" s="175"/>
      <c r="B4" s="176"/>
      <c r="C4" s="177"/>
      <c r="D4" s="177"/>
      <c r="E4" s="177"/>
      <c r="F4" s="177"/>
      <c r="G4" s="177"/>
      <c r="H4" s="177"/>
      <c r="I4" s="177"/>
      <c r="J4" s="177"/>
      <c r="K4" s="177"/>
      <c r="L4" s="177"/>
      <c r="M4" s="177"/>
      <c r="N4" s="177"/>
      <c r="O4" s="177"/>
      <c r="P4" s="177"/>
      <c r="Q4" s="177"/>
      <c r="R4" s="177"/>
      <c r="S4" s="177"/>
      <c r="T4" s="177"/>
      <c r="U4" s="177"/>
      <c r="V4" s="5"/>
    </row>
    <row r="5" spans="1:22" ht="15.6" x14ac:dyDescent="0.3">
      <c r="A5" s="175"/>
      <c r="B5" s="229" t="s">
        <v>143</v>
      </c>
      <c r="C5" s="177"/>
      <c r="D5" s="177"/>
      <c r="E5" s="177"/>
      <c r="F5" s="177"/>
      <c r="G5" s="177"/>
      <c r="H5" s="177"/>
      <c r="I5" s="177"/>
      <c r="J5" s="177"/>
      <c r="K5" s="177"/>
      <c r="L5" s="177"/>
      <c r="M5" s="177"/>
      <c r="N5" s="177"/>
      <c r="O5" s="177"/>
      <c r="P5" s="177"/>
      <c r="Q5" s="177"/>
      <c r="R5" s="177"/>
      <c r="S5" s="177"/>
      <c r="T5" s="177"/>
      <c r="U5" s="177"/>
      <c r="V5" s="5"/>
    </row>
    <row r="6" spans="1:22" ht="15.6" x14ac:dyDescent="0.3">
      <c r="A6" s="175"/>
      <c r="B6" s="229" t="s">
        <v>145</v>
      </c>
      <c r="C6" s="177"/>
      <c r="D6" s="177"/>
      <c r="E6" s="177"/>
      <c r="F6" s="177"/>
      <c r="G6" s="177"/>
      <c r="H6" s="177"/>
      <c r="I6" s="177"/>
      <c r="J6" s="177"/>
      <c r="K6" s="177"/>
      <c r="L6" s="177"/>
      <c r="M6" s="177"/>
      <c r="N6" s="177"/>
      <c r="O6" s="177"/>
      <c r="P6" s="177"/>
      <c r="Q6" s="177"/>
      <c r="R6" s="177"/>
      <c r="S6" s="177"/>
      <c r="T6" s="177"/>
      <c r="U6" s="177"/>
      <c r="V6" s="5"/>
    </row>
    <row r="7" spans="1:22" ht="15.6" x14ac:dyDescent="0.3">
      <c r="A7" s="175"/>
      <c r="B7" s="229" t="s">
        <v>144</v>
      </c>
      <c r="C7" s="177"/>
      <c r="D7" s="177"/>
      <c r="E7" s="177"/>
      <c r="F7" s="177"/>
      <c r="G7" s="177"/>
      <c r="H7" s="177"/>
      <c r="I7" s="177"/>
      <c r="J7" s="177"/>
      <c r="K7" s="177"/>
      <c r="L7" s="177"/>
      <c r="M7" s="177"/>
      <c r="N7" s="177"/>
      <c r="O7" s="177"/>
      <c r="P7" s="177"/>
      <c r="Q7" s="177"/>
      <c r="R7" s="177"/>
      <c r="S7" s="177"/>
      <c r="T7" s="177"/>
      <c r="U7" s="177"/>
      <c r="V7" s="5"/>
    </row>
    <row r="8" spans="1:22" ht="15.6" x14ac:dyDescent="0.3">
      <c r="A8" s="175"/>
      <c r="B8" s="180"/>
      <c r="C8" s="177"/>
      <c r="D8" s="177"/>
      <c r="E8" s="177"/>
      <c r="F8" s="177"/>
      <c r="G8" s="177"/>
      <c r="H8" s="177"/>
      <c r="I8" s="177"/>
      <c r="J8" s="177"/>
      <c r="K8" s="177"/>
      <c r="L8" s="177"/>
      <c r="M8" s="177"/>
      <c r="N8" s="177"/>
      <c r="O8" s="177"/>
      <c r="P8" s="177"/>
      <c r="Q8" s="177"/>
      <c r="R8" s="177"/>
      <c r="S8" s="177"/>
      <c r="T8" s="177"/>
      <c r="U8" s="177"/>
      <c r="V8" s="5"/>
    </row>
    <row r="9" spans="1:22" ht="17.399999999999999" x14ac:dyDescent="0.3">
      <c r="A9" s="175"/>
      <c r="B9" s="181" t="s">
        <v>173</v>
      </c>
      <c r="C9" s="177"/>
      <c r="D9" s="177"/>
      <c r="E9" s="177"/>
      <c r="F9" s="177"/>
      <c r="G9" s="177"/>
      <c r="H9" s="177"/>
      <c r="I9" s="177"/>
      <c r="J9" s="182" t="s">
        <v>174</v>
      </c>
      <c r="K9" s="177"/>
      <c r="L9" s="182"/>
      <c r="M9" s="177"/>
      <c r="N9" s="177"/>
      <c r="O9" s="177"/>
      <c r="P9" s="177"/>
      <c r="Q9" s="177"/>
      <c r="R9" s="177"/>
      <c r="S9" s="177"/>
      <c r="T9" s="177"/>
      <c r="U9" s="177"/>
      <c r="V9" s="5"/>
    </row>
    <row r="10" spans="1:22" ht="15.6" x14ac:dyDescent="0.3">
      <c r="A10" s="175"/>
      <c r="B10" s="180"/>
      <c r="C10" s="183"/>
      <c r="D10" s="183"/>
      <c r="E10" s="183"/>
      <c r="F10" s="177"/>
      <c r="G10" s="177"/>
      <c r="H10" s="177"/>
      <c r="I10" s="177"/>
      <c r="J10" s="177"/>
      <c r="K10" s="177"/>
      <c r="L10" s="177"/>
      <c r="M10" s="177"/>
      <c r="N10" s="177"/>
      <c r="O10" s="177"/>
      <c r="P10" s="177"/>
      <c r="Q10" s="177"/>
      <c r="R10" s="177"/>
      <c r="S10" s="177"/>
      <c r="T10" s="177"/>
      <c r="U10" s="177"/>
      <c r="V10" s="5"/>
    </row>
    <row r="11" spans="1:22" ht="15.6" x14ac:dyDescent="0.3">
      <c r="A11" s="175"/>
      <c r="B11" s="230" t="s">
        <v>0</v>
      </c>
      <c r="C11" s="177"/>
      <c r="D11" s="177"/>
      <c r="E11" s="177"/>
      <c r="F11" s="177"/>
      <c r="G11" s="177"/>
      <c r="H11" s="177"/>
      <c r="I11" s="177"/>
      <c r="J11" s="177"/>
      <c r="K11" s="177"/>
      <c r="L11" s="177"/>
      <c r="M11" s="177"/>
      <c r="N11" s="177"/>
      <c r="O11" s="177"/>
      <c r="P11" s="177"/>
      <c r="Q11" s="177"/>
      <c r="R11" s="177"/>
      <c r="S11" s="177"/>
      <c r="T11" s="177"/>
      <c r="U11" s="177"/>
      <c r="V11" s="5"/>
    </row>
    <row r="12" spans="1:22" ht="16.2" thickBot="1" x14ac:dyDescent="0.35">
      <c r="A12" s="175"/>
      <c r="B12" s="183"/>
      <c r="C12" s="177"/>
      <c r="D12" s="177"/>
      <c r="E12" s="177"/>
      <c r="F12" s="177"/>
      <c r="G12" s="177"/>
      <c r="H12" s="177"/>
      <c r="I12" s="177"/>
      <c r="J12" s="177"/>
      <c r="K12" s="177"/>
      <c r="L12" s="177"/>
      <c r="M12" s="177"/>
      <c r="N12" s="177"/>
      <c r="O12" s="177"/>
      <c r="P12" s="177"/>
      <c r="Q12" s="177"/>
      <c r="R12" s="177"/>
      <c r="S12" s="177"/>
      <c r="T12" s="177"/>
      <c r="U12" s="177"/>
      <c r="V12" s="5"/>
    </row>
    <row r="13" spans="1:22" ht="15.6" x14ac:dyDescent="0.3">
      <c r="A13" s="173"/>
      <c r="B13" s="174"/>
      <c r="C13" s="174"/>
      <c r="D13" s="174"/>
      <c r="E13" s="174"/>
      <c r="F13" s="174"/>
      <c r="G13" s="174"/>
      <c r="H13" s="174"/>
      <c r="I13" s="174"/>
      <c r="J13" s="174"/>
      <c r="K13" s="174"/>
      <c r="L13" s="174"/>
      <c r="M13" s="174"/>
      <c r="N13" s="174"/>
      <c r="O13" s="174"/>
      <c r="P13" s="174"/>
      <c r="Q13" s="174"/>
      <c r="R13" s="174"/>
      <c r="S13" s="174"/>
      <c r="T13" s="174"/>
      <c r="U13" s="174"/>
      <c r="V13" s="5"/>
    </row>
    <row r="14" spans="1:22" ht="15.6" x14ac:dyDescent="0.3">
      <c r="A14" s="175"/>
      <c r="B14" s="230" t="s">
        <v>1</v>
      </c>
      <c r="C14" s="184"/>
      <c r="D14" s="184"/>
      <c r="E14" s="184"/>
      <c r="F14" s="184"/>
      <c r="G14" s="184"/>
      <c r="H14" s="184"/>
      <c r="I14" s="184"/>
      <c r="J14" s="184"/>
      <c r="K14" s="184"/>
      <c r="L14" s="184"/>
      <c r="M14" s="184"/>
      <c r="N14" s="184"/>
      <c r="O14" s="184"/>
      <c r="P14" s="231"/>
      <c r="Q14" s="231"/>
      <c r="R14" s="231"/>
      <c r="S14" s="231"/>
      <c r="T14" s="233" t="s">
        <v>230</v>
      </c>
      <c r="U14" s="184"/>
      <c r="V14" s="5"/>
    </row>
    <row r="15" spans="1:22" ht="15.6" x14ac:dyDescent="0.3">
      <c r="A15" s="175"/>
      <c r="B15" s="230" t="s">
        <v>2</v>
      </c>
      <c r="C15" s="184"/>
      <c r="D15" s="184"/>
      <c r="E15" s="184"/>
      <c r="F15" s="184"/>
      <c r="G15" s="184"/>
      <c r="H15" s="185"/>
      <c r="I15" s="185"/>
      <c r="J15" s="185"/>
      <c r="K15" s="185"/>
      <c r="L15" s="185"/>
      <c r="M15" s="185"/>
      <c r="N15" s="185"/>
      <c r="O15" s="185"/>
      <c r="P15" s="234" t="s">
        <v>107</v>
      </c>
      <c r="Q15" s="235">
        <v>0.40749999999999997</v>
      </c>
      <c r="R15" s="236" t="s">
        <v>146</v>
      </c>
      <c r="S15" s="235">
        <v>0.59250000000000003</v>
      </c>
      <c r="T15" s="233"/>
      <c r="U15" s="184"/>
      <c r="V15" s="5"/>
    </row>
    <row r="16" spans="1:22" ht="15.6" x14ac:dyDescent="0.3">
      <c r="A16" s="175"/>
      <c r="B16" s="230" t="s">
        <v>3</v>
      </c>
      <c r="C16" s="184"/>
      <c r="D16" s="184"/>
      <c r="E16" s="184"/>
      <c r="F16" s="184"/>
      <c r="G16" s="184"/>
      <c r="H16" s="185"/>
      <c r="I16" s="185"/>
      <c r="J16" s="185"/>
      <c r="K16" s="185"/>
      <c r="L16" s="185"/>
      <c r="M16" s="185"/>
      <c r="N16" s="185"/>
      <c r="O16" s="185"/>
      <c r="P16" s="234" t="s">
        <v>107</v>
      </c>
      <c r="Q16" s="235">
        <v>0.4531</v>
      </c>
      <c r="R16" s="236" t="s">
        <v>146</v>
      </c>
      <c r="S16" s="235">
        <v>0.54690000000000005</v>
      </c>
      <c r="T16" s="233"/>
      <c r="U16" s="184"/>
      <c r="V16" s="5"/>
    </row>
    <row r="17" spans="1:22" ht="15.6" x14ac:dyDescent="0.3">
      <c r="A17" s="175"/>
      <c r="B17" s="230" t="s">
        <v>4</v>
      </c>
      <c r="C17" s="184"/>
      <c r="D17" s="184"/>
      <c r="E17" s="184"/>
      <c r="F17" s="184"/>
      <c r="G17" s="184"/>
      <c r="H17" s="184"/>
      <c r="I17" s="184"/>
      <c r="J17" s="184"/>
      <c r="K17" s="184"/>
      <c r="L17" s="184"/>
      <c r="M17" s="184"/>
      <c r="N17" s="184"/>
      <c r="O17" s="184"/>
      <c r="P17" s="231"/>
      <c r="Q17" s="231"/>
      <c r="R17" s="231"/>
      <c r="S17" s="231"/>
      <c r="T17" s="237">
        <v>38799</v>
      </c>
      <c r="U17" s="184"/>
      <c r="V17" s="5"/>
    </row>
    <row r="18" spans="1:22" ht="15.6" x14ac:dyDescent="0.3">
      <c r="A18" s="175"/>
      <c r="B18" s="230" t="s">
        <v>5</v>
      </c>
      <c r="C18" s="184"/>
      <c r="D18" s="184"/>
      <c r="E18" s="184"/>
      <c r="F18" s="184"/>
      <c r="G18" s="184"/>
      <c r="H18" s="184"/>
      <c r="I18" s="184"/>
      <c r="J18" s="184"/>
      <c r="K18" s="184"/>
      <c r="L18" s="184"/>
      <c r="M18" s="184"/>
      <c r="N18" s="184"/>
      <c r="O18" s="184"/>
      <c r="P18" s="231"/>
      <c r="Q18" s="231"/>
      <c r="R18" s="231"/>
      <c r="S18" s="231"/>
      <c r="T18" s="237">
        <v>41474</v>
      </c>
      <c r="U18" s="184"/>
      <c r="V18" s="5"/>
    </row>
    <row r="19" spans="1:22" ht="15.6" x14ac:dyDescent="0.3">
      <c r="A19" s="175"/>
      <c r="B19" s="177"/>
      <c r="C19" s="177"/>
      <c r="D19" s="177"/>
      <c r="E19" s="177"/>
      <c r="F19" s="177"/>
      <c r="G19" s="177"/>
      <c r="H19" s="177"/>
      <c r="I19" s="177"/>
      <c r="J19" s="177"/>
      <c r="K19" s="177"/>
      <c r="L19" s="177"/>
      <c r="M19" s="177"/>
      <c r="N19" s="177"/>
      <c r="O19" s="177"/>
      <c r="P19" s="177"/>
      <c r="Q19" s="177"/>
      <c r="R19" s="177"/>
      <c r="S19" s="177"/>
      <c r="T19" s="186"/>
      <c r="U19" s="177"/>
      <c r="V19" s="5"/>
    </row>
    <row r="20" spans="1:22" ht="15.6" x14ac:dyDescent="0.3">
      <c r="A20" s="175"/>
      <c r="B20" s="232" t="s">
        <v>6</v>
      </c>
      <c r="C20" s="177"/>
      <c r="D20" s="177"/>
      <c r="E20" s="177"/>
      <c r="F20" s="177"/>
      <c r="G20" s="177"/>
      <c r="H20" s="177"/>
      <c r="I20" s="177"/>
      <c r="J20" s="177"/>
      <c r="K20" s="177"/>
      <c r="L20" s="177"/>
      <c r="M20" s="177"/>
      <c r="N20" s="177"/>
      <c r="O20" s="177"/>
      <c r="P20" s="177"/>
      <c r="Q20" s="177"/>
      <c r="R20" s="238" t="s">
        <v>108</v>
      </c>
      <c r="S20" s="177"/>
      <c r="T20" s="188"/>
      <c r="U20" s="177"/>
      <c r="V20" s="5"/>
    </row>
    <row r="21" spans="1:22" ht="15.6" x14ac:dyDescent="0.3">
      <c r="A21" s="175"/>
      <c r="B21" s="177"/>
      <c r="C21" s="177"/>
      <c r="D21" s="177"/>
      <c r="E21" s="177"/>
      <c r="F21" s="177"/>
      <c r="G21" s="177"/>
      <c r="H21" s="177"/>
      <c r="I21" s="177"/>
      <c r="J21" s="177"/>
      <c r="K21" s="177"/>
      <c r="L21" s="177"/>
      <c r="M21" s="177"/>
      <c r="N21" s="177"/>
      <c r="O21" s="177"/>
      <c r="P21" s="177"/>
      <c r="Q21" s="177"/>
      <c r="R21" s="177"/>
      <c r="S21" s="177"/>
      <c r="T21" s="189"/>
      <c r="U21" s="177"/>
      <c r="V21" s="5"/>
    </row>
    <row r="22" spans="1:22" ht="15.6" x14ac:dyDescent="0.3">
      <c r="A22" s="222"/>
      <c r="B22" s="223"/>
      <c r="C22" s="224"/>
      <c r="D22" s="224" t="s">
        <v>184</v>
      </c>
      <c r="E22" s="224"/>
      <c r="F22" s="224" t="s">
        <v>185</v>
      </c>
      <c r="G22" s="224"/>
      <c r="H22" s="224" t="s">
        <v>186</v>
      </c>
      <c r="I22" s="224"/>
      <c r="J22" s="224" t="s">
        <v>187</v>
      </c>
      <c r="K22" s="224"/>
      <c r="L22" s="224" t="s">
        <v>188</v>
      </c>
      <c r="M22" s="224"/>
      <c r="N22" s="224" t="s">
        <v>189</v>
      </c>
      <c r="O22" s="224"/>
      <c r="P22" s="224"/>
      <c r="Q22" s="226"/>
      <c r="R22" s="226"/>
      <c r="S22" s="227"/>
      <c r="T22" s="227"/>
      <c r="U22" s="223"/>
      <c r="V22" s="5"/>
    </row>
    <row r="23" spans="1:22" ht="15.6" x14ac:dyDescent="0.3">
      <c r="A23" s="190"/>
      <c r="B23" s="239" t="s">
        <v>7</v>
      </c>
      <c r="C23" s="240"/>
      <c r="D23" s="240" t="s">
        <v>222</v>
      </c>
      <c r="E23" s="240"/>
      <c r="F23" s="240" t="s">
        <v>147</v>
      </c>
      <c r="G23" s="240"/>
      <c r="H23" s="240" t="s">
        <v>147</v>
      </c>
      <c r="I23" s="240"/>
      <c r="J23" s="240" t="s">
        <v>190</v>
      </c>
      <c r="K23" s="240"/>
      <c r="L23" s="240" t="s">
        <v>190</v>
      </c>
      <c r="M23" s="240"/>
      <c r="N23" s="240" t="s">
        <v>148</v>
      </c>
      <c r="O23" s="240"/>
      <c r="P23" s="240"/>
      <c r="Q23" s="240"/>
      <c r="R23" s="240"/>
      <c r="S23" s="241"/>
      <c r="T23" s="241"/>
      <c r="U23" s="239"/>
      <c r="V23" s="5"/>
    </row>
    <row r="24" spans="1:22" ht="15.6" x14ac:dyDescent="0.3">
      <c r="A24" s="284"/>
      <c r="B24" s="285" t="s">
        <v>8</v>
      </c>
      <c r="C24" s="286"/>
      <c r="D24" s="286" t="s">
        <v>223</v>
      </c>
      <c r="E24" s="286"/>
      <c r="F24" s="286" t="s">
        <v>149</v>
      </c>
      <c r="G24" s="286"/>
      <c r="H24" s="286" t="s">
        <v>149</v>
      </c>
      <c r="I24" s="286"/>
      <c r="J24" s="286" t="s">
        <v>172</v>
      </c>
      <c r="K24" s="286"/>
      <c r="L24" s="286" t="s">
        <v>172</v>
      </c>
      <c r="M24" s="286"/>
      <c r="N24" s="286" t="s">
        <v>150</v>
      </c>
      <c r="O24" s="286"/>
      <c r="P24" s="286"/>
      <c r="Q24" s="286"/>
      <c r="R24" s="286"/>
      <c r="S24" s="287"/>
      <c r="T24" s="287"/>
      <c r="U24" s="288"/>
      <c r="V24" s="5"/>
    </row>
    <row r="25" spans="1:22" ht="15.6" x14ac:dyDescent="0.3">
      <c r="A25" s="289"/>
      <c r="B25" s="285" t="s">
        <v>198</v>
      </c>
      <c r="C25" s="394"/>
      <c r="D25" s="286" t="s">
        <v>224</v>
      </c>
      <c r="E25" s="286"/>
      <c r="F25" s="286" t="s">
        <v>149</v>
      </c>
      <c r="G25" s="286"/>
      <c r="H25" s="286" t="s">
        <v>149</v>
      </c>
      <c r="I25" s="286"/>
      <c r="J25" s="286" t="s">
        <v>172</v>
      </c>
      <c r="K25" s="286"/>
      <c r="L25" s="286" t="s">
        <v>172</v>
      </c>
      <c r="M25" s="286"/>
      <c r="N25" s="286" t="s">
        <v>150</v>
      </c>
      <c r="O25" s="286"/>
      <c r="P25" s="286"/>
      <c r="Q25" s="394"/>
      <c r="R25" s="286"/>
      <c r="S25" s="287"/>
      <c r="T25" s="287"/>
      <c r="U25" s="288"/>
      <c r="V25" s="5"/>
    </row>
    <row r="26" spans="1:22" ht="15.6" x14ac:dyDescent="0.3">
      <c r="A26" s="289"/>
      <c r="B26" s="292" t="s">
        <v>9</v>
      </c>
      <c r="C26" s="394"/>
      <c r="D26" s="394" t="s">
        <v>306</v>
      </c>
      <c r="E26" s="394"/>
      <c r="F26" s="394" t="s">
        <v>147</v>
      </c>
      <c r="G26" s="394"/>
      <c r="H26" s="394" t="s">
        <v>147</v>
      </c>
      <c r="I26" s="394"/>
      <c r="J26" s="394" t="s">
        <v>190</v>
      </c>
      <c r="K26" s="394"/>
      <c r="L26" s="394" t="s">
        <v>190</v>
      </c>
      <c r="M26" s="394"/>
      <c r="N26" s="394" t="s">
        <v>148</v>
      </c>
      <c r="O26" s="394"/>
      <c r="P26" s="394"/>
      <c r="Q26" s="394"/>
      <c r="R26" s="286"/>
      <c r="S26" s="287"/>
      <c r="T26" s="287"/>
      <c r="U26" s="288"/>
      <c r="V26" s="5"/>
    </row>
    <row r="27" spans="1:22" ht="15.6" x14ac:dyDescent="0.3">
      <c r="A27" s="284"/>
      <c r="B27" s="292" t="s">
        <v>199</v>
      </c>
      <c r="C27" s="286"/>
      <c r="D27" s="394" t="s">
        <v>307</v>
      </c>
      <c r="E27" s="394"/>
      <c r="F27" s="394" t="s">
        <v>172</v>
      </c>
      <c r="G27" s="394"/>
      <c r="H27" s="394" t="s">
        <v>172</v>
      </c>
      <c r="I27" s="394"/>
      <c r="J27" s="394" t="s">
        <v>150</v>
      </c>
      <c r="K27" s="394"/>
      <c r="L27" s="394" t="s">
        <v>150</v>
      </c>
      <c r="M27" s="394"/>
      <c r="N27" s="394" t="s">
        <v>308</v>
      </c>
      <c r="O27" s="394"/>
      <c r="P27" s="394"/>
      <c r="Q27" s="286"/>
      <c r="R27" s="293"/>
      <c r="S27" s="287"/>
      <c r="T27" s="287"/>
      <c r="U27" s="288"/>
      <c r="V27" s="5"/>
    </row>
    <row r="28" spans="1:22" ht="15.6" x14ac:dyDescent="0.3">
      <c r="A28" s="284"/>
      <c r="B28" s="292" t="s">
        <v>200</v>
      </c>
      <c r="C28" s="286"/>
      <c r="D28" s="394" t="s">
        <v>302</v>
      </c>
      <c r="E28" s="394"/>
      <c r="F28" s="394" t="s">
        <v>149</v>
      </c>
      <c r="G28" s="394"/>
      <c r="H28" s="394" t="s">
        <v>149</v>
      </c>
      <c r="I28" s="394"/>
      <c r="J28" s="394" t="s">
        <v>172</v>
      </c>
      <c r="K28" s="394"/>
      <c r="L28" s="394" t="s">
        <v>172</v>
      </c>
      <c r="M28" s="394"/>
      <c r="N28" s="394" t="s">
        <v>150</v>
      </c>
      <c r="O28" s="394"/>
      <c r="P28" s="394"/>
      <c r="Q28" s="286"/>
      <c r="R28" s="293"/>
      <c r="S28" s="287"/>
      <c r="T28" s="287"/>
      <c r="U28" s="288"/>
      <c r="V28" s="5"/>
    </row>
    <row r="29" spans="1:22" ht="15.6" x14ac:dyDescent="0.3">
      <c r="A29" s="284"/>
      <c r="B29" s="285" t="s">
        <v>10</v>
      </c>
      <c r="C29" s="295"/>
      <c r="D29" s="286" t="s">
        <v>237</v>
      </c>
      <c r="E29" s="286"/>
      <c r="F29" s="293" t="s">
        <v>238</v>
      </c>
      <c r="G29" s="286"/>
      <c r="H29" s="286" t="s">
        <v>239</v>
      </c>
      <c r="I29" s="286"/>
      <c r="J29" s="286" t="s">
        <v>240</v>
      </c>
      <c r="K29" s="286"/>
      <c r="L29" s="286" t="s">
        <v>241</v>
      </c>
      <c r="M29" s="286"/>
      <c r="N29" s="286" t="s">
        <v>242</v>
      </c>
      <c r="O29" s="286"/>
      <c r="P29" s="286"/>
      <c r="Q29" s="296"/>
      <c r="R29" s="296"/>
      <c r="S29" s="297"/>
      <c r="T29" s="296"/>
      <c r="U29" s="298"/>
      <c r="V29" s="5"/>
    </row>
    <row r="30" spans="1:22" ht="15.6" x14ac:dyDescent="0.3">
      <c r="A30" s="284"/>
      <c r="B30" s="285" t="s">
        <v>10</v>
      </c>
      <c r="C30" s="295"/>
      <c r="D30" s="286" t="s">
        <v>236</v>
      </c>
      <c r="E30" s="286"/>
      <c r="F30" s="293" t="s">
        <v>124</v>
      </c>
      <c r="G30" s="286"/>
      <c r="H30" s="286" t="s">
        <v>124</v>
      </c>
      <c r="I30" s="286"/>
      <c r="J30" s="286" t="s">
        <v>124</v>
      </c>
      <c r="K30" s="286"/>
      <c r="L30" s="286" t="s">
        <v>124</v>
      </c>
      <c r="M30" s="286"/>
      <c r="N30" s="286" t="s">
        <v>124</v>
      </c>
      <c r="O30" s="286"/>
      <c r="P30" s="286"/>
      <c r="Q30" s="296"/>
      <c r="R30" s="296"/>
      <c r="S30" s="297"/>
      <c r="T30" s="296"/>
      <c r="U30" s="298"/>
      <c r="V30" s="5"/>
    </row>
    <row r="31" spans="1:22" ht="15.6" x14ac:dyDescent="0.3">
      <c r="A31" s="289"/>
      <c r="B31" s="285" t="s">
        <v>139</v>
      </c>
      <c r="C31" s="299"/>
      <c r="D31" s="300">
        <v>985000</v>
      </c>
      <c r="E31" s="295"/>
      <c r="F31" s="296">
        <v>149500</v>
      </c>
      <c r="G31" s="296"/>
      <c r="H31" s="301">
        <v>219700</v>
      </c>
      <c r="I31" s="296"/>
      <c r="J31" s="296">
        <v>16000</v>
      </c>
      <c r="K31" s="296"/>
      <c r="L31" s="301">
        <v>82400</v>
      </c>
      <c r="M31" s="296"/>
      <c r="N31" s="301">
        <v>87500</v>
      </c>
      <c r="O31" s="296"/>
      <c r="P31" s="301"/>
      <c r="Q31" s="302"/>
      <c r="R31" s="302"/>
      <c r="S31" s="303"/>
      <c r="T31" s="302"/>
      <c r="U31" s="298"/>
      <c r="V31" s="5"/>
    </row>
    <row r="32" spans="1:22" ht="15.6" x14ac:dyDescent="0.3">
      <c r="A32" s="284"/>
      <c r="B32" s="285" t="s">
        <v>138</v>
      </c>
      <c r="C32" s="295"/>
      <c r="D32" s="300">
        <f>D38*D31</f>
        <v>471407.80099999998</v>
      </c>
      <c r="E32" s="295"/>
      <c r="F32" s="296">
        <f>F38*F31</f>
        <v>71548.876099999994</v>
      </c>
      <c r="G32" s="296"/>
      <c r="H32" s="301">
        <f>H38*H31</f>
        <v>105145.73966000001</v>
      </c>
      <c r="I32" s="296"/>
      <c r="J32" s="296">
        <f>+J31</f>
        <v>16000</v>
      </c>
      <c r="K32" s="296"/>
      <c r="L32" s="301">
        <f>+L31</f>
        <v>82400</v>
      </c>
      <c r="M32" s="296"/>
      <c r="N32" s="301">
        <f>+N31</f>
        <v>87500</v>
      </c>
      <c r="O32" s="296"/>
      <c r="P32" s="301"/>
      <c r="Q32" s="296"/>
      <c r="R32" s="296"/>
      <c r="S32" s="297"/>
      <c r="T32" s="296"/>
      <c r="U32" s="298"/>
      <c r="V32" s="5"/>
    </row>
    <row r="33" spans="1:22" ht="15.6" x14ac:dyDescent="0.3">
      <c r="A33" s="284"/>
      <c r="B33" s="292" t="s">
        <v>140</v>
      </c>
      <c r="C33" s="295"/>
      <c r="D33" s="304">
        <f>D37*D31</f>
        <v>468073.87150000001</v>
      </c>
      <c r="E33" s="299"/>
      <c r="F33" s="302">
        <f>F37*F31</f>
        <v>71042.878400000001</v>
      </c>
      <c r="G33" s="302"/>
      <c r="H33" s="305">
        <f>H31*H37</f>
        <v>104402.14304</v>
      </c>
      <c r="I33" s="302"/>
      <c r="J33" s="302">
        <f>J31*J37</f>
        <v>16000</v>
      </c>
      <c r="K33" s="302"/>
      <c r="L33" s="305">
        <f>L31*L37</f>
        <v>82400</v>
      </c>
      <c r="M33" s="302"/>
      <c r="N33" s="305">
        <f>N31*N37</f>
        <v>87500</v>
      </c>
      <c r="O33" s="302"/>
      <c r="P33" s="305"/>
      <c r="Q33" s="296"/>
      <c r="R33" s="296"/>
      <c r="S33" s="297"/>
      <c r="T33" s="296"/>
      <c r="U33" s="298"/>
      <c r="V33" s="5"/>
    </row>
    <row r="34" spans="1:22" ht="15.6" x14ac:dyDescent="0.3">
      <c r="A34" s="289"/>
      <c r="B34" s="285" t="s">
        <v>283</v>
      </c>
      <c r="C34" s="299"/>
      <c r="D34" s="296">
        <v>567282</v>
      </c>
      <c r="E34" s="295"/>
      <c r="F34" s="296">
        <v>149500</v>
      </c>
      <c r="G34" s="296"/>
      <c r="H34" s="296">
        <v>150716</v>
      </c>
      <c r="I34" s="296"/>
      <c r="J34" s="296">
        <v>16000</v>
      </c>
      <c r="K34" s="296"/>
      <c r="L34" s="296">
        <v>56527</v>
      </c>
      <c r="M34" s="296"/>
      <c r="N34" s="296">
        <v>60025</v>
      </c>
      <c r="O34" s="296"/>
      <c r="P34" s="296"/>
      <c r="Q34" s="302"/>
      <c r="R34" s="302"/>
      <c r="S34" s="303"/>
      <c r="T34" s="296">
        <f>SUM(C34:P34)</f>
        <v>1000050</v>
      </c>
      <c r="U34" s="298"/>
      <c r="V34" s="5"/>
    </row>
    <row r="35" spans="1:22" ht="15.6" x14ac:dyDescent="0.3">
      <c r="A35" s="289"/>
      <c r="B35" s="285" t="s">
        <v>284</v>
      </c>
      <c r="C35" s="299"/>
      <c r="D35" s="296">
        <f>D38*D34</f>
        <v>271493.56362119998</v>
      </c>
      <c r="E35" s="295"/>
      <c r="F35" s="296">
        <f>F38*F34</f>
        <v>71548.876099999994</v>
      </c>
      <c r="G35" s="296"/>
      <c r="H35" s="296">
        <f>H38*H34</f>
        <v>72130.838864799996</v>
      </c>
      <c r="I35" s="296"/>
      <c r="J35" s="296">
        <f>+J34</f>
        <v>16000</v>
      </c>
      <c r="K35" s="296"/>
      <c r="L35" s="296">
        <f>+L34</f>
        <v>56527</v>
      </c>
      <c r="M35" s="296"/>
      <c r="N35" s="296">
        <f>+N34</f>
        <v>60025</v>
      </c>
      <c r="O35" s="296"/>
      <c r="P35" s="296"/>
      <c r="Q35" s="296"/>
      <c r="R35" s="296"/>
      <c r="S35" s="297"/>
      <c r="T35" s="296">
        <f>SUM(C35:P35)+1</f>
        <v>547726.27858599997</v>
      </c>
      <c r="U35" s="298"/>
      <c r="V35" s="5"/>
    </row>
    <row r="36" spans="1:22" ht="15.6" x14ac:dyDescent="0.3">
      <c r="A36" s="289"/>
      <c r="B36" s="292" t="s">
        <v>285</v>
      </c>
      <c r="C36" s="299"/>
      <c r="D36" s="302">
        <f>D37*D34</f>
        <v>269573.48423579999</v>
      </c>
      <c r="E36" s="299"/>
      <c r="F36" s="302">
        <f>F37*F34</f>
        <v>71042.878400000001</v>
      </c>
      <c r="G36" s="302"/>
      <c r="H36" s="302">
        <f>H37*H34</f>
        <v>71620.725491199992</v>
      </c>
      <c r="I36" s="302"/>
      <c r="J36" s="302">
        <f>+J34</f>
        <v>16000</v>
      </c>
      <c r="K36" s="302"/>
      <c r="L36" s="302">
        <f>+L34</f>
        <v>56527</v>
      </c>
      <c r="M36" s="302"/>
      <c r="N36" s="302">
        <f>+N34</f>
        <v>60025</v>
      </c>
      <c r="O36" s="302"/>
      <c r="P36" s="302"/>
      <c r="Q36" s="327"/>
      <c r="R36" s="327"/>
      <c r="S36" s="297"/>
      <c r="T36" s="302">
        <f>SUM(C36:P36)+1</f>
        <v>544790.08812700002</v>
      </c>
      <c r="U36" s="298"/>
      <c r="V36" s="5"/>
    </row>
    <row r="37" spans="1:22" ht="15.6" x14ac:dyDescent="0.3">
      <c r="A37" s="284"/>
      <c r="B37" s="310" t="s">
        <v>136</v>
      </c>
      <c r="C37" s="311"/>
      <c r="D37" s="312">
        <v>0.47520190000000001</v>
      </c>
      <c r="E37" s="313"/>
      <c r="F37" s="312">
        <v>0.47520319999999999</v>
      </c>
      <c r="G37" s="314"/>
      <c r="H37" s="312">
        <v>0.47520319999999999</v>
      </c>
      <c r="I37" s="314"/>
      <c r="J37" s="312">
        <v>1</v>
      </c>
      <c r="K37" s="314"/>
      <c r="L37" s="312">
        <v>1</v>
      </c>
      <c r="M37" s="314"/>
      <c r="N37" s="312">
        <v>1</v>
      </c>
      <c r="O37" s="314"/>
      <c r="P37" s="314"/>
      <c r="Q37" s="315"/>
      <c r="R37" s="315"/>
      <c r="S37" s="316"/>
      <c r="T37" s="316"/>
      <c r="U37" s="317"/>
      <c r="V37" s="5"/>
    </row>
    <row r="38" spans="1:22" ht="15.6" x14ac:dyDescent="0.3">
      <c r="A38" s="284"/>
      <c r="B38" s="310" t="s">
        <v>137</v>
      </c>
      <c r="C38" s="311"/>
      <c r="D38" s="312">
        <v>0.47858659999999997</v>
      </c>
      <c r="E38" s="313"/>
      <c r="F38" s="312">
        <v>0.47858780000000001</v>
      </c>
      <c r="G38" s="314"/>
      <c r="H38" s="312">
        <v>0.47858780000000001</v>
      </c>
      <c r="I38" s="314"/>
      <c r="J38" s="312">
        <v>1</v>
      </c>
      <c r="K38" s="312"/>
      <c r="L38" s="312">
        <v>1</v>
      </c>
      <c r="M38" s="312"/>
      <c r="N38" s="312">
        <v>1</v>
      </c>
      <c r="O38" s="314"/>
      <c r="P38" s="314"/>
      <c r="Q38" s="318"/>
      <c r="R38" s="319"/>
      <c r="S38" s="316"/>
      <c r="T38" s="318"/>
      <c r="U38" s="317"/>
      <c r="V38" s="5"/>
    </row>
    <row r="39" spans="1:22" ht="15.6" x14ac:dyDescent="0.3">
      <c r="A39" s="284"/>
      <c r="B39" s="285" t="s">
        <v>11</v>
      </c>
      <c r="C39" s="285"/>
      <c r="D39" s="293" t="s">
        <v>275</v>
      </c>
      <c r="E39" s="285"/>
      <c r="F39" s="293" t="s">
        <v>232</v>
      </c>
      <c r="G39" s="293"/>
      <c r="H39" s="293" t="s">
        <v>232</v>
      </c>
      <c r="I39" s="293"/>
      <c r="J39" s="293" t="s">
        <v>234</v>
      </c>
      <c r="K39" s="293"/>
      <c r="L39" s="293" t="s">
        <v>234</v>
      </c>
      <c r="M39" s="293"/>
      <c r="N39" s="293" t="s">
        <v>235</v>
      </c>
      <c r="O39" s="293"/>
      <c r="P39" s="293"/>
      <c r="Q39" s="320"/>
      <c r="R39" s="321"/>
      <c r="S39" s="287"/>
      <c r="T39" s="287"/>
      <c r="U39" s="288"/>
      <c r="V39" s="5"/>
    </row>
    <row r="40" spans="1:22" ht="15.6" x14ac:dyDescent="0.3">
      <c r="A40" s="284"/>
      <c r="B40" s="285" t="s">
        <v>12</v>
      </c>
      <c r="C40" s="285"/>
      <c r="D40" s="321">
        <v>2.9250000000000001E-3</v>
      </c>
      <c r="E40" s="285"/>
      <c r="F40" s="321">
        <v>7.4562999999999999E-3</v>
      </c>
      <c r="G40" s="320"/>
      <c r="H40" s="321">
        <v>4.5100000000000001E-3</v>
      </c>
      <c r="I40" s="320"/>
      <c r="J40" s="321">
        <v>9.8563000000000001E-3</v>
      </c>
      <c r="K40" s="320"/>
      <c r="L40" s="321">
        <v>6.9100000000000003E-3</v>
      </c>
      <c r="M40" s="320"/>
      <c r="N40" s="321">
        <v>1.111E-2</v>
      </c>
      <c r="O40" s="320"/>
      <c r="P40" s="321"/>
      <c r="Q40" s="320"/>
      <c r="R40" s="321"/>
      <c r="S40" s="287"/>
      <c r="T40" s="293"/>
      <c r="U40" s="288"/>
      <c r="V40" s="5"/>
    </row>
    <row r="41" spans="1:22" ht="15.6" x14ac:dyDescent="0.3">
      <c r="A41" s="284"/>
      <c r="B41" s="285" t="s">
        <v>13</v>
      </c>
      <c r="C41" s="285"/>
      <c r="D41" s="321">
        <v>3.032E-3</v>
      </c>
      <c r="E41" s="285"/>
      <c r="F41" s="321">
        <v>7.5125000000000001E-3</v>
      </c>
      <c r="G41" s="320"/>
      <c r="H41" s="321">
        <v>4.3499999999999997E-3</v>
      </c>
      <c r="I41" s="320"/>
      <c r="J41" s="321">
        <v>9.9124999999999994E-3</v>
      </c>
      <c r="K41" s="320"/>
      <c r="L41" s="321">
        <v>6.7499999999999999E-3</v>
      </c>
      <c r="M41" s="320"/>
      <c r="N41" s="321">
        <v>1.095E-2</v>
      </c>
      <c r="O41" s="320"/>
      <c r="P41" s="321"/>
      <c r="Q41" s="320"/>
      <c r="R41" s="321"/>
      <c r="S41" s="287"/>
      <c r="T41" s="320" t="s">
        <v>201</v>
      </c>
      <c r="U41" s="288"/>
      <c r="V41" s="5"/>
    </row>
    <row r="42" spans="1:22" ht="15.6" x14ac:dyDescent="0.3">
      <c r="A42" s="284"/>
      <c r="B42" s="285" t="s">
        <v>286</v>
      </c>
      <c r="C42" s="285"/>
      <c r="D42" s="293" t="s">
        <v>231</v>
      </c>
      <c r="E42" s="285"/>
      <c r="F42" s="293" t="s">
        <v>232</v>
      </c>
      <c r="G42" s="293"/>
      <c r="H42" s="293" t="s">
        <v>232</v>
      </c>
      <c r="I42" s="293"/>
      <c r="J42" s="293" t="s">
        <v>234</v>
      </c>
      <c r="K42" s="293"/>
      <c r="L42" s="293" t="s">
        <v>245</v>
      </c>
      <c r="M42" s="293"/>
      <c r="N42" s="293" t="s">
        <v>247</v>
      </c>
      <c r="O42" s="293"/>
      <c r="P42" s="293"/>
      <c r="Q42" s="320"/>
      <c r="R42" s="321"/>
      <c r="S42" s="287"/>
      <c r="T42" s="287"/>
      <c r="U42" s="288"/>
      <c r="V42" s="5"/>
    </row>
    <row r="43" spans="1:22" ht="15.6" x14ac:dyDescent="0.3">
      <c r="A43" s="284"/>
      <c r="B43" s="285" t="s">
        <v>287</v>
      </c>
      <c r="C43" s="322"/>
      <c r="D43" s="321">
        <v>6.2925000000000003E-3</v>
      </c>
      <c r="E43" s="321"/>
      <c r="F43" s="321">
        <f>+F40</f>
        <v>7.4562999999999999E-3</v>
      </c>
      <c r="G43" s="321"/>
      <c r="H43" s="321">
        <v>7.4523000000000002E-3</v>
      </c>
      <c r="I43" s="321"/>
      <c r="J43" s="321">
        <f>+J40</f>
        <v>9.8563000000000001E-3</v>
      </c>
      <c r="K43" s="321"/>
      <c r="L43" s="321">
        <v>1.0162300000000001E-2</v>
      </c>
      <c r="M43" s="321"/>
      <c r="N43" s="321">
        <v>1.4866300000000001E-2</v>
      </c>
      <c r="O43" s="320"/>
      <c r="P43" s="321"/>
      <c r="Q43" s="293"/>
      <c r="R43" s="293"/>
      <c r="S43" s="287"/>
      <c r="T43" s="320">
        <f>SUMPRODUCT(D43:N43,D35:N35)/T35</f>
        <v>8.0403273426865752E-3</v>
      </c>
      <c r="U43" s="288"/>
      <c r="V43" s="5"/>
    </row>
    <row r="44" spans="1:22" ht="15.6" x14ac:dyDescent="0.3">
      <c r="A44" s="284"/>
      <c r="B44" s="285" t="s">
        <v>288</v>
      </c>
      <c r="C44" s="322"/>
      <c r="D44" s="321">
        <v>6.3486999999999997E-3</v>
      </c>
      <c r="E44" s="321"/>
      <c r="F44" s="321">
        <f>+F41</f>
        <v>7.5125000000000001E-3</v>
      </c>
      <c r="G44" s="321"/>
      <c r="H44" s="321">
        <v>7.5085000000000004E-3</v>
      </c>
      <c r="I44" s="321"/>
      <c r="J44" s="321">
        <f>+J41</f>
        <v>9.9124999999999994E-3</v>
      </c>
      <c r="K44" s="321"/>
      <c r="L44" s="321">
        <v>1.02185E-2</v>
      </c>
      <c r="M44" s="321"/>
      <c r="N44" s="321">
        <v>1.49225E-2</v>
      </c>
      <c r="O44" s="320"/>
      <c r="P44" s="321"/>
      <c r="Q44" s="293"/>
      <c r="R44" s="293"/>
      <c r="S44" s="287"/>
      <c r="T44" s="287"/>
      <c r="U44" s="288"/>
      <c r="V44" s="5"/>
    </row>
    <row r="45" spans="1:22" ht="15.6" x14ac:dyDescent="0.3">
      <c r="A45" s="284"/>
      <c r="B45" s="285" t="s">
        <v>14</v>
      </c>
      <c r="C45" s="285"/>
      <c r="D45" s="322">
        <v>40283</v>
      </c>
      <c r="E45" s="322"/>
      <c r="F45" s="322">
        <v>40283</v>
      </c>
      <c r="G45" s="322"/>
      <c r="H45" s="322">
        <v>40283</v>
      </c>
      <c r="I45" s="322"/>
      <c r="J45" s="322">
        <v>40283</v>
      </c>
      <c r="K45" s="322"/>
      <c r="L45" s="322">
        <v>40283</v>
      </c>
      <c r="M45" s="322"/>
      <c r="N45" s="322">
        <v>40283</v>
      </c>
      <c r="O45" s="322"/>
      <c r="P45" s="322"/>
      <c r="Q45" s="293"/>
      <c r="R45" s="293"/>
      <c r="S45" s="287"/>
      <c r="T45" s="287"/>
      <c r="U45" s="288"/>
      <c r="V45" s="5"/>
    </row>
    <row r="46" spans="1:22" ht="15.6" x14ac:dyDescent="0.3">
      <c r="A46" s="284"/>
      <c r="B46" s="285" t="s">
        <v>15</v>
      </c>
      <c r="C46" s="285"/>
      <c r="D46" s="322">
        <v>40648</v>
      </c>
      <c r="E46" s="322"/>
      <c r="F46" s="322">
        <v>40648</v>
      </c>
      <c r="G46" s="322"/>
      <c r="H46" s="322">
        <v>40648</v>
      </c>
      <c r="I46" s="293"/>
      <c r="J46" s="322">
        <v>40648</v>
      </c>
      <c r="K46" s="293"/>
      <c r="L46" s="322">
        <v>40648</v>
      </c>
      <c r="M46" s="293"/>
      <c r="N46" s="322">
        <v>40648</v>
      </c>
      <c r="O46" s="293"/>
      <c r="P46" s="322"/>
      <c r="Q46" s="293"/>
      <c r="R46" s="293"/>
      <c r="S46" s="287"/>
      <c r="T46" s="287"/>
      <c r="U46" s="288"/>
      <c r="V46" s="5"/>
    </row>
    <row r="47" spans="1:22" ht="15.6" x14ac:dyDescent="0.3">
      <c r="A47" s="284"/>
      <c r="B47" s="285" t="s">
        <v>125</v>
      </c>
      <c r="C47" s="285"/>
      <c r="D47" s="293" t="s">
        <v>124</v>
      </c>
      <c r="E47" s="285"/>
      <c r="F47" s="293" t="s">
        <v>232</v>
      </c>
      <c r="G47" s="293"/>
      <c r="H47" s="293" t="s">
        <v>232</v>
      </c>
      <c r="I47" s="293"/>
      <c r="J47" s="293" t="s">
        <v>234</v>
      </c>
      <c r="K47" s="293"/>
      <c r="L47" s="293" t="s">
        <v>234</v>
      </c>
      <c r="M47" s="293"/>
      <c r="N47" s="293" t="s">
        <v>235</v>
      </c>
      <c r="O47" s="293"/>
      <c r="P47" s="293"/>
      <c r="Q47" s="324"/>
      <c r="R47" s="324"/>
      <c r="S47" s="324"/>
      <c r="T47" s="324"/>
      <c r="U47" s="288"/>
      <c r="V47" s="5"/>
    </row>
    <row r="48" spans="1:22" ht="15.6" x14ac:dyDescent="0.3">
      <c r="A48" s="284"/>
      <c r="B48" s="285" t="s">
        <v>289</v>
      </c>
      <c r="C48" s="285"/>
      <c r="D48" s="293" t="s">
        <v>208</v>
      </c>
      <c r="E48" s="285"/>
      <c r="F48" s="293" t="s">
        <v>232</v>
      </c>
      <c r="G48" s="293"/>
      <c r="H48" s="293" t="s">
        <v>232</v>
      </c>
      <c r="I48" s="293"/>
      <c r="J48" s="293" t="s">
        <v>234</v>
      </c>
      <c r="K48" s="293"/>
      <c r="L48" s="293" t="s">
        <v>245</v>
      </c>
      <c r="M48" s="293"/>
      <c r="N48" s="293" t="s">
        <v>247</v>
      </c>
      <c r="O48" s="293"/>
      <c r="P48" s="293"/>
      <c r="Q48" s="285"/>
      <c r="R48" s="285"/>
      <c r="S48" s="285"/>
      <c r="T48" s="320"/>
      <c r="U48" s="288"/>
      <c r="V48" s="5"/>
    </row>
    <row r="49" spans="1:23" ht="15.6" x14ac:dyDescent="0.3">
      <c r="A49" s="284"/>
      <c r="B49" s="285"/>
      <c r="C49" s="285"/>
      <c r="D49" s="293"/>
      <c r="E49" s="285"/>
      <c r="F49" s="293"/>
      <c r="G49" s="293"/>
      <c r="H49" s="293"/>
      <c r="I49" s="293"/>
      <c r="J49" s="293"/>
      <c r="K49" s="293"/>
      <c r="L49" s="293"/>
      <c r="M49" s="293"/>
      <c r="N49" s="293"/>
      <c r="O49" s="293"/>
      <c r="P49" s="293"/>
      <c r="Q49" s="285"/>
      <c r="R49" s="285"/>
      <c r="S49" s="285"/>
      <c r="T49" s="320" t="s">
        <v>201</v>
      </c>
      <c r="U49" s="288"/>
      <c r="V49" s="5"/>
    </row>
    <row r="50" spans="1:23" ht="15.6" x14ac:dyDescent="0.3">
      <c r="A50" s="284"/>
      <c r="B50" s="285" t="s">
        <v>176</v>
      </c>
      <c r="C50" s="285"/>
      <c r="D50" s="293"/>
      <c r="E50" s="285"/>
      <c r="F50" s="293"/>
      <c r="G50" s="293"/>
      <c r="H50" s="293"/>
      <c r="I50" s="293"/>
      <c r="J50" s="293"/>
      <c r="K50" s="293"/>
      <c r="L50" s="293"/>
      <c r="M50" s="293"/>
      <c r="N50" s="293"/>
      <c r="O50" s="293"/>
      <c r="P50" s="293"/>
      <c r="Q50" s="285"/>
      <c r="R50" s="285"/>
      <c r="S50" s="285"/>
      <c r="T50" s="320">
        <f>SUM(J34:P34)/SUM(D34:H34)</f>
        <v>0.15279804679664968</v>
      </c>
      <c r="U50" s="288"/>
      <c r="V50" s="5"/>
    </row>
    <row r="51" spans="1:23" ht="15.6" x14ac:dyDescent="0.3">
      <c r="A51" s="284"/>
      <c r="B51" s="285" t="s">
        <v>177</v>
      </c>
      <c r="C51" s="285"/>
      <c r="D51" s="285"/>
      <c r="E51" s="285"/>
      <c r="F51" s="325"/>
      <c r="G51" s="285"/>
      <c r="H51" s="285"/>
      <c r="I51" s="285"/>
      <c r="J51" s="285"/>
      <c r="K51" s="285"/>
      <c r="L51" s="285"/>
      <c r="M51" s="285"/>
      <c r="N51" s="285"/>
      <c r="O51" s="285"/>
      <c r="P51" s="285"/>
      <c r="Q51" s="285"/>
      <c r="R51" s="285"/>
      <c r="S51" s="285"/>
      <c r="T51" s="320">
        <f>SUM(J36:P36)/SUM(D36:H36)</f>
        <v>0.32154312122242634</v>
      </c>
      <c r="U51" s="288"/>
      <c r="V51" s="5"/>
    </row>
    <row r="52" spans="1:23" ht="15.6" x14ac:dyDescent="0.3">
      <c r="A52" s="284"/>
      <c r="B52" s="285" t="s">
        <v>178</v>
      </c>
      <c r="C52" s="285"/>
      <c r="D52" s="285"/>
      <c r="E52" s="285"/>
      <c r="F52" s="285"/>
      <c r="G52" s="285"/>
      <c r="H52" s="285"/>
      <c r="I52" s="285"/>
      <c r="J52" s="285"/>
      <c r="K52" s="285"/>
      <c r="L52" s="285"/>
      <c r="M52" s="285"/>
      <c r="N52" s="285"/>
      <c r="O52" s="285"/>
      <c r="P52" s="285"/>
      <c r="Q52" s="285"/>
      <c r="R52" s="293" t="s">
        <v>109</v>
      </c>
      <c r="S52" s="293" t="s">
        <v>115</v>
      </c>
      <c r="T52" s="296">
        <f>+T34/2-SUM(J34:P34)</f>
        <v>367473</v>
      </c>
      <c r="U52" s="288"/>
      <c r="V52" s="5"/>
    </row>
    <row r="53" spans="1:23" ht="15.6" x14ac:dyDescent="0.3">
      <c r="A53" s="284"/>
      <c r="B53" s="285"/>
      <c r="C53" s="285"/>
      <c r="D53" s="285"/>
      <c r="E53" s="285"/>
      <c r="F53" s="285"/>
      <c r="G53" s="285"/>
      <c r="H53" s="285"/>
      <c r="I53" s="285"/>
      <c r="J53" s="285"/>
      <c r="K53" s="285"/>
      <c r="L53" s="285"/>
      <c r="M53" s="285"/>
      <c r="N53" s="285"/>
      <c r="O53" s="285"/>
      <c r="P53" s="285"/>
      <c r="Q53" s="285"/>
      <c r="R53" s="285"/>
      <c r="S53" s="285"/>
      <c r="T53" s="326"/>
      <c r="U53" s="288"/>
      <c r="V53" s="5"/>
    </row>
    <row r="54" spans="1:23" ht="15.6" x14ac:dyDescent="0.3">
      <c r="A54" s="284"/>
      <c r="B54" s="285" t="s">
        <v>211</v>
      </c>
      <c r="C54" s="285"/>
      <c r="D54" s="285"/>
      <c r="E54" s="285"/>
      <c r="F54" s="285"/>
      <c r="G54" s="285"/>
      <c r="H54" s="285"/>
      <c r="I54" s="285"/>
      <c r="J54" s="285"/>
      <c r="K54" s="285"/>
      <c r="L54" s="285"/>
      <c r="M54" s="285"/>
      <c r="N54" s="285"/>
      <c r="O54" s="285"/>
      <c r="P54" s="285"/>
      <c r="Q54" s="285"/>
      <c r="R54" s="285"/>
      <c r="S54" s="285"/>
      <c r="T54" s="327" t="s">
        <v>212</v>
      </c>
      <c r="U54" s="288"/>
      <c r="V54" s="5"/>
    </row>
    <row r="55" spans="1:23" ht="15.6" x14ac:dyDescent="0.3">
      <c r="A55" s="284"/>
      <c r="B55" s="285" t="s">
        <v>253</v>
      </c>
      <c r="C55" s="285"/>
      <c r="D55" s="285"/>
      <c r="E55" s="285"/>
      <c r="F55" s="285"/>
      <c r="G55" s="285"/>
      <c r="H55" s="285"/>
      <c r="I55" s="285"/>
      <c r="J55" s="285"/>
      <c r="K55" s="285"/>
      <c r="L55" s="285"/>
      <c r="M55" s="285"/>
      <c r="N55" s="285"/>
      <c r="O55" s="285"/>
      <c r="P55" s="285"/>
      <c r="Q55" s="285"/>
      <c r="R55" s="293"/>
      <c r="S55" s="293"/>
      <c r="T55" s="328" t="s">
        <v>117</v>
      </c>
      <c r="U55" s="288"/>
      <c r="V55" s="5"/>
    </row>
    <row r="56" spans="1:23" ht="15.6" x14ac:dyDescent="0.3">
      <c r="A56" s="284"/>
      <c r="B56" s="292" t="s">
        <v>210</v>
      </c>
      <c r="C56" s="292"/>
      <c r="D56" s="292"/>
      <c r="E56" s="292"/>
      <c r="F56" s="292"/>
      <c r="G56" s="292"/>
      <c r="H56" s="292"/>
      <c r="I56" s="292"/>
      <c r="J56" s="292"/>
      <c r="K56" s="292"/>
      <c r="L56" s="292"/>
      <c r="M56" s="292"/>
      <c r="N56" s="292"/>
      <c r="O56" s="292"/>
      <c r="P56" s="292"/>
      <c r="Q56" s="292"/>
      <c r="R56" s="329"/>
      <c r="S56" s="329"/>
      <c r="T56" s="330">
        <v>41470</v>
      </c>
      <c r="U56" s="288"/>
      <c r="V56" s="5"/>
    </row>
    <row r="57" spans="1:23" ht="15.6" x14ac:dyDescent="0.3">
      <c r="A57" s="284"/>
      <c r="B57" s="285" t="s">
        <v>127</v>
      </c>
      <c r="C57" s="285"/>
      <c r="D57" s="285"/>
      <c r="E57" s="285"/>
      <c r="F57" s="285"/>
      <c r="G57" s="285"/>
      <c r="H57" s="331"/>
      <c r="I57" s="331"/>
      <c r="J57" s="331"/>
      <c r="K57" s="331"/>
      <c r="L57" s="331"/>
      <c r="M57" s="331"/>
      <c r="N57" s="331"/>
      <c r="O57" s="331"/>
      <c r="P57" s="285">
        <f>+T57-R57+1</f>
        <v>90</v>
      </c>
      <c r="Q57" s="331"/>
      <c r="R57" s="332">
        <v>41289</v>
      </c>
      <c r="S57" s="333"/>
      <c r="T57" s="332">
        <v>41378</v>
      </c>
      <c r="U57" s="288"/>
      <c r="V57" s="5"/>
    </row>
    <row r="58" spans="1:23" ht="15.6" x14ac:dyDescent="0.3">
      <c r="A58" s="284"/>
      <c r="B58" s="285" t="s">
        <v>128</v>
      </c>
      <c r="C58" s="285"/>
      <c r="D58" s="285"/>
      <c r="E58" s="285"/>
      <c r="F58" s="285"/>
      <c r="G58" s="285"/>
      <c r="H58" s="285"/>
      <c r="I58" s="285"/>
      <c r="J58" s="285"/>
      <c r="K58" s="285"/>
      <c r="L58" s="285"/>
      <c r="M58" s="285"/>
      <c r="N58" s="285"/>
      <c r="O58" s="285"/>
      <c r="P58" s="285">
        <f>+T58-R58+1</f>
        <v>91</v>
      </c>
      <c r="Q58" s="285"/>
      <c r="R58" s="332">
        <v>41379</v>
      </c>
      <c r="S58" s="333"/>
      <c r="T58" s="332">
        <v>41469</v>
      </c>
      <c r="U58" s="288"/>
      <c r="V58" s="5"/>
    </row>
    <row r="59" spans="1:23" ht="15.6" x14ac:dyDescent="0.3">
      <c r="A59" s="284"/>
      <c r="B59" s="285" t="s">
        <v>209</v>
      </c>
      <c r="C59" s="285"/>
      <c r="D59" s="285"/>
      <c r="E59" s="285"/>
      <c r="F59" s="285"/>
      <c r="G59" s="285"/>
      <c r="H59" s="285"/>
      <c r="I59" s="285"/>
      <c r="J59" s="285"/>
      <c r="K59" s="285"/>
      <c r="L59" s="285"/>
      <c r="M59" s="285"/>
      <c r="N59" s="285"/>
      <c r="O59" s="285"/>
      <c r="P59" s="285"/>
      <c r="Q59" s="285"/>
      <c r="R59" s="332"/>
      <c r="S59" s="333"/>
      <c r="T59" s="332" t="s">
        <v>126</v>
      </c>
      <c r="U59" s="288"/>
      <c r="V59" s="5"/>
    </row>
    <row r="60" spans="1:23" ht="15.6" x14ac:dyDescent="0.3">
      <c r="A60" s="284"/>
      <c r="B60" s="285" t="s">
        <v>249</v>
      </c>
      <c r="C60" s="285"/>
      <c r="D60" s="285"/>
      <c r="E60" s="285"/>
      <c r="F60" s="285"/>
      <c r="G60" s="285"/>
      <c r="H60" s="285"/>
      <c r="I60" s="285"/>
      <c r="J60" s="285"/>
      <c r="K60" s="285"/>
      <c r="L60" s="285"/>
      <c r="M60" s="285"/>
      <c r="N60" s="285"/>
      <c r="O60" s="285"/>
      <c r="P60" s="285"/>
      <c r="Q60" s="285"/>
      <c r="R60" s="332"/>
      <c r="S60" s="333"/>
      <c r="T60" s="332" t="s">
        <v>160</v>
      </c>
      <c r="U60" s="288"/>
      <c r="V60" s="5"/>
      <c r="W60" s="134"/>
    </row>
    <row r="61" spans="1:23" ht="15.6" x14ac:dyDescent="0.3">
      <c r="A61" s="284"/>
      <c r="B61" s="285" t="s">
        <v>16</v>
      </c>
      <c r="C61" s="285"/>
      <c r="D61" s="285"/>
      <c r="E61" s="285"/>
      <c r="F61" s="285"/>
      <c r="G61" s="285"/>
      <c r="H61" s="285"/>
      <c r="I61" s="285"/>
      <c r="J61" s="285"/>
      <c r="K61" s="285"/>
      <c r="L61" s="285"/>
      <c r="M61" s="285"/>
      <c r="N61" s="285"/>
      <c r="O61" s="285"/>
      <c r="P61" s="285"/>
      <c r="Q61" s="285"/>
      <c r="R61" s="332"/>
      <c r="S61" s="333"/>
      <c r="T61" s="332">
        <v>41456</v>
      </c>
      <c r="U61" s="288"/>
      <c r="V61" s="5"/>
    </row>
    <row r="62" spans="1:23" ht="15.6" x14ac:dyDescent="0.3">
      <c r="A62" s="175"/>
      <c r="B62" s="281"/>
      <c r="C62" s="281"/>
      <c r="D62" s="281"/>
      <c r="E62" s="281"/>
      <c r="F62" s="281"/>
      <c r="G62" s="281"/>
      <c r="H62" s="281"/>
      <c r="I62" s="281"/>
      <c r="J62" s="281"/>
      <c r="K62" s="281"/>
      <c r="L62" s="281"/>
      <c r="M62" s="281"/>
      <c r="N62" s="281"/>
      <c r="O62" s="281"/>
      <c r="P62" s="281"/>
      <c r="Q62" s="281"/>
      <c r="R62" s="282"/>
      <c r="S62" s="283"/>
      <c r="T62" s="282"/>
      <c r="U62" s="281"/>
      <c r="V62" s="5"/>
    </row>
    <row r="63" spans="1:23" ht="15.6" x14ac:dyDescent="0.3">
      <c r="A63" s="175"/>
      <c r="B63" s="231"/>
      <c r="C63" s="231"/>
      <c r="D63" s="231"/>
      <c r="E63" s="231"/>
      <c r="F63" s="231"/>
      <c r="G63" s="231"/>
      <c r="H63" s="231"/>
      <c r="I63" s="231"/>
      <c r="J63" s="231"/>
      <c r="K63" s="231"/>
      <c r="L63" s="231"/>
      <c r="M63" s="231"/>
      <c r="N63" s="231"/>
      <c r="O63" s="231"/>
      <c r="P63" s="231"/>
      <c r="Q63" s="231"/>
      <c r="R63" s="244"/>
      <c r="S63" s="245"/>
      <c r="T63" s="244"/>
      <c r="U63" s="231"/>
      <c r="V63" s="5"/>
    </row>
    <row r="64" spans="1:23" ht="18" thickBot="1" x14ac:dyDescent="0.35">
      <c r="A64" s="192"/>
      <c r="B64" s="246" t="s">
        <v>315</v>
      </c>
      <c r="C64" s="247"/>
      <c r="D64" s="247"/>
      <c r="E64" s="247"/>
      <c r="F64" s="247"/>
      <c r="G64" s="247"/>
      <c r="H64" s="247"/>
      <c r="I64" s="247"/>
      <c r="J64" s="247"/>
      <c r="K64" s="247"/>
      <c r="L64" s="247"/>
      <c r="M64" s="247"/>
      <c r="N64" s="247"/>
      <c r="O64" s="247"/>
      <c r="P64" s="247"/>
      <c r="Q64" s="247"/>
      <c r="R64" s="247"/>
      <c r="S64" s="247"/>
      <c r="T64" s="248"/>
      <c r="U64" s="249"/>
      <c r="V64" s="5"/>
    </row>
    <row r="65" spans="1:22" ht="15.6" x14ac:dyDescent="0.3">
      <c r="A65" s="222"/>
      <c r="B65" s="395" t="s">
        <v>17</v>
      </c>
      <c r="C65" s="223"/>
      <c r="D65" s="223"/>
      <c r="E65" s="223"/>
      <c r="F65" s="223"/>
      <c r="G65" s="223"/>
      <c r="H65" s="223"/>
      <c r="I65" s="223"/>
      <c r="J65" s="223"/>
      <c r="K65" s="223"/>
      <c r="L65" s="223"/>
      <c r="M65" s="223"/>
      <c r="N65" s="223"/>
      <c r="O65" s="223"/>
      <c r="P65" s="223"/>
      <c r="Q65" s="223"/>
      <c r="R65" s="223"/>
      <c r="S65" s="223"/>
      <c r="T65" s="250"/>
      <c r="U65" s="223"/>
      <c r="V65" s="5"/>
    </row>
    <row r="66" spans="1:22" ht="15.6" x14ac:dyDescent="0.3">
      <c r="A66" s="175"/>
      <c r="B66" s="183"/>
      <c r="C66" s="177"/>
      <c r="D66" s="177"/>
      <c r="E66" s="177"/>
      <c r="F66" s="177"/>
      <c r="G66" s="177"/>
      <c r="H66" s="177"/>
      <c r="I66" s="177"/>
      <c r="J66" s="177"/>
      <c r="K66" s="177"/>
      <c r="L66" s="177"/>
      <c r="M66" s="177"/>
      <c r="N66" s="177"/>
      <c r="O66" s="177"/>
      <c r="P66" s="177"/>
      <c r="Q66" s="177"/>
      <c r="R66" s="177"/>
      <c r="S66" s="177"/>
      <c r="T66" s="194"/>
      <c r="U66" s="177"/>
      <c r="V66" s="5"/>
    </row>
    <row r="67" spans="1:22" ht="46.8" x14ac:dyDescent="0.3">
      <c r="A67" s="175"/>
      <c r="B67" s="195" t="s">
        <v>18</v>
      </c>
      <c r="C67" s="196"/>
      <c r="D67" s="196"/>
      <c r="E67" s="196"/>
      <c r="F67" s="196"/>
      <c r="G67" s="196"/>
      <c r="H67" s="196"/>
      <c r="I67" s="196"/>
      <c r="J67" s="196" t="s">
        <v>97</v>
      </c>
      <c r="K67" s="196"/>
      <c r="L67" s="196" t="s">
        <v>99</v>
      </c>
      <c r="M67" s="196"/>
      <c r="N67" s="196" t="s">
        <v>101</v>
      </c>
      <c r="O67" s="196"/>
      <c r="P67" s="196" t="s">
        <v>103</v>
      </c>
      <c r="Q67" s="196"/>
      <c r="R67" s="196" t="s">
        <v>110</v>
      </c>
      <c r="S67" s="196"/>
      <c r="T67" s="197" t="s">
        <v>118</v>
      </c>
      <c r="U67" s="198"/>
      <c r="V67" s="5"/>
    </row>
    <row r="68" spans="1:22" ht="15.6" x14ac:dyDescent="0.3">
      <c r="A68" s="337"/>
      <c r="B68" s="285" t="s">
        <v>19</v>
      </c>
      <c r="C68" s="338"/>
      <c r="D68" s="338"/>
      <c r="E68" s="338"/>
      <c r="F68" s="338"/>
      <c r="G68" s="338"/>
      <c r="H68" s="338"/>
      <c r="I68" s="338"/>
      <c r="J68" s="338">
        <v>1000039</v>
      </c>
      <c r="K68" s="338"/>
      <c r="L68" s="339">
        <v>547726</v>
      </c>
      <c r="M68" s="338"/>
      <c r="N68" s="338">
        <f>2936+10</f>
        <v>2946</v>
      </c>
      <c r="O68" s="338"/>
      <c r="P68" s="338">
        <v>10</v>
      </c>
      <c r="Q68" s="338"/>
      <c r="R68" s="338">
        <v>0</v>
      </c>
      <c r="S68" s="338"/>
      <c r="T68" s="339">
        <f>+L68-N68+P68-R68</f>
        <v>544790</v>
      </c>
      <c r="U68" s="288"/>
      <c r="V68" s="5"/>
    </row>
    <row r="69" spans="1:22" ht="15.6" x14ac:dyDescent="0.3">
      <c r="A69" s="337"/>
      <c r="B69" s="285" t="s">
        <v>20</v>
      </c>
      <c r="C69" s="338"/>
      <c r="D69" s="338"/>
      <c r="E69" s="338"/>
      <c r="F69" s="338"/>
      <c r="G69" s="338"/>
      <c r="H69" s="338"/>
      <c r="I69" s="338"/>
      <c r="J69" s="338">
        <v>10</v>
      </c>
      <c r="K69" s="338"/>
      <c r="L69" s="339">
        <v>0</v>
      </c>
      <c r="M69" s="338"/>
      <c r="N69" s="338">
        <v>0</v>
      </c>
      <c r="O69" s="338"/>
      <c r="P69" s="338">
        <v>0</v>
      </c>
      <c r="Q69" s="338"/>
      <c r="R69" s="338">
        <v>0</v>
      </c>
      <c r="S69" s="338"/>
      <c r="T69" s="339">
        <v>0</v>
      </c>
      <c r="U69" s="288"/>
      <c r="V69" s="5"/>
    </row>
    <row r="70" spans="1:22" ht="15.6" x14ac:dyDescent="0.3">
      <c r="A70" s="337"/>
      <c r="B70" s="285"/>
      <c r="C70" s="338"/>
      <c r="D70" s="338"/>
      <c r="E70" s="338"/>
      <c r="F70" s="338"/>
      <c r="G70" s="338"/>
      <c r="H70" s="338"/>
      <c r="I70" s="338"/>
      <c r="J70" s="338"/>
      <c r="K70" s="338"/>
      <c r="L70" s="339"/>
      <c r="M70" s="338"/>
      <c r="N70" s="338"/>
      <c r="O70" s="338"/>
      <c r="P70" s="338"/>
      <c r="Q70" s="338"/>
      <c r="R70" s="338"/>
      <c r="S70" s="338"/>
      <c r="T70" s="339"/>
      <c r="U70" s="288"/>
      <c r="V70" s="5"/>
    </row>
    <row r="71" spans="1:22" ht="15.6" x14ac:dyDescent="0.3">
      <c r="A71" s="337"/>
      <c r="B71" s="285" t="s">
        <v>21</v>
      </c>
      <c r="C71" s="338"/>
      <c r="D71" s="338"/>
      <c r="E71" s="338"/>
      <c r="F71" s="338"/>
      <c r="G71" s="338"/>
      <c r="H71" s="338"/>
      <c r="I71" s="338"/>
      <c r="J71" s="338">
        <f>SUM(J68:J70)</f>
        <v>1000049</v>
      </c>
      <c r="K71" s="338"/>
      <c r="L71" s="338">
        <f>L68+L69</f>
        <v>547726</v>
      </c>
      <c r="M71" s="338"/>
      <c r="N71" s="338">
        <f>SUM(N68:N70)</f>
        <v>2946</v>
      </c>
      <c r="O71" s="338"/>
      <c r="P71" s="338">
        <f>SUM(P68:P70)</f>
        <v>10</v>
      </c>
      <c r="Q71" s="338"/>
      <c r="R71" s="338">
        <f>SUM(R68:R70)</f>
        <v>0</v>
      </c>
      <c r="S71" s="338"/>
      <c r="T71" s="338">
        <f>SUM(T68:T70)</f>
        <v>544790</v>
      </c>
      <c r="U71" s="288"/>
      <c r="V71" s="5"/>
    </row>
    <row r="72" spans="1:22" ht="15.6" x14ac:dyDescent="0.3">
      <c r="A72" s="175"/>
      <c r="B72" s="334"/>
      <c r="C72" s="335"/>
      <c r="D72" s="335"/>
      <c r="E72" s="335"/>
      <c r="F72" s="335"/>
      <c r="G72" s="335"/>
      <c r="H72" s="335"/>
      <c r="I72" s="335"/>
      <c r="J72" s="335"/>
      <c r="K72" s="335"/>
      <c r="L72" s="335"/>
      <c r="M72" s="335"/>
      <c r="N72" s="335"/>
      <c r="O72" s="335"/>
      <c r="P72" s="335"/>
      <c r="Q72" s="335"/>
      <c r="R72" s="335"/>
      <c r="S72" s="335"/>
      <c r="T72" s="336"/>
      <c r="U72" s="334"/>
      <c r="V72" s="5"/>
    </row>
    <row r="73" spans="1:22" ht="15.6" x14ac:dyDescent="0.3">
      <c r="A73" s="175"/>
      <c r="B73" s="179" t="s">
        <v>22</v>
      </c>
      <c r="C73" s="199"/>
      <c r="D73" s="199"/>
      <c r="E73" s="199"/>
      <c r="F73" s="199"/>
      <c r="G73" s="199"/>
      <c r="H73" s="199"/>
      <c r="I73" s="199"/>
      <c r="J73" s="199"/>
      <c r="K73" s="199"/>
      <c r="L73" s="199"/>
      <c r="M73" s="199"/>
      <c r="N73" s="199"/>
      <c r="O73" s="199"/>
      <c r="P73" s="199"/>
      <c r="Q73" s="199"/>
      <c r="R73" s="199"/>
      <c r="S73" s="199"/>
      <c r="T73" s="200"/>
      <c r="U73" s="177"/>
      <c r="V73" s="5"/>
    </row>
    <row r="74" spans="1:22" ht="15.6" x14ac:dyDescent="0.3">
      <c r="A74" s="175"/>
      <c r="B74" s="177"/>
      <c r="C74" s="199"/>
      <c r="D74" s="199"/>
      <c r="E74" s="199"/>
      <c r="F74" s="199"/>
      <c r="G74" s="199"/>
      <c r="H74" s="199"/>
      <c r="I74" s="199"/>
      <c r="J74" s="199"/>
      <c r="K74" s="199"/>
      <c r="L74" s="199"/>
      <c r="M74" s="199"/>
      <c r="N74" s="199"/>
      <c r="O74" s="199"/>
      <c r="P74" s="199"/>
      <c r="Q74" s="199"/>
      <c r="R74" s="199"/>
      <c r="S74" s="199"/>
      <c r="T74" s="200"/>
      <c r="U74" s="177"/>
      <c r="V74" s="5"/>
    </row>
    <row r="75" spans="1:22" ht="15.6" x14ac:dyDescent="0.3">
      <c r="A75" s="284"/>
      <c r="B75" s="285" t="s">
        <v>19</v>
      </c>
      <c r="C75" s="338"/>
      <c r="D75" s="338"/>
      <c r="E75" s="338"/>
      <c r="F75" s="338"/>
      <c r="G75" s="338"/>
      <c r="H75" s="338"/>
      <c r="I75" s="338"/>
      <c r="J75" s="338"/>
      <c r="K75" s="338"/>
      <c r="L75" s="338"/>
      <c r="M75" s="338"/>
      <c r="N75" s="338"/>
      <c r="O75" s="338"/>
      <c r="P75" s="338"/>
      <c r="Q75" s="338"/>
      <c r="R75" s="338"/>
      <c r="S75" s="338"/>
      <c r="T75" s="338"/>
      <c r="U75" s="288"/>
      <c r="V75" s="5"/>
    </row>
    <row r="76" spans="1:22" ht="15.6" x14ac:dyDescent="0.3">
      <c r="A76" s="284"/>
      <c r="B76" s="285" t="s">
        <v>20</v>
      </c>
      <c r="C76" s="338"/>
      <c r="D76" s="338"/>
      <c r="E76" s="338"/>
      <c r="F76" s="338"/>
      <c r="G76" s="338"/>
      <c r="H76" s="338"/>
      <c r="I76" s="338"/>
      <c r="J76" s="338"/>
      <c r="K76" s="338"/>
      <c r="L76" s="338"/>
      <c r="M76" s="338"/>
      <c r="N76" s="338"/>
      <c r="O76" s="338"/>
      <c r="P76" s="338"/>
      <c r="Q76" s="338"/>
      <c r="R76" s="338"/>
      <c r="S76" s="338"/>
      <c r="T76" s="338"/>
      <c r="U76" s="288"/>
      <c r="V76" s="5"/>
    </row>
    <row r="77" spans="1:22" ht="15.6" x14ac:dyDescent="0.3">
      <c r="A77" s="284"/>
      <c r="B77" s="285"/>
      <c r="C77" s="338"/>
      <c r="D77" s="338"/>
      <c r="E77" s="338"/>
      <c r="F77" s="338"/>
      <c r="G77" s="338"/>
      <c r="H77" s="338"/>
      <c r="I77" s="338"/>
      <c r="J77" s="338"/>
      <c r="K77" s="338"/>
      <c r="L77" s="338"/>
      <c r="M77" s="338"/>
      <c r="N77" s="338"/>
      <c r="O77" s="338"/>
      <c r="P77" s="338"/>
      <c r="Q77" s="338"/>
      <c r="R77" s="338"/>
      <c r="S77" s="338"/>
      <c r="T77" s="338"/>
      <c r="U77" s="288"/>
      <c r="V77" s="5"/>
    </row>
    <row r="78" spans="1:22" ht="15.6" x14ac:dyDescent="0.3">
      <c r="A78" s="284"/>
      <c r="B78" s="285" t="s">
        <v>21</v>
      </c>
      <c r="C78" s="338"/>
      <c r="D78" s="338"/>
      <c r="E78" s="338"/>
      <c r="F78" s="338"/>
      <c r="G78" s="338"/>
      <c r="H78" s="338"/>
      <c r="I78" s="338"/>
      <c r="J78" s="338"/>
      <c r="K78" s="338"/>
      <c r="L78" s="338"/>
      <c r="M78" s="338"/>
      <c r="N78" s="338"/>
      <c r="O78" s="338"/>
      <c r="P78" s="338"/>
      <c r="Q78" s="338"/>
      <c r="R78" s="338"/>
      <c r="S78" s="338"/>
      <c r="T78" s="338"/>
      <c r="U78" s="288"/>
      <c r="V78" s="5"/>
    </row>
    <row r="79" spans="1:22" ht="15.6" x14ac:dyDescent="0.3">
      <c r="A79" s="284"/>
      <c r="B79" s="285"/>
      <c r="C79" s="338"/>
      <c r="D79" s="338"/>
      <c r="E79" s="338"/>
      <c r="F79" s="338"/>
      <c r="G79" s="338"/>
      <c r="H79" s="338"/>
      <c r="I79" s="338"/>
      <c r="J79" s="338"/>
      <c r="K79" s="338"/>
      <c r="L79" s="338"/>
      <c r="M79" s="338"/>
      <c r="N79" s="338"/>
      <c r="O79" s="338"/>
      <c r="P79" s="338"/>
      <c r="Q79" s="338"/>
      <c r="R79" s="338"/>
      <c r="S79" s="338"/>
      <c r="T79" s="338"/>
      <c r="U79" s="288"/>
      <c r="V79" s="5"/>
    </row>
    <row r="80" spans="1:22" ht="15.6" x14ac:dyDescent="0.3">
      <c r="A80" s="284"/>
      <c r="B80" s="285" t="s">
        <v>23</v>
      </c>
      <c r="C80" s="338"/>
      <c r="D80" s="338"/>
      <c r="E80" s="338"/>
      <c r="F80" s="338"/>
      <c r="G80" s="338"/>
      <c r="H80" s="338"/>
      <c r="I80" s="338"/>
      <c r="J80" s="338">
        <v>0</v>
      </c>
      <c r="K80" s="338"/>
      <c r="L80" s="338">
        <v>0</v>
      </c>
      <c r="M80" s="338"/>
      <c r="N80" s="338"/>
      <c r="O80" s="338"/>
      <c r="P80" s="338"/>
      <c r="Q80" s="338"/>
      <c r="R80" s="338"/>
      <c r="S80" s="338"/>
      <c r="T80" s="339">
        <v>0</v>
      </c>
      <c r="U80" s="288"/>
      <c r="V80" s="5"/>
    </row>
    <row r="81" spans="1:22" ht="15.6" x14ac:dyDescent="0.3">
      <c r="A81" s="284"/>
      <c r="B81" s="285" t="s">
        <v>123</v>
      </c>
      <c r="C81" s="338"/>
      <c r="D81" s="338"/>
      <c r="E81" s="338"/>
      <c r="F81" s="338"/>
      <c r="G81" s="338"/>
      <c r="H81" s="338"/>
      <c r="I81" s="338"/>
      <c r="J81" s="338">
        <v>0</v>
      </c>
      <c r="K81" s="338"/>
      <c r="L81" s="338">
        <v>0</v>
      </c>
      <c r="M81" s="338"/>
      <c r="N81" s="338"/>
      <c r="O81" s="338"/>
      <c r="P81" s="338"/>
      <c r="Q81" s="338"/>
      <c r="R81" s="338"/>
      <c r="S81" s="338"/>
      <c r="T81" s="338">
        <f>SUM(J81:P81)</f>
        <v>0</v>
      </c>
      <c r="U81" s="288"/>
      <c r="V81" s="5"/>
    </row>
    <row r="82" spans="1:22" ht="15.6" x14ac:dyDescent="0.3">
      <c r="A82" s="284"/>
      <c r="B82" s="285" t="s">
        <v>152</v>
      </c>
      <c r="C82" s="338"/>
      <c r="D82" s="338"/>
      <c r="E82" s="338"/>
      <c r="F82" s="338"/>
      <c r="G82" s="338"/>
      <c r="H82" s="338"/>
      <c r="I82" s="338"/>
      <c r="J82" s="338">
        <v>1</v>
      </c>
      <c r="K82" s="338"/>
      <c r="L82" s="338">
        <v>0</v>
      </c>
      <c r="M82" s="338"/>
      <c r="N82" s="338">
        <v>0</v>
      </c>
      <c r="O82" s="338"/>
      <c r="P82" s="338"/>
      <c r="Q82" s="338"/>
      <c r="R82" s="338"/>
      <c r="S82" s="338"/>
      <c r="T82" s="338">
        <f>+L82+N82</f>
        <v>0</v>
      </c>
      <c r="U82" s="288"/>
      <c r="V82" s="5"/>
    </row>
    <row r="83" spans="1:22" ht="15.6" x14ac:dyDescent="0.3">
      <c r="A83" s="284"/>
      <c r="B83" s="285" t="s">
        <v>25</v>
      </c>
      <c r="C83" s="338"/>
      <c r="D83" s="338"/>
      <c r="E83" s="338"/>
      <c r="F83" s="338"/>
      <c r="G83" s="338"/>
      <c r="H83" s="338"/>
      <c r="I83" s="338"/>
      <c r="J83" s="338">
        <v>0</v>
      </c>
      <c r="K83" s="338"/>
      <c r="L83" s="338">
        <v>0</v>
      </c>
      <c r="M83" s="338"/>
      <c r="N83" s="338"/>
      <c r="O83" s="338"/>
      <c r="P83" s="338"/>
      <c r="Q83" s="338"/>
      <c r="R83" s="338"/>
      <c r="S83" s="338"/>
      <c r="T83" s="338">
        <v>0</v>
      </c>
      <c r="U83" s="288"/>
      <c r="V83" s="5"/>
    </row>
    <row r="84" spans="1:22" ht="15.6" x14ac:dyDescent="0.3">
      <c r="A84" s="284"/>
      <c r="B84" s="285" t="s">
        <v>26</v>
      </c>
      <c r="C84" s="338"/>
      <c r="D84" s="338"/>
      <c r="E84" s="338"/>
      <c r="F84" s="338"/>
      <c r="G84" s="338"/>
      <c r="H84" s="338"/>
      <c r="I84" s="338"/>
      <c r="J84" s="338">
        <f>SUM(J71:J83)</f>
        <v>1000050</v>
      </c>
      <c r="K84" s="338"/>
      <c r="L84" s="338">
        <f>SUM(L71:L83)</f>
        <v>547726</v>
      </c>
      <c r="M84" s="338"/>
      <c r="N84" s="338"/>
      <c r="O84" s="338"/>
      <c r="P84" s="338"/>
      <c r="Q84" s="338"/>
      <c r="R84" s="338"/>
      <c r="S84" s="338"/>
      <c r="T84" s="338">
        <f>SUM(T71:T83)</f>
        <v>544790</v>
      </c>
      <c r="U84" s="288"/>
      <c r="V84" s="5"/>
    </row>
    <row r="85" spans="1:22" ht="15.6" x14ac:dyDescent="0.3">
      <c r="A85" s="175"/>
      <c r="B85" s="334"/>
      <c r="C85" s="335"/>
      <c r="D85" s="335"/>
      <c r="E85" s="335"/>
      <c r="F85" s="335"/>
      <c r="G85" s="335"/>
      <c r="H85" s="335"/>
      <c r="I85" s="335"/>
      <c r="J85" s="335"/>
      <c r="K85" s="335"/>
      <c r="L85" s="335"/>
      <c r="M85" s="335"/>
      <c r="N85" s="335"/>
      <c r="O85" s="335"/>
      <c r="P85" s="335"/>
      <c r="Q85" s="335"/>
      <c r="R85" s="335"/>
      <c r="S85" s="335"/>
      <c r="T85" s="336"/>
      <c r="U85" s="334"/>
      <c r="V85" s="5"/>
    </row>
    <row r="86" spans="1:22" ht="15.6" x14ac:dyDescent="0.3">
      <c r="A86" s="175"/>
      <c r="B86" s="177"/>
      <c r="C86" s="177"/>
      <c r="D86" s="177"/>
      <c r="E86" s="177"/>
      <c r="F86" s="177"/>
      <c r="G86" s="177"/>
      <c r="H86" s="177"/>
      <c r="I86" s="177"/>
      <c r="J86" s="177"/>
      <c r="K86" s="177"/>
      <c r="L86" s="177"/>
      <c r="M86" s="177"/>
      <c r="N86" s="177"/>
      <c r="O86" s="177"/>
      <c r="P86" s="177"/>
      <c r="Q86" s="177"/>
      <c r="R86" s="177"/>
      <c r="S86" s="177"/>
      <c r="T86" s="177"/>
      <c r="U86" s="177"/>
      <c r="V86" s="5"/>
    </row>
    <row r="87" spans="1:22" ht="15.6" x14ac:dyDescent="0.3">
      <c r="A87" s="222"/>
      <c r="B87" s="395" t="s">
        <v>27</v>
      </c>
      <c r="C87" s="395"/>
      <c r="D87" s="395"/>
      <c r="E87" s="395"/>
      <c r="F87" s="395"/>
      <c r="G87" s="395"/>
      <c r="H87" s="396"/>
      <c r="I87" s="396"/>
      <c r="J87" s="397" t="s">
        <v>98</v>
      </c>
      <c r="K87" s="396"/>
      <c r="L87" s="398">
        <f>+R194</f>
        <v>41453</v>
      </c>
      <c r="M87" s="396"/>
      <c r="N87" s="396"/>
      <c r="O87" s="396"/>
      <c r="P87" s="396"/>
      <c r="Q87" s="396"/>
      <c r="R87" s="396" t="s">
        <v>111</v>
      </c>
      <c r="S87" s="396"/>
      <c r="T87" s="396" t="s">
        <v>119</v>
      </c>
      <c r="U87" s="223"/>
      <c r="V87" s="5"/>
    </row>
    <row r="88" spans="1:22" ht="15.6" x14ac:dyDescent="0.3">
      <c r="A88" s="190"/>
      <c r="B88" s="239" t="s">
        <v>28</v>
      </c>
      <c r="C88" s="239"/>
      <c r="D88" s="239"/>
      <c r="E88" s="239"/>
      <c r="F88" s="239"/>
      <c r="G88" s="239"/>
      <c r="H88" s="239"/>
      <c r="I88" s="239"/>
      <c r="J88" s="239"/>
      <c r="K88" s="239"/>
      <c r="L88" s="239"/>
      <c r="M88" s="239"/>
      <c r="N88" s="239"/>
      <c r="O88" s="239"/>
      <c r="P88" s="239"/>
      <c r="Q88" s="239"/>
      <c r="R88" s="243">
        <v>0</v>
      </c>
      <c r="S88" s="239"/>
      <c r="T88" s="251">
        <v>0</v>
      </c>
      <c r="U88" s="239"/>
      <c r="V88" s="5"/>
    </row>
    <row r="89" spans="1:22" ht="15.6" x14ac:dyDescent="0.3">
      <c r="A89" s="284"/>
      <c r="B89" s="285" t="s">
        <v>29</v>
      </c>
      <c r="C89" s="285"/>
      <c r="D89" s="285"/>
      <c r="E89" s="285"/>
      <c r="F89" s="285"/>
      <c r="G89" s="285"/>
      <c r="H89" s="324"/>
      <c r="I89" s="341"/>
      <c r="J89" s="324"/>
      <c r="K89" s="285"/>
      <c r="L89" s="342"/>
      <c r="M89" s="285"/>
      <c r="N89" s="285"/>
      <c r="O89" s="285"/>
      <c r="P89" s="285"/>
      <c r="Q89" s="285"/>
      <c r="R89" s="338">
        <f>2946-207</f>
        <v>2739</v>
      </c>
      <c r="S89" s="285"/>
      <c r="T89" s="339"/>
      <c r="U89" s="288"/>
      <c r="V89" s="5"/>
    </row>
    <row r="90" spans="1:22" ht="15.6" x14ac:dyDescent="0.3">
      <c r="A90" s="284"/>
      <c r="B90" s="285" t="s">
        <v>225</v>
      </c>
      <c r="C90" s="285"/>
      <c r="D90" s="285"/>
      <c r="E90" s="285"/>
      <c r="F90" s="285"/>
      <c r="G90" s="285"/>
      <c r="H90" s="324"/>
      <c r="I90" s="341"/>
      <c r="J90" s="324"/>
      <c r="K90" s="285"/>
      <c r="L90" s="342"/>
      <c r="M90" s="285"/>
      <c r="N90" s="285"/>
      <c r="O90" s="285"/>
      <c r="P90" s="285"/>
      <c r="Q90" s="285"/>
      <c r="R90" s="338"/>
      <c r="S90" s="285"/>
      <c r="T90" s="339">
        <f>1935+2100-443-315</f>
        <v>3277</v>
      </c>
      <c r="U90" s="288"/>
      <c r="V90" s="5"/>
    </row>
    <row r="91" spans="1:22" ht="15.6" x14ac:dyDescent="0.3">
      <c r="A91" s="284"/>
      <c r="B91" s="285" t="s">
        <v>220</v>
      </c>
      <c r="C91" s="285"/>
      <c r="D91" s="285"/>
      <c r="E91" s="285"/>
      <c r="F91" s="285"/>
      <c r="G91" s="285"/>
      <c r="H91" s="324"/>
      <c r="I91" s="341"/>
      <c r="J91" s="324"/>
      <c r="K91" s="285"/>
      <c r="L91" s="342"/>
      <c r="M91" s="285"/>
      <c r="N91" s="285"/>
      <c r="O91" s="285"/>
      <c r="P91" s="285"/>
      <c r="Q91" s="285"/>
      <c r="R91" s="338"/>
      <c r="S91" s="285"/>
      <c r="T91" s="339">
        <f>47+10</f>
        <v>57</v>
      </c>
      <c r="U91" s="288"/>
      <c r="V91" s="5"/>
    </row>
    <row r="92" spans="1:22" ht="15.6" x14ac:dyDescent="0.3">
      <c r="A92" s="284"/>
      <c r="B92" s="285" t="s">
        <v>221</v>
      </c>
      <c r="C92" s="285"/>
      <c r="D92" s="285"/>
      <c r="E92" s="285"/>
      <c r="F92" s="285"/>
      <c r="G92" s="285"/>
      <c r="H92" s="324"/>
      <c r="I92" s="341"/>
      <c r="J92" s="324"/>
      <c r="K92" s="285"/>
      <c r="L92" s="342"/>
      <c r="M92" s="285"/>
      <c r="N92" s="285"/>
      <c r="O92" s="285"/>
      <c r="P92" s="285"/>
      <c r="Q92" s="285"/>
      <c r="R92" s="338"/>
      <c r="S92" s="285"/>
      <c r="T92" s="339">
        <v>23</v>
      </c>
      <c r="U92" s="288"/>
      <c r="V92" s="5"/>
    </row>
    <row r="93" spans="1:22" ht="15.6" x14ac:dyDescent="0.3">
      <c r="A93" s="284"/>
      <c r="B93" s="285" t="s">
        <v>261</v>
      </c>
      <c r="C93" s="285"/>
      <c r="D93" s="285"/>
      <c r="E93" s="285"/>
      <c r="F93" s="285"/>
      <c r="G93" s="285"/>
      <c r="H93" s="324"/>
      <c r="I93" s="341"/>
      <c r="J93" s="324"/>
      <c r="K93" s="285"/>
      <c r="L93" s="342"/>
      <c r="M93" s="285"/>
      <c r="N93" s="285"/>
      <c r="O93" s="285"/>
      <c r="P93" s="285"/>
      <c r="Q93" s="285"/>
      <c r="R93" s="338"/>
      <c r="S93" s="285"/>
      <c r="T93" s="339">
        <v>0</v>
      </c>
      <c r="U93" s="288"/>
      <c r="V93" s="5"/>
    </row>
    <row r="94" spans="1:22" ht="15.6" x14ac:dyDescent="0.3">
      <c r="A94" s="284"/>
      <c r="B94" s="285" t="s">
        <v>141</v>
      </c>
      <c r="C94" s="285"/>
      <c r="D94" s="285"/>
      <c r="E94" s="285"/>
      <c r="F94" s="285"/>
      <c r="G94" s="285"/>
      <c r="H94" s="285"/>
      <c r="I94" s="285"/>
      <c r="J94" s="285"/>
      <c r="K94" s="285"/>
      <c r="L94" s="285"/>
      <c r="M94" s="285"/>
      <c r="N94" s="285"/>
      <c r="O94" s="285"/>
      <c r="P94" s="285"/>
      <c r="Q94" s="285"/>
      <c r="R94" s="338"/>
      <c r="S94" s="285"/>
      <c r="T94" s="339">
        <v>0</v>
      </c>
      <c r="U94" s="288"/>
      <c r="V94" s="5"/>
    </row>
    <row r="95" spans="1:22" ht="15.6" x14ac:dyDescent="0.3">
      <c r="A95" s="284"/>
      <c r="B95" s="285" t="s">
        <v>250</v>
      </c>
      <c r="C95" s="285"/>
      <c r="D95" s="285"/>
      <c r="E95" s="285"/>
      <c r="F95" s="285"/>
      <c r="G95" s="285"/>
      <c r="H95" s="285"/>
      <c r="I95" s="285"/>
      <c r="J95" s="285"/>
      <c r="K95" s="285"/>
      <c r="L95" s="285"/>
      <c r="M95" s="285"/>
      <c r="N95" s="285"/>
      <c r="O95" s="285"/>
      <c r="P95" s="285"/>
      <c r="Q95" s="285"/>
      <c r="R95" s="338"/>
      <c r="S95" s="285"/>
      <c r="T95" s="339">
        <v>255</v>
      </c>
      <c r="U95" s="288"/>
      <c r="V95" s="5"/>
    </row>
    <row r="96" spans="1:22" ht="15.6" x14ac:dyDescent="0.3">
      <c r="A96" s="284"/>
      <c r="B96" s="285" t="s">
        <v>30</v>
      </c>
      <c r="C96" s="285"/>
      <c r="D96" s="285"/>
      <c r="E96" s="285"/>
      <c r="F96" s="285"/>
      <c r="G96" s="285"/>
      <c r="H96" s="285"/>
      <c r="I96" s="285"/>
      <c r="J96" s="285"/>
      <c r="K96" s="285"/>
      <c r="L96" s="285"/>
      <c r="M96" s="285"/>
      <c r="N96" s="285"/>
      <c r="O96" s="285"/>
      <c r="P96" s="285"/>
      <c r="Q96" s="285"/>
      <c r="R96" s="338">
        <f>SUM(R88:R95)</f>
        <v>2739</v>
      </c>
      <c r="S96" s="285"/>
      <c r="T96" s="338">
        <f>SUM(T88:T95)</f>
        <v>3612</v>
      </c>
      <c r="U96" s="288"/>
      <c r="V96" s="5"/>
    </row>
    <row r="97" spans="1:24" ht="15.6" x14ac:dyDescent="0.3">
      <c r="A97" s="284"/>
      <c r="B97" s="285" t="s">
        <v>168</v>
      </c>
      <c r="C97" s="285"/>
      <c r="D97" s="285"/>
      <c r="E97" s="285"/>
      <c r="F97" s="285"/>
      <c r="G97" s="285"/>
      <c r="H97" s="285"/>
      <c r="I97" s="285"/>
      <c r="J97" s="285"/>
      <c r="K97" s="285"/>
      <c r="L97" s="285"/>
      <c r="M97" s="285"/>
      <c r="N97" s="285"/>
      <c r="O97" s="285"/>
      <c r="P97" s="285"/>
      <c r="Q97" s="285"/>
      <c r="R97" s="338">
        <v>-2</v>
      </c>
      <c r="S97" s="285"/>
      <c r="T97" s="338">
        <f>-R97</f>
        <v>2</v>
      </c>
      <c r="U97" s="288"/>
      <c r="V97" s="5"/>
    </row>
    <row r="98" spans="1:24" ht="15.6" x14ac:dyDescent="0.3">
      <c r="A98" s="284"/>
      <c r="B98" s="285" t="s">
        <v>31</v>
      </c>
      <c r="C98" s="285"/>
      <c r="D98" s="285"/>
      <c r="E98" s="285"/>
      <c r="F98" s="285"/>
      <c r="G98" s="285"/>
      <c r="H98" s="285"/>
      <c r="I98" s="285"/>
      <c r="J98" s="285"/>
      <c r="K98" s="285"/>
      <c r="L98" s="285"/>
      <c r="M98" s="285"/>
      <c r="N98" s="285"/>
      <c r="O98" s="285"/>
      <c r="P98" s="285"/>
      <c r="Q98" s="285"/>
      <c r="R98" s="338">
        <f>-T98</f>
        <v>0</v>
      </c>
      <c r="S98" s="285"/>
      <c r="T98" s="339">
        <v>0</v>
      </c>
      <c r="U98" s="288"/>
      <c r="V98" s="5"/>
    </row>
    <row r="99" spans="1:24" ht="15.6" x14ac:dyDescent="0.3">
      <c r="A99" s="284"/>
      <c r="B99" s="285" t="s">
        <v>273</v>
      </c>
      <c r="C99" s="285"/>
      <c r="D99" s="285"/>
      <c r="E99" s="285"/>
      <c r="F99" s="285"/>
      <c r="G99" s="285"/>
      <c r="H99" s="285"/>
      <c r="I99" s="285"/>
      <c r="J99" s="285"/>
      <c r="K99" s="285"/>
      <c r="L99" s="285"/>
      <c r="M99" s="285"/>
      <c r="N99" s="285"/>
      <c r="O99" s="285"/>
      <c r="P99" s="285"/>
      <c r="Q99" s="285"/>
      <c r="R99" s="338"/>
      <c r="S99" s="285"/>
      <c r="T99" s="339">
        <v>-37</v>
      </c>
      <c r="U99" s="288"/>
      <c r="V99" s="5"/>
    </row>
    <row r="100" spans="1:24" ht="15.6" x14ac:dyDescent="0.3">
      <c r="A100" s="284"/>
      <c r="B100" s="285" t="s">
        <v>32</v>
      </c>
      <c r="C100" s="285"/>
      <c r="D100" s="285"/>
      <c r="E100" s="285"/>
      <c r="F100" s="285"/>
      <c r="G100" s="285"/>
      <c r="H100" s="285"/>
      <c r="I100" s="285"/>
      <c r="J100" s="285"/>
      <c r="K100" s="285"/>
      <c r="L100" s="285"/>
      <c r="M100" s="285"/>
      <c r="N100" s="285"/>
      <c r="O100" s="285"/>
      <c r="P100" s="285"/>
      <c r="Q100" s="285"/>
      <c r="R100" s="338">
        <f>R96+R98+R97</f>
        <v>2737</v>
      </c>
      <c r="S100" s="285"/>
      <c r="T100" s="338">
        <f>T96+T98+T97+T99</f>
        <v>3577</v>
      </c>
      <c r="U100" s="288"/>
      <c r="V100" s="5"/>
    </row>
    <row r="101" spans="1:24" ht="15.6" x14ac:dyDescent="0.3">
      <c r="A101" s="284"/>
      <c r="B101" s="343" t="s">
        <v>33</v>
      </c>
      <c r="C101" s="311"/>
      <c r="D101" s="311"/>
      <c r="E101" s="311"/>
      <c r="F101" s="311"/>
      <c r="G101" s="311"/>
      <c r="H101" s="311"/>
      <c r="I101" s="311"/>
      <c r="J101" s="311"/>
      <c r="K101" s="311"/>
      <c r="L101" s="311"/>
      <c r="M101" s="311"/>
      <c r="N101" s="311"/>
      <c r="O101" s="311"/>
      <c r="P101" s="311"/>
      <c r="Q101" s="311"/>
      <c r="R101" s="344"/>
      <c r="S101" s="311"/>
      <c r="T101" s="345"/>
      <c r="U101" s="317"/>
      <c r="V101" s="5"/>
    </row>
    <row r="102" spans="1:24" ht="15.6" x14ac:dyDescent="0.3">
      <c r="A102" s="337">
        <v>1</v>
      </c>
      <c r="B102" s="285" t="s">
        <v>34</v>
      </c>
      <c r="C102" s="285"/>
      <c r="D102" s="285"/>
      <c r="E102" s="285"/>
      <c r="F102" s="285"/>
      <c r="G102" s="285"/>
      <c r="H102" s="285"/>
      <c r="I102" s="285"/>
      <c r="J102" s="285"/>
      <c r="K102" s="285"/>
      <c r="L102" s="285"/>
      <c r="M102" s="285"/>
      <c r="N102" s="285"/>
      <c r="O102" s="285"/>
      <c r="P102" s="285"/>
      <c r="Q102" s="285"/>
      <c r="R102" s="285"/>
      <c r="S102" s="285"/>
      <c r="T102" s="339">
        <v>0</v>
      </c>
      <c r="U102" s="288"/>
      <c r="V102" s="5"/>
    </row>
    <row r="103" spans="1:24" ht="15.6" x14ac:dyDescent="0.3">
      <c r="A103" s="337">
        <f>+A102+1</f>
        <v>2</v>
      </c>
      <c r="B103" s="285" t="s">
        <v>312</v>
      </c>
      <c r="C103" s="285"/>
      <c r="D103" s="285"/>
      <c r="E103" s="285"/>
      <c r="F103" s="285"/>
      <c r="G103" s="285"/>
      <c r="H103" s="285"/>
      <c r="I103" s="285"/>
      <c r="J103" s="285"/>
      <c r="K103" s="285"/>
      <c r="L103" s="285"/>
      <c r="M103" s="285"/>
      <c r="N103" s="285"/>
      <c r="O103" s="285"/>
      <c r="P103" s="285"/>
      <c r="Q103" s="285"/>
      <c r="R103" s="285"/>
      <c r="S103" s="285"/>
      <c r="T103" s="339">
        <v>-2</v>
      </c>
      <c r="U103" s="288"/>
      <c r="V103" s="5"/>
    </row>
    <row r="104" spans="1:24" ht="15.6" x14ac:dyDescent="0.3">
      <c r="A104" s="337">
        <f>+A103+1</f>
        <v>3</v>
      </c>
      <c r="B104" s="407" t="s">
        <v>314</v>
      </c>
      <c r="C104" s="285"/>
      <c r="D104" s="285"/>
      <c r="E104" s="285"/>
      <c r="F104" s="285"/>
      <c r="G104" s="285"/>
      <c r="H104" s="285"/>
      <c r="I104" s="285"/>
      <c r="J104" s="285"/>
      <c r="K104" s="285"/>
      <c r="L104" s="285"/>
      <c r="M104" s="285"/>
      <c r="N104" s="285"/>
      <c r="O104" s="285"/>
      <c r="P104" s="285"/>
      <c r="Q104" s="285"/>
      <c r="R104" s="285"/>
      <c r="S104" s="285"/>
      <c r="T104" s="339">
        <f>-207-167-7</f>
        <v>-381</v>
      </c>
      <c r="U104" s="288"/>
      <c r="V104" s="5"/>
    </row>
    <row r="105" spans="1:24" ht="15.6" x14ac:dyDescent="0.3">
      <c r="A105" s="337" t="s">
        <v>133</v>
      </c>
      <c r="B105" s="285" t="s">
        <v>122</v>
      </c>
      <c r="C105" s="285"/>
      <c r="D105" s="285"/>
      <c r="E105" s="285"/>
      <c r="F105" s="285"/>
      <c r="G105" s="285"/>
      <c r="H105" s="285"/>
      <c r="I105" s="285"/>
      <c r="J105" s="285"/>
      <c r="K105" s="285"/>
      <c r="L105" s="285"/>
      <c r="M105" s="285"/>
      <c r="N105" s="285"/>
      <c r="O105" s="285"/>
      <c r="P105" s="285"/>
      <c r="Q105" s="285"/>
      <c r="R105" s="285"/>
      <c r="S105" s="285"/>
      <c r="T105" s="339">
        <v>-31</v>
      </c>
      <c r="U105" s="288"/>
      <c r="V105" s="5"/>
    </row>
    <row r="106" spans="1:24" ht="15.6" x14ac:dyDescent="0.3">
      <c r="A106" s="337" t="s">
        <v>134</v>
      </c>
      <c r="B106" s="285" t="s">
        <v>194</v>
      </c>
      <c r="C106" s="285"/>
      <c r="D106" s="285"/>
      <c r="E106" s="285"/>
      <c r="F106" s="285"/>
      <c r="G106" s="285"/>
      <c r="H106" s="285"/>
      <c r="I106" s="285"/>
      <c r="J106" s="285"/>
      <c r="K106" s="285"/>
      <c r="L106" s="285"/>
      <c r="M106" s="285"/>
      <c r="N106" s="285"/>
      <c r="O106" s="285"/>
      <c r="P106" s="285"/>
      <c r="Q106" s="285"/>
      <c r="R106" s="285"/>
      <c r="S106" s="285"/>
      <c r="T106" s="339">
        <f>-693+133</f>
        <v>-560</v>
      </c>
      <c r="U106" s="288"/>
      <c r="V106" s="5"/>
      <c r="W106" s="109"/>
    </row>
    <row r="107" spans="1:24" ht="15.6" x14ac:dyDescent="0.3">
      <c r="A107" s="337" t="s">
        <v>156</v>
      </c>
      <c r="B107" s="285" t="s">
        <v>191</v>
      </c>
      <c r="C107" s="285"/>
      <c r="D107" s="285"/>
      <c r="E107" s="285"/>
      <c r="F107" s="285"/>
      <c r="G107" s="285"/>
      <c r="H107" s="285"/>
      <c r="I107" s="285"/>
      <c r="J107" s="285"/>
      <c r="K107" s="285"/>
      <c r="L107" s="285"/>
      <c r="M107" s="285"/>
      <c r="N107" s="285"/>
      <c r="O107" s="285"/>
      <c r="P107" s="285"/>
      <c r="Q107" s="285"/>
      <c r="R107" s="285"/>
      <c r="S107" s="285"/>
      <c r="T107" s="339">
        <v>-133</v>
      </c>
      <c r="U107" s="288"/>
      <c r="V107" s="5"/>
      <c r="W107" s="109"/>
    </row>
    <row r="108" spans="1:24" ht="15.6" x14ac:dyDescent="0.3">
      <c r="A108" s="337" t="s">
        <v>214</v>
      </c>
      <c r="B108" s="285" t="s">
        <v>192</v>
      </c>
      <c r="C108" s="285"/>
      <c r="D108" s="285"/>
      <c r="E108" s="285"/>
      <c r="F108" s="285"/>
      <c r="G108" s="285"/>
      <c r="H108" s="285"/>
      <c r="I108" s="285"/>
      <c r="J108" s="285"/>
      <c r="K108" s="285"/>
      <c r="L108" s="285"/>
      <c r="M108" s="285"/>
      <c r="N108" s="285"/>
      <c r="O108" s="285"/>
      <c r="P108" s="285"/>
      <c r="Q108" s="285"/>
      <c r="R108" s="285"/>
      <c r="S108" s="285"/>
      <c r="T108" s="339">
        <v>-143</v>
      </c>
      <c r="U108" s="288"/>
      <c r="V108" s="5"/>
      <c r="W108" s="109"/>
      <c r="X108" s="109"/>
    </row>
    <row r="109" spans="1:24" ht="15.6" x14ac:dyDescent="0.3">
      <c r="A109" s="337" t="s">
        <v>215</v>
      </c>
      <c r="B109" s="285" t="s">
        <v>193</v>
      </c>
      <c r="C109" s="285"/>
      <c r="D109" s="285"/>
      <c r="E109" s="285"/>
      <c r="F109" s="285"/>
      <c r="G109" s="285"/>
      <c r="H109" s="285"/>
      <c r="I109" s="285"/>
      <c r="J109" s="285"/>
      <c r="K109" s="285"/>
      <c r="L109" s="285"/>
      <c r="M109" s="285"/>
      <c r="N109" s="285"/>
      <c r="O109" s="285"/>
      <c r="P109" s="285"/>
      <c r="Q109" s="285"/>
      <c r="R109" s="285"/>
      <c r="S109" s="285"/>
      <c r="T109" s="339">
        <v>-39</v>
      </c>
      <c r="U109" s="288"/>
      <c r="V109" s="169"/>
      <c r="W109" s="109"/>
    </row>
    <row r="110" spans="1:24" ht="15.6" x14ac:dyDescent="0.3">
      <c r="A110" s="337" t="s">
        <v>216</v>
      </c>
      <c r="B110" s="285" t="s">
        <v>204</v>
      </c>
      <c r="C110" s="285"/>
      <c r="D110" s="285"/>
      <c r="E110" s="285"/>
      <c r="F110" s="285"/>
      <c r="G110" s="285"/>
      <c r="H110" s="285"/>
      <c r="I110" s="285"/>
      <c r="J110" s="285"/>
      <c r="K110" s="285"/>
      <c r="L110" s="285"/>
      <c r="M110" s="285"/>
      <c r="N110" s="285"/>
      <c r="O110" s="285"/>
      <c r="P110" s="285"/>
      <c r="Q110" s="285"/>
      <c r="R110" s="285"/>
      <c r="S110" s="285"/>
      <c r="T110" s="339">
        <v>-222</v>
      </c>
      <c r="U110" s="288"/>
      <c r="V110" s="5"/>
      <c r="W110" s="109"/>
    </row>
    <row r="111" spans="1:24" ht="15.6" x14ac:dyDescent="0.3">
      <c r="A111" s="406">
        <v>7</v>
      </c>
      <c r="B111" s="407" t="s">
        <v>313</v>
      </c>
      <c r="C111" s="407"/>
      <c r="D111" s="407"/>
      <c r="E111" s="407"/>
      <c r="F111" s="407"/>
      <c r="G111" s="285"/>
      <c r="H111" s="285"/>
      <c r="I111" s="285"/>
      <c r="J111" s="285"/>
      <c r="K111" s="285"/>
      <c r="L111" s="285"/>
      <c r="M111" s="285"/>
      <c r="N111" s="285"/>
      <c r="O111" s="285"/>
      <c r="P111" s="285"/>
      <c r="Q111" s="285"/>
      <c r="R111" s="285"/>
      <c r="S111" s="285"/>
      <c r="T111" s="339">
        <v>0</v>
      </c>
      <c r="U111" s="288"/>
      <c r="V111" s="5"/>
      <c r="W111" s="109"/>
    </row>
    <row r="112" spans="1:24" ht="15.6" x14ac:dyDescent="0.3">
      <c r="A112" s="337">
        <f t="shared" ref="A112:A118" si="0">+A111+1</f>
        <v>8</v>
      </c>
      <c r="B112" s="285" t="s">
        <v>35</v>
      </c>
      <c r="C112" s="285"/>
      <c r="D112" s="285"/>
      <c r="E112" s="285"/>
      <c r="F112" s="285"/>
      <c r="G112" s="285"/>
      <c r="H112" s="285"/>
      <c r="I112" s="285"/>
      <c r="J112" s="285"/>
      <c r="K112" s="285"/>
      <c r="L112" s="285"/>
      <c r="M112" s="285"/>
      <c r="N112" s="285"/>
      <c r="O112" s="285"/>
      <c r="P112" s="285"/>
      <c r="Q112" s="285"/>
      <c r="R112" s="285"/>
      <c r="S112" s="285"/>
      <c r="T112" s="339">
        <v>-10</v>
      </c>
      <c r="U112" s="288"/>
      <c r="V112" s="5"/>
    </row>
    <row r="113" spans="1:22" ht="15.6" x14ac:dyDescent="0.3">
      <c r="A113" s="337">
        <f t="shared" si="0"/>
        <v>9</v>
      </c>
      <c r="B113" s="285" t="s">
        <v>46</v>
      </c>
      <c r="C113" s="285"/>
      <c r="D113" s="285"/>
      <c r="E113" s="285"/>
      <c r="F113" s="285"/>
      <c r="G113" s="285"/>
      <c r="H113" s="285"/>
      <c r="I113" s="285"/>
      <c r="J113" s="285"/>
      <c r="K113" s="285"/>
      <c r="L113" s="285"/>
      <c r="M113" s="285"/>
      <c r="N113" s="285"/>
      <c r="O113" s="285"/>
      <c r="P113" s="285"/>
      <c r="Q113" s="285"/>
      <c r="R113" s="338">
        <f>-T113</f>
        <v>207</v>
      </c>
      <c r="S113" s="285"/>
      <c r="T113" s="339">
        <v>-207</v>
      </c>
      <c r="U113" s="288"/>
      <c r="V113" s="5"/>
    </row>
    <row r="114" spans="1:22" ht="15.6" x14ac:dyDescent="0.3">
      <c r="A114" s="337">
        <f t="shared" si="0"/>
        <v>10</v>
      </c>
      <c r="B114" s="285" t="s">
        <v>131</v>
      </c>
      <c r="C114" s="285"/>
      <c r="D114" s="285"/>
      <c r="E114" s="285"/>
      <c r="F114" s="285"/>
      <c r="G114" s="285"/>
      <c r="H114" s="285"/>
      <c r="I114" s="285"/>
      <c r="J114" s="285"/>
      <c r="K114" s="285"/>
      <c r="L114" s="285"/>
      <c r="M114" s="285"/>
      <c r="N114" s="285"/>
      <c r="O114" s="285"/>
      <c r="P114" s="285"/>
      <c r="Q114" s="285"/>
      <c r="R114" s="285"/>
      <c r="S114" s="285"/>
      <c r="T114" s="339">
        <v>0</v>
      </c>
      <c r="U114" s="288"/>
      <c r="V114" s="5"/>
    </row>
    <row r="115" spans="1:22" ht="15.6" x14ac:dyDescent="0.3">
      <c r="A115" s="337">
        <f t="shared" si="0"/>
        <v>11</v>
      </c>
      <c r="B115" s="285" t="s">
        <v>36</v>
      </c>
      <c r="C115" s="285"/>
      <c r="D115" s="285"/>
      <c r="E115" s="285"/>
      <c r="F115" s="285"/>
      <c r="G115" s="285"/>
      <c r="H115" s="285"/>
      <c r="I115" s="285"/>
      <c r="J115" s="285"/>
      <c r="K115" s="285"/>
      <c r="L115" s="285"/>
      <c r="M115" s="285"/>
      <c r="N115" s="285"/>
      <c r="O115" s="285"/>
      <c r="P115" s="285"/>
      <c r="Q115" s="285"/>
      <c r="R115" s="285"/>
      <c r="S115" s="285"/>
      <c r="T115" s="339">
        <v>0</v>
      </c>
      <c r="U115" s="288"/>
      <c r="V115" s="5"/>
    </row>
    <row r="116" spans="1:22" ht="15.6" x14ac:dyDescent="0.3">
      <c r="A116" s="337">
        <f t="shared" si="0"/>
        <v>12</v>
      </c>
      <c r="B116" s="285" t="s">
        <v>37</v>
      </c>
      <c r="C116" s="285"/>
      <c r="D116" s="285"/>
      <c r="E116" s="285"/>
      <c r="F116" s="285"/>
      <c r="G116" s="285"/>
      <c r="H116" s="285"/>
      <c r="I116" s="285"/>
      <c r="J116" s="285"/>
      <c r="K116" s="285"/>
      <c r="L116" s="285"/>
      <c r="M116" s="285"/>
      <c r="N116" s="285"/>
      <c r="O116" s="285"/>
      <c r="P116" s="285"/>
      <c r="Q116" s="285"/>
      <c r="R116" s="285"/>
      <c r="S116" s="285"/>
      <c r="T116" s="339">
        <v>0</v>
      </c>
      <c r="U116" s="288"/>
      <c r="V116" s="5"/>
    </row>
    <row r="117" spans="1:22" ht="15.6" x14ac:dyDescent="0.3">
      <c r="A117" s="337">
        <f t="shared" si="0"/>
        <v>13</v>
      </c>
      <c r="B117" s="285" t="s">
        <v>155</v>
      </c>
      <c r="C117" s="285"/>
      <c r="D117" s="285"/>
      <c r="E117" s="285"/>
      <c r="F117" s="285"/>
      <c r="G117" s="285"/>
      <c r="H117" s="285"/>
      <c r="I117" s="285"/>
      <c r="J117" s="285"/>
      <c r="K117" s="285"/>
      <c r="L117" s="285"/>
      <c r="M117" s="285"/>
      <c r="N117" s="285"/>
      <c r="O117" s="285"/>
      <c r="P117" s="285"/>
      <c r="Q117" s="285"/>
      <c r="R117" s="285"/>
      <c r="S117" s="285"/>
      <c r="T117" s="339">
        <v>-207</v>
      </c>
      <c r="U117" s="288"/>
      <c r="V117" s="5"/>
    </row>
    <row r="118" spans="1:22" ht="15.6" x14ac:dyDescent="0.3">
      <c r="A118" s="337">
        <f t="shared" si="0"/>
        <v>14</v>
      </c>
      <c r="B118" s="285" t="s">
        <v>132</v>
      </c>
      <c r="C118" s="285"/>
      <c r="D118" s="285"/>
      <c r="E118" s="285"/>
      <c r="F118" s="285"/>
      <c r="G118" s="285"/>
      <c r="H118" s="285"/>
      <c r="I118" s="285"/>
      <c r="J118" s="285"/>
      <c r="K118" s="285"/>
      <c r="L118" s="285"/>
      <c r="M118" s="285"/>
      <c r="N118" s="285"/>
      <c r="O118" s="285"/>
      <c r="P118" s="285"/>
      <c r="Q118" s="285"/>
      <c r="R118" s="285"/>
      <c r="S118" s="285"/>
      <c r="T118" s="339">
        <f>-T100-SUM(T102:T117)</f>
        <v>-1642</v>
      </c>
      <c r="U118" s="288"/>
      <c r="V118" s="5"/>
    </row>
    <row r="119" spans="1:22" ht="15.6" x14ac:dyDescent="0.3">
      <c r="A119" s="284"/>
      <c r="B119" s="343" t="s">
        <v>38</v>
      </c>
      <c r="C119" s="311"/>
      <c r="D119" s="311"/>
      <c r="E119" s="311"/>
      <c r="F119" s="311"/>
      <c r="G119" s="311"/>
      <c r="H119" s="311"/>
      <c r="I119" s="311"/>
      <c r="J119" s="311"/>
      <c r="K119" s="311"/>
      <c r="L119" s="311"/>
      <c r="M119" s="311"/>
      <c r="N119" s="311"/>
      <c r="O119" s="311"/>
      <c r="P119" s="311"/>
      <c r="Q119" s="311"/>
      <c r="R119" s="311"/>
      <c r="S119" s="311"/>
      <c r="T119" s="346"/>
      <c r="U119" s="317"/>
      <c r="V119" s="5"/>
    </row>
    <row r="120" spans="1:22" ht="15.6" x14ac:dyDescent="0.3">
      <c r="A120" s="337"/>
      <c r="B120" s="285" t="s">
        <v>180</v>
      </c>
      <c r="C120" s="285"/>
      <c r="D120" s="285"/>
      <c r="E120" s="285"/>
      <c r="F120" s="285"/>
      <c r="G120" s="285"/>
      <c r="H120" s="285"/>
      <c r="I120" s="285"/>
      <c r="J120" s="285"/>
      <c r="K120" s="285"/>
      <c r="L120" s="285"/>
      <c r="M120" s="285"/>
      <c r="N120" s="285"/>
      <c r="O120" s="285"/>
      <c r="P120" s="285"/>
      <c r="Q120" s="285"/>
      <c r="R120" s="338">
        <f>-R178</f>
        <v>0</v>
      </c>
      <c r="S120" s="338"/>
      <c r="T120" s="339"/>
      <c r="U120" s="288"/>
      <c r="V120" s="5"/>
    </row>
    <row r="121" spans="1:22" ht="15.6" x14ac:dyDescent="0.3">
      <c r="A121" s="337"/>
      <c r="B121" s="285" t="s">
        <v>181</v>
      </c>
      <c r="C121" s="285"/>
      <c r="D121" s="285"/>
      <c r="E121" s="285"/>
      <c r="F121" s="285"/>
      <c r="G121" s="285"/>
      <c r="H121" s="285"/>
      <c r="I121" s="285"/>
      <c r="J121" s="285"/>
      <c r="K121" s="285"/>
      <c r="L121" s="285"/>
      <c r="M121" s="285"/>
      <c r="N121" s="285"/>
      <c r="O121" s="285"/>
      <c r="P121" s="285"/>
      <c r="Q121" s="285"/>
      <c r="R121" s="338">
        <v>0</v>
      </c>
      <c r="S121" s="338"/>
      <c r="T121" s="339"/>
      <c r="U121" s="288"/>
      <c r="V121" s="5"/>
    </row>
    <row r="122" spans="1:22" ht="15.6" x14ac:dyDescent="0.3">
      <c r="A122" s="337"/>
      <c r="B122" s="285" t="s">
        <v>39</v>
      </c>
      <c r="C122" s="285"/>
      <c r="D122" s="285"/>
      <c r="E122" s="285"/>
      <c r="F122" s="285"/>
      <c r="G122" s="285"/>
      <c r="H122" s="285"/>
      <c r="I122" s="285"/>
      <c r="J122" s="285"/>
      <c r="K122" s="285"/>
      <c r="L122" s="285"/>
      <c r="M122" s="285"/>
      <c r="N122" s="285"/>
      <c r="O122" s="285"/>
      <c r="P122" s="285"/>
      <c r="Q122" s="285"/>
      <c r="R122" s="338">
        <f>-Q178</f>
        <v>-8</v>
      </c>
      <c r="S122" s="338"/>
      <c r="T122" s="339"/>
      <c r="U122" s="288"/>
      <c r="V122" s="5"/>
    </row>
    <row r="123" spans="1:22" ht="15.6" x14ac:dyDescent="0.3">
      <c r="A123" s="337"/>
      <c r="B123" s="285" t="s">
        <v>205</v>
      </c>
      <c r="C123" s="285"/>
      <c r="D123" s="285"/>
      <c r="E123" s="285"/>
      <c r="F123" s="285"/>
      <c r="G123" s="285"/>
      <c r="H123" s="285"/>
      <c r="I123" s="285"/>
      <c r="J123" s="285"/>
      <c r="K123" s="285"/>
      <c r="L123" s="285"/>
      <c r="M123" s="285"/>
      <c r="N123" s="285"/>
      <c r="O123" s="285"/>
      <c r="P123" s="285"/>
      <c r="Q123" s="285"/>
      <c r="R123" s="338">
        <v>-1920</v>
      </c>
      <c r="S123" s="338"/>
      <c r="T123" s="339"/>
      <c r="U123" s="288"/>
      <c r="V123" s="5"/>
    </row>
    <row r="124" spans="1:22" ht="15.6" x14ac:dyDescent="0.3">
      <c r="A124" s="337"/>
      <c r="B124" s="285" t="s">
        <v>203</v>
      </c>
      <c r="C124" s="285"/>
      <c r="D124" s="285"/>
      <c r="E124" s="285"/>
      <c r="F124" s="285"/>
      <c r="G124" s="285"/>
      <c r="H124" s="285"/>
      <c r="I124" s="285"/>
      <c r="J124" s="285"/>
      <c r="K124" s="285"/>
      <c r="L124" s="285"/>
      <c r="M124" s="285"/>
      <c r="N124" s="285"/>
      <c r="O124" s="285"/>
      <c r="P124" s="285"/>
      <c r="Q124" s="285"/>
      <c r="R124" s="338">
        <v>-506</v>
      </c>
      <c r="S124" s="338"/>
      <c r="T124" s="339"/>
      <c r="U124" s="288"/>
      <c r="V124" s="5"/>
    </row>
    <row r="125" spans="1:22" ht="15.6" x14ac:dyDescent="0.3">
      <c r="A125" s="337"/>
      <c r="B125" s="285" t="s">
        <v>202</v>
      </c>
      <c r="C125" s="285"/>
      <c r="D125" s="285"/>
      <c r="E125" s="285"/>
      <c r="F125" s="285"/>
      <c r="G125" s="285"/>
      <c r="H125" s="285"/>
      <c r="I125" s="285"/>
      <c r="J125" s="285"/>
      <c r="K125" s="285"/>
      <c r="L125" s="285"/>
      <c r="M125" s="285"/>
      <c r="N125" s="285"/>
      <c r="O125" s="285"/>
      <c r="P125" s="285"/>
      <c r="Q125" s="285"/>
      <c r="R125" s="338">
        <v>-510</v>
      </c>
      <c r="S125" s="338"/>
      <c r="T125" s="339"/>
      <c r="U125" s="288"/>
      <c r="V125" s="5"/>
    </row>
    <row r="126" spans="1:22" ht="15.6" x14ac:dyDescent="0.3">
      <c r="A126" s="337"/>
      <c r="B126" s="285" t="s">
        <v>197</v>
      </c>
      <c r="C126" s="285"/>
      <c r="D126" s="285"/>
      <c r="E126" s="285"/>
      <c r="F126" s="285"/>
      <c r="G126" s="285"/>
      <c r="H126" s="285"/>
      <c r="I126" s="285"/>
      <c r="J126" s="285"/>
      <c r="K126" s="285"/>
      <c r="L126" s="285"/>
      <c r="M126" s="285"/>
      <c r="N126" s="285"/>
      <c r="O126" s="285"/>
      <c r="P126" s="285"/>
      <c r="Q126" s="285"/>
      <c r="R126" s="338">
        <v>0</v>
      </c>
      <c r="S126" s="338"/>
      <c r="T126" s="339"/>
      <c r="U126" s="288"/>
      <c r="V126" s="5"/>
    </row>
    <row r="127" spans="1:22" ht="15.6" x14ac:dyDescent="0.3">
      <c r="A127" s="337"/>
      <c r="B127" s="285" t="s">
        <v>196</v>
      </c>
      <c r="C127" s="285"/>
      <c r="D127" s="285"/>
      <c r="E127" s="285"/>
      <c r="F127" s="285"/>
      <c r="G127" s="285"/>
      <c r="H127" s="285"/>
      <c r="I127" s="285"/>
      <c r="J127" s="285"/>
      <c r="K127" s="285"/>
      <c r="L127" s="285"/>
      <c r="M127" s="285"/>
      <c r="N127" s="285"/>
      <c r="O127" s="285"/>
      <c r="P127" s="285"/>
      <c r="Q127" s="285"/>
      <c r="R127" s="338">
        <v>0</v>
      </c>
      <c r="S127" s="338"/>
      <c r="T127" s="339"/>
      <c r="U127" s="288"/>
      <c r="V127" s="5"/>
    </row>
    <row r="128" spans="1:22" ht="15.6" x14ac:dyDescent="0.3">
      <c r="A128" s="337"/>
      <c r="B128" s="285" t="s">
        <v>195</v>
      </c>
      <c r="C128" s="285"/>
      <c r="D128" s="285"/>
      <c r="E128" s="285"/>
      <c r="F128" s="285"/>
      <c r="G128" s="285"/>
      <c r="H128" s="285"/>
      <c r="I128" s="285"/>
      <c r="J128" s="285"/>
      <c r="K128" s="285"/>
      <c r="L128" s="285"/>
      <c r="M128" s="285"/>
      <c r="N128" s="285"/>
      <c r="O128" s="285"/>
      <c r="P128" s="285"/>
      <c r="Q128" s="285"/>
      <c r="R128" s="338">
        <v>0</v>
      </c>
      <c r="S128" s="338"/>
      <c r="T128" s="339"/>
      <c r="U128" s="288"/>
      <c r="V128" s="5"/>
    </row>
    <row r="129" spans="1:22" ht="15.6" x14ac:dyDescent="0.3">
      <c r="A129" s="337"/>
      <c r="B129" s="285" t="s">
        <v>40</v>
      </c>
      <c r="C129" s="285"/>
      <c r="D129" s="285"/>
      <c r="E129" s="285"/>
      <c r="F129" s="285"/>
      <c r="G129" s="285"/>
      <c r="H129" s="285"/>
      <c r="I129" s="285"/>
      <c r="J129" s="285"/>
      <c r="K129" s="285"/>
      <c r="L129" s="285"/>
      <c r="M129" s="285"/>
      <c r="N129" s="285"/>
      <c r="O129" s="285"/>
      <c r="P129" s="285"/>
      <c r="Q129" s="285"/>
      <c r="R129" s="338">
        <f>SUM(R120:R128)</f>
        <v>-2944</v>
      </c>
      <c r="S129" s="338"/>
      <c r="T129" s="338">
        <f>SUM(T101:T127)</f>
        <v>-3577</v>
      </c>
      <c r="U129" s="288"/>
      <c r="V129" s="5"/>
    </row>
    <row r="130" spans="1:22" ht="15.6" x14ac:dyDescent="0.3">
      <c r="A130" s="337"/>
      <c r="B130" s="285" t="s">
        <v>41</v>
      </c>
      <c r="C130" s="285"/>
      <c r="D130" s="285"/>
      <c r="E130" s="285"/>
      <c r="F130" s="285"/>
      <c r="G130" s="285"/>
      <c r="H130" s="285"/>
      <c r="I130" s="285"/>
      <c r="J130" s="285"/>
      <c r="K130" s="285"/>
      <c r="L130" s="285"/>
      <c r="M130" s="285"/>
      <c r="N130" s="285"/>
      <c r="O130" s="285"/>
      <c r="P130" s="285"/>
      <c r="Q130" s="285"/>
      <c r="R130" s="338">
        <f>R100+R129+R113</f>
        <v>0</v>
      </c>
      <c r="S130" s="338"/>
      <c r="T130" s="338">
        <f>T100+T129</f>
        <v>0</v>
      </c>
      <c r="U130" s="288"/>
      <c r="V130" s="5"/>
    </row>
    <row r="131" spans="1:22" ht="15.6" x14ac:dyDescent="0.3">
      <c r="A131" s="256"/>
      <c r="B131" s="281"/>
      <c r="C131" s="281"/>
      <c r="D131" s="281"/>
      <c r="E131" s="281"/>
      <c r="F131" s="281"/>
      <c r="G131" s="281"/>
      <c r="H131" s="281"/>
      <c r="I131" s="281"/>
      <c r="J131" s="281"/>
      <c r="K131" s="281"/>
      <c r="L131" s="281"/>
      <c r="M131" s="281"/>
      <c r="N131" s="281"/>
      <c r="O131" s="281"/>
      <c r="P131" s="281"/>
      <c r="Q131" s="281"/>
      <c r="R131" s="340"/>
      <c r="S131" s="340"/>
      <c r="T131" s="340"/>
      <c r="U131" s="281"/>
      <c r="V131" s="5"/>
    </row>
    <row r="132" spans="1:22" ht="15.6" x14ac:dyDescent="0.3">
      <c r="A132" s="256"/>
      <c r="B132" s="231"/>
      <c r="C132" s="231"/>
      <c r="D132" s="231"/>
      <c r="E132" s="231"/>
      <c r="F132" s="231"/>
      <c r="G132" s="231"/>
      <c r="H132" s="231"/>
      <c r="I132" s="231"/>
      <c r="J132" s="231"/>
      <c r="K132" s="231"/>
      <c r="L132" s="231"/>
      <c r="M132" s="231"/>
      <c r="N132" s="231"/>
      <c r="O132" s="231"/>
      <c r="P132" s="231"/>
      <c r="Q132" s="231"/>
      <c r="R132" s="231"/>
      <c r="S132" s="231"/>
      <c r="T132" s="257"/>
      <c r="U132" s="231"/>
      <c r="V132" s="5"/>
    </row>
    <row r="133" spans="1:22" ht="18" thickBot="1" x14ac:dyDescent="0.35">
      <c r="A133" s="258"/>
      <c r="B133" s="246" t="str">
        <f>B64</f>
        <v>PM11 INVESTOR REPORT QUARTER ENDING JUNE 2013</v>
      </c>
      <c r="C133" s="247"/>
      <c r="D133" s="247"/>
      <c r="E133" s="247"/>
      <c r="F133" s="247"/>
      <c r="G133" s="247"/>
      <c r="H133" s="247"/>
      <c r="I133" s="247"/>
      <c r="J133" s="247"/>
      <c r="K133" s="247"/>
      <c r="L133" s="247"/>
      <c r="M133" s="247"/>
      <c r="N133" s="247"/>
      <c r="O133" s="247"/>
      <c r="P133" s="247"/>
      <c r="Q133" s="247"/>
      <c r="R133" s="247"/>
      <c r="S133" s="247"/>
      <c r="T133" s="259"/>
      <c r="U133" s="249"/>
      <c r="V133" s="5"/>
    </row>
    <row r="134" spans="1:22" ht="15.6" x14ac:dyDescent="0.3">
      <c r="A134" s="260"/>
      <c r="B134" s="399" t="s">
        <v>42</v>
      </c>
      <c r="C134" s="261"/>
      <c r="D134" s="261"/>
      <c r="E134" s="261"/>
      <c r="F134" s="261"/>
      <c r="G134" s="261"/>
      <c r="H134" s="261"/>
      <c r="I134" s="261"/>
      <c r="J134" s="261"/>
      <c r="K134" s="261"/>
      <c r="L134" s="261"/>
      <c r="M134" s="261"/>
      <c r="N134" s="261"/>
      <c r="O134" s="261"/>
      <c r="P134" s="261"/>
      <c r="Q134" s="261"/>
      <c r="R134" s="261"/>
      <c r="S134" s="261"/>
      <c r="T134" s="262"/>
      <c r="U134" s="261"/>
      <c r="V134" s="5"/>
    </row>
    <row r="135" spans="1:22" ht="15.6" x14ac:dyDescent="0.3">
      <c r="A135" s="175"/>
      <c r="B135" s="187"/>
      <c r="C135" s="177"/>
      <c r="D135" s="177"/>
      <c r="E135" s="177"/>
      <c r="F135" s="177"/>
      <c r="G135" s="177"/>
      <c r="H135" s="177"/>
      <c r="I135" s="177"/>
      <c r="J135" s="177"/>
      <c r="K135" s="177"/>
      <c r="L135" s="177"/>
      <c r="M135" s="177"/>
      <c r="N135" s="177"/>
      <c r="O135" s="177"/>
      <c r="P135" s="177"/>
      <c r="Q135" s="177"/>
      <c r="R135" s="177"/>
      <c r="S135" s="177"/>
      <c r="T135" s="194"/>
      <c r="U135" s="177"/>
      <c r="V135" s="5"/>
    </row>
    <row r="136" spans="1:22" ht="15.6" x14ac:dyDescent="0.3">
      <c r="A136" s="175"/>
      <c r="B136" s="201" t="s">
        <v>43</v>
      </c>
      <c r="C136" s="177"/>
      <c r="D136" s="177"/>
      <c r="E136" s="177"/>
      <c r="F136" s="177"/>
      <c r="G136" s="177"/>
      <c r="H136" s="177"/>
      <c r="I136" s="177"/>
      <c r="J136" s="177"/>
      <c r="K136" s="177"/>
      <c r="L136" s="177"/>
      <c r="M136" s="177"/>
      <c r="N136" s="177"/>
      <c r="O136" s="177"/>
      <c r="P136" s="177"/>
      <c r="Q136" s="177"/>
      <c r="R136" s="177"/>
      <c r="S136" s="177"/>
      <c r="T136" s="194"/>
      <c r="U136" s="177"/>
      <c r="V136" s="5"/>
    </row>
    <row r="137" spans="1:22" ht="15.6" x14ac:dyDescent="0.3">
      <c r="A137" s="284"/>
      <c r="B137" s="285" t="s">
        <v>44</v>
      </c>
      <c r="C137" s="285"/>
      <c r="D137" s="285"/>
      <c r="E137" s="285"/>
      <c r="F137" s="285"/>
      <c r="G137" s="285"/>
      <c r="H137" s="285"/>
      <c r="I137" s="285"/>
      <c r="J137" s="285"/>
      <c r="K137" s="285"/>
      <c r="L137" s="285"/>
      <c r="M137" s="285"/>
      <c r="N137" s="285"/>
      <c r="O137" s="285"/>
      <c r="P137" s="285"/>
      <c r="Q137" s="285"/>
      <c r="R137" s="285"/>
      <c r="S137" s="285"/>
      <c r="T137" s="339">
        <f>+T34*0.019</f>
        <v>19000.95</v>
      </c>
      <c r="U137" s="288"/>
      <c r="V137" s="5"/>
    </row>
    <row r="138" spans="1:22" ht="15.6" x14ac:dyDescent="0.3">
      <c r="A138" s="284"/>
      <c r="B138" s="285" t="s">
        <v>45</v>
      </c>
      <c r="C138" s="285"/>
      <c r="D138" s="285"/>
      <c r="E138" s="285"/>
      <c r="F138" s="285"/>
      <c r="G138" s="285"/>
      <c r="H138" s="285"/>
      <c r="I138" s="285"/>
      <c r="J138" s="285"/>
      <c r="K138" s="285"/>
      <c r="L138" s="285"/>
      <c r="M138" s="285"/>
      <c r="N138" s="285"/>
      <c r="O138" s="285"/>
      <c r="P138" s="285"/>
      <c r="Q138" s="285"/>
      <c r="R138" s="285"/>
      <c r="S138" s="285"/>
      <c r="T138" s="339">
        <v>19001</v>
      </c>
      <c r="U138" s="288"/>
      <c r="V138" s="5"/>
    </row>
    <row r="139" spans="1:22" ht="15.6" x14ac:dyDescent="0.3">
      <c r="A139" s="284"/>
      <c r="B139" s="285" t="s">
        <v>142</v>
      </c>
      <c r="C139" s="285"/>
      <c r="D139" s="285"/>
      <c r="E139" s="285"/>
      <c r="F139" s="285"/>
      <c r="G139" s="285"/>
      <c r="H139" s="285"/>
      <c r="I139" s="285"/>
      <c r="J139" s="285"/>
      <c r="K139" s="285"/>
      <c r="L139" s="285"/>
      <c r="M139" s="285"/>
      <c r="N139" s="285"/>
      <c r="O139" s="285"/>
      <c r="P139" s="285"/>
      <c r="Q139" s="285"/>
      <c r="R139" s="285"/>
      <c r="S139" s="285"/>
      <c r="T139" s="339">
        <v>0</v>
      </c>
      <c r="U139" s="288"/>
      <c r="V139" s="5"/>
    </row>
    <row r="140" spans="1:22" ht="15.6" x14ac:dyDescent="0.3">
      <c r="A140" s="284"/>
      <c r="B140" s="285" t="s">
        <v>129</v>
      </c>
      <c r="C140" s="285"/>
      <c r="D140" s="285"/>
      <c r="E140" s="285"/>
      <c r="F140" s="285"/>
      <c r="G140" s="285"/>
      <c r="H140" s="285"/>
      <c r="I140" s="285"/>
      <c r="J140" s="285"/>
      <c r="K140" s="285"/>
      <c r="L140" s="285"/>
      <c r="M140" s="285"/>
      <c r="N140" s="285"/>
      <c r="O140" s="285"/>
      <c r="P140" s="285"/>
      <c r="Q140" s="285"/>
      <c r="R140" s="285"/>
      <c r="S140" s="285"/>
      <c r="T140" s="339">
        <v>0</v>
      </c>
      <c r="U140" s="288"/>
      <c r="V140" s="5"/>
    </row>
    <row r="141" spans="1:22" ht="15.6" x14ac:dyDescent="0.3">
      <c r="A141" s="284"/>
      <c r="B141" s="285" t="s">
        <v>130</v>
      </c>
      <c r="C141" s="285"/>
      <c r="D141" s="285"/>
      <c r="E141" s="285"/>
      <c r="F141" s="285"/>
      <c r="G141" s="285"/>
      <c r="H141" s="285"/>
      <c r="I141" s="285"/>
      <c r="J141" s="285"/>
      <c r="K141" s="285"/>
      <c r="L141" s="285"/>
      <c r="M141" s="285"/>
      <c r="N141" s="285"/>
      <c r="O141" s="285"/>
      <c r="P141" s="285"/>
      <c r="Q141" s="285"/>
      <c r="R141" s="285"/>
      <c r="S141" s="285"/>
      <c r="T141" s="339">
        <v>0</v>
      </c>
      <c r="U141" s="288"/>
      <c r="V141" s="5"/>
    </row>
    <row r="142" spans="1:22" ht="15.6" x14ac:dyDescent="0.3">
      <c r="A142" s="284"/>
      <c r="B142" s="285" t="s">
        <v>182</v>
      </c>
      <c r="C142" s="285"/>
      <c r="D142" s="285"/>
      <c r="E142" s="285"/>
      <c r="F142" s="285"/>
      <c r="G142" s="285"/>
      <c r="H142" s="285"/>
      <c r="I142" s="285"/>
      <c r="J142" s="285"/>
      <c r="K142" s="285"/>
      <c r="L142" s="285"/>
      <c r="M142" s="285"/>
      <c r="N142" s="285"/>
      <c r="O142" s="285"/>
      <c r="P142" s="285"/>
      <c r="Q142" s="285"/>
      <c r="R142" s="285"/>
      <c r="S142" s="285"/>
      <c r="T142" s="339">
        <v>0</v>
      </c>
      <c r="U142" s="288"/>
      <c r="V142" s="5"/>
    </row>
    <row r="143" spans="1:22" ht="15.6" x14ac:dyDescent="0.3">
      <c r="A143" s="284"/>
      <c r="B143" s="285" t="s">
        <v>46</v>
      </c>
      <c r="C143" s="285"/>
      <c r="D143" s="285"/>
      <c r="E143" s="285"/>
      <c r="F143" s="285"/>
      <c r="G143" s="285"/>
      <c r="H143" s="285"/>
      <c r="I143" s="285"/>
      <c r="J143" s="285"/>
      <c r="K143" s="285"/>
      <c r="L143" s="285"/>
      <c r="M143" s="285"/>
      <c r="N143" s="285"/>
      <c r="O143" s="285"/>
      <c r="P143" s="285"/>
      <c r="Q143" s="285"/>
      <c r="R143" s="285"/>
      <c r="S143" s="285"/>
      <c r="T143" s="339">
        <v>0</v>
      </c>
      <c r="U143" s="288"/>
      <c r="V143" s="5"/>
    </row>
    <row r="144" spans="1:22" ht="15.6" x14ac:dyDescent="0.3">
      <c r="A144" s="284"/>
      <c r="B144" s="285" t="s">
        <v>135</v>
      </c>
      <c r="C144" s="285"/>
      <c r="D144" s="285"/>
      <c r="E144" s="285"/>
      <c r="F144" s="285"/>
      <c r="G144" s="285"/>
      <c r="H144" s="285"/>
      <c r="I144" s="285"/>
      <c r="J144" s="285"/>
      <c r="K144" s="285"/>
      <c r="L144" s="285"/>
      <c r="M144" s="285"/>
      <c r="N144" s="285"/>
      <c r="O144" s="285"/>
      <c r="P144" s="285"/>
      <c r="Q144" s="285"/>
      <c r="R144" s="285"/>
      <c r="S144" s="285"/>
      <c r="T144" s="339">
        <v>0</v>
      </c>
      <c r="U144" s="288"/>
      <c r="V144" s="5"/>
    </row>
    <row r="145" spans="1:23" ht="15.6" x14ac:dyDescent="0.3">
      <c r="A145" s="284"/>
      <c r="B145" s="285" t="s">
        <v>251</v>
      </c>
      <c r="C145" s="285"/>
      <c r="D145" s="285"/>
      <c r="E145" s="285"/>
      <c r="F145" s="285"/>
      <c r="G145" s="285"/>
      <c r="H145" s="285"/>
      <c r="I145" s="285"/>
      <c r="J145" s="285"/>
      <c r="K145" s="285"/>
      <c r="L145" s="285"/>
      <c r="M145" s="285"/>
      <c r="N145" s="285"/>
      <c r="O145" s="285"/>
      <c r="P145" s="285"/>
      <c r="Q145" s="285"/>
      <c r="R145" s="285"/>
      <c r="S145" s="285"/>
      <c r="T145" s="339">
        <v>0</v>
      </c>
      <c r="U145" s="288"/>
      <c r="V145" s="5"/>
      <c r="W145" s="109"/>
    </row>
    <row r="146" spans="1:23" ht="15.6" x14ac:dyDescent="0.3">
      <c r="A146" s="284"/>
      <c r="B146" s="285" t="s">
        <v>47</v>
      </c>
      <c r="C146" s="285"/>
      <c r="D146" s="285"/>
      <c r="E146" s="285"/>
      <c r="F146" s="285"/>
      <c r="G146" s="285"/>
      <c r="H146" s="285"/>
      <c r="I146" s="285"/>
      <c r="J146" s="285"/>
      <c r="K146" s="285"/>
      <c r="L146" s="285"/>
      <c r="M146" s="285"/>
      <c r="N146" s="285"/>
      <c r="O146" s="285"/>
      <c r="P146" s="285"/>
      <c r="Q146" s="285"/>
      <c r="R146" s="285"/>
      <c r="S146" s="285"/>
      <c r="T146" s="339">
        <f>SUM(T138:T145)</f>
        <v>19001</v>
      </c>
      <c r="U146" s="288"/>
      <c r="V146" s="5"/>
    </row>
    <row r="147" spans="1:23" ht="15.6" x14ac:dyDescent="0.3">
      <c r="A147" s="284"/>
      <c r="B147" s="311"/>
      <c r="C147" s="311"/>
      <c r="D147" s="311"/>
      <c r="E147" s="311"/>
      <c r="F147" s="311"/>
      <c r="G147" s="311"/>
      <c r="H147" s="311"/>
      <c r="I147" s="311"/>
      <c r="J147" s="311"/>
      <c r="K147" s="311"/>
      <c r="L147" s="311"/>
      <c r="M147" s="311"/>
      <c r="N147" s="311"/>
      <c r="O147" s="311"/>
      <c r="P147" s="311"/>
      <c r="Q147" s="311"/>
      <c r="R147" s="311"/>
      <c r="S147" s="311"/>
      <c r="T147" s="345"/>
      <c r="U147" s="317"/>
      <c r="V147" s="5"/>
    </row>
    <row r="148" spans="1:23" ht="15.6" x14ac:dyDescent="0.3">
      <c r="A148" s="284"/>
      <c r="B148" s="343" t="s">
        <v>262</v>
      </c>
      <c r="C148" s="311"/>
      <c r="D148" s="311"/>
      <c r="E148" s="311"/>
      <c r="F148" s="311"/>
      <c r="G148" s="311"/>
      <c r="H148" s="311"/>
      <c r="I148" s="311"/>
      <c r="J148" s="311"/>
      <c r="K148" s="311"/>
      <c r="L148" s="311"/>
      <c r="M148" s="311"/>
      <c r="N148" s="311"/>
      <c r="O148" s="311"/>
      <c r="P148" s="311"/>
      <c r="Q148" s="311"/>
      <c r="R148" s="311"/>
      <c r="S148" s="311"/>
      <c r="T148" s="345"/>
      <c r="U148" s="317"/>
      <c r="V148" s="5"/>
    </row>
    <row r="149" spans="1:23" ht="15.6" x14ac:dyDescent="0.3">
      <c r="A149" s="284"/>
      <c r="B149" s="285" t="s">
        <v>263</v>
      </c>
      <c r="C149" s="285"/>
      <c r="D149" s="285"/>
      <c r="E149" s="285"/>
      <c r="F149" s="285"/>
      <c r="G149" s="285"/>
      <c r="H149" s="285"/>
      <c r="I149" s="285"/>
      <c r="J149" s="285"/>
      <c r="K149" s="285"/>
      <c r="L149" s="285"/>
      <c r="M149" s="285"/>
      <c r="N149" s="285"/>
      <c r="O149" s="285"/>
      <c r="P149" s="285"/>
      <c r="Q149" s="285"/>
      <c r="R149" s="285"/>
      <c r="S149" s="285"/>
      <c r="T149" s="339">
        <v>0</v>
      </c>
      <c r="U149" s="288"/>
      <c r="V149" s="5"/>
    </row>
    <row r="150" spans="1:23" ht="15.6" x14ac:dyDescent="0.3">
      <c r="A150" s="284"/>
      <c r="B150" s="285" t="s">
        <v>179</v>
      </c>
      <c r="C150" s="285"/>
      <c r="D150" s="285"/>
      <c r="E150" s="285"/>
      <c r="F150" s="285"/>
      <c r="G150" s="285"/>
      <c r="H150" s="285"/>
      <c r="I150" s="285"/>
      <c r="J150" s="285"/>
      <c r="K150" s="285"/>
      <c r="L150" s="285"/>
      <c r="M150" s="285"/>
      <c r="N150" s="285"/>
      <c r="O150" s="285"/>
      <c r="P150" s="285"/>
      <c r="Q150" s="285"/>
      <c r="R150" s="285"/>
      <c r="S150" s="285"/>
      <c r="T150" s="339">
        <v>0</v>
      </c>
      <c r="U150" s="288"/>
      <c r="V150" s="5"/>
    </row>
    <row r="151" spans="1:23" ht="15.6" x14ac:dyDescent="0.3">
      <c r="A151" s="284"/>
      <c r="B151" s="285" t="s">
        <v>264</v>
      </c>
      <c r="C151" s="285"/>
      <c r="D151" s="285"/>
      <c r="E151" s="285"/>
      <c r="F151" s="285"/>
      <c r="G151" s="285"/>
      <c r="H151" s="285"/>
      <c r="I151" s="285"/>
      <c r="J151" s="285"/>
      <c r="K151" s="285"/>
      <c r="L151" s="285"/>
      <c r="M151" s="285"/>
      <c r="N151" s="285"/>
      <c r="O151" s="285"/>
      <c r="P151" s="285"/>
      <c r="Q151" s="285"/>
      <c r="R151" s="285"/>
      <c r="S151" s="285"/>
      <c r="T151" s="339">
        <v>0</v>
      </c>
      <c r="U151" s="288"/>
      <c r="V151" s="5"/>
    </row>
    <row r="152" spans="1:23" ht="15.6" x14ac:dyDescent="0.3">
      <c r="A152" s="284"/>
      <c r="B152" s="285"/>
      <c r="C152" s="285"/>
      <c r="D152" s="285"/>
      <c r="E152" s="285"/>
      <c r="F152" s="285"/>
      <c r="G152" s="285"/>
      <c r="H152" s="285"/>
      <c r="I152" s="285"/>
      <c r="J152" s="285"/>
      <c r="K152" s="285"/>
      <c r="L152" s="285"/>
      <c r="M152" s="285"/>
      <c r="N152" s="285"/>
      <c r="O152" s="285"/>
      <c r="P152" s="285"/>
      <c r="Q152" s="285"/>
      <c r="R152" s="285"/>
      <c r="S152" s="285"/>
      <c r="T152" s="339"/>
      <c r="U152" s="288"/>
      <c r="V152" s="5"/>
    </row>
    <row r="153" spans="1:23" ht="15.6" x14ac:dyDescent="0.3">
      <c r="A153" s="175"/>
      <c r="B153" s="334"/>
      <c r="C153" s="334"/>
      <c r="D153" s="334"/>
      <c r="E153" s="334"/>
      <c r="F153" s="334"/>
      <c r="G153" s="334"/>
      <c r="H153" s="334"/>
      <c r="I153" s="334"/>
      <c r="J153" s="334"/>
      <c r="K153" s="334"/>
      <c r="L153" s="334"/>
      <c r="M153" s="334"/>
      <c r="N153" s="334"/>
      <c r="O153" s="334"/>
      <c r="P153" s="334"/>
      <c r="Q153" s="334"/>
      <c r="R153" s="334"/>
      <c r="S153" s="334"/>
      <c r="T153" s="347"/>
      <c r="U153" s="334"/>
      <c r="V153" s="5"/>
    </row>
    <row r="154" spans="1:23" ht="15.6" x14ac:dyDescent="0.3">
      <c r="A154" s="175"/>
      <c r="B154" s="201" t="s">
        <v>24</v>
      </c>
      <c r="C154" s="177"/>
      <c r="D154" s="177"/>
      <c r="E154" s="177"/>
      <c r="F154" s="177"/>
      <c r="G154" s="177"/>
      <c r="H154" s="177"/>
      <c r="I154" s="177"/>
      <c r="J154" s="177"/>
      <c r="K154" s="177"/>
      <c r="L154" s="177"/>
      <c r="M154" s="177"/>
      <c r="N154" s="177"/>
      <c r="O154" s="177"/>
      <c r="P154" s="177"/>
      <c r="Q154" s="177"/>
      <c r="R154" s="177"/>
      <c r="S154" s="177"/>
      <c r="T154" s="194"/>
      <c r="U154" s="177"/>
      <c r="V154" s="5"/>
    </row>
    <row r="155" spans="1:23" ht="15.6" x14ac:dyDescent="0.3">
      <c r="A155" s="284"/>
      <c r="B155" s="285" t="s">
        <v>48</v>
      </c>
      <c r="C155" s="285"/>
      <c r="D155" s="285"/>
      <c r="E155" s="285"/>
      <c r="F155" s="285"/>
      <c r="G155" s="285"/>
      <c r="H155" s="285"/>
      <c r="I155" s="285"/>
      <c r="J155" s="285"/>
      <c r="K155" s="285"/>
      <c r="L155" s="285"/>
      <c r="M155" s="285"/>
      <c r="N155" s="285"/>
      <c r="O155" s="285"/>
      <c r="P155" s="285"/>
      <c r="Q155" s="285"/>
      <c r="R155" s="285"/>
      <c r="S155" s="285"/>
      <c r="T155" s="348" t="s">
        <v>124</v>
      </c>
      <c r="U155" s="288"/>
      <c r="V155" s="5"/>
    </row>
    <row r="156" spans="1:23" ht="15.6" x14ac:dyDescent="0.3">
      <c r="A156" s="284"/>
      <c r="B156" s="285" t="s">
        <v>49</v>
      </c>
      <c r="C156" s="287"/>
      <c r="D156" s="287"/>
      <c r="E156" s="287"/>
      <c r="F156" s="287"/>
      <c r="G156" s="287"/>
      <c r="H156" s="287"/>
      <c r="I156" s="287"/>
      <c r="J156" s="287"/>
      <c r="K156" s="287"/>
      <c r="L156" s="287"/>
      <c r="M156" s="287"/>
      <c r="N156" s="287"/>
      <c r="O156" s="287"/>
      <c r="P156" s="287"/>
      <c r="Q156" s="287"/>
      <c r="R156" s="287"/>
      <c r="S156" s="287"/>
      <c r="T156" s="348" t="s">
        <v>124</v>
      </c>
      <c r="U156" s="288"/>
      <c r="V156" s="5"/>
    </row>
    <row r="157" spans="1:23" ht="15.6" x14ac:dyDescent="0.3">
      <c r="A157" s="284"/>
      <c r="B157" s="285" t="s">
        <v>50</v>
      </c>
      <c r="C157" s="285"/>
      <c r="D157" s="285"/>
      <c r="E157" s="285"/>
      <c r="F157" s="285"/>
      <c r="G157" s="285"/>
      <c r="H157" s="285"/>
      <c r="I157" s="285"/>
      <c r="J157" s="285"/>
      <c r="K157" s="285"/>
      <c r="L157" s="285"/>
      <c r="M157" s="285"/>
      <c r="N157" s="285"/>
      <c r="O157" s="285"/>
      <c r="P157" s="285"/>
      <c r="Q157" s="285"/>
      <c r="R157" s="285"/>
      <c r="S157" s="285"/>
      <c r="T157" s="348" t="s">
        <v>124</v>
      </c>
      <c r="U157" s="288"/>
      <c r="V157" s="5"/>
    </row>
    <row r="158" spans="1:23" ht="15.6" x14ac:dyDescent="0.3">
      <c r="A158" s="284"/>
      <c r="B158" s="285" t="s">
        <v>51</v>
      </c>
      <c r="C158" s="285"/>
      <c r="D158" s="285"/>
      <c r="E158" s="285"/>
      <c r="F158" s="285"/>
      <c r="G158" s="285"/>
      <c r="H158" s="285"/>
      <c r="I158" s="285"/>
      <c r="J158" s="285"/>
      <c r="K158" s="285"/>
      <c r="L158" s="285"/>
      <c r="M158" s="285"/>
      <c r="N158" s="285"/>
      <c r="O158" s="285"/>
      <c r="P158" s="285"/>
      <c r="Q158" s="285"/>
      <c r="R158" s="285"/>
      <c r="S158" s="285"/>
      <c r="T158" s="348" t="s">
        <v>124</v>
      </c>
      <c r="U158" s="288"/>
      <c r="V158" s="5"/>
    </row>
    <row r="159" spans="1:23" ht="15.6" x14ac:dyDescent="0.3">
      <c r="A159" s="175"/>
      <c r="B159" s="334"/>
      <c r="C159" s="334"/>
      <c r="D159" s="334"/>
      <c r="E159" s="334"/>
      <c r="F159" s="334"/>
      <c r="G159" s="334"/>
      <c r="H159" s="334"/>
      <c r="I159" s="334"/>
      <c r="J159" s="334"/>
      <c r="K159" s="334"/>
      <c r="L159" s="334"/>
      <c r="M159" s="334"/>
      <c r="N159" s="334"/>
      <c r="O159" s="334"/>
      <c r="P159" s="334"/>
      <c r="Q159" s="334"/>
      <c r="R159" s="334"/>
      <c r="S159" s="334"/>
      <c r="T159" s="347"/>
      <c r="U159" s="334"/>
      <c r="V159" s="5"/>
    </row>
    <row r="160" spans="1:23" ht="15.6" x14ac:dyDescent="0.3">
      <c r="A160" s="175"/>
      <c r="B160" s="201" t="s">
        <v>52</v>
      </c>
      <c r="C160" s="177"/>
      <c r="D160" s="177"/>
      <c r="E160" s="177"/>
      <c r="F160" s="177"/>
      <c r="G160" s="177"/>
      <c r="H160" s="177"/>
      <c r="I160" s="177"/>
      <c r="J160" s="177"/>
      <c r="K160" s="177"/>
      <c r="L160" s="177"/>
      <c r="M160" s="177"/>
      <c r="N160" s="177"/>
      <c r="O160" s="177"/>
      <c r="P160" s="177"/>
      <c r="Q160" s="177"/>
      <c r="R160" s="177"/>
      <c r="S160" s="177"/>
      <c r="T160" s="202"/>
      <c r="U160" s="177"/>
      <c r="V160" s="5"/>
    </row>
    <row r="161" spans="1:22" ht="15.6" x14ac:dyDescent="0.3">
      <c r="A161" s="284"/>
      <c r="B161" s="285" t="s">
        <v>53</v>
      </c>
      <c r="C161" s="285"/>
      <c r="D161" s="285"/>
      <c r="E161" s="285"/>
      <c r="F161" s="285"/>
      <c r="G161" s="285"/>
      <c r="H161" s="285"/>
      <c r="I161" s="285"/>
      <c r="J161" s="285"/>
      <c r="K161" s="285"/>
      <c r="L161" s="285"/>
      <c r="M161" s="285"/>
      <c r="N161" s="285"/>
      <c r="O161" s="285"/>
      <c r="P161" s="285"/>
      <c r="Q161" s="285"/>
      <c r="R161" s="285"/>
      <c r="S161" s="285"/>
      <c r="T161" s="339">
        <v>0</v>
      </c>
      <c r="U161" s="288"/>
      <c r="V161" s="5"/>
    </row>
    <row r="162" spans="1:22" ht="15.6" x14ac:dyDescent="0.3">
      <c r="A162" s="284"/>
      <c r="B162" s="285" t="s">
        <v>54</v>
      </c>
      <c r="C162" s="285"/>
      <c r="D162" s="285"/>
      <c r="E162" s="285"/>
      <c r="F162" s="285"/>
      <c r="G162" s="285"/>
      <c r="H162" s="285"/>
      <c r="I162" s="285"/>
      <c r="J162" s="285"/>
      <c r="K162" s="285"/>
      <c r="L162" s="285"/>
      <c r="M162" s="285"/>
      <c r="N162" s="285"/>
      <c r="O162" s="285"/>
      <c r="P162" s="285"/>
      <c r="Q162" s="285"/>
      <c r="R162" s="285"/>
      <c r="S162" s="285"/>
      <c r="T162" s="339">
        <f>R113</f>
        <v>207</v>
      </c>
      <c r="U162" s="288"/>
      <c r="V162" s="5"/>
    </row>
    <row r="163" spans="1:22" ht="15.6" x14ac:dyDescent="0.3">
      <c r="A163" s="284"/>
      <c r="B163" s="285" t="s">
        <v>55</v>
      </c>
      <c r="C163" s="285"/>
      <c r="D163" s="285"/>
      <c r="E163" s="285"/>
      <c r="F163" s="285"/>
      <c r="G163" s="285"/>
      <c r="H163" s="285"/>
      <c r="I163" s="285"/>
      <c r="J163" s="285"/>
      <c r="K163" s="285"/>
      <c r="L163" s="285"/>
      <c r="M163" s="285"/>
      <c r="N163" s="285"/>
      <c r="O163" s="285"/>
      <c r="P163" s="285"/>
      <c r="Q163" s="285"/>
      <c r="R163" s="285"/>
      <c r="S163" s="285"/>
      <c r="T163" s="339">
        <f>T162+T161</f>
        <v>207</v>
      </c>
      <c r="U163" s="288"/>
      <c r="V163" s="5"/>
    </row>
    <row r="164" spans="1:22" ht="15.6" x14ac:dyDescent="0.3">
      <c r="A164" s="284"/>
      <c r="B164" s="285" t="s">
        <v>301</v>
      </c>
      <c r="C164" s="285"/>
      <c r="D164" s="285"/>
      <c r="E164" s="285"/>
      <c r="F164" s="285"/>
      <c r="G164" s="285"/>
      <c r="H164" s="285"/>
      <c r="I164" s="285"/>
      <c r="J164" s="285"/>
      <c r="K164" s="285"/>
      <c r="L164" s="285"/>
      <c r="M164" s="285"/>
      <c r="N164" s="285"/>
      <c r="O164" s="285"/>
      <c r="P164" s="285"/>
      <c r="Q164" s="285"/>
      <c r="R164" s="285"/>
      <c r="S164" s="285"/>
      <c r="T164" s="339">
        <f>T113</f>
        <v>-207</v>
      </c>
      <c r="U164" s="288"/>
      <c r="V164" s="5"/>
    </row>
    <row r="165" spans="1:22" ht="15.6" x14ac:dyDescent="0.3">
      <c r="A165" s="284"/>
      <c r="B165" s="285" t="s">
        <v>56</v>
      </c>
      <c r="C165" s="285"/>
      <c r="D165" s="285"/>
      <c r="E165" s="285"/>
      <c r="F165" s="285"/>
      <c r="G165" s="285"/>
      <c r="H165" s="285"/>
      <c r="I165" s="285"/>
      <c r="J165" s="285"/>
      <c r="K165" s="285"/>
      <c r="L165" s="285"/>
      <c r="M165" s="285"/>
      <c r="N165" s="285"/>
      <c r="O165" s="285"/>
      <c r="P165" s="285"/>
      <c r="Q165" s="285"/>
      <c r="R165" s="285"/>
      <c r="S165" s="285"/>
      <c r="T165" s="339">
        <f>T163+T164</f>
        <v>0</v>
      </c>
      <c r="U165" s="288"/>
      <c r="V165" s="5"/>
    </row>
    <row r="166" spans="1:22" ht="15.6" x14ac:dyDescent="0.3">
      <c r="A166" s="284"/>
      <c r="B166" s="285" t="s">
        <v>273</v>
      </c>
      <c r="C166" s="285"/>
      <c r="D166" s="285"/>
      <c r="E166" s="285"/>
      <c r="F166" s="285"/>
      <c r="G166" s="285"/>
      <c r="H166" s="285"/>
      <c r="I166" s="285"/>
      <c r="J166" s="285"/>
      <c r="K166" s="285"/>
      <c r="L166" s="285"/>
      <c r="M166" s="285"/>
      <c r="N166" s="285"/>
      <c r="O166" s="285"/>
      <c r="P166" s="285"/>
      <c r="Q166" s="285"/>
      <c r="R166" s="285"/>
      <c r="S166" s="285"/>
      <c r="T166" s="339">
        <f>-T99</f>
        <v>37</v>
      </c>
      <c r="U166" s="288"/>
      <c r="V166" s="5"/>
    </row>
    <row r="167" spans="1:22" ht="16.2" thickBot="1" x14ac:dyDescent="0.35">
      <c r="A167" s="175"/>
      <c r="B167" s="334"/>
      <c r="C167" s="334"/>
      <c r="D167" s="334"/>
      <c r="E167" s="334"/>
      <c r="F167" s="334"/>
      <c r="G167" s="334"/>
      <c r="H167" s="334"/>
      <c r="I167" s="334"/>
      <c r="J167" s="334"/>
      <c r="K167" s="334"/>
      <c r="L167" s="334"/>
      <c r="M167" s="334"/>
      <c r="N167" s="334"/>
      <c r="O167" s="334"/>
      <c r="P167" s="334"/>
      <c r="Q167" s="334"/>
      <c r="R167" s="334"/>
      <c r="S167" s="334"/>
      <c r="T167" s="347"/>
      <c r="U167" s="334"/>
      <c r="V167" s="5"/>
    </row>
    <row r="168" spans="1:22" ht="15.6" x14ac:dyDescent="0.3">
      <c r="A168" s="173"/>
      <c r="B168" s="174"/>
      <c r="C168" s="174"/>
      <c r="D168" s="174"/>
      <c r="E168" s="174"/>
      <c r="F168" s="174"/>
      <c r="G168" s="174"/>
      <c r="H168" s="174"/>
      <c r="I168" s="174"/>
      <c r="J168" s="174"/>
      <c r="K168" s="174"/>
      <c r="L168" s="174"/>
      <c r="M168" s="174"/>
      <c r="N168" s="174"/>
      <c r="O168" s="174"/>
      <c r="P168" s="174"/>
      <c r="Q168" s="174"/>
      <c r="R168" s="174"/>
      <c r="S168" s="174"/>
      <c r="T168" s="193"/>
      <c r="U168" s="174"/>
      <c r="V168" s="5"/>
    </row>
    <row r="169" spans="1:22" ht="15.6" x14ac:dyDescent="0.3">
      <c r="A169" s="175"/>
      <c r="B169" s="201" t="s">
        <v>57</v>
      </c>
      <c r="C169" s="177"/>
      <c r="D169" s="177"/>
      <c r="E169" s="177"/>
      <c r="F169" s="177"/>
      <c r="G169" s="177"/>
      <c r="H169" s="177"/>
      <c r="I169" s="177"/>
      <c r="J169" s="177"/>
      <c r="K169" s="177"/>
      <c r="L169" s="177"/>
      <c r="M169" s="177"/>
      <c r="N169" s="177"/>
      <c r="O169" s="177"/>
      <c r="P169" s="177"/>
      <c r="Q169" s="177"/>
      <c r="R169" s="177"/>
      <c r="S169" s="177"/>
      <c r="T169" s="194"/>
      <c r="U169" s="177"/>
      <c r="V169" s="5"/>
    </row>
    <row r="170" spans="1:22" ht="15.6" x14ac:dyDescent="0.3">
      <c r="A170" s="175"/>
      <c r="B170" s="187"/>
      <c r="C170" s="177"/>
      <c r="D170" s="177"/>
      <c r="E170" s="177"/>
      <c r="F170" s="177"/>
      <c r="G170" s="177"/>
      <c r="H170" s="177"/>
      <c r="I170" s="177"/>
      <c r="J170" s="177"/>
      <c r="K170" s="177"/>
      <c r="L170" s="177"/>
      <c r="M170" s="177"/>
      <c r="N170" s="177"/>
      <c r="O170" s="177"/>
      <c r="P170" s="177"/>
      <c r="Q170" s="177"/>
      <c r="R170" s="177"/>
      <c r="S170" s="177"/>
      <c r="T170" s="194"/>
      <c r="U170" s="177"/>
      <c r="V170" s="5"/>
    </row>
    <row r="171" spans="1:22" ht="15.6" x14ac:dyDescent="0.3">
      <c r="A171" s="284"/>
      <c r="B171" s="285" t="s">
        <v>58</v>
      </c>
      <c r="C171" s="285"/>
      <c r="D171" s="285"/>
      <c r="E171" s="285"/>
      <c r="F171" s="285"/>
      <c r="G171" s="285"/>
      <c r="H171" s="285"/>
      <c r="I171" s="285"/>
      <c r="J171" s="285"/>
      <c r="K171" s="285"/>
      <c r="L171" s="285"/>
      <c r="M171" s="285"/>
      <c r="N171" s="285"/>
      <c r="O171" s="285"/>
      <c r="P171" s="285"/>
      <c r="Q171" s="285"/>
      <c r="R171" s="285"/>
      <c r="S171" s="285"/>
      <c r="T171" s="339">
        <f>T71</f>
        <v>544790</v>
      </c>
      <c r="U171" s="288"/>
      <c r="V171" s="5"/>
    </row>
    <row r="172" spans="1:22" ht="15.6" x14ac:dyDescent="0.3">
      <c r="A172" s="284"/>
      <c r="B172" s="285" t="s">
        <v>59</v>
      </c>
      <c r="C172" s="285"/>
      <c r="D172" s="285"/>
      <c r="E172" s="285"/>
      <c r="F172" s="285"/>
      <c r="G172" s="285"/>
      <c r="H172" s="285"/>
      <c r="I172" s="285"/>
      <c r="J172" s="285"/>
      <c r="K172" s="285"/>
      <c r="L172" s="285"/>
      <c r="M172" s="285"/>
      <c r="N172" s="285"/>
      <c r="O172" s="285"/>
      <c r="P172" s="285"/>
      <c r="Q172" s="285"/>
      <c r="R172" s="285"/>
      <c r="S172" s="285"/>
      <c r="T172" s="339">
        <f>T84</f>
        <v>544790</v>
      </c>
      <c r="U172" s="288"/>
      <c r="V172" s="5"/>
    </row>
    <row r="173" spans="1:22" ht="16.2" thickBot="1" x14ac:dyDescent="0.35">
      <c r="A173" s="175"/>
      <c r="B173" s="334"/>
      <c r="C173" s="334"/>
      <c r="D173" s="334"/>
      <c r="E173" s="334"/>
      <c r="F173" s="334"/>
      <c r="G173" s="334"/>
      <c r="H173" s="334"/>
      <c r="I173" s="334"/>
      <c r="J173" s="334"/>
      <c r="K173" s="334"/>
      <c r="L173" s="334"/>
      <c r="M173" s="334"/>
      <c r="N173" s="334"/>
      <c r="O173" s="334"/>
      <c r="P173" s="334"/>
      <c r="Q173" s="334"/>
      <c r="R173" s="334"/>
      <c r="S173" s="334"/>
      <c r="T173" s="347"/>
      <c r="U173" s="334"/>
      <c r="V173" s="5"/>
    </row>
    <row r="174" spans="1:22" ht="15.6" x14ac:dyDescent="0.3">
      <c r="A174" s="173"/>
      <c r="B174" s="174"/>
      <c r="C174" s="174"/>
      <c r="D174" s="174"/>
      <c r="E174" s="174"/>
      <c r="F174" s="174"/>
      <c r="G174" s="174"/>
      <c r="H174" s="174"/>
      <c r="I174" s="174"/>
      <c r="J174" s="174"/>
      <c r="K174" s="174"/>
      <c r="L174" s="174"/>
      <c r="M174" s="174"/>
      <c r="N174" s="174"/>
      <c r="O174" s="174"/>
      <c r="P174" s="174"/>
      <c r="Q174" s="174"/>
      <c r="R174" s="174"/>
      <c r="S174" s="174"/>
      <c r="T174" s="193"/>
      <c r="U174" s="174"/>
      <c r="V174" s="5"/>
    </row>
    <row r="175" spans="1:22" ht="15.6" x14ac:dyDescent="0.3">
      <c r="A175" s="175"/>
      <c r="B175" s="201" t="s">
        <v>60</v>
      </c>
      <c r="C175" s="198"/>
      <c r="D175" s="198"/>
      <c r="E175" s="198"/>
      <c r="F175" s="198"/>
      <c r="G175" s="198"/>
      <c r="H175" s="203"/>
      <c r="I175" s="203"/>
      <c r="J175" s="203"/>
      <c r="K175" s="203"/>
      <c r="L175" s="203"/>
      <c r="M175" s="203"/>
      <c r="N175" s="203"/>
      <c r="O175" s="203"/>
      <c r="P175" s="203"/>
      <c r="Q175" s="203" t="s">
        <v>104</v>
      </c>
      <c r="R175" s="203" t="s">
        <v>183</v>
      </c>
      <c r="S175" s="179"/>
      <c r="T175" s="204" t="s">
        <v>120</v>
      </c>
      <c r="U175" s="205"/>
      <c r="V175" s="5"/>
    </row>
    <row r="176" spans="1:22" ht="15.6" x14ac:dyDescent="0.3">
      <c r="A176" s="284"/>
      <c r="B176" s="285" t="s">
        <v>61</v>
      </c>
      <c r="C176" s="285"/>
      <c r="D176" s="285"/>
      <c r="E176" s="285"/>
      <c r="F176" s="285"/>
      <c r="G176" s="285"/>
      <c r="H176" s="285"/>
      <c r="I176" s="285"/>
      <c r="J176" s="285"/>
      <c r="K176" s="285"/>
      <c r="L176" s="285"/>
      <c r="M176" s="285"/>
      <c r="N176" s="285"/>
      <c r="O176" s="285"/>
      <c r="P176" s="285"/>
      <c r="Q176" s="339">
        <v>160008</v>
      </c>
      <c r="R176" s="324"/>
      <c r="S176" s="285"/>
      <c r="T176" s="339"/>
      <c r="U176" s="288"/>
      <c r="V176" s="5"/>
    </row>
    <row r="177" spans="1:22" ht="15.6" x14ac:dyDescent="0.3">
      <c r="A177" s="284"/>
      <c r="B177" s="285" t="s">
        <v>62</v>
      </c>
      <c r="C177" s="285"/>
      <c r="D177" s="285"/>
      <c r="E177" s="285"/>
      <c r="F177" s="285"/>
      <c r="G177" s="285"/>
      <c r="H177" s="285"/>
      <c r="I177" s="285"/>
      <c r="J177" s="285"/>
      <c r="K177" s="285"/>
      <c r="L177" s="285"/>
      <c r="M177" s="285"/>
      <c r="N177" s="285"/>
      <c r="O177" s="285"/>
      <c r="P177" s="285"/>
      <c r="Q177" s="339">
        <f>+'March 13'!Q179</f>
        <v>37194</v>
      </c>
      <c r="R177" s="339">
        <f>+'March 13'!R179</f>
        <v>3447</v>
      </c>
      <c r="S177" s="285"/>
      <c r="T177" s="339">
        <f>Q177+R177</f>
        <v>40641</v>
      </c>
      <c r="U177" s="288"/>
      <c r="V177" s="5"/>
    </row>
    <row r="178" spans="1:22" ht="15.6" x14ac:dyDescent="0.3">
      <c r="A178" s="284"/>
      <c r="B178" s="285" t="s">
        <v>63</v>
      </c>
      <c r="C178" s="285"/>
      <c r="D178" s="285"/>
      <c r="E178" s="285"/>
      <c r="F178" s="285"/>
      <c r="G178" s="285"/>
      <c r="H178" s="285"/>
      <c r="I178" s="285"/>
      <c r="J178" s="285"/>
      <c r="K178" s="285"/>
      <c r="L178" s="285"/>
      <c r="M178" s="285"/>
      <c r="N178" s="285"/>
      <c r="O178" s="285"/>
      <c r="P178" s="285"/>
      <c r="Q178" s="338">
        <v>8</v>
      </c>
      <c r="R178" s="338">
        <v>0</v>
      </c>
      <c r="S178" s="285"/>
      <c r="T178" s="339">
        <f>Q178+R178</f>
        <v>8</v>
      </c>
      <c r="U178" s="288"/>
      <c r="V178" s="5"/>
    </row>
    <row r="179" spans="1:22" ht="15.6" x14ac:dyDescent="0.3">
      <c r="A179" s="284"/>
      <c r="B179" s="285" t="s">
        <v>64</v>
      </c>
      <c r="C179" s="285"/>
      <c r="D179" s="285"/>
      <c r="E179" s="285"/>
      <c r="F179" s="285"/>
      <c r="G179" s="285"/>
      <c r="H179" s="285"/>
      <c r="I179" s="285"/>
      <c r="J179" s="285"/>
      <c r="K179" s="285"/>
      <c r="L179" s="285"/>
      <c r="M179" s="285"/>
      <c r="N179" s="285"/>
      <c r="O179" s="285"/>
      <c r="P179" s="285"/>
      <c r="Q179" s="339">
        <f>Q177+Q178</f>
        <v>37202</v>
      </c>
      <c r="R179" s="339">
        <f>R178+R177</f>
        <v>3447</v>
      </c>
      <c r="S179" s="285"/>
      <c r="T179" s="339">
        <f>Q179+R179</f>
        <v>40649</v>
      </c>
      <c r="U179" s="288"/>
      <c r="V179" s="5"/>
    </row>
    <row r="180" spans="1:22" ht="15.6" x14ac:dyDescent="0.3">
      <c r="A180" s="284"/>
      <c r="B180" s="285" t="s">
        <v>65</v>
      </c>
      <c r="C180" s="285"/>
      <c r="D180" s="285"/>
      <c r="E180" s="285"/>
      <c r="F180" s="285"/>
      <c r="G180" s="285"/>
      <c r="H180" s="285"/>
      <c r="I180" s="285"/>
      <c r="J180" s="285"/>
      <c r="K180" s="285"/>
      <c r="L180" s="285"/>
      <c r="M180" s="285"/>
      <c r="N180" s="285"/>
      <c r="O180" s="285"/>
      <c r="P180" s="285"/>
      <c r="Q180" s="339">
        <f>Q176-Q179-R179</f>
        <v>119359</v>
      </c>
      <c r="R180" s="324"/>
      <c r="S180" s="285"/>
      <c r="T180" s="339"/>
      <c r="U180" s="288"/>
      <c r="V180" s="5"/>
    </row>
    <row r="181" spans="1:22" ht="16.2" thickBot="1" x14ac:dyDescent="0.35">
      <c r="A181" s="175"/>
      <c r="B181" s="334"/>
      <c r="C181" s="334"/>
      <c r="D181" s="334"/>
      <c r="E181" s="334"/>
      <c r="F181" s="334"/>
      <c r="G181" s="334"/>
      <c r="H181" s="334"/>
      <c r="I181" s="334"/>
      <c r="J181" s="334"/>
      <c r="K181" s="334"/>
      <c r="L181" s="334"/>
      <c r="M181" s="334"/>
      <c r="N181" s="334"/>
      <c r="O181" s="334"/>
      <c r="P181" s="334"/>
      <c r="Q181" s="334"/>
      <c r="R181" s="334"/>
      <c r="S181" s="334"/>
      <c r="T181" s="347"/>
      <c r="U181" s="334"/>
      <c r="V181" s="5"/>
    </row>
    <row r="182" spans="1:22" ht="15.6" x14ac:dyDescent="0.3">
      <c r="A182" s="173"/>
      <c r="B182" s="174"/>
      <c r="C182" s="174"/>
      <c r="D182" s="174"/>
      <c r="E182" s="174"/>
      <c r="F182" s="174"/>
      <c r="G182" s="174"/>
      <c r="H182" s="174"/>
      <c r="I182" s="174"/>
      <c r="J182" s="174"/>
      <c r="K182" s="174"/>
      <c r="L182" s="174"/>
      <c r="M182" s="174"/>
      <c r="N182" s="174"/>
      <c r="O182" s="174"/>
      <c r="P182" s="174"/>
      <c r="Q182" s="174"/>
      <c r="R182" s="174"/>
      <c r="S182" s="174"/>
      <c r="T182" s="193"/>
      <c r="U182" s="174"/>
      <c r="V182" s="5"/>
    </row>
    <row r="183" spans="1:22" ht="15.6" x14ac:dyDescent="0.3">
      <c r="A183" s="175"/>
      <c r="B183" s="201" t="s">
        <v>66</v>
      </c>
      <c r="C183" s="177"/>
      <c r="D183" s="177"/>
      <c r="E183" s="177"/>
      <c r="F183" s="177"/>
      <c r="G183" s="177"/>
      <c r="H183" s="177"/>
      <c r="I183" s="177"/>
      <c r="J183" s="177"/>
      <c r="K183" s="177"/>
      <c r="L183" s="177"/>
      <c r="M183" s="177"/>
      <c r="N183" s="177"/>
      <c r="O183" s="177"/>
      <c r="P183" s="177"/>
      <c r="Q183" s="177"/>
      <c r="R183" s="177"/>
      <c r="S183" s="177"/>
      <c r="T183" s="206"/>
      <c r="U183" s="177"/>
      <c r="V183" s="5"/>
    </row>
    <row r="184" spans="1:22" ht="15.6" x14ac:dyDescent="0.3">
      <c r="A184" s="284"/>
      <c r="B184" s="285" t="s">
        <v>67</v>
      </c>
      <c r="C184" s="285"/>
      <c r="D184" s="285"/>
      <c r="E184" s="285"/>
      <c r="F184" s="285"/>
      <c r="G184" s="285"/>
      <c r="H184" s="285"/>
      <c r="I184" s="285"/>
      <c r="J184" s="285"/>
      <c r="K184" s="285"/>
      <c r="L184" s="285"/>
      <c r="M184" s="285"/>
      <c r="N184" s="285"/>
      <c r="O184" s="285"/>
      <c r="P184" s="285"/>
      <c r="Q184" s="285"/>
      <c r="R184" s="285"/>
      <c r="S184" s="285"/>
      <c r="T184" s="348">
        <f>(T100+T102+T103+T104+T105)/-(T106+T107)</f>
        <v>4.5642135642135644</v>
      </c>
      <c r="U184" s="288" t="s">
        <v>121</v>
      </c>
      <c r="V184" s="5"/>
    </row>
    <row r="185" spans="1:22" ht="15.6" x14ac:dyDescent="0.3">
      <c r="A185" s="284"/>
      <c r="B185" s="285" t="s">
        <v>68</v>
      </c>
      <c r="C185" s="285"/>
      <c r="D185" s="285"/>
      <c r="E185" s="285"/>
      <c r="F185" s="285"/>
      <c r="G185" s="285"/>
      <c r="H185" s="285"/>
      <c r="I185" s="285"/>
      <c r="J185" s="285"/>
      <c r="K185" s="285"/>
      <c r="L185" s="285"/>
      <c r="M185" s="285"/>
      <c r="N185" s="285"/>
      <c r="O185" s="285"/>
      <c r="P185" s="285"/>
      <c r="Q185" s="285"/>
      <c r="R185" s="285"/>
      <c r="S185" s="285"/>
      <c r="T185" s="349">
        <v>1.7</v>
      </c>
      <c r="U185" s="288" t="s">
        <v>121</v>
      </c>
      <c r="V185" s="5"/>
    </row>
    <row r="186" spans="1:22" ht="15.6" x14ac:dyDescent="0.3">
      <c r="A186" s="284"/>
      <c r="B186" s="285" t="s">
        <v>69</v>
      </c>
      <c r="C186" s="285"/>
      <c r="D186" s="285"/>
      <c r="E186" s="285"/>
      <c r="F186" s="285"/>
      <c r="G186" s="285"/>
      <c r="H186" s="285"/>
      <c r="I186" s="285"/>
      <c r="J186" s="285"/>
      <c r="K186" s="285"/>
      <c r="L186" s="285"/>
      <c r="M186" s="285"/>
      <c r="N186" s="285"/>
      <c r="O186" s="285"/>
      <c r="P186" s="285"/>
      <c r="Q186" s="285"/>
      <c r="R186" s="285"/>
      <c r="S186" s="285"/>
      <c r="T186" s="348">
        <f>(T100+T102+T103+T104+T105+T106+T107)/-(T108+T109)</f>
        <v>13.571428571428571</v>
      </c>
      <c r="U186" s="288" t="s">
        <v>121</v>
      </c>
      <c r="V186" s="5"/>
    </row>
    <row r="187" spans="1:22" ht="15.6" x14ac:dyDescent="0.3">
      <c r="A187" s="284"/>
      <c r="B187" s="285" t="s">
        <v>70</v>
      </c>
      <c r="C187" s="285"/>
      <c r="D187" s="285"/>
      <c r="E187" s="285"/>
      <c r="F187" s="285"/>
      <c r="G187" s="285"/>
      <c r="H187" s="285"/>
      <c r="I187" s="285"/>
      <c r="J187" s="285"/>
      <c r="K187" s="285"/>
      <c r="L187" s="285"/>
      <c r="M187" s="285"/>
      <c r="N187" s="285"/>
      <c r="O187" s="285"/>
      <c r="P187" s="285"/>
      <c r="Q187" s="285"/>
      <c r="R187" s="285"/>
      <c r="S187" s="285"/>
      <c r="T187" s="349">
        <v>5.96</v>
      </c>
      <c r="U187" s="288" t="s">
        <v>121</v>
      </c>
      <c r="V187" s="5"/>
    </row>
    <row r="188" spans="1:22" ht="15.6" x14ac:dyDescent="0.3">
      <c r="A188" s="284"/>
      <c r="B188" s="285" t="s">
        <v>206</v>
      </c>
      <c r="C188" s="285"/>
      <c r="D188" s="285"/>
      <c r="E188" s="285"/>
      <c r="F188" s="285"/>
      <c r="G188" s="285"/>
      <c r="H188" s="285"/>
      <c r="I188" s="285"/>
      <c r="J188" s="285"/>
      <c r="K188" s="285"/>
      <c r="L188" s="285"/>
      <c r="M188" s="285"/>
      <c r="N188" s="285"/>
      <c r="O188" s="285"/>
      <c r="P188" s="285"/>
      <c r="Q188" s="285"/>
      <c r="R188" s="285"/>
      <c r="S188" s="285"/>
      <c r="T188" s="348">
        <f>(T100+T102+T103+T104+T105+T106+T107+T108+T109)/-(T110)</f>
        <v>10.306306306306306</v>
      </c>
      <c r="U188" s="288" t="s">
        <v>121</v>
      </c>
      <c r="V188" s="5"/>
    </row>
    <row r="189" spans="1:22" ht="15.6" x14ac:dyDescent="0.3">
      <c r="A189" s="284"/>
      <c r="B189" s="285" t="s">
        <v>207</v>
      </c>
      <c r="C189" s="285"/>
      <c r="D189" s="285"/>
      <c r="E189" s="285"/>
      <c r="F189" s="285"/>
      <c r="G189" s="285"/>
      <c r="H189" s="285"/>
      <c r="I189" s="285"/>
      <c r="J189" s="285"/>
      <c r="K189" s="285"/>
      <c r="L189" s="285"/>
      <c r="M189" s="285"/>
      <c r="N189" s="285"/>
      <c r="O189" s="285"/>
      <c r="P189" s="285"/>
      <c r="Q189" s="285"/>
      <c r="R189" s="285"/>
      <c r="S189" s="285"/>
      <c r="T189" s="349">
        <v>5.43</v>
      </c>
      <c r="U189" s="288" t="s">
        <v>121</v>
      </c>
      <c r="V189" s="5"/>
    </row>
    <row r="190" spans="1:22" ht="15.6" x14ac:dyDescent="0.3">
      <c r="A190" s="284"/>
      <c r="B190" s="311"/>
      <c r="C190" s="311"/>
      <c r="D190" s="311"/>
      <c r="E190" s="311"/>
      <c r="F190" s="311"/>
      <c r="G190" s="311"/>
      <c r="H190" s="311"/>
      <c r="I190" s="311"/>
      <c r="J190" s="311"/>
      <c r="K190" s="311"/>
      <c r="L190" s="311"/>
      <c r="M190" s="311"/>
      <c r="N190" s="311"/>
      <c r="O190" s="311"/>
      <c r="P190" s="311"/>
      <c r="Q190" s="311"/>
      <c r="R190" s="311"/>
      <c r="S190" s="311"/>
      <c r="T190" s="311"/>
      <c r="U190" s="317"/>
      <c r="V190" s="5"/>
    </row>
    <row r="191" spans="1:22" ht="15.6" x14ac:dyDescent="0.3">
      <c r="A191" s="175"/>
      <c r="B191" s="334"/>
      <c r="C191" s="334"/>
      <c r="D191" s="334"/>
      <c r="E191" s="334"/>
      <c r="F191" s="334"/>
      <c r="G191" s="334"/>
      <c r="H191" s="334"/>
      <c r="I191" s="334"/>
      <c r="J191" s="334"/>
      <c r="K191" s="334"/>
      <c r="L191" s="334"/>
      <c r="M191" s="334"/>
      <c r="N191" s="334"/>
      <c r="O191" s="334"/>
      <c r="P191" s="334"/>
      <c r="Q191" s="334"/>
      <c r="R191" s="334"/>
      <c r="S191" s="334"/>
      <c r="T191" s="334"/>
      <c r="U191" s="334"/>
      <c r="V191" s="5"/>
    </row>
    <row r="192" spans="1:22" ht="15.6" x14ac:dyDescent="0.3">
      <c r="A192" s="175"/>
      <c r="B192" s="177"/>
      <c r="C192" s="177"/>
      <c r="D192" s="177"/>
      <c r="E192" s="177"/>
      <c r="F192" s="177"/>
      <c r="G192" s="177"/>
      <c r="H192" s="177"/>
      <c r="I192" s="177"/>
      <c r="J192" s="177"/>
      <c r="K192" s="177"/>
      <c r="L192" s="177"/>
      <c r="M192" s="177"/>
      <c r="N192" s="177"/>
      <c r="O192" s="177"/>
      <c r="P192" s="177"/>
      <c r="Q192" s="177"/>
      <c r="R192" s="177"/>
      <c r="S192" s="177"/>
      <c r="T192" s="177"/>
      <c r="U192" s="177"/>
      <c r="V192" s="5"/>
    </row>
    <row r="193" spans="1:22" ht="18" thickBot="1" x14ac:dyDescent="0.35">
      <c r="A193" s="192"/>
      <c r="B193" s="246" t="str">
        <f>B133</f>
        <v>PM11 INVESTOR REPORT QUARTER ENDING JUNE 2013</v>
      </c>
      <c r="C193" s="207"/>
      <c r="D193" s="207"/>
      <c r="E193" s="207"/>
      <c r="F193" s="207"/>
      <c r="G193" s="207"/>
      <c r="H193" s="207"/>
      <c r="I193" s="207"/>
      <c r="J193" s="207"/>
      <c r="K193" s="207"/>
      <c r="L193" s="207"/>
      <c r="M193" s="207"/>
      <c r="N193" s="207"/>
      <c r="O193" s="207"/>
      <c r="P193" s="207"/>
      <c r="Q193" s="207"/>
      <c r="R193" s="207"/>
      <c r="S193" s="207"/>
      <c r="T193" s="207"/>
      <c r="U193" s="208"/>
      <c r="V193" s="5"/>
    </row>
    <row r="194" spans="1:22" ht="15.6" x14ac:dyDescent="0.3">
      <c r="A194" s="260"/>
      <c r="B194" s="399" t="s">
        <v>71</v>
      </c>
      <c r="C194" s="400"/>
      <c r="D194" s="400"/>
      <c r="E194" s="400"/>
      <c r="F194" s="400"/>
      <c r="G194" s="401"/>
      <c r="H194" s="401"/>
      <c r="I194" s="401"/>
      <c r="J194" s="401"/>
      <c r="K194" s="401"/>
      <c r="L194" s="401"/>
      <c r="M194" s="401"/>
      <c r="N194" s="401"/>
      <c r="O194" s="401"/>
      <c r="P194" s="401"/>
      <c r="Q194" s="401"/>
      <c r="R194" s="401">
        <v>41453</v>
      </c>
      <c r="S194" s="261"/>
      <c r="T194" s="261"/>
      <c r="U194" s="261"/>
      <c r="V194" s="5"/>
    </row>
    <row r="195" spans="1:22" ht="15.6" x14ac:dyDescent="0.3">
      <c r="A195" s="209"/>
      <c r="B195" s="210"/>
      <c r="C195" s="211"/>
      <c r="D195" s="211"/>
      <c r="E195" s="211"/>
      <c r="F195" s="211"/>
      <c r="G195" s="212"/>
      <c r="H195" s="212"/>
      <c r="I195" s="212"/>
      <c r="J195" s="212"/>
      <c r="K195" s="212"/>
      <c r="L195" s="212"/>
      <c r="M195" s="212"/>
      <c r="N195" s="212"/>
      <c r="O195" s="212"/>
      <c r="P195" s="212"/>
      <c r="Q195" s="212"/>
      <c r="R195" s="212"/>
      <c r="S195" s="177"/>
      <c r="T195" s="177"/>
      <c r="U195" s="177"/>
      <c r="V195" s="5"/>
    </row>
    <row r="196" spans="1:22" ht="15.6" x14ac:dyDescent="0.3">
      <c r="A196" s="352"/>
      <c r="B196" s="285" t="s">
        <v>72</v>
      </c>
      <c r="C196" s="353"/>
      <c r="D196" s="353"/>
      <c r="E196" s="353"/>
      <c r="F196" s="353"/>
      <c r="G196" s="329"/>
      <c r="H196" s="329"/>
      <c r="I196" s="329"/>
      <c r="J196" s="329"/>
      <c r="K196" s="329"/>
      <c r="L196" s="329"/>
      <c r="M196" s="329"/>
      <c r="N196" s="329"/>
      <c r="O196" s="329"/>
      <c r="P196" s="329"/>
      <c r="Q196" s="329"/>
      <c r="R196" s="320">
        <v>5.1569999999999998E-2</v>
      </c>
      <c r="S196" s="285"/>
      <c r="T196" s="285"/>
      <c r="U196" s="317"/>
      <c r="V196" s="5"/>
    </row>
    <row r="197" spans="1:22" ht="15.6" x14ac:dyDescent="0.3">
      <c r="A197" s="352"/>
      <c r="B197" s="285" t="s">
        <v>157</v>
      </c>
      <c r="C197" s="353"/>
      <c r="D197" s="353"/>
      <c r="E197" s="353"/>
      <c r="F197" s="353"/>
      <c r="G197" s="329"/>
      <c r="H197" s="329"/>
      <c r="I197" s="329"/>
      <c r="J197" s="329"/>
      <c r="K197" s="329"/>
      <c r="L197" s="329"/>
      <c r="M197" s="329"/>
      <c r="N197" s="329"/>
      <c r="O197" s="329"/>
      <c r="P197" s="329"/>
      <c r="Q197" s="329"/>
      <c r="R197" s="320">
        <v>4.6899999999999997E-2</v>
      </c>
      <c r="S197" s="285"/>
      <c r="T197" s="285"/>
      <c r="U197" s="317"/>
      <c r="V197" s="5"/>
    </row>
    <row r="198" spans="1:22" ht="15.6" x14ac:dyDescent="0.3">
      <c r="A198" s="352"/>
      <c r="B198" s="285" t="s">
        <v>73</v>
      </c>
      <c r="C198" s="353"/>
      <c r="D198" s="353"/>
      <c r="E198" s="353"/>
      <c r="F198" s="353"/>
      <c r="G198" s="329"/>
      <c r="H198" s="329"/>
      <c r="I198" s="329"/>
      <c r="J198" s="329"/>
      <c r="K198" s="329"/>
      <c r="L198" s="329"/>
      <c r="M198" s="329"/>
      <c r="N198" s="329"/>
      <c r="O198" s="329"/>
      <c r="P198" s="329"/>
      <c r="Q198" s="329"/>
      <c r="R198" s="320">
        <f>R196-R197</f>
        <v>4.6700000000000005E-3</v>
      </c>
      <c r="S198" s="285"/>
      <c r="T198" s="285"/>
      <c r="U198" s="317"/>
      <c r="V198" s="5"/>
    </row>
    <row r="199" spans="1:22" ht="15.6" x14ac:dyDescent="0.3">
      <c r="A199" s="352"/>
      <c r="B199" s="285" t="s">
        <v>74</v>
      </c>
      <c r="C199" s="353"/>
      <c r="D199" s="353"/>
      <c r="E199" s="353"/>
      <c r="F199" s="353"/>
      <c r="G199" s="329"/>
      <c r="H199" s="329"/>
      <c r="I199" s="329"/>
      <c r="J199" s="329"/>
      <c r="K199" s="329"/>
      <c r="L199" s="329"/>
      <c r="M199" s="329"/>
      <c r="N199" s="329"/>
      <c r="O199" s="329"/>
      <c r="P199" s="329"/>
      <c r="Q199" s="329"/>
      <c r="R199" s="320">
        <v>2.2720000000000001E-2</v>
      </c>
      <c r="S199" s="285"/>
      <c r="T199" s="285"/>
      <c r="U199" s="317"/>
      <c r="V199" s="5"/>
    </row>
    <row r="200" spans="1:22" ht="15.6" x14ac:dyDescent="0.3">
      <c r="A200" s="352"/>
      <c r="B200" s="285" t="s">
        <v>257</v>
      </c>
      <c r="C200" s="353"/>
      <c r="D200" s="353"/>
      <c r="E200" s="353"/>
      <c r="F200" s="353"/>
      <c r="G200" s="329"/>
      <c r="H200" s="329"/>
      <c r="I200" s="329"/>
      <c r="J200" s="329"/>
      <c r="K200" s="329"/>
      <c r="L200" s="329"/>
      <c r="M200" s="329"/>
      <c r="N200" s="329"/>
      <c r="O200" s="329"/>
      <c r="P200" s="329"/>
      <c r="Q200" s="329"/>
      <c r="R200" s="320">
        <f>T43</f>
        <v>8.0403273426865752E-3</v>
      </c>
      <c r="S200" s="285"/>
      <c r="T200" s="285"/>
      <c r="U200" s="317"/>
      <c r="V200" s="5"/>
    </row>
    <row r="201" spans="1:22" ht="15.6" x14ac:dyDescent="0.3">
      <c r="A201" s="352"/>
      <c r="B201" s="285" t="s">
        <v>75</v>
      </c>
      <c r="C201" s="353"/>
      <c r="D201" s="353"/>
      <c r="E201" s="353"/>
      <c r="F201" s="353"/>
      <c r="G201" s="329"/>
      <c r="H201" s="329"/>
      <c r="I201" s="329"/>
      <c r="J201" s="329"/>
      <c r="K201" s="329"/>
      <c r="L201" s="329"/>
      <c r="M201" s="329"/>
      <c r="N201" s="329"/>
      <c r="O201" s="329"/>
      <c r="P201" s="329"/>
      <c r="Q201" s="329"/>
      <c r="R201" s="320">
        <f>R199-R200</f>
        <v>1.4679672657313425E-2</v>
      </c>
      <c r="S201" s="285"/>
      <c r="T201" s="285"/>
      <c r="U201" s="317"/>
      <c r="V201" s="5"/>
    </row>
    <row r="202" spans="1:22" ht="15.6" x14ac:dyDescent="0.3">
      <c r="A202" s="352"/>
      <c r="B202" s="285" t="s">
        <v>260</v>
      </c>
      <c r="C202" s="353"/>
      <c r="D202" s="353"/>
      <c r="E202" s="353"/>
      <c r="F202" s="353"/>
      <c r="G202" s="329"/>
      <c r="H202" s="329"/>
      <c r="I202" s="329"/>
      <c r="J202" s="329"/>
      <c r="K202" s="329"/>
      <c r="L202" s="329"/>
      <c r="M202" s="329"/>
      <c r="N202" s="329"/>
      <c r="O202" s="329"/>
      <c r="P202" s="329"/>
      <c r="Q202" s="329"/>
      <c r="R202" s="320">
        <f>+T100/L71</f>
        <v>6.5306375815645046E-3</v>
      </c>
      <c r="S202" s="285"/>
      <c r="T202" s="285"/>
      <c r="U202" s="317"/>
      <c r="V202" s="5"/>
    </row>
    <row r="203" spans="1:22" ht="15.6" x14ac:dyDescent="0.3">
      <c r="A203" s="352"/>
      <c r="B203" s="285" t="s">
        <v>217</v>
      </c>
      <c r="C203" s="353"/>
      <c r="D203" s="353"/>
      <c r="E203" s="353"/>
      <c r="F203" s="353"/>
      <c r="G203" s="329"/>
      <c r="H203" s="329"/>
      <c r="I203" s="329"/>
      <c r="J203" s="329"/>
      <c r="K203" s="329"/>
      <c r="L203" s="329"/>
      <c r="M203" s="329"/>
      <c r="N203" s="329"/>
      <c r="O203" s="329"/>
      <c r="P203" s="329"/>
      <c r="Q203" s="329"/>
      <c r="R203" s="354">
        <v>15250</v>
      </c>
      <c r="S203" s="285"/>
      <c r="T203" s="285"/>
      <c r="U203" s="317"/>
      <c r="V203" s="5"/>
    </row>
    <row r="204" spans="1:22" ht="15.6" x14ac:dyDescent="0.3">
      <c r="A204" s="352"/>
      <c r="B204" s="285" t="s">
        <v>218</v>
      </c>
      <c r="C204" s="353"/>
      <c r="D204" s="353"/>
      <c r="E204" s="353"/>
      <c r="F204" s="353"/>
      <c r="G204" s="329"/>
      <c r="H204" s="329"/>
      <c r="I204" s="329"/>
      <c r="J204" s="329"/>
      <c r="K204" s="329"/>
      <c r="L204" s="329"/>
      <c r="M204" s="329"/>
      <c r="N204" s="329"/>
      <c r="O204" s="329"/>
      <c r="P204" s="329"/>
      <c r="Q204" s="329"/>
      <c r="R204" s="354">
        <v>15250</v>
      </c>
      <c r="S204" s="285"/>
      <c r="T204" s="285"/>
      <c r="U204" s="317"/>
      <c r="V204" s="5"/>
    </row>
    <row r="205" spans="1:22" ht="15.6" x14ac:dyDescent="0.3">
      <c r="A205" s="352"/>
      <c r="B205" s="285" t="s">
        <v>219</v>
      </c>
      <c r="C205" s="353"/>
      <c r="D205" s="353"/>
      <c r="E205" s="353"/>
      <c r="F205" s="353"/>
      <c r="G205" s="329"/>
      <c r="H205" s="329"/>
      <c r="I205" s="329"/>
      <c r="J205" s="329"/>
      <c r="K205" s="329"/>
      <c r="L205" s="329"/>
      <c r="M205" s="329"/>
      <c r="N205" s="329"/>
      <c r="O205" s="329"/>
      <c r="P205" s="329"/>
      <c r="Q205" s="329"/>
      <c r="R205" s="354">
        <v>15250</v>
      </c>
      <c r="S205" s="285"/>
      <c r="T205" s="285"/>
      <c r="U205" s="317"/>
      <c r="V205" s="5"/>
    </row>
    <row r="206" spans="1:22" ht="15.6" x14ac:dyDescent="0.3">
      <c r="A206" s="352"/>
      <c r="B206" s="285" t="s">
        <v>76</v>
      </c>
      <c r="C206" s="353"/>
      <c r="D206" s="353"/>
      <c r="E206" s="353"/>
      <c r="F206" s="353"/>
      <c r="G206" s="329"/>
      <c r="H206" s="329"/>
      <c r="I206" s="329"/>
      <c r="J206" s="329"/>
      <c r="K206" s="329"/>
      <c r="L206" s="329"/>
      <c r="M206" s="329"/>
      <c r="N206" s="329"/>
      <c r="O206" s="329"/>
      <c r="P206" s="329"/>
      <c r="Q206" s="329"/>
      <c r="R206" s="326">
        <v>21.18</v>
      </c>
      <c r="S206" s="285" t="s">
        <v>116</v>
      </c>
      <c r="T206" s="285"/>
      <c r="U206" s="317"/>
      <c r="V206" s="5"/>
    </row>
    <row r="207" spans="1:22" ht="15.6" x14ac:dyDescent="0.3">
      <c r="A207" s="352"/>
      <c r="B207" s="285" t="s">
        <v>77</v>
      </c>
      <c r="C207" s="353"/>
      <c r="D207" s="353"/>
      <c r="E207" s="353"/>
      <c r="F207" s="353"/>
      <c r="G207" s="329"/>
      <c r="H207" s="329"/>
      <c r="I207" s="329"/>
      <c r="J207" s="329"/>
      <c r="K207" s="329"/>
      <c r="L207" s="329"/>
      <c r="M207" s="329"/>
      <c r="N207" s="329"/>
      <c r="O207" s="329"/>
      <c r="P207" s="329"/>
      <c r="Q207" s="329"/>
      <c r="R207" s="326">
        <v>14.13</v>
      </c>
      <c r="S207" s="285" t="s">
        <v>116</v>
      </c>
      <c r="T207" s="285"/>
      <c r="U207" s="317"/>
      <c r="V207" s="5"/>
    </row>
    <row r="208" spans="1:22" ht="15.6" x14ac:dyDescent="0.3">
      <c r="A208" s="352"/>
      <c r="B208" s="285" t="s">
        <v>78</v>
      </c>
      <c r="C208" s="353"/>
      <c r="D208" s="353"/>
      <c r="E208" s="353"/>
      <c r="F208" s="353"/>
      <c r="G208" s="329"/>
      <c r="H208" s="329"/>
      <c r="I208" s="329"/>
      <c r="J208" s="329"/>
      <c r="K208" s="329"/>
      <c r="L208" s="329"/>
      <c r="M208" s="329"/>
      <c r="N208" s="329"/>
      <c r="O208" s="329"/>
      <c r="P208" s="329"/>
      <c r="Q208" s="329"/>
      <c r="R208" s="320">
        <f>N68/L68</f>
        <v>5.3786017096139312E-3</v>
      </c>
      <c r="S208" s="285"/>
      <c r="T208" s="285"/>
      <c r="U208" s="317"/>
      <c r="V208" s="5"/>
    </row>
    <row r="209" spans="1:22" ht="15.6" x14ac:dyDescent="0.3">
      <c r="A209" s="352"/>
      <c r="B209" s="285" t="s">
        <v>79</v>
      </c>
      <c r="C209" s="353"/>
      <c r="D209" s="353"/>
      <c r="E209" s="353"/>
      <c r="F209" s="353"/>
      <c r="G209" s="329"/>
      <c r="H209" s="329"/>
      <c r="I209" s="329"/>
      <c r="J209" s="329"/>
      <c r="K209" s="329"/>
      <c r="L209" s="329"/>
      <c r="M209" s="329"/>
      <c r="N209" s="329"/>
      <c r="O209" s="329"/>
      <c r="P209" s="329"/>
      <c r="Q209" s="329"/>
      <c r="R209" s="320">
        <v>8.6300000000000002E-2</v>
      </c>
      <c r="S209" s="285"/>
      <c r="T209" s="285"/>
      <c r="U209" s="317"/>
      <c r="V209" s="5"/>
    </row>
    <row r="210" spans="1:22" ht="15.6" x14ac:dyDescent="0.3">
      <c r="A210" s="209"/>
      <c r="B210" s="350"/>
      <c r="C210" s="350"/>
      <c r="D210" s="350"/>
      <c r="E210" s="350"/>
      <c r="F210" s="350"/>
      <c r="G210" s="334"/>
      <c r="H210" s="334"/>
      <c r="I210" s="334"/>
      <c r="J210" s="334"/>
      <c r="K210" s="334"/>
      <c r="L210" s="334"/>
      <c r="M210" s="334"/>
      <c r="N210" s="334"/>
      <c r="O210" s="334"/>
      <c r="P210" s="334"/>
      <c r="Q210" s="334"/>
      <c r="R210" s="347"/>
      <c r="S210" s="334"/>
      <c r="T210" s="351"/>
      <c r="U210" s="334"/>
      <c r="V210" s="5"/>
    </row>
    <row r="211" spans="1:22" ht="15.6" x14ac:dyDescent="0.3">
      <c r="A211" s="266"/>
      <c r="B211" s="395" t="s">
        <v>80</v>
      </c>
      <c r="C211" s="396"/>
      <c r="D211" s="396"/>
      <c r="E211" s="396"/>
      <c r="F211" s="402"/>
      <c r="G211" s="396"/>
      <c r="H211" s="396"/>
      <c r="I211" s="396"/>
      <c r="J211" s="396"/>
      <c r="K211" s="396"/>
      <c r="L211" s="396"/>
      <c r="M211" s="396"/>
      <c r="N211" s="396"/>
      <c r="O211" s="396"/>
      <c r="P211" s="396"/>
      <c r="Q211" s="396" t="s">
        <v>105</v>
      </c>
      <c r="R211" s="402" t="s">
        <v>112</v>
      </c>
      <c r="S211" s="223"/>
      <c r="T211" s="223"/>
      <c r="U211" s="223"/>
      <c r="V211" s="5"/>
    </row>
    <row r="212" spans="1:22" ht="15.6" x14ac:dyDescent="0.3">
      <c r="A212" s="214"/>
      <c r="B212" s="239" t="s">
        <v>81</v>
      </c>
      <c r="C212" s="243"/>
      <c r="D212" s="243"/>
      <c r="E212" s="243"/>
      <c r="F212" s="239"/>
      <c r="G212" s="239"/>
      <c r="H212" s="242"/>
      <c r="I212" s="242"/>
      <c r="J212" s="242"/>
      <c r="K212" s="242"/>
      <c r="L212" s="242"/>
      <c r="M212" s="242"/>
      <c r="N212" s="242"/>
      <c r="O212" s="242"/>
      <c r="P212" s="242"/>
      <c r="Q212" s="242">
        <v>0</v>
      </c>
      <c r="R212" s="272">
        <v>0</v>
      </c>
      <c r="S212" s="239"/>
      <c r="T212" s="273"/>
      <c r="U212" s="215"/>
      <c r="V212" s="5"/>
    </row>
    <row r="213" spans="1:22" ht="15.6" x14ac:dyDescent="0.3">
      <c r="A213" s="360"/>
      <c r="B213" s="285" t="s">
        <v>151</v>
      </c>
      <c r="C213" s="338"/>
      <c r="D213" s="338"/>
      <c r="E213" s="338"/>
      <c r="F213" s="285"/>
      <c r="G213" s="285"/>
      <c r="H213" s="293"/>
      <c r="I213" s="293"/>
      <c r="J213" s="293"/>
      <c r="K213" s="293"/>
      <c r="L213" s="293"/>
      <c r="M213" s="293"/>
      <c r="N213" s="293"/>
      <c r="O213" s="293"/>
      <c r="P213" s="293"/>
      <c r="Q213" s="361">
        <f>+P265</f>
        <v>108</v>
      </c>
      <c r="R213" s="362">
        <f>+R265</f>
        <v>16088</v>
      </c>
      <c r="S213" s="285"/>
      <c r="T213" s="363"/>
      <c r="U213" s="364"/>
      <c r="V213" s="5"/>
    </row>
    <row r="214" spans="1:22" ht="15.6" x14ac:dyDescent="0.3">
      <c r="A214" s="360"/>
      <c r="B214" s="285" t="s">
        <v>82</v>
      </c>
      <c r="C214" s="338"/>
      <c r="D214" s="338"/>
      <c r="E214" s="338"/>
      <c r="F214" s="285"/>
      <c r="G214" s="285"/>
      <c r="H214" s="293"/>
      <c r="I214" s="293"/>
      <c r="J214" s="293"/>
      <c r="K214" s="293"/>
      <c r="L214" s="293"/>
      <c r="M214" s="293"/>
      <c r="N214" s="293"/>
      <c r="O214" s="293"/>
      <c r="P214" s="293"/>
      <c r="Q214" s="361">
        <f>+P277</f>
        <v>1</v>
      </c>
      <c r="R214" s="362">
        <f>+R277</f>
        <v>125</v>
      </c>
      <c r="S214" s="285"/>
      <c r="T214" s="363"/>
      <c r="U214" s="364"/>
      <c r="V214" s="5"/>
    </row>
    <row r="215" spans="1:22" ht="15.6" x14ac:dyDescent="0.3">
      <c r="A215" s="360"/>
      <c r="B215" s="310" t="s">
        <v>83</v>
      </c>
      <c r="C215" s="365"/>
      <c r="D215" s="365"/>
      <c r="E215" s="365"/>
      <c r="F215" s="311"/>
      <c r="G215" s="311"/>
      <c r="H215" s="311"/>
      <c r="I215" s="311"/>
      <c r="J215" s="311"/>
      <c r="K215" s="311"/>
      <c r="L215" s="311"/>
      <c r="M215" s="311"/>
      <c r="N215" s="311"/>
      <c r="O215" s="311"/>
      <c r="P215" s="311"/>
      <c r="Q215" s="285"/>
      <c r="R215" s="362">
        <v>0</v>
      </c>
      <c r="S215" s="311"/>
      <c r="T215" s="366"/>
      <c r="U215" s="364"/>
      <c r="V215" s="5"/>
    </row>
    <row r="216" spans="1:22" ht="15.6" x14ac:dyDescent="0.3">
      <c r="A216" s="360"/>
      <c r="B216" s="310" t="s">
        <v>84</v>
      </c>
      <c r="C216" s="365"/>
      <c r="D216" s="365"/>
      <c r="E216" s="365"/>
      <c r="F216" s="311"/>
      <c r="G216" s="311"/>
      <c r="H216" s="311"/>
      <c r="I216" s="311"/>
      <c r="J216" s="311"/>
      <c r="K216" s="311"/>
      <c r="L216" s="311"/>
      <c r="M216" s="311"/>
      <c r="N216" s="311"/>
      <c r="O216" s="311"/>
      <c r="P216" s="311"/>
      <c r="Q216" s="285"/>
      <c r="R216" s="367" t="s">
        <v>113</v>
      </c>
      <c r="S216" s="311"/>
      <c r="T216" s="366"/>
      <c r="U216" s="364"/>
      <c r="V216" s="5"/>
    </row>
    <row r="217" spans="1:22" ht="15.6" x14ac:dyDescent="0.3">
      <c r="A217" s="368"/>
      <c r="B217" s="310" t="s">
        <v>85</v>
      </c>
      <c r="C217" s="369"/>
      <c r="D217" s="369"/>
      <c r="E217" s="369"/>
      <c r="F217" s="369"/>
      <c r="G217" s="311"/>
      <c r="H217" s="311"/>
      <c r="I217" s="311"/>
      <c r="J217" s="311"/>
      <c r="K217" s="311"/>
      <c r="L217" s="311"/>
      <c r="M217" s="311"/>
      <c r="N217" s="311"/>
      <c r="O217" s="311"/>
      <c r="P217" s="311"/>
      <c r="Q217" s="285"/>
      <c r="R217" s="362"/>
      <c r="S217" s="311"/>
      <c r="T217" s="366"/>
      <c r="U217" s="370"/>
      <c r="V217" s="5"/>
    </row>
    <row r="218" spans="1:22" ht="15.6" x14ac:dyDescent="0.3">
      <c r="A218" s="368"/>
      <c r="B218" s="285" t="s">
        <v>86</v>
      </c>
      <c r="C218" s="285"/>
      <c r="D218" s="285"/>
      <c r="E218" s="285"/>
      <c r="F218" s="285"/>
      <c r="G218" s="285"/>
      <c r="H218" s="285"/>
      <c r="I218" s="285"/>
      <c r="J218" s="285"/>
      <c r="K218" s="285"/>
      <c r="L218" s="285"/>
      <c r="M218" s="285"/>
      <c r="N218" s="285"/>
      <c r="O218" s="285"/>
      <c r="P218" s="285"/>
      <c r="Q218" s="293"/>
      <c r="R218" s="362">
        <f>T162</f>
        <v>207</v>
      </c>
      <c r="S218" s="285"/>
      <c r="T218" s="363"/>
      <c r="U218" s="370"/>
      <c r="V218" s="5"/>
    </row>
    <row r="219" spans="1:22" ht="15.6" x14ac:dyDescent="0.3">
      <c r="A219" s="360"/>
      <c r="B219" s="285" t="s">
        <v>87</v>
      </c>
      <c r="C219" s="338"/>
      <c r="D219" s="338"/>
      <c r="E219" s="338"/>
      <c r="F219" s="338"/>
      <c r="G219" s="285"/>
      <c r="H219" s="285"/>
      <c r="I219" s="285"/>
      <c r="J219" s="285"/>
      <c r="K219" s="285"/>
      <c r="L219" s="285"/>
      <c r="M219" s="285"/>
      <c r="N219" s="285"/>
      <c r="O219" s="285"/>
      <c r="P219" s="285"/>
      <c r="Q219" s="293"/>
      <c r="R219" s="362">
        <f>'March 13'!R219+R218</f>
        <v>4022</v>
      </c>
      <c r="S219" s="285"/>
      <c r="T219" s="363"/>
      <c r="U219" s="370"/>
      <c r="V219" s="5"/>
    </row>
    <row r="220" spans="1:22" ht="15.6" x14ac:dyDescent="0.3">
      <c r="A220" s="368"/>
      <c r="B220" s="310" t="s">
        <v>282</v>
      </c>
      <c r="C220" s="369"/>
      <c r="D220" s="369"/>
      <c r="E220" s="369"/>
      <c r="F220" s="369"/>
      <c r="G220" s="311"/>
      <c r="H220" s="311"/>
      <c r="I220" s="311"/>
      <c r="J220" s="311"/>
      <c r="K220" s="311"/>
      <c r="L220" s="311"/>
      <c r="M220" s="311"/>
      <c r="N220" s="311"/>
      <c r="O220" s="311"/>
      <c r="P220" s="311"/>
      <c r="Q220" s="293"/>
      <c r="R220" s="362"/>
      <c r="S220" s="311"/>
      <c r="T220" s="366"/>
      <c r="U220" s="370"/>
      <c r="V220" s="5"/>
    </row>
    <row r="221" spans="1:22" ht="15.6" x14ac:dyDescent="0.3">
      <c r="A221" s="368"/>
      <c r="B221" s="285" t="s">
        <v>280</v>
      </c>
      <c r="C221" s="369"/>
      <c r="D221" s="369"/>
      <c r="E221" s="369"/>
      <c r="F221" s="369"/>
      <c r="G221" s="311"/>
      <c r="H221" s="311"/>
      <c r="I221" s="311"/>
      <c r="J221" s="311"/>
      <c r="K221" s="311"/>
      <c r="L221" s="311"/>
      <c r="M221" s="311"/>
      <c r="N221" s="311"/>
      <c r="O221" s="311"/>
      <c r="P221" s="311"/>
      <c r="Q221" s="293">
        <v>0</v>
      </c>
      <c r="R221" s="362">
        <v>0</v>
      </c>
      <c r="S221" s="311"/>
      <c r="T221" s="366"/>
      <c r="U221" s="370"/>
      <c r="V221" s="5"/>
    </row>
    <row r="222" spans="1:22" ht="15.6" x14ac:dyDescent="0.3">
      <c r="A222" s="360"/>
      <c r="B222" s="285" t="s">
        <v>89</v>
      </c>
      <c r="C222" s="373"/>
      <c r="D222" s="373"/>
      <c r="E222" s="373"/>
      <c r="F222" s="374"/>
      <c r="G222" s="311"/>
      <c r="H222" s="311"/>
      <c r="I222" s="311"/>
      <c r="J222" s="311"/>
      <c r="K222" s="311"/>
      <c r="L222" s="311"/>
      <c r="M222" s="311"/>
      <c r="N222" s="311"/>
      <c r="O222" s="311"/>
      <c r="P222" s="311"/>
      <c r="Q222" s="285"/>
      <c r="R222" s="367">
        <v>0</v>
      </c>
      <c r="S222" s="311"/>
      <c r="T222" s="366"/>
      <c r="U222" s="370"/>
      <c r="V222" s="5"/>
    </row>
    <row r="223" spans="1:22" ht="15.6" x14ac:dyDescent="0.3">
      <c r="A223" s="360"/>
      <c r="B223" s="285" t="s">
        <v>90</v>
      </c>
      <c r="C223" s="373"/>
      <c r="D223" s="373"/>
      <c r="E223" s="373"/>
      <c r="F223" s="374"/>
      <c r="G223" s="311"/>
      <c r="H223" s="311"/>
      <c r="I223" s="311"/>
      <c r="J223" s="311"/>
      <c r="K223" s="311"/>
      <c r="L223" s="311"/>
      <c r="M223" s="311"/>
      <c r="N223" s="311"/>
      <c r="O223" s="311"/>
      <c r="P223" s="311"/>
      <c r="Q223" s="285"/>
      <c r="R223" s="367">
        <v>0</v>
      </c>
      <c r="S223" s="311"/>
      <c r="T223" s="366"/>
      <c r="U223" s="370"/>
      <c r="V223" s="5"/>
    </row>
    <row r="224" spans="1:22" ht="15.6" x14ac:dyDescent="0.3">
      <c r="A224" s="360"/>
      <c r="B224" s="310" t="s">
        <v>226</v>
      </c>
      <c r="C224" s="373"/>
      <c r="D224" s="373"/>
      <c r="E224" s="373"/>
      <c r="F224" s="374"/>
      <c r="G224" s="311"/>
      <c r="H224" s="311"/>
      <c r="I224" s="311"/>
      <c r="J224" s="311"/>
      <c r="K224" s="311"/>
      <c r="L224" s="311"/>
      <c r="M224" s="311"/>
      <c r="N224" s="311"/>
      <c r="O224" s="311"/>
      <c r="P224" s="311"/>
      <c r="Q224" s="293"/>
      <c r="R224" s="375"/>
      <c r="S224" s="311"/>
      <c r="T224" s="366"/>
      <c r="U224" s="370"/>
      <c r="V224" s="5"/>
    </row>
    <row r="225" spans="1:23" ht="15.6" x14ac:dyDescent="0.3">
      <c r="A225" s="360"/>
      <c r="B225" s="285" t="s">
        <v>280</v>
      </c>
      <c r="C225" s="373"/>
      <c r="D225" s="373"/>
      <c r="E225" s="373"/>
      <c r="F225" s="374"/>
      <c r="G225" s="311"/>
      <c r="H225" s="311"/>
      <c r="I225" s="311"/>
      <c r="J225" s="311"/>
      <c r="K225" s="311"/>
      <c r="L225" s="311"/>
      <c r="M225" s="311"/>
      <c r="N225" s="311"/>
      <c r="O225" s="311"/>
      <c r="P225" s="311"/>
      <c r="Q225" s="293">
        <v>1</v>
      </c>
      <c r="R225" s="362">
        <v>334</v>
      </c>
      <c r="S225" s="311"/>
      <c r="T225" s="366"/>
      <c r="U225" s="370"/>
      <c r="V225" s="5"/>
    </row>
    <row r="226" spans="1:23" ht="15.6" x14ac:dyDescent="0.3">
      <c r="A226" s="360"/>
      <c r="B226" s="285" t="s">
        <v>227</v>
      </c>
      <c r="C226" s="373"/>
      <c r="D226" s="373"/>
      <c r="E226" s="373"/>
      <c r="F226" s="374"/>
      <c r="G226" s="311"/>
      <c r="H226" s="311"/>
      <c r="I226" s="311"/>
      <c r="J226" s="311"/>
      <c r="K226" s="311"/>
      <c r="L226" s="311"/>
      <c r="M226" s="311"/>
      <c r="N226" s="311"/>
      <c r="O226" s="311"/>
      <c r="P226" s="311"/>
      <c r="Q226" s="293"/>
      <c r="R226" s="367">
        <v>12.98</v>
      </c>
      <c r="S226" s="311"/>
      <c r="T226" s="366"/>
      <c r="U226" s="370"/>
      <c r="V226" s="5"/>
    </row>
    <row r="227" spans="1:23" ht="15.6" x14ac:dyDescent="0.3">
      <c r="A227" s="360"/>
      <c r="B227" s="369"/>
      <c r="C227" s="373"/>
      <c r="D227" s="373"/>
      <c r="E227" s="373"/>
      <c r="F227" s="374"/>
      <c r="G227" s="311"/>
      <c r="H227" s="311"/>
      <c r="I227" s="311"/>
      <c r="J227" s="311"/>
      <c r="K227" s="311"/>
      <c r="L227" s="311"/>
      <c r="M227" s="311"/>
      <c r="N227" s="311"/>
      <c r="O227" s="311"/>
      <c r="P227" s="311"/>
      <c r="Q227" s="311"/>
      <c r="R227" s="376"/>
      <c r="S227" s="311"/>
      <c r="T227" s="366"/>
      <c r="U227" s="370"/>
      <c r="V227" s="5"/>
    </row>
    <row r="228" spans="1:23" ht="15.6" x14ac:dyDescent="0.3">
      <c r="A228" s="360"/>
      <c r="B228" s="369"/>
      <c r="C228" s="373"/>
      <c r="D228" s="373"/>
      <c r="E228" s="373"/>
      <c r="F228" s="374"/>
      <c r="G228" s="311"/>
      <c r="H228" s="311"/>
      <c r="I228" s="311"/>
      <c r="J228" s="311"/>
      <c r="K228" s="311"/>
      <c r="L228" s="311"/>
      <c r="M228" s="311"/>
      <c r="N228" s="311"/>
      <c r="O228" s="311"/>
      <c r="P228" s="311"/>
      <c r="Q228" s="311"/>
      <c r="R228" s="376"/>
      <c r="S228" s="311"/>
      <c r="T228" s="366"/>
      <c r="U228" s="370"/>
      <c r="V228" s="5"/>
    </row>
    <row r="229" spans="1:23" ht="17.399999999999999" x14ac:dyDescent="0.3">
      <c r="A229" s="360"/>
      <c r="B229" s="377" t="s">
        <v>175</v>
      </c>
      <c r="C229" s="373"/>
      <c r="D229" s="373"/>
      <c r="E229" s="373"/>
      <c r="F229" s="374"/>
      <c r="G229" s="311"/>
      <c r="H229" s="311"/>
      <c r="I229" s="311"/>
      <c r="J229" s="311"/>
      <c r="K229" s="311"/>
      <c r="L229" s="311"/>
      <c r="M229" s="311"/>
      <c r="N229" s="378" t="s">
        <v>174</v>
      </c>
      <c r="O229" s="311"/>
      <c r="P229" s="311"/>
      <c r="Q229" s="311"/>
      <c r="R229" s="376"/>
      <c r="S229" s="311"/>
      <c r="T229" s="366"/>
      <c r="U229" s="370"/>
      <c r="V229" s="5"/>
    </row>
    <row r="230" spans="1:23" ht="15.6" x14ac:dyDescent="0.3">
      <c r="A230" s="355"/>
      <c r="B230" s="350"/>
      <c r="C230" s="356"/>
      <c r="D230" s="356"/>
      <c r="E230" s="356"/>
      <c r="F230" s="357"/>
      <c r="G230" s="334"/>
      <c r="H230" s="334"/>
      <c r="I230" s="334"/>
      <c r="J230" s="334"/>
      <c r="K230" s="334"/>
      <c r="L230" s="334"/>
      <c r="M230" s="334"/>
      <c r="N230" s="334"/>
      <c r="O230" s="334"/>
      <c r="P230" s="334"/>
      <c r="Q230" s="334"/>
      <c r="R230" s="358"/>
      <c r="S230" s="334"/>
      <c r="T230" s="351"/>
      <c r="U230" s="359"/>
      <c r="V230" s="5"/>
    </row>
    <row r="231" spans="1:23" ht="15.6" x14ac:dyDescent="0.3">
      <c r="A231" s="222"/>
      <c r="B231" s="395" t="s">
        <v>295</v>
      </c>
      <c r="C231" s="396"/>
      <c r="D231" s="396"/>
      <c r="E231" s="396"/>
      <c r="F231" s="402"/>
      <c r="G231" s="396"/>
      <c r="H231" s="396"/>
      <c r="I231" s="396"/>
      <c r="J231" s="396"/>
      <c r="K231" s="396"/>
      <c r="L231" s="396"/>
      <c r="M231" s="396"/>
      <c r="N231" s="396"/>
      <c r="O231" s="396"/>
      <c r="P231" s="402" t="s">
        <v>105</v>
      </c>
      <c r="Q231" s="396" t="s">
        <v>106</v>
      </c>
      <c r="R231" s="402" t="s">
        <v>114</v>
      </c>
      <c r="S231" s="396" t="s">
        <v>106</v>
      </c>
      <c r="T231" s="223"/>
      <c r="U231" s="395"/>
      <c r="V231" s="5"/>
    </row>
    <row r="232" spans="1:23" ht="15.6" x14ac:dyDescent="0.3">
      <c r="A232" s="190"/>
      <c r="B232" s="243" t="s">
        <v>91</v>
      </c>
      <c r="C232" s="217"/>
      <c r="D232" s="217"/>
      <c r="E232" s="217"/>
      <c r="F232" s="191"/>
      <c r="G232" s="217"/>
      <c r="H232" s="217"/>
      <c r="I232" s="217"/>
      <c r="J232" s="217"/>
      <c r="K232" s="217"/>
      <c r="L232" s="217"/>
      <c r="M232" s="217"/>
      <c r="N232" s="217"/>
      <c r="O232" s="217"/>
      <c r="P232" s="338">
        <f t="shared" ref="P232:P239" si="1">+P244+P256+P268</f>
        <v>4119</v>
      </c>
      <c r="Q232" s="384">
        <f t="shared" ref="Q232:Q239" si="2">P232/$P$241</f>
        <v>0.99038230343832656</v>
      </c>
      <c r="R232" s="339">
        <f t="shared" ref="R232:R239" si="3">+R244+R256+R268</f>
        <v>539304</v>
      </c>
      <c r="S232" s="384">
        <f t="shared" ref="S232:S239" si="4">R232/$R$241</f>
        <v>0.9899300647956093</v>
      </c>
      <c r="T232" s="213"/>
      <c r="U232" s="216"/>
      <c r="V232" s="5"/>
    </row>
    <row r="233" spans="1:23" ht="15.6" x14ac:dyDescent="0.3">
      <c r="A233" s="284"/>
      <c r="B233" s="338" t="s">
        <v>92</v>
      </c>
      <c r="C233" s="382"/>
      <c r="D233" s="382"/>
      <c r="E233" s="382"/>
      <c r="F233" s="311"/>
      <c r="G233" s="383"/>
      <c r="H233" s="382"/>
      <c r="I233" s="382"/>
      <c r="J233" s="382"/>
      <c r="K233" s="382"/>
      <c r="L233" s="382"/>
      <c r="M233" s="382"/>
      <c r="N233" s="382"/>
      <c r="O233" s="382"/>
      <c r="P233" s="338">
        <f t="shared" si="1"/>
        <v>16</v>
      </c>
      <c r="Q233" s="384">
        <f t="shared" si="2"/>
        <v>3.8470786246693916E-3</v>
      </c>
      <c r="R233" s="339">
        <f t="shared" si="3"/>
        <v>2169</v>
      </c>
      <c r="S233" s="384">
        <f t="shared" si="4"/>
        <v>3.9813506121624846E-3</v>
      </c>
      <c r="T233" s="366"/>
      <c r="U233" s="370"/>
      <c r="V233" s="5"/>
      <c r="W233" s="109"/>
    </row>
    <row r="234" spans="1:23" ht="15.6" x14ac:dyDescent="0.3">
      <c r="A234" s="284"/>
      <c r="B234" s="338" t="s">
        <v>93</v>
      </c>
      <c r="C234" s="382"/>
      <c r="D234" s="382"/>
      <c r="E234" s="382"/>
      <c r="F234" s="311"/>
      <c r="G234" s="383"/>
      <c r="H234" s="382"/>
      <c r="I234" s="382"/>
      <c r="J234" s="382"/>
      <c r="K234" s="382"/>
      <c r="L234" s="382"/>
      <c r="M234" s="382"/>
      <c r="N234" s="382"/>
      <c r="O234" s="382"/>
      <c r="P234" s="338">
        <f t="shared" si="1"/>
        <v>7</v>
      </c>
      <c r="Q234" s="384">
        <f t="shared" si="2"/>
        <v>1.683096898292859E-3</v>
      </c>
      <c r="R234" s="339">
        <f t="shared" si="3"/>
        <v>642</v>
      </c>
      <c r="S234" s="384">
        <f t="shared" si="4"/>
        <v>1.1784357275280383E-3</v>
      </c>
      <c r="T234" s="366"/>
      <c r="U234" s="370"/>
      <c r="V234" s="5"/>
    </row>
    <row r="235" spans="1:23" ht="15.6" x14ac:dyDescent="0.3">
      <c r="A235" s="284"/>
      <c r="B235" s="338" t="s">
        <v>163</v>
      </c>
      <c r="C235" s="382"/>
      <c r="D235" s="382"/>
      <c r="E235" s="382"/>
      <c r="F235" s="311"/>
      <c r="G235" s="383"/>
      <c r="H235" s="382"/>
      <c r="I235" s="382"/>
      <c r="J235" s="382"/>
      <c r="K235" s="382"/>
      <c r="L235" s="382"/>
      <c r="M235" s="382"/>
      <c r="N235" s="382"/>
      <c r="O235" s="382"/>
      <c r="P235" s="338">
        <f t="shared" si="1"/>
        <v>1</v>
      </c>
      <c r="Q235" s="384">
        <f t="shared" si="2"/>
        <v>2.4044241404183698E-4</v>
      </c>
      <c r="R235" s="339">
        <f t="shared" si="3"/>
        <v>72</v>
      </c>
      <c r="S235" s="384">
        <f t="shared" si="4"/>
        <v>1.3216101617136879E-4</v>
      </c>
      <c r="T235" s="366"/>
      <c r="U235" s="370"/>
      <c r="V235" s="5"/>
      <c r="W235" s="109"/>
    </row>
    <row r="236" spans="1:23" ht="15.6" x14ac:dyDescent="0.3">
      <c r="A236" s="284"/>
      <c r="B236" s="338" t="s">
        <v>164</v>
      </c>
      <c r="C236" s="382"/>
      <c r="D236" s="382"/>
      <c r="E236" s="382"/>
      <c r="F236" s="311"/>
      <c r="G236" s="383"/>
      <c r="H236" s="382"/>
      <c r="I236" s="382"/>
      <c r="J236" s="382"/>
      <c r="K236" s="382"/>
      <c r="L236" s="382"/>
      <c r="M236" s="382"/>
      <c r="N236" s="382"/>
      <c r="O236" s="382"/>
      <c r="P236" s="338">
        <f t="shared" si="1"/>
        <v>0</v>
      </c>
      <c r="Q236" s="384">
        <f t="shared" si="2"/>
        <v>0</v>
      </c>
      <c r="R236" s="339">
        <f t="shared" si="3"/>
        <v>0</v>
      </c>
      <c r="S236" s="384">
        <f t="shared" si="4"/>
        <v>0</v>
      </c>
      <c r="T236" s="366"/>
      <c r="U236" s="370"/>
      <c r="V236" s="5"/>
    </row>
    <row r="237" spans="1:23" ht="15.6" x14ac:dyDescent="0.3">
      <c r="A237" s="284"/>
      <c r="B237" s="338" t="s">
        <v>165</v>
      </c>
      <c r="C237" s="382"/>
      <c r="D237" s="382"/>
      <c r="E237" s="382"/>
      <c r="F237" s="311"/>
      <c r="G237" s="383"/>
      <c r="H237" s="382"/>
      <c r="I237" s="382"/>
      <c r="J237" s="382"/>
      <c r="K237" s="382"/>
      <c r="L237" s="382"/>
      <c r="M237" s="382"/>
      <c r="N237" s="382"/>
      <c r="O237" s="382"/>
      <c r="P237" s="338">
        <f t="shared" si="1"/>
        <v>1</v>
      </c>
      <c r="Q237" s="384">
        <f t="shared" si="2"/>
        <v>2.4044241404183698E-4</v>
      </c>
      <c r="R237" s="339">
        <f t="shared" si="3"/>
        <v>252</v>
      </c>
      <c r="S237" s="384">
        <f t="shared" si="4"/>
        <v>4.6256355659979076E-4</v>
      </c>
      <c r="T237" s="366"/>
      <c r="U237" s="370"/>
      <c r="V237" s="5"/>
      <c r="W237" s="109"/>
    </row>
    <row r="238" spans="1:23" ht="15.6" x14ac:dyDescent="0.3">
      <c r="A238" s="284"/>
      <c r="B238" s="338" t="s">
        <v>166</v>
      </c>
      <c r="C238" s="382"/>
      <c r="D238" s="382"/>
      <c r="E238" s="382"/>
      <c r="F238" s="311"/>
      <c r="G238" s="383"/>
      <c r="H238" s="382"/>
      <c r="I238" s="382"/>
      <c r="J238" s="382"/>
      <c r="K238" s="382"/>
      <c r="L238" s="382"/>
      <c r="M238" s="382"/>
      <c r="N238" s="382"/>
      <c r="O238" s="382"/>
      <c r="P238" s="338">
        <f t="shared" si="1"/>
        <v>8</v>
      </c>
      <c r="Q238" s="384">
        <f t="shared" si="2"/>
        <v>1.9235393123346958E-3</v>
      </c>
      <c r="R238" s="339">
        <f t="shared" si="3"/>
        <v>1204</v>
      </c>
      <c r="S238" s="384">
        <f t="shared" si="4"/>
        <v>2.2100258815323337E-3</v>
      </c>
      <c r="T238" s="366"/>
      <c r="U238" s="370"/>
      <c r="V238" s="5"/>
    </row>
    <row r="239" spans="1:23" ht="15.6" x14ac:dyDescent="0.3">
      <c r="A239" s="284"/>
      <c r="B239" s="338" t="s">
        <v>167</v>
      </c>
      <c r="C239" s="382"/>
      <c r="D239" s="382"/>
      <c r="E239" s="382"/>
      <c r="F239" s="311"/>
      <c r="G239" s="383"/>
      <c r="H239" s="382"/>
      <c r="I239" s="382"/>
      <c r="J239" s="382"/>
      <c r="K239" s="382"/>
      <c r="L239" s="382"/>
      <c r="M239" s="382"/>
      <c r="N239" s="382"/>
      <c r="O239" s="382"/>
      <c r="P239" s="338">
        <f t="shared" si="1"/>
        <v>7</v>
      </c>
      <c r="Q239" s="384">
        <f t="shared" si="2"/>
        <v>1.683096898292859E-3</v>
      </c>
      <c r="R239" s="339">
        <f t="shared" si="3"/>
        <v>1147</v>
      </c>
      <c r="S239" s="384">
        <f t="shared" si="4"/>
        <v>2.1053984103966668E-3</v>
      </c>
      <c r="T239" s="366"/>
      <c r="U239" s="370"/>
      <c r="V239" s="5"/>
      <c r="W239" s="109"/>
    </row>
    <row r="240" spans="1:23" ht="15.6" x14ac:dyDescent="0.3">
      <c r="A240" s="284"/>
      <c r="B240" s="338"/>
      <c r="C240" s="382"/>
      <c r="D240" s="382"/>
      <c r="E240" s="382"/>
      <c r="F240" s="311"/>
      <c r="G240" s="383"/>
      <c r="H240" s="382"/>
      <c r="I240" s="382"/>
      <c r="J240" s="382"/>
      <c r="K240" s="382"/>
      <c r="L240" s="382"/>
      <c r="M240" s="382"/>
      <c r="N240" s="382"/>
      <c r="O240" s="382"/>
      <c r="P240" s="338"/>
      <c r="Q240" s="384"/>
      <c r="R240" s="339"/>
      <c r="S240" s="384"/>
      <c r="T240" s="366"/>
      <c r="U240" s="370"/>
      <c r="V240" s="5"/>
    </row>
    <row r="241" spans="1:23" ht="15.6" x14ac:dyDescent="0.3">
      <c r="A241" s="284"/>
      <c r="B241" s="285" t="s">
        <v>120</v>
      </c>
      <c r="C241" s="311"/>
      <c r="D241" s="311"/>
      <c r="E241" s="311"/>
      <c r="F241" s="311"/>
      <c r="G241" s="311"/>
      <c r="H241" s="385"/>
      <c r="I241" s="385"/>
      <c r="J241" s="385"/>
      <c r="K241" s="385"/>
      <c r="L241" s="385"/>
      <c r="M241" s="385"/>
      <c r="N241" s="385"/>
      <c r="O241" s="385"/>
      <c r="P241" s="338">
        <f>SUM(P232:P240)</f>
        <v>4159</v>
      </c>
      <c r="Q241" s="384">
        <f>SUM(Q232:Q240)</f>
        <v>1</v>
      </c>
      <c r="R241" s="339">
        <f>SUM(R232:R240)</f>
        <v>544790</v>
      </c>
      <c r="S241" s="384">
        <f>SUM(S232:S240)</f>
        <v>1</v>
      </c>
      <c r="T241" s="311"/>
      <c r="U241" s="317"/>
      <c r="V241" s="5"/>
    </row>
    <row r="242" spans="1:23" ht="15.6" x14ac:dyDescent="0.3">
      <c r="A242" s="355"/>
      <c r="B242" s="350"/>
      <c r="C242" s="356"/>
      <c r="D242" s="356"/>
      <c r="E242" s="356"/>
      <c r="F242" s="357"/>
      <c r="G242" s="334"/>
      <c r="H242" s="334"/>
      <c r="I242" s="334"/>
      <c r="J242" s="334"/>
      <c r="K242" s="334"/>
      <c r="L242" s="334"/>
      <c r="M242" s="334"/>
      <c r="N242" s="334"/>
      <c r="O242" s="334"/>
      <c r="P242" s="334"/>
      <c r="Q242" s="334"/>
      <c r="R242" s="358"/>
      <c r="S242" s="334"/>
      <c r="T242" s="351"/>
      <c r="U242" s="359"/>
      <c r="V242" s="5"/>
    </row>
    <row r="243" spans="1:23" ht="15.6" x14ac:dyDescent="0.3">
      <c r="A243" s="222"/>
      <c r="B243" s="395" t="s">
        <v>169</v>
      </c>
      <c r="C243" s="396"/>
      <c r="D243" s="396"/>
      <c r="E243" s="396"/>
      <c r="F243" s="402"/>
      <c r="G243" s="396"/>
      <c r="H243" s="396"/>
      <c r="I243" s="396"/>
      <c r="J243" s="396"/>
      <c r="K243" s="396"/>
      <c r="L243" s="396"/>
      <c r="M243" s="396"/>
      <c r="N243" s="396"/>
      <c r="O243" s="396"/>
      <c r="P243" s="402" t="s">
        <v>105</v>
      </c>
      <c r="Q243" s="396" t="s">
        <v>106</v>
      </c>
      <c r="R243" s="402" t="s">
        <v>114</v>
      </c>
      <c r="S243" s="396" t="s">
        <v>106</v>
      </c>
      <c r="T243" s="223"/>
      <c r="U243" s="395"/>
      <c r="V243" s="5"/>
    </row>
    <row r="244" spans="1:23" ht="15.6" x14ac:dyDescent="0.3">
      <c r="A244" s="190"/>
      <c r="B244" s="243" t="s">
        <v>91</v>
      </c>
      <c r="C244" s="217"/>
      <c r="D244" s="217"/>
      <c r="E244" s="217"/>
      <c r="F244" s="191"/>
      <c r="G244" s="217"/>
      <c r="H244" s="217"/>
      <c r="I244" s="217"/>
      <c r="J244" s="217"/>
      <c r="K244" s="217"/>
      <c r="L244" s="217"/>
      <c r="M244" s="217"/>
      <c r="N244" s="217"/>
      <c r="O244" s="217"/>
      <c r="P244" s="243">
        <v>4039</v>
      </c>
      <c r="Q244" s="274">
        <f t="shared" ref="Q244:Q251" si="5">P244/$P$253</f>
        <v>0.99728395061728392</v>
      </c>
      <c r="R244" s="251">
        <v>527108</v>
      </c>
      <c r="S244" s="274">
        <f t="shared" ref="S244:S251" si="6">R244/$R$253</f>
        <v>0.99722084010465839</v>
      </c>
      <c r="T244" s="213"/>
      <c r="U244" s="216"/>
      <c r="V244" s="5"/>
    </row>
    <row r="245" spans="1:23" ht="15.6" x14ac:dyDescent="0.3">
      <c r="A245" s="284"/>
      <c r="B245" s="338" t="s">
        <v>92</v>
      </c>
      <c r="C245" s="382"/>
      <c r="D245" s="382"/>
      <c r="E245" s="382"/>
      <c r="F245" s="311"/>
      <c r="G245" s="383"/>
      <c r="H245" s="382"/>
      <c r="I245" s="382"/>
      <c r="J245" s="382"/>
      <c r="K245" s="382"/>
      <c r="L245" s="382"/>
      <c r="M245" s="382"/>
      <c r="N245" s="382"/>
      <c r="O245" s="382"/>
      <c r="P245" s="338">
        <v>8</v>
      </c>
      <c r="Q245" s="384">
        <f t="shared" si="5"/>
        <v>1.9753086419753087E-3</v>
      </c>
      <c r="R245" s="339">
        <v>1062</v>
      </c>
      <c r="S245" s="384">
        <f t="shared" si="6"/>
        <v>2.0091680114723114E-3</v>
      </c>
      <c r="T245" s="366"/>
      <c r="U245" s="370"/>
      <c r="V245" s="5"/>
      <c r="W245" s="109"/>
    </row>
    <row r="246" spans="1:23" ht="15.6" x14ac:dyDescent="0.3">
      <c r="A246" s="284"/>
      <c r="B246" s="338" t="s">
        <v>93</v>
      </c>
      <c r="C246" s="382"/>
      <c r="D246" s="382"/>
      <c r="E246" s="382"/>
      <c r="F246" s="311"/>
      <c r="G246" s="383"/>
      <c r="H246" s="382"/>
      <c r="I246" s="382"/>
      <c r="J246" s="382"/>
      <c r="K246" s="382"/>
      <c r="L246" s="382"/>
      <c r="M246" s="382"/>
      <c r="N246" s="382"/>
      <c r="O246" s="382"/>
      <c r="P246" s="338">
        <v>2</v>
      </c>
      <c r="Q246" s="384">
        <f t="shared" si="5"/>
        <v>4.9382716049382717E-4</v>
      </c>
      <c r="R246" s="339">
        <v>108</v>
      </c>
      <c r="S246" s="384">
        <f t="shared" si="6"/>
        <v>2.0432217065820117E-4</v>
      </c>
      <c r="T246" s="366"/>
      <c r="U246" s="370"/>
      <c r="V246" s="5"/>
    </row>
    <row r="247" spans="1:23" ht="15.6" x14ac:dyDescent="0.3">
      <c r="A247" s="284"/>
      <c r="B247" s="338" t="s">
        <v>163</v>
      </c>
      <c r="C247" s="382"/>
      <c r="D247" s="382"/>
      <c r="E247" s="382"/>
      <c r="F247" s="311"/>
      <c r="G247" s="383"/>
      <c r="H247" s="382"/>
      <c r="I247" s="382"/>
      <c r="J247" s="382"/>
      <c r="K247" s="382"/>
      <c r="L247" s="382"/>
      <c r="M247" s="382"/>
      <c r="N247" s="382"/>
      <c r="O247" s="382"/>
      <c r="P247" s="338">
        <v>0</v>
      </c>
      <c r="Q247" s="384">
        <f t="shared" si="5"/>
        <v>0</v>
      </c>
      <c r="R247" s="339">
        <v>0</v>
      </c>
      <c r="S247" s="384">
        <f t="shared" si="6"/>
        <v>0</v>
      </c>
      <c r="T247" s="366"/>
      <c r="U247" s="370"/>
      <c r="V247" s="5"/>
      <c r="W247" s="109"/>
    </row>
    <row r="248" spans="1:23" ht="15.6" x14ac:dyDescent="0.3">
      <c r="A248" s="284"/>
      <c r="B248" s="338" t="s">
        <v>164</v>
      </c>
      <c r="C248" s="382"/>
      <c r="D248" s="382"/>
      <c r="E248" s="382"/>
      <c r="F248" s="311"/>
      <c r="G248" s="383"/>
      <c r="H248" s="382"/>
      <c r="I248" s="382"/>
      <c r="J248" s="382"/>
      <c r="K248" s="382"/>
      <c r="L248" s="382"/>
      <c r="M248" s="382"/>
      <c r="N248" s="382"/>
      <c r="O248" s="382"/>
      <c r="P248" s="338">
        <v>0</v>
      </c>
      <c r="Q248" s="384">
        <f t="shared" si="5"/>
        <v>0</v>
      </c>
      <c r="R248" s="339">
        <v>0</v>
      </c>
      <c r="S248" s="384">
        <f t="shared" si="6"/>
        <v>0</v>
      </c>
      <c r="T248" s="366"/>
      <c r="U248" s="370"/>
      <c r="V248" s="5"/>
    </row>
    <row r="249" spans="1:23" ht="15.6" x14ac:dyDescent="0.3">
      <c r="A249" s="284"/>
      <c r="B249" s="338" t="s">
        <v>165</v>
      </c>
      <c r="C249" s="382"/>
      <c r="D249" s="382"/>
      <c r="E249" s="382"/>
      <c r="F249" s="311"/>
      <c r="G249" s="383"/>
      <c r="H249" s="382"/>
      <c r="I249" s="382"/>
      <c r="J249" s="382"/>
      <c r="K249" s="382"/>
      <c r="L249" s="382"/>
      <c r="M249" s="382"/>
      <c r="N249" s="382"/>
      <c r="O249" s="382"/>
      <c r="P249" s="338">
        <v>0</v>
      </c>
      <c r="Q249" s="384">
        <f t="shared" si="5"/>
        <v>0</v>
      </c>
      <c r="R249" s="339">
        <v>0</v>
      </c>
      <c r="S249" s="384">
        <f t="shared" si="6"/>
        <v>0</v>
      </c>
      <c r="T249" s="366"/>
      <c r="U249" s="370"/>
      <c r="V249" s="5"/>
      <c r="W249" s="109"/>
    </row>
    <row r="250" spans="1:23" ht="15.6" x14ac:dyDescent="0.3">
      <c r="A250" s="284"/>
      <c r="B250" s="338" t="s">
        <v>166</v>
      </c>
      <c r="C250" s="382"/>
      <c r="D250" s="382"/>
      <c r="E250" s="382"/>
      <c r="F250" s="311"/>
      <c r="G250" s="383"/>
      <c r="H250" s="382"/>
      <c r="I250" s="382"/>
      <c r="J250" s="382"/>
      <c r="K250" s="382"/>
      <c r="L250" s="382"/>
      <c r="M250" s="382"/>
      <c r="N250" s="382"/>
      <c r="O250" s="382"/>
      <c r="P250" s="338">
        <v>1</v>
      </c>
      <c r="Q250" s="384">
        <f t="shared" si="5"/>
        <v>2.4691358024691359E-4</v>
      </c>
      <c r="R250" s="339">
        <v>299</v>
      </c>
      <c r="S250" s="384">
        <f t="shared" si="6"/>
        <v>5.6566971321113098E-4</v>
      </c>
      <c r="T250" s="366"/>
      <c r="U250" s="370"/>
      <c r="V250" s="5"/>
    </row>
    <row r="251" spans="1:23" ht="15.6" x14ac:dyDescent="0.3">
      <c r="A251" s="284"/>
      <c r="B251" s="338" t="s">
        <v>167</v>
      </c>
      <c r="C251" s="382"/>
      <c r="D251" s="382"/>
      <c r="E251" s="382"/>
      <c r="F251" s="311"/>
      <c r="G251" s="383"/>
      <c r="H251" s="382"/>
      <c r="I251" s="382"/>
      <c r="J251" s="382"/>
      <c r="K251" s="382"/>
      <c r="L251" s="382"/>
      <c r="M251" s="382"/>
      <c r="N251" s="382"/>
      <c r="O251" s="382"/>
      <c r="P251" s="338">
        <v>0</v>
      </c>
      <c r="Q251" s="384">
        <f t="shared" si="5"/>
        <v>0</v>
      </c>
      <c r="R251" s="339">
        <v>0</v>
      </c>
      <c r="S251" s="384">
        <f t="shared" si="6"/>
        <v>0</v>
      </c>
      <c r="T251" s="366"/>
      <c r="U251" s="370"/>
      <c r="V251" s="5"/>
      <c r="W251" s="109"/>
    </row>
    <row r="252" spans="1:23" ht="15.6" x14ac:dyDescent="0.3">
      <c r="A252" s="284"/>
      <c r="B252" s="338"/>
      <c r="C252" s="382"/>
      <c r="D252" s="382"/>
      <c r="E252" s="382"/>
      <c r="F252" s="311"/>
      <c r="G252" s="383"/>
      <c r="H252" s="382"/>
      <c r="I252" s="382"/>
      <c r="J252" s="382"/>
      <c r="K252" s="382"/>
      <c r="L252" s="382"/>
      <c r="M252" s="382"/>
      <c r="N252" s="382"/>
      <c r="O252" s="382"/>
      <c r="P252" s="338"/>
      <c r="Q252" s="384"/>
      <c r="R252" s="339"/>
      <c r="S252" s="384"/>
      <c r="T252" s="366"/>
      <c r="U252" s="370"/>
      <c r="V252" s="5"/>
    </row>
    <row r="253" spans="1:23" ht="15.6" x14ac:dyDescent="0.3">
      <c r="A253" s="284"/>
      <c r="B253" s="285" t="s">
        <v>120</v>
      </c>
      <c r="C253" s="311"/>
      <c r="D253" s="311"/>
      <c r="E253" s="311"/>
      <c r="F253" s="311"/>
      <c r="G253" s="311"/>
      <c r="H253" s="385"/>
      <c r="I253" s="385"/>
      <c r="J253" s="385"/>
      <c r="K253" s="385"/>
      <c r="L253" s="385"/>
      <c r="M253" s="385"/>
      <c r="N253" s="385"/>
      <c r="O253" s="385"/>
      <c r="P253" s="338">
        <f>SUM(P244:P252)</f>
        <v>4050</v>
      </c>
      <c r="Q253" s="384">
        <f>SUM(Q244:Q252)</f>
        <v>0.99999999999999989</v>
      </c>
      <c r="R253" s="339">
        <f>SUM(R244:R252)</f>
        <v>528577</v>
      </c>
      <c r="S253" s="384">
        <f>SUM(S244:S252)</f>
        <v>1</v>
      </c>
      <c r="T253" s="311"/>
      <c r="U253" s="317"/>
      <c r="V253" s="5"/>
    </row>
    <row r="254" spans="1:23" ht="15.6" x14ac:dyDescent="0.3">
      <c r="A254" s="175"/>
      <c r="B254" s="334"/>
      <c r="C254" s="334"/>
      <c r="D254" s="334"/>
      <c r="E254" s="334"/>
      <c r="F254" s="334"/>
      <c r="G254" s="334"/>
      <c r="H254" s="379"/>
      <c r="I254" s="379"/>
      <c r="J254" s="379"/>
      <c r="K254" s="379"/>
      <c r="L254" s="379"/>
      <c r="M254" s="379"/>
      <c r="N254" s="379"/>
      <c r="O254" s="379"/>
      <c r="P254" s="335"/>
      <c r="Q254" s="380"/>
      <c r="R254" s="381"/>
      <c r="S254" s="380"/>
      <c r="T254" s="334"/>
      <c r="U254" s="334"/>
      <c r="V254" s="5"/>
    </row>
    <row r="255" spans="1:23" ht="15.6" x14ac:dyDescent="0.3">
      <c r="A255" s="268"/>
      <c r="B255" s="395" t="s">
        <v>267</v>
      </c>
      <c r="C255" s="396"/>
      <c r="D255" s="396"/>
      <c r="E255" s="396"/>
      <c r="F255" s="402"/>
      <c r="G255" s="396"/>
      <c r="H255" s="396"/>
      <c r="I255" s="396"/>
      <c r="J255" s="396"/>
      <c r="K255" s="396"/>
      <c r="L255" s="396"/>
      <c r="M255" s="396"/>
      <c r="N255" s="396"/>
      <c r="O255" s="396"/>
      <c r="P255" s="402" t="s">
        <v>105</v>
      </c>
      <c r="Q255" s="396" t="s">
        <v>106</v>
      </c>
      <c r="R255" s="402" t="s">
        <v>114</v>
      </c>
      <c r="S255" s="396" t="s">
        <v>106</v>
      </c>
      <c r="T255" s="269"/>
      <c r="U255" s="270"/>
      <c r="V255" s="5"/>
    </row>
    <row r="256" spans="1:23" ht="15.6" x14ac:dyDescent="0.3">
      <c r="A256" s="190"/>
      <c r="B256" s="243" t="s">
        <v>91</v>
      </c>
      <c r="C256" s="217"/>
      <c r="D256" s="217"/>
      <c r="E256" s="217"/>
      <c r="F256" s="191"/>
      <c r="G256" s="217"/>
      <c r="H256" s="217"/>
      <c r="I256" s="217"/>
      <c r="J256" s="217"/>
      <c r="K256" s="217"/>
      <c r="L256" s="217"/>
      <c r="M256" s="217"/>
      <c r="N256" s="217"/>
      <c r="O256" s="217"/>
      <c r="P256" s="243">
        <v>80</v>
      </c>
      <c r="Q256" s="274">
        <f t="shared" ref="Q256:Q263" si="7">P256/$P$265</f>
        <v>0.7407407407407407</v>
      </c>
      <c r="R256" s="251">
        <v>12196</v>
      </c>
      <c r="S256" s="274">
        <f t="shared" ref="S256:S263" si="8">R256/$R$265</f>
        <v>0.75808055693684739</v>
      </c>
      <c r="T256" s="191"/>
      <c r="U256" s="191"/>
      <c r="V256" s="5"/>
    </row>
    <row r="257" spans="1:22" ht="15.6" x14ac:dyDescent="0.3">
      <c r="A257" s="284"/>
      <c r="B257" s="338" t="s">
        <v>92</v>
      </c>
      <c r="C257" s="382"/>
      <c r="D257" s="382"/>
      <c r="E257" s="382"/>
      <c r="F257" s="311"/>
      <c r="G257" s="383"/>
      <c r="H257" s="382"/>
      <c r="I257" s="382"/>
      <c r="J257" s="382"/>
      <c r="K257" s="382"/>
      <c r="L257" s="382"/>
      <c r="M257" s="382"/>
      <c r="N257" s="382"/>
      <c r="O257" s="382"/>
      <c r="P257" s="338">
        <v>8</v>
      </c>
      <c r="Q257" s="384">
        <f t="shared" si="7"/>
        <v>7.407407407407407E-2</v>
      </c>
      <c r="R257" s="339">
        <v>1107</v>
      </c>
      <c r="S257" s="384">
        <f t="shared" si="8"/>
        <v>6.8809050223769264E-2</v>
      </c>
      <c r="T257" s="311"/>
      <c r="U257" s="317"/>
      <c r="V257" s="5"/>
    </row>
    <row r="258" spans="1:22" ht="15.6" x14ac:dyDescent="0.3">
      <c r="A258" s="284"/>
      <c r="B258" s="338" t="s">
        <v>93</v>
      </c>
      <c r="C258" s="382"/>
      <c r="D258" s="382"/>
      <c r="E258" s="382"/>
      <c r="F258" s="311"/>
      <c r="G258" s="383"/>
      <c r="H258" s="382"/>
      <c r="I258" s="382"/>
      <c r="J258" s="382"/>
      <c r="K258" s="382"/>
      <c r="L258" s="382"/>
      <c r="M258" s="382"/>
      <c r="N258" s="382"/>
      <c r="O258" s="382"/>
      <c r="P258" s="338">
        <v>5</v>
      </c>
      <c r="Q258" s="384">
        <f t="shared" si="7"/>
        <v>4.6296296296296294E-2</v>
      </c>
      <c r="R258" s="339">
        <v>534</v>
      </c>
      <c r="S258" s="384">
        <f t="shared" si="8"/>
        <v>3.3192441571357534E-2</v>
      </c>
      <c r="T258" s="311"/>
      <c r="U258" s="317"/>
      <c r="V258" s="5"/>
    </row>
    <row r="259" spans="1:22" ht="15.6" x14ac:dyDescent="0.3">
      <c r="A259" s="284"/>
      <c r="B259" s="338" t="s">
        <v>163</v>
      </c>
      <c r="C259" s="382"/>
      <c r="D259" s="382"/>
      <c r="E259" s="382"/>
      <c r="F259" s="311"/>
      <c r="G259" s="383"/>
      <c r="H259" s="382"/>
      <c r="I259" s="382"/>
      <c r="J259" s="382"/>
      <c r="K259" s="382"/>
      <c r="L259" s="382"/>
      <c r="M259" s="382"/>
      <c r="N259" s="382"/>
      <c r="O259" s="382"/>
      <c r="P259" s="338">
        <v>1</v>
      </c>
      <c r="Q259" s="384">
        <f t="shared" si="7"/>
        <v>9.2592592592592587E-3</v>
      </c>
      <c r="R259" s="339">
        <v>72</v>
      </c>
      <c r="S259" s="384">
        <f t="shared" si="8"/>
        <v>4.4753853804077575E-3</v>
      </c>
      <c r="T259" s="311"/>
      <c r="U259" s="317"/>
      <c r="V259" s="5"/>
    </row>
    <row r="260" spans="1:22" ht="15.6" x14ac:dyDescent="0.3">
      <c r="A260" s="284"/>
      <c r="B260" s="338" t="s">
        <v>164</v>
      </c>
      <c r="C260" s="382"/>
      <c r="D260" s="382"/>
      <c r="E260" s="382"/>
      <c r="F260" s="311"/>
      <c r="G260" s="383"/>
      <c r="H260" s="382"/>
      <c r="I260" s="382"/>
      <c r="J260" s="382"/>
      <c r="K260" s="382"/>
      <c r="L260" s="382"/>
      <c r="M260" s="382"/>
      <c r="N260" s="382"/>
      <c r="O260" s="382"/>
      <c r="P260" s="338">
        <v>0</v>
      </c>
      <c r="Q260" s="384">
        <f t="shared" si="7"/>
        <v>0</v>
      </c>
      <c r="R260" s="339">
        <v>0</v>
      </c>
      <c r="S260" s="384">
        <f t="shared" si="8"/>
        <v>0</v>
      </c>
      <c r="T260" s="311"/>
      <c r="U260" s="317"/>
      <c r="V260" s="5"/>
    </row>
    <row r="261" spans="1:22" ht="15.6" x14ac:dyDescent="0.3">
      <c r="A261" s="284"/>
      <c r="B261" s="338" t="s">
        <v>165</v>
      </c>
      <c r="C261" s="382"/>
      <c r="D261" s="382"/>
      <c r="E261" s="382"/>
      <c r="F261" s="311"/>
      <c r="G261" s="383"/>
      <c r="H261" s="382"/>
      <c r="I261" s="382"/>
      <c r="J261" s="382"/>
      <c r="K261" s="382"/>
      <c r="L261" s="382"/>
      <c r="M261" s="382"/>
      <c r="N261" s="382"/>
      <c r="O261" s="382"/>
      <c r="P261" s="338">
        <v>1</v>
      </c>
      <c r="Q261" s="384">
        <f t="shared" si="7"/>
        <v>9.2592592592592587E-3</v>
      </c>
      <c r="R261" s="339">
        <v>252</v>
      </c>
      <c r="S261" s="384">
        <f t="shared" si="8"/>
        <v>1.566384883142715E-2</v>
      </c>
      <c r="T261" s="311"/>
      <c r="U261" s="317"/>
      <c r="V261" s="5"/>
    </row>
    <row r="262" spans="1:22" ht="15.6" x14ac:dyDescent="0.3">
      <c r="A262" s="284"/>
      <c r="B262" s="338" t="s">
        <v>166</v>
      </c>
      <c r="C262" s="382"/>
      <c r="D262" s="382"/>
      <c r="E262" s="382"/>
      <c r="F262" s="311"/>
      <c r="G262" s="383"/>
      <c r="H262" s="382"/>
      <c r="I262" s="382"/>
      <c r="J262" s="382"/>
      <c r="K262" s="382"/>
      <c r="L262" s="382"/>
      <c r="M262" s="382"/>
      <c r="N262" s="382"/>
      <c r="O262" s="382"/>
      <c r="P262" s="338">
        <v>7</v>
      </c>
      <c r="Q262" s="384">
        <f t="shared" si="7"/>
        <v>6.4814814814814811E-2</v>
      </c>
      <c r="R262" s="339">
        <v>905</v>
      </c>
      <c r="S262" s="384">
        <f t="shared" si="8"/>
        <v>5.6253107906514173E-2</v>
      </c>
      <c r="T262" s="311"/>
      <c r="U262" s="317"/>
      <c r="V262" s="5"/>
    </row>
    <row r="263" spans="1:22" ht="15.6" x14ac:dyDescent="0.3">
      <c r="A263" s="284"/>
      <c r="B263" s="338" t="s">
        <v>167</v>
      </c>
      <c r="C263" s="382"/>
      <c r="D263" s="382"/>
      <c r="E263" s="382"/>
      <c r="F263" s="311"/>
      <c r="G263" s="383"/>
      <c r="H263" s="382"/>
      <c r="I263" s="382"/>
      <c r="J263" s="382"/>
      <c r="K263" s="382"/>
      <c r="L263" s="382"/>
      <c r="M263" s="382"/>
      <c r="N263" s="382"/>
      <c r="O263" s="382"/>
      <c r="P263" s="338">
        <v>6</v>
      </c>
      <c r="Q263" s="384">
        <f t="shared" si="7"/>
        <v>5.5555555555555552E-2</v>
      </c>
      <c r="R263" s="339">
        <v>1022</v>
      </c>
      <c r="S263" s="384">
        <f t="shared" si="8"/>
        <v>6.3525609149676782E-2</v>
      </c>
      <c r="T263" s="311"/>
      <c r="U263" s="317"/>
      <c r="V263" s="5"/>
    </row>
    <row r="264" spans="1:22" ht="15.6" x14ac:dyDescent="0.3">
      <c r="A264" s="284"/>
      <c r="B264" s="338"/>
      <c r="C264" s="382"/>
      <c r="D264" s="382"/>
      <c r="E264" s="382"/>
      <c r="F264" s="311"/>
      <c r="G264" s="383"/>
      <c r="H264" s="382"/>
      <c r="I264" s="382"/>
      <c r="J264" s="382"/>
      <c r="K264" s="382"/>
      <c r="L264" s="382"/>
      <c r="M264" s="382"/>
      <c r="N264" s="382"/>
      <c r="O264" s="382"/>
      <c r="P264" s="338"/>
      <c r="Q264" s="384"/>
      <c r="R264" s="339"/>
      <c r="S264" s="384"/>
      <c r="T264" s="311"/>
      <c r="U264" s="317"/>
      <c r="V264" s="5"/>
    </row>
    <row r="265" spans="1:22" ht="15.6" x14ac:dyDescent="0.3">
      <c r="A265" s="284"/>
      <c r="B265" s="285" t="s">
        <v>120</v>
      </c>
      <c r="C265" s="311"/>
      <c r="D265" s="311"/>
      <c r="E265" s="311"/>
      <c r="F265" s="311"/>
      <c r="G265" s="311"/>
      <c r="H265" s="385"/>
      <c r="I265" s="385"/>
      <c r="J265" s="385"/>
      <c r="K265" s="385"/>
      <c r="L265" s="385"/>
      <c r="M265" s="385"/>
      <c r="N265" s="385"/>
      <c r="O265" s="385"/>
      <c r="P265" s="338">
        <f>SUM(P256:P264)</f>
        <v>108</v>
      </c>
      <c r="Q265" s="384">
        <f>SUM(Q256:Q264)</f>
        <v>1</v>
      </c>
      <c r="R265" s="339">
        <f>SUM(R256:R264)</f>
        <v>16088</v>
      </c>
      <c r="S265" s="384">
        <f>SUM(S256:S264)</f>
        <v>1</v>
      </c>
      <c r="T265" s="311"/>
      <c r="U265" s="317"/>
      <c r="V265" s="5"/>
    </row>
    <row r="266" spans="1:22" ht="15.6" x14ac:dyDescent="0.3">
      <c r="A266" s="175"/>
      <c r="B266" s="334"/>
      <c r="C266" s="334"/>
      <c r="D266" s="334"/>
      <c r="E266" s="334"/>
      <c r="F266" s="334"/>
      <c r="G266" s="334"/>
      <c r="H266" s="379"/>
      <c r="I266" s="379"/>
      <c r="J266" s="379"/>
      <c r="K266" s="379"/>
      <c r="L266" s="379"/>
      <c r="M266" s="379"/>
      <c r="N266" s="379"/>
      <c r="O266" s="379"/>
      <c r="P266" s="335"/>
      <c r="Q266" s="380"/>
      <c r="R266" s="381"/>
      <c r="S266" s="380"/>
      <c r="T266" s="334"/>
      <c r="U266" s="334"/>
      <c r="V266" s="5"/>
    </row>
    <row r="267" spans="1:22" ht="15.6" x14ac:dyDescent="0.3">
      <c r="A267" s="268"/>
      <c r="B267" s="395" t="s">
        <v>170</v>
      </c>
      <c r="C267" s="269"/>
      <c r="D267" s="269"/>
      <c r="E267" s="269"/>
      <c r="F267" s="269"/>
      <c r="G267" s="269"/>
      <c r="H267" s="271"/>
      <c r="I267" s="271"/>
      <c r="J267" s="271"/>
      <c r="K267" s="271"/>
      <c r="L267" s="271"/>
      <c r="M267" s="271"/>
      <c r="N267" s="271"/>
      <c r="O267" s="271"/>
      <c r="P267" s="402" t="s">
        <v>105</v>
      </c>
      <c r="Q267" s="396" t="s">
        <v>106</v>
      </c>
      <c r="R267" s="402" t="s">
        <v>114</v>
      </c>
      <c r="S267" s="396" t="s">
        <v>106</v>
      </c>
      <c r="T267" s="269"/>
      <c r="U267" s="270"/>
      <c r="V267" s="5"/>
    </row>
    <row r="268" spans="1:22" ht="15.6" x14ac:dyDescent="0.3">
      <c r="A268" s="190"/>
      <c r="B268" s="243" t="s">
        <v>91</v>
      </c>
      <c r="C268" s="239"/>
      <c r="D268" s="239"/>
      <c r="E268" s="239"/>
      <c r="F268" s="239"/>
      <c r="G268" s="239"/>
      <c r="H268" s="275"/>
      <c r="I268" s="275"/>
      <c r="J268" s="275"/>
      <c r="K268" s="275"/>
      <c r="L268" s="218"/>
      <c r="M268" s="218"/>
      <c r="N268" s="218"/>
      <c r="O268" s="218"/>
      <c r="P268" s="243">
        <v>0</v>
      </c>
      <c r="Q268" s="274">
        <v>0</v>
      </c>
      <c r="R268" s="251">
        <v>0</v>
      </c>
      <c r="S268" s="274">
        <v>0</v>
      </c>
      <c r="T268" s="239"/>
      <c r="U268" s="191"/>
      <c r="V268" s="5"/>
    </row>
    <row r="269" spans="1:22" ht="15.6" x14ac:dyDescent="0.3">
      <c r="A269" s="284"/>
      <c r="B269" s="338" t="s">
        <v>92</v>
      </c>
      <c r="C269" s="285"/>
      <c r="D269" s="285"/>
      <c r="E269" s="285"/>
      <c r="F269" s="285"/>
      <c r="G269" s="285"/>
      <c r="H269" s="387"/>
      <c r="I269" s="387"/>
      <c r="J269" s="387"/>
      <c r="K269" s="387"/>
      <c r="L269" s="385"/>
      <c r="M269" s="385"/>
      <c r="N269" s="385"/>
      <c r="O269" s="385"/>
      <c r="P269" s="338">
        <v>0</v>
      </c>
      <c r="Q269" s="384">
        <v>0</v>
      </c>
      <c r="R269" s="339">
        <v>0</v>
      </c>
      <c r="S269" s="384">
        <v>0</v>
      </c>
      <c r="T269" s="285"/>
      <c r="U269" s="317"/>
      <c r="V269" s="5"/>
    </row>
    <row r="270" spans="1:22" ht="15.6" x14ac:dyDescent="0.3">
      <c r="A270" s="284"/>
      <c r="B270" s="338" t="s">
        <v>93</v>
      </c>
      <c r="C270" s="285"/>
      <c r="D270" s="285"/>
      <c r="E270" s="285"/>
      <c r="F270" s="285"/>
      <c r="G270" s="285"/>
      <c r="H270" s="387"/>
      <c r="I270" s="387"/>
      <c r="J270" s="387"/>
      <c r="K270" s="387"/>
      <c r="L270" s="385"/>
      <c r="M270" s="385"/>
      <c r="N270" s="385"/>
      <c r="O270" s="385"/>
      <c r="P270" s="338">
        <v>0</v>
      </c>
      <c r="Q270" s="384">
        <v>0</v>
      </c>
      <c r="R270" s="339">
        <v>0</v>
      </c>
      <c r="S270" s="384">
        <v>0</v>
      </c>
      <c r="T270" s="285"/>
      <c r="U270" s="317"/>
      <c r="V270" s="5"/>
    </row>
    <row r="271" spans="1:22" ht="15.6" x14ac:dyDescent="0.3">
      <c r="A271" s="284"/>
      <c r="B271" s="338" t="s">
        <v>163</v>
      </c>
      <c r="C271" s="285"/>
      <c r="D271" s="285"/>
      <c r="E271" s="285"/>
      <c r="F271" s="285"/>
      <c r="G271" s="285"/>
      <c r="H271" s="387"/>
      <c r="I271" s="387"/>
      <c r="J271" s="387"/>
      <c r="K271" s="387"/>
      <c r="L271" s="385"/>
      <c r="M271" s="385"/>
      <c r="N271" s="385"/>
      <c r="O271" s="385"/>
      <c r="P271" s="338">
        <v>0</v>
      </c>
      <c r="Q271" s="384">
        <v>0</v>
      </c>
      <c r="R271" s="339">
        <v>0</v>
      </c>
      <c r="S271" s="384">
        <v>0</v>
      </c>
      <c r="T271" s="285"/>
      <c r="U271" s="317"/>
      <c r="V271" s="5"/>
    </row>
    <row r="272" spans="1:22" ht="15.6" x14ac:dyDescent="0.3">
      <c r="A272" s="284"/>
      <c r="B272" s="338" t="s">
        <v>164</v>
      </c>
      <c r="C272" s="285"/>
      <c r="D272" s="285"/>
      <c r="E272" s="285"/>
      <c r="F272" s="285"/>
      <c r="G272" s="285"/>
      <c r="H272" s="387"/>
      <c r="I272" s="387"/>
      <c r="J272" s="387"/>
      <c r="K272" s="387"/>
      <c r="L272" s="385"/>
      <c r="M272" s="385"/>
      <c r="N272" s="385"/>
      <c r="O272" s="385"/>
      <c r="P272" s="338">
        <v>0</v>
      </c>
      <c r="Q272" s="384">
        <v>0</v>
      </c>
      <c r="R272" s="339">
        <v>0</v>
      </c>
      <c r="S272" s="384">
        <v>0</v>
      </c>
      <c r="T272" s="285"/>
      <c r="U272" s="317"/>
      <c r="V272" s="5"/>
    </row>
    <row r="273" spans="1:22" ht="15.6" x14ac:dyDescent="0.3">
      <c r="A273" s="284"/>
      <c r="B273" s="338" t="s">
        <v>165</v>
      </c>
      <c r="C273" s="285"/>
      <c r="D273" s="285"/>
      <c r="E273" s="285"/>
      <c r="F273" s="285"/>
      <c r="G273" s="285"/>
      <c r="H273" s="387"/>
      <c r="I273" s="387"/>
      <c r="J273" s="387"/>
      <c r="K273" s="387"/>
      <c r="L273" s="385"/>
      <c r="M273" s="385"/>
      <c r="N273" s="385"/>
      <c r="O273" s="385"/>
      <c r="P273" s="338">
        <v>0</v>
      </c>
      <c r="Q273" s="384">
        <v>0</v>
      </c>
      <c r="R273" s="339">
        <v>0</v>
      </c>
      <c r="S273" s="384">
        <v>0</v>
      </c>
      <c r="T273" s="285"/>
      <c r="U273" s="317"/>
      <c r="V273" s="5"/>
    </row>
    <row r="274" spans="1:22" ht="15.6" x14ac:dyDescent="0.3">
      <c r="A274" s="284"/>
      <c r="B274" s="338" t="s">
        <v>166</v>
      </c>
      <c r="C274" s="285"/>
      <c r="D274" s="285"/>
      <c r="E274" s="285"/>
      <c r="F274" s="285"/>
      <c r="G274" s="285"/>
      <c r="H274" s="387"/>
      <c r="I274" s="387"/>
      <c r="J274" s="387"/>
      <c r="K274" s="387"/>
      <c r="L274" s="385"/>
      <c r="M274" s="385"/>
      <c r="N274" s="385"/>
      <c r="O274" s="385"/>
      <c r="P274" s="338">
        <v>0</v>
      </c>
      <c r="Q274" s="384">
        <f>+P274/P277</f>
        <v>0</v>
      </c>
      <c r="R274" s="339">
        <v>0</v>
      </c>
      <c r="S274" s="384">
        <f>+R274/R277</f>
        <v>0</v>
      </c>
      <c r="T274" s="285"/>
      <c r="U274" s="317"/>
      <c r="V274" s="5"/>
    </row>
    <row r="275" spans="1:22" ht="15.6" x14ac:dyDescent="0.3">
      <c r="A275" s="284"/>
      <c r="B275" s="338" t="s">
        <v>167</v>
      </c>
      <c r="C275" s="285"/>
      <c r="D275" s="285"/>
      <c r="E275" s="285"/>
      <c r="F275" s="285"/>
      <c r="G275" s="285"/>
      <c r="H275" s="387"/>
      <c r="I275" s="387"/>
      <c r="J275" s="387"/>
      <c r="K275" s="387"/>
      <c r="L275" s="385"/>
      <c r="M275" s="385"/>
      <c r="N275" s="385"/>
      <c r="O275" s="385"/>
      <c r="P275" s="338">
        <v>1</v>
      </c>
      <c r="Q275" s="384">
        <v>1</v>
      </c>
      <c r="R275" s="339">
        <v>125</v>
      </c>
      <c r="S275" s="384">
        <v>1</v>
      </c>
      <c r="T275" s="285"/>
      <c r="U275" s="317"/>
      <c r="V275" s="5"/>
    </row>
    <row r="276" spans="1:22" ht="15.6" x14ac:dyDescent="0.3">
      <c r="A276" s="284"/>
      <c r="B276" s="338"/>
      <c r="C276" s="285"/>
      <c r="D276" s="285"/>
      <c r="E276" s="285"/>
      <c r="F276" s="285"/>
      <c r="G276" s="285"/>
      <c r="H276" s="387"/>
      <c r="I276" s="387"/>
      <c r="J276" s="387"/>
      <c r="K276" s="387"/>
      <c r="L276" s="385"/>
      <c r="M276" s="385"/>
      <c r="N276" s="385"/>
      <c r="O276" s="385"/>
      <c r="P276" s="338"/>
      <c r="Q276" s="384"/>
      <c r="R276" s="339"/>
      <c r="S276" s="384"/>
      <c r="T276" s="285"/>
      <c r="U276" s="317"/>
      <c r="V276" s="5"/>
    </row>
    <row r="277" spans="1:22" ht="15.6" x14ac:dyDescent="0.3">
      <c r="A277" s="284"/>
      <c r="B277" s="285" t="s">
        <v>120</v>
      </c>
      <c r="C277" s="285"/>
      <c r="D277" s="285"/>
      <c r="E277" s="285"/>
      <c r="F277" s="285"/>
      <c r="G277" s="285"/>
      <c r="H277" s="387"/>
      <c r="I277" s="387"/>
      <c r="J277" s="387"/>
      <c r="K277" s="387"/>
      <c r="L277" s="385"/>
      <c r="M277" s="385"/>
      <c r="N277" s="385"/>
      <c r="O277" s="385"/>
      <c r="P277" s="338">
        <f>SUM(P268:P275)</f>
        <v>1</v>
      </c>
      <c r="Q277" s="384">
        <f>SUM(Q268:Q276)</f>
        <v>1</v>
      </c>
      <c r="R277" s="339">
        <f>SUM(R268:R275)</f>
        <v>125</v>
      </c>
      <c r="S277" s="384">
        <f>SUM(S268:S276)</f>
        <v>1</v>
      </c>
      <c r="T277" s="285"/>
      <c r="U277" s="317"/>
      <c r="V277" s="5"/>
    </row>
    <row r="278" spans="1:22" ht="15.6" x14ac:dyDescent="0.3">
      <c r="A278" s="284"/>
      <c r="B278" s="285"/>
      <c r="C278" s="285"/>
      <c r="D278" s="285"/>
      <c r="E278" s="285"/>
      <c r="F278" s="285"/>
      <c r="G278" s="285"/>
      <c r="H278" s="387"/>
      <c r="I278" s="387"/>
      <c r="J278" s="387"/>
      <c r="K278" s="387"/>
      <c r="L278" s="385"/>
      <c r="M278" s="385"/>
      <c r="N278" s="385"/>
      <c r="O278" s="385"/>
      <c r="P278" s="344"/>
      <c r="Q278" s="388"/>
      <c r="R278" s="345"/>
      <c r="S278" s="388"/>
      <c r="T278" s="311"/>
      <c r="U278" s="317"/>
      <c r="V278" s="5"/>
    </row>
    <row r="279" spans="1:22" ht="15.6" x14ac:dyDescent="0.3">
      <c r="A279" s="284"/>
      <c r="B279" s="292" t="s">
        <v>171</v>
      </c>
      <c r="C279" s="285"/>
      <c r="D279" s="285"/>
      <c r="E279" s="285"/>
      <c r="F279" s="285"/>
      <c r="G279" s="285"/>
      <c r="H279" s="387"/>
      <c r="I279" s="387"/>
      <c r="J279" s="387"/>
      <c r="K279" s="387"/>
      <c r="L279" s="385"/>
      <c r="M279" s="385"/>
      <c r="N279" s="385"/>
      <c r="O279" s="385"/>
      <c r="P279" s="403">
        <f>P277+P265+P253</f>
        <v>4159</v>
      </c>
      <c r="Q279" s="384"/>
      <c r="R279" s="404">
        <f>+R277+R265+R253</f>
        <v>544790</v>
      </c>
      <c r="S279" s="384"/>
      <c r="T279" s="311"/>
      <c r="U279" s="317"/>
      <c r="V279" s="5"/>
    </row>
    <row r="280" spans="1:22" ht="15.6" x14ac:dyDescent="0.3">
      <c r="A280" s="175"/>
      <c r="B280" s="281"/>
      <c r="C280" s="281"/>
      <c r="D280" s="281"/>
      <c r="E280" s="281"/>
      <c r="F280" s="281"/>
      <c r="G280" s="281"/>
      <c r="H280" s="386"/>
      <c r="I280" s="386"/>
      <c r="J280" s="386"/>
      <c r="K280" s="386"/>
      <c r="L280" s="379"/>
      <c r="M280" s="379"/>
      <c r="N280" s="379"/>
      <c r="O280" s="379"/>
      <c r="P280" s="379"/>
      <c r="Q280" s="379"/>
      <c r="R280" s="381"/>
      <c r="S280" s="379"/>
      <c r="T280" s="334"/>
      <c r="U280" s="334"/>
      <c r="V280" s="5"/>
    </row>
    <row r="281" spans="1:22" ht="15.6" x14ac:dyDescent="0.3">
      <c r="A281" s="175"/>
      <c r="B281" s="231"/>
      <c r="C281" s="231"/>
      <c r="D281" s="231"/>
      <c r="E281" s="231"/>
      <c r="F281" s="231"/>
      <c r="G281" s="231"/>
      <c r="H281" s="276"/>
      <c r="I281" s="276"/>
      <c r="J281" s="276"/>
      <c r="K281" s="276"/>
      <c r="L281" s="219"/>
      <c r="M281" s="219"/>
      <c r="N281" s="219"/>
      <c r="O281" s="219"/>
      <c r="P281" s="219"/>
      <c r="Q281" s="219"/>
      <c r="R281" s="220"/>
      <c r="S281" s="219"/>
      <c r="T281" s="177"/>
      <c r="U281" s="177"/>
      <c r="V281" s="5"/>
    </row>
    <row r="282" spans="1:22" ht="15.6" x14ac:dyDescent="0.3">
      <c r="A282" s="221"/>
      <c r="B282" s="230" t="s">
        <v>94</v>
      </c>
      <c r="C282" s="231"/>
      <c r="D282" s="231"/>
      <c r="E282" s="231"/>
      <c r="F282" s="236" t="s">
        <v>100</v>
      </c>
      <c r="G282" s="231"/>
      <c r="H282" s="230" t="s">
        <v>102</v>
      </c>
      <c r="I282" s="277"/>
      <c r="J282" s="277"/>
      <c r="K282" s="277"/>
      <c r="L282" s="188"/>
      <c r="M282" s="188"/>
      <c r="N282" s="188"/>
      <c r="O282" s="188"/>
      <c r="P282" s="188"/>
      <c r="Q282" s="188"/>
      <c r="R282" s="188"/>
      <c r="S282" s="188"/>
      <c r="T282" s="188"/>
      <c r="U282" s="188"/>
      <c r="V282" s="5"/>
    </row>
    <row r="283" spans="1:22" ht="15.6" x14ac:dyDescent="0.3">
      <c r="A283" s="221"/>
      <c r="B283" s="230" t="s">
        <v>316</v>
      </c>
      <c r="C283" s="230"/>
      <c r="D283" s="230"/>
      <c r="E283" s="230"/>
      <c r="F283" s="278" t="s">
        <v>154</v>
      </c>
      <c r="G283" s="230"/>
      <c r="H283" s="230" t="s">
        <v>158</v>
      </c>
      <c r="I283" s="277"/>
      <c r="J283" s="277"/>
      <c r="K283" s="277"/>
      <c r="L283" s="188"/>
      <c r="M283" s="188"/>
      <c r="N283" s="188"/>
      <c r="O283" s="188"/>
      <c r="P283" s="188"/>
      <c r="Q283" s="188"/>
      <c r="R283" s="188"/>
      <c r="S283" s="188"/>
      <c r="T283" s="188"/>
      <c r="U283" s="188"/>
      <c r="V283" s="5"/>
    </row>
    <row r="284" spans="1:22" ht="15.6" x14ac:dyDescent="0.3">
      <c r="A284" s="221"/>
      <c r="B284" s="230" t="s">
        <v>317</v>
      </c>
      <c r="C284" s="230"/>
      <c r="D284" s="230"/>
      <c r="E284" s="230"/>
      <c r="F284" s="278" t="s">
        <v>269</v>
      </c>
      <c r="G284" s="230"/>
      <c r="H284" s="230" t="s">
        <v>270</v>
      </c>
      <c r="I284" s="277"/>
      <c r="J284" s="277"/>
      <c r="K284" s="277"/>
      <c r="L284" s="188"/>
      <c r="M284" s="188"/>
      <c r="N284" s="188"/>
      <c r="O284" s="188"/>
      <c r="P284" s="188"/>
      <c r="Q284" s="188"/>
      <c r="R284" s="188"/>
      <c r="S284" s="188"/>
      <c r="T284" s="188"/>
      <c r="U284" s="188"/>
      <c r="V284" s="5"/>
    </row>
    <row r="285" spans="1:22" ht="15.6" x14ac:dyDescent="0.3">
      <c r="A285" s="221"/>
      <c r="B285" s="230" t="s">
        <v>318</v>
      </c>
      <c r="C285" s="230"/>
      <c r="D285" s="230"/>
      <c r="E285" s="230"/>
      <c r="F285" s="278" t="s">
        <v>153</v>
      </c>
      <c r="G285" s="230"/>
      <c r="H285" s="230" t="s">
        <v>159</v>
      </c>
      <c r="I285" s="277"/>
      <c r="J285" s="277"/>
      <c r="K285" s="277"/>
      <c r="L285" s="188"/>
      <c r="M285" s="188"/>
      <c r="N285" s="188"/>
      <c r="O285" s="188"/>
      <c r="P285" s="188"/>
      <c r="Q285" s="188"/>
      <c r="R285" s="188"/>
      <c r="S285" s="188"/>
      <c r="T285" s="188"/>
      <c r="U285" s="188"/>
      <c r="V285" s="5"/>
    </row>
    <row r="286" spans="1:22" ht="15.6" x14ac:dyDescent="0.3">
      <c r="A286" s="221"/>
      <c r="B286" s="230"/>
      <c r="C286" s="230"/>
      <c r="D286" s="230"/>
      <c r="E286" s="230"/>
      <c r="F286" s="230"/>
      <c r="G286" s="279"/>
      <c r="H286" s="277"/>
      <c r="I286" s="277"/>
      <c r="J286" s="277"/>
      <c r="K286" s="277"/>
      <c r="L286" s="188"/>
      <c r="M286" s="188"/>
      <c r="N286" s="188"/>
      <c r="O286" s="188"/>
      <c r="P286" s="188"/>
      <c r="Q286" s="188"/>
      <c r="R286" s="188"/>
      <c r="S286" s="188"/>
      <c r="T286" s="188"/>
      <c r="U286" s="188"/>
      <c r="V286" s="5"/>
    </row>
    <row r="287" spans="1:22" ht="15.6" x14ac:dyDescent="0.3">
      <c r="A287" s="221"/>
      <c r="B287" s="230"/>
      <c r="C287" s="230"/>
      <c r="D287" s="230"/>
      <c r="E287" s="230"/>
      <c r="F287" s="230"/>
      <c r="G287" s="279"/>
      <c r="H287" s="277"/>
      <c r="I287" s="277"/>
      <c r="J287" s="277"/>
      <c r="K287" s="277"/>
      <c r="L287" s="188"/>
      <c r="M287" s="188"/>
      <c r="N287" s="188"/>
      <c r="O287" s="188"/>
      <c r="P287" s="188"/>
      <c r="Q287" s="188"/>
      <c r="R287" s="188"/>
      <c r="S287" s="188"/>
      <c r="T287" s="188"/>
      <c r="U287" s="188"/>
      <c r="V287" s="5"/>
    </row>
    <row r="288" spans="1:22" ht="18" thickBot="1" x14ac:dyDescent="0.35">
      <c r="A288" s="221"/>
      <c r="B288" s="280" t="str">
        <f>B193</f>
        <v>PM11 INVESTOR REPORT QUARTER ENDING JUNE 2013</v>
      </c>
      <c r="C288" s="230"/>
      <c r="D288" s="230"/>
      <c r="E288" s="230"/>
      <c r="F288" s="230"/>
      <c r="G288" s="279"/>
      <c r="H288" s="277"/>
      <c r="I288" s="277"/>
      <c r="J288" s="277"/>
      <c r="K288" s="277"/>
      <c r="L288" s="188"/>
      <c r="M288" s="188"/>
      <c r="N288" s="188"/>
      <c r="O288" s="188"/>
      <c r="P288" s="188"/>
      <c r="Q288" s="188"/>
      <c r="R288" s="188"/>
      <c r="S288" s="188"/>
      <c r="T288" s="188"/>
      <c r="U288" s="188"/>
      <c r="V288" s="5"/>
    </row>
    <row r="289" spans="1:21" x14ac:dyDescent="0.25">
      <c r="A289" s="100"/>
      <c r="B289" s="100"/>
      <c r="C289" s="100"/>
      <c r="D289" s="100"/>
      <c r="E289" s="100"/>
      <c r="F289" s="100"/>
      <c r="G289" s="100"/>
      <c r="H289" s="100"/>
      <c r="I289" s="100"/>
      <c r="J289" s="100"/>
      <c r="K289" s="100"/>
      <c r="L289" s="100"/>
      <c r="M289" s="100"/>
      <c r="N289" s="100"/>
      <c r="O289" s="100"/>
      <c r="P289" s="100"/>
      <c r="Q289" s="100"/>
      <c r="R289" s="100"/>
      <c r="S289" s="100"/>
      <c r="T289" s="100"/>
      <c r="U289" s="100"/>
    </row>
  </sheetData>
  <hyperlinks>
    <hyperlink ref="N229" r:id="rId1" xr:uid="{00000000-0004-0000-1C00-000000000000}"/>
    <hyperlink ref="J9" r:id="rId2" xr:uid="{00000000-0004-0000-1C00-000001000000}"/>
  </hyperlinks>
  <printOptions horizontalCentered="1" verticalCentered="1"/>
  <pageMargins left="0.19685039370078741" right="0.19685039370078741" top="0.27559055118110237" bottom="0.27559055118110237" header="0" footer="0"/>
  <pageSetup scale="41" orientation="landscape" r:id="rId3"/>
  <headerFooter alignWithMargins="0"/>
  <rowBreaks count="3" manualBreakCount="3">
    <brk id="64" max="20" man="1"/>
    <brk id="133" max="20" man="1"/>
    <brk id="193" max="20" man="1"/>
  </row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9CB31"/>
  </sheetPr>
  <dimension ref="A1:X276"/>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08984375" style="1" customWidth="1"/>
    <col min="10" max="10" width="17.81640625" style="1" customWidth="1"/>
    <col min="11" max="11" width="2.1796875" style="1" customWidth="1"/>
    <col min="12" max="12" width="14.81640625" style="1" customWidth="1"/>
    <col min="13" max="13" width="2.1796875" style="1" customWidth="1"/>
    <col min="14" max="14" width="15.54296875" style="1" customWidth="1"/>
    <col min="15" max="15" width="2.08984375" style="1" customWidth="1"/>
    <col min="16" max="16" width="15.54296875" style="1" customWidth="1"/>
    <col min="17" max="18" width="12.81640625" style="1" customWidth="1"/>
    <col min="19" max="19" width="7.81640625" style="1" customWidth="1"/>
    <col min="20" max="20" width="14.81640625" style="1" customWidth="1"/>
    <col min="21" max="21" width="11.81640625" style="1" customWidth="1"/>
    <col min="22" max="16384" width="9.81640625" style="1"/>
  </cols>
  <sheetData>
    <row r="1" spans="1:22" ht="20.399999999999999" x14ac:dyDescent="0.35">
      <c r="A1" s="2"/>
      <c r="B1" s="3" t="s">
        <v>228</v>
      </c>
      <c r="C1" s="4"/>
      <c r="D1" s="4"/>
      <c r="E1" s="4"/>
      <c r="F1" s="4"/>
      <c r="G1" s="4"/>
      <c r="H1" s="4"/>
      <c r="I1" s="4"/>
      <c r="J1" s="4"/>
      <c r="K1" s="4"/>
      <c r="L1" s="4"/>
      <c r="M1" s="4"/>
      <c r="N1" s="4"/>
      <c r="O1" s="4"/>
      <c r="P1" s="4"/>
      <c r="Q1" s="4"/>
      <c r="R1" s="4"/>
      <c r="S1" s="4"/>
      <c r="T1" s="4"/>
      <c r="U1" s="4"/>
      <c r="V1" s="5"/>
    </row>
    <row r="2" spans="1:22" ht="15.6" x14ac:dyDescent="0.3">
      <c r="A2" s="6"/>
      <c r="B2" s="7"/>
      <c r="C2" s="8"/>
      <c r="D2" s="8"/>
      <c r="E2" s="8"/>
      <c r="F2" s="8"/>
      <c r="G2" s="8"/>
      <c r="H2" s="8"/>
      <c r="I2" s="8"/>
      <c r="J2" s="8"/>
      <c r="K2" s="8"/>
      <c r="L2" s="8"/>
      <c r="M2" s="8"/>
      <c r="N2" s="8"/>
      <c r="O2" s="8"/>
      <c r="P2" s="8"/>
      <c r="Q2" s="8"/>
      <c r="R2" s="8"/>
      <c r="S2" s="8"/>
      <c r="T2" s="8"/>
      <c r="U2" s="8"/>
      <c r="V2" s="5"/>
    </row>
    <row r="3" spans="1:22" ht="15.6" x14ac:dyDescent="0.3">
      <c r="A3" s="9"/>
      <c r="B3" s="111" t="s">
        <v>229</v>
      </c>
      <c r="C3" s="8"/>
      <c r="D3" s="8"/>
      <c r="E3" s="8"/>
      <c r="F3" s="8"/>
      <c r="G3" s="8"/>
      <c r="H3" s="8"/>
      <c r="I3" s="8"/>
      <c r="J3" s="8"/>
      <c r="K3" s="8"/>
      <c r="L3" s="8"/>
      <c r="M3" s="8"/>
      <c r="N3" s="8"/>
      <c r="O3" s="8"/>
      <c r="P3" s="8"/>
      <c r="Q3" s="8"/>
      <c r="R3" s="8"/>
      <c r="S3" s="8"/>
      <c r="T3" s="8"/>
      <c r="U3" s="8"/>
      <c r="V3" s="5"/>
    </row>
    <row r="4" spans="1:22" ht="15.6" x14ac:dyDescent="0.3">
      <c r="A4" s="6"/>
      <c r="B4" s="7"/>
      <c r="C4" s="8"/>
      <c r="D4" s="8"/>
      <c r="E4" s="8"/>
      <c r="F4" s="8"/>
      <c r="G4" s="8"/>
      <c r="H4" s="8"/>
      <c r="I4" s="8"/>
      <c r="J4" s="8"/>
      <c r="K4" s="8"/>
      <c r="L4" s="8"/>
      <c r="M4" s="8"/>
      <c r="N4" s="8"/>
      <c r="O4" s="8"/>
      <c r="P4" s="8"/>
      <c r="Q4" s="8"/>
      <c r="R4" s="8"/>
      <c r="S4" s="8"/>
      <c r="T4" s="8"/>
      <c r="U4" s="8"/>
      <c r="V4" s="5"/>
    </row>
    <row r="5" spans="1:22" ht="15.6" x14ac:dyDescent="0.3">
      <c r="A5" s="6"/>
      <c r="B5" s="11" t="s">
        <v>143</v>
      </c>
      <c r="C5" s="8"/>
      <c r="D5" s="8"/>
      <c r="E5" s="8"/>
      <c r="F5" s="8"/>
      <c r="G5" s="8"/>
      <c r="H5" s="8"/>
      <c r="I5" s="8"/>
      <c r="J5" s="8"/>
      <c r="K5" s="8"/>
      <c r="L5" s="8"/>
      <c r="M5" s="8"/>
      <c r="N5" s="8"/>
      <c r="O5" s="8"/>
      <c r="P5" s="8"/>
      <c r="Q5" s="8"/>
      <c r="R5" s="8"/>
      <c r="S5" s="8"/>
      <c r="T5" s="8"/>
      <c r="U5" s="8"/>
      <c r="V5" s="5"/>
    </row>
    <row r="6" spans="1:22" ht="15.6" x14ac:dyDescent="0.3">
      <c r="A6" s="6"/>
      <c r="B6" s="11" t="s">
        <v>145</v>
      </c>
      <c r="C6" s="8"/>
      <c r="D6" s="8"/>
      <c r="E6" s="8"/>
      <c r="F6" s="8"/>
      <c r="G6" s="8"/>
      <c r="H6" s="8"/>
      <c r="I6" s="8"/>
      <c r="J6" s="8"/>
      <c r="K6" s="8"/>
      <c r="L6" s="8"/>
      <c r="M6" s="8"/>
      <c r="N6" s="8"/>
      <c r="O6" s="8"/>
      <c r="P6" s="8"/>
      <c r="Q6" s="8"/>
      <c r="R6" s="8"/>
      <c r="S6" s="8"/>
      <c r="T6" s="8"/>
      <c r="U6" s="8"/>
      <c r="V6" s="5"/>
    </row>
    <row r="7" spans="1:22" ht="15.6" x14ac:dyDescent="0.3">
      <c r="A7" s="6"/>
      <c r="B7" s="11" t="s">
        <v>144</v>
      </c>
      <c r="C7" s="8"/>
      <c r="D7" s="8"/>
      <c r="E7" s="8"/>
      <c r="F7" s="8"/>
      <c r="G7" s="8"/>
      <c r="H7" s="8"/>
      <c r="I7" s="8"/>
      <c r="J7" s="8"/>
      <c r="K7" s="8"/>
      <c r="L7" s="8"/>
      <c r="M7" s="8"/>
      <c r="N7" s="8"/>
      <c r="O7" s="8"/>
      <c r="P7" s="8"/>
      <c r="Q7" s="8"/>
      <c r="R7" s="8"/>
      <c r="S7" s="8"/>
      <c r="T7" s="8"/>
      <c r="U7" s="8"/>
      <c r="V7" s="5"/>
    </row>
    <row r="8" spans="1:22" ht="15.6" x14ac:dyDescent="0.3">
      <c r="A8" s="6"/>
      <c r="B8" s="11"/>
      <c r="C8" s="8"/>
      <c r="D8" s="8"/>
      <c r="E8" s="8"/>
      <c r="F8" s="8"/>
      <c r="G8" s="8"/>
      <c r="H8" s="8"/>
      <c r="I8" s="8"/>
      <c r="J8" s="8"/>
      <c r="K8" s="8"/>
      <c r="L8" s="8"/>
      <c r="M8" s="8"/>
      <c r="N8" s="8"/>
      <c r="O8" s="8"/>
      <c r="P8" s="8"/>
      <c r="Q8" s="8"/>
      <c r="R8" s="8"/>
      <c r="S8" s="8"/>
      <c r="T8" s="8"/>
      <c r="U8" s="8"/>
      <c r="V8" s="5"/>
    </row>
    <row r="9" spans="1:22" ht="17.399999999999999" x14ac:dyDescent="0.3">
      <c r="A9" s="6"/>
      <c r="B9" s="147" t="s">
        <v>173</v>
      </c>
      <c r="C9" s="8"/>
      <c r="D9" s="8"/>
      <c r="E9" s="8"/>
      <c r="F9" s="8"/>
      <c r="G9" s="8"/>
      <c r="H9" s="8"/>
      <c r="I9" s="8"/>
      <c r="J9" s="148" t="s">
        <v>174</v>
      </c>
      <c r="K9" s="8"/>
      <c r="L9" s="148"/>
      <c r="M9" s="8"/>
      <c r="N9" s="8"/>
      <c r="O9" s="8"/>
      <c r="P9" s="8"/>
      <c r="Q9" s="8"/>
      <c r="R9" s="8"/>
      <c r="S9" s="8"/>
      <c r="T9" s="8"/>
      <c r="U9" s="8"/>
      <c r="V9" s="5"/>
    </row>
    <row r="10" spans="1:22" ht="15.6" x14ac:dyDescent="0.3">
      <c r="A10" s="6"/>
      <c r="B10" s="11"/>
      <c r="C10" s="13"/>
      <c r="D10" s="13"/>
      <c r="E10" s="13"/>
      <c r="F10" s="8"/>
      <c r="G10" s="8"/>
      <c r="H10" s="8"/>
      <c r="I10" s="8"/>
      <c r="J10" s="8"/>
      <c r="K10" s="8"/>
      <c r="L10" s="8"/>
      <c r="M10" s="8"/>
      <c r="N10" s="8"/>
      <c r="O10" s="8"/>
      <c r="P10" s="8"/>
      <c r="Q10" s="8"/>
      <c r="R10" s="8"/>
      <c r="S10" s="8"/>
      <c r="T10" s="8"/>
      <c r="U10" s="8"/>
      <c r="V10" s="5"/>
    </row>
    <row r="11" spans="1:22" ht="15.6" x14ac:dyDescent="0.3">
      <c r="A11" s="6"/>
      <c r="B11" s="14" t="s">
        <v>0</v>
      </c>
      <c r="C11" s="8"/>
      <c r="D11" s="8"/>
      <c r="E11" s="8"/>
      <c r="F11" s="8"/>
      <c r="G11" s="8"/>
      <c r="H11" s="8"/>
      <c r="I11" s="8"/>
      <c r="J11" s="8"/>
      <c r="K11" s="8"/>
      <c r="L11" s="8"/>
      <c r="M11" s="8"/>
      <c r="N11" s="8"/>
      <c r="O11" s="8"/>
      <c r="P11" s="8"/>
      <c r="Q11" s="8"/>
      <c r="R11" s="8"/>
      <c r="S11" s="8"/>
      <c r="T11" s="8"/>
      <c r="U11" s="8"/>
      <c r="V11" s="5"/>
    </row>
    <row r="12" spans="1:22" ht="16.2" thickBot="1" x14ac:dyDescent="0.35">
      <c r="A12" s="6"/>
      <c r="B12" s="13"/>
      <c r="C12" s="8"/>
      <c r="D12" s="8"/>
      <c r="E12" s="8"/>
      <c r="F12" s="8"/>
      <c r="G12" s="8"/>
      <c r="H12" s="8"/>
      <c r="I12" s="8"/>
      <c r="J12" s="8"/>
      <c r="K12" s="8"/>
      <c r="L12" s="8"/>
      <c r="M12" s="8"/>
      <c r="N12" s="8"/>
      <c r="O12" s="8"/>
      <c r="P12" s="8"/>
      <c r="Q12" s="8"/>
      <c r="R12" s="8"/>
      <c r="S12" s="8"/>
      <c r="T12" s="8"/>
      <c r="U12" s="8"/>
      <c r="V12" s="5"/>
    </row>
    <row r="13" spans="1:22" ht="15.6" x14ac:dyDescent="0.3">
      <c r="A13" s="2"/>
      <c r="B13" s="4"/>
      <c r="C13" s="4"/>
      <c r="D13" s="4"/>
      <c r="E13" s="4"/>
      <c r="F13" s="4"/>
      <c r="G13" s="4"/>
      <c r="H13" s="4"/>
      <c r="I13" s="4"/>
      <c r="J13" s="4"/>
      <c r="K13" s="4"/>
      <c r="L13" s="4"/>
      <c r="M13" s="4"/>
      <c r="N13" s="4"/>
      <c r="O13" s="4"/>
      <c r="P13" s="4"/>
      <c r="Q13" s="4"/>
      <c r="R13" s="4"/>
      <c r="S13" s="4"/>
      <c r="T13" s="4"/>
      <c r="U13" s="4"/>
      <c r="V13" s="5"/>
    </row>
    <row r="14" spans="1:22" ht="15.6" x14ac:dyDescent="0.3">
      <c r="A14" s="6"/>
      <c r="B14" s="14" t="s">
        <v>1</v>
      </c>
      <c r="C14" s="15"/>
      <c r="D14" s="15"/>
      <c r="E14" s="15"/>
      <c r="F14" s="15"/>
      <c r="G14" s="15"/>
      <c r="H14" s="15"/>
      <c r="I14" s="15"/>
      <c r="J14" s="15"/>
      <c r="K14" s="15"/>
      <c r="L14" s="15"/>
      <c r="M14" s="15"/>
      <c r="N14" s="15"/>
      <c r="O14" s="15"/>
      <c r="P14" s="15"/>
      <c r="Q14" s="15"/>
      <c r="R14" s="15"/>
      <c r="S14" s="15"/>
      <c r="T14" s="16" t="s">
        <v>230</v>
      </c>
      <c r="U14" s="15"/>
      <c r="V14" s="5"/>
    </row>
    <row r="15" spans="1:22" ht="15.6" x14ac:dyDescent="0.3">
      <c r="A15" s="6"/>
      <c r="B15" s="14" t="s">
        <v>2</v>
      </c>
      <c r="C15" s="15"/>
      <c r="D15" s="15"/>
      <c r="E15" s="15"/>
      <c r="F15" s="15"/>
      <c r="G15" s="15"/>
      <c r="H15" s="18"/>
      <c r="I15" s="18"/>
      <c r="J15" s="18"/>
      <c r="K15" s="18"/>
      <c r="L15" s="18"/>
      <c r="M15" s="18"/>
      <c r="N15" s="18"/>
      <c r="O15" s="18"/>
      <c r="P15" s="18" t="s">
        <v>107</v>
      </c>
      <c r="Q15" s="137">
        <v>0.40749999999999997</v>
      </c>
      <c r="R15" s="17" t="s">
        <v>146</v>
      </c>
      <c r="S15" s="137">
        <v>0.59250000000000003</v>
      </c>
      <c r="T15" s="16"/>
      <c r="U15" s="15"/>
      <c r="V15" s="5"/>
    </row>
    <row r="16" spans="1:22" ht="15.6" x14ac:dyDescent="0.3">
      <c r="A16" s="6"/>
      <c r="B16" s="14" t="s">
        <v>3</v>
      </c>
      <c r="C16" s="15"/>
      <c r="D16" s="15"/>
      <c r="E16" s="15"/>
      <c r="F16" s="15"/>
      <c r="G16" s="15"/>
      <c r="H16" s="18"/>
      <c r="I16" s="18"/>
      <c r="J16" s="18"/>
      <c r="K16" s="18"/>
      <c r="L16" s="18"/>
      <c r="M16" s="18"/>
      <c r="N16" s="18"/>
      <c r="O16" s="18"/>
      <c r="P16" s="18" t="s">
        <v>107</v>
      </c>
      <c r="Q16" s="137">
        <v>0.38879999999999998</v>
      </c>
      <c r="R16" s="17" t="s">
        <v>146</v>
      </c>
      <c r="S16" s="137">
        <v>0.61119999999999997</v>
      </c>
      <c r="T16" s="16"/>
      <c r="U16" s="15"/>
      <c r="V16" s="5"/>
    </row>
    <row r="17" spans="1:22" ht="15.6" x14ac:dyDescent="0.3">
      <c r="A17" s="6"/>
      <c r="B17" s="14" t="s">
        <v>4</v>
      </c>
      <c r="C17" s="15"/>
      <c r="D17" s="15"/>
      <c r="E17" s="15"/>
      <c r="F17" s="15"/>
      <c r="G17" s="15"/>
      <c r="H17" s="15"/>
      <c r="I17" s="15"/>
      <c r="J17" s="15"/>
      <c r="K17" s="15"/>
      <c r="L17" s="15"/>
      <c r="M17" s="15"/>
      <c r="N17" s="15"/>
      <c r="O17" s="15"/>
      <c r="P17" s="15"/>
      <c r="Q17" s="15"/>
      <c r="R17" s="15"/>
      <c r="S17" s="15"/>
      <c r="T17" s="19">
        <v>38799</v>
      </c>
      <c r="U17" s="15"/>
      <c r="V17" s="5"/>
    </row>
    <row r="18" spans="1:22" ht="15.6" x14ac:dyDescent="0.3">
      <c r="A18" s="6"/>
      <c r="B18" s="14" t="s">
        <v>5</v>
      </c>
      <c r="C18" s="15"/>
      <c r="D18" s="15"/>
      <c r="E18" s="15"/>
      <c r="F18" s="15"/>
      <c r="G18" s="15"/>
      <c r="H18" s="15"/>
      <c r="I18" s="15"/>
      <c r="J18" s="15"/>
      <c r="K18" s="15"/>
      <c r="L18" s="15"/>
      <c r="M18" s="15"/>
      <c r="N18" s="15"/>
      <c r="O18" s="15"/>
      <c r="P18" s="15"/>
      <c r="Q18" s="15"/>
      <c r="R18" s="15"/>
      <c r="S18" s="15"/>
      <c r="T18" s="19">
        <v>39106</v>
      </c>
      <c r="U18" s="15"/>
      <c r="V18" s="5"/>
    </row>
    <row r="19" spans="1:22" ht="15.6" x14ac:dyDescent="0.3">
      <c r="A19" s="6"/>
      <c r="B19" s="8"/>
      <c r="C19" s="8"/>
      <c r="D19" s="8"/>
      <c r="E19" s="8"/>
      <c r="F19" s="8"/>
      <c r="G19" s="8"/>
      <c r="H19" s="8"/>
      <c r="I19" s="8"/>
      <c r="J19" s="8"/>
      <c r="K19" s="8"/>
      <c r="L19" s="8"/>
      <c r="M19" s="8"/>
      <c r="N19" s="8"/>
      <c r="O19" s="8"/>
      <c r="P19" s="8"/>
      <c r="Q19" s="8"/>
      <c r="R19" s="8"/>
      <c r="S19" s="8"/>
      <c r="T19" s="20"/>
      <c r="U19" s="8"/>
      <c r="V19" s="5"/>
    </row>
    <row r="20" spans="1:22" ht="15.6" x14ac:dyDescent="0.3">
      <c r="A20" s="6"/>
      <c r="B20" s="21" t="s">
        <v>6</v>
      </c>
      <c r="C20" s="8"/>
      <c r="D20" s="8"/>
      <c r="E20" s="8"/>
      <c r="F20" s="8"/>
      <c r="G20" s="8"/>
      <c r="H20" s="8"/>
      <c r="I20" s="8"/>
      <c r="J20" s="8"/>
      <c r="K20" s="8"/>
      <c r="L20" s="8"/>
      <c r="M20" s="8"/>
      <c r="N20" s="8"/>
      <c r="O20" s="8"/>
      <c r="P20" s="8"/>
      <c r="Q20" s="8"/>
      <c r="R20" s="20" t="s">
        <v>108</v>
      </c>
      <c r="S20" s="8"/>
      <c r="T20" s="162"/>
      <c r="U20" s="8"/>
      <c r="V20" s="5"/>
    </row>
    <row r="21" spans="1:22" ht="15.6" x14ac:dyDescent="0.3">
      <c r="A21" s="6"/>
      <c r="B21" s="8"/>
      <c r="C21" s="8"/>
      <c r="D21" s="8"/>
      <c r="E21" s="8"/>
      <c r="F21" s="8"/>
      <c r="G21" s="8"/>
      <c r="H21" s="8"/>
      <c r="I21" s="8"/>
      <c r="J21" s="8"/>
      <c r="K21" s="8"/>
      <c r="L21" s="8"/>
      <c r="M21" s="8"/>
      <c r="N21" s="8"/>
      <c r="O21" s="8"/>
      <c r="P21" s="8"/>
      <c r="Q21" s="8"/>
      <c r="R21" s="8"/>
      <c r="S21" s="8"/>
      <c r="T21" s="22"/>
      <c r="U21" s="8"/>
      <c r="V21" s="5"/>
    </row>
    <row r="22" spans="1:22" ht="15.6" x14ac:dyDescent="0.3">
      <c r="A22" s="6"/>
      <c r="B22" s="8"/>
      <c r="C22" s="112"/>
      <c r="D22" s="112" t="s">
        <v>184</v>
      </c>
      <c r="E22" s="112"/>
      <c r="F22" s="112" t="s">
        <v>185</v>
      </c>
      <c r="G22" s="112"/>
      <c r="H22" s="112" t="s">
        <v>186</v>
      </c>
      <c r="I22" s="112"/>
      <c r="J22" s="112" t="s">
        <v>187</v>
      </c>
      <c r="K22" s="112"/>
      <c r="L22" s="112" t="s">
        <v>188</v>
      </c>
      <c r="M22" s="112"/>
      <c r="N22" s="112" t="s">
        <v>189</v>
      </c>
      <c r="O22" s="112"/>
      <c r="P22" s="112"/>
      <c r="Q22" s="113"/>
      <c r="R22" s="23"/>
      <c r="S22" s="162"/>
      <c r="T22" s="162"/>
      <c r="U22" s="8"/>
      <c r="V22" s="5"/>
    </row>
    <row r="23" spans="1:22" ht="15.6" x14ac:dyDescent="0.3">
      <c r="A23" s="24"/>
      <c r="B23" s="25" t="s">
        <v>7</v>
      </c>
      <c r="C23" s="26"/>
      <c r="D23" s="26" t="s">
        <v>222</v>
      </c>
      <c r="E23" s="26"/>
      <c r="F23" s="26" t="s">
        <v>147</v>
      </c>
      <c r="G23" s="26"/>
      <c r="H23" s="26" t="s">
        <v>147</v>
      </c>
      <c r="I23" s="26"/>
      <c r="J23" s="26" t="s">
        <v>190</v>
      </c>
      <c r="K23" s="26"/>
      <c r="L23" s="26" t="s">
        <v>190</v>
      </c>
      <c r="M23" s="26"/>
      <c r="N23" s="26" t="s">
        <v>148</v>
      </c>
      <c r="O23" s="26"/>
      <c r="P23" s="26"/>
      <c r="Q23" s="26"/>
      <c r="R23" s="26"/>
      <c r="S23" s="163"/>
      <c r="T23" s="163"/>
      <c r="U23" s="25"/>
      <c r="V23" s="5"/>
    </row>
    <row r="24" spans="1:22" ht="15.6" x14ac:dyDescent="0.3">
      <c r="A24" s="24"/>
      <c r="B24" s="25" t="s">
        <v>8</v>
      </c>
      <c r="C24" s="26"/>
      <c r="D24" s="26" t="s">
        <v>223</v>
      </c>
      <c r="E24" s="26"/>
      <c r="F24" s="26" t="s">
        <v>149</v>
      </c>
      <c r="G24" s="26"/>
      <c r="H24" s="26" t="s">
        <v>149</v>
      </c>
      <c r="I24" s="26"/>
      <c r="J24" s="26" t="s">
        <v>172</v>
      </c>
      <c r="K24" s="26"/>
      <c r="L24" s="26" t="s">
        <v>172</v>
      </c>
      <c r="M24" s="26"/>
      <c r="N24" s="26" t="s">
        <v>150</v>
      </c>
      <c r="O24" s="26"/>
      <c r="P24" s="26"/>
      <c r="Q24" s="26"/>
      <c r="R24" s="26"/>
      <c r="S24" s="163"/>
      <c r="T24" s="163"/>
      <c r="U24" s="25"/>
      <c r="V24" s="5"/>
    </row>
    <row r="25" spans="1:22" ht="15.6" x14ac:dyDescent="0.3">
      <c r="A25" s="28"/>
      <c r="B25" s="131" t="s">
        <v>198</v>
      </c>
      <c r="C25" s="123"/>
      <c r="D25" s="26" t="s">
        <v>224</v>
      </c>
      <c r="E25" s="26"/>
      <c r="F25" s="26" t="s">
        <v>149</v>
      </c>
      <c r="G25" s="26"/>
      <c r="H25" s="26" t="s">
        <v>149</v>
      </c>
      <c r="I25" s="26"/>
      <c r="J25" s="26" t="s">
        <v>172</v>
      </c>
      <c r="K25" s="26"/>
      <c r="L25" s="26" t="s">
        <v>172</v>
      </c>
      <c r="M25" s="26"/>
      <c r="N25" s="26" t="s">
        <v>150</v>
      </c>
      <c r="O25" s="26"/>
      <c r="P25" s="26"/>
      <c r="Q25" s="123"/>
      <c r="R25" s="26"/>
      <c r="S25" s="163"/>
      <c r="T25" s="163"/>
      <c r="U25" s="25"/>
      <c r="V25" s="5"/>
    </row>
    <row r="26" spans="1:22" ht="15.6" x14ac:dyDescent="0.3">
      <c r="A26" s="28"/>
      <c r="B26" s="29" t="s">
        <v>9</v>
      </c>
      <c r="C26" s="123"/>
      <c r="D26" s="123" t="s">
        <v>222</v>
      </c>
      <c r="E26" s="123"/>
      <c r="F26" s="123" t="s">
        <v>147</v>
      </c>
      <c r="G26" s="123"/>
      <c r="H26" s="123" t="s">
        <v>147</v>
      </c>
      <c r="I26" s="123"/>
      <c r="J26" s="123" t="s">
        <v>190</v>
      </c>
      <c r="K26" s="123"/>
      <c r="L26" s="123" t="s">
        <v>190</v>
      </c>
      <c r="M26" s="123"/>
      <c r="N26" s="123" t="s">
        <v>148</v>
      </c>
      <c r="O26" s="123"/>
      <c r="P26" s="123"/>
      <c r="Q26" s="123"/>
      <c r="R26" s="26"/>
      <c r="S26" s="163"/>
      <c r="T26" s="163"/>
      <c r="U26" s="25"/>
      <c r="V26" s="5"/>
    </row>
    <row r="27" spans="1:22" ht="15.6" x14ac:dyDescent="0.3">
      <c r="A27" s="24"/>
      <c r="B27" s="29" t="s">
        <v>199</v>
      </c>
      <c r="C27" s="26"/>
      <c r="D27" s="123" t="s">
        <v>223</v>
      </c>
      <c r="E27" s="123"/>
      <c r="F27" s="123" t="s">
        <v>149</v>
      </c>
      <c r="G27" s="123"/>
      <c r="H27" s="123" t="s">
        <v>149</v>
      </c>
      <c r="I27" s="123"/>
      <c r="J27" s="123" t="s">
        <v>172</v>
      </c>
      <c r="K27" s="123"/>
      <c r="L27" s="123" t="s">
        <v>172</v>
      </c>
      <c r="M27" s="123"/>
      <c r="N27" s="123" t="s">
        <v>150</v>
      </c>
      <c r="O27" s="123"/>
      <c r="P27" s="123"/>
      <c r="Q27" s="26"/>
      <c r="R27" s="30"/>
      <c r="S27" s="163"/>
      <c r="T27" s="163"/>
      <c r="U27" s="25"/>
      <c r="V27" s="5"/>
    </row>
    <row r="28" spans="1:22" ht="15.6" x14ac:dyDescent="0.3">
      <c r="A28" s="24"/>
      <c r="B28" s="153" t="s">
        <v>200</v>
      </c>
      <c r="C28" s="26"/>
      <c r="D28" s="123" t="s">
        <v>224</v>
      </c>
      <c r="E28" s="123"/>
      <c r="F28" s="123" t="s">
        <v>149</v>
      </c>
      <c r="G28" s="123"/>
      <c r="H28" s="123" t="s">
        <v>149</v>
      </c>
      <c r="I28" s="123"/>
      <c r="J28" s="123" t="s">
        <v>172</v>
      </c>
      <c r="K28" s="123"/>
      <c r="L28" s="123" t="s">
        <v>172</v>
      </c>
      <c r="M28" s="123"/>
      <c r="N28" s="123" t="s">
        <v>150</v>
      </c>
      <c r="O28" s="123"/>
      <c r="P28" s="123"/>
      <c r="Q28" s="26"/>
      <c r="R28" s="30"/>
      <c r="S28" s="163"/>
      <c r="T28" s="163"/>
      <c r="U28" s="25"/>
      <c r="V28" s="5"/>
    </row>
    <row r="29" spans="1:22" ht="15.6" x14ac:dyDescent="0.3">
      <c r="A29" s="24"/>
      <c r="B29" s="25" t="s">
        <v>10</v>
      </c>
      <c r="C29" s="32"/>
      <c r="D29" s="26" t="s">
        <v>237</v>
      </c>
      <c r="E29" s="26"/>
      <c r="F29" s="30" t="s">
        <v>238</v>
      </c>
      <c r="G29" s="26"/>
      <c r="H29" s="26" t="s">
        <v>239</v>
      </c>
      <c r="I29" s="26"/>
      <c r="J29" s="26" t="s">
        <v>240</v>
      </c>
      <c r="K29" s="26"/>
      <c r="L29" s="26" t="s">
        <v>241</v>
      </c>
      <c r="M29" s="26"/>
      <c r="N29" s="26" t="s">
        <v>242</v>
      </c>
      <c r="O29" s="26"/>
      <c r="P29" s="26"/>
      <c r="Q29" s="31"/>
      <c r="R29" s="31"/>
      <c r="S29" s="164"/>
      <c r="T29" s="31"/>
      <c r="U29" s="34"/>
      <c r="V29" s="5"/>
    </row>
    <row r="30" spans="1:22" ht="15.6" x14ac:dyDescent="0.3">
      <c r="A30" s="24"/>
      <c r="B30" s="25" t="s">
        <v>10</v>
      </c>
      <c r="C30" s="32"/>
      <c r="D30" s="26" t="s">
        <v>236</v>
      </c>
      <c r="E30" s="26"/>
      <c r="F30" s="30" t="s">
        <v>124</v>
      </c>
      <c r="G30" s="26"/>
      <c r="H30" s="26" t="s">
        <v>124</v>
      </c>
      <c r="I30" s="26"/>
      <c r="J30" s="26" t="s">
        <v>124</v>
      </c>
      <c r="K30" s="26"/>
      <c r="L30" s="26" t="s">
        <v>124</v>
      </c>
      <c r="M30" s="26"/>
      <c r="N30" s="26" t="s">
        <v>124</v>
      </c>
      <c r="O30" s="26"/>
      <c r="P30" s="26"/>
      <c r="Q30" s="31"/>
      <c r="R30" s="31"/>
      <c r="S30" s="164"/>
      <c r="T30" s="31"/>
      <c r="U30" s="34"/>
      <c r="V30" s="5"/>
    </row>
    <row r="31" spans="1:22" ht="15.6" x14ac:dyDescent="0.3">
      <c r="A31" s="28"/>
      <c r="B31" s="25" t="s">
        <v>139</v>
      </c>
      <c r="C31" s="36"/>
      <c r="D31" s="146">
        <v>985000</v>
      </c>
      <c r="E31" s="32"/>
      <c r="F31" s="31">
        <v>149500</v>
      </c>
      <c r="G31" s="31"/>
      <c r="H31" s="124">
        <v>219700</v>
      </c>
      <c r="I31" s="31"/>
      <c r="J31" s="31">
        <v>16000</v>
      </c>
      <c r="K31" s="31"/>
      <c r="L31" s="124">
        <v>82400</v>
      </c>
      <c r="M31" s="31"/>
      <c r="N31" s="124">
        <v>87500</v>
      </c>
      <c r="O31" s="31"/>
      <c r="P31" s="124"/>
      <c r="Q31" s="35"/>
      <c r="R31" s="35"/>
      <c r="S31" s="37"/>
      <c r="T31" s="35"/>
      <c r="U31" s="34"/>
      <c r="V31" s="5"/>
    </row>
    <row r="32" spans="1:22" ht="15.6" x14ac:dyDescent="0.3">
      <c r="A32" s="24"/>
      <c r="B32" s="25" t="s">
        <v>138</v>
      </c>
      <c r="C32" s="32"/>
      <c r="D32" s="146">
        <f>D38*D31</f>
        <v>944328.36499999999</v>
      </c>
      <c r="E32" s="32"/>
      <c r="F32" s="31">
        <f>F38*F31</f>
        <v>143326.99550000002</v>
      </c>
      <c r="G32" s="31"/>
      <c r="H32" s="124">
        <f>H38*H31</f>
        <v>210628.36730000001</v>
      </c>
      <c r="I32" s="31"/>
      <c r="J32" s="31">
        <f>+J31</f>
        <v>16000</v>
      </c>
      <c r="K32" s="31"/>
      <c r="L32" s="124">
        <f>+L31</f>
        <v>82400</v>
      </c>
      <c r="M32" s="31"/>
      <c r="N32" s="124">
        <f>+N31</f>
        <v>87500</v>
      </c>
      <c r="O32" s="31"/>
      <c r="P32" s="124"/>
      <c r="Q32" s="31"/>
      <c r="R32" s="31"/>
      <c r="S32" s="164"/>
      <c r="T32" s="31"/>
      <c r="U32" s="34"/>
      <c r="V32" s="5"/>
    </row>
    <row r="33" spans="1:22" ht="15.6" x14ac:dyDescent="0.3">
      <c r="A33" s="24"/>
      <c r="B33" s="29" t="s">
        <v>140</v>
      </c>
      <c r="C33" s="32"/>
      <c r="D33" s="151">
        <f>D37*D31</f>
        <v>929604.58499999996</v>
      </c>
      <c r="E33" s="36"/>
      <c r="F33" s="35">
        <f>F37*F31</f>
        <v>141092.26949999999</v>
      </c>
      <c r="G33" s="35"/>
      <c r="H33" s="125">
        <f>H31*H37</f>
        <v>207344.2917</v>
      </c>
      <c r="I33" s="35"/>
      <c r="J33" s="35">
        <f>J31*J37</f>
        <v>16000</v>
      </c>
      <c r="K33" s="35"/>
      <c r="L33" s="125">
        <f>L31*L37</f>
        <v>82400</v>
      </c>
      <c r="M33" s="35"/>
      <c r="N33" s="125">
        <f>N31*N37</f>
        <v>87500</v>
      </c>
      <c r="O33" s="35"/>
      <c r="P33" s="125"/>
      <c r="Q33" s="31"/>
      <c r="R33" s="31"/>
      <c r="S33" s="164"/>
      <c r="T33" s="31"/>
      <c r="U33" s="34"/>
      <c r="V33" s="5"/>
    </row>
    <row r="34" spans="1:22" ht="15.6" x14ac:dyDescent="0.3">
      <c r="A34" s="28"/>
      <c r="B34" s="25" t="s">
        <v>283</v>
      </c>
      <c r="C34" s="36"/>
      <c r="D34" s="31">
        <v>567282</v>
      </c>
      <c r="E34" s="32"/>
      <c r="F34" s="31">
        <v>149500</v>
      </c>
      <c r="G34" s="31"/>
      <c r="H34" s="31">
        <v>150716</v>
      </c>
      <c r="I34" s="31"/>
      <c r="J34" s="31">
        <v>16000</v>
      </c>
      <c r="K34" s="31"/>
      <c r="L34" s="31">
        <v>56527</v>
      </c>
      <c r="M34" s="31"/>
      <c r="N34" s="31">
        <v>60025</v>
      </c>
      <c r="O34" s="31"/>
      <c r="P34" s="31"/>
      <c r="Q34" s="35"/>
      <c r="R34" s="35"/>
      <c r="S34" s="37"/>
      <c r="T34" s="154">
        <f>SUM(C34:P34)</f>
        <v>1000050</v>
      </c>
      <c r="U34" s="34"/>
      <c r="V34" s="5"/>
    </row>
    <row r="35" spans="1:22" ht="15.6" x14ac:dyDescent="0.3">
      <c r="A35" s="28"/>
      <c r="B35" s="25" t="s">
        <v>284</v>
      </c>
      <c r="C35" s="126"/>
      <c r="D35" s="31">
        <f>D38*D34</f>
        <v>543858.35893800005</v>
      </c>
      <c r="E35" s="32"/>
      <c r="F35" s="31">
        <f>F38*F34</f>
        <v>143326.99550000002</v>
      </c>
      <c r="G35" s="31"/>
      <c r="H35" s="31">
        <f>H38*H34</f>
        <v>144492.78564400002</v>
      </c>
      <c r="I35" s="31"/>
      <c r="J35" s="31">
        <f>+J34</f>
        <v>16000</v>
      </c>
      <c r="K35" s="31"/>
      <c r="L35" s="31">
        <f>+L34</f>
        <v>56527</v>
      </c>
      <c r="M35" s="31"/>
      <c r="N35" s="31">
        <f>+N34</f>
        <v>60025</v>
      </c>
      <c r="O35" s="31"/>
      <c r="P35" s="31"/>
      <c r="Q35" s="31"/>
      <c r="R35" s="31"/>
      <c r="S35" s="164"/>
      <c r="T35" s="154">
        <f>SUM(C35:P35)</f>
        <v>964230.14008200017</v>
      </c>
      <c r="U35" s="34"/>
      <c r="V35" s="5"/>
    </row>
    <row r="36" spans="1:22" ht="15.6" x14ac:dyDescent="0.3">
      <c r="A36" s="28"/>
      <c r="B36" s="29" t="s">
        <v>285</v>
      </c>
      <c r="C36" s="126"/>
      <c r="D36" s="35">
        <f>D37*D34</f>
        <v>535378.62760200002</v>
      </c>
      <c r="E36" s="36"/>
      <c r="F36" s="35">
        <f>F37*F34</f>
        <v>141092.26949999999</v>
      </c>
      <c r="G36" s="35"/>
      <c r="H36" s="35">
        <f>H37*H34</f>
        <v>142239.88287599999</v>
      </c>
      <c r="I36" s="35"/>
      <c r="J36" s="35">
        <f>+J34</f>
        <v>16000</v>
      </c>
      <c r="K36" s="35"/>
      <c r="L36" s="35">
        <f>+L34</f>
        <v>56527</v>
      </c>
      <c r="M36" s="35"/>
      <c r="N36" s="35">
        <f>+N34</f>
        <v>60025</v>
      </c>
      <c r="O36" s="35"/>
      <c r="P36" s="35"/>
      <c r="Q36" s="128"/>
      <c r="R36" s="128"/>
      <c r="S36" s="164"/>
      <c r="T36" s="155">
        <f>SUM(C36:P36)</f>
        <v>951262.77997799998</v>
      </c>
      <c r="U36" s="34"/>
      <c r="V36" s="5"/>
    </row>
    <row r="37" spans="1:22" ht="15.6" x14ac:dyDescent="0.3">
      <c r="A37" s="24"/>
      <c r="B37" s="122" t="s">
        <v>136</v>
      </c>
      <c r="C37" s="25"/>
      <c r="D37" s="135">
        <v>0.94376099999999996</v>
      </c>
      <c r="E37" s="136"/>
      <c r="F37" s="135">
        <v>0.94376099999999996</v>
      </c>
      <c r="G37" s="135"/>
      <c r="H37" s="135">
        <v>0.94376099999999996</v>
      </c>
      <c r="I37" s="135"/>
      <c r="J37" s="135">
        <v>1</v>
      </c>
      <c r="K37" s="135"/>
      <c r="L37" s="135">
        <v>1</v>
      </c>
      <c r="M37" s="135"/>
      <c r="N37" s="135">
        <v>1</v>
      </c>
      <c r="O37" s="135"/>
      <c r="P37" s="135"/>
      <c r="Q37" s="30"/>
      <c r="R37" s="30"/>
      <c r="S37" s="163"/>
      <c r="T37" s="163"/>
      <c r="U37" s="25"/>
      <c r="V37" s="5"/>
    </row>
    <row r="38" spans="1:22" ht="15.6" x14ac:dyDescent="0.3">
      <c r="A38" s="24"/>
      <c r="B38" s="122" t="s">
        <v>137</v>
      </c>
      <c r="C38" s="25"/>
      <c r="D38" s="135">
        <v>0.95870900000000003</v>
      </c>
      <c r="E38" s="136"/>
      <c r="F38" s="135">
        <v>0.95870900000000003</v>
      </c>
      <c r="G38" s="135"/>
      <c r="H38" s="135">
        <v>0.95870900000000003</v>
      </c>
      <c r="I38" s="135"/>
      <c r="J38" s="135">
        <v>1</v>
      </c>
      <c r="K38" s="135"/>
      <c r="L38" s="135">
        <v>1</v>
      </c>
      <c r="M38" s="135"/>
      <c r="N38" s="135">
        <v>1</v>
      </c>
      <c r="O38" s="135"/>
      <c r="P38" s="135"/>
      <c r="Q38" s="39"/>
      <c r="R38" s="38"/>
      <c r="S38" s="163"/>
      <c r="T38" s="39"/>
      <c r="U38" s="25"/>
      <c r="V38" s="5"/>
    </row>
    <row r="39" spans="1:22" ht="15.6" x14ac:dyDescent="0.3">
      <c r="A39" s="24"/>
      <c r="B39" s="25" t="s">
        <v>11</v>
      </c>
      <c r="C39" s="25"/>
      <c r="D39" s="30" t="s">
        <v>252</v>
      </c>
      <c r="E39" s="25"/>
      <c r="F39" s="30" t="s">
        <v>231</v>
      </c>
      <c r="G39" s="30"/>
      <c r="H39" s="30" t="s">
        <v>231</v>
      </c>
      <c r="I39" s="30"/>
      <c r="J39" s="30" t="s">
        <v>232</v>
      </c>
      <c r="K39" s="30"/>
      <c r="L39" s="30" t="s">
        <v>232</v>
      </c>
      <c r="M39" s="30"/>
      <c r="N39" s="30" t="s">
        <v>233</v>
      </c>
      <c r="O39" s="30"/>
      <c r="P39" s="30"/>
      <c r="Q39" s="39"/>
      <c r="R39" s="38"/>
      <c r="S39" s="163"/>
      <c r="T39" s="163"/>
      <c r="U39" s="25"/>
      <c r="V39" s="5"/>
    </row>
    <row r="40" spans="1:22" ht="15.6" x14ac:dyDescent="0.3">
      <c r="A40" s="24"/>
      <c r="B40" s="25" t="s">
        <v>12</v>
      </c>
      <c r="C40" s="25"/>
      <c r="D40" s="38">
        <v>5.3400000000000003E-2</v>
      </c>
      <c r="E40" s="25"/>
      <c r="F40" s="38">
        <v>5.2406300000000003E-2</v>
      </c>
      <c r="G40" s="39"/>
      <c r="H40" s="38">
        <v>3.6139999999999999E-2</v>
      </c>
      <c r="I40" s="39"/>
      <c r="J40" s="38">
        <v>5.3606300000000003E-2</v>
      </c>
      <c r="K40" s="39"/>
      <c r="L40" s="38">
        <v>3.7339999999999998E-2</v>
      </c>
      <c r="M40" s="39"/>
      <c r="N40" s="38">
        <v>3.9440000000000003E-2</v>
      </c>
      <c r="O40" s="39"/>
      <c r="P40" s="38"/>
      <c r="Q40" s="39"/>
      <c r="R40" s="38"/>
      <c r="S40" s="163"/>
      <c r="T40" s="30"/>
      <c r="U40" s="25"/>
      <c r="V40" s="5"/>
    </row>
    <row r="41" spans="1:22" ht="15.6" x14ac:dyDescent="0.3">
      <c r="A41" s="24"/>
      <c r="B41" s="25" t="s">
        <v>13</v>
      </c>
      <c r="C41" s="25"/>
      <c r="D41" s="38">
        <v>5.3199999999999997E-2</v>
      </c>
      <c r="E41" s="25"/>
      <c r="F41" s="38">
        <v>4.8103100000000003E-2</v>
      </c>
      <c r="G41" s="39"/>
      <c r="H41" s="38">
        <v>3.2099999999999997E-2</v>
      </c>
      <c r="I41" s="39"/>
      <c r="J41" s="38">
        <v>4.9303100000000002E-2</v>
      </c>
      <c r="K41" s="39"/>
      <c r="L41" s="38">
        <v>3.3300000000000003E-2</v>
      </c>
      <c r="M41" s="39"/>
      <c r="N41" s="38">
        <v>3.5400000000000001E-2</v>
      </c>
      <c r="O41" s="38"/>
      <c r="P41" s="38"/>
      <c r="Q41" s="39"/>
      <c r="R41" s="38"/>
      <c r="S41" s="163"/>
      <c r="T41" s="39" t="s">
        <v>201</v>
      </c>
      <c r="U41" s="25"/>
      <c r="V41" s="5"/>
    </row>
    <row r="42" spans="1:22" ht="15.6" x14ac:dyDescent="0.3">
      <c r="A42" s="24"/>
      <c r="B42" s="25" t="s">
        <v>286</v>
      </c>
      <c r="C42" s="25"/>
      <c r="D42" s="30" t="s">
        <v>256</v>
      </c>
      <c r="E42" s="25"/>
      <c r="F42" s="30" t="s">
        <v>231</v>
      </c>
      <c r="G42" s="30"/>
      <c r="H42" s="30" t="s">
        <v>243</v>
      </c>
      <c r="I42" s="30"/>
      <c r="J42" s="30" t="s">
        <v>232</v>
      </c>
      <c r="K42" s="30"/>
      <c r="L42" s="30" t="s">
        <v>244</v>
      </c>
      <c r="M42" s="30"/>
      <c r="N42" s="30" t="s">
        <v>246</v>
      </c>
      <c r="O42" s="30"/>
      <c r="P42" s="30"/>
      <c r="Q42" s="39"/>
      <c r="R42" s="38"/>
      <c r="S42" s="163"/>
      <c r="T42" s="163"/>
      <c r="U42" s="25"/>
      <c r="V42" s="5"/>
    </row>
    <row r="43" spans="1:22" ht="15.6" x14ac:dyDescent="0.3">
      <c r="A43" s="24"/>
      <c r="B43" s="25" t="s">
        <v>287</v>
      </c>
      <c r="C43" s="110"/>
      <c r="D43" s="38">
        <v>5.1333299999999998E-2</v>
      </c>
      <c r="E43" s="38"/>
      <c r="F43" s="38">
        <v>5.2406300000000003E-2</v>
      </c>
      <c r="G43" s="38"/>
      <c r="H43" s="38">
        <v>5.2404300000000001E-2</v>
      </c>
      <c r="I43" s="38"/>
      <c r="J43" s="38">
        <v>5.3606300000000003E-2</v>
      </c>
      <c r="K43" s="38"/>
      <c r="L43" s="38">
        <v>5.3759300000000003E-2</v>
      </c>
      <c r="M43" s="38"/>
      <c r="N43" s="38">
        <v>5.6111300000000003E-2</v>
      </c>
      <c r="O43" s="39"/>
      <c r="P43" s="38"/>
      <c r="Q43" s="30"/>
      <c r="R43" s="30"/>
      <c r="S43" s="163"/>
      <c r="T43" s="39">
        <f>SUMPRODUCT(D43:N43,D35:N35)/T35</f>
        <v>5.2130665234331748E-2</v>
      </c>
      <c r="U43" s="25"/>
      <c r="V43" s="5"/>
    </row>
    <row r="44" spans="1:22" ht="15.6" x14ac:dyDescent="0.3">
      <c r="A44" s="24"/>
      <c r="B44" s="25" t="s">
        <v>288</v>
      </c>
      <c r="C44" s="110"/>
      <c r="D44" s="38">
        <v>4.7030099999999998E-2</v>
      </c>
      <c r="E44" s="38"/>
      <c r="F44" s="38">
        <f>+F41</f>
        <v>4.8103100000000003E-2</v>
      </c>
      <c r="G44" s="38"/>
      <c r="H44" s="38">
        <v>4.8101100000000001E-2</v>
      </c>
      <c r="I44" s="38"/>
      <c r="J44" s="38">
        <f>+J41</f>
        <v>4.9303100000000002E-2</v>
      </c>
      <c r="K44" s="38"/>
      <c r="L44" s="38">
        <v>4.9456100000000003E-2</v>
      </c>
      <c r="M44" s="38"/>
      <c r="N44" s="38">
        <v>5.1808100000000003E-2</v>
      </c>
      <c r="O44" s="39"/>
      <c r="P44" s="38"/>
      <c r="Q44" s="30"/>
      <c r="R44" s="30"/>
      <c r="S44" s="163"/>
      <c r="T44" s="163"/>
      <c r="U44" s="25"/>
      <c r="V44" s="5"/>
    </row>
    <row r="45" spans="1:22" ht="15.6" x14ac:dyDescent="0.3">
      <c r="A45" s="24"/>
      <c r="B45" s="25" t="s">
        <v>14</v>
      </c>
      <c r="C45" s="25"/>
      <c r="D45" s="110">
        <v>40283</v>
      </c>
      <c r="E45" s="110"/>
      <c r="F45" s="110">
        <v>40283</v>
      </c>
      <c r="G45" s="110"/>
      <c r="H45" s="110">
        <v>40283</v>
      </c>
      <c r="I45" s="110"/>
      <c r="J45" s="110">
        <v>40283</v>
      </c>
      <c r="K45" s="110"/>
      <c r="L45" s="110">
        <v>40283</v>
      </c>
      <c r="M45" s="110"/>
      <c r="N45" s="110">
        <v>40283</v>
      </c>
      <c r="O45" s="110"/>
      <c r="P45" s="110"/>
      <c r="Q45" s="30"/>
      <c r="R45" s="30"/>
      <c r="S45" s="163"/>
      <c r="T45" s="163"/>
      <c r="U45" s="25"/>
      <c r="V45" s="5"/>
    </row>
    <row r="46" spans="1:22" ht="15.6" x14ac:dyDescent="0.3">
      <c r="A46" s="24"/>
      <c r="B46" s="25" t="s">
        <v>15</v>
      </c>
      <c r="C46" s="25"/>
      <c r="D46" s="110">
        <v>40648</v>
      </c>
      <c r="E46" s="110"/>
      <c r="F46" s="110">
        <v>40648</v>
      </c>
      <c r="G46" s="110"/>
      <c r="H46" s="110">
        <v>40648</v>
      </c>
      <c r="I46" s="30"/>
      <c r="J46" s="110">
        <v>40648</v>
      </c>
      <c r="K46" s="30"/>
      <c r="L46" s="110">
        <v>40648</v>
      </c>
      <c r="M46" s="30"/>
      <c r="N46" s="110">
        <v>40648</v>
      </c>
      <c r="O46" s="30"/>
      <c r="P46" s="110"/>
      <c r="Q46" s="30"/>
      <c r="R46" s="30"/>
      <c r="S46" s="163"/>
      <c r="T46" s="163"/>
      <c r="U46" s="25"/>
      <c r="V46" s="5"/>
    </row>
    <row r="47" spans="1:22" ht="15.6" x14ac:dyDescent="0.3">
      <c r="A47" s="24"/>
      <c r="B47" s="25" t="s">
        <v>125</v>
      </c>
      <c r="C47" s="25"/>
      <c r="D47" s="160" t="s">
        <v>124</v>
      </c>
      <c r="E47" s="25"/>
      <c r="F47" s="30" t="s">
        <v>232</v>
      </c>
      <c r="G47" s="30"/>
      <c r="H47" s="30" t="s">
        <v>232</v>
      </c>
      <c r="I47" s="30"/>
      <c r="J47" s="30" t="s">
        <v>234</v>
      </c>
      <c r="K47" s="30"/>
      <c r="L47" s="30" t="s">
        <v>234</v>
      </c>
      <c r="M47" s="30"/>
      <c r="N47" s="30" t="s">
        <v>235</v>
      </c>
      <c r="O47" s="30"/>
      <c r="P47" s="30"/>
      <c r="Q47" s="40"/>
      <c r="R47" s="40"/>
      <c r="S47" s="40"/>
      <c r="T47" s="40"/>
      <c r="U47" s="25"/>
      <c r="V47" s="5"/>
    </row>
    <row r="48" spans="1:22" ht="15.6" x14ac:dyDescent="0.3">
      <c r="A48" s="24"/>
      <c r="B48" s="25" t="s">
        <v>289</v>
      </c>
      <c r="C48" s="25"/>
      <c r="D48" s="30" t="s">
        <v>208</v>
      </c>
      <c r="E48" s="25"/>
      <c r="F48" s="30" t="s">
        <v>232</v>
      </c>
      <c r="G48" s="30"/>
      <c r="H48" s="30" t="s">
        <v>232</v>
      </c>
      <c r="I48" s="30"/>
      <c r="J48" s="30" t="s">
        <v>234</v>
      </c>
      <c r="K48" s="30"/>
      <c r="L48" s="30" t="s">
        <v>245</v>
      </c>
      <c r="M48" s="30"/>
      <c r="N48" s="30" t="s">
        <v>247</v>
      </c>
      <c r="O48" s="30"/>
      <c r="P48" s="30"/>
      <c r="Q48" s="25"/>
      <c r="R48" s="25"/>
      <c r="S48" s="25"/>
      <c r="T48" s="39"/>
      <c r="U48" s="25"/>
      <c r="V48" s="5"/>
    </row>
    <row r="49" spans="1:23" ht="15.6" x14ac:dyDescent="0.3">
      <c r="A49" s="24"/>
      <c r="B49" s="25"/>
      <c r="C49" s="25"/>
      <c r="D49" s="30"/>
      <c r="E49" s="25"/>
      <c r="F49" s="30"/>
      <c r="G49" s="30"/>
      <c r="H49" s="30"/>
      <c r="I49" s="30"/>
      <c r="J49" s="30"/>
      <c r="K49" s="30"/>
      <c r="L49" s="30"/>
      <c r="M49" s="30"/>
      <c r="N49" s="30"/>
      <c r="O49" s="30"/>
      <c r="P49" s="30"/>
      <c r="Q49" s="25"/>
      <c r="R49" s="25"/>
      <c r="S49" s="25"/>
      <c r="T49" s="39" t="s">
        <v>201</v>
      </c>
      <c r="U49" s="25"/>
      <c r="V49" s="5"/>
    </row>
    <row r="50" spans="1:23" ht="15.6" x14ac:dyDescent="0.3">
      <c r="A50" s="24"/>
      <c r="B50" s="25" t="s">
        <v>176</v>
      </c>
      <c r="C50" s="25"/>
      <c r="D50" s="30"/>
      <c r="E50" s="25"/>
      <c r="F50" s="30"/>
      <c r="G50" s="30"/>
      <c r="H50" s="30"/>
      <c r="I50" s="30"/>
      <c r="J50" s="30"/>
      <c r="K50" s="30"/>
      <c r="L50" s="30"/>
      <c r="M50" s="30"/>
      <c r="N50" s="30"/>
      <c r="O50" s="30"/>
      <c r="P50" s="30"/>
      <c r="Q50" s="25"/>
      <c r="R50" s="25"/>
      <c r="S50" s="25"/>
      <c r="T50" s="39">
        <f>SUM(J34:P34)/SUM(D34:H34)</f>
        <v>0.15279804679664968</v>
      </c>
      <c r="U50" s="25"/>
      <c r="V50" s="5"/>
    </row>
    <row r="51" spans="1:23" ht="15.6" x14ac:dyDescent="0.3">
      <c r="A51" s="24"/>
      <c r="B51" s="25" t="s">
        <v>177</v>
      </c>
      <c r="C51" s="25"/>
      <c r="D51" s="25"/>
      <c r="E51" s="25"/>
      <c r="F51" s="41"/>
      <c r="G51" s="25"/>
      <c r="H51" s="25"/>
      <c r="I51" s="25"/>
      <c r="J51" s="25"/>
      <c r="K51" s="25"/>
      <c r="L51" s="25"/>
      <c r="M51" s="25"/>
      <c r="N51" s="25"/>
      <c r="O51" s="25"/>
      <c r="P51" s="25"/>
      <c r="Q51" s="25"/>
      <c r="R51" s="25"/>
      <c r="S51" s="25"/>
      <c r="T51" s="39">
        <f>SUM(J36:P36)/SUM(D36:H36)</f>
        <v>0.16190332806361959</v>
      </c>
      <c r="U51" s="25"/>
      <c r="V51" s="5"/>
    </row>
    <row r="52" spans="1:23" ht="15.6" x14ac:dyDescent="0.3">
      <c r="A52" s="24"/>
      <c r="B52" s="25" t="s">
        <v>178</v>
      </c>
      <c r="C52" s="25"/>
      <c r="D52" s="25"/>
      <c r="E52" s="25"/>
      <c r="F52" s="25"/>
      <c r="G52" s="25"/>
      <c r="H52" s="25"/>
      <c r="I52" s="25"/>
      <c r="J52" s="25"/>
      <c r="K52" s="25"/>
      <c r="L52" s="25"/>
      <c r="M52" s="25"/>
      <c r="N52" s="25"/>
      <c r="O52" s="25"/>
      <c r="P52" s="25"/>
      <c r="Q52" s="25"/>
      <c r="R52" s="30" t="s">
        <v>109</v>
      </c>
      <c r="S52" s="30" t="s">
        <v>115</v>
      </c>
      <c r="T52" s="31">
        <f>+T34/2-SUM(J34:P34)</f>
        <v>367473</v>
      </c>
      <c r="U52" s="25"/>
      <c r="V52" s="5"/>
    </row>
    <row r="53" spans="1:23" ht="15.6" x14ac:dyDescent="0.3">
      <c r="A53" s="24"/>
      <c r="B53" s="25"/>
      <c r="C53" s="25"/>
      <c r="D53" s="25"/>
      <c r="E53" s="25"/>
      <c r="F53" s="25"/>
      <c r="G53" s="25"/>
      <c r="H53" s="25"/>
      <c r="I53" s="25"/>
      <c r="J53" s="25"/>
      <c r="K53" s="25"/>
      <c r="L53" s="25"/>
      <c r="M53" s="25"/>
      <c r="N53" s="25"/>
      <c r="O53" s="25"/>
      <c r="P53" s="25"/>
      <c r="Q53" s="25"/>
      <c r="R53" s="25"/>
      <c r="S53" s="25"/>
      <c r="T53" s="42"/>
      <c r="U53" s="25"/>
      <c r="V53" s="5"/>
    </row>
    <row r="54" spans="1:23" ht="15.6" x14ac:dyDescent="0.3">
      <c r="A54" s="24"/>
      <c r="B54" s="25" t="s">
        <v>211</v>
      </c>
      <c r="C54" s="25"/>
      <c r="D54" s="25"/>
      <c r="E54" s="25"/>
      <c r="F54" s="25"/>
      <c r="G54" s="25"/>
      <c r="H54" s="25"/>
      <c r="I54" s="25"/>
      <c r="J54" s="25"/>
      <c r="K54" s="25"/>
      <c r="L54" s="25"/>
      <c r="M54" s="25"/>
      <c r="N54" s="25"/>
      <c r="O54" s="25"/>
      <c r="P54" s="25"/>
      <c r="Q54" s="25"/>
      <c r="R54" s="25"/>
      <c r="S54" s="25"/>
      <c r="T54" s="156" t="s">
        <v>212</v>
      </c>
      <c r="U54" s="25"/>
      <c r="V54" s="5"/>
    </row>
    <row r="55" spans="1:23" ht="15.6" x14ac:dyDescent="0.3">
      <c r="A55" s="24"/>
      <c r="B55" s="25" t="s">
        <v>253</v>
      </c>
      <c r="C55" s="25"/>
      <c r="D55" s="25"/>
      <c r="E55" s="25"/>
      <c r="F55" s="25"/>
      <c r="G55" s="25"/>
      <c r="H55" s="25"/>
      <c r="I55" s="25"/>
      <c r="J55" s="25"/>
      <c r="K55" s="25"/>
      <c r="L55" s="25"/>
      <c r="M55" s="25"/>
      <c r="N55" s="25"/>
      <c r="O55" s="25"/>
      <c r="P55" s="25"/>
      <c r="Q55" s="25"/>
      <c r="R55" s="30"/>
      <c r="S55" s="30"/>
      <c r="T55" s="157" t="s">
        <v>117</v>
      </c>
      <c r="U55" s="25"/>
      <c r="V55" s="5"/>
    </row>
    <row r="56" spans="1:23" ht="15.6" x14ac:dyDescent="0.3">
      <c r="A56" s="24"/>
      <c r="B56" s="29" t="s">
        <v>210</v>
      </c>
      <c r="C56" s="29"/>
      <c r="D56" s="29"/>
      <c r="E56" s="29"/>
      <c r="F56" s="29"/>
      <c r="G56" s="29"/>
      <c r="H56" s="29"/>
      <c r="I56" s="29"/>
      <c r="J56" s="29"/>
      <c r="K56" s="29"/>
      <c r="L56" s="29"/>
      <c r="M56" s="29"/>
      <c r="N56" s="29"/>
      <c r="O56" s="29"/>
      <c r="P56" s="29"/>
      <c r="Q56" s="29"/>
      <c r="R56" s="43"/>
      <c r="S56" s="43"/>
      <c r="T56" s="44">
        <v>39098</v>
      </c>
      <c r="U56" s="25"/>
      <c r="V56" s="5"/>
    </row>
    <row r="57" spans="1:23" ht="15.6" x14ac:dyDescent="0.3">
      <c r="A57" s="24"/>
      <c r="B57" s="25" t="s">
        <v>127</v>
      </c>
      <c r="C57" s="25"/>
      <c r="D57" s="25"/>
      <c r="E57" s="25"/>
      <c r="F57" s="25"/>
      <c r="G57" s="25"/>
      <c r="H57" s="58"/>
      <c r="I57" s="58"/>
      <c r="J57" s="58"/>
      <c r="K57" s="58"/>
      <c r="L57" s="58"/>
      <c r="M57" s="58"/>
      <c r="N57" s="58"/>
      <c r="O57" s="58"/>
      <c r="P57" s="25">
        <f>+T57-R57+1</f>
        <v>91</v>
      </c>
      <c r="Q57" s="58"/>
      <c r="R57" s="45">
        <v>38915</v>
      </c>
      <c r="S57" s="46"/>
      <c r="T57" s="45">
        <v>39005</v>
      </c>
      <c r="U57" s="25"/>
      <c r="V57" s="5"/>
    </row>
    <row r="58" spans="1:23" ht="15.6" x14ac:dyDescent="0.3">
      <c r="A58" s="24"/>
      <c r="B58" s="25" t="s">
        <v>128</v>
      </c>
      <c r="C58" s="25"/>
      <c r="D58" s="25"/>
      <c r="E58" s="25"/>
      <c r="F58" s="25"/>
      <c r="G58" s="25"/>
      <c r="H58" s="25"/>
      <c r="I58" s="25"/>
      <c r="J58" s="25"/>
      <c r="K58" s="25"/>
      <c r="L58" s="25"/>
      <c r="M58" s="25"/>
      <c r="N58" s="25"/>
      <c r="O58" s="25"/>
      <c r="P58" s="25">
        <f>+T58-R58+1</f>
        <v>92</v>
      </c>
      <c r="Q58" s="25"/>
      <c r="R58" s="45">
        <v>39006</v>
      </c>
      <c r="S58" s="46"/>
      <c r="T58" s="45">
        <v>39097</v>
      </c>
      <c r="U58" s="25"/>
      <c r="V58" s="5"/>
    </row>
    <row r="59" spans="1:23" ht="15.6" x14ac:dyDescent="0.3">
      <c r="A59" s="24"/>
      <c r="B59" s="25" t="s">
        <v>209</v>
      </c>
      <c r="C59" s="25"/>
      <c r="D59" s="25"/>
      <c r="E59" s="25"/>
      <c r="F59" s="25"/>
      <c r="G59" s="25"/>
      <c r="H59" s="25"/>
      <c r="I59" s="25"/>
      <c r="J59" s="25"/>
      <c r="K59" s="25"/>
      <c r="L59" s="25"/>
      <c r="M59" s="25"/>
      <c r="N59" s="25"/>
      <c r="O59" s="25"/>
      <c r="P59" s="25"/>
      <c r="Q59" s="25"/>
      <c r="R59" s="45"/>
      <c r="S59" s="46"/>
      <c r="T59" s="45" t="s">
        <v>126</v>
      </c>
      <c r="U59" s="25"/>
      <c r="V59" s="5"/>
    </row>
    <row r="60" spans="1:23" ht="15.6" x14ac:dyDescent="0.3">
      <c r="A60" s="24"/>
      <c r="B60" s="25" t="s">
        <v>249</v>
      </c>
      <c r="C60" s="25"/>
      <c r="D60" s="25"/>
      <c r="E60" s="25"/>
      <c r="F60" s="25"/>
      <c r="G60" s="25"/>
      <c r="H60" s="25"/>
      <c r="I60" s="25"/>
      <c r="J60" s="25"/>
      <c r="K60" s="25"/>
      <c r="L60" s="25"/>
      <c r="M60" s="25"/>
      <c r="N60" s="25"/>
      <c r="O60" s="25"/>
      <c r="P60" s="25"/>
      <c r="Q60" s="25"/>
      <c r="R60" s="45"/>
      <c r="S60" s="46"/>
      <c r="T60" s="45" t="s">
        <v>160</v>
      </c>
      <c r="U60" s="25"/>
      <c r="V60" s="5"/>
      <c r="W60" s="134"/>
    </row>
    <row r="61" spans="1:23" ht="15.6" x14ac:dyDescent="0.3">
      <c r="A61" s="24"/>
      <c r="B61" s="25" t="s">
        <v>16</v>
      </c>
      <c r="C61" s="25"/>
      <c r="D61" s="25"/>
      <c r="E61" s="25"/>
      <c r="F61" s="25"/>
      <c r="G61" s="25"/>
      <c r="H61" s="25"/>
      <c r="I61" s="25"/>
      <c r="J61" s="25"/>
      <c r="K61" s="25"/>
      <c r="L61" s="25"/>
      <c r="M61" s="25"/>
      <c r="N61" s="25"/>
      <c r="O61" s="25"/>
      <c r="P61" s="25"/>
      <c r="Q61" s="25"/>
      <c r="R61" s="45"/>
      <c r="S61" s="46"/>
      <c r="T61" s="45">
        <v>39084</v>
      </c>
      <c r="U61" s="25"/>
      <c r="V61" s="5"/>
    </row>
    <row r="62" spans="1:23" ht="15.6" x14ac:dyDescent="0.3">
      <c r="A62" s="24"/>
      <c r="B62" s="25"/>
      <c r="C62" s="25"/>
      <c r="D62" s="25"/>
      <c r="E62" s="25"/>
      <c r="F62" s="25"/>
      <c r="G62" s="25"/>
      <c r="H62" s="25"/>
      <c r="I62" s="25"/>
      <c r="J62" s="25"/>
      <c r="K62" s="25"/>
      <c r="L62" s="25"/>
      <c r="M62" s="25"/>
      <c r="N62" s="25"/>
      <c r="O62" s="25"/>
      <c r="P62" s="25"/>
      <c r="Q62" s="25"/>
      <c r="R62" s="45"/>
      <c r="S62" s="46"/>
      <c r="T62" s="45"/>
      <c r="U62" s="25"/>
      <c r="V62" s="5"/>
    </row>
    <row r="63" spans="1:23" ht="15.6" x14ac:dyDescent="0.3">
      <c r="A63" s="6"/>
      <c r="B63" s="8"/>
      <c r="C63" s="8"/>
      <c r="D63" s="8"/>
      <c r="E63" s="8"/>
      <c r="F63" s="8"/>
      <c r="G63" s="8"/>
      <c r="H63" s="8"/>
      <c r="I63" s="8"/>
      <c r="J63" s="8"/>
      <c r="K63" s="8"/>
      <c r="L63" s="8"/>
      <c r="M63" s="8"/>
      <c r="N63" s="8"/>
      <c r="O63" s="8"/>
      <c r="P63" s="8"/>
      <c r="Q63" s="8"/>
      <c r="R63" s="47"/>
      <c r="S63" s="48"/>
      <c r="T63" s="47"/>
      <c r="U63" s="8"/>
      <c r="V63" s="5"/>
    </row>
    <row r="64" spans="1:23" ht="18" thickBot="1" x14ac:dyDescent="0.35">
      <c r="A64" s="101"/>
      <c r="B64" s="102" t="s">
        <v>259</v>
      </c>
      <c r="C64" s="103"/>
      <c r="D64" s="103"/>
      <c r="E64" s="103"/>
      <c r="F64" s="103"/>
      <c r="G64" s="103"/>
      <c r="H64" s="103"/>
      <c r="I64" s="103"/>
      <c r="J64" s="103"/>
      <c r="K64" s="103"/>
      <c r="L64" s="103"/>
      <c r="M64" s="103"/>
      <c r="N64" s="103"/>
      <c r="O64" s="103"/>
      <c r="P64" s="103"/>
      <c r="Q64" s="103"/>
      <c r="R64" s="103"/>
      <c r="S64" s="103"/>
      <c r="T64" s="104"/>
      <c r="U64" s="105"/>
      <c r="V64" s="5"/>
    </row>
    <row r="65" spans="1:22" ht="15.6" x14ac:dyDescent="0.3">
      <c r="A65" s="2"/>
      <c r="B65" s="4"/>
      <c r="C65" s="4"/>
      <c r="D65" s="4"/>
      <c r="E65" s="4"/>
      <c r="F65" s="4"/>
      <c r="G65" s="4"/>
      <c r="H65" s="4"/>
      <c r="I65" s="4"/>
      <c r="J65" s="4"/>
      <c r="K65" s="4"/>
      <c r="L65" s="4"/>
      <c r="M65" s="4"/>
      <c r="N65" s="4"/>
      <c r="O65" s="4"/>
      <c r="P65" s="4"/>
      <c r="Q65" s="4"/>
      <c r="R65" s="4"/>
      <c r="S65" s="4"/>
      <c r="T65" s="50"/>
      <c r="U65" s="4"/>
      <c r="V65" s="5"/>
    </row>
    <row r="66" spans="1:22" ht="15.6" x14ac:dyDescent="0.3">
      <c r="A66" s="6"/>
      <c r="B66" s="51" t="s">
        <v>17</v>
      </c>
      <c r="C66" s="8"/>
      <c r="D66" s="8"/>
      <c r="E66" s="8"/>
      <c r="F66" s="8"/>
      <c r="G66" s="8"/>
      <c r="H66" s="8"/>
      <c r="I66" s="8"/>
      <c r="J66" s="8"/>
      <c r="K66" s="8"/>
      <c r="L66" s="8"/>
      <c r="M66" s="8"/>
      <c r="N66" s="8"/>
      <c r="O66" s="8"/>
      <c r="P66" s="8"/>
      <c r="Q66" s="8"/>
      <c r="R66" s="8"/>
      <c r="S66" s="8"/>
      <c r="T66" s="52"/>
      <c r="U66" s="8"/>
      <c r="V66" s="5"/>
    </row>
    <row r="67" spans="1:22" ht="15.6" x14ac:dyDescent="0.3">
      <c r="A67" s="6"/>
      <c r="B67" s="13"/>
      <c r="C67" s="8"/>
      <c r="D67" s="8"/>
      <c r="E67" s="8"/>
      <c r="F67" s="8"/>
      <c r="G67" s="8"/>
      <c r="H67" s="8"/>
      <c r="I67" s="8"/>
      <c r="J67" s="8"/>
      <c r="K67" s="8"/>
      <c r="L67" s="8"/>
      <c r="M67" s="8"/>
      <c r="N67" s="8"/>
      <c r="O67" s="8"/>
      <c r="P67" s="8"/>
      <c r="Q67" s="8"/>
      <c r="R67" s="8"/>
      <c r="S67" s="8"/>
      <c r="T67" s="52"/>
      <c r="U67" s="8"/>
      <c r="V67" s="5"/>
    </row>
    <row r="68" spans="1:22" ht="46.8" x14ac:dyDescent="0.3">
      <c r="A68" s="6"/>
      <c r="B68" s="114" t="s">
        <v>18</v>
      </c>
      <c r="C68" s="115"/>
      <c r="D68" s="115"/>
      <c r="E68" s="115"/>
      <c r="F68" s="115"/>
      <c r="G68" s="115"/>
      <c r="H68" s="115"/>
      <c r="I68" s="115"/>
      <c r="J68" s="115" t="s">
        <v>97</v>
      </c>
      <c r="K68" s="115"/>
      <c r="L68" s="115" t="s">
        <v>99</v>
      </c>
      <c r="M68" s="115"/>
      <c r="N68" s="115" t="s">
        <v>101</v>
      </c>
      <c r="O68" s="115"/>
      <c r="P68" s="115" t="s">
        <v>103</v>
      </c>
      <c r="Q68" s="115"/>
      <c r="R68" s="115" t="s">
        <v>110</v>
      </c>
      <c r="S68" s="115"/>
      <c r="T68" s="116" t="s">
        <v>118</v>
      </c>
      <c r="U68" s="117"/>
      <c r="V68" s="5"/>
    </row>
    <row r="69" spans="1:22" ht="15.6" x14ac:dyDescent="0.3">
      <c r="A69" s="24"/>
      <c r="B69" s="25" t="s">
        <v>19</v>
      </c>
      <c r="C69" s="34"/>
      <c r="D69" s="34"/>
      <c r="E69" s="34"/>
      <c r="F69" s="34"/>
      <c r="G69" s="34"/>
      <c r="H69" s="34"/>
      <c r="I69" s="34"/>
      <c r="J69" s="34">
        <v>1000039</v>
      </c>
      <c r="K69" s="34"/>
      <c r="L69" s="53">
        <v>964230</v>
      </c>
      <c r="M69" s="34"/>
      <c r="N69" s="34">
        <f>12968+2959+1144-1</f>
        <v>17070</v>
      </c>
      <c r="O69" s="34"/>
      <c r="P69" s="34">
        <f>2959+1144</f>
        <v>4103</v>
      </c>
      <c r="Q69" s="34"/>
      <c r="R69" s="34">
        <v>0</v>
      </c>
      <c r="S69" s="34"/>
      <c r="T69" s="53">
        <f>+L69-N69+P69-R69</f>
        <v>951263</v>
      </c>
      <c r="U69" s="25"/>
      <c r="V69" s="5"/>
    </row>
    <row r="70" spans="1:22" ht="15.6" x14ac:dyDescent="0.3">
      <c r="A70" s="24"/>
      <c r="B70" s="25" t="s">
        <v>20</v>
      </c>
      <c r="C70" s="34"/>
      <c r="D70" s="34"/>
      <c r="E70" s="34"/>
      <c r="F70" s="34"/>
      <c r="G70" s="34"/>
      <c r="H70" s="34"/>
      <c r="I70" s="34"/>
      <c r="J70" s="34">
        <v>10</v>
      </c>
      <c r="K70" s="34"/>
      <c r="L70" s="53">
        <v>0</v>
      </c>
      <c r="M70" s="34"/>
      <c r="N70" s="34">
        <v>0</v>
      </c>
      <c r="O70" s="34"/>
      <c r="P70" s="34">
        <v>0</v>
      </c>
      <c r="Q70" s="34"/>
      <c r="R70" s="34">
        <v>0</v>
      </c>
      <c r="S70" s="34"/>
      <c r="T70" s="53">
        <v>0</v>
      </c>
      <c r="U70" s="25"/>
      <c r="V70" s="5"/>
    </row>
    <row r="71" spans="1:22" ht="15.6" x14ac:dyDescent="0.3">
      <c r="A71" s="24"/>
      <c r="B71" s="25"/>
      <c r="C71" s="34"/>
      <c r="D71" s="34"/>
      <c r="E71" s="34"/>
      <c r="F71" s="34"/>
      <c r="G71" s="34"/>
      <c r="H71" s="34"/>
      <c r="I71" s="34"/>
      <c r="J71" s="34"/>
      <c r="K71" s="34"/>
      <c r="L71" s="53"/>
      <c r="M71" s="34"/>
      <c r="N71" s="34"/>
      <c r="O71" s="34"/>
      <c r="P71" s="34"/>
      <c r="Q71" s="34"/>
      <c r="R71" s="34"/>
      <c r="S71" s="34"/>
      <c r="T71" s="53"/>
      <c r="U71" s="25"/>
      <c r="V71" s="5"/>
    </row>
    <row r="72" spans="1:22" ht="15.6" x14ac:dyDescent="0.3">
      <c r="A72" s="24"/>
      <c r="B72" s="25" t="s">
        <v>21</v>
      </c>
      <c r="C72" s="34"/>
      <c r="D72" s="34"/>
      <c r="E72" s="34"/>
      <c r="F72" s="34"/>
      <c r="G72" s="34"/>
      <c r="H72" s="34"/>
      <c r="I72" s="34"/>
      <c r="J72" s="34">
        <f>SUM(J69:J71)</f>
        <v>1000049</v>
      </c>
      <c r="K72" s="34"/>
      <c r="L72" s="54">
        <f>L69+L70</f>
        <v>964230</v>
      </c>
      <c r="M72" s="34"/>
      <c r="N72" s="34">
        <f>SUM(N69:N71)</f>
        <v>17070</v>
      </c>
      <c r="O72" s="34"/>
      <c r="P72" s="34">
        <f>SUM(P69:P71)</f>
        <v>4103</v>
      </c>
      <c r="Q72" s="34"/>
      <c r="R72" s="34">
        <f>SUM(R69:R71)</f>
        <v>0</v>
      </c>
      <c r="S72" s="34"/>
      <c r="T72" s="54">
        <f>SUM(T69:T71)</f>
        <v>951263</v>
      </c>
      <c r="U72" s="25"/>
      <c r="V72" s="5"/>
    </row>
    <row r="73" spans="1:22" ht="15.6" x14ac:dyDescent="0.3">
      <c r="A73" s="24"/>
      <c r="B73" s="25"/>
      <c r="C73" s="34"/>
      <c r="D73" s="34"/>
      <c r="E73" s="34"/>
      <c r="F73" s="34"/>
      <c r="G73" s="34"/>
      <c r="H73" s="34"/>
      <c r="I73" s="34"/>
      <c r="J73" s="34"/>
      <c r="K73" s="34"/>
      <c r="L73" s="34"/>
      <c r="M73" s="34"/>
      <c r="N73" s="34"/>
      <c r="O73" s="34"/>
      <c r="P73" s="34"/>
      <c r="Q73" s="34"/>
      <c r="R73" s="34"/>
      <c r="S73" s="34"/>
      <c r="T73" s="54"/>
      <c r="U73" s="25"/>
      <c r="V73" s="5"/>
    </row>
    <row r="74" spans="1:22" ht="15.6" x14ac:dyDescent="0.3">
      <c r="A74" s="6"/>
      <c r="B74" s="111" t="s">
        <v>22</v>
      </c>
      <c r="C74" s="55"/>
      <c r="D74" s="55"/>
      <c r="E74" s="55"/>
      <c r="F74" s="55"/>
      <c r="G74" s="55"/>
      <c r="H74" s="55"/>
      <c r="I74" s="55"/>
      <c r="J74" s="55"/>
      <c r="K74" s="55"/>
      <c r="L74" s="55"/>
      <c r="M74" s="55"/>
      <c r="N74" s="55"/>
      <c r="O74" s="55"/>
      <c r="P74" s="55"/>
      <c r="Q74" s="55"/>
      <c r="R74" s="55"/>
      <c r="S74" s="55"/>
      <c r="T74" s="56"/>
      <c r="U74" s="8"/>
      <c r="V74" s="5"/>
    </row>
    <row r="75" spans="1:22" ht="15.6" x14ac:dyDescent="0.3">
      <c r="A75" s="6"/>
      <c r="B75" s="8"/>
      <c r="C75" s="55"/>
      <c r="D75" s="55"/>
      <c r="E75" s="55"/>
      <c r="F75" s="55"/>
      <c r="G75" s="55"/>
      <c r="H75" s="55"/>
      <c r="I75" s="55"/>
      <c r="J75" s="55"/>
      <c r="K75" s="55"/>
      <c r="L75" s="55"/>
      <c r="M75" s="55"/>
      <c r="N75" s="55"/>
      <c r="O75" s="55"/>
      <c r="P75" s="55"/>
      <c r="Q75" s="55"/>
      <c r="R75" s="55"/>
      <c r="S75" s="55"/>
      <c r="T75" s="56"/>
      <c r="U75" s="8"/>
      <c r="V75" s="5"/>
    </row>
    <row r="76" spans="1:22" ht="15.6" x14ac:dyDescent="0.3">
      <c r="A76" s="24"/>
      <c r="B76" s="25" t="s">
        <v>19</v>
      </c>
      <c r="C76" s="34"/>
      <c r="D76" s="34"/>
      <c r="E76" s="34"/>
      <c r="F76" s="34"/>
      <c r="G76" s="34"/>
      <c r="H76" s="34"/>
      <c r="I76" s="34"/>
      <c r="J76" s="34"/>
      <c r="K76" s="34"/>
      <c r="L76" s="34"/>
      <c r="M76" s="34"/>
      <c r="N76" s="34"/>
      <c r="O76" s="34"/>
      <c r="P76" s="34"/>
      <c r="Q76" s="34"/>
      <c r="R76" s="34"/>
      <c r="S76" s="34"/>
      <c r="T76" s="54"/>
      <c r="U76" s="25"/>
      <c r="V76" s="5"/>
    </row>
    <row r="77" spans="1:22" ht="15.6" x14ac:dyDescent="0.3">
      <c r="A77" s="24"/>
      <c r="B77" s="25" t="s">
        <v>20</v>
      </c>
      <c r="C77" s="34"/>
      <c r="D77" s="34"/>
      <c r="E77" s="34"/>
      <c r="F77" s="34"/>
      <c r="G77" s="34"/>
      <c r="H77" s="34"/>
      <c r="I77" s="34"/>
      <c r="J77" s="34"/>
      <c r="K77" s="34"/>
      <c r="L77" s="34"/>
      <c r="M77" s="34"/>
      <c r="N77" s="34"/>
      <c r="O77" s="34"/>
      <c r="P77" s="34"/>
      <c r="Q77" s="34"/>
      <c r="R77" s="34"/>
      <c r="S77" s="34"/>
      <c r="T77" s="54"/>
      <c r="U77" s="25"/>
      <c r="V77" s="5"/>
    </row>
    <row r="78" spans="1:22" ht="15.6" x14ac:dyDescent="0.3">
      <c r="A78" s="24"/>
      <c r="B78" s="25"/>
      <c r="C78" s="34"/>
      <c r="D78" s="34"/>
      <c r="E78" s="34"/>
      <c r="F78" s="34"/>
      <c r="G78" s="34"/>
      <c r="H78" s="34"/>
      <c r="I78" s="34"/>
      <c r="J78" s="34"/>
      <c r="K78" s="34"/>
      <c r="L78" s="34"/>
      <c r="M78" s="34"/>
      <c r="N78" s="34"/>
      <c r="O78" s="34"/>
      <c r="P78" s="34"/>
      <c r="Q78" s="34"/>
      <c r="R78" s="34"/>
      <c r="S78" s="34"/>
      <c r="T78" s="54"/>
      <c r="U78" s="25"/>
      <c r="V78" s="5"/>
    </row>
    <row r="79" spans="1:22" ht="15.6" x14ac:dyDescent="0.3">
      <c r="A79" s="24"/>
      <c r="B79" s="25" t="s">
        <v>21</v>
      </c>
      <c r="C79" s="34"/>
      <c r="D79" s="34"/>
      <c r="E79" s="34"/>
      <c r="F79" s="34"/>
      <c r="G79" s="34"/>
      <c r="H79" s="34"/>
      <c r="I79" s="34"/>
      <c r="J79" s="34"/>
      <c r="K79" s="34"/>
      <c r="L79" s="34"/>
      <c r="M79" s="34"/>
      <c r="N79" s="34"/>
      <c r="O79" s="34"/>
      <c r="P79" s="34"/>
      <c r="Q79" s="34"/>
      <c r="R79" s="34"/>
      <c r="S79" s="34"/>
      <c r="T79" s="34"/>
      <c r="U79" s="25"/>
      <c r="V79" s="5"/>
    </row>
    <row r="80" spans="1:22" ht="15.6" x14ac:dyDescent="0.3">
      <c r="A80" s="24"/>
      <c r="B80" s="25"/>
      <c r="C80" s="34"/>
      <c r="D80" s="34"/>
      <c r="E80" s="34"/>
      <c r="F80" s="34"/>
      <c r="G80" s="34"/>
      <c r="H80" s="34"/>
      <c r="I80" s="34"/>
      <c r="J80" s="34"/>
      <c r="K80" s="34"/>
      <c r="L80" s="34"/>
      <c r="M80" s="34"/>
      <c r="N80" s="34"/>
      <c r="O80" s="34"/>
      <c r="P80" s="34"/>
      <c r="Q80" s="34"/>
      <c r="R80" s="34"/>
      <c r="S80" s="34"/>
      <c r="T80" s="34"/>
      <c r="U80" s="25"/>
      <c r="V80" s="5"/>
    </row>
    <row r="81" spans="1:22" ht="15.6" x14ac:dyDescent="0.3">
      <c r="A81" s="24"/>
      <c r="B81" s="25" t="s">
        <v>23</v>
      </c>
      <c r="C81" s="34"/>
      <c r="D81" s="34"/>
      <c r="E81" s="34"/>
      <c r="F81" s="34"/>
      <c r="G81" s="34"/>
      <c r="H81" s="34"/>
      <c r="I81" s="34"/>
      <c r="J81" s="34">
        <v>0</v>
      </c>
      <c r="K81" s="34"/>
      <c r="L81" s="34">
        <v>0</v>
      </c>
      <c r="M81" s="34"/>
      <c r="N81" s="34"/>
      <c r="O81" s="34"/>
      <c r="P81" s="34"/>
      <c r="Q81" s="34"/>
      <c r="R81" s="34"/>
      <c r="S81" s="34"/>
      <c r="T81" s="53">
        <v>0</v>
      </c>
      <c r="U81" s="25"/>
      <c r="V81" s="5"/>
    </row>
    <row r="82" spans="1:22" ht="15.6" x14ac:dyDescent="0.3">
      <c r="A82" s="24"/>
      <c r="B82" s="25" t="s">
        <v>123</v>
      </c>
      <c r="C82" s="34"/>
      <c r="D82" s="34"/>
      <c r="E82" s="34"/>
      <c r="F82" s="34"/>
      <c r="G82" s="34"/>
      <c r="H82" s="34"/>
      <c r="I82" s="34"/>
      <c r="J82" s="34">
        <v>0</v>
      </c>
      <c r="K82" s="34"/>
      <c r="L82" s="34">
        <v>0</v>
      </c>
      <c r="M82" s="34"/>
      <c r="N82" s="34"/>
      <c r="O82" s="34"/>
      <c r="P82" s="34"/>
      <c r="Q82" s="34"/>
      <c r="R82" s="34"/>
      <c r="S82" s="34"/>
      <c r="T82" s="54">
        <f>SUM(J82:P82)</f>
        <v>0</v>
      </c>
      <c r="U82" s="25"/>
      <c r="V82" s="5"/>
    </row>
    <row r="83" spans="1:22" ht="15.6" x14ac:dyDescent="0.3">
      <c r="A83" s="24"/>
      <c r="B83" s="25" t="s">
        <v>152</v>
      </c>
      <c r="C83" s="34"/>
      <c r="D83" s="34"/>
      <c r="E83" s="34"/>
      <c r="F83" s="34"/>
      <c r="G83" s="34"/>
      <c r="H83" s="34"/>
      <c r="I83" s="34"/>
      <c r="J83" s="34">
        <v>1</v>
      </c>
      <c r="K83" s="34"/>
      <c r="L83" s="34">
        <v>0</v>
      </c>
      <c r="M83" s="34"/>
      <c r="N83" s="34">
        <v>0</v>
      </c>
      <c r="O83" s="34"/>
      <c r="P83" s="34"/>
      <c r="Q83" s="34"/>
      <c r="R83" s="34"/>
      <c r="S83" s="34"/>
      <c r="T83" s="54">
        <f>+L83+N83</f>
        <v>0</v>
      </c>
      <c r="U83" s="25"/>
      <c r="V83" s="5"/>
    </row>
    <row r="84" spans="1:22" ht="15.6" x14ac:dyDescent="0.3">
      <c r="A84" s="24"/>
      <c r="B84" s="25" t="s">
        <v>25</v>
      </c>
      <c r="C84" s="34"/>
      <c r="D84" s="34"/>
      <c r="E84" s="34"/>
      <c r="F84" s="34"/>
      <c r="G84" s="34"/>
      <c r="H84" s="34"/>
      <c r="I84" s="34"/>
      <c r="J84" s="34">
        <v>0</v>
      </c>
      <c r="K84" s="34"/>
      <c r="L84" s="34">
        <v>0</v>
      </c>
      <c r="M84" s="34"/>
      <c r="N84" s="34"/>
      <c r="O84" s="34"/>
      <c r="P84" s="34"/>
      <c r="Q84" s="34"/>
      <c r="R84" s="34"/>
      <c r="S84" s="34"/>
      <c r="T84" s="54">
        <v>0</v>
      </c>
      <c r="U84" s="25"/>
      <c r="V84" s="5"/>
    </row>
    <row r="85" spans="1:22" ht="15.6" x14ac:dyDescent="0.3">
      <c r="A85" s="24"/>
      <c r="B85" s="25" t="s">
        <v>26</v>
      </c>
      <c r="C85" s="34"/>
      <c r="D85" s="34"/>
      <c r="E85" s="34"/>
      <c r="F85" s="54"/>
      <c r="G85" s="34"/>
      <c r="H85" s="54"/>
      <c r="I85" s="54"/>
      <c r="J85" s="54">
        <f>SUM(J72:J84)</f>
        <v>1000050</v>
      </c>
      <c r="K85" s="34"/>
      <c r="L85" s="54">
        <f>SUM(L72:L84)</f>
        <v>964230</v>
      </c>
      <c r="M85" s="34"/>
      <c r="N85" s="34"/>
      <c r="O85" s="34"/>
      <c r="P85" s="34"/>
      <c r="Q85" s="34"/>
      <c r="R85" s="54"/>
      <c r="S85" s="34"/>
      <c r="T85" s="54">
        <f>SUM(T72:T84)</f>
        <v>951263</v>
      </c>
      <c r="U85" s="25"/>
      <c r="V85" s="5"/>
    </row>
    <row r="86" spans="1:22" ht="15.6" x14ac:dyDescent="0.3">
      <c r="A86" s="24"/>
      <c r="B86" s="25"/>
      <c r="C86" s="34"/>
      <c r="D86" s="34"/>
      <c r="E86" s="34"/>
      <c r="F86" s="34"/>
      <c r="G86" s="34"/>
      <c r="H86" s="34"/>
      <c r="I86" s="34"/>
      <c r="J86" s="34"/>
      <c r="K86" s="34"/>
      <c r="L86" s="34"/>
      <c r="M86" s="34"/>
      <c r="N86" s="34"/>
      <c r="O86" s="34"/>
      <c r="P86" s="34"/>
      <c r="Q86" s="34"/>
      <c r="R86" s="34"/>
      <c r="S86" s="34"/>
      <c r="T86" s="54"/>
      <c r="U86" s="25"/>
      <c r="V86" s="5"/>
    </row>
    <row r="87" spans="1:22" ht="15.6" x14ac:dyDescent="0.3">
      <c r="A87" s="6"/>
      <c r="B87" s="8"/>
      <c r="C87" s="8"/>
      <c r="D87" s="8"/>
      <c r="E87" s="8"/>
      <c r="F87" s="8"/>
      <c r="G87" s="8"/>
      <c r="H87" s="8"/>
      <c r="I87" s="8"/>
      <c r="J87" s="8"/>
      <c r="K87" s="8"/>
      <c r="L87" s="8"/>
      <c r="M87" s="8"/>
      <c r="N87" s="8"/>
      <c r="O87" s="8"/>
      <c r="P87" s="8"/>
      <c r="Q87" s="8"/>
      <c r="R87" s="8"/>
      <c r="S87" s="8"/>
      <c r="T87" s="8"/>
      <c r="U87" s="8"/>
      <c r="V87" s="5"/>
    </row>
    <row r="88" spans="1:22" ht="15.6" x14ac:dyDescent="0.3">
      <c r="A88" s="6"/>
      <c r="B88" s="51" t="s">
        <v>27</v>
      </c>
      <c r="C88" s="14"/>
      <c r="D88" s="14"/>
      <c r="E88" s="14"/>
      <c r="F88" s="14"/>
      <c r="G88" s="14"/>
      <c r="H88" s="17"/>
      <c r="I88" s="17"/>
      <c r="J88" s="159" t="s">
        <v>98</v>
      </c>
      <c r="K88" s="17"/>
      <c r="L88" s="158">
        <f>+R192</f>
        <v>39080</v>
      </c>
      <c r="M88" s="17"/>
      <c r="N88" s="17"/>
      <c r="O88" s="17"/>
      <c r="P88" s="17"/>
      <c r="Q88" s="17"/>
      <c r="R88" s="17" t="s">
        <v>111</v>
      </c>
      <c r="S88" s="17"/>
      <c r="T88" s="17" t="s">
        <v>119</v>
      </c>
      <c r="U88" s="8"/>
      <c r="V88" s="5"/>
    </row>
    <row r="89" spans="1:22" ht="15.6" x14ac:dyDescent="0.3">
      <c r="A89" s="24"/>
      <c r="B89" s="25" t="s">
        <v>28</v>
      </c>
      <c r="C89" s="25"/>
      <c r="D89" s="25"/>
      <c r="E89" s="25"/>
      <c r="F89" s="25"/>
      <c r="G89" s="25"/>
      <c r="H89" s="25"/>
      <c r="I89" s="25"/>
      <c r="J89" s="25"/>
      <c r="K89" s="25"/>
      <c r="L89" s="25"/>
      <c r="M89" s="25"/>
      <c r="N89" s="25"/>
      <c r="O89" s="25"/>
      <c r="P89" s="25"/>
      <c r="Q89" s="25"/>
      <c r="R89" s="34">
        <v>0</v>
      </c>
      <c r="S89" s="25"/>
      <c r="T89" s="53">
        <v>0</v>
      </c>
      <c r="U89" s="25"/>
      <c r="V89" s="5"/>
    </row>
    <row r="90" spans="1:22" ht="15.6" x14ac:dyDescent="0.3">
      <c r="A90" s="24"/>
      <c r="B90" s="25" t="s">
        <v>29</v>
      </c>
      <c r="C90" s="25"/>
      <c r="D90" s="25"/>
      <c r="E90" s="25"/>
      <c r="F90" s="25"/>
      <c r="G90" s="25"/>
      <c r="H90" s="40"/>
      <c r="I90" s="57"/>
      <c r="J90" s="40"/>
      <c r="K90" s="25"/>
      <c r="L90" s="127"/>
      <c r="M90" s="25"/>
      <c r="N90" s="25"/>
      <c r="O90" s="25"/>
      <c r="P90" s="25"/>
      <c r="Q90" s="25"/>
      <c r="R90" s="34">
        <v>17070</v>
      </c>
      <c r="S90" s="25"/>
      <c r="T90" s="53"/>
      <c r="U90" s="25"/>
      <c r="V90" s="5"/>
    </row>
    <row r="91" spans="1:22" ht="15.6" x14ac:dyDescent="0.3">
      <c r="A91" s="24"/>
      <c r="B91" s="25" t="s">
        <v>225</v>
      </c>
      <c r="C91" s="25"/>
      <c r="D91" s="25"/>
      <c r="E91" s="25"/>
      <c r="F91" s="25"/>
      <c r="G91" s="25"/>
      <c r="H91" s="40"/>
      <c r="I91" s="57"/>
      <c r="J91" s="40"/>
      <c r="K91" s="25"/>
      <c r="L91" s="127"/>
      <c r="M91" s="25"/>
      <c r="N91" s="25"/>
      <c r="O91" s="25"/>
      <c r="P91" s="25"/>
      <c r="Q91" s="25"/>
      <c r="R91" s="34"/>
      <c r="S91" s="25"/>
      <c r="T91" s="53">
        <f>5858+7196-568-258</f>
        <v>12228</v>
      </c>
      <c r="U91" s="25"/>
      <c r="V91" s="5"/>
    </row>
    <row r="92" spans="1:22" ht="15.6" x14ac:dyDescent="0.3">
      <c r="A92" s="24"/>
      <c r="B92" s="25" t="s">
        <v>220</v>
      </c>
      <c r="C92" s="25"/>
      <c r="D92" s="25"/>
      <c r="E92" s="25"/>
      <c r="F92" s="25"/>
      <c r="G92" s="25"/>
      <c r="H92" s="40"/>
      <c r="I92" s="57"/>
      <c r="J92" s="40"/>
      <c r="K92" s="25"/>
      <c r="L92" s="127"/>
      <c r="M92" s="25"/>
      <c r="N92" s="25"/>
      <c r="O92" s="25"/>
      <c r="P92" s="25"/>
      <c r="Q92" s="25"/>
      <c r="R92" s="34"/>
      <c r="S92" s="25"/>
      <c r="T92" s="53">
        <f>155+243</f>
        <v>398</v>
      </c>
      <c r="U92" s="25"/>
      <c r="V92" s="5"/>
    </row>
    <row r="93" spans="1:22" ht="15.6" x14ac:dyDescent="0.3">
      <c r="A93" s="24"/>
      <c r="B93" s="25" t="s">
        <v>221</v>
      </c>
      <c r="C93" s="25"/>
      <c r="D93" s="25"/>
      <c r="E93" s="25"/>
      <c r="F93" s="25"/>
      <c r="G93" s="25"/>
      <c r="H93" s="40"/>
      <c r="I93" s="57"/>
      <c r="J93" s="40"/>
      <c r="K93" s="25"/>
      <c r="L93" s="127"/>
      <c r="M93" s="25"/>
      <c r="N93" s="25"/>
      <c r="O93" s="25"/>
      <c r="P93" s="25"/>
      <c r="Q93" s="25"/>
      <c r="R93" s="34"/>
      <c r="S93" s="25"/>
      <c r="T93" s="53">
        <v>346</v>
      </c>
      <c r="U93" s="25"/>
      <c r="V93" s="5"/>
    </row>
    <row r="94" spans="1:22" ht="15.6" x14ac:dyDescent="0.3">
      <c r="A94" s="24"/>
      <c r="B94" s="25" t="s">
        <v>261</v>
      </c>
      <c r="C94" s="25"/>
      <c r="D94" s="25"/>
      <c r="E94" s="25"/>
      <c r="F94" s="25"/>
      <c r="G94" s="25"/>
      <c r="H94" s="40"/>
      <c r="I94" s="57"/>
      <c r="J94" s="40"/>
      <c r="K94" s="25"/>
      <c r="L94" s="127"/>
      <c r="M94" s="25"/>
      <c r="N94" s="25"/>
      <c r="O94" s="25"/>
      <c r="P94" s="25"/>
      <c r="Q94" s="25"/>
      <c r="R94" s="34"/>
      <c r="S94" s="25"/>
      <c r="T94" s="53">
        <v>893</v>
      </c>
      <c r="U94" s="25"/>
      <c r="V94" s="5"/>
    </row>
    <row r="95" spans="1:22" ht="15.6" x14ac:dyDescent="0.3">
      <c r="A95" s="24"/>
      <c r="B95" s="25" t="s">
        <v>141</v>
      </c>
      <c r="C95" s="25"/>
      <c r="D95" s="25"/>
      <c r="E95" s="25"/>
      <c r="F95" s="25"/>
      <c r="G95" s="25"/>
      <c r="H95" s="25"/>
      <c r="I95" s="25"/>
      <c r="J95" s="25"/>
      <c r="K95" s="25"/>
      <c r="L95" s="25"/>
      <c r="M95" s="25"/>
      <c r="N95" s="25"/>
      <c r="O95" s="25"/>
      <c r="P95" s="25"/>
      <c r="Q95" s="25"/>
      <c r="R95" s="34"/>
      <c r="S95" s="25"/>
      <c r="T95" s="53">
        <v>0</v>
      </c>
      <c r="U95" s="25"/>
      <c r="V95" s="5"/>
    </row>
    <row r="96" spans="1:22" ht="15.6" x14ac:dyDescent="0.3">
      <c r="A96" s="24"/>
      <c r="B96" s="25" t="s">
        <v>250</v>
      </c>
      <c r="C96" s="25"/>
      <c r="D96" s="25"/>
      <c r="E96" s="25"/>
      <c r="F96" s="25"/>
      <c r="G96" s="25"/>
      <c r="H96" s="25"/>
      <c r="I96" s="25"/>
      <c r="J96" s="25"/>
      <c r="K96" s="25"/>
      <c r="L96" s="25"/>
      <c r="M96" s="25"/>
      <c r="N96" s="25"/>
      <c r="O96" s="25"/>
      <c r="P96" s="25"/>
      <c r="Q96" s="25"/>
      <c r="R96" s="34"/>
      <c r="S96" s="25"/>
      <c r="T96" s="53">
        <v>2389</v>
      </c>
      <c r="U96" s="25"/>
      <c r="V96" s="5"/>
    </row>
    <row r="97" spans="1:24" ht="15.6" x14ac:dyDescent="0.3">
      <c r="A97" s="24"/>
      <c r="B97" s="25" t="s">
        <v>30</v>
      </c>
      <c r="C97" s="25"/>
      <c r="D97" s="25"/>
      <c r="E97" s="25"/>
      <c r="F97" s="25"/>
      <c r="G97" s="25"/>
      <c r="H97" s="25"/>
      <c r="I97" s="25"/>
      <c r="J97" s="25"/>
      <c r="K97" s="25"/>
      <c r="L97" s="25"/>
      <c r="M97" s="25"/>
      <c r="N97" s="25"/>
      <c r="O97" s="25"/>
      <c r="P97" s="25"/>
      <c r="Q97" s="25"/>
      <c r="R97" s="34">
        <f>SUM(R89:R96)</f>
        <v>17070</v>
      </c>
      <c r="S97" s="25"/>
      <c r="T97" s="54">
        <f>SUM(T89:T96)</f>
        <v>16254</v>
      </c>
      <c r="U97" s="25"/>
      <c r="V97" s="5"/>
    </row>
    <row r="98" spans="1:24" ht="15.6" x14ac:dyDescent="0.3">
      <c r="A98" s="24"/>
      <c r="B98" s="25" t="s">
        <v>168</v>
      </c>
      <c r="C98" s="25"/>
      <c r="D98" s="25"/>
      <c r="E98" s="25"/>
      <c r="F98" s="25"/>
      <c r="G98" s="25"/>
      <c r="H98" s="25"/>
      <c r="I98" s="25"/>
      <c r="J98" s="25"/>
      <c r="K98" s="25"/>
      <c r="L98" s="25"/>
      <c r="M98" s="25"/>
      <c r="N98" s="25"/>
      <c r="O98" s="25"/>
      <c r="P98" s="25"/>
      <c r="Q98" s="25"/>
      <c r="R98" s="34">
        <f>-T98</f>
        <v>-44</v>
      </c>
      <c r="S98" s="25"/>
      <c r="T98" s="54">
        <v>44</v>
      </c>
      <c r="U98" s="25"/>
      <c r="V98" s="5"/>
    </row>
    <row r="99" spans="1:24" ht="15.6" x14ac:dyDescent="0.3">
      <c r="A99" s="24"/>
      <c r="B99" s="25" t="s">
        <v>31</v>
      </c>
      <c r="C99" s="25"/>
      <c r="D99" s="25"/>
      <c r="E99" s="25"/>
      <c r="F99" s="25"/>
      <c r="G99" s="25"/>
      <c r="H99" s="25"/>
      <c r="I99" s="25"/>
      <c r="J99" s="25"/>
      <c r="K99" s="25"/>
      <c r="L99" s="25"/>
      <c r="M99" s="25"/>
      <c r="N99" s="25"/>
      <c r="O99" s="25"/>
      <c r="P99" s="25"/>
      <c r="Q99" s="25"/>
      <c r="R99" s="34">
        <f>-T99</f>
        <v>0</v>
      </c>
      <c r="S99" s="25"/>
      <c r="T99" s="53">
        <v>0</v>
      </c>
      <c r="U99" s="25"/>
      <c r="V99" s="5"/>
    </row>
    <row r="100" spans="1:24" ht="15.6" x14ac:dyDescent="0.3">
      <c r="A100" s="24"/>
      <c r="B100" s="25" t="s">
        <v>32</v>
      </c>
      <c r="C100" s="25"/>
      <c r="D100" s="25"/>
      <c r="E100" s="25"/>
      <c r="F100" s="25"/>
      <c r="G100" s="25"/>
      <c r="H100" s="25"/>
      <c r="I100" s="25"/>
      <c r="J100" s="25"/>
      <c r="K100" s="25"/>
      <c r="L100" s="25"/>
      <c r="M100" s="25"/>
      <c r="N100" s="25"/>
      <c r="O100" s="25"/>
      <c r="P100" s="25"/>
      <c r="Q100" s="25"/>
      <c r="R100" s="34">
        <f>R97+R99+R98</f>
        <v>17026</v>
      </c>
      <c r="S100" s="25"/>
      <c r="T100" s="54">
        <f>T97+T99+T98</f>
        <v>16298</v>
      </c>
      <c r="U100" s="25"/>
      <c r="V100" s="5"/>
    </row>
    <row r="101" spans="1:24" ht="15.6" x14ac:dyDescent="0.3">
      <c r="A101" s="24"/>
      <c r="B101" s="118" t="s">
        <v>33</v>
      </c>
      <c r="C101" s="25"/>
      <c r="D101" s="25"/>
      <c r="E101" s="25"/>
      <c r="F101" s="25"/>
      <c r="G101" s="25"/>
      <c r="H101" s="25"/>
      <c r="I101" s="25"/>
      <c r="J101" s="25"/>
      <c r="K101" s="25"/>
      <c r="L101" s="25"/>
      <c r="M101" s="25"/>
      <c r="N101" s="25"/>
      <c r="O101" s="25"/>
      <c r="P101" s="25"/>
      <c r="Q101" s="25"/>
      <c r="R101" s="34"/>
      <c r="S101" s="25"/>
      <c r="T101" s="53"/>
      <c r="U101" s="25"/>
      <c r="V101" s="5"/>
    </row>
    <row r="102" spans="1:24" ht="15.6" x14ac:dyDescent="0.3">
      <c r="A102" s="24">
        <v>1</v>
      </c>
      <c r="B102" s="25" t="s">
        <v>34</v>
      </c>
      <c r="C102" s="25"/>
      <c r="D102" s="25"/>
      <c r="E102" s="25"/>
      <c r="F102" s="25"/>
      <c r="G102" s="25"/>
      <c r="H102" s="25"/>
      <c r="I102" s="25"/>
      <c r="J102" s="25"/>
      <c r="K102" s="25"/>
      <c r="L102" s="25"/>
      <c r="M102" s="25"/>
      <c r="N102" s="25"/>
      <c r="O102" s="25"/>
      <c r="P102" s="25"/>
      <c r="Q102" s="25"/>
      <c r="R102" s="25"/>
      <c r="S102" s="25"/>
      <c r="T102" s="53">
        <v>0</v>
      </c>
      <c r="U102" s="25"/>
      <c r="V102" s="5"/>
    </row>
    <row r="103" spans="1:24" ht="15.6" x14ac:dyDescent="0.3">
      <c r="A103" s="24">
        <f>+A102+1</f>
        <v>2</v>
      </c>
      <c r="B103" s="25" t="s">
        <v>255</v>
      </c>
      <c r="C103" s="25"/>
      <c r="D103" s="25"/>
      <c r="E103" s="25"/>
      <c r="F103" s="25"/>
      <c r="G103" s="25"/>
      <c r="H103" s="25"/>
      <c r="I103" s="25"/>
      <c r="J103" s="25"/>
      <c r="K103" s="25"/>
      <c r="L103" s="25"/>
      <c r="M103" s="25"/>
      <c r="N103" s="25"/>
      <c r="O103" s="25"/>
      <c r="P103" s="25"/>
      <c r="Q103" s="25"/>
      <c r="R103" s="25"/>
      <c r="S103" s="25"/>
      <c r="T103" s="53">
        <v>-2</v>
      </c>
      <c r="U103" s="25"/>
      <c r="V103" s="5"/>
    </row>
    <row r="104" spans="1:24" ht="15.6" x14ac:dyDescent="0.3">
      <c r="A104" s="24">
        <f>+A103+1</f>
        <v>3</v>
      </c>
      <c r="B104" s="25" t="s">
        <v>213</v>
      </c>
      <c r="C104" s="25"/>
      <c r="D104" s="25"/>
      <c r="E104" s="25"/>
      <c r="F104" s="25"/>
      <c r="G104" s="25"/>
      <c r="H104" s="25"/>
      <c r="I104" s="25"/>
      <c r="J104" s="25"/>
      <c r="K104" s="25"/>
      <c r="L104" s="25"/>
      <c r="M104" s="25"/>
      <c r="N104" s="25"/>
      <c r="O104" s="25"/>
      <c r="P104" s="25"/>
      <c r="Q104" s="25"/>
      <c r="R104" s="25"/>
      <c r="S104" s="25"/>
      <c r="T104" s="53">
        <f>-364-6-12</f>
        <v>-382</v>
      </c>
      <c r="U104" s="25"/>
      <c r="V104" s="5"/>
    </row>
    <row r="105" spans="1:24" ht="15.6" x14ac:dyDescent="0.3">
      <c r="A105" s="24" t="s">
        <v>133</v>
      </c>
      <c r="B105" s="25" t="s">
        <v>122</v>
      </c>
      <c r="C105" s="25"/>
      <c r="D105" s="25"/>
      <c r="E105" s="25"/>
      <c r="F105" s="25"/>
      <c r="G105" s="25"/>
      <c r="H105" s="25"/>
      <c r="I105" s="25"/>
      <c r="J105" s="25"/>
      <c r="K105" s="25"/>
      <c r="L105" s="25"/>
      <c r="M105" s="25"/>
      <c r="N105" s="25"/>
      <c r="O105" s="25"/>
      <c r="P105" s="25"/>
      <c r="Q105" s="25"/>
      <c r="R105" s="25"/>
      <c r="S105" s="25"/>
      <c r="T105" s="53">
        <v>0</v>
      </c>
      <c r="U105" s="25"/>
      <c r="V105" s="5"/>
    </row>
    <row r="106" spans="1:24" ht="15.6" x14ac:dyDescent="0.3">
      <c r="A106" s="24" t="s">
        <v>134</v>
      </c>
      <c r="B106" s="25" t="s">
        <v>194</v>
      </c>
      <c r="C106" s="25"/>
      <c r="D106" s="25"/>
      <c r="E106" s="25"/>
      <c r="F106" s="25"/>
      <c r="G106" s="25"/>
      <c r="H106" s="25"/>
      <c r="I106" s="25"/>
      <c r="J106" s="25"/>
      <c r="K106" s="25"/>
      <c r="L106" s="25"/>
      <c r="M106" s="25"/>
      <c r="N106" s="25"/>
      <c r="O106" s="25"/>
      <c r="P106" s="25"/>
      <c r="Q106" s="25"/>
      <c r="R106" s="25"/>
      <c r="S106" s="25"/>
      <c r="T106" s="53">
        <f>-7037-1909</f>
        <v>-8946</v>
      </c>
      <c r="U106" s="25"/>
      <c r="V106" s="5"/>
      <c r="W106" s="109"/>
    </row>
    <row r="107" spans="1:24" ht="15.6" x14ac:dyDescent="0.3">
      <c r="A107" s="24" t="s">
        <v>156</v>
      </c>
      <c r="B107" s="25" t="s">
        <v>191</v>
      </c>
      <c r="C107" s="25"/>
      <c r="D107" s="25"/>
      <c r="E107" s="25"/>
      <c r="F107" s="25"/>
      <c r="G107" s="25"/>
      <c r="H107" s="25"/>
      <c r="I107" s="25"/>
      <c r="J107" s="25"/>
      <c r="K107" s="25"/>
      <c r="L107" s="25"/>
      <c r="M107" s="25"/>
      <c r="N107" s="25"/>
      <c r="O107" s="25"/>
      <c r="P107" s="25"/>
      <c r="Q107" s="25"/>
      <c r="R107" s="25"/>
      <c r="S107" s="25"/>
      <c r="T107" s="53">
        <v>-1893</v>
      </c>
      <c r="U107" s="25"/>
      <c r="V107" s="5"/>
      <c r="W107" s="109"/>
    </row>
    <row r="108" spans="1:24" ht="15.6" x14ac:dyDescent="0.3">
      <c r="A108" s="24" t="s">
        <v>214</v>
      </c>
      <c r="B108" s="25" t="s">
        <v>192</v>
      </c>
      <c r="C108" s="25"/>
      <c r="D108" s="25"/>
      <c r="E108" s="25"/>
      <c r="F108" s="25"/>
      <c r="G108" s="25"/>
      <c r="H108" s="25"/>
      <c r="I108" s="25"/>
      <c r="J108" s="25"/>
      <c r="K108" s="25"/>
      <c r="L108" s="25"/>
      <c r="M108" s="25"/>
      <c r="N108" s="25"/>
      <c r="O108" s="25"/>
      <c r="P108" s="25"/>
      <c r="Q108" s="25"/>
      <c r="R108" s="25"/>
      <c r="S108" s="25"/>
      <c r="T108" s="53">
        <v>-766</v>
      </c>
      <c r="U108" s="25"/>
      <c r="V108" s="5"/>
      <c r="W108" s="109"/>
      <c r="X108" s="109"/>
    </row>
    <row r="109" spans="1:24" ht="15.6" x14ac:dyDescent="0.3">
      <c r="A109" s="24" t="s">
        <v>215</v>
      </c>
      <c r="B109" s="25" t="s">
        <v>193</v>
      </c>
      <c r="C109" s="25"/>
      <c r="D109" s="25"/>
      <c r="E109" s="25"/>
      <c r="F109" s="25"/>
      <c r="G109" s="25"/>
      <c r="H109" s="25"/>
      <c r="I109" s="25"/>
      <c r="J109" s="25"/>
      <c r="K109" s="25"/>
      <c r="L109" s="25"/>
      <c r="M109" s="25"/>
      <c r="N109" s="25"/>
      <c r="O109" s="25"/>
      <c r="P109" s="25"/>
      <c r="Q109" s="25"/>
      <c r="R109" s="25"/>
      <c r="S109" s="25"/>
      <c r="T109" s="53">
        <v>-216</v>
      </c>
      <c r="U109" s="25"/>
      <c r="V109" s="5"/>
      <c r="W109" s="109"/>
    </row>
    <row r="110" spans="1:24" ht="15.6" x14ac:dyDescent="0.3">
      <c r="A110" s="24" t="s">
        <v>216</v>
      </c>
      <c r="B110" s="25" t="s">
        <v>204</v>
      </c>
      <c r="C110" s="25"/>
      <c r="D110" s="25"/>
      <c r="E110" s="25"/>
      <c r="F110" s="25"/>
      <c r="G110" s="25"/>
      <c r="H110" s="25"/>
      <c r="I110" s="25"/>
      <c r="J110" s="25"/>
      <c r="K110" s="25"/>
      <c r="L110" s="25"/>
      <c r="M110" s="25"/>
      <c r="N110" s="25"/>
      <c r="O110" s="25"/>
      <c r="P110" s="25"/>
      <c r="Q110" s="25"/>
      <c r="R110" s="25"/>
      <c r="S110" s="25"/>
      <c r="T110" s="53">
        <v>-848</v>
      </c>
      <c r="U110" s="25"/>
      <c r="V110" s="5"/>
      <c r="W110" s="109"/>
    </row>
    <row r="111" spans="1:24" ht="15.6" x14ac:dyDescent="0.3">
      <c r="A111" s="24">
        <v>7</v>
      </c>
      <c r="B111" s="25" t="s">
        <v>35</v>
      </c>
      <c r="C111" s="25"/>
      <c r="D111" s="25"/>
      <c r="E111" s="25"/>
      <c r="F111" s="25"/>
      <c r="G111" s="25"/>
      <c r="H111" s="25"/>
      <c r="I111" s="25"/>
      <c r="J111" s="25"/>
      <c r="K111" s="25"/>
      <c r="L111" s="25"/>
      <c r="M111" s="25"/>
      <c r="N111" s="25"/>
      <c r="O111" s="25"/>
      <c r="P111" s="25"/>
      <c r="Q111" s="25"/>
      <c r="R111" s="25"/>
      <c r="S111" s="25"/>
      <c r="T111" s="53">
        <v>-10</v>
      </c>
      <c r="U111" s="25"/>
      <c r="V111" s="5"/>
    </row>
    <row r="112" spans="1:24" ht="15.6" x14ac:dyDescent="0.3">
      <c r="A112" s="24">
        <f t="shared" ref="A112:A117" si="0">+A111+1</f>
        <v>8</v>
      </c>
      <c r="B112" s="25" t="s">
        <v>46</v>
      </c>
      <c r="C112" s="25"/>
      <c r="D112" s="25"/>
      <c r="E112" s="25"/>
      <c r="F112" s="25"/>
      <c r="G112" s="25"/>
      <c r="H112" s="25"/>
      <c r="I112" s="25"/>
      <c r="J112" s="25"/>
      <c r="K112" s="25"/>
      <c r="L112" s="25"/>
      <c r="M112" s="25"/>
      <c r="N112" s="25"/>
      <c r="O112" s="25"/>
      <c r="P112" s="25"/>
      <c r="Q112" s="25"/>
      <c r="R112" s="25"/>
      <c r="S112" s="25"/>
      <c r="T112" s="53">
        <v>0</v>
      </c>
      <c r="U112" s="25"/>
      <c r="V112" s="5"/>
    </row>
    <row r="113" spans="1:22" ht="15.6" x14ac:dyDescent="0.3">
      <c r="A113" s="24">
        <f t="shared" si="0"/>
        <v>9</v>
      </c>
      <c r="B113" s="25" t="s">
        <v>131</v>
      </c>
      <c r="C113" s="25"/>
      <c r="D113" s="25"/>
      <c r="E113" s="25"/>
      <c r="F113" s="25"/>
      <c r="G113" s="25"/>
      <c r="H113" s="25"/>
      <c r="I113" s="25"/>
      <c r="J113" s="25"/>
      <c r="K113" s="25"/>
      <c r="L113" s="25"/>
      <c r="M113" s="25"/>
      <c r="N113" s="25"/>
      <c r="O113" s="25"/>
      <c r="P113" s="25"/>
      <c r="Q113" s="25"/>
      <c r="R113" s="25"/>
      <c r="S113" s="25"/>
      <c r="T113" s="53">
        <v>0</v>
      </c>
      <c r="U113" s="25"/>
      <c r="V113" s="5"/>
    </row>
    <row r="114" spans="1:22" ht="15.6" x14ac:dyDescent="0.3">
      <c r="A114" s="24">
        <f t="shared" si="0"/>
        <v>10</v>
      </c>
      <c r="B114" s="25" t="s">
        <v>36</v>
      </c>
      <c r="C114" s="25"/>
      <c r="D114" s="25"/>
      <c r="E114" s="25"/>
      <c r="F114" s="25"/>
      <c r="G114" s="25"/>
      <c r="H114" s="25"/>
      <c r="I114" s="25"/>
      <c r="J114" s="25"/>
      <c r="K114" s="25"/>
      <c r="L114" s="25"/>
      <c r="M114" s="25"/>
      <c r="N114" s="25"/>
      <c r="O114" s="25"/>
      <c r="P114" s="25"/>
      <c r="Q114" s="25"/>
      <c r="R114" s="25"/>
      <c r="S114" s="25"/>
      <c r="T114" s="53">
        <v>0</v>
      </c>
      <c r="U114" s="25"/>
      <c r="V114" s="5"/>
    </row>
    <row r="115" spans="1:22" ht="15.6" x14ac:dyDescent="0.3">
      <c r="A115" s="24">
        <f t="shared" si="0"/>
        <v>11</v>
      </c>
      <c r="B115" s="25" t="s">
        <v>37</v>
      </c>
      <c r="C115" s="25"/>
      <c r="D115" s="25"/>
      <c r="E115" s="25"/>
      <c r="F115" s="25"/>
      <c r="G115" s="25"/>
      <c r="H115" s="25"/>
      <c r="I115" s="25"/>
      <c r="J115" s="25"/>
      <c r="K115" s="25"/>
      <c r="L115" s="25"/>
      <c r="M115" s="25"/>
      <c r="N115" s="25"/>
      <c r="O115" s="25"/>
      <c r="P115" s="25"/>
      <c r="Q115" s="25"/>
      <c r="R115" s="25"/>
      <c r="S115" s="25"/>
      <c r="T115" s="53">
        <v>0</v>
      </c>
      <c r="U115" s="25"/>
      <c r="V115" s="5"/>
    </row>
    <row r="116" spans="1:22" ht="15.6" x14ac:dyDescent="0.3">
      <c r="A116" s="24">
        <f t="shared" si="0"/>
        <v>12</v>
      </c>
      <c r="B116" s="25" t="s">
        <v>155</v>
      </c>
      <c r="C116" s="25"/>
      <c r="D116" s="25"/>
      <c r="E116" s="25"/>
      <c r="F116" s="25"/>
      <c r="G116" s="25"/>
      <c r="H116" s="25"/>
      <c r="I116" s="25"/>
      <c r="J116" s="25"/>
      <c r="K116" s="25"/>
      <c r="L116" s="25"/>
      <c r="M116" s="25"/>
      <c r="N116" s="25"/>
      <c r="O116" s="25"/>
      <c r="P116" s="25"/>
      <c r="Q116" s="25"/>
      <c r="R116" s="25"/>
      <c r="S116" s="25"/>
      <c r="T116" s="53">
        <v>-365</v>
      </c>
      <c r="U116" s="25"/>
      <c r="V116" s="5"/>
    </row>
    <row r="117" spans="1:22" ht="15.6" x14ac:dyDescent="0.3">
      <c r="A117" s="24">
        <f t="shared" si="0"/>
        <v>13</v>
      </c>
      <c r="B117" s="25" t="s">
        <v>132</v>
      </c>
      <c r="C117" s="25"/>
      <c r="D117" s="25"/>
      <c r="E117" s="25"/>
      <c r="F117" s="25"/>
      <c r="G117" s="25"/>
      <c r="H117" s="25"/>
      <c r="I117" s="25"/>
      <c r="J117" s="25"/>
      <c r="K117" s="25"/>
      <c r="L117" s="25"/>
      <c r="M117" s="25"/>
      <c r="N117" s="25"/>
      <c r="O117" s="25"/>
      <c r="P117" s="25"/>
      <c r="Q117" s="25"/>
      <c r="R117" s="25"/>
      <c r="S117" s="25"/>
      <c r="T117" s="53">
        <f>-T100-SUM(T102:T116)</f>
        <v>-2870</v>
      </c>
      <c r="U117" s="25"/>
      <c r="V117" s="5"/>
    </row>
    <row r="118" spans="1:22" ht="15.6" x14ac:dyDescent="0.3">
      <c r="A118" s="24"/>
      <c r="B118" s="118" t="s">
        <v>38</v>
      </c>
      <c r="C118" s="25"/>
      <c r="D118" s="25"/>
      <c r="E118" s="25"/>
      <c r="F118" s="25"/>
      <c r="G118" s="25"/>
      <c r="H118" s="25"/>
      <c r="I118" s="25"/>
      <c r="J118" s="25"/>
      <c r="K118" s="25"/>
      <c r="L118" s="25"/>
      <c r="M118" s="25"/>
      <c r="N118" s="25"/>
      <c r="O118" s="25"/>
      <c r="P118" s="25"/>
      <c r="Q118" s="25"/>
      <c r="R118" s="25"/>
      <c r="S118" s="25"/>
      <c r="T118" s="59"/>
      <c r="U118" s="25"/>
      <c r="V118" s="5"/>
    </row>
    <row r="119" spans="1:22" ht="15.6" x14ac:dyDescent="0.3">
      <c r="A119" s="24"/>
      <c r="B119" s="25" t="s">
        <v>180</v>
      </c>
      <c r="C119" s="25"/>
      <c r="D119" s="25"/>
      <c r="E119" s="25"/>
      <c r="F119" s="25"/>
      <c r="G119" s="25"/>
      <c r="H119" s="25"/>
      <c r="I119" s="25"/>
      <c r="J119" s="25"/>
      <c r="K119" s="25"/>
      <c r="L119" s="25"/>
      <c r="M119" s="25"/>
      <c r="N119" s="25"/>
      <c r="O119" s="25"/>
      <c r="P119" s="25"/>
      <c r="Q119" s="25"/>
      <c r="R119" s="34">
        <f>-R176</f>
        <v>-141</v>
      </c>
      <c r="S119" s="34"/>
      <c r="T119" s="53"/>
      <c r="U119" s="25"/>
      <c r="V119" s="5"/>
    </row>
    <row r="120" spans="1:22" ht="15.6" x14ac:dyDescent="0.3">
      <c r="A120" s="24"/>
      <c r="B120" s="25" t="s">
        <v>181</v>
      </c>
      <c r="C120" s="25"/>
      <c r="D120" s="25"/>
      <c r="E120" s="25"/>
      <c r="F120" s="25"/>
      <c r="G120" s="25"/>
      <c r="H120" s="25"/>
      <c r="I120" s="25"/>
      <c r="J120" s="25"/>
      <c r="K120" s="25"/>
      <c r="L120" s="25"/>
      <c r="M120" s="25"/>
      <c r="N120" s="25"/>
      <c r="O120" s="25"/>
      <c r="P120" s="25"/>
      <c r="Q120" s="25"/>
      <c r="R120" s="34">
        <v>-45</v>
      </c>
      <c r="S120" s="34"/>
      <c r="T120" s="53"/>
      <c r="U120" s="25"/>
      <c r="V120" s="5"/>
    </row>
    <row r="121" spans="1:22" ht="15.6" x14ac:dyDescent="0.3">
      <c r="A121" s="24"/>
      <c r="B121" s="25" t="s">
        <v>39</v>
      </c>
      <c r="C121" s="25"/>
      <c r="D121" s="25"/>
      <c r="E121" s="25"/>
      <c r="F121" s="25"/>
      <c r="G121" s="25"/>
      <c r="H121" s="25"/>
      <c r="I121" s="25"/>
      <c r="J121" s="25"/>
      <c r="K121" s="25"/>
      <c r="L121" s="25"/>
      <c r="M121" s="25"/>
      <c r="N121" s="25"/>
      <c r="O121" s="25"/>
      <c r="P121" s="25"/>
      <c r="Q121" s="25"/>
      <c r="R121" s="34">
        <f>-Q176</f>
        <v>-3873</v>
      </c>
      <c r="S121" s="34"/>
      <c r="T121" s="53"/>
      <c r="U121" s="25"/>
      <c r="V121" s="5"/>
    </row>
    <row r="122" spans="1:22" ht="15.6" x14ac:dyDescent="0.3">
      <c r="A122" s="24"/>
      <c r="B122" s="25" t="s">
        <v>205</v>
      </c>
      <c r="C122" s="25"/>
      <c r="D122" s="25"/>
      <c r="E122" s="25"/>
      <c r="F122" s="25"/>
      <c r="G122" s="25"/>
      <c r="H122" s="25"/>
      <c r="I122" s="25"/>
      <c r="J122" s="25"/>
      <c r="K122" s="25"/>
      <c r="L122" s="25"/>
      <c r="M122" s="25"/>
      <c r="N122" s="25"/>
      <c r="O122" s="25"/>
      <c r="P122" s="25"/>
      <c r="Q122" s="25"/>
      <c r="R122" s="34">
        <v>-8480</v>
      </c>
      <c r="S122" s="34"/>
      <c r="T122" s="53"/>
      <c r="U122" s="25"/>
      <c r="V122" s="5"/>
    </row>
    <row r="123" spans="1:22" ht="15.6" x14ac:dyDescent="0.3">
      <c r="A123" s="24"/>
      <c r="B123" s="25" t="s">
        <v>203</v>
      </c>
      <c r="C123" s="25"/>
      <c r="D123" s="25"/>
      <c r="E123" s="25"/>
      <c r="F123" s="25"/>
      <c r="G123" s="25"/>
      <c r="H123" s="25"/>
      <c r="I123" s="25"/>
      <c r="J123" s="25"/>
      <c r="K123" s="25"/>
      <c r="L123" s="25"/>
      <c r="M123" s="25"/>
      <c r="N123" s="25"/>
      <c r="O123" s="25"/>
      <c r="P123" s="25"/>
      <c r="Q123" s="25"/>
      <c r="R123" s="34">
        <v>-2234</v>
      </c>
      <c r="S123" s="34"/>
      <c r="T123" s="53"/>
      <c r="U123" s="25"/>
      <c r="V123" s="5"/>
    </row>
    <row r="124" spans="1:22" ht="15.6" x14ac:dyDescent="0.3">
      <c r="A124" s="24"/>
      <c r="B124" s="25" t="s">
        <v>202</v>
      </c>
      <c r="C124" s="25"/>
      <c r="D124" s="25"/>
      <c r="E124" s="25"/>
      <c r="F124" s="25"/>
      <c r="G124" s="25"/>
      <c r="H124" s="25"/>
      <c r="I124" s="25"/>
      <c r="J124" s="25"/>
      <c r="K124" s="25"/>
      <c r="L124" s="25"/>
      <c r="M124" s="25"/>
      <c r="N124" s="25"/>
      <c r="O124" s="25"/>
      <c r="P124" s="25"/>
      <c r="Q124" s="25"/>
      <c r="R124" s="34">
        <v>-2253</v>
      </c>
      <c r="S124" s="34"/>
      <c r="T124" s="53"/>
      <c r="U124" s="25"/>
      <c r="V124" s="5"/>
    </row>
    <row r="125" spans="1:22" ht="15.6" x14ac:dyDescent="0.3">
      <c r="A125" s="24"/>
      <c r="B125" s="25" t="s">
        <v>197</v>
      </c>
      <c r="C125" s="25"/>
      <c r="D125" s="25"/>
      <c r="E125" s="25"/>
      <c r="F125" s="25"/>
      <c r="G125" s="25"/>
      <c r="H125" s="25"/>
      <c r="I125" s="25"/>
      <c r="J125" s="25"/>
      <c r="K125" s="25"/>
      <c r="L125" s="25"/>
      <c r="M125" s="25"/>
      <c r="N125" s="25"/>
      <c r="O125" s="25"/>
      <c r="P125" s="25"/>
      <c r="Q125" s="25"/>
      <c r="R125" s="34">
        <v>0</v>
      </c>
      <c r="S125" s="34"/>
      <c r="T125" s="53"/>
      <c r="U125" s="25"/>
      <c r="V125" s="5"/>
    </row>
    <row r="126" spans="1:22" ht="15.6" x14ac:dyDescent="0.3">
      <c r="A126" s="24"/>
      <c r="B126" s="25" t="s">
        <v>196</v>
      </c>
      <c r="C126" s="25"/>
      <c r="D126" s="25"/>
      <c r="E126" s="25"/>
      <c r="F126" s="25"/>
      <c r="G126" s="25"/>
      <c r="H126" s="25"/>
      <c r="I126" s="25"/>
      <c r="J126" s="25"/>
      <c r="K126" s="25"/>
      <c r="L126" s="25"/>
      <c r="M126" s="25"/>
      <c r="N126" s="25"/>
      <c r="O126" s="25"/>
      <c r="P126" s="25"/>
      <c r="Q126" s="25"/>
      <c r="R126" s="34">
        <v>0</v>
      </c>
      <c r="S126" s="34"/>
      <c r="T126" s="53"/>
      <c r="U126" s="25"/>
      <c r="V126" s="5"/>
    </row>
    <row r="127" spans="1:22" ht="15.6" x14ac:dyDescent="0.3">
      <c r="A127" s="24"/>
      <c r="B127" s="25" t="s">
        <v>195</v>
      </c>
      <c r="C127" s="25"/>
      <c r="D127" s="25"/>
      <c r="E127" s="25"/>
      <c r="F127" s="25"/>
      <c r="G127" s="25"/>
      <c r="H127" s="25"/>
      <c r="I127" s="25"/>
      <c r="J127" s="25"/>
      <c r="K127" s="25"/>
      <c r="L127" s="25"/>
      <c r="M127" s="25"/>
      <c r="N127" s="25"/>
      <c r="O127" s="25"/>
      <c r="P127" s="25"/>
      <c r="Q127" s="25"/>
      <c r="R127" s="34">
        <v>0</v>
      </c>
      <c r="S127" s="34"/>
      <c r="T127" s="53"/>
      <c r="U127" s="25"/>
      <c r="V127" s="5"/>
    </row>
    <row r="128" spans="1:22" ht="15.6" x14ac:dyDescent="0.3">
      <c r="A128" s="24"/>
      <c r="B128" s="25" t="s">
        <v>40</v>
      </c>
      <c r="C128" s="25"/>
      <c r="D128" s="25"/>
      <c r="E128" s="25"/>
      <c r="F128" s="25"/>
      <c r="G128" s="25"/>
      <c r="H128" s="25"/>
      <c r="I128" s="25"/>
      <c r="J128" s="25"/>
      <c r="K128" s="25"/>
      <c r="L128" s="25"/>
      <c r="M128" s="25"/>
      <c r="N128" s="25"/>
      <c r="O128" s="25"/>
      <c r="P128" s="25"/>
      <c r="Q128" s="25"/>
      <c r="R128" s="34">
        <f>SUM(R119:R127)</f>
        <v>-17026</v>
      </c>
      <c r="S128" s="34"/>
      <c r="T128" s="34">
        <f>SUM(T101:T126)</f>
        <v>-16298</v>
      </c>
      <c r="U128" s="25"/>
      <c r="V128" s="5"/>
    </row>
    <row r="129" spans="1:23" ht="15.6" x14ac:dyDescent="0.3">
      <c r="A129" s="24"/>
      <c r="B129" s="25" t="s">
        <v>41</v>
      </c>
      <c r="C129" s="25"/>
      <c r="D129" s="25"/>
      <c r="E129" s="25"/>
      <c r="F129" s="25"/>
      <c r="G129" s="25"/>
      <c r="H129" s="25"/>
      <c r="I129" s="25"/>
      <c r="J129" s="25"/>
      <c r="K129" s="25"/>
      <c r="L129" s="25"/>
      <c r="M129" s="25"/>
      <c r="N129" s="25"/>
      <c r="O129" s="25"/>
      <c r="P129" s="25"/>
      <c r="Q129" s="25"/>
      <c r="R129" s="34">
        <f>R100+R128</f>
        <v>0</v>
      </c>
      <c r="S129" s="34"/>
      <c r="T129" s="34">
        <f>T100+T128</f>
        <v>0</v>
      </c>
      <c r="U129" s="25"/>
      <c r="V129" s="5"/>
    </row>
    <row r="130" spans="1:23" ht="15.6" x14ac:dyDescent="0.3">
      <c r="A130" s="24"/>
      <c r="B130" s="25"/>
      <c r="C130" s="25"/>
      <c r="D130" s="25"/>
      <c r="E130" s="25"/>
      <c r="F130" s="25"/>
      <c r="G130" s="25"/>
      <c r="H130" s="25"/>
      <c r="I130" s="25"/>
      <c r="J130" s="25"/>
      <c r="K130" s="25"/>
      <c r="L130" s="25"/>
      <c r="M130" s="25"/>
      <c r="N130" s="25"/>
      <c r="O130" s="25"/>
      <c r="P130" s="25"/>
      <c r="Q130" s="25"/>
      <c r="R130" s="34"/>
      <c r="S130" s="34"/>
      <c r="T130" s="34"/>
      <c r="U130" s="25"/>
      <c r="V130" s="5"/>
    </row>
    <row r="131" spans="1:23" ht="15.6" x14ac:dyDescent="0.3">
      <c r="A131" s="6"/>
      <c r="B131" s="8"/>
      <c r="C131" s="8"/>
      <c r="D131" s="8"/>
      <c r="E131" s="8"/>
      <c r="F131" s="8"/>
      <c r="G131" s="8"/>
      <c r="H131" s="8"/>
      <c r="I131" s="8"/>
      <c r="J131" s="8"/>
      <c r="K131" s="8"/>
      <c r="L131" s="8"/>
      <c r="M131" s="8"/>
      <c r="N131" s="8"/>
      <c r="O131" s="8"/>
      <c r="P131" s="8"/>
      <c r="Q131" s="8"/>
      <c r="R131" s="8"/>
      <c r="S131" s="8"/>
      <c r="T131" s="52"/>
      <c r="U131" s="8"/>
      <c r="V131" s="5"/>
    </row>
    <row r="132" spans="1:23" ht="18" thickBot="1" x14ac:dyDescent="0.35">
      <c r="A132" s="101"/>
      <c r="B132" s="102" t="str">
        <f>B64</f>
        <v>PM11 INVESTOR REPORT QUARTER ENDING DECEMBER 2006</v>
      </c>
      <c r="C132" s="103"/>
      <c r="D132" s="103"/>
      <c r="E132" s="103"/>
      <c r="F132" s="103"/>
      <c r="G132" s="103"/>
      <c r="H132" s="103"/>
      <c r="I132" s="103"/>
      <c r="J132" s="103"/>
      <c r="K132" s="103"/>
      <c r="L132" s="103"/>
      <c r="M132" s="103"/>
      <c r="N132" s="103"/>
      <c r="O132" s="103"/>
      <c r="P132" s="103"/>
      <c r="Q132" s="103"/>
      <c r="R132" s="103"/>
      <c r="S132" s="103"/>
      <c r="T132" s="106"/>
      <c r="U132" s="105"/>
      <c r="V132" s="5"/>
    </row>
    <row r="133" spans="1:23" ht="15.6" x14ac:dyDescent="0.3">
      <c r="A133" s="2"/>
      <c r="B133" s="60" t="s">
        <v>42</v>
      </c>
      <c r="C133" s="4"/>
      <c r="D133" s="4"/>
      <c r="E133" s="4"/>
      <c r="F133" s="4"/>
      <c r="G133" s="4"/>
      <c r="H133" s="4"/>
      <c r="I133" s="4"/>
      <c r="J133" s="4"/>
      <c r="K133" s="4"/>
      <c r="L133" s="4"/>
      <c r="M133" s="4"/>
      <c r="N133" s="4"/>
      <c r="O133" s="4"/>
      <c r="P133" s="4"/>
      <c r="Q133" s="4"/>
      <c r="R133" s="4"/>
      <c r="S133" s="4"/>
      <c r="T133" s="50"/>
      <c r="U133" s="4"/>
      <c r="V133" s="5"/>
    </row>
    <row r="134" spans="1:23" ht="15.6" x14ac:dyDescent="0.3">
      <c r="A134" s="6"/>
      <c r="B134" s="21"/>
      <c r="C134" s="8"/>
      <c r="D134" s="8"/>
      <c r="E134" s="8"/>
      <c r="F134" s="8"/>
      <c r="G134" s="8"/>
      <c r="H134" s="8"/>
      <c r="I134" s="8"/>
      <c r="J134" s="8"/>
      <c r="K134" s="8"/>
      <c r="L134" s="8"/>
      <c r="M134" s="8"/>
      <c r="N134" s="8"/>
      <c r="O134" s="8"/>
      <c r="P134" s="8"/>
      <c r="Q134" s="8"/>
      <c r="R134" s="8"/>
      <c r="S134" s="8"/>
      <c r="T134" s="52"/>
      <c r="U134" s="8"/>
      <c r="V134" s="5"/>
    </row>
    <row r="135" spans="1:23" ht="15.6" x14ac:dyDescent="0.3">
      <c r="A135" s="6"/>
      <c r="B135" s="119" t="s">
        <v>43</v>
      </c>
      <c r="C135" s="8"/>
      <c r="D135" s="8"/>
      <c r="E135" s="8"/>
      <c r="F135" s="8"/>
      <c r="G135" s="8"/>
      <c r="H135" s="8"/>
      <c r="I135" s="8"/>
      <c r="J135" s="8"/>
      <c r="K135" s="8"/>
      <c r="L135" s="8"/>
      <c r="M135" s="8"/>
      <c r="N135" s="8"/>
      <c r="O135" s="8"/>
      <c r="P135" s="8"/>
      <c r="Q135" s="8"/>
      <c r="R135" s="8"/>
      <c r="S135" s="8"/>
      <c r="T135" s="52"/>
      <c r="U135" s="8"/>
      <c r="V135" s="5"/>
    </row>
    <row r="136" spans="1:23" ht="15.6" x14ac:dyDescent="0.3">
      <c r="A136" s="24"/>
      <c r="B136" s="25" t="s">
        <v>44</v>
      </c>
      <c r="C136" s="25"/>
      <c r="D136" s="25"/>
      <c r="E136" s="25"/>
      <c r="F136" s="25"/>
      <c r="G136" s="25"/>
      <c r="H136" s="25"/>
      <c r="I136" s="25"/>
      <c r="J136" s="25"/>
      <c r="K136" s="25"/>
      <c r="L136" s="25"/>
      <c r="M136" s="25"/>
      <c r="N136" s="25"/>
      <c r="O136" s="25"/>
      <c r="P136" s="25"/>
      <c r="Q136" s="25"/>
      <c r="R136" s="25"/>
      <c r="S136" s="25"/>
      <c r="T136" s="53">
        <f>+T34*0.019</f>
        <v>19000.95</v>
      </c>
      <c r="U136" s="25"/>
      <c r="V136" s="5"/>
    </row>
    <row r="137" spans="1:23" ht="15.6" x14ac:dyDescent="0.3">
      <c r="A137" s="24"/>
      <c r="B137" s="25" t="s">
        <v>45</v>
      </c>
      <c r="C137" s="25"/>
      <c r="D137" s="25"/>
      <c r="E137" s="25"/>
      <c r="F137" s="25"/>
      <c r="G137" s="25"/>
      <c r="H137" s="25"/>
      <c r="I137" s="25"/>
      <c r="J137" s="25"/>
      <c r="K137" s="25"/>
      <c r="L137" s="25"/>
      <c r="M137" s="25"/>
      <c r="N137" s="25"/>
      <c r="O137" s="25"/>
      <c r="P137" s="25"/>
      <c r="Q137" s="25"/>
      <c r="R137" s="25"/>
      <c r="S137" s="25"/>
      <c r="T137" s="53">
        <v>19001</v>
      </c>
      <c r="U137" s="25"/>
      <c r="V137" s="5"/>
    </row>
    <row r="138" spans="1:23" ht="15.6" x14ac:dyDescent="0.3">
      <c r="A138" s="24"/>
      <c r="B138" s="25" t="s">
        <v>142</v>
      </c>
      <c r="C138" s="25"/>
      <c r="D138" s="25"/>
      <c r="E138" s="25"/>
      <c r="F138" s="25"/>
      <c r="G138" s="25"/>
      <c r="H138" s="25"/>
      <c r="I138" s="25"/>
      <c r="J138" s="25"/>
      <c r="K138" s="25"/>
      <c r="L138" s="25"/>
      <c r="M138" s="25"/>
      <c r="N138" s="25"/>
      <c r="O138" s="25"/>
      <c r="P138" s="25"/>
      <c r="Q138" s="25"/>
      <c r="R138" s="25"/>
      <c r="S138" s="25"/>
      <c r="T138" s="53">
        <v>0</v>
      </c>
      <c r="U138" s="25"/>
      <c r="V138" s="5"/>
    </row>
    <row r="139" spans="1:23" ht="15.6" x14ac:dyDescent="0.3">
      <c r="A139" s="24"/>
      <c r="B139" s="25" t="s">
        <v>129</v>
      </c>
      <c r="C139" s="25"/>
      <c r="D139" s="25"/>
      <c r="E139" s="25"/>
      <c r="F139" s="25"/>
      <c r="G139" s="25"/>
      <c r="H139" s="25"/>
      <c r="I139" s="25"/>
      <c r="J139" s="25"/>
      <c r="K139" s="25"/>
      <c r="L139" s="25"/>
      <c r="M139" s="25"/>
      <c r="N139" s="25"/>
      <c r="O139" s="25"/>
      <c r="P139" s="25"/>
      <c r="Q139" s="25"/>
      <c r="R139" s="25"/>
      <c r="S139" s="25"/>
      <c r="T139" s="53">
        <v>0</v>
      </c>
      <c r="U139" s="25"/>
      <c r="V139" s="5"/>
    </row>
    <row r="140" spans="1:23" ht="15.6" x14ac:dyDescent="0.3">
      <c r="A140" s="24"/>
      <c r="B140" s="25" t="s">
        <v>130</v>
      </c>
      <c r="C140" s="25"/>
      <c r="D140" s="25"/>
      <c r="E140" s="25"/>
      <c r="F140" s="25"/>
      <c r="G140" s="25"/>
      <c r="H140" s="25"/>
      <c r="I140" s="25"/>
      <c r="J140" s="25"/>
      <c r="K140" s="25"/>
      <c r="L140" s="25"/>
      <c r="M140" s="25"/>
      <c r="N140" s="25"/>
      <c r="O140" s="25"/>
      <c r="P140" s="25"/>
      <c r="Q140" s="25"/>
      <c r="R140" s="25"/>
      <c r="S140" s="25"/>
      <c r="T140" s="53">
        <v>0</v>
      </c>
      <c r="U140" s="25"/>
      <c r="V140" s="5"/>
    </row>
    <row r="141" spans="1:23" ht="15.6" x14ac:dyDescent="0.3">
      <c r="A141" s="24"/>
      <c r="B141" s="25" t="s">
        <v>182</v>
      </c>
      <c r="C141" s="25"/>
      <c r="D141" s="25"/>
      <c r="E141" s="25"/>
      <c r="F141" s="25"/>
      <c r="G141" s="25"/>
      <c r="H141" s="25"/>
      <c r="I141" s="25"/>
      <c r="J141" s="25"/>
      <c r="K141" s="25"/>
      <c r="L141" s="25"/>
      <c r="M141" s="25"/>
      <c r="N141" s="25"/>
      <c r="O141" s="25"/>
      <c r="P141" s="25"/>
      <c r="Q141" s="25"/>
      <c r="R141" s="25"/>
      <c r="S141" s="25"/>
      <c r="T141" s="53">
        <v>0</v>
      </c>
      <c r="U141" s="25"/>
      <c r="V141" s="5"/>
    </row>
    <row r="142" spans="1:23" ht="15.6" x14ac:dyDescent="0.3">
      <c r="A142" s="24"/>
      <c r="B142" s="25" t="s">
        <v>46</v>
      </c>
      <c r="C142" s="25"/>
      <c r="D142" s="25"/>
      <c r="E142" s="25"/>
      <c r="F142" s="25"/>
      <c r="G142" s="25"/>
      <c r="H142" s="25"/>
      <c r="I142" s="25"/>
      <c r="J142" s="25"/>
      <c r="K142" s="25"/>
      <c r="L142" s="25"/>
      <c r="M142" s="25"/>
      <c r="N142" s="25"/>
      <c r="O142" s="25"/>
      <c r="P142" s="25"/>
      <c r="Q142" s="25"/>
      <c r="R142" s="25"/>
      <c r="S142" s="25"/>
      <c r="T142" s="53">
        <v>0</v>
      </c>
      <c r="U142" s="25"/>
      <c r="V142" s="5"/>
    </row>
    <row r="143" spans="1:23" ht="15.6" x14ac:dyDescent="0.3">
      <c r="A143" s="24"/>
      <c r="B143" s="25" t="s">
        <v>135</v>
      </c>
      <c r="C143" s="25"/>
      <c r="D143" s="25"/>
      <c r="E143" s="25"/>
      <c r="F143" s="25"/>
      <c r="G143" s="25"/>
      <c r="H143" s="25"/>
      <c r="I143" s="25"/>
      <c r="J143" s="25"/>
      <c r="K143" s="25"/>
      <c r="L143" s="25"/>
      <c r="M143" s="25"/>
      <c r="N143" s="25"/>
      <c r="O143" s="25"/>
      <c r="P143" s="25"/>
      <c r="Q143" s="25"/>
      <c r="R143" s="25"/>
      <c r="S143" s="25"/>
      <c r="T143" s="53">
        <v>0</v>
      </c>
      <c r="U143" s="25"/>
      <c r="V143" s="5"/>
    </row>
    <row r="144" spans="1:23" ht="15.6" x14ac:dyDescent="0.3">
      <c r="A144" s="24"/>
      <c r="B144" s="25" t="s">
        <v>251</v>
      </c>
      <c r="C144" s="25"/>
      <c r="D144" s="25"/>
      <c r="E144" s="25"/>
      <c r="F144" s="25"/>
      <c r="G144" s="25"/>
      <c r="H144" s="25"/>
      <c r="I144" s="25"/>
      <c r="J144" s="25"/>
      <c r="K144" s="25"/>
      <c r="L144" s="25"/>
      <c r="M144" s="25"/>
      <c r="N144" s="25"/>
      <c r="O144" s="25"/>
      <c r="P144" s="25"/>
      <c r="Q144" s="25"/>
      <c r="R144" s="25"/>
      <c r="S144" s="25"/>
      <c r="T144" s="53">
        <v>0</v>
      </c>
      <c r="U144" s="25"/>
      <c r="V144" s="5"/>
      <c r="W144" s="109"/>
    </row>
    <row r="145" spans="1:22" ht="15.6" x14ac:dyDescent="0.3">
      <c r="A145" s="24"/>
      <c r="B145" s="25" t="s">
        <v>47</v>
      </c>
      <c r="C145" s="25"/>
      <c r="D145" s="25"/>
      <c r="E145" s="25"/>
      <c r="F145" s="25"/>
      <c r="G145" s="25"/>
      <c r="H145" s="25"/>
      <c r="I145" s="25"/>
      <c r="J145" s="25"/>
      <c r="K145" s="25"/>
      <c r="L145" s="25"/>
      <c r="M145" s="25"/>
      <c r="N145" s="25"/>
      <c r="O145" s="25"/>
      <c r="P145" s="25"/>
      <c r="Q145" s="25"/>
      <c r="R145" s="25"/>
      <c r="S145" s="25"/>
      <c r="T145" s="53">
        <f>SUM(T137:T144)</f>
        <v>19001</v>
      </c>
      <c r="U145" s="25"/>
      <c r="V145" s="5"/>
    </row>
    <row r="146" spans="1:22" ht="15.6" x14ac:dyDescent="0.3">
      <c r="A146" s="24"/>
      <c r="B146" s="25"/>
      <c r="C146" s="25"/>
      <c r="D146" s="25"/>
      <c r="E146" s="25"/>
      <c r="F146" s="25"/>
      <c r="G146" s="25"/>
      <c r="H146" s="25"/>
      <c r="I146" s="25"/>
      <c r="J146" s="25"/>
      <c r="K146" s="25"/>
      <c r="L146" s="25"/>
      <c r="M146" s="25"/>
      <c r="N146" s="25"/>
      <c r="O146" s="25"/>
      <c r="P146" s="25"/>
      <c r="Q146" s="25"/>
      <c r="R146" s="25"/>
      <c r="S146" s="25"/>
      <c r="T146" s="53"/>
      <c r="U146" s="25"/>
      <c r="V146" s="5"/>
    </row>
    <row r="147" spans="1:22" ht="15.6" x14ac:dyDescent="0.3">
      <c r="A147" s="24"/>
      <c r="B147" s="138" t="s">
        <v>262</v>
      </c>
      <c r="C147" s="25"/>
      <c r="D147" s="25"/>
      <c r="E147" s="25"/>
      <c r="F147" s="25"/>
      <c r="G147" s="25"/>
      <c r="H147" s="25"/>
      <c r="I147" s="25"/>
      <c r="J147" s="25"/>
      <c r="K147" s="25"/>
      <c r="L147" s="25"/>
      <c r="M147" s="25"/>
      <c r="N147" s="25"/>
      <c r="O147" s="25"/>
      <c r="P147" s="25"/>
      <c r="Q147" s="25"/>
      <c r="R147" s="25"/>
      <c r="S147" s="25"/>
      <c r="T147" s="53"/>
      <c r="U147" s="25"/>
      <c r="V147" s="5"/>
    </row>
    <row r="148" spans="1:22" ht="15.6" x14ac:dyDescent="0.3">
      <c r="A148" s="24"/>
      <c r="B148" s="25" t="s">
        <v>263</v>
      </c>
      <c r="C148" s="25"/>
      <c r="D148" s="25"/>
      <c r="E148" s="25"/>
      <c r="F148" s="25"/>
      <c r="G148" s="25"/>
      <c r="H148" s="25"/>
      <c r="I148" s="25"/>
      <c r="J148" s="25"/>
      <c r="K148" s="25"/>
      <c r="L148" s="25"/>
      <c r="M148" s="25"/>
      <c r="N148" s="25"/>
      <c r="O148" s="25"/>
      <c r="P148" s="25"/>
      <c r="Q148" s="25"/>
      <c r="R148" s="25"/>
      <c r="S148" s="25"/>
      <c r="T148" s="53">
        <v>0</v>
      </c>
      <c r="U148" s="25"/>
      <c r="V148" s="5"/>
    </row>
    <row r="149" spans="1:22" ht="15.6" x14ac:dyDescent="0.3">
      <c r="A149" s="24"/>
      <c r="B149" s="25" t="s">
        <v>179</v>
      </c>
      <c r="C149" s="25"/>
      <c r="D149" s="25"/>
      <c r="E149" s="25"/>
      <c r="F149" s="25"/>
      <c r="G149" s="25"/>
      <c r="H149" s="25"/>
      <c r="I149" s="25"/>
      <c r="J149" s="25"/>
      <c r="K149" s="25"/>
      <c r="L149" s="25"/>
      <c r="M149" s="25"/>
      <c r="N149" s="25"/>
      <c r="O149" s="25"/>
      <c r="P149" s="25"/>
      <c r="Q149" s="25"/>
      <c r="R149" s="25"/>
      <c r="S149" s="25"/>
      <c r="T149" s="53">
        <v>0</v>
      </c>
      <c r="U149" s="25"/>
      <c r="V149" s="5"/>
    </row>
    <row r="150" spans="1:22" ht="15.6" x14ac:dyDescent="0.3">
      <c r="A150" s="24"/>
      <c r="B150" s="25" t="s">
        <v>264</v>
      </c>
      <c r="C150" s="25"/>
      <c r="D150" s="25"/>
      <c r="E150" s="25"/>
      <c r="F150" s="25"/>
      <c r="G150" s="25"/>
      <c r="H150" s="25"/>
      <c r="I150" s="25"/>
      <c r="J150" s="25"/>
      <c r="K150" s="25"/>
      <c r="L150" s="25"/>
      <c r="M150" s="25"/>
      <c r="N150" s="25"/>
      <c r="O150" s="25"/>
      <c r="P150" s="25"/>
      <c r="Q150" s="25"/>
      <c r="R150" s="25"/>
      <c r="S150" s="25"/>
      <c r="T150" s="53">
        <v>0</v>
      </c>
      <c r="U150" s="25"/>
      <c r="V150" s="5"/>
    </row>
    <row r="151" spans="1:22" ht="15.6" x14ac:dyDescent="0.3">
      <c r="A151" s="24"/>
      <c r="B151" s="25"/>
      <c r="C151" s="25"/>
      <c r="D151" s="25"/>
      <c r="E151" s="25"/>
      <c r="F151" s="25"/>
      <c r="G151" s="25"/>
      <c r="H151" s="25"/>
      <c r="I151" s="25"/>
      <c r="J151" s="25"/>
      <c r="K151" s="25"/>
      <c r="L151" s="25"/>
      <c r="M151" s="25"/>
      <c r="N151" s="25"/>
      <c r="O151" s="25"/>
      <c r="P151" s="25"/>
      <c r="Q151" s="25"/>
      <c r="R151" s="25"/>
      <c r="S151" s="25"/>
      <c r="T151" s="53"/>
      <c r="U151" s="25"/>
      <c r="V151" s="5"/>
    </row>
    <row r="152" spans="1:22" ht="15.6" x14ac:dyDescent="0.3">
      <c r="A152" s="24"/>
      <c r="B152" s="25"/>
      <c r="C152" s="25"/>
      <c r="D152" s="25"/>
      <c r="E152" s="25"/>
      <c r="F152" s="25"/>
      <c r="G152" s="25"/>
      <c r="H152" s="25"/>
      <c r="I152" s="25"/>
      <c r="J152" s="25"/>
      <c r="K152" s="25"/>
      <c r="L152" s="25"/>
      <c r="M152" s="25"/>
      <c r="N152" s="25"/>
      <c r="O152" s="25"/>
      <c r="P152" s="25"/>
      <c r="Q152" s="25"/>
      <c r="R152" s="25"/>
      <c r="S152" s="25"/>
      <c r="T152" s="61"/>
      <c r="U152" s="25"/>
      <c r="V152" s="5"/>
    </row>
    <row r="153" spans="1:22" ht="15.6" x14ac:dyDescent="0.3">
      <c r="A153" s="6"/>
      <c r="B153" s="119" t="s">
        <v>24</v>
      </c>
      <c r="C153" s="8"/>
      <c r="D153" s="8"/>
      <c r="E153" s="8"/>
      <c r="F153" s="8"/>
      <c r="G153" s="8"/>
      <c r="H153" s="8"/>
      <c r="I153" s="8"/>
      <c r="J153" s="8"/>
      <c r="K153" s="8"/>
      <c r="L153" s="8"/>
      <c r="M153" s="8"/>
      <c r="N153" s="8"/>
      <c r="O153" s="8"/>
      <c r="P153" s="8"/>
      <c r="Q153" s="8"/>
      <c r="R153" s="8"/>
      <c r="S153" s="8"/>
      <c r="T153" s="52"/>
      <c r="U153" s="8"/>
      <c r="V153" s="5"/>
    </row>
    <row r="154" spans="1:22" ht="15.6" x14ac:dyDescent="0.3">
      <c r="A154" s="24"/>
      <c r="B154" s="25" t="s">
        <v>48</v>
      </c>
      <c r="C154" s="25"/>
      <c r="D154" s="25"/>
      <c r="E154" s="25"/>
      <c r="F154" s="25"/>
      <c r="G154" s="25"/>
      <c r="H154" s="25"/>
      <c r="I154" s="25"/>
      <c r="J154" s="25"/>
      <c r="K154" s="25"/>
      <c r="L154" s="25"/>
      <c r="M154" s="25"/>
      <c r="N154" s="25"/>
      <c r="O154" s="25"/>
      <c r="P154" s="25"/>
      <c r="Q154" s="25"/>
      <c r="R154" s="25"/>
      <c r="S154" s="25"/>
      <c r="T154" s="59" t="s">
        <v>124</v>
      </c>
      <c r="U154" s="25"/>
      <c r="V154" s="5"/>
    </row>
    <row r="155" spans="1:22" ht="15.6" x14ac:dyDescent="0.3">
      <c r="A155" s="24"/>
      <c r="B155" s="25" t="s">
        <v>49</v>
      </c>
      <c r="C155" s="163"/>
      <c r="D155" s="163"/>
      <c r="E155" s="163"/>
      <c r="F155" s="163"/>
      <c r="G155" s="163"/>
      <c r="H155" s="163"/>
      <c r="I155" s="163"/>
      <c r="J155" s="163"/>
      <c r="K155" s="163"/>
      <c r="L155" s="163"/>
      <c r="M155" s="163"/>
      <c r="N155" s="163"/>
      <c r="O155" s="163"/>
      <c r="P155" s="163"/>
      <c r="Q155" s="163"/>
      <c r="R155" s="163"/>
      <c r="S155" s="163"/>
      <c r="T155" s="59" t="s">
        <v>124</v>
      </c>
      <c r="U155" s="25"/>
      <c r="V155" s="5"/>
    </row>
    <row r="156" spans="1:22" ht="15.6" x14ac:dyDescent="0.3">
      <c r="A156" s="24"/>
      <c r="B156" s="25" t="s">
        <v>50</v>
      </c>
      <c r="C156" s="25"/>
      <c r="D156" s="25"/>
      <c r="E156" s="25"/>
      <c r="F156" s="25"/>
      <c r="G156" s="25"/>
      <c r="H156" s="25"/>
      <c r="I156" s="25"/>
      <c r="J156" s="25"/>
      <c r="K156" s="25"/>
      <c r="L156" s="25"/>
      <c r="M156" s="25"/>
      <c r="N156" s="25"/>
      <c r="O156" s="25"/>
      <c r="P156" s="25"/>
      <c r="Q156" s="25"/>
      <c r="R156" s="25"/>
      <c r="S156" s="25"/>
      <c r="T156" s="59" t="s">
        <v>124</v>
      </c>
      <c r="U156" s="25"/>
      <c r="V156" s="5"/>
    </row>
    <row r="157" spans="1:22" ht="15.6" x14ac:dyDescent="0.3">
      <c r="A157" s="24"/>
      <c r="B157" s="25" t="s">
        <v>51</v>
      </c>
      <c r="C157" s="25"/>
      <c r="D157" s="25"/>
      <c r="E157" s="25"/>
      <c r="F157" s="25"/>
      <c r="G157" s="25"/>
      <c r="H157" s="25"/>
      <c r="I157" s="25"/>
      <c r="J157" s="25"/>
      <c r="K157" s="25"/>
      <c r="L157" s="25"/>
      <c r="M157" s="25"/>
      <c r="N157" s="25"/>
      <c r="O157" s="25"/>
      <c r="P157" s="25"/>
      <c r="Q157" s="25"/>
      <c r="R157" s="25"/>
      <c r="S157" s="25"/>
      <c r="T157" s="59" t="s">
        <v>124</v>
      </c>
      <c r="U157" s="25"/>
      <c r="V157" s="5"/>
    </row>
    <row r="158" spans="1:22" ht="15.6" x14ac:dyDescent="0.3">
      <c r="A158" s="24"/>
      <c r="B158" s="25"/>
      <c r="C158" s="25"/>
      <c r="D158" s="25"/>
      <c r="E158" s="25"/>
      <c r="F158" s="25"/>
      <c r="G158" s="25"/>
      <c r="H158" s="25"/>
      <c r="I158" s="25"/>
      <c r="J158" s="25"/>
      <c r="K158" s="25"/>
      <c r="L158" s="25"/>
      <c r="M158" s="25"/>
      <c r="N158" s="25"/>
      <c r="O158" s="25"/>
      <c r="P158" s="25"/>
      <c r="Q158" s="25"/>
      <c r="R158" s="25"/>
      <c r="S158" s="25"/>
      <c r="T158" s="61"/>
      <c r="U158" s="25"/>
      <c r="V158" s="5"/>
    </row>
    <row r="159" spans="1:22" ht="15.6" x14ac:dyDescent="0.3">
      <c r="A159" s="6"/>
      <c r="B159" s="119" t="s">
        <v>52</v>
      </c>
      <c r="C159" s="8"/>
      <c r="D159" s="8"/>
      <c r="E159" s="8"/>
      <c r="F159" s="8"/>
      <c r="G159" s="8"/>
      <c r="H159" s="8"/>
      <c r="I159" s="8"/>
      <c r="J159" s="8"/>
      <c r="K159" s="8"/>
      <c r="L159" s="8"/>
      <c r="M159" s="8"/>
      <c r="N159" s="8"/>
      <c r="O159" s="8"/>
      <c r="P159" s="8"/>
      <c r="Q159" s="8"/>
      <c r="R159" s="8"/>
      <c r="S159" s="8"/>
      <c r="T159" s="63"/>
      <c r="U159" s="8"/>
      <c r="V159" s="5"/>
    </row>
    <row r="160" spans="1:22" ht="15.6" x14ac:dyDescent="0.3">
      <c r="A160" s="24"/>
      <c r="B160" s="25" t="s">
        <v>53</v>
      </c>
      <c r="C160" s="25"/>
      <c r="D160" s="25"/>
      <c r="E160" s="25"/>
      <c r="F160" s="25"/>
      <c r="G160" s="25"/>
      <c r="H160" s="25"/>
      <c r="I160" s="25"/>
      <c r="J160" s="25"/>
      <c r="K160" s="25"/>
      <c r="L160" s="25"/>
      <c r="M160" s="25"/>
      <c r="N160" s="25"/>
      <c r="O160" s="25"/>
      <c r="P160" s="25"/>
      <c r="Q160" s="25"/>
      <c r="R160" s="25"/>
      <c r="S160" s="25"/>
      <c r="T160" s="53">
        <v>0</v>
      </c>
      <c r="U160" s="25"/>
      <c r="V160" s="5"/>
    </row>
    <row r="161" spans="1:22" ht="15.6" x14ac:dyDescent="0.3">
      <c r="A161" s="24"/>
      <c r="B161" s="25" t="s">
        <v>54</v>
      </c>
      <c r="C161" s="25"/>
      <c r="D161" s="25"/>
      <c r="E161" s="25"/>
      <c r="F161" s="25"/>
      <c r="G161" s="25"/>
      <c r="H161" s="25"/>
      <c r="I161" s="25"/>
      <c r="J161" s="25"/>
      <c r="K161" s="25"/>
      <c r="L161" s="25"/>
      <c r="M161" s="25"/>
      <c r="N161" s="25"/>
      <c r="O161" s="25"/>
      <c r="P161" s="25"/>
      <c r="Q161" s="25"/>
      <c r="R161" s="25"/>
      <c r="S161" s="25"/>
      <c r="T161" s="53">
        <f>R112</f>
        <v>0</v>
      </c>
      <c r="U161" s="25"/>
      <c r="V161" s="5"/>
    </row>
    <row r="162" spans="1:22" ht="15.6" x14ac:dyDescent="0.3">
      <c r="A162" s="24"/>
      <c r="B162" s="25" t="s">
        <v>55</v>
      </c>
      <c r="C162" s="25"/>
      <c r="D162" s="25"/>
      <c r="E162" s="25"/>
      <c r="F162" s="25"/>
      <c r="G162" s="25"/>
      <c r="H162" s="25"/>
      <c r="I162" s="25"/>
      <c r="J162" s="25"/>
      <c r="K162" s="25"/>
      <c r="L162" s="25"/>
      <c r="M162" s="25"/>
      <c r="N162" s="25"/>
      <c r="O162" s="25"/>
      <c r="P162" s="25"/>
      <c r="Q162" s="25"/>
      <c r="R162" s="25"/>
      <c r="S162" s="25"/>
      <c r="T162" s="53">
        <f>T161+T160</f>
        <v>0</v>
      </c>
      <c r="U162" s="25"/>
      <c r="V162" s="5"/>
    </row>
    <row r="163" spans="1:22" ht="15.6" x14ac:dyDescent="0.3">
      <c r="A163" s="24"/>
      <c r="B163" s="405" t="s">
        <v>301</v>
      </c>
      <c r="C163" s="25"/>
      <c r="D163" s="25"/>
      <c r="E163" s="25"/>
      <c r="F163" s="25"/>
      <c r="G163" s="25"/>
      <c r="H163" s="25"/>
      <c r="I163" s="25"/>
      <c r="J163" s="25"/>
      <c r="K163" s="25"/>
      <c r="L163" s="25"/>
      <c r="M163" s="25"/>
      <c r="N163" s="25"/>
      <c r="O163" s="25"/>
      <c r="P163" s="25"/>
      <c r="Q163" s="25"/>
      <c r="R163" s="25"/>
      <c r="S163" s="25"/>
      <c r="T163" s="53">
        <f>T112</f>
        <v>0</v>
      </c>
      <c r="U163" s="25"/>
      <c r="V163" s="5"/>
    </row>
    <row r="164" spans="1:22" ht="15.6" x14ac:dyDescent="0.3">
      <c r="A164" s="24"/>
      <c r="B164" s="25" t="s">
        <v>56</v>
      </c>
      <c r="C164" s="25"/>
      <c r="D164" s="25"/>
      <c r="E164" s="25"/>
      <c r="F164" s="25"/>
      <c r="G164" s="25"/>
      <c r="H164" s="25"/>
      <c r="I164" s="25"/>
      <c r="J164" s="25"/>
      <c r="K164" s="25"/>
      <c r="L164" s="25"/>
      <c r="M164" s="25"/>
      <c r="N164" s="25"/>
      <c r="O164" s="25"/>
      <c r="P164" s="25"/>
      <c r="Q164" s="25"/>
      <c r="R164" s="25"/>
      <c r="S164" s="25"/>
      <c r="T164" s="53">
        <f>T162+T163</f>
        <v>0</v>
      </c>
      <c r="U164" s="25"/>
      <c r="V164" s="5"/>
    </row>
    <row r="165" spans="1:22" ht="16.2" thickBot="1" x14ac:dyDescent="0.35">
      <c r="A165" s="24"/>
      <c r="B165" s="25"/>
      <c r="C165" s="25"/>
      <c r="D165" s="25"/>
      <c r="E165" s="25"/>
      <c r="F165" s="25"/>
      <c r="G165" s="25"/>
      <c r="H165" s="25"/>
      <c r="I165" s="25"/>
      <c r="J165" s="25"/>
      <c r="K165" s="25"/>
      <c r="L165" s="25"/>
      <c r="M165" s="25"/>
      <c r="N165" s="25"/>
      <c r="O165" s="25"/>
      <c r="P165" s="25"/>
      <c r="Q165" s="25"/>
      <c r="R165" s="25"/>
      <c r="S165" s="25"/>
      <c r="T165" s="61"/>
      <c r="U165" s="25"/>
      <c r="V165" s="5"/>
    </row>
    <row r="166" spans="1:22" ht="15.6" x14ac:dyDescent="0.3">
      <c r="A166" s="2"/>
      <c r="B166" s="4"/>
      <c r="C166" s="4"/>
      <c r="D166" s="4"/>
      <c r="E166" s="4"/>
      <c r="F166" s="4"/>
      <c r="G166" s="4"/>
      <c r="H166" s="4"/>
      <c r="I166" s="4"/>
      <c r="J166" s="4"/>
      <c r="K166" s="4"/>
      <c r="L166" s="4"/>
      <c r="M166" s="4"/>
      <c r="N166" s="4"/>
      <c r="O166" s="4"/>
      <c r="P166" s="4"/>
      <c r="Q166" s="4"/>
      <c r="R166" s="4"/>
      <c r="S166" s="4"/>
      <c r="T166" s="50"/>
      <c r="U166" s="4"/>
      <c r="V166" s="5"/>
    </row>
    <row r="167" spans="1:22" ht="15.6" x14ac:dyDescent="0.3">
      <c r="A167" s="6"/>
      <c r="B167" s="119" t="s">
        <v>57</v>
      </c>
      <c r="C167" s="8"/>
      <c r="D167" s="8"/>
      <c r="E167" s="8"/>
      <c r="F167" s="8"/>
      <c r="G167" s="8"/>
      <c r="H167" s="8"/>
      <c r="I167" s="8"/>
      <c r="J167" s="8"/>
      <c r="K167" s="8"/>
      <c r="L167" s="8"/>
      <c r="M167" s="8"/>
      <c r="N167" s="8"/>
      <c r="O167" s="8"/>
      <c r="P167" s="8"/>
      <c r="Q167" s="8"/>
      <c r="R167" s="8"/>
      <c r="S167" s="8"/>
      <c r="T167" s="52"/>
      <c r="U167" s="8"/>
      <c r="V167" s="5"/>
    </row>
    <row r="168" spans="1:22" ht="15.6" x14ac:dyDescent="0.3">
      <c r="A168" s="6"/>
      <c r="B168" s="21"/>
      <c r="C168" s="8"/>
      <c r="D168" s="8"/>
      <c r="E168" s="8"/>
      <c r="F168" s="8"/>
      <c r="G168" s="8"/>
      <c r="H168" s="8"/>
      <c r="I168" s="8"/>
      <c r="J168" s="8"/>
      <c r="K168" s="8"/>
      <c r="L168" s="8"/>
      <c r="M168" s="8"/>
      <c r="N168" s="8"/>
      <c r="O168" s="8"/>
      <c r="P168" s="8"/>
      <c r="Q168" s="8"/>
      <c r="R168" s="8"/>
      <c r="S168" s="8"/>
      <c r="T168" s="52"/>
      <c r="U168" s="8"/>
      <c r="V168" s="5"/>
    </row>
    <row r="169" spans="1:22" ht="15.6" x14ac:dyDescent="0.3">
      <c r="A169" s="24"/>
      <c r="B169" s="25" t="s">
        <v>58</v>
      </c>
      <c r="C169" s="25"/>
      <c r="D169" s="25"/>
      <c r="E169" s="25"/>
      <c r="F169" s="25"/>
      <c r="G169" s="25"/>
      <c r="H169" s="25"/>
      <c r="I169" s="25"/>
      <c r="J169" s="25"/>
      <c r="K169" s="25"/>
      <c r="L169" s="25"/>
      <c r="M169" s="25"/>
      <c r="N169" s="25"/>
      <c r="O169" s="25"/>
      <c r="P169" s="25"/>
      <c r="Q169" s="25"/>
      <c r="R169" s="25"/>
      <c r="S169" s="25"/>
      <c r="T169" s="53">
        <f>T72</f>
        <v>951263</v>
      </c>
      <c r="U169" s="25"/>
      <c r="V169" s="5"/>
    </row>
    <row r="170" spans="1:22" ht="15.6" x14ac:dyDescent="0.3">
      <c r="A170" s="24"/>
      <c r="B170" s="25" t="s">
        <v>59</v>
      </c>
      <c r="C170" s="25"/>
      <c r="D170" s="25"/>
      <c r="E170" s="25"/>
      <c r="F170" s="25"/>
      <c r="G170" s="25"/>
      <c r="H170" s="25"/>
      <c r="I170" s="25"/>
      <c r="J170" s="25"/>
      <c r="K170" s="25"/>
      <c r="L170" s="25"/>
      <c r="M170" s="25"/>
      <c r="N170" s="25"/>
      <c r="O170" s="25"/>
      <c r="P170" s="25"/>
      <c r="Q170" s="25"/>
      <c r="R170" s="25"/>
      <c r="S170" s="25"/>
      <c r="T170" s="53">
        <f>T85</f>
        <v>951263</v>
      </c>
      <c r="U170" s="25"/>
      <c r="V170" s="5"/>
    </row>
    <row r="171" spans="1:22" ht="16.2" thickBot="1" x14ac:dyDescent="0.35">
      <c r="A171" s="24"/>
      <c r="B171" s="25"/>
      <c r="C171" s="25"/>
      <c r="D171" s="25"/>
      <c r="E171" s="25"/>
      <c r="F171" s="25"/>
      <c r="G171" s="25"/>
      <c r="H171" s="25"/>
      <c r="I171" s="25"/>
      <c r="J171" s="25"/>
      <c r="K171" s="25"/>
      <c r="L171" s="25"/>
      <c r="M171" s="25"/>
      <c r="N171" s="25"/>
      <c r="O171" s="25"/>
      <c r="P171" s="25"/>
      <c r="Q171" s="25"/>
      <c r="R171" s="25"/>
      <c r="S171" s="25"/>
      <c r="T171" s="61"/>
      <c r="U171" s="25"/>
      <c r="V171" s="5"/>
    </row>
    <row r="172" spans="1:22" ht="15.6" x14ac:dyDescent="0.3">
      <c r="A172" s="2"/>
      <c r="B172" s="4"/>
      <c r="C172" s="4"/>
      <c r="D172" s="4"/>
      <c r="E172" s="4"/>
      <c r="F172" s="4"/>
      <c r="G172" s="4"/>
      <c r="H172" s="4"/>
      <c r="I172" s="4"/>
      <c r="J172" s="4"/>
      <c r="K172" s="4"/>
      <c r="L172" s="4"/>
      <c r="M172" s="4"/>
      <c r="N172" s="4"/>
      <c r="O172" s="4"/>
      <c r="P172" s="4"/>
      <c r="Q172" s="4"/>
      <c r="R172" s="4"/>
      <c r="S172" s="4"/>
      <c r="T172" s="50"/>
      <c r="U172" s="4"/>
      <c r="V172" s="5"/>
    </row>
    <row r="173" spans="1:22" ht="15.6" x14ac:dyDescent="0.3">
      <c r="A173" s="6"/>
      <c r="B173" s="119" t="s">
        <v>60</v>
      </c>
      <c r="C173" s="117"/>
      <c r="D173" s="117"/>
      <c r="E173" s="117"/>
      <c r="F173" s="117"/>
      <c r="G173" s="117"/>
      <c r="H173" s="120"/>
      <c r="I173" s="120"/>
      <c r="J173" s="120"/>
      <c r="K173" s="120"/>
      <c r="L173" s="120"/>
      <c r="M173" s="120"/>
      <c r="N173" s="120"/>
      <c r="O173" s="120"/>
      <c r="P173" s="120"/>
      <c r="Q173" s="120" t="s">
        <v>104</v>
      </c>
      <c r="R173" s="120" t="s">
        <v>183</v>
      </c>
      <c r="S173" s="111"/>
      <c r="T173" s="121" t="s">
        <v>120</v>
      </c>
      <c r="U173" s="10"/>
      <c r="V173" s="5"/>
    </row>
    <row r="174" spans="1:22" ht="15.6" x14ac:dyDescent="0.3">
      <c r="A174" s="24"/>
      <c r="B174" s="25" t="s">
        <v>61</v>
      </c>
      <c r="C174" s="25"/>
      <c r="D174" s="25"/>
      <c r="E174" s="25"/>
      <c r="F174" s="25"/>
      <c r="G174" s="25"/>
      <c r="H174" s="25"/>
      <c r="I174" s="25"/>
      <c r="J174" s="25"/>
      <c r="K174" s="25"/>
      <c r="L174" s="25"/>
      <c r="M174" s="25"/>
      <c r="N174" s="25"/>
      <c r="O174" s="25"/>
      <c r="P174" s="25"/>
      <c r="Q174" s="53">
        <v>160008</v>
      </c>
      <c r="R174" s="40"/>
      <c r="S174" s="25"/>
      <c r="T174" s="53"/>
      <c r="U174" s="25"/>
      <c r="V174" s="5"/>
    </row>
    <row r="175" spans="1:22" ht="15.6" x14ac:dyDescent="0.3">
      <c r="A175" s="24"/>
      <c r="B175" s="25" t="s">
        <v>62</v>
      </c>
      <c r="C175" s="25"/>
      <c r="D175" s="25"/>
      <c r="E175" s="25"/>
      <c r="F175" s="25"/>
      <c r="G175" s="25"/>
      <c r="H175" s="25"/>
      <c r="I175" s="25"/>
      <c r="J175" s="25"/>
      <c r="K175" s="25"/>
      <c r="L175" s="25"/>
      <c r="M175" s="25"/>
      <c r="N175" s="25"/>
      <c r="O175" s="25"/>
      <c r="P175" s="25"/>
      <c r="Q175" s="53">
        <f>+'Sept 06'!Q176</f>
        <v>9336</v>
      </c>
      <c r="R175" s="53">
        <f>+'Sept 06'!R176</f>
        <v>2747</v>
      </c>
      <c r="S175" s="25"/>
      <c r="T175" s="53">
        <f>Q175+R175</f>
        <v>12083</v>
      </c>
      <c r="U175" s="25"/>
      <c r="V175" s="5"/>
    </row>
    <row r="176" spans="1:22" ht="15.6" x14ac:dyDescent="0.3">
      <c r="A176" s="24"/>
      <c r="B176" s="25" t="s">
        <v>63</v>
      </c>
      <c r="C176" s="25"/>
      <c r="D176" s="25"/>
      <c r="E176" s="25"/>
      <c r="F176" s="25"/>
      <c r="G176" s="25"/>
      <c r="H176" s="25"/>
      <c r="I176" s="25"/>
      <c r="J176" s="25"/>
      <c r="K176" s="25"/>
      <c r="L176" s="25"/>
      <c r="M176" s="25"/>
      <c r="N176" s="25"/>
      <c r="O176" s="25"/>
      <c r="P176" s="25"/>
      <c r="Q176" s="34">
        <v>3873</v>
      </c>
      <c r="R176" s="34">
        <v>141</v>
      </c>
      <c r="S176" s="25"/>
      <c r="T176" s="53">
        <f>Q176+R176</f>
        <v>4014</v>
      </c>
      <c r="U176" s="25"/>
      <c r="V176" s="5"/>
    </row>
    <row r="177" spans="1:22" ht="15.6" x14ac:dyDescent="0.3">
      <c r="A177" s="24"/>
      <c r="B177" s="25" t="s">
        <v>64</v>
      </c>
      <c r="C177" s="25"/>
      <c r="D177" s="25"/>
      <c r="E177" s="25"/>
      <c r="F177" s="25"/>
      <c r="G177" s="25"/>
      <c r="H177" s="25"/>
      <c r="I177" s="25"/>
      <c r="J177" s="25"/>
      <c r="K177" s="25"/>
      <c r="L177" s="25"/>
      <c r="M177" s="25"/>
      <c r="N177" s="25"/>
      <c r="O177" s="25"/>
      <c r="P177" s="25"/>
      <c r="Q177" s="53">
        <f>Q175+Q176</f>
        <v>13209</v>
      </c>
      <c r="R177" s="53">
        <f>R176+R175</f>
        <v>2888</v>
      </c>
      <c r="S177" s="25"/>
      <c r="T177" s="53">
        <f>Q177+R177</f>
        <v>16097</v>
      </c>
      <c r="U177" s="25"/>
      <c r="V177" s="5"/>
    </row>
    <row r="178" spans="1:22" ht="15.6" x14ac:dyDescent="0.3">
      <c r="A178" s="24"/>
      <c r="B178" s="25" t="s">
        <v>65</v>
      </c>
      <c r="C178" s="25"/>
      <c r="D178" s="25"/>
      <c r="E178" s="25"/>
      <c r="F178" s="25"/>
      <c r="G178" s="25"/>
      <c r="H178" s="25"/>
      <c r="I178" s="25"/>
      <c r="J178" s="25"/>
      <c r="K178" s="25"/>
      <c r="L178" s="25"/>
      <c r="M178" s="25"/>
      <c r="N178" s="25"/>
      <c r="O178" s="25"/>
      <c r="P178" s="25"/>
      <c r="Q178" s="53">
        <f>Q174-Q177-R177</f>
        <v>143911</v>
      </c>
      <c r="R178" s="40"/>
      <c r="S178" s="25"/>
      <c r="T178" s="53"/>
      <c r="U178" s="25"/>
      <c r="V178" s="5"/>
    </row>
    <row r="179" spans="1:22" ht="16.2" thickBot="1" x14ac:dyDescent="0.35">
      <c r="A179" s="24"/>
      <c r="B179" s="25"/>
      <c r="C179" s="25"/>
      <c r="D179" s="25"/>
      <c r="E179" s="25"/>
      <c r="F179" s="25"/>
      <c r="G179" s="25"/>
      <c r="H179" s="25"/>
      <c r="I179" s="25"/>
      <c r="J179" s="25"/>
      <c r="K179" s="25"/>
      <c r="L179" s="25"/>
      <c r="M179" s="25"/>
      <c r="N179" s="25"/>
      <c r="O179" s="25"/>
      <c r="P179" s="25"/>
      <c r="Q179" s="25"/>
      <c r="R179" s="25"/>
      <c r="S179" s="25"/>
      <c r="T179" s="61"/>
      <c r="U179" s="25"/>
      <c r="V179" s="5"/>
    </row>
    <row r="180" spans="1:22" ht="15.6" x14ac:dyDescent="0.3">
      <c r="A180" s="2"/>
      <c r="B180" s="4"/>
      <c r="C180" s="4"/>
      <c r="D180" s="4"/>
      <c r="E180" s="4"/>
      <c r="F180" s="4"/>
      <c r="G180" s="4"/>
      <c r="H180" s="4"/>
      <c r="I180" s="4"/>
      <c r="J180" s="4"/>
      <c r="K180" s="4"/>
      <c r="L180" s="4"/>
      <c r="M180" s="4"/>
      <c r="N180" s="4"/>
      <c r="O180" s="4"/>
      <c r="P180" s="4"/>
      <c r="Q180" s="4"/>
      <c r="R180" s="4"/>
      <c r="S180" s="4"/>
      <c r="T180" s="50"/>
      <c r="U180" s="4"/>
      <c r="V180" s="5"/>
    </row>
    <row r="181" spans="1:22" ht="15.6" x14ac:dyDescent="0.3">
      <c r="A181" s="6"/>
      <c r="B181" s="119" t="s">
        <v>66</v>
      </c>
      <c r="C181" s="8"/>
      <c r="D181" s="8"/>
      <c r="E181" s="8"/>
      <c r="F181" s="8"/>
      <c r="G181" s="8"/>
      <c r="H181" s="8"/>
      <c r="I181" s="8"/>
      <c r="J181" s="8"/>
      <c r="K181" s="8"/>
      <c r="L181" s="8"/>
      <c r="M181" s="8"/>
      <c r="N181" s="8"/>
      <c r="O181" s="8"/>
      <c r="P181" s="8"/>
      <c r="Q181" s="8"/>
      <c r="R181" s="8"/>
      <c r="S181" s="8"/>
      <c r="T181" s="65"/>
      <c r="U181" s="8"/>
      <c r="V181" s="5"/>
    </row>
    <row r="182" spans="1:22" ht="15.6" x14ac:dyDescent="0.3">
      <c r="A182" s="24"/>
      <c r="B182" s="25" t="s">
        <v>67</v>
      </c>
      <c r="C182" s="25"/>
      <c r="D182" s="25"/>
      <c r="E182" s="25"/>
      <c r="F182" s="25"/>
      <c r="G182" s="25"/>
      <c r="H182" s="25"/>
      <c r="I182" s="25"/>
      <c r="J182" s="25"/>
      <c r="K182" s="25"/>
      <c r="L182" s="25"/>
      <c r="M182" s="25"/>
      <c r="N182" s="25"/>
      <c r="O182" s="25"/>
      <c r="P182" s="25"/>
      <c r="Q182" s="25"/>
      <c r="R182" s="25"/>
      <c r="S182" s="25"/>
      <c r="T182" s="59">
        <f>(T100+T102+T103+T104+T105)/-(T106+T107)</f>
        <v>1.4682166251499216</v>
      </c>
      <c r="U182" s="25" t="s">
        <v>121</v>
      </c>
      <c r="V182" s="5"/>
    </row>
    <row r="183" spans="1:22" ht="15.6" x14ac:dyDescent="0.3">
      <c r="A183" s="24"/>
      <c r="B183" s="25" t="s">
        <v>68</v>
      </c>
      <c r="C183" s="25"/>
      <c r="D183" s="25"/>
      <c r="E183" s="25"/>
      <c r="F183" s="25"/>
      <c r="G183" s="25"/>
      <c r="H183" s="25"/>
      <c r="I183" s="25"/>
      <c r="J183" s="25"/>
      <c r="K183" s="25"/>
      <c r="L183" s="25"/>
      <c r="M183" s="25"/>
      <c r="N183" s="25"/>
      <c r="O183" s="25"/>
      <c r="P183" s="25"/>
      <c r="Q183" s="25"/>
      <c r="R183" s="25"/>
      <c r="S183" s="25"/>
      <c r="T183" s="66">
        <v>1.42</v>
      </c>
      <c r="U183" s="25" t="s">
        <v>121</v>
      </c>
      <c r="V183" s="5"/>
    </row>
    <row r="184" spans="1:22" ht="15.6" x14ac:dyDescent="0.3">
      <c r="A184" s="24"/>
      <c r="B184" s="25" t="s">
        <v>69</v>
      </c>
      <c r="C184" s="25"/>
      <c r="D184" s="25"/>
      <c r="E184" s="25"/>
      <c r="F184" s="25"/>
      <c r="G184" s="25"/>
      <c r="H184" s="25"/>
      <c r="I184" s="25"/>
      <c r="J184" s="25"/>
      <c r="K184" s="25"/>
      <c r="L184" s="25"/>
      <c r="M184" s="25"/>
      <c r="N184" s="25"/>
      <c r="O184" s="25"/>
      <c r="P184" s="25"/>
      <c r="Q184" s="25"/>
      <c r="R184" s="25"/>
      <c r="S184" s="25"/>
      <c r="T184" s="59">
        <f>(T100+T102+T103+T104+T105+T106+T107)/-(T108+T109)</f>
        <v>5.1680244399185336</v>
      </c>
      <c r="U184" s="25" t="s">
        <v>121</v>
      </c>
      <c r="V184" s="5"/>
    </row>
    <row r="185" spans="1:22" ht="15.6" x14ac:dyDescent="0.3">
      <c r="A185" s="24"/>
      <c r="B185" s="25" t="s">
        <v>70</v>
      </c>
      <c r="C185" s="25"/>
      <c r="D185" s="25"/>
      <c r="E185" s="25"/>
      <c r="F185" s="25"/>
      <c r="G185" s="25"/>
      <c r="H185" s="25"/>
      <c r="I185" s="25"/>
      <c r="J185" s="25"/>
      <c r="K185" s="25"/>
      <c r="L185" s="25"/>
      <c r="M185" s="25"/>
      <c r="N185" s="25"/>
      <c r="O185" s="25"/>
      <c r="P185" s="25"/>
      <c r="Q185" s="25"/>
      <c r="R185" s="25"/>
      <c r="S185" s="25"/>
      <c r="T185" s="66">
        <v>4.68</v>
      </c>
      <c r="U185" s="25" t="s">
        <v>121</v>
      </c>
      <c r="V185" s="5"/>
    </row>
    <row r="186" spans="1:22" ht="15.6" x14ac:dyDescent="0.3">
      <c r="A186" s="24"/>
      <c r="B186" s="25" t="s">
        <v>206</v>
      </c>
      <c r="C186" s="25"/>
      <c r="D186" s="25"/>
      <c r="E186" s="25"/>
      <c r="F186" s="25"/>
      <c r="G186" s="25"/>
      <c r="H186" s="25"/>
      <c r="I186" s="25"/>
      <c r="J186" s="25"/>
      <c r="K186" s="25"/>
      <c r="L186" s="25"/>
      <c r="M186" s="25"/>
      <c r="N186" s="25"/>
      <c r="O186" s="25"/>
      <c r="P186" s="25"/>
      <c r="Q186" s="25"/>
      <c r="R186" s="25"/>
      <c r="S186" s="25"/>
      <c r="T186" s="59">
        <f>(T100+T102+T103+T104+T105+T106+T107+T108+T109)/-(T110)</f>
        <v>4.8266509433962268</v>
      </c>
      <c r="U186" s="25" t="s">
        <v>121</v>
      </c>
      <c r="V186" s="5"/>
    </row>
    <row r="187" spans="1:22" ht="15.6" x14ac:dyDescent="0.3">
      <c r="A187" s="24"/>
      <c r="B187" s="25" t="s">
        <v>207</v>
      </c>
      <c r="C187" s="25"/>
      <c r="D187" s="25"/>
      <c r="E187" s="25"/>
      <c r="F187" s="25"/>
      <c r="G187" s="25"/>
      <c r="H187" s="25"/>
      <c r="I187" s="25"/>
      <c r="J187" s="25"/>
      <c r="K187" s="25"/>
      <c r="L187" s="25"/>
      <c r="M187" s="25"/>
      <c r="N187" s="25"/>
      <c r="O187" s="25"/>
      <c r="P187" s="25"/>
      <c r="Q187" s="25"/>
      <c r="R187" s="25"/>
      <c r="S187" s="25"/>
      <c r="T187" s="66">
        <v>4.25</v>
      </c>
      <c r="U187" s="25" t="s">
        <v>121</v>
      </c>
      <c r="V187" s="5"/>
    </row>
    <row r="188" spans="1:22" ht="15.6" x14ac:dyDescent="0.3">
      <c r="A188" s="24"/>
      <c r="B188" s="25"/>
      <c r="C188" s="25"/>
      <c r="D188" s="25"/>
      <c r="E188" s="25"/>
      <c r="F188" s="25"/>
      <c r="G188" s="25"/>
      <c r="H188" s="25"/>
      <c r="I188" s="25"/>
      <c r="J188" s="25"/>
      <c r="K188" s="25"/>
      <c r="L188" s="25"/>
      <c r="M188" s="25"/>
      <c r="N188" s="25"/>
      <c r="O188" s="25"/>
      <c r="P188" s="25"/>
      <c r="Q188" s="25"/>
      <c r="R188" s="25"/>
      <c r="S188" s="25"/>
      <c r="T188" s="25"/>
      <c r="U188" s="25"/>
      <c r="V188" s="5"/>
    </row>
    <row r="189" spans="1:22" ht="15.6" x14ac:dyDescent="0.3">
      <c r="A189" s="24"/>
      <c r="B189" s="25"/>
      <c r="C189" s="25"/>
      <c r="D189" s="25"/>
      <c r="E189" s="25"/>
      <c r="F189" s="25"/>
      <c r="G189" s="25"/>
      <c r="H189" s="25"/>
      <c r="I189" s="25"/>
      <c r="J189" s="25"/>
      <c r="K189" s="25"/>
      <c r="L189" s="25"/>
      <c r="M189" s="25"/>
      <c r="N189" s="25"/>
      <c r="O189" s="25"/>
      <c r="P189" s="25"/>
      <c r="Q189" s="25"/>
      <c r="R189" s="25"/>
      <c r="S189" s="25"/>
      <c r="T189" s="25"/>
      <c r="U189" s="25"/>
      <c r="V189" s="5"/>
    </row>
    <row r="190" spans="1:22" ht="15.6" x14ac:dyDescent="0.3">
      <c r="A190" s="6"/>
      <c r="B190" s="8"/>
      <c r="C190" s="8"/>
      <c r="D190" s="8"/>
      <c r="E190" s="8"/>
      <c r="F190" s="8"/>
      <c r="G190" s="8"/>
      <c r="H190" s="8"/>
      <c r="I190" s="8"/>
      <c r="J190" s="8"/>
      <c r="K190" s="8"/>
      <c r="L190" s="8"/>
      <c r="M190" s="8"/>
      <c r="N190" s="8"/>
      <c r="O190" s="8"/>
      <c r="P190" s="8"/>
      <c r="Q190" s="8"/>
      <c r="R190" s="8"/>
      <c r="S190" s="8"/>
      <c r="T190" s="8"/>
      <c r="U190" s="8"/>
      <c r="V190" s="5"/>
    </row>
    <row r="191" spans="1:22" ht="18" thickBot="1" x14ac:dyDescent="0.35">
      <c r="A191" s="101"/>
      <c r="B191" s="102" t="str">
        <f>B132</f>
        <v>PM11 INVESTOR REPORT QUARTER ENDING DECEMBER 2006</v>
      </c>
      <c r="C191" s="165"/>
      <c r="D191" s="165"/>
      <c r="E191" s="165"/>
      <c r="F191" s="165"/>
      <c r="G191" s="165"/>
      <c r="H191" s="165"/>
      <c r="I191" s="165"/>
      <c r="J191" s="165"/>
      <c r="K191" s="165"/>
      <c r="L191" s="165"/>
      <c r="M191" s="165"/>
      <c r="N191" s="165"/>
      <c r="O191" s="165"/>
      <c r="P191" s="165"/>
      <c r="Q191" s="165"/>
      <c r="R191" s="165"/>
      <c r="S191" s="165"/>
      <c r="T191" s="165"/>
      <c r="U191" s="166"/>
      <c r="V191" s="5"/>
    </row>
    <row r="192" spans="1:22" ht="15.6" x14ac:dyDescent="0.3">
      <c r="A192" s="67"/>
      <c r="B192" s="60" t="s">
        <v>71</v>
      </c>
      <c r="C192" s="68"/>
      <c r="D192" s="68"/>
      <c r="E192" s="68"/>
      <c r="F192" s="68"/>
      <c r="G192" s="69"/>
      <c r="H192" s="69"/>
      <c r="I192" s="69"/>
      <c r="J192" s="69"/>
      <c r="K192" s="69"/>
      <c r="L192" s="69"/>
      <c r="M192" s="69"/>
      <c r="N192" s="69"/>
      <c r="O192" s="69"/>
      <c r="P192" s="69"/>
      <c r="Q192" s="69"/>
      <c r="R192" s="70">
        <v>39080</v>
      </c>
      <c r="S192" s="4"/>
      <c r="T192" s="4"/>
      <c r="U192" s="4"/>
      <c r="V192" s="5"/>
    </row>
    <row r="193" spans="1:22" ht="15.6" x14ac:dyDescent="0.3">
      <c r="A193" s="71"/>
      <c r="B193" s="72"/>
      <c r="C193" s="73"/>
      <c r="D193" s="73"/>
      <c r="E193" s="73"/>
      <c r="F193" s="73"/>
      <c r="G193" s="74"/>
      <c r="H193" s="74"/>
      <c r="I193" s="74"/>
      <c r="J193" s="74"/>
      <c r="K193" s="74"/>
      <c r="L193" s="74"/>
      <c r="M193" s="74"/>
      <c r="N193" s="74"/>
      <c r="O193" s="74"/>
      <c r="P193" s="74"/>
      <c r="Q193" s="74"/>
      <c r="R193" s="74"/>
      <c r="S193" s="8"/>
      <c r="T193" s="8"/>
      <c r="U193" s="8"/>
      <c r="V193" s="5"/>
    </row>
    <row r="194" spans="1:22" ht="15.6" x14ac:dyDescent="0.3">
      <c r="A194" s="75"/>
      <c r="B194" s="76" t="s">
        <v>72</v>
      </c>
      <c r="C194" s="77"/>
      <c r="D194" s="77"/>
      <c r="E194" s="77"/>
      <c r="F194" s="77"/>
      <c r="G194" s="64"/>
      <c r="H194" s="64"/>
      <c r="I194" s="64"/>
      <c r="J194" s="64"/>
      <c r="K194" s="64"/>
      <c r="L194" s="64"/>
      <c r="M194" s="64"/>
      <c r="N194" s="64"/>
      <c r="O194" s="64"/>
      <c r="P194" s="64"/>
      <c r="Q194" s="64"/>
      <c r="R194" s="78">
        <v>5.1569999999999998E-2</v>
      </c>
      <c r="S194" s="25"/>
      <c r="T194" s="25"/>
      <c r="U194" s="25"/>
      <c r="V194" s="5"/>
    </row>
    <row r="195" spans="1:22" ht="15.6" x14ac:dyDescent="0.3">
      <c r="A195" s="75"/>
      <c r="B195" s="76" t="s">
        <v>157</v>
      </c>
      <c r="C195" s="77"/>
      <c r="D195" s="77"/>
      <c r="E195" s="77"/>
      <c r="F195" s="77"/>
      <c r="G195" s="64"/>
      <c r="H195" s="64"/>
      <c r="I195" s="64"/>
      <c r="J195" s="64"/>
      <c r="K195" s="64"/>
      <c r="L195" s="64"/>
      <c r="M195" s="64"/>
      <c r="N195" s="64"/>
      <c r="O195" s="64"/>
      <c r="P195" s="64"/>
      <c r="Q195" s="64"/>
      <c r="R195" s="39">
        <v>4.6899999999999997E-2</v>
      </c>
      <c r="S195" s="25"/>
      <c r="T195" s="25"/>
      <c r="U195" s="25"/>
      <c r="V195" s="5"/>
    </row>
    <row r="196" spans="1:22" ht="15.6" x14ac:dyDescent="0.3">
      <c r="A196" s="75"/>
      <c r="B196" s="76" t="s">
        <v>73</v>
      </c>
      <c r="C196" s="77"/>
      <c r="D196" s="77"/>
      <c r="E196" s="77"/>
      <c r="F196" s="77"/>
      <c r="G196" s="64"/>
      <c r="H196" s="64"/>
      <c r="I196" s="64"/>
      <c r="J196" s="64"/>
      <c r="K196" s="64"/>
      <c r="L196" s="64"/>
      <c r="M196" s="64"/>
      <c r="N196" s="64"/>
      <c r="O196" s="64"/>
      <c r="P196" s="64"/>
      <c r="Q196" s="64"/>
      <c r="R196" s="78">
        <f>R194-R195</f>
        <v>4.6700000000000005E-3</v>
      </c>
      <c r="S196" s="25"/>
      <c r="T196" s="25"/>
      <c r="U196" s="25"/>
      <c r="V196" s="5"/>
    </row>
    <row r="197" spans="1:22" ht="15.6" x14ac:dyDescent="0.3">
      <c r="A197" s="75"/>
      <c r="B197" s="76" t="s">
        <v>74</v>
      </c>
      <c r="C197" s="77"/>
      <c r="D197" s="77"/>
      <c r="E197" s="77"/>
      <c r="F197" s="77"/>
      <c r="G197" s="64"/>
      <c r="H197" s="64"/>
      <c r="I197" s="64"/>
      <c r="J197" s="64"/>
      <c r="K197" s="64"/>
      <c r="L197" s="64"/>
      <c r="M197" s="64"/>
      <c r="N197" s="64"/>
      <c r="O197" s="64"/>
      <c r="P197" s="64"/>
      <c r="Q197" s="64"/>
      <c r="R197" s="78">
        <v>5.1920000000000001E-2</v>
      </c>
      <c r="S197" s="25"/>
      <c r="T197" s="25"/>
      <c r="U197" s="25"/>
      <c r="V197" s="5"/>
    </row>
    <row r="198" spans="1:22" ht="15.6" x14ac:dyDescent="0.3">
      <c r="A198" s="75"/>
      <c r="B198" s="76" t="s">
        <v>257</v>
      </c>
      <c r="C198" s="77"/>
      <c r="D198" s="77"/>
      <c r="E198" s="77"/>
      <c r="F198" s="77"/>
      <c r="G198" s="64"/>
      <c r="H198" s="64"/>
      <c r="I198" s="64"/>
      <c r="J198" s="64"/>
      <c r="K198" s="64"/>
      <c r="L198" s="64"/>
      <c r="M198" s="64"/>
      <c r="N198" s="64"/>
      <c r="O198" s="64"/>
      <c r="P198" s="64"/>
      <c r="Q198" s="64"/>
      <c r="R198" s="78">
        <f>T43</f>
        <v>5.2130665234331748E-2</v>
      </c>
      <c r="S198" s="25"/>
      <c r="T198" s="25"/>
      <c r="U198" s="25"/>
      <c r="V198" s="5"/>
    </row>
    <row r="199" spans="1:22" ht="15.6" x14ac:dyDescent="0.3">
      <c r="A199" s="75"/>
      <c r="B199" s="76" t="s">
        <v>75</v>
      </c>
      <c r="C199" s="77"/>
      <c r="D199" s="77"/>
      <c r="E199" s="77"/>
      <c r="F199" s="77"/>
      <c r="G199" s="64"/>
      <c r="H199" s="64"/>
      <c r="I199" s="64"/>
      <c r="J199" s="64"/>
      <c r="K199" s="64"/>
      <c r="L199" s="64"/>
      <c r="M199" s="64"/>
      <c r="N199" s="64"/>
      <c r="O199" s="64"/>
      <c r="P199" s="64"/>
      <c r="Q199" s="64"/>
      <c r="R199" s="78">
        <f>R197-R198</f>
        <v>-2.1066523433174722E-4</v>
      </c>
      <c r="S199" s="25"/>
      <c r="T199" s="25"/>
      <c r="U199" s="25"/>
      <c r="V199" s="5"/>
    </row>
    <row r="200" spans="1:22" ht="15.6" x14ac:dyDescent="0.3">
      <c r="A200" s="75"/>
      <c r="B200" s="76" t="s">
        <v>260</v>
      </c>
      <c r="C200" s="77"/>
      <c r="D200" s="77"/>
      <c r="E200" s="77"/>
      <c r="F200" s="77"/>
      <c r="G200" s="64"/>
      <c r="H200" s="64"/>
      <c r="I200" s="64"/>
      <c r="J200" s="64"/>
      <c r="K200" s="64"/>
      <c r="L200" s="64"/>
      <c r="M200" s="64"/>
      <c r="N200" s="64"/>
      <c r="O200" s="64"/>
      <c r="P200" s="64"/>
      <c r="Q200" s="64"/>
      <c r="R200" s="78">
        <f>+T100/L72</f>
        <v>1.6902606224655944E-2</v>
      </c>
      <c r="S200" s="25"/>
      <c r="T200" s="25"/>
      <c r="U200" s="25"/>
      <c r="V200" s="5"/>
    </row>
    <row r="201" spans="1:22" ht="15.6" x14ac:dyDescent="0.3">
      <c r="A201" s="75"/>
      <c r="B201" s="76" t="s">
        <v>217</v>
      </c>
      <c r="C201" s="77"/>
      <c r="D201" s="77"/>
      <c r="E201" s="77"/>
      <c r="F201" s="77"/>
      <c r="G201" s="64"/>
      <c r="H201" s="64"/>
      <c r="I201" s="64"/>
      <c r="J201" s="64"/>
      <c r="K201" s="64"/>
      <c r="L201" s="64"/>
      <c r="M201" s="64"/>
      <c r="N201" s="64"/>
      <c r="O201" s="64"/>
      <c r="P201" s="64"/>
      <c r="Q201" s="64"/>
      <c r="R201" s="129">
        <v>15250</v>
      </c>
      <c r="S201" s="25"/>
      <c r="T201" s="25"/>
      <c r="U201" s="25"/>
      <c r="V201" s="5"/>
    </row>
    <row r="202" spans="1:22" ht="15.6" x14ac:dyDescent="0.3">
      <c r="A202" s="75"/>
      <c r="B202" s="76" t="s">
        <v>218</v>
      </c>
      <c r="C202" s="77"/>
      <c r="D202" s="77"/>
      <c r="E202" s="77"/>
      <c r="F202" s="77"/>
      <c r="G202" s="64"/>
      <c r="H202" s="64"/>
      <c r="I202" s="64"/>
      <c r="J202" s="64"/>
      <c r="K202" s="64"/>
      <c r="L202" s="64"/>
      <c r="M202" s="64"/>
      <c r="N202" s="64"/>
      <c r="O202" s="64"/>
      <c r="P202" s="64"/>
      <c r="Q202" s="64"/>
      <c r="R202" s="129">
        <v>15250</v>
      </c>
      <c r="S202" s="25"/>
      <c r="T202" s="25"/>
      <c r="U202" s="25"/>
      <c r="V202" s="5"/>
    </row>
    <row r="203" spans="1:22" ht="15.6" x14ac:dyDescent="0.3">
      <c r="A203" s="75"/>
      <c r="B203" s="76" t="s">
        <v>219</v>
      </c>
      <c r="C203" s="77"/>
      <c r="D203" s="77"/>
      <c r="E203" s="77"/>
      <c r="F203" s="77"/>
      <c r="G203" s="64"/>
      <c r="H203" s="64"/>
      <c r="I203" s="64"/>
      <c r="J203" s="64"/>
      <c r="K203" s="64"/>
      <c r="L203" s="64"/>
      <c r="M203" s="64"/>
      <c r="N203" s="64"/>
      <c r="O203" s="64"/>
      <c r="P203" s="64"/>
      <c r="Q203" s="64"/>
      <c r="R203" s="129">
        <v>15250</v>
      </c>
      <c r="S203" s="25"/>
      <c r="T203" s="25"/>
      <c r="U203" s="25"/>
      <c r="V203" s="5"/>
    </row>
    <row r="204" spans="1:22" ht="15.6" x14ac:dyDescent="0.3">
      <c r="A204" s="75"/>
      <c r="B204" s="76" t="s">
        <v>76</v>
      </c>
      <c r="C204" s="77"/>
      <c r="D204" s="77"/>
      <c r="E204" s="77"/>
      <c r="F204" s="77"/>
      <c r="G204" s="64"/>
      <c r="H204" s="64"/>
      <c r="I204" s="64"/>
      <c r="J204" s="64"/>
      <c r="K204" s="64"/>
      <c r="L204" s="64"/>
      <c r="M204" s="64"/>
      <c r="N204" s="64"/>
      <c r="O204" s="64"/>
      <c r="P204" s="64"/>
      <c r="Q204" s="64"/>
      <c r="R204" s="133">
        <v>21.18</v>
      </c>
      <c r="S204" s="25" t="s">
        <v>116</v>
      </c>
      <c r="T204" s="25"/>
      <c r="U204" s="25"/>
      <c r="V204" s="5"/>
    </row>
    <row r="205" spans="1:22" ht="15.6" x14ac:dyDescent="0.3">
      <c r="A205" s="75"/>
      <c r="B205" s="76" t="s">
        <v>77</v>
      </c>
      <c r="C205" s="77"/>
      <c r="D205" s="77"/>
      <c r="E205" s="77"/>
      <c r="F205" s="77"/>
      <c r="G205" s="64"/>
      <c r="H205" s="64"/>
      <c r="I205" s="64"/>
      <c r="J205" s="64"/>
      <c r="K205" s="64"/>
      <c r="L205" s="64"/>
      <c r="M205" s="64"/>
      <c r="N205" s="64"/>
      <c r="O205" s="64"/>
      <c r="P205" s="64"/>
      <c r="Q205" s="64"/>
      <c r="R205" s="133">
        <v>20.45</v>
      </c>
      <c r="S205" s="25" t="s">
        <v>116</v>
      </c>
      <c r="T205" s="25"/>
      <c r="U205" s="25"/>
      <c r="V205" s="5"/>
    </row>
    <row r="206" spans="1:22" ht="15.6" x14ac:dyDescent="0.3">
      <c r="A206" s="75"/>
      <c r="B206" s="76" t="s">
        <v>78</v>
      </c>
      <c r="C206" s="77"/>
      <c r="D206" s="77"/>
      <c r="E206" s="77"/>
      <c r="F206" s="77"/>
      <c r="G206" s="64"/>
      <c r="H206" s="64"/>
      <c r="I206" s="64"/>
      <c r="J206" s="64"/>
      <c r="K206" s="64"/>
      <c r="L206" s="64"/>
      <c r="M206" s="64"/>
      <c r="N206" s="64"/>
      <c r="O206" s="64"/>
      <c r="P206" s="64"/>
      <c r="Q206" s="64"/>
      <c r="R206" s="78">
        <f>+N69/L69</f>
        <v>1.7703245076382192E-2</v>
      </c>
      <c r="S206" s="25"/>
      <c r="T206" s="25"/>
      <c r="U206" s="25"/>
      <c r="V206" s="5"/>
    </row>
    <row r="207" spans="1:22" ht="15.6" x14ac:dyDescent="0.3">
      <c r="A207" s="75"/>
      <c r="B207" s="76" t="s">
        <v>79</v>
      </c>
      <c r="C207" s="77"/>
      <c r="D207" s="77"/>
      <c r="E207" s="77"/>
      <c r="F207" s="77"/>
      <c r="G207" s="64"/>
      <c r="H207" s="64"/>
      <c r="I207" s="64"/>
      <c r="J207" s="64"/>
      <c r="K207" s="64"/>
      <c r="L207" s="64"/>
      <c r="M207" s="64"/>
      <c r="N207" s="64"/>
      <c r="O207" s="64"/>
      <c r="P207" s="64"/>
      <c r="Q207" s="64"/>
      <c r="R207" s="78">
        <v>8.2600000000000007E-2</v>
      </c>
      <c r="S207" s="25"/>
      <c r="T207" s="25"/>
      <c r="U207" s="25"/>
      <c r="V207" s="5"/>
    </row>
    <row r="208" spans="1:22" ht="15.6" x14ac:dyDescent="0.3">
      <c r="A208" s="75"/>
      <c r="B208" s="76"/>
      <c r="C208" s="76"/>
      <c r="D208" s="76"/>
      <c r="E208" s="76"/>
      <c r="F208" s="76"/>
      <c r="G208" s="25"/>
      <c r="H208" s="25"/>
      <c r="I208" s="25"/>
      <c r="J208" s="25"/>
      <c r="K208" s="25"/>
      <c r="L208" s="25"/>
      <c r="M208" s="25"/>
      <c r="N208" s="25"/>
      <c r="O208" s="25"/>
      <c r="P208" s="25"/>
      <c r="Q208" s="25"/>
      <c r="R208" s="61"/>
      <c r="S208" s="25"/>
      <c r="T208" s="79"/>
      <c r="U208" s="25"/>
      <c r="V208" s="5"/>
    </row>
    <row r="209" spans="1:22" ht="15.6" x14ac:dyDescent="0.3">
      <c r="A209" s="80"/>
      <c r="B209" s="14" t="s">
        <v>80</v>
      </c>
      <c r="C209" s="81"/>
      <c r="D209" s="81"/>
      <c r="E209" s="81"/>
      <c r="F209" s="82"/>
      <c r="G209" s="81"/>
      <c r="H209" s="17"/>
      <c r="I209" s="17"/>
      <c r="J209" s="17"/>
      <c r="K209" s="17"/>
      <c r="L209" s="17"/>
      <c r="M209" s="17"/>
      <c r="N209" s="17"/>
      <c r="O209" s="17"/>
      <c r="P209" s="17"/>
      <c r="Q209" s="17" t="s">
        <v>105</v>
      </c>
      <c r="R209" s="83" t="s">
        <v>112</v>
      </c>
      <c r="S209" s="8"/>
      <c r="T209" s="8"/>
      <c r="U209" s="8"/>
      <c r="V209" s="5"/>
    </row>
    <row r="210" spans="1:22" ht="15.6" x14ac:dyDescent="0.3">
      <c r="A210" s="84"/>
      <c r="B210" s="76" t="s">
        <v>81</v>
      </c>
      <c r="C210" s="54"/>
      <c r="D210" s="54"/>
      <c r="E210" s="54"/>
      <c r="F210" s="25"/>
      <c r="G210" s="25"/>
      <c r="H210" s="30"/>
      <c r="I210" s="30"/>
      <c r="J210" s="30"/>
      <c r="K210" s="30"/>
      <c r="L210" s="30"/>
      <c r="M210" s="30"/>
      <c r="N210" s="30"/>
      <c r="O210" s="30"/>
      <c r="P210" s="30"/>
      <c r="Q210" s="30">
        <v>0</v>
      </c>
      <c r="R210" s="85">
        <v>0</v>
      </c>
      <c r="S210" s="25"/>
      <c r="T210" s="79"/>
      <c r="U210" s="86"/>
      <c r="V210" s="5"/>
    </row>
    <row r="211" spans="1:22" ht="15.6" x14ac:dyDescent="0.3">
      <c r="A211" s="84"/>
      <c r="B211" s="76" t="s">
        <v>151</v>
      </c>
      <c r="C211" s="54"/>
      <c r="D211" s="54"/>
      <c r="E211" s="54"/>
      <c r="F211" s="25"/>
      <c r="G211" s="25"/>
      <c r="H211" s="30"/>
      <c r="I211" s="30"/>
      <c r="J211" s="30"/>
      <c r="K211" s="30"/>
      <c r="L211" s="30"/>
      <c r="M211" s="30"/>
      <c r="N211" s="30"/>
      <c r="O211" s="30"/>
      <c r="P211" s="30"/>
      <c r="Q211" s="152">
        <f>+P252</f>
        <v>15</v>
      </c>
      <c r="R211" s="85">
        <f>+R252</f>
        <v>2442</v>
      </c>
      <c r="S211" s="25"/>
      <c r="T211" s="79"/>
      <c r="U211" s="86"/>
      <c r="V211" s="5"/>
    </row>
    <row r="212" spans="1:22" ht="15.6" x14ac:dyDescent="0.3">
      <c r="A212" s="84"/>
      <c r="B212" s="76" t="s">
        <v>82</v>
      </c>
      <c r="C212" s="54"/>
      <c r="D212" s="54"/>
      <c r="E212" s="54"/>
      <c r="F212" s="25"/>
      <c r="G212" s="25"/>
      <c r="H212" s="30"/>
      <c r="I212" s="30"/>
      <c r="J212" s="30"/>
      <c r="K212" s="30"/>
      <c r="L212" s="30"/>
      <c r="M212" s="30"/>
      <c r="N212" s="30"/>
      <c r="O212" s="30"/>
      <c r="P212" s="30"/>
      <c r="Q212" s="30">
        <v>0</v>
      </c>
      <c r="R212" s="85">
        <v>0</v>
      </c>
      <c r="S212" s="25"/>
      <c r="T212" s="79"/>
      <c r="U212" s="86"/>
      <c r="V212" s="5"/>
    </row>
    <row r="213" spans="1:22" ht="15.6" x14ac:dyDescent="0.3">
      <c r="A213" s="84"/>
      <c r="B213" s="122" t="s">
        <v>83</v>
      </c>
      <c r="C213" s="54"/>
      <c r="D213" s="54"/>
      <c r="E213" s="54"/>
      <c r="F213" s="25"/>
      <c r="G213" s="25"/>
      <c r="H213" s="25"/>
      <c r="I213" s="25"/>
      <c r="J213" s="25"/>
      <c r="K213" s="25"/>
      <c r="L213" s="25"/>
      <c r="M213" s="25"/>
      <c r="N213" s="25"/>
      <c r="O213" s="25"/>
      <c r="P213" s="25"/>
      <c r="Q213" s="25"/>
      <c r="R213" s="85">
        <v>0</v>
      </c>
      <c r="S213" s="25"/>
      <c r="T213" s="79"/>
      <c r="U213" s="86"/>
      <c r="V213" s="5"/>
    </row>
    <row r="214" spans="1:22" ht="15.6" x14ac:dyDescent="0.3">
      <c r="A214" s="84"/>
      <c r="B214" s="122" t="s">
        <v>84</v>
      </c>
      <c r="C214" s="54"/>
      <c r="D214" s="54"/>
      <c r="E214" s="54"/>
      <c r="F214" s="25"/>
      <c r="G214" s="25"/>
      <c r="H214" s="25"/>
      <c r="I214" s="25"/>
      <c r="J214" s="25"/>
      <c r="K214" s="25"/>
      <c r="L214" s="25"/>
      <c r="M214" s="25"/>
      <c r="N214" s="25"/>
      <c r="O214" s="25"/>
      <c r="P214" s="25"/>
      <c r="Q214" s="25"/>
      <c r="R214" s="62" t="s">
        <v>113</v>
      </c>
      <c r="S214" s="25"/>
      <c r="T214" s="79"/>
      <c r="U214" s="86"/>
      <c r="V214" s="5"/>
    </row>
    <row r="215" spans="1:22" ht="15.6" x14ac:dyDescent="0.3">
      <c r="A215" s="87"/>
      <c r="B215" s="122" t="s">
        <v>85</v>
      </c>
      <c r="C215" s="76"/>
      <c r="D215" s="76"/>
      <c r="E215" s="76"/>
      <c r="F215" s="76"/>
      <c r="G215" s="25"/>
      <c r="H215" s="25"/>
      <c r="I215" s="25"/>
      <c r="J215" s="25"/>
      <c r="K215" s="25"/>
      <c r="L215" s="25"/>
      <c r="M215" s="25"/>
      <c r="N215" s="25"/>
      <c r="O215" s="25"/>
      <c r="P215" s="25"/>
      <c r="Q215" s="25"/>
      <c r="R215" s="85"/>
      <c r="S215" s="25"/>
      <c r="T215" s="79"/>
      <c r="U215" s="88"/>
      <c r="V215" s="5"/>
    </row>
    <row r="216" spans="1:22" ht="15.6" x14ac:dyDescent="0.3">
      <c r="A216" s="87"/>
      <c r="B216" s="131" t="s">
        <v>86</v>
      </c>
      <c r="C216" s="76"/>
      <c r="D216" s="76"/>
      <c r="E216" s="76"/>
      <c r="F216" s="76"/>
      <c r="G216" s="25"/>
      <c r="H216" s="25"/>
      <c r="I216" s="25"/>
      <c r="J216" s="25"/>
      <c r="K216" s="25"/>
      <c r="L216" s="25"/>
      <c r="M216" s="25"/>
      <c r="N216" s="25"/>
      <c r="O216" s="25"/>
      <c r="P216" s="25"/>
      <c r="Q216" s="30">
        <v>0</v>
      </c>
      <c r="R216" s="85">
        <f>T161</f>
        <v>0</v>
      </c>
      <c r="S216" s="25"/>
      <c r="T216" s="79"/>
      <c r="U216" s="88"/>
      <c r="V216" s="5"/>
    </row>
    <row r="217" spans="1:22" ht="15.6" x14ac:dyDescent="0.3">
      <c r="A217" s="84"/>
      <c r="B217" s="76" t="s">
        <v>87</v>
      </c>
      <c r="C217" s="54"/>
      <c r="D217" s="54"/>
      <c r="E217" s="54"/>
      <c r="F217" s="54"/>
      <c r="G217" s="25"/>
      <c r="H217" s="25"/>
      <c r="I217" s="25"/>
      <c r="J217" s="25"/>
      <c r="K217" s="25"/>
      <c r="L217" s="25"/>
      <c r="M217" s="25"/>
      <c r="N217" s="25"/>
      <c r="O217" s="25"/>
      <c r="P217" s="25"/>
      <c r="Q217" s="30">
        <v>0</v>
      </c>
      <c r="R217" s="85">
        <f>+'Sept 06'!R216+R216</f>
        <v>0</v>
      </c>
      <c r="S217" s="25"/>
      <c r="T217" s="79"/>
      <c r="U217" s="88"/>
      <c r="V217" s="5"/>
    </row>
    <row r="218" spans="1:22" ht="15.6" x14ac:dyDescent="0.3">
      <c r="A218" s="84"/>
      <c r="B218" s="76" t="s">
        <v>88</v>
      </c>
      <c r="C218" s="54"/>
      <c r="D218" s="54"/>
      <c r="E218" s="54"/>
      <c r="F218" s="54"/>
      <c r="G218" s="25"/>
      <c r="H218" s="25"/>
      <c r="I218" s="25"/>
      <c r="J218" s="25"/>
      <c r="K218" s="25"/>
      <c r="L218" s="25"/>
      <c r="M218" s="25"/>
      <c r="N218" s="25"/>
      <c r="O218" s="25"/>
      <c r="P218" s="25"/>
      <c r="Q218" s="30"/>
      <c r="R218" s="85">
        <v>0</v>
      </c>
      <c r="S218" s="25"/>
      <c r="T218" s="79"/>
      <c r="U218" s="88"/>
      <c r="V218" s="5"/>
    </row>
    <row r="219" spans="1:22" ht="15.6" x14ac:dyDescent="0.3">
      <c r="A219" s="87"/>
      <c r="B219" s="122" t="s">
        <v>282</v>
      </c>
      <c r="C219" s="76"/>
      <c r="D219" s="76"/>
      <c r="E219" s="76"/>
      <c r="F219" s="76"/>
      <c r="G219" s="25"/>
      <c r="H219" s="25"/>
      <c r="I219" s="25"/>
      <c r="J219" s="25"/>
      <c r="K219" s="25"/>
      <c r="L219" s="25"/>
      <c r="M219" s="25"/>
      <c r="N219" s="25"/>
      <c r="O219" s="25"/>
      <c r="P219" s="25"/>
      <c r="Q219" s="30"/>
      <c r="R219" s="85"/>
      <c r="S219" s="25"/>
      <c r="T219" s="79"/>
      <c r="U219" s="88"/>
      <c r="V219" s="5"/>
    </row>
    <row r="220" spans="1:22" ht="15.6" x14ac:dyDescent="0.3">
      <c r="A220" s="87"/>
      <c r="B220" s="76" t="s">
        <v>280</v>
      </c>
      <c r="C220" s="76"/>
      <c r="D220" s="76"/>
      <c r="E220" s="76"/>
      <c r="F220" s="76"/>
      <c r="G220" s="25"/>
      <c r="H220" s="25"/>
      <c r="I220" s="25"/>
      <c r="J220" s="25"/>
      <c r="K220" s="25"/>
      <c r="L220" s="25"/>
      <c r="M220" s="25"/>
      <c r="N220" s="25"/>
      <c r="O220" s="25"/>
      <c r="P220" s="25"/>
      <c r="Q220" s="30">
        <v>0</v>
      </c>
      <c r="R220" s="85">
        <v>0</v>
      </c>
      <c r="S220" s="25"/>
      <c r="T220" s="79"/>
      <c r="U220" s="88"/>
      <c r="V220" s="5"/>
    </row>
    <row r="221" spans="1:22" ht="15.6" x14ac:dyDescent="0.3">
      <c r="A221" s="84"/>
      <c r="B221" s="76" t="s">
        <v>89</v>
      </c>
      <c r="C221" s="89"/>
      <c r="D221" s="89"/>
      <c r="E221" s="89"/>
      <c r="F221" s="90"/>
      <c r="G221" s="25"/>
      <c r="H221" s="25"/>
      <c r="I221" s="25"/>
      <c r="J221" s="25"/>
      <c r="K221" s="25"/>
      <c r="L221" s="25"/>
      <c r="M221" s="25"/>
      <c r="N221" s="25"/>
      <c r="O221" s="25"/>
      <c r="P221" s="25"/>
      <c r="Q221" s="25"/>
      <c r="R221" s="62">
        <v>0</v>
      </c>
      <c r="S221" s="25"/>
      <c r="T221" s="79"/>
      <c r="U221" s="88"/>
      <c r="V221" s="5"/>
    </row>
    <row r="222" spans="1:22" ht="15.6" x14ac:dyDescent="0.3">
      <c r="A222" s="84"/>
      <c r="B222" s="76" t="s">
        <v>90</v>
      </c>
      <c r="C222" s="89"/>
      <c r="D222" s="89"/>
      <c r="E222" s="89"/>
      <c r="F222" s="90"/>
      <c r="G222" s="25"/>
      <c r="H222" s="25"/>
      <c r="I222" s="25"/>
      <c r="J222" s="25"/>
      <c r="K222" s="25"/>
      <c r="L222" s="25"/>
      <c r="M222" s="25"/>
      <c r="N222" s="25"/>
      <c r="O222" s="25"/>
      <c r="P222" s="25"/>
      <c r="Q222" s="25"/>
      <c r="R222" s="62">
        <v>0</v>
      </c>
      <c r="S222" s="25"/>
      <c r="T222" s="79"/>
      <c r="U222" s="88"/>
      <c r="V222" s="5"/>
    </row>
    <row r="223" spans="1:22" ht="15.6" x14ac:dyDescent="0.3">
      <c r="A223" s="84"/>
      <c r="B223" s="122" t="s">
        <v>226</v>
      </c>
      <c r="C223" s="89"/>
      <c r="D223" s="89"/>
      <c r="E223" s="89"/>
      <c r="F223" s="90"/>
      <c r="G223" s="25"/>
      <c r="H223" s="25"/>
      <c r="I223" s="25"/>
      <c r="J223" s="25"/>
      <c r="K223" s="25"/>
      <c r="L223" s="25"/>
      <c r="M223" s="25"/>
      <c r="N223" s="25"/>
      <c r="O223" s="25"/>
      <c r="P223" s="25"/>
      <c r="Q223" s="30"/>
      <c r="R223" s="91"/>
      <c r="S223" s="25"/>
      <c r="T223" s="79"/>
      <c r="U223" s="88"/>
      <c r="V223" s="5"/>
    </row>
    <row r="224" spans="1:22" ht="15.6" x14ac:dyDescent="0.3">
      <c r="A224" s="84"/>
      <c r="B224" s="76" t="s">
        <v>280</v>
      </c>
      <c r="C224" s="89"/>
      <c r="D224" s="89"/>
      <c r="E224" s="89"/>
      <c r="F224" s="90"/>
      <c r="G224" s="25"/>
      <c r="H224" s="25"/>
      <c r="I224" s="25"/>
      <c r="J224" s="25"/>
      <c r="K224" s="25"/>
      <c r="L224" s="25"/>
      <c r="M224" s="25"/>
      <c r="N224" s="25"/>
      <c r="O224" s="25"/>
      <c r="P224" s="25"/>
      <c r="Q224" s="30">
        <v>1</v>
      </c>
      <c r="R224" s="85">
        <v>116</v>
      </c>
      <c r="S224" s="25"/>
      <c r="T224" s="79"/>
      <c r="U224" s="88"/>
      <c r="V224" s="5"/>
    </row>
    <row r="225" spans="1:23" ht="15.6" x14ac:dyDescent="0.3">
      <c r="A225" s="84"/>
      <c r="B225" s="76" t="s">
        <v>227</v>
      </c>
      <c r="C225" s="89"/>
      <c r="D225" s="89"/>
      <c r="E225" s="89"/>
      <c r="F225" s="90"/>
      <c r="G225" s="25"/>
      <c r="H225" s="25"/>
      <c r="I225" s="25"/>
      <c r="J225" s="25"/>
      <c r="K225" s="25"/>
      <c r="L225" s="25"/>
      <c r="M225" s="25"/>
      <c r="N225" s="25"/>
      <c r="O225" s="25"/>
      <c r="P225" s="25"/>
      <c r="Q225" s="30"/>
      <c r="R225" s="62">
        <v>2.66</v>
      </c>
      <c r="S225" s="25"/>
      <c r="T225" s="79"/>
      <c r="U225" s="88"/>
      <c r="V225" s="5"/>
    </row>
    <row r="226" spans="1:23" ht="15.6" x14ac:dyDescent="0.3">
      <c r="A226" s="84"/>
      <c r="B226" s="76"/>
      <c r="C226" s="89"/>
      <c r="D226" s="89"/>
      <c r="E226" s="89"/>
      <c r="F226" s="90"/>
      <c r="G226" s="25"/>
      <c r="H226" s="25"/>
      <c r="I226" s="25"/>
      <c r="J226" s="25"/>
      <c r="K226" s="25"/>
      <c r="L226" s="25"/>
      <c r="M226" s="25"/>
      <c r="N226" s="25"/>
      <c r="O226" s="25"/>
      <c r="P226" s="25"/>
      <c r="Q226" s="25"/>
      <c r="R226" s="91"/>
      <c r="S226" s="25"/>
      <c r="T226" s="79"/>
      <c r="U226" s="88"/>
      <c r="V226" s="5"/>
    </row>
    <row r="227" spans="1:23" ht="15.6" x14ac:dyDescent="0.3">
      <c r="A227" s="84"/>
      <c r="B227" s="76"/>
      <c r="C227" s="89"/>
      <c r="D227" s="89"/>
      <c r="E227" s="89"/>
      <c r="F227" s="90"/>
      <c r="G227" s="25"/>
      <c r="H227" s="25"/>
      <c r="I227" s="25"/>
      <c r="J227" s="25"/>
      <c r="K227" s="25"/>
      <c r="L227" s="25"/>
      <c r="M227" s="25"/>
      <c r="N227" s="25"/>
      <c r="O227" s="25"/>
      <c r="P227" s="25"/>
      <c r="Q227" s="25"/>
      <c r="R227" s="91"/>
      <c r="S227" s="25"/>
      <c r="T227" s="79"/>
      <c r="U227" s="88"/>
      <c r="V227" s="5"/>
    </row>
    <row r="228" spans="1:23" ht="17.399999999999999" x14ac:dyDescent="0.3">
      <c r="A228" s="84"/>
      <c r="B228" s="149" t="s">
        <v>175</v>
      </c>
      <c r="C228" s="89"/>
      <c r="D228" s="89"/>
      <c r="E228" s="89"/>
      <c r="F228" s="90"/>
      <c r="G228" s="25"/>
      <c r="H228" s="25"/>
      <c r="I228" s="25"/>
      <c r="J228" s="25"/>
      <c r="K228" s="25"/>
      <c r="L228" s="25"/>
      <c r="M228" s="25"/>
      <c r="N228" s="150" t="s">
        <v>174</v>
      </c>
      <c r="O228" s="25"/>
      <c r="P228" s="25"/>
      <c r="Q228" s="25"/>
      <c r="R228" s="91"/>
      <c r="S228" s="25"/>
      <c r="T228" s="79"/>
      <c r="U228" s="88"/>
      <c r="V228" s="5"/>
    </row>
    <row r="229" spans="1:23" ht="15.6" x14ac:dyDescent="0.3">
      <c r="A229" s="84"/>
      <c r="B229" s="76"/>
      <c r="C229" s="89"/>
      <c r="D229" s="89"/>
      <c r="E229" s="89"/>
      <c r="F229" s="90"/>
      <c r="G229" s="25"/>
      <c r="H229" s="25"/>
      <c r="I229" s="25"/>
      <c r="J229" s="25"/>
      <c r="K229" s="25"/>
      <c r="L229" s="25"/>
      <c r="M229" s="25"/>
      <c r="N229" s="25"/>
      <c r="O229" s="25"/>
      <c r="P229" s="25"/>
      <c r="Q229" s="25"/>
      <c r="R229" s="91"/>
      <c r="S229" s="25"/>
      <c r="T229" s="79"/>
      <c r="U229" s="88"/>
      <c r="V229" s="5"/>
    </row>
    <row r="230" spans="1:23" ht="15.6" x14ac:dyDescent="0.3">
      <c r="A230" s="6"/>
      <c r="B230" s="14" t="s">
        <v>169</v>
      </c>
      <c r="C230" s="81"/>
      <c r="D230" s="81"/>
      <c r="E230" s="81"/>
      <c r="F230" s="82"/>
      <c r="G230" s="81"/>
      <c r="H230" s="17"/>
      <c r="I230" s="17"/>
      <c r="J230" s="17"/>
      <c r="K230" s="17"/>
      <c r="L230" s="17"/>
      <c r="M230" s="17"/>
      <c r="N230" s="17"/>
      <c r="O230" s="17"/>
      <c r="P230" s="83" t="s">
        <v>105</v>
      </c>
      <c r="Q230" s="17" t="s">
        <v>106</v>
      </c>
      <c r="R230" s="83" t="s">
        <v>114</v>
      </c>
      <c r="S230" s="17" t="s">
        <v>106</v>
      </c>
      <c r="T230" s="8"/>
      <c r="U230" s="92"/>
      <c r="V230" s="5"/>
    </row>
    <row r="231" spans="1:23" ht="15.6" x14ac:dyDescent="0.3">
      <c r="A231" s="24"/>
      <c r="B231" s="54" t="s">
        <v>91</v>
      </c>
      <c r="C231" s="93"/>
      <c r="D231" s="93"/>
      <c r="E231" s="93"/>
      <c r="F231" s="25"/>
      <c r="G231" s="93"/>
      <c r="H231" s="93"/>
      <c r="I231" s="93"/>
      <c r="J231" s="93"/>
      <c r="K231" s="93"/>
      <c r="L231" s="93"/>
      <c r="M231" s="93"/>
      <c r="N231" s="93"/>
      <c r="O231" s="93"/>
      <c r="P231" s="54">
        <v>7193</v>
      </c>
      <c r="Q231" s="94">
        <f t="shared" ref="Q231:Q238" si="1">P231/$P$240</f>
        <v>0.99474484856866274</v>
      </c>
      <c r="R231" s="53">
        <v>944244</v>
      </c>
      <c r="S231" s="132">
        <f t="shared" ref="S231:S238" si="2">R231/$R$240</f>
        <v>0.99517611857241772</v>
      </c>
      <c r="T231" s="79"/>
      <c r="U231" s="88"/>
      <c r="V231" s="5"/>
    </row>
    <row r="232" spans="1:23" ht="15.6" x14ac:dyDescent="0.3">
      <c r="A232" s="24"/>
      <c r="B232" s="54" t="s">
        <v>92</v>
      </c>
      <c r="C232" s="93"/>
      <c r="D232" s="93"/>
      <c r="E232" s="93"/>
      <c r="F232" s="25"/>
      <c r="G232" s="94"/>
      <c r="H232" s="93"/>
      <c r="I232" s="93"/>
      <c r="J232" s="93"/>
      <c r="K232" s="93"/>
      <c r="L232" s="93"/>
      <c r="M232" s="93"/>
      <c r="N232" s="93"/>
      <c r="O232" s="93"/>
      <c r="P232" s="54">
        <v>21</v>
      </c>
      <c r="Q232" s="94">
        <f t="shared" si="1"/>
        <v>2.9041626331074541E-3</v>
      </c>
      <c r="R232" s="53">
        <v>3064</v>
      </c>
      <c r="S232" s="132">
        <f t="shared" si="2"/>
        <v>3.2292708529849151E-3</v>
      </c>
      <c r="T232" s="79"/>
      <c r="U232" s="88"/>
      <c r="V232" s="5"/>
      <c r="W232" s="109"/>
    </row>
    <row r="233" spans="1:23" ht="15.6" x14ac:dyDescent="0.3">
      <c r="A233" s="24"/>
      <c r="B233" s="54" t="s">
        <v>93</v>
      </c>
      <c r="C233" s="93"/>
      <c r="D233" s="93"/>
      <c r="E233" s="93"/>
      <c r="F233" s="25"/>
      <c r="G233" s="94"/>
      <c r="H233" s="93"/>
      <c r="I233" s="93"/>
      <c r="J233" s="93"/>
      <c r="K233" s="93"/>
      <c r="L233" s="93"/>
      <c r="M233" s="93"/>
      <c r="N233" s="93"/>
      <c r="O233" s="93"/>
      <c r="P233" s="54">
        <v>16</v>
      </c>
      <c r="Q233" s="94">
        <f t="shared" si="1"/>
        <v>2.2126953395104412E-3</v>
      </c>
      <c r="R233" s="53">
        <v>1463</v>
      </c>
      <c r="S233" s="132">
        <f t="shared" si="2"/>
        <v>1.5419135959258911E-3</v>
      </c>
      <c r="T233" s="79"/>
      <c r="U233" s="88"/>
      <c r="V233" s="5"/>
    </row>
    <row r="234" spans="1:23" ht="15.6" x14ac:dyDescent="0.3">
      <c r="A234" s="24"/>
      <c r="B234" s="54" t="s">
        <v>163</v>
      </c>
      <c r="C234" s="93"/>
      <c r="D234" s="93"/>
      <c r="E234" s="93"/>
      <c r="F234" s="25"/>
      <c r="G234" s="94"/>
      <c r="H234" s="93"/>
      <c r="I234" s="93"/>
      <c r="J234" s="93"/>
      <c r="K234" s="93"/>
      <c r="L234" s="93"/>
      <c r="M234" s="93"/>
      <c r="N234" s="93"/>
      <c r="O234" s="93"/>
      <c r="P234" s="54">
        <v>1</v>
      </c>
      <c r="Q234" s="94">
        <f t="shared" si="1"/>
        <v>1.3829345871940258E-4</v>
      </c>
      <c r="R234" s="53">
        <v>50</v>
      </c>
      <c r="S234" s="132">
        <f t="shared" si="2"/>
        <v>5.269697867142485E-5</v>
      </c>
      <c r="T234" s="79"/>
      <c r="U234" s="88"/>
      <c r="V234" s="5"/>
      <c r="W234" s="109"/>
    </row>
    <row r="235" spans="1:23" ht="15.6" x14ac:dyDescent="0.3">
      <c r="A235" s="24"/>
      <c r="B235" s="54" t="s">
        <v>164</v>
      </c>
      <c r="C235" s="93"/>
      <c r="D235" s="93"/>
      <c r="E235" s="93"/>
      <c r="F235" s="25"/>
      <c r="G235" s="94"/>
      <c r="H235" s="93"/>
      <c r="I235" s="93"/>
      <c r="J235" s="93"/>
      <c r="K235" s="93"/>
      <c r="L235" s="93"/>
      <c r="M235" s="93"/>
      <c r="N235" s="93"/>
      <c r="O235" s="93"/>
      <c r="P235" s="54">
        <v>0</v>
      </c>
      <c r="Q235" s="94">
        <f t="shared" si="1"/>
        <v>0</v>
      </c>
      <c r="R235" s="53">
        <v>0</v>
      </c>
      <c r="S235" s="132">
        <f t="shared" si="2"/>
        <v>0</v>
      </c>
      <c r="T235" s="79"/>
      <c r="U235" s="88"/>
      <c r="V235" s="5"/>
    </row>
    <row r="236" spans="1:23" ht="15.6" x14ac:dyDescent="0.3">
      <c r="A236" s="24"/>
      <c r="B236" s="54" t="s">
        <v>165</v>
      </c>
      <c r="C236" s="93"/>
      <c r="D236" s="93"/>
      <c r="E236" s="93"/>
      <c r="F236" s="25"/>
      <c r="G236" s="94"/>
      <c r="H236" s="93"/>
      <c r="I236" s="93"/>
      <c r="J236" s="93"/>
      <c r="K236" s="93"/>
      <c r="L236" s="93"/>
      <c r="M236" s="93"/>
      <c r="N236" s="93"/>
      <c r="O236" s="93"/>
      <c r="P236" s="54">
        <v>0</v>
      </c>
      <c r="Q236" s="94">
        <f t="shared" si="1"/>
        <v>0</v>
      </c>
      <c r="R236" s="53">
        <v>0</v>
      </c>
      <c r="S236" s="132">
        <f t="shared" si="2"/>
        <v>0</v>
      </c>
      <c r="T236" s="79"/>
      <c r="U236" s="88"/>
      <c r="V236" s="5"/>
      <c r="W236" s="109"/>
    </row>
    <row r="237" spans="1:23" ht="15.6" x14ac:dyDescent="0.3">
      <c r="A237" s="24"/>
      <c r="B237" s="54" t="s">
        <v>166</v>
      </c>
      <c r="C237" s="93"/>
      <c r="D237" s="93"/>
      <c r="E237" s="93"/>
      <c r="F237" s="25"/>
      <c r="G237" s="94"/>
      <c r="H237" s="93"/>
      <c r="I237" s="93"/>
      <c r="J237" s="93"/>
      <c r="K237" s="93"/>
      <c r="L237" s="93"/>
      <c r="M237" s="93"/>
      <c r="N237" s="93"/>
      <c r="O237" s="93"/>
      <c r="P237" s="54">
        <v>0</v>
      </c>
      <c r="Q237" s="94">
        <f t="shared" si="1"/>
        <v>0</v>
      </c>
      <c r="R237" s="53">
        <v>0</v>
      </c>
      <c r="S237" s="132">
        <f t="shared" si="2"/>
        <v>0</v>
      </c>
      <c r="T237" s="79"/>
      <c r="U237" s="88"/>
      <c r="V237" s="5"/>
    </row>
    <row r="238" spans="1:23" ht="15.6" x14ac:dyDescent="0.3">
      <c r="A238" s="24"/>
      <c r="B238" s="54" t="s">
        <v>167</v>
      </c>
      <c r="C238" s="93"/>
      <c r="D238" s="93"/>
      <c r="E238" s="93"/>
      <c r="F238" s="25"/>
      <c r="G238" s="94"/>
      <c r="H238" s="93"/>
      <c r="I238" s="93"/>
      <c r="J238" s="93"/>
      <c r="K238" s="93"/>
      <c r="L238" s="93"/>
      <c r="M238" s="93"/>
      <c r="N238" s="93"/>
      <c r="O238" s="93"/>
      <c r="P238" s="54">
        <v>0</v>
      </c>
      <c r="Q238" s="94">
        <f t="shared" si="1"/>
        <v>0</v>
      </c>
      <c r="R238" s="53">
        <v>0</v>
      </c>
      <c r="S238" s="132">
        <f t="shared" si="2"/>
        <v>0</v>
      </c>
      <c r="T238" s="79"/>
      <c r="U238" s="88"/>
      <c r="V238" s="5"/>
      <c r="W238" s="109"/>
    </row>
    <row r="239" spans="1:23" ht="15.6" x14ac:dyDescent="0.3">
      <c r="A239" s="24"/>
      <c r="B239" s="54"/>
      <c r="C239" s="93"/>
      <c r="D239" s="93"/>
      <c r="E239" s="93"/>
      <c r="F239" s="25"/>
      <c r="G239" s="94"/>
      <c r="H239" s="93"/>
      <c r="I239" s="93"/>
      <c r="J239" s="93"/>
      <c r="K239" s="93"/>
      <c r="L239" s="93"/>
      <c r="M239" s="93"/>
      <c r="N239" s="93"/>
      <c r="O239" s="93"/>
      <c r="P239" s="54"/>
      <c r="Q239" s="94"/>
      <c r="R239" s="53"/>
      <c r="S239" s="132"/>
      <c r="T239" s="79"/>
      <c r="U239" s="88"/>
      <c r="V239" s="5"/>
    </row>
    <row r="240" spans="1:23" ht="15.6" x14ac:dyDescent="0.3">
      <c r="A240" s="24"/>
      <c r="B240" s="25"/>
      <c r="C240" s="25"/>
      <c r="D240" s="25"/>
      <c r="E240" s="25"/>
      <c r="F240" s="25"/>
      <c r="G240" s="25"/>
      <c r="H240" s="95"/>
      <c r="I240" s="95"/>
      <c r="J240" s="95"/>
      <c r="K240" s="95"/>
      <c r="L240" s="95"/>
      <c r="M240" s="95"/>
      <c r="N240" s="95"/>
      <c r="O240" s="95"/>
      <c r="P240" s="34">
        <f>SUM(P231:P239)</f>
        <v>7231</v>
      </c>
      <c r="Q240" s="132">
        <f>SUM(Q231:Q239)</f>
        <v>1</v>
      </c>
      <c r="R240" s="53">
        <f>SUM(R231:R239)</f>
        <v>948821</v>
      </c>
      <c r="S240" s="132">
        <f>SUM(S231:S239)</f>
        <v>1</v>
      </c>
      <c r="T240" s="25"/>
      <c r="U240" s="25"/>
      <c r="V240" s="5"/>
    </row>
    <row r="241" spans="1:22" ht="15.6" x14ac:dyDescent="0.3">
      <c r="A241" s="24"/>
      <c r="B241" s="25"/>
      <c r="C241" s="25"/>
      <c r="D241" s="25"/>
      <c r="E241" s="25"/>
      <c r="F241" s="25"/>
      <c r="G241" s="25"/>
      <c r="H241" s="95"/>
      <c r="I241" s="95"/>
      <c r="J241" s="95"/>
      <c r="K241" s="95"/>
      <c r="L241" s="95"/>
      <c r="M241" s="95"/>
      <c r="N241" s="95"/>
      <c r="O241" s="95"/>
      <c r="P241" s="34"/>
      <c r="Q241" s="132"/>
      <c r="R241" s="53"/>
      <c r="S241" s="132"/>
      <c r="T241" s="25"/>
      <c r="U241" s="25"/>
      <c r="V241" s="5"/>
    </row>
    <row r="242" spans="1:22" ht="15.6" x14ac:dyDescent="0.3">
      <c r="A242" s="141"/>
      <c r="B242" s="14" t="s">
        <v>267</v>
      </c>
      <c r="C242" s="81"/>
      <c r="D242" s="81"/>
      <c r="E242" s="81"/>
      <c r="F242" s="82"/>
      <c r="G242" s="81"/>
      <c r="H242" s="17"/>
      <c r="I242" s="17"/>
      <c r="J242" s="17"/>
      <c r="K242" s="17"/>
      <c r="L242" s="17"/>
      <c r="M242" s="17"/>
      <c r="N242" s="17"/>
      <c r="O242" s="17"/>
      <c r="P242" s="83" t="s">
        <v>105</v>
      </c>
      <c r="Q242" s="17" t="s">
        <v>106</v>
      </c>
      <c r="R242" s="83" t="s">
        <v>114</v>
      </c>
      <c r="S242" s="17" t="s">
        <v>106</v>
      </c>
      <c r="T242" s="139"/>
      <c r="U242" s="140"/>
      <c r="V242" s="5"/>
    </row>
    <row r="243" spans="1:22" ht="15.6" x14ac:dyDescent="0.3">
      <c r="A243" s="24"/>
      <c r="B243" s="54" t="s">
        <v>91</v>
      </c>
      <c r="C243" s="93"/>
      <c r="D243" s="93"/>
      <c r="E243" s="93"/>
      <c r="F243" s="25"/>
      <c r="G243" s="93"/>
      <c r="H243" s="93"/>
      <c r="I243" s="93"/>
      <c r="J243" s="93"/>
      <c r="K243" s="93"/>
      <c r="L243" s="93"/>
      <c r="M243" s="93"/>
      <c r="N243" s="93"/>
      <c r="O243" s="93"/>
      <c r="P243" s="54">
        <v>0</v>
      </c>
      <c r="Q243" s="94">
        <f t="shared" ref="Q243:Q250" si="3">P243/$P$252</f>
        <v>0</v>
      </c>
      <c r="R243" s="53">
        <v>0</v>
      </c>
      <c r="S243" s="132">
        <f t="shared" ref="S243:S250" si="4">R243/$R$252</f>
        <v>0</v>
      </c>
      <c r="T243" s="25"/>
      <c r="U243" s="25"/>
      <c r="V243" s="5"/>
    </row>
    <row r="244" spans="1:22" ht="15.6" x14ac:dyDescent="0.3">
      <c r="A244" s="24"/>
      <c r="B244" s="54" t="s">
        <v>92</v>
      </c>
      <c r="C244" s="93"/>
      <c r="D244" s="93"/>
      <c r="E244" s="93"/>
      <c r="F244" s="25"/>
      <c r="G244" s="94"/>
      <c r="H244" s="93"/>
      <c r="I244" s="93"/>
      <c r="J244" s="93"/>
      <c r="K244" s="93"/>
      <c r="L244" s="93"/>
      <c r="M244" s="93"/>
      <c r="N244" s="93"/>
      <c r="O244" s="93"/>
      <c r="P244" s="54">
        <v>5</v>
      </c>
      <c r="Q244" s="94">
        <f t="shared" si="3"/>
        <v>0.33333333333333331</v>
      </c>
      <c r="R244" s="53">
        <v>831</v>
      </c>
      <c r="S244" s="132">
        <f t="shared" si="4"/>
        <v>0.34029484029484031</v>
      </c>
      <c r="T244" s="25"/>
      <c r="U244" s="25"/>
      <c r="V244" s="5"/>
    </row>
    <row r="245" spans="1:22" ht="15.6" x14ac:dyDescent="0.3">
      <c r="A245" s="24"/>
      <c r="B245" s="54" t="s">
        <v>93</v>
      </c>
      <c r="C245" s="93"/>
      <c r="D245" s="93"/>
      <c r="E245" s="93"/>
      <c r="F245" s="25"/>
      <c r="G245" s="94"/>
      <c r="H245" s="93"/>
      <c r="I245" s="93"/>
      <c r="J245" s="93"/>
      <c r="K245" s="93"/>
      <c r="L245" s="93"/>
      <c r="M245" s="93"/>
      <c r="N245" s="93"/>
      <c r="O245" s="93"/>
      <c r="P245" s="54">
        <v>3</v>
      </c>
      <c r="Q245" s="94">
        <f t="shared" si="3"/>
        <v>0.2</v>
      </c>
      <c r="R245" s="53">
        <v>313</v>
      </c>
      <c r="S245" s="132">
        <f t="shared" si="4"/>
        <v>0.12817362817362818</v>
      </c>
      <c r="T245" s="25"/>
      <c r="U245" s="25"/>
      <c r="V245" s="5"/>
    </row>
    <row r="246" spans="1:22" ht="15.6" x14ac:dyDescent="0.3">
      <c r="A246" s="24"/>
      <c r="B246" s="54" t="s">
        <v>163</v>
      </c>
      <c r="C246" s="93"/>
      <c r="D246" s="93"/>
      <c r="E246" s="93"/>
      <c r="F246" s="25"/>
      <c r="G246" s="94"/>
      <c r="H246" s="93"/>
      <c r="I246" s="93"/>
      <c r="J246" s="93"/>
      <c r="K246" s="93"/>
      <c r="L246" s="93"/>
      <c r="M246" s="93"/>
      <c r="N246" s="93"/>
      <c r="O246" s="93"/>
      <c r="P246" s="54">
        <v>0</v>
      </c>
      <c r="Q246" s="94">
        <f t="shared" si="3"/>
        <v>0</v>
      </c>
      <c r="R246" s="53">
        <v>0</v>
      </c>
      <c r="S246" s="132">
        <f t="shared" si="4"/>
        <v>0</v>
      </c>
      <c r="T246" s="25"/>
      <c r="U246" s="25"/>
      <c r="V246" s="5"/>
    </row>
    <row r="247" spans="1:22" ht="15.6" x14ac:dyDescent="0.3">
      <c r="A247" s="24"/>
      <c r="B247" s="54" t="s">
        <v>164</v>
      </c>
      <c r="C247" s="93"/>
      <c r="D247" s="93"/>
      <c r="E247" s="93"/>
      <c r="F247" s="25"/>
      <c r="G247" s="94"/>
      <c r="H247" s="93"/>
      <c r="I247" s="93"/>
      <c r="J247" s="93"/>
      <c r="K247" s="93"/>
      <c r="L247" s="93"/>
      <c r="M247" s="93"/>
      <c r="N247" s="93"/>
      <c r="O247" s="93"/>
      <c r="P247" s="54">
        <v>1</v>
      </c>
      <c r="Q247" s="94">
        <f t="shared" si="3"/>
        <v>6.6666666666666666E-2</v>
      </c>
      <c r="R247" s="53">
        <v>246</v>
      </c>
      <c r="S247" s="132">
        <f t="shared" si="4"/>
        <v>0.10073710073710074</v>
      </c>
      <c r="T247" s="25"/>
      <c r="U247" s="25"/>
      <c r="V247" s="5"/>
    </row>
    <row r="248" spans="1:22" ht="15.6" x14ac:dyDescent="0.3">
      <c r="A248" s="24"/>
      <c r="B248" s="54" t="s">
        <v>165</v>
      </c>
      <c r="C248" s="93"/>
      <c r="D248" s="93"/>
      <c r="E248" s="93"/>
      <c r="F248" s="25"/>
      <c r="G248" s="94"/>
      <c r="H248" s="93"/>
      <c r="I248" s="93"/>
      <c r="J248" s="93"/>
      <c r="K248" s="93"/>
      <c r="L248" s="93"/>
      <c r="M248" s="93"/>
      <c r="N248" s="93"/>
      <c r="O248" s="93"/>
      <c r="P248" s="54">
        <v>0</v>
      </c>
      <c r="Q248" s="94">
        <f t="shared" si="3"/>
        <v>0</v>
      </c>
      <c r="R248" s="53">
        <v>0</v>
      </c>
      <c r="S248" s="132">
        <f t="shared" si="4"/>
        <v>0</v>
      </c>
      <c r="T248" s="25"/>
      <c r="U248" s="25"/>
      <c r="V248" s="5"/>
    </row>
    <row r="249" spans="1:22" ht="15.6" x14ac:dyDescent="0.3">
      <c r="A249" s="24"/>
      <c r="B249" s="54" t="s">
        <v>166</v>
      </c>
      <c r="C249" s="93"/>
      <c r="D249" s="93"/>
      <c r="E249" s="93"/>
      <c r="F249" s="25"/>
      <c r="G249" s="94"/>
      <c r="H249" s="93"/>
      <c r="I249" s="93"/>
      <c r="J249" s="93"/>
      <c r="K249" s="93"/>
      <c r="L249" s="93"/>
      <c r="M249" s="93"/>
      <c r="N249" s="93"/>
      <c r="O249" s="93"/>
      <c r="P249" s="54">
        <v>6</v>
      </c>
      <c r="Q249" s="94">
        <f t="shared" si="3"/>
        <v>0.4</v>
      </c>
      <c r="R249" s="53">
        <v>1052</v>
      </c>
      <c r="S249" s="132">
        <f t="shared" si="4"/>
        <v>0.4307944307944308</v>
      </c>
      <c r="T249" s="25"/>
      <c r="U249" s="25"/>
      <c r="V249" s="5"/>
    </row>
    <row r="250" spans="1:22" ht="15.6" x14ac:dyDescent="0.3">
      <c r="A250" s="24"/>
      <c r="B250" s="54" t="s">
        <v>167</v>
      </c>
      <c r="C250" s="93"/>
      <c r="D250" s="93"/>
      <c r="E250" s="93"/>
      <c r="F250" s="25"/>
      <c r="G250" s="94"/>
      <c r="H250" s="93"/>
      <c r="I250" s="93"/>
      <c r="J250" s="93"/>
      <c r="K250" s="93"/>
      <c r="L250" s="93"/>
      <c r="M250" s="93"/>
      <c r="N250" s="93"/>
      <c r="O250" s="93"/>
      <c r="P250" s="54">
        <v>0</v>
      </c>
      <c r="Q250" s="94">
        <f t="shared" si="3"/>
        <v>0</v>
      </c>
      <c r="R250" s="53">
        <v>0</v>
      </c>
      <c r="S250" s="132">
        <f t="shared" si="4"/>
        <v>0</v>
      </c>
      <c r="T250" s="25"/>
      <c r="U250" s="25"/>
      <c r="V250" s="5"/>
    </row>
    <row r="251" spans="1:22" ht="15.6" x14ac:dyDescent="0.3">
      <c r="A251" s="24"/>
      <c r="B251" s="54"/>
      <c r="C251" s="93"/>
      <c r="D251" s="93"/>
      <c r="E251" s="93"/>
      <c r="F251" s="25"/>
      <c r="G251" s="94"/>
      <c r="H251" s="93"/>
      <c r="I251" s="93"/>
      <c r="J251" s="93"/>
      <c r="K251" s="93"/>
      <c r="L251" s="93"/>
      <c r="M251" s="93"/>
      <c r="N251" s="93"/>
      <c r="O251" s="93"/>
      <c r="P251" s="54"/>
      <c r="Q251" s="94"/>
      <c r="R251" s="53"/>
      <c r="S251" s="132"/>
      <c r="T251" s="25"/>
      <c r="U251" s="25"/>
      <c r="V251" s="5"/>
    </row>
    <row r="252" spans="1:22" ht="15.6" x14ac:dyDescent="0.3">
      <c r="A252" s="24"/>
      <c r="B252" s="25"/>
      <c r="C252" s="25"/>
      <c r="D252" s="25"/>
      <c r="E252" s="25"/>
      <c r="F252" s="25"/>
      <c r="G252" s="25"/>
      <c r="H252" s="95"/>
      <c r="I252" s="95"/>
      <c r="J252" s="95"/>
      <c r="K252" s="95"/>
      <c r="L252" s="95"/>
      <c r="M252" s="95"/>
      <c r="N252" s="95"/>
      <c r="O252" s="95"/>
      <c r="P252" s="34">
        <f>SUM(P243:P251)</f>
        <v>15</v>
      </c>
      <c r="Q252" s="132">
        <f>SUM(Q243:Q251)</f>
        <v>1</v>
      </c>
      <c r="R252" s="53">
        <f>SUM(R243:R251)</f>
        <v>2442</v>
      </c>
      <c r="S252" s="132">
        <f>SUM(S243:S251)</f>
        <v>1</v>
      </c>
      <c r="T252" s="25"/>
      <c r="U252" s="25"/>
      <c r="V252" s="5"/>
    </row>
    <row r="253" spans="1:22" ht="15.6" x14ac:dyDescent="0.3">
      <c r="A253" s="24"/>
      <c r="B253" s="25"/>
      <c r="C253" s="25"/>
      <c r="D253" s="25"/>
      <c r="E253" s="25"/>
      <c r="F253" s="25"/>
      <c r="G253" s="25"/>
      <c r="H253" s="95"/>
      <c r="I253" s="95"/>
      <c r="J253" s="95"/>
      <c r="K253" s="95"/>
      <c r="L253" s="95"/>
      <c r="M253" s="95"/>
      <c r="N253" s="95"/>
      <c r="O253" s="95"/>
      <c r="P253" s="34"/>
      <c r="Q253" s="132"/>
      <c r="R253" s="53"/>
      <c r="S253" s="132"/>
      <c r="T253" s="25"/>
      <c r="U253" s="25"/>
      <c r="V253" s="5"/>
    </row>
    <row r="254" spans="1:22" ht="15.6" x14ac:dyDescent="0.3">
      <c r="A254" s="141"/>
      <c r="B254" s="14" t="s">
        <v>170</v>
      </c>
      <c r="C254" s="139"/>
      <c r="D254" s="139"/>
      <c r="E254" s="139"/>
      <c r="F254" s="139"/>
      <c r="G254" s="139"/>
      <c r="H254" s="145"/>
      <c r="I254" s="145"/>
      <c r="J254" s="145"/>
      <c r="K254" s="145"/>
      <c r="L254" s="145"/>
      <c r="M254" s="145"/>
      <c r="N254" s="145"/>
      <c r="O254" s="145"/>
      <c r="P254" s="83" t="s">
        <v>105</v>
      </c>
      <c r="Q254" s="17" t="s">
        <v>106</v>
      </c>
      <c r="R254" s="83" t="s">
        <v>114</v>
      </c>
      <c r="S254" s="17" t="s">
        <v>106</v>
      </c>
      <c r="T254" s="139"/>
      <c r="U254" s="140"/>
      <c r="V254" s="5"/>
    </row>
    <row r="255" spans="1:22" ht="15.6" x14ac:dyDescent="0.3">
      <c r="A255" s="24"/>
      <c r="B255" s="54" t="s">
        <v>91</v>
      </c>
      <c r="C255" s="25"/>
      <c r="D255" s="25"/>
      <c r="E255" s="25"/>
      <c r="F255" s="25"/>
      <c r="G255" s="25"/>
      <c r="H255" s="95"/>
      <c r="I255" s="95"/>
      <c r="J255" s="95"/>
      <c r="K255" s="95"/>
      <c r="L255" s="95"/>
      <c r="M255" s="95"/>
      <c r="N255" s="95"/>
      <c r="O255" s="95"/>
      <c r="P255" s="54">
        <v>0</v>
      </c>
      <c r="Q255" s="94">
        <v>0</v>
      </c>
      <c r="R255" s="53">
        <v>0</v>
      </c>
      <c r="S255" s="132">
        <v>0</v>
      </c>
      <c r="T255" s="25"/>
      <c r="U255" s="25"/>
      <c r="V255" s="5"/>
    </row>
    <row r="256" spans="1:22" ht="15.6" x14ac:dyDescent="0.3">
      <c r="A256" s="24"/>
      <c r="B256" s="54" t="s">
        <v>92</v>
      </c>
      <c r="C256" s="25"/>
      <c r="D256" s="25"/>
      <c r="E256" s="25"/>
      <c r="F256" s="25"/>
      <c r="G256" s="25"/>
      <c r="H256" s="95"/>
      <c r="I256" s="95"/>
      <c r="J256" s="95"/>
      <c r="K256" s="95"/>
      <c r="L256" s="95"/>
      <c r="M256" s="95"/>
      <c r="N256" s="95"/>
      <c r="O256" s="95"/>
      <c r="P256" s="54">
        <v>0</v>
      </c>
      <c r="Q256" s="94">
        <v>0</v>
      </c>
      <c r="R256" s="53">
        <v>0</v>
      </c>
      <c r="S256" s="132">
        <v>0</v>
      </c>
      <c r="T256" s="25"/>
      <c r="U256" s="25"/>
      <c r="V256" s="5"/>
    </row>
    <row r="257" spans="1:22" ht="15.6" x14ac:dyDescent="0.3">
      <c r="A257" s="24"/>
      <c r="B257" s="54" t="s">
        <v>93</v>
      </c>
      <c r="C257" s="25"/>
      <c r="D257" s="25"/>
      <c r="E257" s="25"/>
      <c r="F257" s="25"/>
      <c r="G257" s="25"/>
      <c r="H257" s="95"/>
      <c r="I257" s="95"/>
      <c r="J257" s="95"/>
      <c r="K257" s="95"/>
      <c r="L257" s="95"/>
      <c r="M257" s="95"/>
      <c r="N257" s="95"/>
      <c r="O257" s="95"/>
      <c r="P257" s="54">
        <v>0</v>
      </c>
      <c r="Q257" s="94">
        <v>0</v>
      </c>
      <c r="R257" s="53">
        <v>0</v>
      </c>
      <c r="S257" s="132">
        <v>0</v>
      </c>
      <c r="T257" s="25"/>
      <c r="U257" s="25"/>
      <c r="V257" s="5"/>
    </row>
    <row r="258" spans="1:22" ht="15.6" x14ac:dyDescent="0.3">
      <c r="A258" s="24"/>
      <c r="B258" s="54" t="s">
        <v>163</v>
      </c>
      <c r="C258" s="25"/>
      <c r="D258" s="25"/>
      <c r="E258" s="25"/>
      <c r="F258" s="25"/>
      <c r="G258" s="25"/>
      <c r="H258" s="95"/>
      <c r="I258" s="95"/>
      <c r="J258" s="95"/>
      <c r="K258" s="95"/>
      <c r="L258" s="95"/>
      <c r="M258" s="95"/>
      <c r="N258" s="95"/>
      <c r="O258" s="95"/>
      <c r="P258" s="54">
        <v>0</v>
      </c>
      <c r="Q258" s="94">
        <v>0</v>
      </c>
      <c r="R258" s="53">
        <v>0</v>
      </c>
      <c r="S258" s="132">
        <v>0</v>
      </c>
      <c r="T258" s="25"/>
      <c r="U258" s="25"/>
      <c r="V258" s="5"/>
    </row>
    <row r="259" spans="1:22" ht="15.6" x14ac:dyDescent="0.3">
      <c r="A259" s="24"/>
      <c r="B259" s="54" t="s">
        <v>164</v>
      </c>
      <c r="C259" s="25"/>
      <c r="D259" s="25"/>
      <c r="E259" s="25"/>
      <c r="F259" s="25"/>
      <c r="G259" s="25"/>
      <c r="H259" s="95"/>
      <c r="I259" s="95"/>
      <c r="J259" s="95"/>
      <c r="K259" s="95"/>
      <c r="L259" s="95"/>
      <c r="M259" s="95"/>
      <c r="N259" s="95"/>
      <c r="O259" s="95"/>
      <c r="P259" s="54">
        <v>0</v>
      </c>
      <c r="Q259" s="94">
        <v>0</v>
      </c>
      <c r="R259" s="53">
        <v>0</v>
      </c>
      <c r="S259" s="132">
        <v>0</v>
      </c>
      <c r="T259" s="25"/>
      <c r="U259" s="25"/>
      <c r="V259" s="5"/>
    </row>
    <row r="260" spans="1:22" ht="15.6" x14ac:dyDescent="0.3">
      <c r="A260" s="24"/>
      <c r="B260" s="54" t="s">
        <v>165</v>
      </c>
      <c r="C260" s="25"/>
      <c r="D260" s="25"/>
      <c r="E260" s="25"/>
      <c r="F260" s="25"/>
      <c r="G260" s="25"/>
      <c r="H260" s="95"/>
      <c r="I260" s="95"/>
      <c r="J260" s="95"/>
      <c r="K260" s="95"/>
      <c r="L260" s="95"/>
      <c r="M260" s="95"/>
      <c r="N260" s="95"/>
      <c r="O260" s="95"/>
      <c r="P260" s="54">
        <v>0</v>
      </c>
      <c r="Q260" s="94">
        <v>0</v>
      </c>
      <c r="R260" s="53">
        <v>0</v>
      </c>
      <c r="S260" s="132">
        <v>0</v>
      </c>
      <c r="T260" s="25"/>
      <c r="U260" s="25"/>
      <c r="V260" s="5"/>
    </row>
    <row r="261" spans="1:22" ht="15.6" x14ac:dyDescent="0.3">
      <c r="A261" s="24"/>
      <c r="B261" s="54" t="s">
        <v>166</v>
      </c>
      <c r="C261" s="25"/>
      <c r="D261" s="25"/>
      <c r="E261" s="25"/>
      <c r="F261" s="25"/>
      <c r="G261" s="25"/>
      <c r="H261" s="95"/>
      <c r="I261" s="95"/>
      <c r="J261" s="95"/>
      <c r="K261" s="95"/>
      <c r="L261" s="95"/>
      <c r="M261" s="95"/>
      <c r="N261" s="95"/>
      <c r="O261" s="95"/>
      <c r="P261" s="54">
        <v>0</v>
      </c>
      <c r="Q261" s="94">
        <v>0</v>
      </c>
      <c r="R261" s="53">
        <v>0</v>
      </c>
      <c r="S261" s="132">
        <v>0</v>
      </c>
      <c r="T261" s="25"/>
      <c r="U261" s="25"/>
      <c r="V261" s="5"/>
    </row>
    <row r="262" spans="1:22" ht="15.6" x14ac:dyDescent="0.3">
      <c r="A262" s="24"/>
      <c r="B262" s="54" t="s">
        <v>167</v>
      </c>
      <c r="C262" s="25"/>
      <c r="D262" s="25"/>
      <c r="E262" s="25"/>
      <c r="F262" s="25"/>
      <c r="G262" s="25"/>
      <c r="H262" s="95"/>
      <c r="I262" s="95"/>
      <c r="J262" s="95"/>
      <c r="K262" s="95"/>
      <c r="L262" s="95"/>
      <c r="M262" s="95"/>
      <c r="N262" s="95"/>
      <c r="O262" s="95"/>
      <c r="P262" s="54">
        <v>0</v>
      </c>
      <c r="Q262" s="94">
        <v>0</v>
      </c>
      <c r="R262" s="53">
        <v>0</v>
      </c>
      <c r="S262" s="132">
        <v>0</v>
      </c>
      <c r="T262" s="25"/>
      <c r="U262" s="25"/>
      <c r="V262" s="5"/>
    </row>
    <row r="263" spans="1:22" ht="15.6" x14ac:dyDescent="0.3">
      <c r="A263" s="24"/>
      <c r="B263" s="54"/>
      <c r="C263" s="25"/>
      <c r="D263" s="25"/>
      <c r="E263" s="25"/>
      <c r="F263" s="25"/>
      <c r="G263" s="25"/>
      <c r="H263" s="95"/>
      <c r="I263" s="95"/>
      <c r="J263" s="95"/>
      <c r="K263" s="95"/>
      <c r="L263" s="95"/>
      <c r="M263" s="95"/>
      <c r="N263" s="95"/>
      <c r="O263" s="95"/>
      <c r="P263" s="54"/>
      <c r="Q263" s="94"/>
      <c r="R263" s="53"/>
      <c r="S263" s="132"/>
      <c r="T263" s="25"/>
      <c r="U263" s="25"/>
      <c r="V263" s="5"/>
    </row>
    <row r="264" spans="1:22" ht="15.6" x14ac:dyDescent="0.3">
      <c r="A264" s="24"/>
      <c r="B264" s="25" t="s">
        <v>120</v>
      </c>
      <c r="C264" s="25"/>
      <c r="D264" s="25"/>
      <c r="E264" s="25"/>
      <c r="F264" s="25"/>
      <c r="G264" s="25"/>
      <c r="H264" s="95"/>
      <c r="I264" s="95"/>
      <c r="J264" s="95"/>
      <c r="K264" s="95"/>
      <c r="L264" s="95"/>
      <c r="M264" s="95"/>
      <c r="N264" s="95"/>
      <c r="O264" s="95"/>
      <c r="P264" s="34">
        <f>SUM(P255:P262)</f>
        <v>0</v>
      </c>
      <c r="Q264" s="94">
        <f>SUM(Q255:Q262)</f>
        <v>0</v>
      </c>
      <c r="R264" s="53">
        <f>SUM(R255:R262)</f>
        <v>0</v>
      </c>
      <c r="S264" s="132">
        <f>SUM(S255:S262)</f>
        <v>0</v>
      </c>
      <c r="T264" s="25"/>
      <c r="U264" s="25"/>
      <c r="V264" s="5"/>
    </row>
    <row r="265" spans="1:22" ht="15.6" x14ac:dyDescent="0.3">
      <c r="A265" s="24"/>
      <c r="B265" s="25"/>
      <c r="C265" s="25"/>
      <c r="D265" s="25"/>
      <c r="E265" s="25"/>
      <c r="F265" s="25"/>
      <c r="G265" s="25"/>
      <c r="H265" s="95"/>
      <c r="I265" s="95"/>
      <c r="J265" s="95"/>
      <c r="K265" s="95"/>
      <c r="L265" s="95"/>
      <c r="M265" s="95"/>
      <c r="N265" s="95"/>
      <c r="O265" s="95"/>
      <c r="P265" s="34"/>
      <c r="Q265" s="132"/>
      <c r="R265" s="53"/>
      <c r="S265" s="132"/>
      <c r="T265" s="25"/>
      <c r="U265" s="25"/>
      <c r="V265" s="5"/>
    </row>
    <row r="266" spans="1:22" ht="15.6" x14ac:dyDescent="0.3">
      <c r="A266" s="24"/>
      <c r="B266" s="142" t="s">
        <v>171</v>
      </c>
      <c r="C266" s="25"/>
      <c r="D266" s="25"/>
      <c r="E266" s="25"/>
      <c r="F266" s="25"/>
      <c r="G266" s="25"/>
      <c r="H266" s="95"/>
      <c r="I266" s="95"/>
      <c r="J266" s="95"/>
      <c r="K266" s="95"/>
      <c r="L266" s="95"/>
      <c r="M266" s="95"/>
      <c r="N266" s="95"/>
      <c r="O266" s="95"/>
      <c r="P266" s="161">
        <f>P264+P252+P240</f>
        <v>7246</v>
      </c>
      <c r="Q266" s="143"/>
      <c r="R266" s="144">
        <f>+R264+R252+R240</f>
        <v>951263</v>
      </c>
      <c r="S266" s="143"/>
      <c r="T266" s="25"/>
      <c r="U266" s="25"/>
      <c r="V266" s="5"/>
    </row>
    <row r="267" spans="1:22" ht="15.6" x14ac:dyDescent="0.3">
      <c r="A267" s="24"/>
      <c r="B267" s="25"/>
      <c r="C267" s="25"/>
      <c r="D267" s="25"/>
      <c r="E267" s="25"/>
      <c r="F267" s="25"/>
      <c r="G267" s="25"/>
      <c r="H267" s="95"/>
      <c r="I267" s="95"/>
      <c r="J267" s="95"/>
      <c r="K267" s="95"/>
      <c r="L267" s="95"/>
      <c r="M267" s="95"/>
      <c r="N267" s="95"/>
      <c r="O267" s="95"/>
      <c r="P267" s="95"/>
      <c r="Q267" s="95"/>
      <c r="R267" s="53"/>
      <c r="S267" s="95"/>
      <c r="T267" s="25"/>
      <c r="U267" s="25"/>
      <c r="V267" s="5"/>
    </row>
    <row r="268" spans="1:22" ht="15.6" x14ac:dyDescent="0.3">
      <c r="A268" s="6"/>
      <c r="B268" s="8"/>
      <c r="C268" s="8"/>
      <c r="D268" s="8"/>
      <c r="E268" s="8"/>
      <c r="F268" s="8"/>
      <c r="G268" s="8"/>
      <c r="H268" s="96"/>
      <c r="I268" s="96"/>
      <c r="J268" s="96"/>
      <c r="K268" s="96"/>
      <c r="L268" s="96"/>
      <c r="M268" s="96"/>
      <c r="N268" s="96"/>
      <c r="O268" s="96"/>
      <c r="P268" s="96"/>
      <c r="Q268" s="96"/>
      <c r="R268" s="97"/>
      <c r="S268" s="96"/>
      <c r="T268" s="8"/>
      <c r="U268" s="8"/>
      <c r="V268" s="5"/>
    </row>
    <row r="269" spans="1:22" ht="15.6" x14ac:dyDescent="0.3">
      <c r="A269" s="167"/>
      <c r="B269" s="14" t="s">
        <v>94</v>
      </c>
      <c r="C269" s="15"/>
      <c r="D269" s="15"/>
      <c r="E269" s="15"/>
      <c r="F269" s="17" t="s">
        <v>100</v>
      </c>
      <c r="G269" s="15"/>
      <c r="H269" s="14" t="s">
        <v>102</v>
      </c>
      <c r="I269" s="162"/>
      <c r="J269" s="162"/>
      <c r="K269" s="162"/>
      <c r="L269" s="162"/>
      <c r="M269" s="162"/>
      <c r="N269" s="162"/>
      <c r="O269" s="162"/>
      <c r="P269" s="162"/>
      <c r="Q269" s="162"/>
      <c r="R269" s="162"/>
      <c r="S269" s="162"/>
      <c r="T269" s="162"/>
      <c r="U269" s="162"/>
      <c r="V269" s="5"/>
    </row>
    <row r="270" spans="1:22" ht="15.6" x14ac:dyDescent="0.3">
      <c r="A270" s="167"/>
      <c r="B270" s="13" t="s">
        <v>95</v>
      </c>
      <c r="C270" s="13"/>
      <c r="D270" s="13"/>
      <c r="E270" s="13"/>
      <c r="F270" s="130" t="s">
        <v>154</v>
      </c>
      <c r="G270" s="13"/>
      <c r="H270" s="13" t="s">
        <v>158</v>
      </c>
      <c r="I270" s="162"/>
      <c r="J270" s="162"/>
      <c r="K270" s="162"/>
      <c r="L270" s="162"/>
      <c r="M270" s="162"/>
      <c r="N270" s="162"/>
      <c r="O270" s="162"/>
      <c r="P270" s="162"/>
      <c r="Q270" s="162"/>
      <c r="R270" s="162"/>
      <c r="S270" s="162"/>
      <c r="T270" s="162"/>
      <c r="U270" s="162"/>
      <c r="V270" s="5"/>
    </row>
    <row r="271" spans="1:22" ht="15.6" x14ac:dyDescent="0.3">
      <c r="A271" s="167"/>
      <c r="B271" s="13" t="s">
        <v>268</v>
      </c>
      <c r="C271" s="13"/>
      <c r="D271" s="13"/>
      <c r="E271" s="13"/>
      <c r="F271" s="130" t="s">
        <v>269</v>
      </c>
      <c r="G271" s="13"/>
      <c r="H271" s="13" t="s">
        <v>270</v>
      </c>
      <c r="I271" s="162"/>
      <c r="J271" s="162"/>
      <c r="K271" s="162"/>
      <c r="L271" s="162"/>
      <c r="M271" s="162"/>
      <c r="N271" s="162"/>
      <c r="O271" s="162"/>
      <c r="P271" s="162"/>
      <c r="Q271" s="162"/>
      <c r="R271" s="162"/>
      <c r="S271" s="162"/>
      <c r="T271" s="162"/>
      <c r="U271" s="162"/>
      <c r="V271" s="5"/>
    </row>
    <row r="272" spans="1:22" ht="15.6" x14ac:dyDescent="0.3">
      <c r="A272" s="167"/>
      <c r="B272" s="13" t="s">
        <v>96</v>
      </c>
      <c r="C272" s="13"/>
      <c r="D272" s="13"/>
      <c r="E272" s="13"/>
      <c r="F272" s="130" t="s">
        <v>153</v>
      </c>
      <c r="G272" s="13"/>
      <c r="H272" s="13" t="s">
        <v>159</v>
      </c>
      <c r="I272" s="162"/>
      <c r="J272" s="162"/>
      <c r="K272" s="162"/>
      <c r="L272" s="162"/>
      <c r="M272" s="162"/>
      <c r="N272" s="162"/>
      <c r="O272" s="162"/>
      <c r="P272" s="162"/>
      <c r="Q272" s="162"/>
      <c r="R272" s="162"/>
      <c r="S272" s="162"/>
      <c r="T272" s="162"/>
      <c r="U272" s="162"/>
      <c r="V272" s="5"/>
    </row>
    <row r="273" spans="1:22" ht="15.6" x14ac:dyDescent="0.3">
      <c r="A273" s="167"/>
      <c r="B273" s="13"/>
      <c r="C273" s="13"/>
      <c r="D273" s="13"/>
      <c r="E273" s="13"/>
      <c r="F273" s="13"/>
      <c r="G273" s="99"/>
      <c r="H273" s="162"/>
      <c r="I273" s="162"/>
      <c r="J273" s="162"/>
      <c r="K273" s="162"/>
      <c r="L273" s="162"/>
      <c r="M273" s="162"/>
      <c r="N273" s="162"/>
      <c r="O273" s="162"/>
      <c r="P273" s="162"/>
      <c r="Q273" s="162"/>
      <c r="R273" s="162"/>
      <c r="S273" s="162"/>
      <c r="T273" s="162"/>
      <c r="U273" s="162"/>
      <c r="V273" s="5"/>
    </row>
    <row r="274" spans="1:22" ht="15.6" x14ac:dyDescent="0.3">
      <c r="A274" s="167"/>
      <c r="B274" s="13"/>
      <c r="C274" s="13"/>
      <c r="D274" s="13"/>
      <c r="E274" s="13"/>
      <c r="F274" s="13"/>
      <c r="G274" s="99"/>
      <c r="H274" s="162"/>
      <c r="I274" s="162"/>
      <c r="J274" s="162"/>
      <c r="K274" s="162"/>
      <c r="L274" s="162"/>
      <c r="M274" s="162"/>
      <c r="N274" s="162"/>
      <c r="O274" s="162"/>
      <c r="P274" s="162"/>
      <c r="Q274" s="162"/>
      <c r="R274" s="162"/>
      <c r="S274" s="162"/>
      <c r="T274" s="162"/>
      <c r="U274" s="162"/>
      <c r="V274" s="5"/>
    </row>
    <row r="275" spans="1:22" ht="18" thickBot="1" x14ac:dyDescent="0.35">
      <c r="A275" s="167"/>
      <c r="B275" s="49" t="str">
        <f>B191</f>
        <v>PM11 INVESTOR REPORT QUARTER ENDING DECEMBER 2006</v>
      </c>
      <c r="C275" s="13"/>
      <c r="D275" s="13"/>
      <c r="E275" s="13"/>
      <c r="F275" s="13"/>
      <c r="G275" s="99"/>
      <c r="H275" s="162"/>
      <c r="I275" s="162"/>
      <c r="J275" s="162"/>
      <c r="K275" s="162"/>
      <c r="L275" s="162"/>
      <c r="M275" s="162"/>
      <c r="N275" s="162"/>
      <c r="O275" s="162"/>
      <c r="P275" s="162"/>
      <c r="Q275" s="162"/>
      <c r="R275" s="162"/>
      <c r="S275" s="162"/>
      <c r="T275" s="162"/>
      <c r="U275" s="162"/>
      <c r="V275" s="5"/>
    </row>
    <row r="276" spans="1:22" x14ac:dyDescent="0.25">
      <c r="A276" s="100"/>
      <c r="B276" s="100"/>
      <c r="C276" s="100"/>
      <c r="D276" s="100"/>
      <c r="E276" s="100"/>
      <c r="F276" s="100"/>
      <c r="G276" s="100"/>
      <c r="H276" s="100"/>
      <c r="I276" s="100"/>
      <c r="J276" s="100"/>
      <c r="K276" s="100"/>
      <c r="L276" s="100"/>
      <c r="M276" s="100"/>
      <c r="N276" s="100"/>
      <c r="O276" s="100"/>
      <c r="P276" s="100"/>
      <c r="Q276" s="100"/>
      <c r="R276" s="100"/>
      <c r="S276" s="100"/>
      <c r="T276" s="100"/>
      <c r="U276" s="100"/>
    </row>
  </sheetData>
  <phoneticPr fontId="0" type="noConversion"/>
  <hyperlinks>
    <hyperlink ref="N228" r:id="rId1" xr:uid="{00000000-0004-0000-0200-000000000000}"/>
    <hyperlink ref="J9" r:id="rId2" xr:uid="{00000000-0004-0000-02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4" max="14" man="1"/>
    <brk id="132" max="14" man="1"/>
    <brk id="191" max="14" man="1"/>
  </rowBreaks>
  <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2D2926"/>
  </sheetPr>
  <dimension ref="A1:X289"/>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08984375" style="1" customWidth="1"/>
    <col min="10" max="10" width="17.81640625" style="1" customWidth="1"/>
    <col min="11" max="11" width="2.1796875" style="1" customWidth="1"/>
    <col min="12" max="12" width="14.81640625" style="1" customWidth="1"/>
    <col min="13" max="13" width="2.1796875" style="1" customWidth="1"/>
    <col min="14" max="14" width="15.54296875" style="1" customWidth="1"/>
    <col min="15" max="15" width="2.08984375" style="1" customWidth="1"/>
    <col min="16" max="16" width="15.54296875" style="1" customWidth="1"/>
    <col min="17" max="18" width="12.81640625" style="1" customWidth="1"/>
    <col min="19" max="19" width="7.81640625" style="1" customWidth="1"/>
    <col min="20" max="20" width="14.81640625" style="1" customWidth="1"/>
    <col min="21" max="21" width="11.81640625" style="1" customWidth="1"/>
    <col min="22" max="16384" width="9.81640625" style="1"/>
  </cols>
  <sheetData>
    <row r="1" spans="1:22" ht="20.399999999999999" x14ac:dyDescent="0.35">
      <c r="A1" s="173"/>
      <c r="B1" s="228" t="s">
        <v>228</v>
      </c>
      <c r="C1" s="174"/>
      <c r="D1" s="174"/>
      <c r="E1" s="174"/>
      <c r="F1" s="174"/>
      <c r="G1" s="174"/>
      <c r="H1" s="174"/>
      <c r="I1" s="174"/>
      <c r="J1" s="174"/>
      <c r="K1" s="174"/>
      <c r="L1" s="174"/>
      <c r="M1" s="174"/>
      <c r="N1" s="174"/>
      <c r="O1" s="174"/>
      <c r="P1" s="174"/>
      <c r="Q1" s="174"/>
      <c r="R1" s="174"/>
      <c r="S1" s="174"/>
      <c r="T1" s="174"/>
      <c r="U1" s="174"/>
      <c r="V1" s="5"/>
    </row>
    <row r="2" spans="1:22" ht="15.6" x14ac:dyDescent="0.3">
      <c r="A2" s="175"/>
      <c r="B2" s="176"/>
      <c r="C2" s="177"/>
      <c r="D2" s="177"/>
      <c r="E2" s="177"/>
      <c r="F2" s="177"/>
      <c r="G2" s="177"/>
      <c r="H2" s="177"/>
      <c r="I2" s="177"/>
      <c r="J2" s="177"/>
      <c r="K2" s="177"/>
      <c r="L2" s="177"/>
      <c r="M2" s="177"/>
      <c r="N2" s="177"/>
      <c r="O2" s="177"/>
      <c r="P2" s="177"/>
      <c r="Q2" s="177"/>
      <c r="R2" s="177"/>
      <c r="S2" s="177"/>
      <c r="T2" s="177"/>
      <c r="U2" s="177"/>
      <c r="V2" s="5"/>
    </row>
    <row r="3" spans="1:22" ht="15.6" x14ac:dyDescent="0.3">
      <c r="A3" s="178"/>
      <c r="B3" s="179" t="s">
        <v>229</v>
      </c>
      <c r="C3" s="177"/>
      <c r="D3" s="177"/>
      <c r="E3" s="177"/>
      <c r="F3" s="177"/>
      <c r="G3" s="177"/>
      <c r="H3" s="177"/>
      <c r="I3" s="177"/>
      <c r="J3" s="177"/>
      <c r="K3" s="177"/>
      <c r="L3" s="177"/>
      <c r="M3" s="177"/>
      <c r="N3" s="177"/>
      <c r="O3" s="177"/>
      <c r="P3" s="177"/>
      <c r="Q3" s="177"/>
      <c r="R3" s="177"/>
      <c r="S3" s="177"/>
      <c r="T3" s="177"/>
      <c r="U3" s="177"/>
      <c r="V3" s="5"/>
    </row>
    <row r="4" spans="1:22" ht="15.6" x14ac:dyDescent="0.3">
      <c r="A4" s="175"/>
      <c r="B4" s="176"/>
      <c r="C4" s="177"/>
      <c r="D4" s="177"/>
      <c r="E4" s="177"/>
      <c r="F4" s="177"/>
      <c r="G4" s="177"/>
      <c r="H4" s="177"/>
      <c r="I4" s="177"/>
      <c r="J4" s="177"/>
      <c r="K4" s="177"/>
      <c r="L4" s="177"/>
      <c r="M4" s="177"/>
      <c r="N4" s="177"/>
      <c r="O4" s="177"/>
      <c r="P4" s="177"/>
      <c r="Q4" s="177"/>
      <c r="R4" s="177"/>
      <c r="S4" s="177"/>
      <c r="T4" s="177"/>
      <c r="U4" s="177"/>
      <c r="V4" s="5"/>
    </row>
    <row r="5" spans="1:22" ht="15.6" x14ac:dyDescent="0.3">
      <c r="A5" s="175"/>
      <c r="B5" s="229" t="s">
        <v>143</v>
      </c>
      <c r="C5" s="177"/>
      <c r="D5" s="177"/>
      <c r="E5" s="177"/>
      <c r="F5" s="177"/>
      <c r="G5" s="177"/>
      <c r="H5" s="177"/>
      <c r="I5" s="177"/>
      <c r="J5" s="177"/>
      <c r="K5" s="177"/>
      <c r="L5" s="177"/>
      <c r="M5" s="177"/>
      <c r="N5" s="177"/>
      <c r="O5" s="177"/>
      <c r="P5" s="177"/>
      <c r="Q5" s="177"/>
      <c r="R5" s="177"/>
      <c r="S5" s="177"/>
      <c r="T5" s="177"/>
      <c r="U5" s="177"/>
      <c r="V5" s="5"/>
    </row>
    <row r="6" spans="1:22" ht="15.6" x14ac:dyDescent="0.3">
      <c r="A6" s="175"/>
      <c r="B6" s="229" t="s">
        <v>145</v>
      </c>
      <c r="C6" s="177"/>
      <c r="D6" s="177"/>
      <c r="E6" s="177"/>
      <c r="F6" s="177"/>
      <c r="G6" s="177"/>
      <c r="H6" s="177"/>
      <c r="I6" s="177"/>
      <c r="J6" s="177"/>
      <c r="K6" s="177"/>
      <c r="L6" s="177"/>
      <c r="M6" s="177"/>
      <c r="N6" s="177"/>
      <c r="O6" s="177"/>
      <c r="P6" s="177"/>
      <c r="Q6" s="177"/>
      <c r="R6" s="177"/>
      <c r="S6" s="177"/>
      <c r="T6" s="177"/>
      <c r="U6" s="177"/>
      <c r="V6" s="5"/>
    </row>
    <row r="7" spans="1:22" ht="15.6" x14ac:dyDescent="0.3">
      <c r="A7" s="175"/>
      <c r="B7" s="229" t="s">
        <v>144</v>
      </c>
      <c r="C7" s="177"/>
      <c r="D7" s="177"/>
      <c r="E7" s="177"/>
      <c r="F7" s="177"/>
      <c r="G7" s="177"/>
      <c r="H7" s="177"/>
      <c r="I7" s="177"/>
      <c r="J7" s="177"/>
      <c r="K7" s="177"/>
      <c r="L7" s="177"/>
      <c r="M7" s="177"/>
      <c r="N7" s="177"/>
      <c r="O7" s="177"/>
      <c r="P7" s="177"/>
      <c r="Q7" s="177"/>
      <c r="R7" s="177"/>
      <c r="S7" s="177"/>
      <c r="T7" s="177"/>
      <c r="U7" s="177"/>
      <c r="V7" s="5"/>
    </row>
    <row r="8" spans="1:22" ht="15.6" x14ac:dyDescent="0.3">
      <c r="A8" s="175"/>
      <c r="B8" s="180"/>
      <c r="C8" s="177"/>
      <c r="D8" s="177"/>
      <c r="E8" s="177"/>
      <c r="F8" s="177"/>
      <c r="G8" s="177"/>
      <c r="H8" s="177"/>
      <c r="I8" s="177"/>
      <c r="J8" s="177"/>
      <c r="K8" s="177"/>
      <c r="L8" s="177"/>
      <c r="M8" s="177"/>
      <c r="N8" s="177"/>
      <c r="O8" s="177"/>
      <c r="P8" s="177"/>
      <c r="Q8" s="177"/>
      <c r="R8" s="177"/>
      <c r="S8" s="177"/>
      <c r="T8" s="177"/>
      <c r="U8" s="177"/>
      <c r="V8" s="5"/>
    </row>
    <row r="9" spans="1:22" ht="17.399999999999999" x14ac:dyDescent="0.3">
      <c r="A9" s="175"/>
      <c r="B9" s="181" t="s">
        <v>173</v>
      </c>
      <c r="C9" s="177"/>
      <c r="D9" s="177"/>
      <c r="E9" s="177"/>
      <c r="F9" s="177"/>
      <c r="G9" s="177"/>
      <c r="H9" s="177"/>
      <c r="I9" s="177"/>
      <c r="J9" s="182" t="s">
        <v>174</v>
      </c>
      <c r="K9" s="177"/>
      <c r="L9" s="182"/>
      <c r="M9" s="177"/>
      <c r="N9" s="177"/>
      <c r="O9" s="177"/>
      <c r="P9" s="177"/>
      <c r="Q9" s="177"/>
      <c r="R9" s="177"/>
      <c r="S9" s="177"/>
      <c r="T9" s="177"/>
      <c r="U9" s="177"/>
      <c r="V9" s="5"/>
    </row>
    <row r="10" spans="1:22" ht="15.6" x14ac:dyDescent="0.3">
      <c r="A10" s="175"/>
      <c r="B10" s="180"/>
      <c r="C10" s="183"/>
      <c r="D10" s="183"/>
      <c r="E10" s="183"/>
      <c r="F10" s="177"/>
      <c r="G10" s="177"/>
      <c r="H10" s="177"/>
      <c r="I10" s="177"/>
      <c r="J10" s="177"/>
      <c r="K10" s="177"/>
      <c r="L10" s="177"/>
      <c r="M10" s="177"/>
      <c r="N10" s="177"/>
      <c r="O10" s="177"/>
      <c r="P10" s="177"/>
      <c r="Q10" s="177"/>
      <c r="R10" s="177"/>
      <c r="S10" s="177"/>
      <c r="T10" s="177"/>
      <c r="U10" s="177"/>
      <c r="V10" s="5"/>
    </row>
    <row r="11" spans="1:22" ht="15.6" x14ac:dyDescent="0.3">
      <c r="A11" s="175"/>
      <c r="B11" s="230" t="s">
        <v>0</v>
      </c>
      <c r="C11" s="177"/>
      <c r="D11" s="177"/>
      <c r="E11" s="177"/>
      <c r="F11" s="177"/>
      <c r="G11" s="177"/>
      <c r="H11" s="177"/>
      <c r="I11" s="177"/>
      <c r="J11" s="177"/>
      <c r="K11" s="177"/>
      <c r="L11" s="177"/>
      <c r="M11" s="177"/>
      <c r="N11" s="177"/>
      <c r="O11" s="177"/>
      <c r="P11" s="177"/>
      <c r="Q11" s="177"/>
      <c r="R11" s="177"/>
      <c r="S11" s="177"/>
      <c r="T11" s="177"/>
      <c r="U11" s="177"/>
      <c r="V11" s="5"/>
    </row>
    <row r="12" spans="1:22" ht="16.2" thickBot="1" x14ac:dyDescent="0.35">
      <c r="A12" s="175"/>
      <c r="B12" s="183"/>
      <c r="C12" s="177"/>
      <c r="D12" s="177"/>
      <c r="E12" s="177"/>
      <c r="F12" s="177"/>
      <c r="G12" s="177"/>
      <c r="H12" s="177"/>
      <c r="I12" s="177"/>
      <c r="J12" s="177"/>
      <c r="K12" s="177"/>
      <c r="L12" s="177"/>
      <c r="M12" s="177"/>
      <c r="N12" s="177"/>
      <c r="O12" s="177"/>
      <c r="P12" s="177"/>
      <c r="Q12" s="177"/>
      <c r="R12" s="177"/>
      <c r="S12" s="177"/>
      <c r="T12" s="177"/>
      <c r="U12" s="177"/>
      <c r="V12" s="5"/>
    </row>
    <row r="13" spans="1:22" ht="15.6" x14ac:dyDescent="0.3">
      <c r="A13" s="173"/>
      <c r="B13" s="174"/>
      <c r="C13" s="174"/>
      <c r="D13" s="174"/>
      <c r="E13" s="174"/>
      <c r="F13" s="174"/>
      <c r="G13" s="174"/>
      <c r="H13" s="174"/>
      <c r="I13" s="174"/>
      <c r="J13" s="174"/>
      <c r="K13" s="174"/>
      <c r="L13" s="174"/>
      <c r="M13" s="174"/>
      <c r="N13" s="174"/>
      <c r="O13" s="174"/>
      <c r="P13" s="174"/>
      <c r="Q13" s="174"/>
      <c r="R13" s="174"/>
      <c r="S13" s="174"/>
      <c r="T13" s="174"/>
      <c r="U13" s="174"/>
      <c r="V13" s="5"/>
    </row>
    <row r="14" spans="1:22" ht="15.6" x14ac:dyDescent="0.3">
      <c r="A14" s="175"/>
      <c r="B14" s="230" t="s">
        <v>1</v>
      </c>
      <c r="C14" s="184"/>
      <c r="D14" s="184"/>
      <c r="E14" s="184"/>
      <c r="F14" s="184"/>
      <c r="G14" s="184"/>
      <c r="H14" s="184"/>
      <c r="I14" s="184"/>
      <c r="J14" s="184"/>
      <c r="K14" s="184"/>
      <c r="L14" s="184"/>
      <c r="M14" s="184"/>
      <c r="N14" s="184"/>
      <c r="O14" s="184"/>
      <c r="P14" s="231"/>
      <c r="Q14" s="231"/>
      <c r="R14" s="231"/>
      <c r="S14" s="231"/>
      <c r="T14" s="233" t="s">
        <v>230</v>
      </c>
      <c r="U14" s="184"/>
      <c r="V14" s="5"/>
    </row>
    <row r="15" spans="1:22" ht="15.6" x14ac:dyDescent="0.3">
      <c r="A15" s="175"/>
      <c r="B15" s="230" t="s">
        <v>2</v>
      </c>
      <c r="C15" s="184"/>
      <c r="D15" s="184"/>
      <c r="E15" s="184"/>
      <c r="F15" s="184"/>
      <c r="G15" s="184"/>
      <c r="H15" s="185"/>
      <c r="I15" s="185"/>
      <c r="J15" s="185"/>
      <c r="K15" s="185"/>
      <c r="L15" s="185"/>
      <c r="M15" s="185"/>
      <c r="N15" s="185"/>
      <c r="O15" s="185"/>
      <c r="P15" s="234" t="s">
        <v>107</v>
      </c>
      <c r="Q15" s="235">
        <v>0.40749999999999997</v>
      </c>
      <c r="R15" s="236" t="s">
        <v>146</v>
      </c>
      <c r="S15" s="235">
        <v>0.59250000000000003</v>
      </c>
      <c r="T15" s="233"/>
      <c r="U15" s="184"/>
      <c r="V15" s="5"/>
    </row>
    <row r="16" spans="1:22" ht="15.6" x14ac:dyDescent="0.3">
      <c r="A16" s="175"/>
      <c r="B16" s="230" t="s">
        <v>3</v>
      </c>
      <c r="C16" s="184"/>
      <c r="D16" s="184"/>
      <c r="E16" s="184"/>
      <c r="F16" s="184"/>
      <c r="G16" s="184"/>
      <c r="H16" s="185"/>
      <c r="I16" s="185"/>
      <c r="J16" s="185"/>
      <c r="K16" s="185"/>
      <c r="L16" s="185"/>
      <c r="M16" s="185"/>
      <c r="N16" s="185"/>
      <c r="O16" s="185"/>
      <c r="P16" s="234" t="s">
        <v>107</v>
      </c>
      <c r="Q16" s="235">
        <v>0.45269999999999999</v>
      </c>
      <c r="R16" s="236" t="s">
        <v>146</v>
      </c>
      <c r="S16" s="235">
        <v>0.54730000000000001</v>
      </c>
      <c r="T16" s="233"/>
      <c r="U16" s="184"/>
      <c r="V16" s="5"/>
    </row>
    <row r="17" spans="1:22" ht="15.6" x14ac:dyDescent="0.3">
      <c r="A17" s="175"/>
      <c r="B17" s="230" t="s">
        <v>4</v>
      </c>
      <c r="C17" s="184"/>
      <c r="D17" s="184"/>
      <c r="E17" s="184"/>
      <c r="F17" s="184"/>
      <c r="G17" s="184"/>
      <c r="H17" s="184"/>
      <c r="I17" s="184"/>
      <c r="J17" s="184"/>
      <c r="K17" s="184"/>
      <c r="L17" s="184"/>
      <c r="M17" s="184"/>
      <c r="N17" s="184"/>
      <c r="O17" s="184"/>
      <c r="P17" s="231"/>
      <c r="Q17" s="231"/>
      <c r="R17" s="231"/>
      <c r="S17" s="231"/>
      <c r="T17" s="237">
        <v>38799</v>
      </c>
      <c r="U17" s="184"/>
      <c r="V17" s="5"/>
    </row>
    <row r="18" spans="1:22" ht="15.6" x14ac:dyDescent="0.3">
      <c r="A18" s="175"/>
      <c r="B18" s="230" t="s">
        <v>5</v>
      </c>
      <c r="C18" s="184"/>
      <c r="D18" s="184"/>
      <c r="E18" s="184"/>
      <c r="F18" s="184"/>
      <c r="G18" s="184"/>
      <c r="H18" s="184"/>
      <c r="I18" s="184"/>
      <c r="J18" s="184"/>
      <c r="K18" s="184"/>
      <c r="L18" s="184"/>
      <c r="M18" s="184"/>
      <c r="N18" s="184"/>
      <c r="O18" s="184"/>
      <c r="P18" s="231"/>
      <c r="Q18" s="231"/>
      <c r="R18" s="231"/>
      <c r="S18" s="231"/>
      <c r="T18" s="237">
        <v>41565</v>
      </c>
      <c r="U18" s="184"/>
      <c r="V18" s="5"/>
    </row>
    <row r="19" spans="1:22" ht="15.6" x14ac:dyDescent="0.3">
      <c r="A19" s="175"/>
      <c r="B19" s="177"/>
      <c r="C19" s="177"/>
      <c r="D19" s="177"/>
      <c r="E19" s="177"/>
      <c r="F19" s="177"/>
      <c r="G19" s="177"/>
      <c r="H19" s="177"/>
      <c r="I19" s="177"/>
      <c r="J19" s="177"/>
      <c r="K19" s="177"/>
      <c r="L19" s="177"/>
      <c r="M19" s="177"/>
      <c r="N19" s="177"/>
      <c r="O19" s="177"/>
      <c r="P19" s="177"/>
      <c r="Q19" s="177"/>
      <c r="R19" s="177"/>
      <c r="S19" s="177"/>
      <c r="T19" s="186"/>
      <c r="U19" s="177"/>
      <c r="V19" s="5"/>
    </row>
    <row r="20" spans="1:22" ht="15.6" x14ac:dyDescent="0.3">
      <c r="A20" s="175"/>
      <c r="B20" s="232" t="s">
        <v>6</v>
      </c>
      <c r="C20" s="177"/>
      <c r="D20" s="177"/>
      <c r="E20" s="177"/>
      <c r="F20" s="177"/>
      <c r="G20" s="177"/>
      <c r="H20" s="177"/>
      <c r="I20" s="177"/>
      <c r="J20" s="177"/>
      <c r="K20" s="177"/>
      <c r="L20" s="177"/>
      <c r="M20" s="177"/>
      <c r="N20" s="177"/>
      <c r="O20" s="177"/>
      <c r="P20" s="177"/>
      <c r="Q20" s="177"/>
      <c r="R20" s="238" t="s">
        <v>108</v>
      </c>
      <c r="S20" s="177"/>
      <c r="T20" s="188"/>
      <c r="U20" s="177"/>
      <c r="V20" s="5"/>
    </row>
    <row r="21" spans="1:22" ht="15.6" x14ac:dyDescent="0.3">
      <c r="A21" s="175"/>
      <c r="B21" s="177"/>
      <c r="C21" s="177"/>
      <c r="D21" s="177"/>
      <c r="E21" s="177"/>
      <c r="F21" s="177"/>
      <c r="G21" s="177"/>
      <c r="H21" s="177"/>
      <c r="I21" s="177"/>
      <c r="J21" s="177"/>
      <c r="K21" s="177"/>
      <c r="L21" s="177"/>
      <c r="M21" s="177"/>
      <c r="N21" s="177"/>
      <c r="O21" s="177"/>
      <c r="P21" s="177"/>
      <c r="Q21" s="177"/>
      <c r="R21" s="177"/>
      <c r="S21" s="177"/>
      <c r="T21" s="189"/>
      <c r="U21" s="177"/>
      <c r="V21" s="5"/>
    </row>
    <row r="22" spans="1:22" ht="15.6" x14ac:dyDescent="0.3">
      <c r="A22" s="222"/>
      <c r="B22" s="223"/>
      <c r="C22" s="224"/>
      <c r="D22" s="224" t="s">
        <v>184</v>
      </c>
      <c r="E22" s="224"/>
      <c r="F22" s="224" t="s">
        <v>185</v>
      </c>
      <c r="G22" s="224"/>
      <c r="H22" s="224" t="s">
        <v>186</v>
      </c>
      <c r="I22" s="224"/>
      <c r="J22" s="224" t="s">
        <v>187</v>
      </c>
      <c r="K22" s="224"/>
      <c r="L22" s="224" t="s">
        <v>188</v>
      </c>
      <c r="M22" s="224"/>
      <c r="N22" s="224" t="s">
        <v>189</v>
      </c>
      <c r="O22" s="224"/>
      <c r="P22" s="224"/>
      <c r="Q22" s="226"/>
      <c r="R22" s="226"/>
      <c r="S22" s="227"/>
      <c r="T22" s="227"/>
      <c r="U22" s="223"/>
      <c r="V22" s="5"/>
    </row>
    <row r="23" spans="1:22" ht="15.6" x14ac:dyDescent="0.3">
      <c r="A23" s="190"/>
      <c r="B23" s="239" t="s">
        <v>7</v>
      </c>
      <c r="C23" s="240"/>
      <c r="D23" s="240" t="s">
        <v>222</v>
      </c>
      <c r="E23" s="240"/>
      <c r="F23" s="240" t="s">
        <v>147</v>
      </c>
      <c r="G23" s="240"/>
      <c r="H23" s="240" t="s">
        <v>147</v>
      </c>
      <c r="I23" s="240"/>
      <c r="J23" s="240" t="s">
        <v>190</v>
      </c>
      <c r="K23" s="240"/>
      <c r="L23" s="240" t="s">
        <v>190</v>
      </c>
      <c r="M23" s="240"/>
      <c r="N23" s="240" t="s">
        <v>148</v>
      </c>
      <c r="O23" s="240"/>
      <c r="P23" s="240"/>
      <c r="Q23" s="240"/>
      <c r="R23" s="240"/>
      <c r="S23" s="241"/>
      <c r="T23" s="241"/>
      <c r="U23" s="239"/>
      <c r="V23" s="5"/>
    </row>
    <row r="24" spans="1:22" ht="15.6" x14ac:dyDescent="0.3">
      <c r="A24" s="284"/>
      <c r="B24" s="285" t="s">
        <v>8</v>
      </c>
      <c r="C24" s="286"/>
      <c r="D24" s="286" t="s">
        <v>223</v>
      </c>
      <c r="E24" s="286"/>
      <c r="F24" s="286" t="s">
        <v>149</v>
      </c>
      <c r="G24" s="286"/>
      <c r="H24" s="286" t="s">
        <v>149</v>
      </c>
      <c r="I24" s="286"/>
      <c r="J24" s="286" t="s">
        <v>172</v>
      </c>
      <c r="K24" s="286"/>
      <c r="L24" s="286" t="s">
        <v>172</v>
      </c>
      <c r="M24" s="286"/>
      <c r="N24" s="286" t="s">
        <v>150</v>
      </c>
      <c r="O24" s="286"/>
      <c r="P24" s="286"/>
      <c r="Q24" s="286"/>
      <c r="R24" s="286"/>
      <c r="S24" s="287"/>
      <c r="T24" s="287"/>
      <c r="U24" s="288"/>
      <c r="V24" s="5"/>
    </row>
    <row r="25" spans="1:22" ht="15.6" x14ac:dyDescent="0.3">
      <c r="A25" s="289"/>
      <c r="B25" s="285" t="s">
        <v>198</v>
      </c>
      <c r="C25" s="394"/>
      <c r="D25" s="286" t="s">
        <v>224</v>
      </c>
      <c r="E25" s="286"/>
      <c r="F25" s="286" t="s">
        <v>149</v>
      </c>
      <c r="G25" s="286"/>
      <c r="H25" s="286" t="s">
        <v>149</v>
      </c>
      <c r="I25" s="286"/>
      <c r="J25" s="286" t="s">
        <v>172</v>
      </c>
      <c r="K25" s="286"/>
      <c r="L25" s="286" t="s">
        <v>172</v>
      </c>
      <c r="M25" s="286"/>
      <c r="N25" s="286" t="s">
        <v>150</v>
      </c>
      <c r="O25" s="286"/>
      <c r="P25" s="286"/>
      <c r="Q25" s="394"/>
      <c r="R25" s="286"/>
      <c r="S25" s="287"/>
      <c r="T25" s="287"/>
      <c r="U25" s="288"/>
      <c r="V25" s="5"/>
    </row>
    <row r="26" spans="1:22" ht="15.6" x14ac:dyDescent="0.3">
      <c r="A26" s="289"/>
      <c r="B26" s="292" t="s">
        <v>9</v>
      </c>
      <c r="C26" s="394"/>
      <c r="D26" s="394" t="s">
        <v>306</v>
      </c>
      <c r="E26" s="394"/>
      <c r="F26" s="394" t="s">
        <v>147</v>
      </c>
      <c r="G26" s="394"/>
      <c r="H26" s="394" t="s">
        <v>147</v>
      </c>
      <c r="I26" s="394"/>
      <c r="J26" s="394" t="s">
        <v>190</v>
      </c>
      <c r="K26" s="394"/>
      <c r="L26" s="394" t="s">
        <v>190</v>
      </c>
      <c r="M26" s="394"/>
      <c r="N26" s="394" t="s">
        <v>148</v>
      </c>
      <c r="O26" s="394"/>
      <c r="P26" s="394"/>
      <c r="Q26" s="394"/>
      <c r="R26" s="286"/>
      <c r="S26" s="287"/>
      <c r="T26" s="287"/>
      <c r="U26" s="288"/>
      <c r="V26" s="5"/>
    </row>
    <row r="27" spans="1:22" ht="15.6" x14ac:dyDescent="0.3">
      <c r="A27" s="284"/>
      <c r="B27" s="292" t="s">
        <v>199</v>
      </c>
      <c r="C27" s="286"/>
      <c r="D27" s="394" t="s">
        <v>307</v>
      </c>
      <c r="E27" s="394"/>
      <c r="F27" s="394" t="s">
        <v>172</v>
      </c>
      <c r="G27" s="394"/>
      <c r="H27" s="394" t="s">
        <v>172</v>
      </c>
      <c r="I27" s="394"/>
      <c r="J27" s="394" t="s">
        <v>150</v>
      </c>
      <c r="K27" s="394"/>
      <c r="L27" s="394" t="s">
        <v>150</v>
      </c>
      <c r="M27" s="394"/>
      <c r="N27" s="394" t="s">
        <v>308</v>
      </c>
      <c r="O27" s="394"/>
      <c r="P27" s="394"/>
      <c r="Q27" s="286"/>
      <c r="R27" s="293"/>
      <c r="S27" s="287"/>
      <c r="T27" s="287"/>
      <c r="U27" s="288"/>
      <c r="V27" s="5"/>
    </row>
    <row r="28" spans="1:22" ht="15.6" x14ac:dyDescent="0.3">
      <c r="A28" s="284"/>
      <c r="B28" s="292" t="s">
        <v>200</v>
      </c>
      <c r="C28" s="286"/>
      <c r="D28" s="394" t="s">
        <v>302</v>
      </c>
      <c r="E28" s="394"/>
      <c r="F28" s="394" t="s">
        <v>149</v>
      </c>
      <c r="G28" s="394"/>
      <c r="H28" s="394" t="s">
        <v>149</v>
      </c>
      <c r="I28" s="394"/>
      <c r="J28" s="394" t="s">
        <v>172</v>
      </c>
      <c r="K28" s="394"/>
      <c r="L28" s="394" t="s">
        <v>172</v>
      </c>
      <c r="M28" s="394"/>
      <c r="N28" s="394" t="s">
        <v>150</v>
      </c>
      <c r="O28" s="394"/>
      <c r="P28" s="394"/>
      <c r="Q28" s="286"/>
      <c r="R28" s="293"/>
      <c r="S28" s="287"/>
      <c r="T28" s="287"/>
      <c r="U28" s="288"/>
      <c r="V28" s="5"/>
    </row>
    <row r="29" spans="1:22" ht="15.6" x14ac:dyDescent="0.3">
      <c r="A29" s="284"/>
      <c r="B29" s="285" t="s">
        <v>10</v>
      </c>
      <c r="C29" s="295"/>
      <c r="D29" s="286" t="s">
        <v>237</v>
      </c>
      <c r="E29" s="286"/>
      <c r="F29" s="293" t="s">
        <v>238</v>
      </c>
      <c r="G29" s="286"/>
      <c r="H29" s="286" t="s">
        <v>239</v>
      </c>
      <c r="I29" s="286"/>
      <c r="J29" s="286" t="s">
        <v>240</v>
      </c>
      <c r="K29" s="286"/>
      <c r="L29" s="286" t="s">
        <v>241</v>
      </c>
      <c r="M29" s="286"/>
      <c r="N29" s="286" t="s">
        <v>242</v>
      </c>
      <c r="O29" s="286"/>
      <c r="P29" s="286"/>
      <c r="Q29" s="296"/>
      <c r="R29" s="296"/>
      <c r="S29" s="297"/>
      <c r="T29" s="296"/>
      <c r="U29" s="298"/>
      <c r="V29" s="5"/>
    </row>
    <row r="30" spans="1:22" ht="15.6" x14ac:dyDescent="0.3">
      <c r="A30" s="284"/>
      <c r="B30" s="285" t="s">
        <v>10</v>
      </c>
      <c r="C30" s="295"/>
      <c r="D30" s="286" t="s">
        <v>236</v>
      </c>
      <c r="E30" s="286"/>
      <c r="F30" s="293" t="s">
        <v>124</v>
      </c>
      <c r="G30" s="286"/>
      <c r="H30" s="286" t="s">
        <v>124</v>
      </c>
      <c r="I30" s="286"/>
      <c r="J30" s="286" t="s">
        <v>124</v>
      </c>
      <c r="K30" s="286"/>
      <c r="L30" s="286" t="s">
        <v>124</v>
      </c>
      <c r="M30" s="286"/>
      <c r="N30" s="286" t="s">
        <v>124</v>
      </c>
      <c r="O30" s="286"/>
      <c r="P30" s="286"/>
      <c r="Q30" s="296"/>
      <c r="R30" s="296"/>
      <c r="S30" s="297"/>
      <c r="T30" s="296"/>
      <c r="U30" s="298"/>
      <c r="V30" s="5"/>
    </row>
    <row r="31" spans="1:22" ht="15.6" x14ac:dyDescent="0.3">
      <c r="A31" s="289"/>
      <c r="B31" s="285" t="s">
        <v>139</v>
      </c>
      <c r="C31" s="299"/>
      <c r="D31" s="300">
        <v>985000</v>
      </c>
      <c r="E31" s="295"/>
      <c r="F31" s="296">
        <v>149500</v>
      </c>
      <c r="G31" s="296"/>
      <c r="H31" s="301">
        <v>219700</v>
      </c>
      <c r="I31" s="296"/>
      <c r="J31" s="296">
        <v>16000</v>
      </c>
      <c r="K31" s="296"/>
      <c r="L31" s="301">
        <v>82400</v>
      </c>
      <c r="M31" s="296"/>
      <c r="N31" s="301">
        <v>87500</v>
      </c>
      <c r="O31" s="296"/>
      <c r="P31" s="301"/>
      <c r="Q31" s="302"/>
      <c r="R31" s="302"/>
      <c r="S31" s="303"/>
      <c r="T31" s="302"/>
      <c r="U31" s="298"/>
      <c r="V31" s="5"/>
    </row>
    <row r="32" spans="1:22" ht="15.6" x14ac:dyDescent="0.3">
      <c r="A32" s="284"/>
      <c r="B32" s="285" t="s">
        <v>138</v>
      </c>
      <c r="C32" s="295"/>
      <c r="D32" s="300">
        <f>D38*D31</f>
        <v>468073.87150000001</v>
      </c>
      <c r="E32" s="295"/>
      <c r="F32" s="296">
        <f>F38*F31</f>
        <v>71042.878400000001</v>
      </c>
      <c r="G32" s="296"/>
      <c r="H32" s="301">
        <f>H38*H31</f>
        <v>104402.14304</v>
      </c>
      <c r="I32" s="296"/>
      <c r="J32" s="296">
        <f>+J31</f>
        <v>16000</v>
      </c>
      <c r="K32" s="296"/>
      <c r="L32" s="301">
        <f>+L31</f>
        <v>82400</v>
      </c>
      <c r="M32" s="296"/>
      <c r="N32" s="301">
        <f>+N31</f>
        <v>87500</v>
      </c>
      <c r="O32" s="296"/>
      <c r="P32" s="301"/>
      <c r="Q32" s="296"/>
      <c r="R32" s="296"/>
      <c r="S32" s="297"/>
      <c r="T32" s="296"/>
      <c r="U32" s="298"/>
      <c r="V32" s="5"/>
    </row>
    <row r="33" spans="1:22" ht="15.6" x14ac:dyDescent="0.3">
      <c r="A33" s="284"/>
      <c r="B33" s="292" t="s">
        <v>140</v>
      </c>
      <c r="C33" s="295"/>
      <c r="D33" s="304">
        <f>D37*D31</f>
        <v>463282.83149999997</v>
      </c>
      <c r="E33" s="299"/>
      <c r="F33" s="302">
        <f>F37*F31</f>
        <v>70315.710399999996</v>
      </c>
      <c r="G33" s="302"/>
      <c r="H33" s="305">
        <f>H31*H37</f>
        <v>103333.52224000001</v>
      </c>
      <c r="I33" s="302"/>
      <c r="J33" s="302">
        <f>J31*J37</f>
        <v>16000</v>
      </c>
      <c r="K33" s="302"/>
      <c r="L33" s="305">
        <f>L31*L37</f>
        <v>82400</v>
      </c>
      <c r="M33" s="302"/>
      <c r="N33" s="305">
        <f>N31*N37</f>
        <v>87500</v>
      </c>
      <c r="O33" s="302"/>
      <c r="P33" s="305"/>
      <c r="Q33" s="296"/>
      <c r="R33" s="296"/>
      <c r="S33" s="297"/>
      <c r="T33" s="296"/>
      <c r="U33" s="298"/>
      <c r="V33" s="5"/>
    </row>
    <row r="34" spans="1:22" ht="15.6" x14ac:dyDescent="0.3">
      <c r="A34" s="289"/>
      <c r="B34" s="285" t="s">
        <v>283</v>
      </c>
      <c r="C34" s="299"/>
      <c r="D34" s="296">
        <v>567282</v>
      </c>
      <c r="E34" s="295"/>
      <c r="F34" s="296">
        <v>149500</v>
      </c>
      <c r="G34" s="296"/>
      <c r="H34" s="296">
        <v>150716</v>
      </c>
      <c r="I34" s="296"/>
      <c r="J34" s="296">
        <v>16000</v>
      </c>
      <c r="K34" s="296"/>
      <c r="L34" s="296">
        <v>56527</v>
      </c>
      <c r="M34" s="296"/>
      <c r="N34" s="296">
        <v>60025</v>
      </c>
      <c r="O34" s="296"/>
      <c r="P34" s="296"/>
      <c r="Q34" s="302"/>
      <c r="R34" s="302"/>
      <c r="S34" s="303"/>
      <c r="T34" s="296">
        <f>SUM(C34:P34)</f>
        <v>1000050</v>
      </c>
      <c r="U34" s="298"/>
      <c r="V34" s="5"/>
    </row>
    <row r="35" spans="1:22" ht="15.6" x14ac:dyDescent="0.3">
      <c r="A35" s="289"/>
      <c r="B35" s="285" t="s">
        <v>284</v>
      </c>
      <c r="C35" s="299"/>
      <c r="D35" s="296">
        <f>D38*D34</f>
        <v>269573.48423579999</v>
      </c>
      <c r="E35" s="295"/>
      <c r="F35" s="296">
        <f>F38*F34</f>
        <v>71042.878400000001</v>
      </c>
      <c r="G35" s="296"/>
      <c r="H35" s="296">
        <f>H38*H34</f>
        <v>71620.725491199992</v>
      </c>
      <c r="I35" s="296"/>
      <c r="J35" s="296">
        <f>+J34</f>
        <v>16000</v>
      </c>
      <c r="K35" s="296"/>
      <c r="L35" s="296">
        <f>+L34</f>
        <v>56527</v>
      </c>
      <c r="M35" s="296"/>
      <c r="N35" s="296">
        <f>+N34</f>
        <v>60025</v>
      </c>
      <c r="O35" s="296"/>
      <c r="P35" s="296"/>
      <c r="Q35" s="296"/>
      <c r="R35" s="296"/>
      <c r="S35" s="297"/>
      <c r="T35" s="296">
        <f>SUM(C35:P35)+1</f>
        <v>544790.08812700002</v>
      </c>
      <c r="U35" s="298"/>
      <c r="V35" s="5"/>
    </row>
    <row r="36" spans="1:22" ht="15.6" x14ac:dyDescent="0.3">
      <c r="A36" s="289"/>
      <c r="B36" s="292" t="s">
        <v>285</v>
      </c>
      <c r="C36" s="299"/>
      <c r="D36" s="302">
        <f>D37*D34</f>
        <v>266814.22458779998</v>
      </c>
      <c r="E36" s="299"/>
      <c r="F36" s="302">
        <f>F37*F34</f>
        <v>70315.710399999996</v>
      </c>
      <c r="G36" s="302"/>
      <c r="H36" s="302">
        <f>H37*H34</f>
        <v>70887.642867200004</v>
      </c>
      <c r="I36" s="302"/>
      <c r="J36" s="302">
        <f>+J34</f>
        <v>16000</v>
      </c>
      <c r="K36" s="302"/>
      <c r="L36" s="302">
        <f>+L34</f>
        <v>56527</v>
      </c>
      <c r="M36" s="302"/>
      <c r="N36" s="302">
        <f>+N34</f>
        <v>60025</v>
      </c>
      <c r="O36" s="302"/>
      <c r="P36" s="302"/>
      <c r="Q36" s="327"/>
      <c r="R36" s="327"/>
      <c r="S36" s="297"/>
      <c r="T36" s="302">
        <f>SUM(C36:P36)+1</f>
        <v>540570.57785500004</v>
      </c>
      <c r="U36" s="298"/>
      <c r="V36" s="5"/>
    </row>
    <row r="37" spans="1:22" ht="15.6" x14ac:dyDescent="0.3">
      <c r="A37" s="284"/>
      <c r="B37" s="310" t="s">
        <v>136</v>
      </c>
      <c r="C37" s="311"/>
      <c r="D37" s="312">
        <v>0.47033789999999998</v>
      </c>
      <c r="E37" s="313"/>
      <c r="F37" s="312">
        <v>0.47033920000000001</v>
      </c>
      <c r="G37" s="314"/>
      <c r="H37" s="312">
        <v>0.47033920000000001</v>
      </c>
      <c r="I37" s="314"/>
      <c r="J37" s="312">
        <v>1</v>
      </c>
      <c r="K37" s="314"/>
      <c r="L37" s="312">
        <v>1</v>
      </c>
      <c r="M37" s="314"/>
      <c r="N37" s="312">
        <v>1</v>
      </c>
      <c r="O37" s="314"/>
      <c r="P37" s="314"/>
      <c r="Q37" s="315"/>
      <c r="R37" s="315"/>
      <c r="S37" s="316"/>
      <c r="T37" s="316"/>
      <c r="U37" s="317"/>
      <c r="V37" s="5"/>
    </row>
    <row r="38" spans="1:22" ht="15.6" x14ac:dyDescent="0.3">
      <c r="A38" s="284"/>
      <c r="B38" s="310" t="s">
        <v>137</v>
      </c>
      <c r="C38" s="311"/>
      <c r="D38" s="312">
        <v>0.47520190000000001</v>
      </c>
      <c r="E38" s="313"/>
      <c r="F38" s="312">
        <v>0.47520319999999999</v>
      </c>
      <c r="G38" s="314"/>
      <c r="H38" s="312">
        <v>0.47520319999999999</v>
      </c>
      <c r="I38" s="314"/>
      <c r="J38" s="312">
        <v>1</v>
      </c>
      <c r="K38" s="312"/>
      <c r="L38" s="312">
        <v>1</v>
      </c>
      <c r="M38" s="312"/>
      <c r="N38" s="312">
        <v>1</v>
      </c>
      <c r="O38" s="314"/>
      <c r="P38" s="314"/>
      <c r="Q38" s="318"/>
      <c r="R38" s="319"/>
      <c r="S38" s="316"/>
      <c r="T38" s="318"/>
      <c r="U38" s="317"/>
      <c r="V38" s="5"/>
    </row>
    <row r="39" spans="1:22" ht="15.6" x14ac:dyDescent="0.3">
      <c r="A39" s="284"/>
      <c r="B39" s="285" t="s">
        <v>11</v>
      </c>
      <c r="C39" s="285"/>
      <c r="D39" s="293" t="s">
        <v>275</v>
      </c>
      <c r="E39" s="285"/>
      <c r="F39" s="293" t="s">
        <v>232</v>
      </c>
      <c r="G39" s="293"/>
      <c r="H39" s="293" t="s">
        <v>232</v>
      </c>
      <c r="I39" s="293"/>
      <c r="J39" s="293" t="s">
        <v>234</v>
      </c>
      <c r="K39" s="293"/>
      <c r="L39" s="293" t="s">
        <v>234</v>
      </c>
      <c r="M39" s="293"/>
      <c r="N39" s="293" t="s">
        <v>235</v>
      </c>
      <c r="O39" s="293"/>
      <c r="P39" s="293"/>
      <c r="Q39" s="320"/>
      <c r="R39" s="321"/>
      <c r="S39" s="287"/>
      <c r="T39" s="287"/>
      <c r="U39" s="288"/>
      <c r="V39" s="5"/>
    </row>
    <row r="40" spans="1:22" ht="15.6" x14ac:dyDescent="0.3">
      <c r="A40" s="284"/>
      <c r="B40" s="285" t="s">
        <v>12</v>
      </c>
      <c r="C40" s="285"/>
      <c r="D40" s="321">
        <v>2.823E-3</v>
      </c>
      <c r="E40" s="285"/>
      <c r="F40" s="321">
        <v>7.4938000000000001E-3</v>
      </c>
      <c r="G40" s="320"/>
      <c r="H40" s="321">
        <v>4.5799999999999999E-3</v>
      </c>
      <c r="I40" s="320"/>
      <c r="J40" s="321">
        <v>9.8937999999999995E-3</v>
      </c>
      <c r="K40" s="320"/>
      <c r="L40" s="321">
        <v>6.9800000000000001E-3</v>
      </c>
      <c r="M40" s="320"/>
      <c r="N40" s="321">
        <v>1.1180000000000001E-2</v>
      </c>
      <c r="O40" s="320"/>
      <c r="P40" s="321"/>
      <c r="Q40" s="320"/>
      <c r="R40" s="321"/>
      <c r="S40" s="287"/>
      <c r="T40" s="293"/>
      <c r="U40" s="288"/>
      <c r="V40" s="5"/>
    </row>
    <row r="41" spans="1:22" ht="15.6" x14ac:dyDescent="0.3">
      <c r="A41" s="284"/>
      <c r="B41" s="285" t="s">
        <v>13</v>
      </c>
      <c r="C41" s="285"/>
      <c r="D41" s="321">
        <v>2.9250000000000001E-3</v>
      </c>
      <c r="E41" s="285"/>
      <c r="F41" s="321">
        <v>7.4562999999999999E-3</v>
      </c>
      <c r="G41" s="320"/>
      <c r="H41" s="321">
        <v>4.5100000000000001E-3</v>
      </c>
      <c r="I41" s="320"/>
      <c r="J41" s="321">
        <v>9.8563000000000001E-3</v>
      </c>
      <c r="K41" s="320"/>
      <c r="L41" s="321">
        <v>6.9100000000000003E-3</v>
      </c>
      <c r="M41" s="320"/>
      <c r="N41" s="321">
        <v>1.111E-2</v>
      </c>
      <c r="O41" s="320"/>
      <c r="P41" s="321"/>
      <c r="Q41" s="320"/>
      <c r="R41" s="321"/>
      <c r="S41" s="287"/>
      <c r="T41" s="320" t="s">
        <v>201</v>
      </c>
      <c r="U41" s="288"/>
      <c r="V41" s="5"/>
    </row>
    <row r="42" spans="1:22" ht="15.6" x14ac:dyDescent="0.3">
      <c r="A42" s="284"/>
      <c r="B42" s="285" t="s">
        <v>286</v>
      </c>
      <c r="C42" s="285"/>
      <c r="D42" s="293" t="s">
        <v>231</v>
      </c>
      <c r="E42" s="285"/>
      <c r="F42" s="293" t="s">
        <v>232</v>
      </c>
      <c r="G42" s="293"/>
      <c r="H42" s="293" t="s">
        <v>232</v>
      </c>
      <c r="I42" s="293"/>
      <c r="J42" s="293" t="s">
        <v>234</v>
      </c>
      <c r="K42" s="293"/>
      <c r="L42" s="293" t="s">
        <v>245</v>
      </c>
      <c r="M42" s="293"/>
      <c r="N42" s="293" t="s">
        <v>247</v>
      </c>
      <c r="O42" s="293"/>
      <c r="P42" s="293"/>
      <c r="Q42" s="320"/>
      <c r="R42" s="321"/>
      <c r="S42" s="287"/>
      <c r="T42" s="287"/>
      <c r="U42" s="288"/>
      <c r="V42" s="5"/>
    </row>
    <row r="43" spans="1:22" ht="15.6" x14ac:dyDescent="0.3">
      <c r="A43" s="284"/>
      <c r="B43" s="285" t="s">
        <v>287</v>
      </c>
      <c r="C43" s="322"/>
      <c r="D43" s="321">
        <v>6.3299999999999997E-3</v>
      </c>
      <c r="E43" s="321"/>
      <c r="F43" s="321">
        <f>+F40</f>
        <v>7.4938000000000001E-3</v>
      </c>
      <c r="G43" s="321"/>
      <c r="H43" s="321">
        <v>7.4897999999999996E-3</v>
      </c>
      <c r="I43" s="321"/>
      <c r="J43" s="321">
        <f>+J40</f>
        <v>9.8937999999999995E-3</v>
      </c>
      <c r="K43" s="321"/>
      <c r="L43" s="321">
        <v>1.01998E-2</v>
      </c>
      <c r="M43" s="321"/>
      <c r="N43" s="321">
        <v>1.49038E-2</v>
      </c>
      <c r="O43" s="320"/>
      <c r="P43" s="321"/>
      <c r="Q43" s="293"/>
      <c r="R43" s="293"/>
      <c r="S43" s="287"/>
      <c r="T43" s="320">
        <f>SUMPRODUCT(D43:N43,D35:N35)/T35</f>
        <v>8.0850804240838493E-3</v>
      </c>
      <c r="U43" s="288"/>
      <c r="V43" s="5"/>
    </row>
    <row r="44" spans="1:22" ht="15.6" x14ac:dyDescent="0.3">
      <c r="A44" s="284"/>
      <c r="B44" s="285" t="s">
        <v>288</v>
      </c>
      <c r="C44" s="322"/>
      <c r="D44" s="321">
        <v>6.2925000000000003E-3</v>
      </c>
      <c r="E44" s="321"/>
      <c r="F44" s="321">
        <f>+F41</f>
        <v>7.4562999999999999E-3</v>
      </c>
      <c r="G44" s="321"/>
      <c r="H44" s="321">
        <v>7.4523000000000002E-3</v>
      </c>
      <c r="I44" s="321"/>
      <c r="J44" s="321">
        <f>+J41</f>
        <v>9.8563000000000001E-3</v>
      </c>
      <c r="K44" s="321"/>
      <c r="L44" s="321">
        <v>1.0162300000000001E-2</v>
      </c>
      <c r="M44" s="321"/>
      <c r="N44" s="321">
        <v>1.4866300000000001E-2</v>
      </c>
      <c r="O44" s="320"/>
      <c r="P44" s="321"/>
      <c r="Q44" s="293"/>
      <c r="R44" s="293"/>
      <c r="S44" s="287"/>
      <c r="T44" s="287"/>
      <c r="U44" s="288"/>
      <c r="V44" s="5"/>
    </row>
    <row r="45" spans="1:22" ht="15.6" x14ac:dyDescent="0.3">
      <c r="A45" s="284"/>
      <c r="B45" s="285" t="s">
        <v>14</v>
      </c>
      <c r="C45" s="285"/>
      <c r="D45" s="322">
        <v>40283</v>
      </c>
      <c r="E45" s="322"/>
      <c r="F45" s="322">
        <v>40283</v>
      </c>
      <c r="G45" s="322"/>
      <c r="H45" s="322">
        <v>40283</v>
      </c>
      <c r="I45" s="322"/>
      <c r="J45" s="322">
        <v>40283</v>
      </c>
      <c r="K45" s="322"/>
      <c r="L45" s="322">
        <v>40283</v>
      </c>
      <c r="M45" s="322"/>
      <c r="N45" s="322">
        <v>40283</v>
      </c>
      <c r="O45" s="322"/>
      <c r="P45" s="322"/>
      <c r="Q45" s="293"/>
      <c r="R45" s="293"/>
      <c r="S45" s="287"/>
      <c r="T45" s="287"/>
      <c r="U45" s="288"/>
      <c r="V45" s="5"/>
    </row>
    <row r="46" spans="1:22" ht="15.6" x14ac:dyDescent="0.3">
      <c r="A46" s="284"/>
      <c r="B46" s="285" t="s">
        <v>15</v>
      </c>
      <c r="C46" s="285"/>
      <c r="D46" s="322">
        <v>40648</v>
      </c>
      <c r="E46" s="322"/>
      <c r="F46" s="322">
        <v>40648</v>
      </c>
      <c r="G46" s="322"/>
      <c r="H46" s="322">
        <v>40648</v>
      </c>
      <c r="I46" s="293"/>
      <c r="J46" s="322">
        <v>40648</v>
      </c>
      <c r="K46" s="293"/>
      <c r="L46" s="322">
        <v>40648</v>
      </c>
      <c r="M46" s="293"/>
      <c r="N46" s="322">
        <v>40648</v>
      </c>
      <c r="O46" s="293"/>
      <c r="P46" s="322"/>
      <c r="Q46" s="293"/>
      <c r="R46" s="293"/>
      <c r="S46" s="287"/>
      <c r="T46" s="287"/>
      <c r="U46" s="288"/>
      <c r="V46" s="5"/>
    </row>
    <row r="47" spans="1:22" ht="15.6" x14ac:dyDescent="0.3">
      <c r="A47" s="284"/>
      <c r="B47" s="285" t="s">
        <v>125</v>
      </c>
      <c r="C47" s="285"/>
      <c r="D47" s="293" t="s">
        <v>124</v>
      </c>
      <c r="E47" s="285"/>
      <c r="F47" s="293" t="s">
        <v>232</v>
      </c>
      <c r="G47" s="293"/>
      <c r="H47" s="293" t="s">
        <v>232</v>
      </c>
      <c r="I47" s="293"/>
      <c r="J47" s="293" t="s">
        <v>234</v>
      </c>
      <c r="K47" s="293"/>
      <c r="L47" s="293" t="s">
        <v>234</v>
      </c>
      <c r="M47" s="293"/>
      <c r="N47" s="293" t="s">
        <v>235</v>
      </c>
      <c r="O47" s="293"/>
      <c r="P47" s="293"/>
      <c r="Q47" s="324"/>
      <c r="R47" s="324"/>
      <c r="S47" s="324"/>
      <c r="T47" s="324"/>
      <c r="U47" s="288"/>
      <c r="V47" s="5"/>
    </row>
    <row r="48" spans="1:22" ht="15.6" x14ac:dyDescent="0.3">
      <c r="A48" s="284"/>
      <c r="B48" s="285" t="s">
        <v>289</v>
      </c>
      <c r="C48" s="285"/>
      <c r="D48" s="293" t="s">
        <v>208</v>
      </c>
      <c r="E48" s="285"/>
      <c r="F48" s="293" t="s">
        <v>232</v>
      </c>
      <c r="G48" s="293"/>
      <c r="H48" s="293" t="s">
        <v>232</v>
      </c>
      <c r="I48" s="293"/>
      <c r="J48" s="293" t="s">
        <v>234</v>
      </c>
      <c r="K48" s="293"/>
      <c r="L48" s="293" t="s">
        <v>245</v>
      </c>
      <c r="M48" s="293"/>
      <c r="N48" s="293" t="s">
        <v>247</v>
      </c>
      <c r="O48" s="293"/>
      <c r="P48" s="293"/>
      <c r="Q48" s="285"/>
      <c r="R48" s="285"/>
      <c r="S48" s="285"/>
      <c r="T48" s="320"/>
      <c r="U48" s="288"/>
      <c r="V48" s="5"/>
    </row>
    <row r="49" spans="1:23" ht="15.6" x14ac:dyDescent="0.3">
      <c r="A49" s="284"/>
      <c r="B49" s="285"/>
      <c r="C49" s="285"/>
      <c r="D49" s="293"/>
      <c r="E49" s="285"/>
      <c r="F49" s="293"/>
      <c r="G49" s="293"/>
      <c r="H49" s="293"/>
      <c r="I49" s="293"/>
      <c r="J49" s="293"/>
      <c r="K49" s="293"/>
      <c r="L49" s="293"/>
      <c r="M49" s="293"/>
      <c r="N49" s="293"/>
      <c r="O49" s="293"/>
      <c r="P49" s="293"/>
      <c r="Q49" s="285"/>
      <c r="R49" s="285"/>
      <c r="S49" s="285"/>
      <c r="T49" s="320" t="s">
        <v>201</v>
      </c>
      <c r="U49" s="288"/>
      <c r="V49" s="5"/>
    </row>
    <row r="50" spans="1:23" ht="15.6" x14ac:dyDescent="0.3">
      <c r="A50" s="284"/>
      <c r="B50" s="285" t="s">
        <v>176</v>
      </c>
      <c r="C50" s="285"/>
      <c r="D50" s="293"/>
      <c r="E50" s="285"/>
      <c r="F50" s="293"/>
      <c r="G50" s="293"/>
      <c r="H50" s="293"/>
      <c r="I50" s="293"/>
      <c r="J50" s="293"/>
      <c r="K50" s="293"/>
      <c r="L50" s="293"/>
      <c r="M50" s="293"/>
      <c r="N50" s="293"/>
      <c r="O50" s="293"/>
      <c r="P50" s="293"/>
      <c r="Q50" s="285"/>
      <c r="R50" s="285"/>
      <c r="S50" s="285"/>
      <c r="T50" s="320">
        <f>SUM(J34:P34)/SUM(D34:H34)</f>
        <v>0.15279804679664968</v>
      </c>
      <c r="U50" s="288"/>
      <c r="V50" s="5"/>
    </row>
    <row r="51" spans="1:23" ht="15.6" x14ac:dyDescent="0.3">
      <c r="A51" s="284"/>
      <c r="B51" s="285" t="s">
        <v>177</v>
      </c>
      <c r="C51" s="285"/>
      <c r="D51" s="285"/>
      <c r="E51" s="285"/>
      <c r="F51" s="325"/>
      <c r="G51" s="285"/>
      <c r="H51" s="285"/>
      <c r="I51" s="285"/>
      <c r="J51" s="285"/>
      <c r="K51" s="285"/>
      <c r="L51" s="285"/>
      <c r="M51" s="285"/>
      <c r="N51" s="285"/>
      <c r="O51" s="285"/>
      <c r="P51" s="285"/>
      <c r="Q51" s="285"/>
      <c r="R51" s="285"/>
      <c r="S51" s="285"/>
      <c r="T51" s="320">
        <f>SUM(J36:P36)/SUM(D36:H36)</f>
        <v>0.32486835664493335</v>
      </c>
      <c r="U51" s="288"/>
      <c r="V51" s="5"/>
    </row>
    <row r="52" spans="1:23" ht="15.6" x14ac:dyDescent="0.3">
      <c r="A52" s="284"/>
      <c r="B52" s="285" t="s">
        <v>178</v>
      </c>
      <c r="C52" s="285"/>
      <c r="D52" s="285"/>
      <c r="E52" s="285"/>
      <c r="F52" s="285"/>
      <c r="G52" s="285"/>
      <c r="H52" s="285"/>
      <c r="I52" s="285"/>
      <c r="J52" s="285"/>
      <c r="K52" s="285"/>
      <c r="L52" s="285"/>
      <c r="M52" s="285"/>
      <c r="N52" s="285"/>
      <c r="O52" s="285"/>
      <c r="P52" s="285"/>
      <c r="Q52" s="285"/>
      <c r="R52" s="293" t="s">
        <v>109</v>
      </c>
      <c r="S52" s="293" t="s">
        <v>115</v>
      </c>
      <c r="T52" s="296">
        <f>+T34/2-SUM(J34:P34)</f>
        <v>367473</v>
      </c>
      <c r="U52" s="288"/>
      <c r="V52" s="5"/>
    </row>
    <row r="53" spans="1:23" ht="15.6" x14ac:dyDescent="0.3">
      <c r="A53" s="284"/>
      <c r="B53" s="285"/>
      <c r="C53" s="285"/>
      <c r="D53" s="285"/>
      <c r="E53" s="285"/>
      <c r="F53" s="285"/>
      <c r="G53" s="285"/>
      <c r="H53" s="285"/>
      <c r="I53" s="285"/>
      <c r="J53" s="285"/>
      <c r="K53" s="285"/>
      <c r="L53" s="285"/>
      <c r="M53" s="285"/>
      <c r="N53" s="285"/>
      <c r="O53" s="285"/>
      <c r="P53" s="285"/>
      <c r="Q53" s="285"/>
      <c r="R53" s="285"/>
      <c r="S53" s="285"/>
      <c r="T53" s="326"/>
      <c r="U53" s="288"/>
      <c r="V53" s="5"/>
    </row>
    <row r="54" spans="1:23" ht="15.6" x14ac:dyDescent="0.3">
      <c r="A54" s="284"/>
      <c r="B54" s="285" t="s">
        <v>211</v>
      </c>
      <c r="C54" s="285"/>
      <c r="D54" s="285"/>
      <c r="E54" s="285"/>
      <c r="F54" s="285"/>
      <c r="G54" s="285"/>
      <c r="H54" s="285"/>
      <c r="I54" s="285"/>
      <c r="J54" s="285"/>
      <c r="K54" s="285"/>
      <c r="L54" s="285"/>
      <c r="M54" s="285"/>
      <c r="N54" s="285"/>
      <c r="O54" s="285"/>
      <c r="P54" s="285"/>
      <c r="Q54" s="285"/>
      <c r="R54" s="285"/>
      <c r="S54" s="285"/>
      <c r="T54" s="327" t="s">
        <v>212</v>
      </c>
      <c r="U54" s="288"/>
      <c r="V54" s="5"/>
    </row>
    <row r="55" spans="1:23" ht="15.6" x14ac:dyDescent="0.3">
      <c r="A55" s="284"/>
      <c r="B55" s="285" t="s">
        <v>253</v>
      </c>
      <c r="C55" s="285"/>
      <c r="D55" s="285"/>
      <c r="E55" s="285"/>
      <c r="F55" s="285"/>
      <c r="G55" s="285"/>
      <c r="H55" s="285"/>
      <c r="I55" s="285"/>
      <c r="J55" s="285"/>
      <c r="K55" s="285"/>
      <c r="L55" s="285"/>
      <c r="M55" s="285"/>
      <c r="N55" s="285"/>
      <c r="O55" s="285"/>
      <c r="P55" s="285"/>
      <c r="Q55" s="285"/>
      <c r="R55" s="293"/>
      <c r="S55" s="293"/>
      <c r="T55" s="328" t="s">
        <v>117</v>
      </c>
      <c r="U55" s="288"/>
      <c r="V55" s="5"/>
    </row>
    <row r="56" spans="1:23" ht="15.6" x14ac:dyDescent="0.3">
      <c r="A56" s="284"/>
      <c r="B56" s="292" t="s">
        <v>210</v>
      </c>
      <c r="C56" s="292"/>
      <c r="D56" s="292"/>
      <c r="E56" s="292"/>
      <c r="F56" s="292"/>
      <c r="G56" s="292"/>
      <c r="H56" s="292"/>
      <c r="I56" s="292"/>
      <c r="J56" s="292"/>
      <c r="K56" s="292"/>
      <c r="L56" s="292"/>
      <c r="M56" s="292"/>
      <c r="N56" s="292"/>
      <c r="O56" s="292"/>
      <c r="P56" s="292"/>
      <c r="Q56" s="292"/>
      <c r="R56" s="329"/>
      <c r="S56" s="329"/>
      <c r="T56" s="330">
        <v>41562</v>
      </c>
      <c r="U56" s="288"/>
      <c r="V56" s="5"/>
    </row>
    <row r="57" spans="1:23" ht="15.6" x14ac:dyDescent="0.3">
      <c r="A57" s="284"/>
      <c r="B57" s="285" t="s">
        <v>127</v>
      </c>
      <c r="C57" s="285"/>
      <c r="D57" s="285"/>
      <c r="E57" s="285"/>
      <c r="F57" s="285"/>
      <c r="G57" s="285"/>
      <c r="H57" s="331"/>
      <c r="I57" s="331"/>
      <c r="J57" s="331"/>
      <c r="K57" s="331"/>
      <c r="L57" s="331"/>
      <c r="M57" s="331"/>
      <c r="N57" s="331"/>
      <c r="O57" s="331"/>
      <c r="P57" s="285">
        <f>+T57-R57+1</f>
        <v>91</v>
      </c>
      <c r="Q57" s="331"/>
      <c r="R57" s="332">
        <v>41379</v>
      </c>
      <c r="S57" s="333"/>
      <c r="T57" s="332">
        <v>41469</v>
      </c>
      <c r="U57" s="288"/>
      <c r="V57" s="5"/>
    </row>
    <row r="58" spans="1:23" ht="15.6" x14ac:dyDescent="0.3">
      <c r="A58" s="284"/>
      <c r="B58" s="285" t="s">
        <v>128</v>
      </c>
      <c r="C58" s="285"/>
      <c r="D58" s="285"/>
      <c r="E58" s="285"/>
      <c r="F58" s="285"/>
      <c r="G58" s="285"/>
      <c r="H58" s="285"/>
      <c r="I58" s="285"/>
      <c r="J58" s="285"/>
      <c r="K58" s="285"/>
      <c r="L58" s="285"/>
      <c r="M58" s="285"/>
      <c r="N58" s="285"/>
      <c r="O58" s="285"/>
      <c r="P58" s="285">
        <f>+T58-R58+1</f>
        <v>92</v>
      </c>
      <c r="Q58" s="285"/>
      <c r="R58" s="332">
        <v>41470</v>
      </c>
      <c r="S58" s="333"/>
      <c r="T58" s="332">
        <v>41561</v>
      </c>
      <c r="U58" s="288"/>
      <c r="V58" s="5"/>
    </row>
    <row r="59" spans="1:23" ht="15.6" x14ac:dyDescent="0.3">
      <c r="A59" s="284"/>
      <c r="B59" s="285" t="s">
        <v>209</v>
      </c>
      <c r="C59" s="285"/>
      <c r="D59" s="285"/>
      <c r="E59" s="285"/>
      <c r="F59" s="285"/>
      <c r="G59" s="285"/>
      <c r="H59" s="285"/>
      <c r="I59" s="285"/>
      <c r="J59" s="285"/>
      <c r="K59" s="285"/>
      <c r="L59" s="285"/>
      <c r="M59" s="285"/>
      <c r="N59" s="285"/>
      <c r="O59" s="285"/>
      <c r="P59" s="285"/>
      <c r="Q59" s="285"/>
      <c r="R59" s="332"/>
      <c r="S59" s="333"/>
      <c r="T59" s="332" t="s">
        <v>126</v>
      </c>
      <c r="U59" s="288"/>
      <c r="V59" s="5"/>
    </row>
    <row r="60" spans="1:23" ht="15.6" x14ac:dyDescent="0.3">
      <c r="A60" s="284"/>
      <c r="B60" s="285" t="s">
        <v>249</v>
      </c>
      <c r="C60" s="285"/>
      <c r="D60" s="285"/>
      <c r="E60" s="285"/>
      <c r="F60" s="285"/>
      <c r="G60" s="285"/>
      <c r="H60" s="285"/>
      <c r="I60" s="285"/>
      <c r="J60" s="285"/>
      <c r="K60" s="285"/>
      <c r="L60" s="285"/>
      <c r="M60" s="285"/>
      <c r="N60" s="285"/>
      <c r="O60" s="285"/>
      <c r="P60" s="285"/>
      <c r="Q60" s="285"/>
      <c r="R60" s="332"/>
      <c r="S60" s="333"/>
      <c r="T60" s="332" t="s">
        <v>160</v>
      </c>
      <c r="U60" s="288"/>
      <c r="V60" s="5"/>
      <c r="W60" s="134"/>
    </row>
    <row r="61" spans="1:23" ht="15.6" x14ac:dyDescent="0.3">
      <c r="A61" s="284"/>
      <c r="B61" s="285" t="s">
        <v>16</v>
      </c>
      <c r="C61" s="285"/>
      <c r="D61" s="285"/>
      <c r="E61" s="285"/>
      <c r="F61" s="285"/>
      <c r="G61" s="285"/>
      <c r="H61" s="285"/>
      <c r="I61" s="285"/>
      <c r="J61" s="285"/>
      <c r="K61" s="285"/>
      <c r="L61" s="285"/>
      <c r="M61" s="285"/>
      <c r="N61" s="285"/>
      <c r="O61" s="285"/>
      <c r="P61" s="285"/>
      <c r="Q61" s="285"/>
      <c r="R61" s="332"/>
      <c r="S61" s="333"/>
      <c r="T61" s="332">
        <v>41548</v>
      </c>
      <c r="U61" s="288"/>
      <c r="V61" s="5"/>
    </row>
    <row r="62" spans="1:23" ht="15.6" x14ac:dyDescent="0.3">
      <c r="A62" s="175"/>
      <c r="B62" s="281"/>
      <c r="C62" s="281"/>
      <c r="D62" s="281"/>
      <c r="E62" s="281"/>
      <c r="F62" s="281"/>
      <c r="G62" s="281"/>
      <c r="H62" s="281"/>
      <c r="I62" s="281"/>
      <c r="J62" s="281"/>
      <c r="K62" s="281"/>
      <c r="L62" s="281"/>
      <c r="M62" s="281"/>
      <c r="N62" s="281"/>
      <c r="O62" s="281"/>
      <c r="P62" s="281"/>
      <c r="Q62" s="281"/>
      <c r="R62" s="282"/>
      <c r="S62" s="283"/>
      <c r="T62" s="282"/>
      <c r="U62" s="281"/>
      <c r="V62" s="5"/>
    </row>
    <row r="63" spans="1:23" ht="15.6" x14ac:dyDescent="0.3">
      <c r="A63" s="175"/>
      <c r="B63" s="231"/>
      <c r="C63" s="231"/>
      <c r="D63" s="231"/>
      <c r="E63" s="231"/>
      <c r="F63" s="231"/>
      <c r="G63" s="231"/>
      <c r="H63" s="231"/>
      <c r="I63" s="231"/>
      <c r="J63" s="231"/>
      <c r="K63" s="231"/>
      <c r="L63" s="231"/>
      <c r="M63" s="231"/>
      <c r="N63" s="231"/>
      <c r="O63" s="231"/>
      <c r="P63" s="231"/>
      <c r="Q63" s="231"/>
      <c r="R63" s="244"/>
      <c r="S63" s="245"/>
      <c r="T63" s="244"/>
      <c r="U63" s="231"/>
      <c r="V63" s="5"/>
    </row>
    <row r="64" spans="1:23" ht="18" thickBot="1" x14ac:dyDescent="0.35">
      <c r="A64" s="192"/>
      <c r="B64" s="246" t="s">
        <v>319</v>
      </c>
      <c r="C64" s="247"/>
      <c r="D64" s="247"/>
      <c r="E64" s="247"/>
      <c r="F64" s="247"/>
      <c r="G64" s="247"/>
      <c r="H64" s="247"/>
      <c r="I64" s="247"/>
      <c r="J64" s="247"/>
      <c r="K64" s="247"/>
      <c r="L64" s="247"/>
      <c r="M64" s="247"/>
      <c r="N64" s="247"/>
      <c r="O64" s="247"/>
      <c r="P64" s="247"/>
      <c r="Q64" s="247"/>
      <c r="R64" s="247"/>
      <c r="S64" s="247"/>
      <c r="T64" s="248"/>
      <c r="U64" s="249"/>
      <c r="V64" s="5"/>
    </row>
    <row r="65" spans="1:22" ht="15.6" x14ac:dyDescent="0.3">
      <c r="A65" s="222"/>
      <c r="B65" s="395" t="s">
        <v>17</v>
      </c>
      <c r="C65" s="223"/>
      <c r="D65" s="223"/>
      <c r="E65" s="223"/>
      <c r="F65" s="223"/>
      <c r="G65" s="223"/>
      <c r="H65" s="223"/>
      <c r="I65" s="223"/>
      <c r="J65" s="223"/>
      <c r="K65" s="223"/>
      <c r="L65" s="223"/>
      <c r="M65" s="223"/>
      <c r="N65" s="223"/>
      <c r="O65" s="223"/>
      <c r="P65" s="223"/>
      <c r="Q65" s="223"/>
      <c r="R65" s="223"/>
      <c r="S65" s="223"/>
      <c r="T65" s="250"/>
      <c r="U65" s="223"/>
      <c r="V65" s="5"/>
    </row>
    <row r="66" spans="1:22" ht="15.6" x14ac:dyDescent="0.3">
      <c r="A66" s="175"/>
      <c r="B66" s="183"/>
      <c r="C66" s="177"/>
      <c r="D66" s="177"/>
      <c r="E66" s="177"/>
      <c r="F66" s="177"/>
      <c r="G66" s="177"/>
      <c r="H66" s="177"/>
      <c r="I66" s="177"/>
      <c r="J66" s="177"/>
      <c r="K66" s="177"/>
      <c r="L66" s="177"/>
      <c r="M66" s="177"/>
      <c r="N66" s="177"/>
      <c r="O66" s="177"/>
      <c r="P66" s="177"/>
      <c r="Q66" s="177"/>
      <c r="R66" s="177"/>
      <c r="S66" s="177"/>
      <c r="T66" s="194"/>
      <c r="U66" s="177"/>
      <c r="V66" s="5"/>
    </row>
    <row r="67" spans="1:22" ht="46.8" x14ac:dyDescent="0.3">
      <c r="A67" s="175"/>
      <c r="B67" s="195" t="s">
        <v>18</v>
      </c>
      <c r="C67" s="196"/>
      <c r="D67" s="196"/>
      <c r="E67" s="196"/>
      <c r="F67" s="196"/>
      <c r="G67" s="196"/>
      <c r="H67" s="196"/>
      <c r="I67" s="196"/>
      <c r="J67" s="196" t="s">
        <v>97</v>
      </c>
      <c r="K67" s="196"/>
      <c r="L67" s="196" t="s">
        <v>99</v>
      </c>
      <c r="M67" s="196"/>
      <c r="N67" s="196" t="s">
        <v>101</v>
      </c>
      <c r="O67" s="196"/>
      <c r="P67" s="196" t="s">
        <v>103</v>
      </c>
      <c r="Q67" s="196"/>
      <c r="R67" s="196" t="s">
        <v>110</v>
      </c>
      <c r="S67" s="196"/>
      <c r="T67" s="197" t="s">
        <v>118</v>
      </c>
      <c r="U67" s="198"/>
      <c r="V67" s="5"/>
    </row>
    <row r="68" spans="1:22" ht="15.6" x14ac:dyDescent="0.3">
      <c r="A68" s="337"/>
      <c r="B68" s="285" t="s">
        <v>19</v>
      </c>
      <c r="C68" s="338"/>
      <c r="D68" s="338"/>
      <c r="E68" s="338"/>
      <c r="F68" s="338"/>
      <c r="G68" s="338"/>
      <c r="H68" s="338"/>
      <c r="I68" s="338"/>
      <c r="J68" s="338">
        <v>1000039</v>
      </c>
      <c r="K68" s="338"/>
      <c r="L68" s="339">
        <v>544790</v>
      </c>
      <c r="M68" s="338"/>
      <c r="N68" s="338">
        <f>4220+62+118-1</f>
        <v>4399</v>
      </c>
      <c r="O68" s="338"/>
      <c r="P68" s="338">
        <f>62+118</f>
        <v>180</v>
      </c>
      <c r="Q68" s="338"/>
      <c r="R68" s="338">
        <v>0</v>
      </c>
      <c r="S68" s="338"/>
      <c r="T68" s="339">
        <f>+L68-N68+P68-R68</f>
        <v>540571</v>
      </c>
      <c r="U68" s="288"/>
      <c r="V68" s="5"/>
    </row>
    <row r="69" spans="1:22" ht="15.6" x14ac:dyDescent="0.3">
      <c r="A69" s="337"/>
      <c r="B69" s="285" t="s">
        <v>20</v>
      </c>
      <c r="C69" s="338"/>
      <c r="D69" s="338"/>
      <c r="E69" s="338"/>
      <c r="F69" s="338"/>
      <c r="G69" s="338"/>
      <c r="H69" s="338"/>
      <c r="I69" s="338"/>
      <c r="J69" s="338">
        <v>10</v>
      </c>
      <c r="K69" s="338"/>
      <c r="L69" s="339">
        <v>0</v>
      </c>
      <c r="M69" s="338"/>
      <c r="N69" s="338">
        <v>0</v>
      </c>
      <c r="O69" s="338"/>
      <c r="P69" s="338">
        <v>0</v>
      </c>
      <c r="Q69" s="338"/>
      <c r="R69" s="338">
        <v>0</v>
      </c>
      <c r="S69" s="338"/>
      <c r="T69" s="339">
        <v>0</v>
      </c>
      <c r="U69" s="288"/>
      <c r="V69" s="5"/>
    </row>
    <row r="70" spans="1:22" ht="15.6" x14ac:dyDescent="0.3">
      <c r="A70" s="337"/>
      <c r="B70" s="285"/>
      <c r="C70" s="338"/>
      <c r="D70" s="338"/>
      <c r="E70" s="338"/>
      <c r="F70" s="338"/>
      <c r="G70" s="338"/>
      <c r="H70" s="338"/>
      <c r="I70" s="338"/>
      <c r="J70" s="338"/>
      <c r="K70" s="338"/>
      <c r="L70" s="339"/>
      <c r="M70" s="338"/>
      <c r="N70" s="338"/>
      <c r="O70" s="338"/>
      <c r="P70" s="338"/>
      <c r="Q70" s="338"/>
      <c r="R70" s="338"/>
      <c r="S70" s="338"/>
      <c r="T70" s="339"/>
      <c r="U70" s="288"/>
      <c r="V70" s="5"/>
    </row>
    <row r="71" spans="1:22" ht="15.6" x14ac:dyDescent="0.3">
      <c r="A71" s="337"/>
      <c r="B71" s="285" t="s">
        <v>21</v>
      </c>
      <c r="C71" s="338"/>
      <c r="D71" s="338"/>
      <c r="E71" s="338"/>
      <c r="F71" s="338"/>
      <c r="G71" s="338"/>
      <c r="H71" s="338"/>
      <c r="I71" s="338"/>
      <c r="J71" s="338">
        <f>SUM(J68:J70)</f>
        <v>1000049</v>
      </c>
      <c r="K71" s="338"/>
      <c r="L71" s="338">
        <f>L68+L69</f>
        <v>544790</v>
      </c>
      <c r="M71" s="338"/>
      <c r="N71" s="338">
        <f>SUM(N68:N70)</f>
        <v>4399</v>
      </c>
      <c r="O71" s="338"/>
      <c r="P71" s="338">
        <f>SUM(P68:P70)</f>
        <v>180</v>
      </c>
      <c r="Q71" s="338"/>
      <c r="R71" s="338">
        <f>SUM(R68:R70)</f>
        <v>0</v>
      </c>
      <c r="S71" s="338"/>
      <c r="T71" s="338">
        <f>SUM(T68:T70)</f>
        <v>540571</v>
      </c>
      <c r="U71" s="288"/>
      <c r="V71" s="5"/>
    </row>
    <row r="72" spans="1:22" ht="15.6" x14ac:dyDescent="0.3">
      <c r="A72" s="175"/>
      <c r="B72" s="334"/>
      <c r="C72" s="335"/>
      <c r="D72" s="335"/>
      <c r="E72" s="335"/>
      <c r="F72" s="335"/>
      <c r="G72" s="335"/>
      <c r="H72" s="335"/>
      <c r="I72" s="335"/>
      <c r="J72" s="335"/>
      <c r="K72" s="335"/>
      <c r="L72" s="335"/>
      <c r="M72" s="335"/>
      <c r="N72" s="335"/>
      <c r="O72" s="335"/>
      <c r="P72" s="335"/>
      <c r="Q72" s="335"/>
      <c r="R72" s="335"/>
      <c r="S72" s="335"/>
      <c r="T72" s="336"/>
      <c r="U72" s="334"/>
      <c r="V72" s="5"/>
    </row>
    <row r="73" spans="1:22" ht="15.6" x14ac:dyDescent="0.3">
      <c r="A73" s="175"/>
      <c r="B73" s="179" t="s">
        <v>22</v>
      </c>
      <c r="C73" s="199"/>
      <c r="D73" s="199"/>
      <c r="E73" s="199"/>
      <c r="F73" s="199"/>
      <c r="G73" s="199"/>
      <c r="H73" s="199"/>
      <c r="I73" s="199"/>
      <c r="J73" s="199"/>
      <c r="K73" s="199"/>
      <c r="L73" s="199"/>
      <c r="M73" s="199"/>
      <c r="N73" s="199"/>
      <c r="O73" s="199"/>
      <c r="P73" s="199"/>
      <c r="Q73" s="199"/>
      <c r="R73" s="199"/>
      <c r="S73" s="199"/>
      <c r="T73" s="200"/>
      <c r="U73" s="177"/>
      <c r="V73" s="5"/>
    </row>
    <row r="74" spans="1:22" ht="15.6" x14ac:dyDescent="0.3">
      <c r="A74" s="175"/>
      <c r="B74" s="177"/>
      <c r="C74" s="199"/>
      <c r="D74" s="199"/>
      <c r="E74" s="199"/>
      <c r="F74" s="199"/>
      <c r="G74" s="199"/>
      <c r="H74" s="199"/>
      <c r="I74" s="199"/>
      <c r="J74" s="199"/>
      <c r="K74" s="199"/>
      <c r="L74" s="199"/>
      <c r="M74" s="199"/>
      <c r="N74" s="199"/>
      <c r="O74" s="199"/>
      <c r="P74" s="199"/>
      <c r="Q74" s="199"/>
      <c r="R74" s="199"/>
      <c r="S74" s="199"/>
      <c r="T74" s="200"/>
      <c r="U74" s="177"/>
      <c r="V74" s="5"/>
    </row>
    <row r="75" spans="1:22" ht="15.6" x14ac:dyDescent="0.3">
      <c r="A75" s="284"/>
      <c r="B75" s="285" t="s">
        <v>19</v>
      </c>
      <c r="C75" s="338"/>
      <c r="D75" s="338"/>
      <c r="E75" s="338"/>
      <c r="F75" s="338"/>
      <c r="G75" s="338"/>
      <c r="H75" s="338"/>
      <c r="I75" s="338"/>
      <c r="J75" s="338"/>
      <c r="K75" s="338"/>
      <c r="L75" s="338"/>
      <c r="M75" s="338"/>
      <c r="N75" s="338"/>
      <c r="O75" s="338"/>
      <c r="P75" s="338"/>
      <c r="Q75" s="338"/>
      <c r="R75" s="338"/>
      <c r="S75" s="338"/>
      <c r="T75" s="338"/>
      <c r="U75" s="288"/>
      <c r="V75" s="5"/>
    </row>
    <row r="76" spans="1:22" ht="15.6" x14ac:dyDescent="0.3">
      <c r="A76" s="284"/>
      <c r="B76" s="285" t="s">
        <v>20</v>
      </c>
      <c r="C76" s="338"/>
      <c r="D76" s="338"/>
      <c r="E76" s="338"/>
      <c r="F76" s="338"/>
      <c r="G76" s="338"/>
      <c r="H76" s="338"/>
      <c r="I76" s="338"/>
      <c r="J76" s="338"/>
      <c r="K76" s="338"/>
      <c r="L76" s="338"/>
      <c r="M76" s="338"/>
      <c r="N76" s="338"/>
      <c r="O76" s="338"/>
      <c r="P76" s="338"/>
      <c r="Q76" s="338"/>
      <c r="R76" s="338"/>
      <c r="S76" s="338"/>
      <c r="T76" s="338"/>
      <c r="U76" s="288"/>
      <c r="V76" s="5"/>
    </row>
    <row r="77" spans="1:22" ht="15.6" x14ac:dyDescent="0.3">
      <c r="A77" s="284"/>
      <c r="B77" s="285"/>
      <c r="C77" s="338"/>
      <c r="D77" s="338"/>
      <c r="E77" s="338"/>
      <c r="F77" s="338"/>
      <c r="G77" s="338"/>
      <c r="H77" s="338"/>
      <c r="I77" s="338"/>
      <c r="J77" s="338"/>
      <c r="K77" s="338"/>
      <c r="L77" s="338"/>
      <c r="M77" s="338"/>
      <c r="N77" s="338"/>
      <c r="O77" s="338"/>
      <c r="P77" s="338"/>
      <c r="Q77" s="338"/>
      <c r="R77" s="338"/>
      <c r="S77" s="338"/>
      <c r="T77" s="338"/>
      <c r="U77" s="288"/>
      <c r="V77" s="5"/>
    </row>
    <row r="78" spans="1:22" ht="15.6" x14ac:dyDescent="0.3">
      <c r="A78" s="284"/>
      <c r="B78" s="285" t="s">
        <v>21</v>
      </c>
      <c r="C78" s="338"/>
      <c r="D78" s="338"/>
      <c r="E78" s="338"/>
      <c r="F78" s="338"/>
      <c r="G78" s="338"/>
      <c r="H78" s="338"/>
      <c r="I78" s="338"/>
      <c r="J78" s="338"/>
      <c r="K78" s="338"/>
      <c r="L78" s="338"/>
      <c r="M78" s="338"/>
      <c r="N78" s="338"/>
      <c r="O78" s="338"/>
      <c r="P78" s="338"/>
      <c r="Q78" s="338"/>
      <c r="R78" s="338"/>
      <c r="S78" s="338"/>
      <c r="T78" s="338"/>
      <c r="U78" s="288"/>
      <c r="V78" s="5"/>
    </row>
    <row r="79" spans="1:22" ht="15.6" x14ac:dyDescent="0.3">
      <c r="A79" s="284"/>
      <c r="B79" s="285"/>
      <c r="C79" s="338"/>
      <c r="D79" s="338"/>
      <c r="E79" s="338"/>
      <c r="F79" s="338"/>
      <c r="G79" s="338"/>
      <c r="H79" s="338"/>
      <c r="I79" s="338"/>
      <c r="J79" s="338"/>
      <c r="K79" s="338"/>
      <c r="L79" s="338"/>
      <c r="M79" s="338"/>
      <c r="N79" s="338"/>
      <c r="O79" s="338"/>
      <c r="P79" s="338"/>
      <c r="Q79" s="338"/>
      <c r="R79" s="338"/>
      <c r="S79" s="338"/>
      <c r="T79" s="338"/>
      <c r="U79" s="288"/>
      <c r="V79" s="5"/>
    </row>
    <row r="80" spans="1:22" ht="15.6" x14ac:dyDescent="0.3">
      <c r="A80" s="284"/>
      <c r="B80" s="285" t="s">
        <v>23</v>
      </c>
      <c r="C80" s="338"/>
      <c r="D80" s="338"/>
      <c r="E80" s="338"/>
      <c r="F80" s="338"/>
      <c r="G80" s="338"/>
      <c r="H80" s="338"/>
      <c r="I80" s="338"/>
      <c r="J80" s="338">
        <v>0</v>
      </c>
      <c r="K80" s="338"/>
      <c r="L80" s="338">
        <v>0</v>
      </c>
      <c r="M80" s="338"/>
      <c r="N80" s="338"/>
      <c r="O80" s="338"/>
      <c r="P80" s="338"/>
      <c r="Q80" s="338"/>
      <c r="R80" s="338"/>
      <c r="S80" s="338"/>
      <c r="T80" s="339">
        <v>0</v>
      </c>
      <c r="U80" s="288"/>
      <c r="V80" s="5"/>
    </row>
    <row r="81" spans="1:22" ht="15.6" x14ac:dyDescent="0.3">
      <c r="A81" s="284"/>
      <c r="B81" s="285" t="s">
        <v>123</v>
      </c>
      <c r="C81" s="338"/>
      <c r="D81" s="338"/>
      <c r="E81" s="338"/>
      <c r="F81" s="338"/>
      <c r="G81" s="338"/>
      <c r="H81" s="338"/>
      <c r="I81" s="338"/>
      <c r="J81" s="338">
        <v>0</v>
      </c>
      <c r="K81" s="338"/>
      <c r="L81" s="338">
        <v>0</v>
      </c>
      <c r="M81" s="338"/>
      <c r="N81" s="338"/>
      <c r="O81" s="338"/>
      <c r="P81" s="338"/>
      <c r="Q81" s="338"/>
      <c r="R81" s="338"/>
      <c r="S81" s="338"/>
      <c r="T81" s="338">
        <f>SUM(J81:P81)</f>
        <v>0</v>
      </c>
      <c r="U81" s="288"/>
      <c r="V81" s="5"/>
    </row>
    <row r="82" spans="1:22" ht="15.6" x14ac:dyDescent="0.3">
      <c r="A82" s="284"/>
      <c r="B82" s="285" t="s">
        <v>152</v>
      </c>
      <c r="C82" s="338"/>
      <c r="D82" s="338"/>
      <c r="E82" s="338"/>
      <c r="F82" s="338"/>
      <c r="G82" s="338"/>
      <c r="H82" s="338"/>
      <c r="I82" s="338"/>
      <c r="J82" s="338">
        <v>1</v>
      </c>
      <c r="K82" s="338"/>
      <c r="L82" s="338">
        <v>0</v>
      </c>
      <c r="M82" s="338"/>
      <c r="N82" s="338">
        <v>0</v>
      </c>
      <c r="O82" s="338"/>
      <c r="P82" s="338"/>
      <c r="Q82" s="338"/>
      <c r="R82" s="338"/>
      <c r="S82" s="338"/>
      <c r="T82" s="338">
        <f>+L82+N82</f>
        <v>0</v>
      </c>
      <c r="U82" s="288"/>
      <c r="V82" s="5"/>
    </row>
    <row r="83" spans="1:22" ht="15.6" x14ac:dyDescent="0.3">
      <c r="A83" s="284"/>
      <c r="B83" s="285" t="s">
        <v>25</v>
      </c>
      <c r="C83" s="338"/>
      <c r="D83" s="338"/>
      <c r="E83" s="338"/>
      <c r="F83" s="338"/>
      <c r="G83" s="338"/>
      <c r="H83" s="338"/>
      <c r="I83" s="338"/>
      <c r="J83" s="338">
        <v>0</v>
      </c>
      <c r="K83" s="338"/>
      <c r="L83" s="338">
        <v>0</v>
      </c>
      <c r="M83" s="338"/>
      <c r="N83" s="338"/>
      <c r="O83" s="338"/>
      <c r="P83" s="338"/>
      <c r="Q83" s="338"/>
      <c r="R83" s="338"/>
      <c r="S83" s="338"/>
      <c r="T83" s="338">
        <v>0</v>
      </c>
      <c r="U83" s="288"/>
      <c r="V83" s="5"/>
    </row>
    <row r="84" spans="1:22" ht="15.6" x14ac:dyDescent="0.3">
      <c r="A84" s="284"/>
      <c r="B84" s="285" t="s">
        <v>26</v>
      </c>
      <c r="C84" s="338"/>
      <c r="D84" s="338"/>
      <c r="E84" s="338"/>
      <c r="F84" s="338"/>
      <c r="G84" s="338"/>
      <c r="H84" s="338"/>
      <c r="I84" s="338"/>
      <c r="J84" s="338">
        <f>SUM(J71:J83)</f>
        <v>1000050</v>
      </c>
      <c r="K84" s="338"/>
      <c r="L84" s="338">
        <f>SUM(L71:L83)</f>
        <v>544790</v>
      </c>
      <c r="M84" s="338"/>
      <c r="N84" s="338"/>
      <c r="O84" s="338"/>
      <c r="P84" s="338"/>
      <c r="Q84" s="338"/>
      <c r="R84" s="338"/>
      <c r="S84" s="338"/>
      <c r="T84" s="338">
        <f>SUM(T71:T83)</f>
        <v>540571</v>
      </c>
      <c r="U84" s="288"/>
      <c r="V84" s="5"/>
    </row>
    <row r="85" spans="1:22" ht="15.6" x14ac:dyDescent="0.3">
      <c r="A85" s="175"/>
      <c r="B85" s="334"/>
      <c r="C85" s="335"/>
      <c r="D85" s="335"/>
      <c r="E85" s="335"/>
      <c r="F85" s="335"/>
      <c r="G85" s="335"/>
      <c r="H85" s="335"/>
      <c r="I85" s="335"/>
      <c r="J85" s="335"/>
      <c r="K85" s="335"/>
      <c r="L85" s="335"/>
      <c r="M85" s="335"/>
      <c r="N85" s="335"/>
      <c r="O85" s="335"/>
      <c r="P85" s="335"/>
      <c r="Q85" s="335"/>
      <c r="R85" s="335"/>
      <c r="S85" s="335"/>
      <c r="T85" s="336"/>
      <c r="U85" s="334"/>
      <c r="V85" s="5"/>
    </row>
    <row r="86" spans="1:22" ht="15.6" x14ac:dyDescent="0.3">
      <c r="A86" s="175"/>
      <c r="B86" s="177"/>
      <c r="C86" s="177"/>
      <c r="D86" s="177"/>
      <c r="E86" s="177"/>
      <c r="F86" s="177"/>
      <c r="G86" s="177"/>
      <c r="H86" s="177"/>
      <c r="I86" s="177"/>
      <c r="J86" s="177"/>
      <c r="K86" s="177"/>
      <c r="L86" s="177"/>
      <c r="M86" s="177"/>
      <c r="N86" s="177"/>
      <c r="O86" s="177"/>
      <c r="P86" s="177"/>
      <c r="Q86" s="177"/>
      <c r="R86" s="177"/>
      <c r="S86" s="177"/>
      <c r="T86" s="177"/>
      <c r="U86" s="177"/>
      <c r="V86" s="5"/>
    </row>
    <row r="87" spans="1:22" ht="15.6" x14ac:dyDescent="0.3">
      <c r="A87" s="222"/>
      <c r="B87" s="395" t="s">
        <v>27</v>
      </c>
      <c r="C87" s="395"/>
      <c r="D87" s="395"/>
      <c r="E87" s="395"/>
      <c r="F87" s="395"/>
      <c r="G87" s="395"/>
      <c r="H87" s="396"/>
      <c r="I87" s="396"/>
      <c r="J87" s="397" t="s">
        <v>98</v>
      </c>
      <c r="K87" s="396"/>
      <c r="L87" s="398">
        <f>+R194</f>
        <v>41547</v>
      </c>
      <c r="M87" s="396"/>
      <c r="N87" s="396"/>
      <c r="O87" s="396"/>
      <c r="P87" s="396"/>
      <c r="Q87" s="396"/>
      <c r="R87" s="396" t="s">
        <v>111</v>
      </c>
      <c r="S87" s="396"/>
      <c r="T87" s="396" t="s">
        <v>119</v>
      </c>
      <c r="U87" s="223"/>
      <c r="V87" s="5"/>
    </row>
    <row r="88" spans="1:22" ht="15.6" x14ac:dyDescent="0.3">
      <c r="A88" s="190"/>
      <c r="B88" s="239" t="s">
        <v>28</v>
      </c>
      <c r="C88" s="239"/>
      <c r="D88" s="239"/>
      <c r="E88" s="239"/>
      <c r="F88" s="239"/>
      <c r="G88" s="239"/>
      <c r="H88" s="239"/>
      <c r="I88" s="239"/>
      <c r="J88" s="239"/>
      <c r="K88" s="239"/>
      <c r="L88" s="239"/>
      <c r="M88" s="239"/>
      <c r="N88" s="239"/>
      <c r="O88" s="239"/>
      <c r="P88" s="239"/>
      <c r="Q88" s="239"/>
      <c r="R88" s="243">
        <v>0</v>
      </c>
      <c r="S88" s="239"/>
      <c r="T88" s="251">
        <v>0</v>
      </c>
      <c r="U88" s="239"/>
      <c r="V88" s="5"/>
    </row>
    <row r="89" spans="1:22" ht="15.6" x14ac:dyDescent="0.3">
      <c r="A89" s="284"/>
      <c r="B89" s="285" t="s">
        <v>29</v>
      </c>
      <c r="C89" s="285"/>
      <c r="D89" s="285"/>
      <c r="E89" s="285"/>
      <c r="F89" s="285"/>
      <c r="G89" s="285"/>
      <c r="H89" s="324"/>
      <c r="I89" s="341"/>
      <c r="J89" s="324"/>
      <c r="K89" s="285"/>
      <c r="L89" s="342"/>
      <c r="M89" s="285"/>
      <c r="N89" s="285"/>
      <c r="O89" s="285"/>
      <c r="P89" s="285"/>
      <c r="Q89" s="285"/>
      <c r="R89" s="338">
        <f>4399-333</f>
        <v>4066</v>
      </c>
      <c r="S89" s="285"/>
      <c r="T89" s="339"/>
      <c r="U89" s="288"/>
      <c r="V89" s="5"/>
    </row>
    <row r="90" spans="1:22" ht="15.6" x14ac:dyDescent="0.3">
      <c r="A90" s="284"/>
      <c r="B90" s="285" t="s">
        <v>225</v>
      </c>
      <c r="C90" s="285"/>
      <c r="D90" s="285"/>
      <c r="E90" s="285"/>
      <c r="F90" s="285"/>
      <c r="G90" s="285"/>
      <c r="H90" s="324"/>
      <c r="I90" s="341"/>
      <c r="J90" s="324"/>
      <c r="K90" s="285"/>
      <c r="L90" s="342"/>
      <c r="M90" s="285"/>
      <c r="N90" s="285"/>
      <c r="O90" s="285"/>
      <c r="P90" s="285"/>
      <c r="Q90" s="285"/>
      <c r="R90" s="338"/>
      <c r="S90" s="285"/>
      <c r="T90" s="339">
        <f>1844+2118-458-321</f>
        <v>3183</v>
      </c>
      <c r="U90" s="288"/>
      <c r="V90" s="5"/>
    </row>
    <row r="91" spans="1:22" ht="15.6" x14ac:dyDescent="0.3">
      <c r="A91" s="284"/>
      <c r="B91" s="285" t="s">
        <v>220</v>
      </c>
      <c r="C91" s="285"/>
      <c r="D91" s="285"/>
      <c r="E91" s="285"/>
      <c r="F91" s="285"/>
      <c r="G91" s="285"/>
      <c r="H91" s="324"/>
      <c r="I91" s="341"/>
      <c r="J91" s="324"/>
      <c r="K91" s="285"/>
      <c r="L91" s="342"/>
      <c r="M91" s="285"/>
      <c r="N91" s="285"/>
      <c r="O91" s="285"/>
      <c r="P91" s="285"/>
      <c r="Q91" s="285"/>
      <c r="R91" s="338"/>
      <c r="S91" s="285"/>
      <c r="T91" s="339">
        <f>100+74</f>
        <v>174</v>
      </c>
      <c r="U91" s="288"/>
      <c r="V91" s="5"/>
    </row>
    <row r="92" spans="1:22" ht="15.6" x14ac:dyDescent="0.3">
      <c r="A92" s="284"/>
      <c r="B92" s="285" t="s">
        <v>221</v>
      </c>
      <c r="C92" s="285"/>
      <c r="D92" s="285"/>
      <c r="E92" s="285"/>
      <c r="F92" s="285"/>
      <c r="G92" s="285"/>
      <c r="H92" s="324"/>
      <c r="I92" s="341"/>
      <c r="J92" s="324"/>
      <c r="K92" s="285"/>
      <c r="L92" s="342"/>
      <c r="M92" s="285"/>
      <c r="N92" s="285"/>
      <c r="O92" s="285"/>
      <c r="P92" s="285"/>
      <c r="Q92" s="285"/>
      <c r="R92" s="338"/>
      <c r="S92" s="285"/>
      <c r="T92" s="339">
        <v>25</v>
      </c>
      <c r="U92" s="288"/>
      <c r="V92" s="5"/>
    </row>
    <row r="93" spans="1:22" ht="15.6" x14ac:dyDescent="0.3">
      <c r="A93" s="284"/>
      <c r="B93" s="285" t="s">
        <v>261</v>
      </c>
      <c r="C93" s="285"/>
      <c r="D93" s="285"/>
      <c r="E93" s="285"/>
      <c r="F93" s="285"/>
      <c r="G93" s="285"/>
      <c r="H93" s="324"/>
      <c r="I93" s="341"/>
      <c r="J93" s="324"/>
      <c r="K93" s="285"/>
      <c r="L93" s="342"/>
      <c r="M93" s="285"/>
      <c r="N93" s="285"/>
      <c r="O93" s="285"/>
      <c r="P93" s="285"/>
      <c r="Q93" s="285"/>
      <c r="R93" s="338"/>
      <c r="S93" s="285"/>
      <c r="T93" s="339">
        <v>0</v>
      </c>
      <c r="U93" s="288"/>
      <c r="V93" s="5"/>
    </row>
    <row r="94" spans="1:22" ht="15.6" x14ac:dyDescent="0.3">
      <c r="A94" s="284"/>
      <c r="B94" s="285" t="s">
        <v>141</v>
      </c>
      <c r="C94" s="285"/>
      <c r="D94" s="285"/>
      <c r="E94" s="285"/>
      <c r="F94" s="285"/>
      <c r="G94" s="285"/>
      <c r="H94" s="285"/>
      <c r="I94" s="285"/>
      <c r="J94" s="285"/>
      <c r="K94" s="285"/>
      <c r="L94" s="285"/>
      <c r="M94" s="285"/>
      <c r="N94" s="285"/>
      <c r="O94" s="285"/>
      <c r="P94" s="285"/>
      <c r="Q94" s="285"/>
      <c r="R94" s="338"/>
      <c r="S94" s="285"/>
      <c r="T94" s="339">
        <v>0</v>
      </c>
      <c r="U94" s="288"/>
      <c r="V94" s="5"/>
    </row>
    <row r="95" spans="1:22" ht="15.6" x14ac:dyDescent="0.3">
      <c r="A95" s="284"/>
      <c r="B95" s="285" t="s">
        <v>250</v>
      </c>
      <c r="C95" s="285"/>
      <c r="D95" s="285"/>
      <c r="E95" s="285"/>
      <c r="F95" s="285"/>
      <c r="G95" s="285"/>
      <c r="H95" s="285"/>
      <c r="I95" s="285"/>
      <c r="J95" s="285"/>
      <c r="K95" s="285"/>
      <c r="L95" s="285"/>
      <c r="M95" s="285"/>
      <c r="N95" s="285"/>
      <c r="O95" s="285"/>
      <c r="P95" s="285"/>
      <c r="Q95" s="285"/>
      <c r="R95" s="338"/>
      <c r="S95" s="285"/>
      <c r="T95" s="339">
        <v>122</v>
      </c>
      <c r="U95" s="288"/>
      <c r="V95" s="5"/>
    </row>
    <row r="96" spans="1:22" ht="15.6" x14ac:dyDescent="0.3">
      <c r="A96" s="284"/>
      <c r="B96" s="285" t="s">
        <v>30</v>
      </c>
      <c r="C96" s="285"/>
      <c r="D96" s="285"/>
      <c r="E96" s="285"/>
      <c r="F96" s="285"/>
      <c r="G96" s="285"/>
      <c r="H96" s="285"/>
      <c r="I96" s="285"/>
      <c r="J96" s="285"/>
      <c r="K96" s="285"/>
      <c r="L96" s="285"/>
      <c r="M96" s="285"/>
      <c r="N96" s="285"/>
      <c r="O96" s="285"/>
      <c r="P96" s="285"/>
      <c r="Q96" s="285"/>
      <c r="R96" s="338">
        <f>SUM(R88:R95)</f>
        <v>4066</v>
      </c>
      <c r="S96" s="285"/>
      <c r="T96" s="338">
        <f>SUM(T88:T95)</f>
        <v>3504</v>
      </c>
      <c r="U96" s="288"/>
      <c r="V96" s="5"/>
    </row>
    <row r="97" spans="1:24" ht="15.6" x14ac:dyDescent="0.3">
      <c r="A97" s="284"/>
      <c r="B97" s="285" t="s">
        <v>168</v>
      </c>
      <c r="C97" s="285"/>
      <c r="D97" s="285"/>
      <c r="E97" s="285"/>
      <c r="F97" s="285"/>
      <c r="G97" s="285"/>
      <c r="H97" s="285"/>
      <c r="I97" s="285"/>
      <c r="J97" s="285"/>
      <c r="K97" s="285"/>
      <c r="L97" s="285"/>
      <c r="M97" s="285"/>
      <c r="N97" s="285"/>
      <c r="O97" s="285"/>
      <c r="P97" s="285"/>
      <c r="Q97" s="285"/>
      <c r="R97" s="338">
        <v>-4</v>
      </c>
      <c r="S97" s="285"/>
      <c r="T97" s="338">
        <f>-R97</f>
        <v>4</v>
      </c>
      <c r="U97" s="288"/>
      <c r="V97" s="5"/>
    </row>
    <row r="98" spans="1:24" ht="15.6" x14ac:dyDescent="0.3">
      <c r="A98" s="284"/>
      <c r="B98" s="285" t="s">
        <v>31</v>
      </c>
      <c r="C98" s="285"/>
      <c r="D98" s="285"/>
      <c r="E98" s="285"/>
      <c r="F98" s="285"/>
      <c r="G98" s="285"/>
      <c r="H98" s="285"/>
      <c r="I98" s="285"/>
      <c r="J98" s="285"/>
      <c r="K98" s="285"/>
      <c r="L98" s="285"/>
      <c r="M98" s="285"/>
      <c r="N98" s="285"/>
      <c r="O98" s="285"/>
      <c r="P98" s="285"/>
      <c r="Q98" s="285"/>
      <c r="R98" s="338">
        <f>-T98</f>
        <v>0</v>
      </c>
      <c r="S98" s="285"/>
      <c r="T98" s="339">
        <v>0</v>
      </c>
      <c r="U98" s="288"/>
      <c r="V98" s="5"/>
    </row>
    <row r="99" spans="1:24" ht="15.6" x14ac:dyDescent="0.3">
      <c r="A99" s="284"/>
      <c r="B99" s="285" t="s">
        <v>273</v>
      </c>
      <c r="C99" s="285"/>
      <c r="D99" s="285"/>
      <c r="E99" s="285"/>
      <c r="F99" s="285"/>
      <c r="G99" s="285"/>
      <c r="H99" s="285"/>
      <c r="I99" s="285"/>
      <c r="J99" s="285"/>
      <c r="K99" s="285"/>
      <c r="L99" s="285"/>
      <c r="M99" s="285"/>
      <c r="N99" s="285"/>
      <c r="O99" s="285"/>
      <c r="P99" s="285"/>
      <c r="Q99" s="285"/>
      <c r="R99" s="338"/>
      <c r="S99" s="285"/>
      <c r="T99" s="339">
        <v>-36</v>
      </c>
      <c r="U99" s="288"/>
      <c r="V99" s="5"/>
    </row>
    <row r="100" spans="1:24" ht="15.6" x14ac:dyDescent="0.3">
      <c r="A100" s="284"/>
      <c r="B100" s="285" t="s">
        <v>32</v>
      </c>
      <c r="C100" s="285"/>
      <c r="D100" s="285"/>
      <c r="E100" s="285"/>
      <c r="F100" s="285"/>
      <c r="G100" s="285"/>
      <c r="H100" s="285"/>
      <c r="I100" s="285"/>
      <c r="J100" s="285"/>
      <c r="K100" s="285"/>
      <c r="L100" s="285"/>
      <c r="M100" s="285"/>
      <c r="N100" s="285"/>
      <c r="O100" s="285"/>
      <c r="P100" s="285"/>
      <c r="Q100" s="285"/>
      <c r="R100" s="338">
        <f>R96+R98+R97</f>
        <v>4062</v>
      </c>
      <c r="S100" s="285"/>
      <c r="T100" s="338">
        <f>T96+T98+T97+T99</f>
        <v>3472</v>
      </c>
      <c r="U100" s="288"/>
      <c r="V100" s="5"/>
    </row>
    <row r="101" spans="1:24" ht="15.6" x14ac:dyDescent="0.3">
      <c r="A101" s="284"/>
      <c r="B101" s="343" t="s">
        <v>33</v>
      </c>
      <c r="C101" s="311"/>
      <c r="D101" s="311"/>
      <c r="E101" s="311"/>
      <c r="F101" s="311"/>
      <c r="G101" s="311"/>
      <c r="H101" s="311"/>
      <c r="I101" s="311"/>
      <c r="J101" s="311"/>
      <c r="K101" s="311"/>
      <c r="L101" s="311"/>
      <c r="M101" s="311"/>
      <c r="N101" s="311"/>
      <c r="O101" s="311"/>
      <c r="P101" s="311"/>
      <c r="Q101" s="311"/>
      <c r="R101" s="344"/>
      <c r="S101" s="311"/>
      <c r="T101" s="345"/>
      <c r="U101" s="317"/>
      <c r="V101" s="5"/>
    </row>
    <row r="102" spans="1:24" ht="15.6" x14ac:dyDescent="0.3">
      <c r="A102" s="337">
        <v>1</v>
      </c>
      <c r="B102" s="285" t="s">
        <v>34</v>
      </c>
      <c r="C102" s="285"/>
      <c r="D102" s="285"/>
      <c r="E102" s="285"/>
      <c r="F102" s="285"/>
      <c r="G102" s="285"/>
      <c r="H102" s="285"/>
      <c r="I102" s="285"/>
      <c r="J102" s="285"/>
      <c r="K102" s="285"/>
      <c r="L102" s="285"/>
      <c r="M102" s="285"/>
      <c r="N102" s="285"/>
      <c r="O102" s="285"/>
      <c r="P102" s="285"/>
      <c r="Q102" s="285"/>
      <c r="R102" s="285"/>
      <c r="S102" s="285"/>
      <c r="T102" s="339">
        <v>0</v>
      </c>
      <c r="U102" s="288"/>
      <c r="V102" s="5"/>
    </row>
    <row r="103" spans="1:24" ht="15.6" x14ac:dyDescent="0.3">
      <c r="A103" s="337">
        <f>+A102+1</f>
        <v>2</v>
      </c>
      <c r="B103" s="285" t="s">
        <v>312</v>
      </c>
      <c r="C103" s="285"/>
      <c r="D103" s="285"/>
      <c r="E103" s="285"/>
      <c r="F103" s="285"/>
      <c r="G103" s="285"/>
      <c r="H103" s="285"/>
      <c r="I103" s="285"/>
      <c r="J103" s="285"/>
      <c r="K103" s="285"/>
      <c r="L103" s="285"/>
      <c r="M103" s="285"/>
      <c r="N103" s="285"/>
      <c r="O103" s="285"/>
      <c r="P103" s="285"/>
      <c r="Q103" s="285"/>
      <c r="R103" s="285"/>
      <c r="S103" s="285"/>
      <c r="T103" s="339">
        <v>-2</v>
      </c>
      <c r="U103" s="288"/>
      <c r="V103" s="5"/>
    </row>
    <row r="104" spans="1:24" ht="15.6" x14ac:dyDescent="0.3">
      <c r="A104" s="337">
        <f>+A103+1</f>
        <v>3</v>
      </c>
      <c r="B104" s="407" t="s">
        <v>314</v>
      </c>
      <c r="C104" s="285"/>
      <c r="D104" s="285"/>
      <c r="E104" s="285"/>
      <c r="F104" s="285"/>
      <c r="G104" s="285"/>
      <c r="H104" s="285"/>
      <c r="I104" s="285"/>
      <c r="J104" s="285"/>
      <c r="K104" s="285"/>
      <c r="L104" s="285"/>
      <c r="M104" s="285"/>
      <c r="N104" s="285"/>
      <c r="O104" s="285"/>
      <c r="P104" s="285"/>
      <c r="Q104" s="285"/>
      <c r="R104" s="285"/>
      <c r="S104" s="285"/>
      <c r="T104" s="339">
        <f>-208-164-7</f>
        <v>-379</v>
      </c>
      <c r="U104" s="288"/>
      <c r="V104" s="5"/>
    </row>
    <row r="105" spans="1:24" ht="15.6" x14ac:dyDescent="0.3">
      <c r="A105" s="337" t="s">
        <v>133</v>
      </c>
      <c r="B105" s="285" t="s">
        <v>122</v>
      </c>
      <c r="C105" s="285"/>
      <c r="D105" s="285"/>
      <c r="E105" s="285"/>
      <c r="F105" s="285"/>
      <c r="G105" s="285"/>
      <c r="H105" s="285"/>
      <c r="I105" s="285"/>
      <c r="J105" s="285"/>
      <c r="K105" s="285"/>
      <c r="L105" s="285"/>
      <c r="M105" s="285"/>
      <c r="N105" s="285"/>
      <c r="O105" s="285"/>
      <c r="P105" s="285"/>
      <c r="Q105" s="285"/>
      <c r="R105" s="285"/>
      <c r="S105" s="285"/>
      <c r="T105" s="339">
        <v>0</v>
      </c>
      <c r="U105" s="288"/>
      <c r="V105" s="5"/>
    </row>
    <row r="106" spans="1:24" ht="15.6" x14ac:dyDescent="0.3">
      <c r="A106" s="337" t="s">
        <v>134</v>
      </c>
      <c r="B106" s="285" t="s">
        <v>194</v>
      </c>
      <c r="C106" s="285"/>
      <c r="D106" s="285"/>
      <c r="E106" s="285"/>
      <c r="F106" s="285"/>
      <c r="G106" s="285"/>
      <c r="H106" s="285"/>
      <c r="I106" s="285"/>
      <c r="J106" s="285"/>
      <c r="K106" s="285"/>
      <c r="L106" s="285"/>
      <c r="M106" s="285"/>
      <c r="N106" s="285"/>
      <c r="O106" s="285"/>
      <c r="P106" s="285"/>
      <c r="Q106" s="285"/>
      <c r="R106" s="285"/>
      <c r="S106" s="285"/>
      <c r="T106" s="339">
        <f>-699+134</f>
        <v>-565</v>
      </c>
      <c r="U106" s="288"/>
      <c r="V106" s="5"/>
      <c r="W106" s="109"/>
    </row>
    <row r="107" spans="1:24" ht="15.6" x14ac:dyDescent="0.3">
      <c r="A107" s="337" t="s">
        <v>156</v>
      </c>
      <c r="B107" s="285" t="s">
        <v>191</v>
      </c>
      <c r="C107" s="285"/>
      <c r="D107" s="285"/>
      <c r="E107" s="285"/>
      <c r="F107" s="285"/>
      <c r="G107" s="285"/>
      <c r="H107" s="285"/>
      <c r="I107" s="285"/>
      <c r="J107" s="285"/>
      <c r="K107" s="285"/>
      <c r="L107" s="285"/>
      <c r="M107" s="285"/>
      <c r="N107" s="285"/>
      <c r="O107" s="285"/>
      <c r="P107" s="285"/>
      <c r="Q107" s="285"/>
      <c r="R107" s="285"/>
      <c r="S107" s="285"/>
      <c r="T107" s="339">
        <v>-134</v>
      </c>
      <c r="U107" s="288"/>
      <c r="V107" s="5"/>
      <c r="W107" s="109"/>
    </row>
    <row r="108" spans="1:24" ht="15.6" x14ac:dyDescent="0.3">
      <c r="A108" s="337" t="s">
        <v>214</v>
      </c>
      <c r="B108" s="285" t="s">
        <v>192</v>
      </c>
      <c r="C108" s="285"/>
      <c r="D108" s="285"/>
      <c r="E108" s="285"/>
      <c r="F108" s="285"/>
      <c r="G108" s="285"/>
      <c r="H108" s="285"/>
      <c r="I108" s="285"/>
      <c r="J108" s="285"/>
      <c r="K108" s="285"/>
      <c r="L108" s="285"/>
      <c r="M108" s="285"/>
      <c r="N108" s="285"/>
      <c r="O108" s="285"/>
      <c r="P108" s="285"/>
      <c r="Q108" s="285"/>
      <c r="R108" s="285"/>
      <c r="S108" s="285"/>
      <c r="T108" s="339">
        <v>-145</v>
      </c>
      <c r="U108" s="288"/>
      <c r="V108" s="5"/>
      <c r="W108" s="109"/>
      <c r="X108" s="109"/>
    </row>
    <row r="109" spans="1:24" ht="15.6" x14ac:dyDescent="0.3">
      <c r="A109" s="337" t="s">
        <v>215</v>
      </c>
      <c r="B109" s="285" t="s">
        <v>193</v>
      </c>
      <c r="C109" s="285"/>
      <c r="D109" s="285"/>
      <c r="E109" s="285"/>
      <c r="F109" s="285"/>
      <c r="G109" s="285"/>
      <c r="H109" s="285"/>
      <c r="I109" s="285"/>
      <c r="J109" s="285"/>
      <c r="K109" s="285"/>
      <c r="L109" s="285"/>
      <c r="M109" s="285"/>
      <c r="N109" s="285"/>
      <c r="O109" s="285"/>
      <c r="P109" s="285"/>
      <c r="Q109" s="285"/>
      <c r="R109" s="285"/>
      <c r="S109" s="285"/>
      <c r="T109" s="339">
        <v>-40</v>
      </c>
      <c r="U109" s="288"/>
      <c r="V109" s="169"/>
      <c r="W109" s="109"/>
    </row>
    <row r="110" spans="1:24" ht="15.6" x14ac:dyDescent="0.3">
      <c r="A110" s="337" t="s">
        <v>216</v>
      </c>
      <c r="B110" s="285" t="s">
        <v>204</v>
      </c>
      <c r="C110" s="285"/>
      <c r="D110" s="285"/>
      <c r="E110" s="285"/>
      <c r="F110" s="285"/>
      <c r="G110" s="285"/>
      <c r="H110" s="285"/>
      <c r="I110" s="285"/>
      <c r="J110" s="285"/>
      <c r="K110" s="285"/>
      <c r="L110" s="285"/>
      <c r="M110" s="285"/>
      <c r="N110" s="285"/>
      <c r="O110" s="285"/>
      <c r="P110" s="285"/>
      <c r="Q110" s="285"/>
      <c r="R110" s="285"/>
      <c r="S110" s="285"/>
      <c r="T110" s="339">
        <v>-225</v>
      </c>
      <c r="U110" s="288"/>
      <c r="V110" s="5"/>
      <c r="W110" s="109"/>
    </row>
    <row r="111" spans="1:24" ht="15.6" x14ac:dyDescent="0.3">
      <c r="A111" s="406">
        <v>7</v>
      </c>
      <c r="B111" s="407" t="s">
        <v>313</v>
      </c>
      <c r="C111" s="407"/>
      <c r="D111" s="407"/>
      <c r="E111" s="407"/>
      <c r="F111" s="407"/>
      <c r="G111" s="285"/>
      <c r="H111" s="285"/>
      <c r="I111" s="285"/>
      <c r="J111" s="285"/>
      <c r="K111" s="285"/>
      <c r="L111" s="285"/>
      <c r="M111" s="285"/>
      <c r="N111" s="285"/>
      <c r="O111" s="285"/>
      <c r="P111" s="285"/>
      <c r="Q111" s="285"/>
      <c r="R111" s="285"/>
      <c r="S111" s="285"/>
      <c r="T111" s="339">
        <v>0</v>
      </c>
      <c r="U111" s="288"/>
      <c r="V111" s="5"/>
      <c r="W111" s="109"/>
    </row>
    <row r="112" spans="1:24" ht="15.6" x14ac:dyDescent="0.3">
      <c r="A112" s="337">
        <f t="shared" ref="A112:A118" si="0">+A111+1</f>
        <v>8</v>
      </c>
      <c r="B112" s="285" t="s">
        <v>35</v>
      </c>
      <c r="C112" s="285"/>
      <c r="D112" s="285"/>
      <c r="E112" s="285"/>
      <c r="F112" s="285"/>
      <c r="G112" s="285"/>
      <c r="H112" s="285"/>
      <c r="I112" s="285"/>
      <c r="J112" s="285"/>
      <c r="K112" s="285"/>
      <c r="L112" s="285"/>
      <c r="M112" s="285"/>
      <c r="N112" s="285"/>
      <c r="O112" s="285"/>
      <c r="P112" s="285"/>
      <c r="Q112" s="285"/>
      <c r="R112" s="285"/>
      <c r="S112" s="285"/>
      <c r="T112" s="339">
        <v>-10</v>
      </c>
      <c r="U112" s="288"/>
      <c r="V112" s="5"/>
    </row>
    <row r="113" spans="1:22" ht="15.6" x14ac:dyDescent="0.3">
      <c r="A113" s="337">
        <f t="shared" si="0"/>
        <v>9</v>
      </c>
      <c r="B113" s="285" t="s">
        <v>46</v>
      </c>
      <c r="C113" s="285"/>
      <c r="D113" s="285"/>
      <c r="E113" s="285"/>
      <c r="F113" s="285"/>
      <c r="G113" s="285"/>
      <c r="H113" s="285"/>
      <c r="I113" s="285"/>
      <c r="J113" s="285"/>
      <c r="K113" s="285"/>
      <c r="L113" s="285"/>
      <c r="M113" s="285"/>
      <c r="N113" s="285"/>
      <c r="O113" s="285"/>
      <c r="P113" s="285"/>
      <c r="Q113" s="285"/>
      <c r="R113" s="338">
        <f>-T113</f>
        <v>333</v>
      </c>
      <c r="S113" s="285"/>
      <c r="T113" s="339">
        <v>-333</v>
      </c>
      <c r="U113" s="288"/>
      <c r="V113" s="5"/>
    </row>
    <row r="114" spans="1:22" ht="15.6" x14ac:dyDescent="0.3">
      <c r="A114" s="337">
        <f t="shared" si="0"/>
        <v>10</v>
      </c>
      <c r="B114" s="285" t="s">
        <v>131</v>
      </c>
      <c r="C114" s="285"/>
      <c r="D114" s="285"/>
      <c r="E114" s="285"/>
      <c r="F114" s="285"/>
      <c r="G114" s="285"/>
      <c r="H114" s="285"/>
      <c r="I114" s="285"/>
      <c r="J114" s="285"/>
      <c r="K114" s="285"/>
      <c r="L114" s="285"/>
      <c r="M114" s="285"/>
      <c r="N114" s="285"/>
      <c r="O114" s="285"/>
      <c r="P114" s="285"/>
      <c r="Q114" s="285"/>
      <c r="R114" s="285"/>
      <c r="S114" s="285"/>
      <c r="T114" s="339">
        <v>0</v>
      </c>
      <c r="U114" s="288"/>
      <c r="V114" s="5"/>
    </row>
    <row r="115" spans="1:22" ht="15.6" x14ac:dyDescent="0.3">
      <c r="A115" s="337">
        <f t="shared" si="0"/>
        <v>11</v>
      </c>
      <c r="B115" s="285" t="s">
        <v>36</v>
      </c>
      <c r="C115" s="285"/>
      <c r="D115" s="285"/>
      <c r="E115" s="285"/>
      <c r="F115" s="285"/>
      <c r="G115" s="285"/>
      <c r="H115" s="285"/>
      <c r="I115" s="285"/>
      <c r="J115" s="285"/>
      <c r="K115" s="285"/>
      <c r="L115" s="285"/>
      <c r="M115" s="285"/>
      <c r="N115" s="285"/>
      <c r="O115" s="285"/>
      <c r="P115" s="285"/>
      <c r="Q115" s="285"/>
      <c r="R115" s="285"/>
      <c r="S115" s="285"/>
      <c r="T115" s="339">
        <v>0</v>
      </c>
      <c r="U115" s="288"/>
      <c r="V115" s="5"/>
    </row>
    <row r="116" spans="1:22" ht="15.6" x14ac:dyDescent="0.3">
      <c r="A116" s="337">
        <f t="shared" si="0"/>
        <v>12</v>
      </c>
      <c r="B116" s="285" t="s">
        <v>37</v>
      </c>
      <c r="C116" s="285"/>
      <c r="D116" s="285"/>
      <c r="E116" s="285"/>
      <c r="F116" s="285"/>
      <c r="G116" s="285"/>
      <c r="H116" s="285"/>
      <c r="I116" s="285"/>
      <c r="J116" s="285"/>
      <c r="K116" s="285"/>
      <c r="L116" s="285"/>
      <c r="M116" s="285"/>
      <c r="N116" s="285"/>
      <c r="O116" s="285"/>
      <c r="P116" s="285"/>
      <c r="Q116" s="285"/>
      <c r="R116" s="285"/>
      <c r="S116" s="285"/>
      <c r="T116" s="339">
        <v>0</v>
      </c>
      <c r="U116" s="288"/>
      <c r="V116" s="5"/>
    </row>
    <row r="117" spans="1:22" ht="15.6" x14ac:dyDescent="0.3">
      <c r="A117" s="337">
        <f t="shared" si="0"/>
        <v>13</v>
      </c>
      <c r="B117" s="285" t="s">
        <v>155</v>
      </c>
      <c r="C117" s="285"/>
      <c r="D117" s="285"/>
      <c r="E117" s="285"/>
      <c r="F117" s="285"/>
      <c r="G117" s="285"/>
      <c r="H117" s="285"/>
      <c r="I117" s="285"/>
      <c r="J117" s="285"/>
      <c r="K117" s="285"/>
      <c r="L117" s="285"/>
      <c r="M117" s="285"/>
      <c r="N117" s="285"/>
      <c r="O117" s="285"/>
      <c r="P117" s="285"/>
      <c r="Q117" s="285"/>
      <c r="R117" s="285"/>
      <c r="S117" s="285"/>
      <c r="T117" s="339">
        <v>-208</v>
      </c>
      <c r="U117" s="288"/>
      <c r="V117" s="5"/>
    </row>
    <row r="118" spans="1:22" ht="15.6" x14ac:dyDescent="0.3">
      <c r="A118" s="337">
        <f t="shared" si="0"/>
        <v>14</v>
      </c>
      <c r="B118" s="285" t="s">
        <v>132</v>
      </c>
      <c r="C118" s="285"/>
      <c r="D118" s="285"/>
      <c r="E118" s="285"/>
      <c r="F118" s="285"/>
      <c r="G118" s="285"/>
      <c r="H118" s="285"/>
      <c r="I118" s="285"/>
      <c r="J118" s="285"/>
      <c r="K118" s="285"/>
      <c r="L118" s="285"/>
      <c r="M118" s="285"/>
      <c r="N118" s="285"/>
      <c r="O118" s="285"/>
      <c r="P118" s="285"/>
      <c r="Q118" s="285"/>
      <c r="R118" s="285"/>
      <c r="S118" s="285"/>
      <c r="T118" s="339">
        <f>-T100-SUM(T102:T117)</f>
        <v>-1431</v>
      </c>
      <c r="U118" s="288"/>
      <c r="V118" s="5"/>
    </row>
    <row r="119" spans="1:22" ht="15.6" x14ac:dyDescent="0.3">
      <c r="A119" s="284"/>
      <c r="B119" s="343" t="s">
        <v>38</v>
      </c>
      <c r="C119" s="311"/>
      <c r="D119" s="311"/>
      <c r="E119" s="311"/>
      <c r="F119" s="311"/>
      <c r="G119" s="311"/>
      <c r="H119" s="311"/>
      <c r="I119" s="311"/>
      <c r="J119" s="311"/>
      <c r="K119" s="311"/>
      <c r="L119" s="311"/>
      <c r="M119" s="311"/>
      <c r="N119" s="311"/>
      <c r="O119" s="311"/>
      <c r="P119" s="311"/>
      <c r="Q119" s="311"/>
      <c r="R119" s="311"/>
      <c r="S119" s="311"/>
      <c r="T119" s="346"/>
      <c r="U119" s="317"/>
      <c r="V119" s="5"/>
    </row>
    <row r="120" spans="1:22" ht="15.6" x14ac:dyDescent="0.3">
      <c r="A120" s="337"/>
      <c r="B120" s="285" t="s">
        <v>180</v>
      </c>
      <c r="C120" s="285"/>
      <c r="D120" s="285"/>
      <c r="E120" s="285"/>
      <c r="F120" s="285"/>
      <c r="G120" s="285"/>
      <c r="H120" s="285"/>
      <c r="I120" s="285"/>
      <c r="J120" s="285"/>
      <c r="K120" s="285"/>
      <c r="L120" s="285"/>
      <c r="M120" s="285"/>
      <c r="N120" s="285"/>
      <c r="O120" s="285"/>
      <c r="P120" s="285"/>
      <c r="Q120" s="285"/>
      <c r="R120" s="338">
        <f>-R178</f>
        <v>0</v>
      </c>
      <c r="S120" s="338"/>
      <c r="T120" s="339"/>
      <c r="U120" s="288"/>
      <c r="V120" s="5"/>
    </row>
    <row r="121" spans="1:22" ht="15.6" x14ac:dyDescent="0.3">
      <c r="A121" s="337"/>
      <c r="B121" s="285" t="s">
        <v>181</v>
      </c>
      <c r="C121" s="285"/>
      <c r="D121" s="285"/>
      <c r="E121" s="285"/>
      <c r="F121" s="285"/>
      <c r="G121" s="285"/>
      <c r="H121" s="285"/>
      <c r="I121" s="285"/>
      <c r="J121" s="285"/>
      <c r="K121" s="285"/>
      <c r="L121" s="285"/>
      <c r="M121" s="285"/>
      <c r="N121" s="285"/>
      <c r="O121" s="285"/>
      <c r="P121" s="285"/>
      <c r="Q121" s="285"/>
      <c r="R121" s="338">
        <v>-92</v>
      </c>
      <c r="S121" s="338"/>
      <c r="T121" s="339"/>
      <c r="U121" s="288"/>
      <c r="V121" s="5"/>
    </row>
    <row r="122" spans="1:22" ht="15.6" x14ac:dyDescent="0.3">
      <c r="A122" s="337"/>
      <c r="B122" s="285" t="s">
        <v>39</v>
      </c>
      <c r="C122" s="285"/>
      <c r="D122" s="285"/>
      <c r="E122" s="285"/>
      <c r="F122" s="285"/>
      <c r="G122" s="285"/>
      <c r="H122" s="285"/>
      <c r="I122" s="285"/>
      <c r="J122" s="285"/>
      <c r="K122" s="285"/>
      <c r="L122" s="285"/>
      <c r="M122" s="285"/>
      <c r="N122" s="285"/>
      <c r="O122" s="285"/>
      <c r="P122" s="285"/>
      <c r="Q122" s="285"/>
      <c r="R122" s="338">
        <f>-Q178</f>
        <v>-84</v>
      </c>
      <c r="S122" s="338"/>
      <c r="T122" s="339"/>
      <c r="U122" s="288"/>
      <c r="V122" s="5"/>
    </row>
    <row r="123" spans="1:22" ht="15.6" x14ac:dyDescent="0.3">
      <c r="A123" s="337"/>
      <c r="B123" s="285" t="s">
        <v>205</v>
      </c>
      <c r="C123" s="285"/>
      <c r="D123" s="285"/>
      <c r="E123" s="285"/>
      <c r="F123" s="285"/>
      <c r="G123" s="285"/>
      <c r="H123" s="285"/>
      <c r="I123" s="285"/>
      <c r="J123" s="285"/>
      <c r="K123" s="285"/>
      <c r="L123" s="285"/>
      <c r="M123" s="285"/>
      <c r="N123" s="285"/>
      <c r="O123" s="285"/>
      <c r="P123" s="285"/>
      <c r="Q123" s="285"/>
      <c r="R123" s="338">
        <v>-2759</v>
      </c>
      <c r="S123" s="338"/>
      <c r="T123" s="339"/>
      <c r="U123" s="288"/>
      <c r="V123" s="5"/>
    </row>
    <row r="124" spans="1:22" ht="15.6" x14ac:dyDescent="0.3">
      <c r="A124" s="337"/>
      <c r="B124" s="285" t="s">
        <v>203</v>
      </c>
      <c r="C124" s="285"/>
      <c r="D124" s="285"/>
      <c r="E124" s="285"/>
      <c r="F124" s="285"/>
      <c r="G124" s="285"/>
      <c r="H124" s="285"/>
      <c r="I124" s="285"/>
      <c r="J124" s="285"/>
      <c r="K124" s="285"/>
      <c r="L124" s="285"/>
      <c r="M124" s="285"/>
      <c r="N124" s="285"/>
      <c r="O124" s="285"/>
      <c r="P124" s="285"/>
      <c r="Q124" s="285"/>
      <c r="R124" s="338">
        <v>-727</v>
      </c>
      <c r="S124" s="338"/>
      <c r="T124" s="339"/>
      <c r="U124" s="288"/>
      <c r="V124" s="5"/>
    </row>
    <row r="125" spans="1:22" ht="15.6" x14ac:dyDescent="0.3">
      <c r="A125" s="337"/>
      <c r="B125" s="285" t="s">
        <v>202</v>
      </c>
      <c r="C125" s="285"/>
      <c r="D125" s="285"/>
      <c r="E125" s="285"/>
      <c r="F125" s="285"/>
      <c r="G125" s="285"/>
      <c r="H125" s="285"/>
      <c r="I125" s="285"/>
      <c r="J125" s="285"/>
      <c r="K125" s="285"/>
      <c r="L125" s="285"/>
      <c r="M125" s="285"/>
      <c r="N125" s="285"/>
      <c r="O125" s="285"/>
      <c r="P125" s="285"/>
      <c r="Q125" s="285"/>
      <c r="R125" s="338">
        <v>-733</v>
      </c>
      <c r="S125" s="338"/>
      <c r="T125" s="339"/>
      <c r="U125" s="288"/>
      <c r="V125" s="5"/>
    </row>
    <row r="126" spans="1:22" ht="15.6" x14ac:dyDescent="0.3">
      <c r="A126" s="337"/>
      <c r="B126" s="285" t="s">
        <v>197</v>
      </c>
      <c r="C126" s="285"/>
      <c r="D126" s="285"/>
      <c r="E126" s="285"/>
      <c r="F126" s="285"/>
      <c r="G126" s="285"/>
      <c r="H126" s="285"/>
      <c r="I126" s="285"/>
      <c r="J126" s="285"/>
      <c r="K126" s="285"/>
      <c r="L126" s="285"/>
      <c r="M126" s="285"/>
      <c r="N126" s="285"/>
      <c r="O126" s="285"/>
      <c r="P126" s="285"/>
      <c r="Q126" s="285"/>
      <c r="R126" s="338">
        <v>0</v>
      </c>
      <c r="S126" s="338"/>
      <c r="T126" s="339"/>
      <c r="U126" s="288"/>
      <c r="V126" s="5"/>
    </row>
    <row r="127" spans="1:22" ht="15.6" x14ac:dyDescent="0.3">
      <c r="A127" s="337"/>
      <c r="B127" s="285" t="s">
        <v>196</v>
      </c>
      <c r="C127" s="285"/>
      <c r="D127" s="285"/>
      <c r="E127" s="285"/>
      <c r="F127" s="285"/>
      <c r="G127" s="285"/>
      <c r="H127" s="285"/>
      <c r="I127" s="285"/>
      <c r="J127" s="285"/>
      <c r="K127" s="285"/>
      <c r="L127" s="285"/>
      <c r="M127" s="285"/>
      <c r="N127" s="285"/>
      <c r="O127" s="285"/>
      <c r="P127" s="285"/>
      <c r="Q127" s="285"/>
      <c r="R127" s="338">
        <v>0</v>
      </c>
      <c r="S127" s="338"/>
      <c r="T127" s="339"/>
      <c r="U127" s="288"/>
      <c r="V127" s="5"/>
    </row>
    <row r="128" spans="1:22" ht="15.6" x14ac:dyDescent="0.3">
      <c r="A128" s="337"/>
      <c r="B128" s="285" t="s">
        <v>195</v>
      </c>
      <c r="C128" s="285"/>
      <c r="D128" s="285"/>
      <c r="E128" s="285"/>
      <c r="F128" s="285"/>
      <c r="G128" s="285"/>
      <c r="H128" s="285"/>
      <c r="I128" s="285"/>
      <c r="J128" s="285"/>
      <c r="K128" s="285"/>
      <c r="L128" s="285"/>
      <c r="M128" s="285"/>
      <c r="N128" s="285"/>
      <c r="O128" s="285"/>
      <c r="P128" s="285"/>
      <c r="Q128" s="285"/>
      <c r="R128" s="338">
        <v>0</v>
      </c>
      <c r="S128" s="338"/>
      <c r="T128" s="339"/>
      <c r="U128" s="288"/>
      <c r="V128" s="5"/>
    </row>
    <row r="129" spans="1:22" ht="15.6" x14ac:dyDescent="0.3">
      <c r="A129" s="337"/>
      <c r="B129" s="285" t="s">
        <v>40</v>
      </c>
      <c r="C129" s="285"/>
      <c r="D129" s="285"/>
      <c r="E129" s="285"/>
      <c r="F129" s="285"/>
      <c r="G129" s="285"/>
      <c r="H129" s="285"/>
      <c r="I129" s="285"/>
      <c r="J129" s="285"/>
      <c r="K129" s="285"/>
      <c r="L129" s="285"/>
      <c r="M129" s="285"/>
      <c r="N129" s="285"/>
      <c r="O129" s="285"/>
      <c r="P129" s="285"/>
      <c r="Q129" s="285"/>
      <c r="R129" s="338">
        <f>SUM(R120:R128)</f>
        <v>-4395</v>
      </c>
      <c r="S129" s="338"/>
      <c r="T129" s="338">
        <f>SUM(T101:T127)</f>
        <v>-3472</v>
      </c>
      <c r="U129" s="288"/>
      <c r="V129" s="5"/>
    </row>
    <row r="130" spans="1:22" ht="15.6" x14ac:dyDescent="0.3">
      <c r="A130" s="337"/>
      <c r="B130" s="285" t="s">
        <v>41</v>
      </c>
      <c r="C130" s="285"/>
      <c r="D130" s="285"/>
      <c r="E130" s="285"/>
      <c r="F130" s="285"/>
      <c r="G130" s="285"/>
      <c r="H130" s="285"/>
      <c r="I130" s="285"/>
      <c r="J130" s="285"/>
      <c r="K130" s="285"/>
      <c r="L130" s="285"/>
      <c r="M130" s="285"/>
      <c r="N130" s="285"/>
      <c r="O130" s="285"/>
      <c r="P130" s="285"/>
      <c r="Q130" s="285"/>
      <c r="R130" s="338">
        <f>R100+R129+R113</f>
        <v>0</v>
      </c>
      <c r="S130" s="338"/>
      <c r="T130" s="338">
        <f>T100+T129</f>
        <v>0</v>
      </c>
      <c r="U130" s="288"/>
      <c r="V130" s="5"/>
    </row>
    <row r="131" spans="1:22" ht="15.6" x14ac:dyDescent="0.3">
      <c r="A131" s="256"/>
      <c r="B131" s="281"/>
      <c r="C131" s="281"/>
      <c r="D131" s="281"/>
      <c r="E131" s="281"/>
      <c r="F131" s="281"/>
      <c r="G131" s="281"/>
      <c r="H131" s="281"/>
      <c r="I131" s="281"/>
      <c r="J131" s="281"/>
      <c r="K131" s="281"/>
      <c r="L131" s="281"/>
      <c r="M131" s="281"/>
      <c r="N131" s="281"/>
      <c r="O131" s="281"/>
      <c r="P131" s="281"/>
      <c r="Q131" s="281"/>
      <c r="R131" s="340"/>
      <c r="S131" s="340"/>
      <c r="T131" s="340"/>
      <c r="U131" s="281"/>
      <c r="V131" s="5"/>
    </row>
    <row r="132" spans="1:22" ht="15.6" x14ac:dyDescent="0.3">
      <c r="A132" s="256"/>
      <c r="B132" s="231"/>
      <c r="C132" s="231"/>
      <c r="D132" s="231"/>
      <c r="E132" s="231"/>
      <c r="F132" s="231"/>
      <c r="G132" s="231"/>
      <c r="H132" s="231"/>
      <c r="I132" s="231"/>
      <c r="J132" s="231"/>
      <c r="K132" s="231"/>
      <c r="L132" s="231"/>
      <c r="M132" s="231"/>
      <c r="N132" s="231"/>
      <c r="O132" s="231"/>
      <c r="P132" s="231"/>
      <c r="Q132" s="231"/>
      <c r="R132" s="231"/>
      <c r="S132" s="231"/>
      <c r="T132" s="257"/>
      <c r="U132" s="231"/>
      <c r="V132" s="5"/>
    </row>
    <row r="133" spans="1:22" ht="18" thickBot="1" x14ac:dyDescent="0.35">
      <c r="A133" s="258"/>
      <c r="B133" s="246" t="str">
        <f>B64</f>
        <v>PM11 INVESTOR REPORT QUARTER ENDING SEPTEMBER 2013</v>
      </c>
      <c r="C133" s="247"/>
      <c r="D133" s="247"/>
      <c r="E133" s="247"/>
      <c r="F133" s="247"/>
      <c r="G133" s="247"/>
      <c r="H133" s="247"/>
      <c r="I133" s="247"/>
      <c r="J133" s="247"/>
      <c r="K133" s="247"/>
      <c r="L133" s="247"/>
      <c r="M133" s="247"/>
      <c r="N133" s="247"/>
      <c r="O133" s="247"/>
      <c r="P133" s="247"/>
      <c r="Q133" s="247"/>
      <c r="R133" s="247"/>
      <c r="S133" s="247"/>
      <c r="T133" s="259"/>
      <c r="U133" s="249"/>
      <c r="V133" s="5"/>
    </row>
    <row r="134" spans="1:22" ht="15.6" x14ac:dyDescent="0.3">
      <c r="A134" s="260"/>
      <c r="B134" s="399" t="s">
        <v>42</v>
      </c>
      <c r="C134" s="261"/>
      <c r="D134" s="261"/>
      <c r="E134" s="261"/>
      <c r="F134" s="261"/>
      <c r="G134" s="261"/>
      <c r="H134" s="261"/>
      <c r="I134" s="261"/>
      <c r="J134" s="261"/>
      <c r="K134" s="261"/>
      <c r="L134" s="261"/>
      <c r="M134" s="261"/>
      <c r="N134" s="261"/>
      <c r="O134" s="261"/>
      <c r="P134" s="261"/>
      <c r="Q134" s="261"/>
      <c r="R134" s="261"/>
      <c r="S134" s="261"/>
      <c r="T134" s="262"/>
      <c r="U134" s="261"/>
      <c r="V134" s="5"/>
    </row>
    <row r="135" spans="1:22" ht="15.6" x14ac:dyDescent="0.3">
      <c r="A135" s="175"/>
      <c r="B135" s="187"/>
      <c r="C135" s="177"/>
      <c r="D135" s="177"/>
      <c r="E135" s="177"/>
      <c r="F135" s="177"/>
      <c r="G135" s="177"/>
      <c r="H135" s="177"/>
      <c r="I135" s="177"/>
      <c r="J135" s="177"/>
      <c r="K135" s="177"/>
      <c r="L135" s="177"/>
      <c r="M135" s="177"/>
      <c r="N135" s="177"/>
      <c r="O135" s="177"/>
      <c r="P135" s="177"/>
      <c r="Q135" s="177"/>
      <c r="R135" s="177"/>
      <c r="S135" s="177"/>
      <c r="T135" s="194"/>
      <c r="U135" s="177"/>
      <c r="V135" s="5"/>
    </row>
    <row r="136" spans="1:22" ht="15.6" x14ac:dyDescent="0.3">
      <c r="A136" s="175"/>
      <c r="B136" s="201" t="s">
        <v>43</v>
      </c>
      <c r="C136" s="177"/>
      <c r="D136" s="177"/>
      <c r="E136" s="177"/>
      <c r="F136" s="177"/>
      <c r="G136" s="177"/>
      <c r="H136" s="177"/>
      <c r="I136" s="177"/>
      <c r="J136" s="177"/>
      <c r="K136" s="177"/>
      <c r="L136" s="177"/>
      <c r="M136" s="177"/>
      <c r="N136" s="177"/>
      <c r="O136" s="177"/>
      <c r="P136" s="177"/>
      <c r="Q136" s="177"/>
      <c r="R136" s="177"/>
      <c r="S136" s="177"/>
      <c r="T136" s="194"/>
      <c r="U136" s="177"/>
      <c r="V136" s="5"/>
    </row>
    <row r="137" spans="1:22" ht="15.6" x14ac:dyDescent="0.3">
      <c r="A137" s="284"/>
      <c r="B137" s="285" t="s">
        <v>44</v>
      </c>
      <c r="C137" s="285"/>
      <c r="D137" s="285"/>
      <c r="E137" s="285"/>
      <c r="F137" s="285"/>
      <c r="G137" s="285"/>
      <c r="H137" s="285"/>
      <c r="I137" s="285"/>
      <c r="J137" s="285"/>
      <c r="K137" s="285"/>
      <c r="L137" s="285"/>
      <c r="M137" s="285"/>
      <c r="N137" s="285"/>
      <c r="O137" s="285"/>
      <c r="P137" s="285"/>
      <c r="Q137" s="285"/>
      <c r="R137" s="285"/>
      <c r="S137" s="285"/>
      <c r="T137" s="339">
        <f>+T34*0.019</f>
        <v>19000.95</v>
      </c>
      <c r="U137" s="288"/>
      <c r="V137" s="5"/>
    </row>
    <row r="138" spans="1:22" ht="15.6" x14ac:dyDescent="0.3">
      <c r="A138" s="284"/>
      <c r="B138" s="285" t="s">
        <v>45</v>
      </c>
      <c r="C138" s="285"/>
      <c r="D138" s="285"/>
      <c r="E138" s="285"/>
      <c r="F138" s="285"/>
      <c r="G138" s="285"/>
      <c r="H138" s="285"/>
      <c r="I138" s="285"/>
      <c r="J138" s="285"/>
      <c r="K138" s="285"/>
      <c r="L138" s="285"/>
      <c r="M138" s="285"/>
      <c r="N138" s="285"/>
      <c r="O138" s="285"/>
      <c r="P138" s="285"/>
      <c r="Q138" s="285"/>
      <c r="R138" s="285"/>
      <c r="S138" s="285"/>
      <c r="T138" s="339">
        <v>19001</v>
      </c>
      <c r="U138" s="288"/>
      <c r="V138" s="5"/>
    </row>
    <row r="139" spans="1:22" ht="15.6" x14ac:dyDescent="0.3">
      <c r="A139" s="284"/>
      <c r="B139" s="285" t="s">
        <v>142</v>
      </c>
      <c r="C139" s="285"/>
      <c r="D139" s="285"/>
      <c r="E139" s="285"/>
      <c r="F139" s="285"/>
      <c r="G139" s="285"/>
      <c r="H139" s="285"/>
      <c r="I139" s="285"/>
      <c r="J139" s="285"/>
      <c r="K139" s="285"/>
      <c r="L139" s="285"/>
      <c r="M139" s="285"/>
      <c r="N139" s="285"/>
      <c r="O139" s="285"/>
      <c r="P139" s="285"/>
      <c r="Q139" s="285"/>
      <c r="R139" s="285"/>
      <c r="S139" s="285"/>
      <c r="T139" s="339">
        <v>0</v>
      </c>
      <c r="U139" s="288"/>
      <c r="V139" s="5"/>
    </row>
    <row r="140" spans="1:22" ht="15.6" x14ac:dyDescent="0.3">
      <c r="A140" s="284"/>
      <c r="B140" s="285" t="s">
        <v>129</v>
      </c>
      <c r="C140" s="285"/>
      <c r="D140" s="285"/>
      <c r="E140" s="285"/>
      <c r="F140" s="285"/>
      <c r="G140" s="285"/>
      <c r="H140" s="285"/>
      <c r="I140" s="285"/>
      <c r="J140" s="285"/>
      <c r="K140" s="285"/>
      <c r="L140" s="285"/>
      <c r="M140" s="285"/>
      <c r="N140" s="285"/>
      <c r="O140" s="285"/>
      <c r="P140" s="285"/>
      <c r="Q140" s="285"/>
      <c r="R140" s="285"/>
      <c r="S140" s="285"/>
      <c r="T140" s="339">
        <v>0</v>
      </c>
      <c r="U140" s="288"/>
      <c r="V140" s="5"/>
    </row>
    <row r="141" spans="1:22" ht="15.6" x14ac:dyDescent="0.3">
      <c r="A141" s="284"/>
      <c r="B141" s="285" t="s">
        <v>130</v>
      </c>
      <c r="C141" s="285"/>
      <c r="D141" s="285"/>
      <c r="E141" s="285"/>
      <c r="F141" s="285"/>
      <c r="G141" s="285"/>
      <c r="H141" s="285"/>
      <c r="I141" s="285"/>
      <c r="J141" s="285"/>
      <c r="K141" s="285"/>
      <c r="L141" s="285"/>
      <c r="M141" s="285"/>
      <c r="N141" s="285"/>
      <c r="O141" s="285"/>
      <c r="P141" s="285"/>
      <c r="Q141" s="285"/>
      <c r="R141" s="285"/>
      <c r="S141" s="285"/>
      <c r="T141" s="339">
        <v>0</v>
      </c>
      <c r="U141" s="288"/>
      <c r="V141" s="5"/>
    </row>
    <row r="142" spans="1:22" ht="15.6" x14ac:dyDescent="0.3">
      <c r="A142" s="284"/>
      <c r="B142" s="285" t="s">
        <v>182</v>
      </c>
      <c r="C142" s="285"/>
      <c r="D142" s="285"/>
      <c r="E142" s="285"/>
      <c r="F142" s="285"/>
      <c r="G142" s="285"/>
      <c r="H142" s="285"/>
      <c r="I142" s="285"/>
      <c r="J142" s="285"/>
      <c r="K142" s="285"/>
      <c r="L142" s="285"/>
      <c r="M142" s="285"/>
      <c r="N142" s="285"/>
      <c r="O142" s="285"/>
      <c r="P142" s="285"/>
      <c r="Q142" s="285"/>
      <c r="R142" s="285"/>
      <c r="S142" s="285"/>
      <c r="T142" s="339">
        <v>0</v>
      </c>
      <c r="U142" s="288"/>
      <c r="V142" s="5"/>
    </row>
    <row r="143" spans="1:22" ht="15.6" x14ac:dyDescent="0.3">
      <c r="A143" s="284"/>
      <c r="B143" s="285" t="s">
        <v>46</v>
      </c>
      <c r="C143" s="285"/>
      <c r="D143" s="285"/>
      <c r="E143" s="285"/>
      <c r="F143" s="285"/>
      <c r="G143" s="285"/>
      <c r="H143" s="285"/>
      <c r="I143" s="285"/>
      <c r="J143" s="285"/>
      <c r="K143" s="285"/>
      <c r="L143" s="285"/>
      <c r="M143" s="285"/>
      <c r="N143" s="285"/>
      <c r="O143" s="285"/>
      <c r="P143" s="285"/>
      <c r="Q143" s="285"/>
      <c r="R143" s="285"/>
      <c r="S143" s="285"/>
      <c r="T143" s="339">
        <v>0</v>
      </c>
      <c r="U143" s="288"/>
      <c r="V143" s="5"/>
    </row>
    <row r="144" spans="1:22" ht="15.6" x14ac:dyDescent="0.3">
      <c r="A144" s="284"/>
      <c r="B144" s="285" t="s">
        <v>135</v>
      </c>
      <c r="C144" s="285"/>
      <c r="D144" s="285"/>
      <c r="E144" s="285"/>
      <c r="F144" s="285"/>
      <c r="G144" s="285"/>
      <c r="H144" s="285"/>
      <c r="I144" s="285"/>
      <c r="J144" s="285"/>
      <c r="K144" s="285"/>
      <c r="L144" s="285"/>
      <c r="M144" s="285"/>
      <c r="N144" s="285"/>
      <c r="O144" s="285"/>
      <c r="P144" s="285"/>
      <c r="Q144" s="285"/>
      <c r="R144" s="285"/>
      <c r="S144" s="285"/>
      <c r="T144" s="339">
        <v>0</v>
      </c>
      <c r="U144" s="288"/>
      <c r="V144" s="5"/>
    </row>
    <row r="145" spans="1:23" ht="15.6" x14ac:dyDescent="0.3">
      <c r="A145" s="284"/>
      <c r="B145" s="285" t="s">
        <v>251</v>
      </c>
      <c r="C145" s="285"/>
      <c r="D145" s="285"/>
      <c r="E145" s="285"/>
      <c r="F145" s="285"/>
      <c r="G145" s="285"/>
      <c r="H145" s="285"/>
      <c r="I145" s="285"/>
      <c r="J145" s="285"/>
      <c r="K145" s="285"/>
      <c r="L145" s="285"/>
      <c r="M145" s="285"/>
      <c r="N145" s="285"/>
      <c r="O145" s="285"/>
      <c r="P145" s="285"/>
      <c r="Q145" s="285"/>
      <c r="R145" s="285"/>
      <c r="S145" s="285"/>
      <c r="T145" s="339">
        <v>0</v>
      </c>
      <c r="U145" s="288"/>
      <c r="V145" s="5"/>
      <c r="W145" s="109"/>
    </row>
    <row r="146" spans="1:23" ht="15.6" x14ac:dyDescent="0.3">
      <c r="A146" s="284"/>
      <c r="B146" s="285" t="s">
        <v>47</v>
      </c>
      <c r="C146" s="285"/>
      <c r="D146" s="285"/>
      <c r="E146" s="285"/>
      <c r="F146" s="285"/>
      <c r="G146" s="285"/>
      <c r="H146" s="285"/>
      <c r="I146" s="285"/>
      <c r="J146" s="285"/>
      <c r="K146" s="285"/>
      <c r="L146" s="285"/>
      <c r="M146" s="285"/>
      <c r="N146" s="285"/>
      <c r="O146" s="285"/>
      <c r="P146" s="285"/>
      <c r="Q146" s="285"/>
      <c r="R146" s="285"/>
      <c r="S146" s="285"/>
      <c r="T146" s="339">
        <f>SUM(T138:T145)</f>
        <v>19001</v>
      </c>
      <c r="U146" s="288"/>
      <c r="V146" s="5"/>
    </row>
    <row r="147" spans="1:23" ht="15.6" x14ac:dyDescent="0.3">
      <c r="A147" s="284"/>
      <c r="B147" s="311"/>
      <c r="C147" s="311"/>
      <c r="D147" s="311"/>
      <c r="E147" s="311"/>
      <c r="F147" s="311"/>
      <c r="G147" s="311"/>
      <c r="H147" s="311"/>
      <c r="I147" s="311"/>
      <c r="J147" s="311"/>
      <c r="K147" s="311"/>
      <c r="L147" s="311"/>
      <c r="M147" s="311"/>
      <c r="N147" s="311"/>
      <c r="O147" s="311"/>
      <c r="P147" s="311"/>
      <c r="Q147" s="311"/>
      <c r="R147" s="311"/>
      <c r="S147" s="311"/>
      <c r="T147" s="345"/>
      <c r="U147" s="317"/>
      <c r="V147" s="5"/>
    </row>
    <row r="148" spans="1:23" ht="15.6" x14ac:dyDescent="0.3">
      <c r="A148" s="284"/>
      <c r="B148" s="343" t="s">
        <v>262</v>
      </c>
      <c r="C148" s="311"/>
      <c r="D148" s="311"/>
      <c r="E148" s="311"/>
      <c r="F148" s="311"/>
      <c r="G148" s="311"/>
      <c r="H148" s="311"/>
      <c r="I148" s="311"/>
      <c r="J148" s="311"/>
      <c r="K148" s="311"/>
      <c r="L148" s="311"/>
      <c r="M148" s="311"/>
      <c r="N148" s="311"/>
      <c r="O148" s="311"/>
      <c r="P148" s="311"/>
      <c r="Q148" s="311"/>
      <c r="R148" s="311"/>
      <c r="S148" s="311"/>
      <c r="T148" s="345"/>
      <c r="U148" s="317"/>
      <c r="V148" s="5"/>
    </row>
    <row r="149" spans="1:23" ht="15.6" x14ac:dyDescent="0.3">
      <c r="A149" s="284"/>
      <c r="B149" s="285" t="s">
        <v>263</v>
      </c>
      <c r="C149" s="285"/>
      <c r="D149" s="285"/>
      <c r="E149" s="285"/>
      <c r="F149" s="285"/>
      <c r="G149" s="285"/>
      <c r="H149" s="285"/>
      <c r="I149" s="285"/>
      <c r="J149" s="285"/>
      <c r="K149" s="285"/>
      <c r="L149" s="285"/>
      <c r="M149" s="285"/>
      <c r="N149" s="285"/>
      <c r="O149" s="285"/>
      <c r="P149" s="285"/>
      <c r="Q149" s="285"/>
      <c r="R149" s="285"/>
      <c r="S149" s="285"/>
      <c r="T149" s="339">
        <v>0</v>
      </c>
      <c r="U149" s="288"/>
      <c r="V149" s="5"/>
    </row>
    <row r="150" spans="1:23" ht="15.6" x14ac:dyDescent="0.3">
      <c r="A150" s="284"/>
      <c r="B150" s="285" t="s">
        <v>179</v>
      </c>
      <c r="C150" s="285"/>
      <c r="D150" s="285"/>
      <c r="E150" s="285"/>
      <c r="F150" s="285"/>
      <c r="G150" s="285"/>
      <c r="H150" s="285"/>
      <c r="I150" s="285"/>
      <c r="J150" s="285"/>
      <c r="K150" s="285"/>
      <c r="L150" s="285"/>
      <c r="M150" s="285"/>
      <c r="N150" s="285"/>
      <c r="O150" s="285"/>
      <c r="P150" s="285"/>
      <c r="Q150" s="285"/>
      <c r="R150" s="285"/>
      <c r="S150" s="285"/>
      <c r="T150" s="339">
        <v>0</v>
      </c>
      <c r="U150" s="288"/>
      <c r="V150" s="5"/>
    </row>
    <row r="151" spans="1:23" ht="15.6" x14ac:dyDescent="0.3">
      <c r="A151" s="284"/>
      <c r="B151" s="285" t="s">
        <v>264</v>
      </c>
      <c r="C151" s="285"/>
      <c r="D151" s="285"/>
      <c r="E151" s="285"/>
      <c r="F151" s="285"/>
      <c r="G151" s="285"/>
      <c r="H151" s="285"/>
      <c r="I151" s="285"/>
      <c r="J151" s="285"/>
      <c r="K151" s="285"/>
      <c r="L151" s="285"/>
      <c r="M151" s="285"/>
      <c r="N151" s="285"/>
      <c r="O151" s="285"/>
      <c r="P151" s="285"/>
      <c r="Q151" s="285"/>
      <c r="R151" s="285"/>
      <c r="S151" s="285"/>
      <c r="T151" s="339">
        <v>0</v>
      </c>
      <c r="U151" s="288"/>
      <c r="V151" s="5"/>
    </row>
    <row r="152" spans="1:23" ht="15.6" x14ac:dyDescent="0.3">
      <c r="A152" s="284"/>
      <c r="B152" s="285"/>
      <c r="C152" s="285"/>
      <c r="D152" s="285"/>
      <c r="E152" s="285"/>
      <c r="F152" s="285"/>
      <c r="G152" s="285"/>
      <c r="H152" s="285"/>
      <c r="I152" s="285"/>
      <c r="J152" s="285"/>
      <c r="K152" s="285"/>
      <c r="L152" s="285"/>
      <c r="M152" s="285"/>
      <c r="N152" s="285"/>
      <c r="O152" s="285"/>
      <c r="P152" s="285"/>
      <c r="Q152" s="285"/>
      <c r="R152" s="285"/>
      <c r="S152" s="285"/>
      <c r="T152" s="339"/>
      <c r="U152" s="288"/>
      <c r="V152" s="5"/>
    </row>
    <row r="153" spans="1:23" ht="15.6" x14ac:dyDescent="0.3">
      <c r="A153" s="175"/>
      <c r="B153" s="334"/>
      <c r="C153" s="334"/>
      <c r="D153" s="334"/>
      <c r="E153" s="334"/>
      <c r="F153" s="334"/>
      <c r="G153" s="334"/>
      <c r="H153" s="334"/>
      <c r="I153" s="334"/>
      <c r="J153" s="334"/>
      <c r="K153" s="334"/>
      <c r="L153" s="334"/>
      <c r="M153" s="334"/>
      <c r="N153" s="334"/>
      <c r="O153" s="334"/>
      <c r="P153" s="334"/>
      <c r="Q153" s="334"/>
      <c r="R153" s="334"/>
      <c r="S153" s="334"/>
      <c r="T153" s="347"/>
      <c r="U153" s="334"/>
      <c r="V153" s="5"/>
    </row>
    <row r="154" spans="1:23" ht="15.6" x14ac:dyDescent="0.3">
      <c r="A154" s="175"/>
      <c r="B154" s="201" t="s">
        <v>24</v>
      </c>
      <c r="C154" s="177"/>
      <c r="D154" s="177"/>
      <c r="E154" s="177"/>
      <c r="F154" s="177"/>
      <c r="G154" s="177"/>
      <c r="H154" s="177"/>
      <c r="I154" s="177"/>
      <c r="J154" s="177"/>
      <c r="K154" s="177"/>
      <c r="L154" s="177"/>
      <c r="M154" s="177"/>
      <c r="N154" s="177"/>
      <c r="O154" s="177"/>
      <c r="P154" s="177"/>
      <c r="Q154" s="177"/>
      <c r="R154" s="177"/>
      <c r="S154" s="177"/>
      <c r="T154" s="194"/>
      <c r="U154" s="177"/>
      <c r="V154" s="5"/>
    </row>
    <row r="155" spans="1:23" ht="15.6" x14ac:dyDescent="0.3">
      <c r="A155" s="284"/>
      <c r="B155" s="285" t="s">
        <v>48</v>
      </c>
      <c r="C155" s="285"/>
      <c r="D155" s="285"/>
      <c r="E155" s="285"/>
      <c r="F155" s="285"/>
      <c r="G155" s="285"/>
      <c r="H155" s="285"/>
      <c r="I155" s="285"/>
      <c r="J155" s="285"/>
      <c r="K155" s="285"/>
      <c r="L155" s="285"/>
      <c r="M155" s="285"/>
      <c r="N155" s="285"/>
      <c r="O155" s="285"/>
      <c r="P155" s="285"/>
      <c r="Q155" s="285"/>
      <c r="R155" s="285"/>
      <c r="S155" s="285"/>
      <c r="T155" s="348" t="s">
        <v>124</v>
      </c>
      <c r="U155" s="288"/>
      <c r="V155" s="5"/>
    </row>
    <row r="156" spans="1:23" ht="15.6" x14ac:dyDescent="0.3">
      <c r="A156" s="284"/>
      <c r="B156" s="285" t="s">
        <v>49</v>
      </c>
      <c r="C156" s="287"/>
      <c r="D156" s="287"/>
      <c r="E156" s="287"/>
      <c r="F156" s="287"/>
      <c r="G156" s="287"/>
      <c r="H156" s="287"/>
      <c r="I156" s="287"/>
      <c r="J156" s="287"/>
      <c r="K156" s="287"/>
      <c r="L156" s="287"/>
      <c r="M156" s="287"/>
      <c r="N156" s="287"/>
      <c r="O156" s="287"/>
      <c r="P156" s="287"/>
      <c r="Q156" s="287"/>
      <c r="R156" s="287"/>
      <c r="S156" s="287"/>
      <c r="T156" s="348" t="s">
        <v>124</v>
      </c>
      <c r="U156" s="288"/>
      <c r="V156" s="5"/>
    </row>
    <row r="157" spans="1:23" ht="15.6" x14ac:dyDescent="0.3">
      <c r="A157" s="284"/>
      <c r="B157" s="285" t="s">
        <v>50</v>
      </c>
      <c r="C157" s="285"/>
      <c r="D157" s="285"/>
      <c r="E157" s="285"/>
      <c r="F157" s="285"/>
      <c r="G157" s="285"/>
      <c r="H157" s="285"/>
      <c r="I157" s="285"/>
      <c r="J157" s="285"/>
      <c r="K157" s="285"/>
      <c r="L157" s="285"/>
      <c r="M157" s="285"/>
      <c r="N157" s="285"/>
      <c r="O157" s="285"/>
      <c r="P157" s="285"/>
      <c r="Q157" s="285"/>
      <c r="R157" s="285"/>
      <c r="S157" s="285"/>
      <c r="T157" s="348" t="s">
        <v>124</v>
      </c>
      <c r="U157" s="288"/>
      <c r="V157" s="5"/>
    </row>
    <row r="158" spans="1:23" ht="15.6" x14ac:dyDescent="0.3">
      <c r="A158" s="284"/>
      <c r="B158" s="285" t="s">
        <v>51</v>
      </c>
      <c r="C158" s="285"/>
      <c r="D158" s="285"/>
      <c r="E158" s="285"/>
      <c r="F158" s="285"/>
      <c r="G158" s="285"/>
      <c r="H158" s="285"/>
      <c r="I158" s="285"/>
      <c r="J158" s="285"/>
      <c r="K158" s="285"/>
      <c r="L158" s="285"/>
      <c r="M158" s="285"/>
      <c r="N158" s="285"/>
      <c r="O158" s="285"/>
      <c r="P158" s="285"/>
      <c r="Q158" s="285"/>
      <c r="R158" s="285"/>
      <c r="S158" s="285"/>
      <c r="T158" s="348" t="s">
        <v>124</v>
      </c>
      <c r="U158" s="288"/>
      <c r="V158" s="5"/>
    </row>
    <row r="159" spans="1:23" ht="15.6" x14ac:dyDescent="0.3">
      <c r="A159" s="175"/>
      <c r="B159" s="334"/>
      <c r="C159" s="334"/>
      <c r="D159" s="334"/>
      <c r="E159" s="334"/>
      <c r="F159" s="334"/>
      <c r="G159" s="334"/>
      <c r="H159" s="334"/>
      <c r="I159" s="334"/>
      <c r="J159" s="334"/>
      <c r="K159" s="334"/>
      <c r="L159" s="334"/>
      <c r="M159" s="334"/>
      <c r="N159" s="334"/>
      <c r="O159" s="334"/>
      <c r="P159" s="334"/>
      <c r="Q159" s="334"/>
      <c r="R159" s="334"/>
      <c r="S159" s="334"/>
      <c r="T159" s="347"/>
      <c r="U159" s="334"/>
      <c r="V159" s="5"/>
    </row>
    <row r="160" spans="1:23" ht="15.6" x14ac:dyDescent="0.3">
      <c r="A160" s="175"/>
      <c r="B160" s="201" t="s">
        <v>52</v>
      </c>
      <c r="C160" s="177"/>
      <c r="D160" s="177"/>
      <c r="E160" s="177"/>
      <c r="F160" s="177"/>
      <c r="G160" s="177"/>
      <c r="H160" s="177"/>
      <c r="I160" s="177"/>
      <c r="J160" s="177"/>
      <c r="K160" s="177"/>
      <c r="L160" s="177"/>
      <c r="M160" s="177"/>
      <c r="N160" s="177"/>
      <c r="O160" s="177"/>
      <c r="P160" s="177"/>
      <c r="Q160" s="177"/>
      <c r="R160" s="177"/>
      <c r="S160" s="177"/>
      <c r="T160" s="202"/>
      <c r="U160" s="177"/>
      <c r="V160" s="5"/>
    </row>
    <row r="161" spans="1:22" ht="15.6" x14ac:dyDescent="0.3">
      <c r="A161" s="284"/>
      <c r="B161" s="285" t="s">
        <v>53</v>
      </c>
      <c r="C161" s="285"/>
      <c r="D161" s="285"/>
      <c r="E161" s="285"/>
      <c r="F161" s="285"/>
      <c r="G161" s="285"/>
      <c r="H161" s="285"/>
      <c r="I161" s="285"/>
      <c r="J161" s="285"/>
      <c r="K161" s="285"/>
      <c r="L161" s="285"/>
      <c r="M161" s="285"/>
      <c r="N161" s="285"/>
      <c r="O161" s="285"/>
      <c r="P161" s="285"/>
      <c r="Q161" s="285"/>
      <c r="R161" s="285"/>
      <c r="S161" s="285"/>
      <c r="T161" s="339">
        <v>0</v>
      </c>
      <c r="U161" s="288"/>
      <c r="V161" s="5"/>
    </row>
    <row r="162" spans="1:22" ht="15.6" x14ac:dyDescent="0.3">
      <c r="A162" s="284"/>
      <c r="B162" s="285" t="s">
        <v>54</v>
      </c>
      <c r="C162" s="285"/>
      <c r="D162" s="285"/>
      <c r="E162" s="285"/>
      <c r="F162" s="285"/>
      <c r="G162" s="285"/>
      <c r="H162" s="285"/>
      <c r="I162" s="285"/>
      <c r="J162" s="285"/>
      <c r="K162" s="285"/>
      <c r="L162" s="285"/>
      <c r="M162" s="285"/>
      <c r="N162" s="285"/>
      <c r="O162" s="285"/>
      <c r="P162" s="285"/>
      <c r="Q162" s="285"/>
      <c r="R162" s="285"/>
      <c r="S162" s="285"/>
      <c r="T162" s="339">
        <f>R113</f>
        <v>333</v>
      </c>
      <c r="U162" s="288"/>
      <c r="V162" s="5"/>
    </row>
    <row r="163" spans="1:22" ht="15.6" x14ac:dyDescent="0.3">
      <c r="A163" s="284"/>
      <c r="B163" s="285" t="s">
        <v>55</v>
      </c>
      <c r="C163" s="285"/>
      <c r="D163" s="285"/>
      <c r="E163" s="285"/>
      <c r="F163" s="285"/>
      <c r="G163" s="285"/>
      <c r="H163" s="285"/>
      <c r="I163" s="285"/>
      <c r="J163" s="285"/>
      <c r="K163" s="285"/>
      <c r="L163" s="285"/>
      <c r="M163" s="285"/>
      <c r="N163" s="285"/>
      <c r="O163" s="285"/>
      <c r="P163" s="285"/>
      <c r="Q163" s="285"/>
      <c r="R163" s="285"/>
      <c r="S163" s="285"/>
      <c r="T163" s="339">
        <f>T162+T161</f>
        <v>333</v>
      </c>
      <c r="U163" s="288"/>
      <c r="V163" s="5"/>
    </row>
    <row r="164" spans="1:22" ht="15.6" x14ac:dyDescent="0.3">
      <c r="A164" s="284"/>
      <c r="B164" s="285" t="s">
        <v>301</v>
      </c>
      <c r="C164" s="285"/>
      <c r="D164" s="285"/>
      <c r="E164" s="285"/>
      <c r="F164" s="285"/>
      <c r="G164" s="285"/>
      <c r="H164" s="285"/>
      <c r="I164" s="285"/>
      <c r="J164" s="285"/>
      <c r="K164" s="285"/>
      <c r="L164" s="285"/>
      <c r="M164" s="285"/>
      <c r="N164" s="285"/>
      <c r="O164" s="285"/>
      <c r="P164" s="285"/>
      <c r="Q164" s="285"/>
      <c r="R164" s="285"/>
      <c r="S164" s="285"/>
      <c r="T164" s="339">
        <f>T113</f>
        <v>-333</v>
      </c>
      <c r="U164" s="288"/>
      <c r="V164" s="5"/>
    </row>
    <row r="165" spans="1:22" ht="15.6" x14ac:dyDescent="0.3">
      <c r="A165" s="284"/>
      <c r="B165" s="285" t="s">
        <v>56</v>
      </c>
      <c r="C165" s="285"/>
      <c r="D165" s="285"/>
      <c r="E165" s="285"/>
      <c r="F165" s="285"/>
      <c r="G165" s="285"/>
      <c r="H165" s="285"/>
      <c r="I165" s="285"/>
      <c r="J165" s="285"/>
      <c r="K165" s="285"/>
      <c r="L165" s="285"/>
      <c r="M165" s="285"/>
      <c r="N165" s="285"/>
      <c r="O165" s="285"/>
      <c r="P165" s="285"/>
      <c r="Q165" s="285"/>
      <c r="R165" s="285"/>
      <c r="S165" s="285"/>
      <c r="T165" s="339">
        <f>T163+T164</f>
        <v>0</v>
      </c>
      <c r="U165" s="288"/>
      <c r="V165" s="5"/>
    </row>
    <row r="166" spans="1:22" ht="15.6" x14ac:dyDescent="0.3">
      <c r="A166" s="284"/>
      <c r="B166" s="285" t="s">
        <v>273</v>
      </c>
      <c r="C166" s="285"/>
      <c r="D166" s="285"/>
      <c r="E166" s="285"/>
      <c r="F166" s="285"/>
      <c r="G166" s="285"/>
      <c r="H166" s="285"/>
      <c r="I166" s="285"/>
      <c r="J166" s="285"/>
      <c r="K166" s="285"/>
      <c r="L166" s="285"/>
      <c r="M166" s="285"/>
      <c r="N166" s="285"/>
      <c r="O166" s="285"/>
      <c r="P166" s="285"/>
      <c r="Q166" s="285"/>
      <c r="R166" s="285"/>
      <c r="S166" s="285"/>
      <c r="T166" s="339">
        <f>-T99</f>
        <v>36</v>
      </c>
      <c r="U166" s="288"/>
      <c r="V166" s="5"/>
    </row>
    <row r="167" spans="1:22" ht="16.2" thickBot="1" x14ac:dyDescent="0.35">
      <c r="A167" s="175"/>
      <c r="B167" s="334"/>
      <c r="C167" s="334"/>
      <c r="D167" s="334"/>
      <c r="E167" s="334"/>
      <c r="F167" s="334"/>
      <c r="G167" s="334"/>
      <c r="H167" s="334"/>
      <c r="I167" s="334"/>
      <c r="J167" s="334"/>
      <c r="K167" s="334"/>
      <c r="L167" s="334"/>
      <c r="M167" s="334"/>
      <c r="N167" s="334"/>
      <c r="O167" s="334"/>
      <c r="P167" s="334"/>
      <c r="Q167" s="334"/>
      <c r="R167" s="334"/>
      <c r="S167" s="334"/>
      <c r="T167" s="347"/>
      <c r="U167" s="334"/>
      <c r="V167" s="5"/>
    </row>
    <row r="168" spans="1:22" ht="15.6" x14ac:dyDescent="0.3">
      <c r="A168" s="173"/>
      <c r="B168" s="174"/>
      <c r="C168" s="174"/>
      <c r="D168" s="174"/>
      <c r="E168" s="174"/>
      <c r="F168" s="174"/>
      <c r="G168" s="174"/>
      <c r="H168" s="174"/>
      <c r="I168" s="174"/>
      <c r="J168" s="174"/>
      <c r="K168" s="174"/>
      <c r="L168" s="174"/>
      <c r="M168" s="174"/>
      <c r="N168" s="174"/>
      <c r="O168" s="174"/>
      <c r="P168" s="174"/>
      <c r="Q168" s="174"/>
      <c r="R168" s="174"/>
      <c r="S168" s="174"/>
      <c r="T168" s="193"/>
      <c r="U168" s="174"/>
      <c r="V168" s="5"/>
    </row>
    <row r="169" spans="1:22" ht="15.6" x14ac:dyDescent="0.3">
      <c r="A169" s="175"/>
      <c r="B169" s="201" t="s">
        <v>57</v>
      </c>
      <c r="C169" s="177"/>
      <c r="D169" s="177"/>
      <c r="E169" s="177"/>
      <c r="F169" s="177"/>
      <c r="G169" s="177"/>
      <c r="H169" s="177"/>
      <c r="I169" s="177"/>
      <c r="J169" s="177"/>
      <c r="K169" s="177"/>
      <c r="L169" s="177"/>
      <c r="M169" s="177"/>
      <c r="N169" s="177"/>
      <c r="O169" s="177"/>
      <c r="P169" s="177"/>
      <c r="Q169" s="177"/>
      <c r="R169" s="177"/>
      <c r="S169" s="177"/>
      <c r="T169" s="194"/>
      <c r="U169" s="177"/>
      <c r="V169" s="5"/>
    </row>
    <row r="170" spans="1:22" ht="15.6" x14ac:dyDescent="0.3">
      <c r="A170" s="175"/>
      <c r="B170" s="187"/>
      <c r="C170" s="177"/>
      <c r="D170" s="177"/>
      <c r="E170" s="177"/>
      <c r="F170" s="177"/>
      <c r="G170" s="177"/>
      <c r="H170" s="177"/>
      <c r="I170" s="177"/>
      <c r="J170" s="177"/>
      <c r="K170" s="177"/>
      <c r="L170" s="177"/>
      <c r="M170" s="177"/>
      <c r="N170" s="177"/>
      <c r="O170" s="177"/>
      <c r="P170" s="177"/>
      <c r="Q170" s="177"/>
      <c r="R170" s="177"/>
      <c r="S170" s="177"/>
      <c r="T170" s="194"/>
      <c r="U170" s="177"/>
      <c r="V170" s="5"/>
    </row>
    <row r="171" spans="1:22" ht="15.6" x14ac:dyDescent="0.3">
      <c r="A171" s="284"/>
      <c r="B171" s="285" t="s">
        <v>58</v>
      </c>
      <c r="C171" s="285"/>
      <c r="D171" s="285"/>
      <c r="E171" s="285"/>
      <c r="F171" s="285"/>
      <c r="G171" s="285"/>
      <c r="H171" s="285"/>
      <c r="I171" s="285"/>
      <c r="J171" s="285"/>
      <c r="K171" s="285"/>
      <c r="L171" s="285"/>
      <c r="M171" s="285"/>
      <c r="N171" s="285"/>
      <c r="O171" s="285"/>
      <c r="P171" s="285"/>
      <c r="Q171" s="285"/>
      <c r="R171" s="285"/>
      <c r="S171" s="285"/>
      <c r="T171" s="339">
        <f>T71</f>
        <v>540571</v>
      </c>
      <c r="U171" s="288"/>
      <c r="V171" s="5"/>
    </row>
    <row r="172" spans="1:22" ht="15.6" x14ac:dyDescent="0.3">
      <c r="A172" s="284"/>
      <c r="B172" s="285" t="s">
        <v>59</v>
      </c>
      <c r="C172" s="285"/>
      <c r="D172" s="285"/>
      <c r="E172" s="285"/>
      <c r="F172" s="285"/>
      <c r="G172" s="285"/>
      <c r="H172" s="285"/>
      <c r="I172" s="285"/>
      <c r="J172" s="285"/>
      <c r="K172" s="285"/>
      <c r="L172" s="285"/>
      <c r="M172" s="285"/>
      <c r="N172" s="285"/>
      <c r="O172" s="285"/>
      <c r="P172" s="285"/>
      <c r="Q172" s="285"/>
      <c r="R172" s="285"/>
      <c r="S172" s="285"/>
      <c r="T172" s="339">
        <f>T84</f>
        <v>540571</v>
      </c>
      <c r="U172" s="288"/>
      <c r="V172" s="5"/>
    </row>
    <row r="173" spans="1:22" ht="16.2" thickBot="1" x14ac:dyDescent="0.35">
      <c r="A173" s="175"/>
      <c r="B173" s="334"/>
      <c r="C173" s="334"/>
      <c r="D173" s="334"/>
      <c r="E173" s="334"/>
      <c r="F173" s="334"/>
      <c r="G173" s="334"/>
      <c r="H173" s="334"/>
      <c r="I173" s="334"/>
      <c r="J173" s="334"/>
      <c r="K173" s="334"/>
      <c r="L173" s="334"/>
      <c r="M173" s="334"/>
      <c r="N173" s="334"/>
      <c r="O173" s="334"/>
      <c r="P173" s="334"/>
      <c r="Q173" s="334"/>
      <c r="R173" s="334"/>
      <c r="S173" s="334"/>
      <c r="T173" s="347"/>
      <c r="U173" s="334"/>
      <c r="V173" s="5"/>
    </row>
    <row r="174" spans="1:22" ht="15.6" x14ac:dyDescent="0.3">
      <c r="A174" s="173"/>
      <c r="B174" s="174"/>
      <c r="C174" s="174"/>
      <c r="D174" s="174"/>
      <c r="E174" s="174"/>
      <c r="F174" s="174"/>
      <c r="G174" s="174"/>
      <c r="H174" s="174"/>
      <c r="I174" s="174"/>
      <c r="J174" s="174"/>
      <c r="K174" s="174"/>
      <c r="L174" s="174"/>
      <c r="M174" s="174"/>
      <c r="N174" s="174"/>
      <c r="O174" s="174"/>
      <c r="P174" s="174"/>
      <c r="Q174" s="174"/>
      <c r="R174" s="174"/>
      <c r="S174" s="174"/>
      <c r="T174" s="193"/>
      <c r="U174" s="174"/>
      <c r="V174" s="5"/>
    </row>
    <row r="175" spans="1:22" ht="15.6" x14ac:dyDescent="0.3">
      <c r="A175" s="175"/>
      <c r="B175" s="201" t="s">
        <v>60</v>
      </c>
      <c r="C175" s="198"/>
      <c r="D175" s="198"/>
      <c r="E175" s="198"/>
      <c r="F175" s="198"/>
      <c r="G175" s="198"/>
      <c r="H175" s="203"/>
      <c r="I175" s="203"/>
      <c r="J175" s="203"/>
      <c r="K175" s="203"/>
      <c r="L175" s="203"/>
      <c r="M175" s="203"/>
      <c r="N175" s="203"/>
      <c r="O175" s="203"/>
      <c r="P175" s="203"/>
      <c r="Q175" s="203" t="s">
        <v>104</v>
      </c>
      <c r="R175" s="203" t="s">
        <v>183</v>
      </c>
      <c r="S175" s="179"/>
      <c r="T175" s="204" t="s">
        <v>120</v>
      </c>
      <c r="U175" s="205"/>
      <c r="V175" s="5"/>
    </row>
    <row r="176" spans="1:22" ht="15.6" x14ac:dyDescent="0.3">
      <c r="A176" s="284"/>
      <c r="B176" s="285" t="s">
        <v>61</v>
      </c>
      <c r="C176" s="285"/>
      <c r="D176" s="285"/>
      <c r="E176" s="285"/>
      <c r="F176" s="285"/>
      <c r="G176" s="285"/>
      <c r="H176" s="285"/>
      <c r="I176" s="285"/>
      <c r="J176" s="285"/>
      <c r="K176" s="285"/>
      <c r="L176" s="285"/>
      <c r="M176" s="285"/>
      <c r="N176" s="285"/>
      <c r="O176" s="285"/>
      <c r="P176" s="285"/>
      <c r="Q176" s="339">
        <v>160008</v>
      </c>
      <c r="R176" s="324"/>
      <c r="S176" s="285"/>
      <c r="T176" s="339"/>
      <c r="U176" s="288"/>
      <c r="V176" s="5"/>
    </row>
    <row r="177" spans="1:22" ht="15.6" x14ac:dyDescent="0.3">
      <c r="A177" s="284"/>
      <c r="B177" s="285" t="s">
        <v>62</v>
      </c>
      <c r="C177" s="285"/>
      <c r="D177" s="285"/>
      <c r="E177" s="285"/>
      <c r="F177" s="285"/>
      <c r="G177" s="285"/>
      <c r="H177" s="285"/>
      <c r="I177" s="285"/>
      <c r="J177" s="285"/>
      <c r="K177" s="285"/>
      <c r="L177" s="285"/>
      <c r="M177" s="285"/>
      <c r="N177" s="285"/>
      <c r="O177" s="285"/>
      <c r="P177" s="285"/>
      <c r="Q177" s="339">
        <f>+'June 13'!Q179</f>
        <v>37202</v>
      </c>
      <c r="R177" s="339">
        <f>+'June 13'!R179</f>
        <v>3447</v>
      </c>
      <c r="S177" s="285"/>
      <c r="T177" s="339">
        <f>Q177+R177</f>
        <v>40649</v>
      </c>
      <c r="U177" s="288"/>
      <c r="V177" s="5"/>
    </row>
    <row r="178" spans="1:22" ht="15.6" x14ac:dyDescent="0.3">
      <c r="A178" s="284"/>
      <c r="B178" s="285" t="s">
        <v>63</v>
      </c>
      <c r="C178" s="285"/>
      <c r="D178" s="285"/>
      <c r="E178" s="285"/>
      <c r="F178" s="285"/>
      <c r="G178" s="285"/>
      <c r="H178" s="285"/>
      <c r="I178" s="285"/>
      <c r="J178" s="285"/>
      <c r="K178" s="285"/>
      <c r="L178" s="285"/>
      <c r="M178" s="285"/>
      <c r="N178" s="285"/>
      <c r="O178" s="285"/>
      <c r="P178" s="285"/>
      <c r="Q178" s="338">
        <f>22+62</f>
        <v>84</v>
      </c>
      <c r="R178" s="338">
        <v>0</v>
      </c>
      <c r="S178" s="285"/>
      <c r="T178" s="339">
        <f>Q178+R178</f>
        <v>84</v>
      </c>
      <c r="U178" s="288"/>
      <c r="V178" s="5"/>
    </row>
    <row r="179" spans="1:22" ht="15.6" x14ac:dyDescent="0.3">
      <c r="A179" s="284"/>
      <c r="B179" s="285" t="s">
        <v>64</v>
      </c>
      <c r="C179" s="285"/>
      <c r="D179" s="285"/>
      <c r="E179" s="285"/>
      <c r="F179" s="285"/>
      <c r="G179" s="285"/>
      <c r="H179" s="285"/>
      <c r="I179" s="285"/>
      <c r="J179" s="285"/>
      <c r="K179" s="285"/>
      <c r="L179" s="285"/>
      <c r="M179" s="285"/>
      <c r="N179" s="285"/>
      <c r="O179" s="285"/>
      <c r="P179" s="285"/>
      <c r="Q179" s="339">
        <f>Q177+Q178</f>
        <v>37286</v>
      </c>
      <c r="R179" s="339">
        <f>R178+R177</f>
        <v>3447</v>
      </c>
      <c r="S179" s="285"/>
      <c r="T179" s="339">
        <f>Q179+R179</f>
        <v>40733</v>
      </c>
      <c r="U179" s="288"/>
      <c r="V179" s="5"/>
    </row>
    <row r="180" spans="1:22" ht="15.6" x14ac:dyDescent="0.3">
      <c r="A180" s="284"/>
      <c r="B180" s="285" t="s">
        <v>65</v>
      </c>
      <c r="C180" s="285"/>
      <c r="D180" s="285"/>
      <c r="E180" s="285"/>
      <c r="F180" s="285"/>
      <c r="G180" s="285"/>
      <c r="H180" s="285"/>
      <c r="I180" s="285"/>
      <c r="J180" s="285"/>
      <c r="K180" s="285"/>
      <c r="L180" s="285"/>
      <c r="M180" s="285"/>
      <c r="N180" s="285"/>
      <c r="O180" s="285"/>
      <c r="P180" s="285"/>
      <c r="Q180" s="339">
        <f>Q176-Q179-R179</f>
        <v>119275</v>
      </c>
      <c r="R180" s="324"/>
      <c r="S180" s="285"/>
      <c r="T180" s="339"/>
      <c r="U180" s="288"/>
      <c r="V180" s="5"/>
    </row>
    <row r="181" spans="1:22" ht="16.2" thickBot="1" x14ac:dyDescent="0.35">
      <c r="A181" s="175"/>
      <c r="B181" s="334"/>
      <c r="C181" s="334"/>
      <c r="D181" s="334"/>
      <c r="E181" s="334"/>
      <c r="F181" s="334"/>
      <c r="G181" s="334"/>
      <c r="H181" s="334"/>
      <c r="I181" s="334"/>
      <c r="J181" s="334"/>
      <c r="K181" s="334"/>
      <c r="L181" s="334"/>
      <c r="M181" s="334"/>
      <c r="N181" s="334"/>
      <c r="O181" s="334"/>
      <c r="P181" s="334"/>
      <c r="Q181" s="334"/>
      <c r="R181" s="334"/>
      <c r="S181" s="334"/>
      <c r="T181" s="347"/>
      <c r="U181" s="334"/>
      <c r="V181" s="5"/>
    </row>
    <row r="182" spans="1:22" ht="15.6" x14ac:dyDescent="0.3">
      <c r="A182" s="173"/>
      <c r="B182" s="174"/>
      <c r="C182" s="174"/>
      <c r="D182" s="174"/>
      <c r="E182" s="174"/>
      <c r="F182" s="174"/>
      <c r="G182" s="174"/>
      <c r="H182" s="174"/>
      <c r="I182" s="174"/>
      <c r="J182" s="174"/>
      <c r="K182" s="174"/>
      <c r="L182" s="174"/>
      <c r="M182" s="174"/>
      <c r="N182" s="174"/>
      <c r="O182" s="174"/>
      <c r="P182" s="174"/>
      <c r="Q182" s="174"/>
      <c r="R182" s="174"/>
      <c r="S182" s="174"/>
      <c r="T182" s="193"/>
      <c r="U182" s="174"/>
      <c r="V182" s="5"/>
    </row>
    <row r="183" spans="1:22" ht="15.6" x14ac:dyDescent="0.3">
      <c r="A183" s="175"/>
      <c r="B183" s="201" t="s">
        <v>66</v>
      </c>
      <c r="C183" s="177"/>
      <c r="D183" s="177"/>
      <c r="E183" s="177"/>
      <c r="F183" s="177"/>
      <c r="G183" s="177"/>
      <c r="H183" s="177"/>
      <c r="I183" s="177"/>
      <c r="J183" s="177"/>
      <c r="K183" s="177"/>
      <c r="L183" s="177"/>
      <c r="M183" s="177"/>
      <c r="N183" s="177"/>
      <c r="O183" s="177"/>
      <c r="P183" s="177"/>
      <c r="Q183" s="177"/>
      <c r="R183" s="177"/>
      <c r="S183" s="177"/>
      <c r="T183" s="206"/>
      <c r="U183" s="177"/>
      <c r="V183" s="5"/>
    </row>
    <row r="184" spans="1:22" ht="15.6" x14ac:dyDescent="0.3">
      <c r="A184" s="284"/>
      <c r="B184" s="285" t="s">
        <v>67</v>
      </c>
      <c r="C184" s="285"/>
      <c r="D184" s="285"/>
      <c r="E184" s="285"/>
      <c r="F184" s="285"/>
      <c r="G184" s="285"/>
      <c r="H184" s="285"/>
      <c r="I184" s="285"/>
      <c r="J184" s="285"/>
      <c r="K184" s="285"/>
      <c r="L184" s="285"/>
      <c r="M184" s="285"/>
      <c r="N184" s="285"/>
      <c r="O184" s="285"/>
      <c r="P184" s="285"/>
      <c r="Q184" s="285"/>
      <c r="R184" s="285"/>
      <c r="S184" s="285"/>
      <c r="T184" s="348">
        <f>(T100+T102+T103+T104+T105)/-(T106+T107)</f>
        <v>4.422031473533619</v>
      </c>
      <c r="U184" s="288" t="s">
        <v>121</v>
      </c>
      <c r="V184" s="5"/>
    </row>
    <row r="185" spans="1:22" ht="15.6" x14ac:dyDescent="0.3">
      <c r="A185" s="284"/>
      <c r="B185" s="285" t="s">
        <v>68</v>
      </c>
      <c r="C185" s="285"/>
      <c r="D185" s="285"/>
      <c r="E185" s="285"/>
      <c r="F185" s="285"/>
      <c r="G185" s="285"/>
      <c r="H185" s="285"/>
      <c r="I185" s="285"/>
      <c r="J185" s="285"/>
      <c r="K185" s="285"/>
      <c r="L185" s="285"/>
      <c r="M185" s="285"/>
      <c r="N185" s="285"/>
      <c r="O185" s="285"/>
      <c r="P185" s="285"/>
      <c r="Q185" s="285"/>
      <c r="R185" s="285"/>
      <c r="S185" s="285"/>
      <c r="T185" s="349">
        <v>1.71</v>
      </c>
      <c r="U185" s="288" t="s">
        <v>121</v>
      </c>
      <c r="V185" s="5"/>
    </row>
    <row r="186" spans="1:22" ht="15.6" x14ac:dyDescent="0.3">
      <c r="A186" s="284"/>
      <c r="B186" s="285" t="s">
        <v>69</v>
      </c>
      <c r="C186" s="285"/>
      <c r="D186" s="285"/>
      <c r="E186" s="285"/>
      <c r="F186" s="285"/>
      <c r="G186" s="285"/>
      <c r="H186" s="285"/>
      <c r="I186" s="285"/>
      <c r="J186" s="285"/>
      <c r="K186" s="285"/>
      <c r="L186" s="285"/>
      <c r="M186" s="285"/>
      <c r="N186" s="285"/>
      <c r="O186" s="285"/>
      <c r="P186" s="285"/>
      <c r="Q186" s="285"/>
      <c r="R186" s="285"/>
      <c r="S186" s="285"/>
      <c r="T186" s="348">
        <f>(T100+T102+T103+T104+T105+T106+T107)/-(T108+T109)</f>
        <v>12.929729729729729</v>
      </c>
      <c r="U186" s="288" t="s">
        <v>121</v>
      </c>
      <c r="V186" s="5"/>
    </row>
    <row r="187" spans="1:22" ht="15.6" x14ac:dyDescent="0.3">
      <c r="A187" s="284"/>
      <c r="B187" s="285" t="s">
        <v>70</v>
      </c>
      <c r="C187" s="285"/>
      <c r="D187" s="285"/>
      <c r="E187" s="285"/>
      <c r="F187" s="285"/>
      <c r="G187" s="285"/>
      <c r="H187" s="285"/>
      <c r="I187" s="285"/>
      <c r="J187" s="285"/>
      <c r="K187" s="285"/>
      <c r="L187" s="285"/>
      <c r="M187" s="285"/>
      <c r="N187" s="285"/>
      <c r="O187" s="285"/>
      <c r="P187" s="285"/>
      <c r="Q187" s="285"/>
      <c r="R187" s="285"/>
      <c r="S187" s="285"/>
      <c r="T187" s="349">
        <v>6.04</v>
      </c>
      <c r="U187" s="288" t="s">
        <v>121</v>
      </c>
      <c r="V187" s="5"/>
    </row>
    <row r="188" spans="1:22" ht="15.6" x14ac:dyDescent="0.3">
      <c r="A188" s="284"/>
      <c r="B188" s="285" t="s">
        <v>206</v>
      </c>
      <c r="C188" s="285"/>
      <c r="D188" s="285"/>
      <c r="E188" s="285"/>
      <c r="F188" s="285"/>
      <c r="G188" s="285"/>
      <c r="H188" s="285"/>
      <c r="I188" s="285"/>
      <c r="J188" s="285"/>
      <c r="K188" s="285"/>
      <c r="L188" s="285"/>
      <c r="M188" s="285"/>
      <c r="N188" s="285"/>
      <c r="O188" s="285"/>
      <c r="P188" s="285"/>
      <c r="Q188" s="285"/>
      <c r="R188" s="285"/>
      <c r="S188" s="285"/>
      <c r="T188" s="348">
        <f>(T100+T102+T103+T104+T105+T106+T107+T108+T109)/-(T110)</f>
        <v>9.8088888888888892</v>
      </c>
      <c r="U188" s="288" t="s">
        <v>121</v>
      </c>
      <c r="V188" s="5"/>
    </row>
    <row r="189" spans="1:22" ht="15.6" x14ac:dyDescent="0.3">
      <c r="A189" s="284"/>
      <c r="B189" s="285" t="s">
        <v>207</v>
      </c>
      <c r="C189" s="285"/>
      <c r="D189" s="285"/>
      <c r="E189" s="285"/>
      <c r="F189" s="285"/>
      <c r="G189" s="285"/>
      <c r="H189" s="285"/>
      <c r="I189" s="285"/>
      <c r="J189" s="285"/>
      <c r="K189" s="285"/>
      <c r="L189" s="285"/>
      <c r="M189" s="285"/>
      <c r="N189" s="285"/>
      <c r="O189" s="285"/>
      <c r="P189" s="285"/>
      <c r="Q189" s="285"/>
      <c r="R189" s="285"/>
      <c r="S189" s="285"/>
      <c r="T189" s="349">
        <v>5.5</v>
      </c>
      <c r="U189" s="288" t="s">
        <v>121</v>
      </c>
      <c r="V189" s="5"/>
    </row>
    <row r="190" spans="1:22" ht="15.6" x14ac:dyDescent="0.3">
      <c r="A190" s="284"/>
      <c r="B190" s="311"/>
      <c r="C190" s="311"/>
      <c r="D190" s="311"/>
      <c r="E190" s="311"/>
      <c r="F190" s="311"/>
      <c r="G190" s="311"/>
      <c r="H190" s="311"/>
      <c r="I190" s="311"/>
      <c r="J190" s="311"/>
      <c r="K190" s="311"/>
      <c r="L190" s="311"/>
      <c r="M190" s="311"/>
      <c r="N190" s="311"/>
      <c r="O190" s="311"/>
      <c r="P190" s="311"/>
      <c r="Q190" s="311"/>
      <c r="R190" s="311"/>
      <c r="S190" s="311"/>
      <c r="T190" s="311"/>
      <c r="U190" s="317"/>
      <c r="V190" s="5"/>
    </row>
    <row r="191" spans="1:22" ht="15.6" x14ac:dyDescent="0.3">
      <c r="A191" s="175"/>
      <c r="B191" s="334"/>
      <c r="C191" s="334"/>
      <c r="D191" s="334"/>
      <c r="E191" s="334"/>
      <c r="F191" s="334"/>
      <c r="G191" s="334"/>
      <c r="H191" s="334"/>
      <c r="I191" s="334"/>
      <c r="J191" s="334"/>
      <c r="K191" s="334"/>
      <c r="L191" s="334"/>
      <c r="M191" s="334"/>
      <c r="N191" s="334"/>
      <c r="O191" s="334"/>
      <c r="P191" s="334"/>
      <c r="Q191" s="334"/>
      <c r="R191" s="334"/>
      <c r="S191" s="334"/>
      <c r="T191" s="334"/>
      <c r="U191" s="334"/>
      <c r="V191" s="5"/>
    </row>
    <row r="192" spans="1:22" ht="15.6" x14ac:dyDescent="0.3">
      <c r="A192" s="175"/>
      <c r="B192" s="177"/>
      <c r="C192" s="177"/>
      <c r="D192" s="177"/>
      <c r="E192" s="177"/>
      <c r="F192" s="177"/>
      <c r="G192" s="177"/>
      <c r="H192" s="177"/>
      <c r="I192" s="177"/>
      <c r="J192" s="177"/>
      <c r="K192" s="177"/>
      <c r="L192" s="177"/>
      <c r="M192" s="177"/>
      <c r="N192" s="177"/>
      <c r="O192" s="177"/>
      <c r="P192" s="177"/>
      <c r="Q192" s="177"/>
      <c r="R192" s="177"/>
      <c r="S192" s="177"/>
      <c r="T192" s="177"/>
      <c r="U192" s="177"/>
      <c r="V192" s="5"/>
    </row>
    <row r="193" spans="1:22" ht="18" thickBot="1" x14ac:dyDescent="0.35">
      <c r="A193" s="192"/>
      <c r="B193" s="246" t="str">
        <f>B133</f>
        <v>PM11 INVESTOR REPORT QUARTER ENDING SEPTEMBER 2013</v>
      </c>
      <c r="C193" s="207"/>
      <c r="D193" s="207"/>
      <c r="E193" s="207"/>
      <c r="F193" s="207"/>
      <c r="G193" s="207"/>
      <c r="H193" s="207"/>
      <c r="I193" s="207"/>
      <c r="J193" s="207"/>
      <c r="K193" s="207"/>
      <c r="L193" s="207"/>
      <c r="M193" s="207"/>
      <c r="N193" s="207"/>
      <c r="O193" s="207"/>
      <c r="P193" s="207"/>
      <c r="Q193" s="207"/>
      <c r="R193" s="207"/>
      <c r="S193" s="207"/>
      <c r="T193" s="207"/>
      <c r="U193" s="208"/>
      <c r="V193" s="5"/>
    </row>
    <row r="194" spans="1:22" ht="15.6" x14ac:dyDescent="0.3">
      <c r="A194" s="260"/>
      <c r="B194" s="399" t="s">
        <v>71</v>
      </c>
      <c r="C194" s="400"/>
      <c r="D194" s="400"/>
      <c r="E194" s="400"/>
      <c r="F194" s="400"/>
      <c r="G194" s="401"/>
      <c r="H194" s="401"/>
      <c r="I194" s="401"/>
      <c r="J194" s="401"/>
      <c r="K194" s="401"/>
      <c r="L194" s="401"/>
      <c r="M194" s="401"/>
      <c r="N194" s="401"/>
      <c r="O194" s="401"/>
      <c r="P194" s="401"/>
      <c r="Q194" s="401"/>
      <c r="R194" s="401">
        <v>41547</v>
      </c>
      <c r="S194" s="261"/>
      <c r="T194" s="261"/>
      <c r="U194" s="261"/>
      <c r="V194" s="5"/>
    </row>
    <row r="195" spans="1:22" ht="15.6" x14ac:dyDescent="0.3">
      <c r="A195" s="209"/>
      <c r="B195" s="210"/>
      <c r="C195" s="211"/>
      <c r="D195" s="211"/>
      <c r="E195" s="211"/>
      <c r="F195" s="211"/>
      <c r="G195" s="212"/>
      <c r="H195" s="212"/>
      <c r="I195" s="212"/>
      <c r="J195" s="212"/>
      <c r="K195" s="212"/>
      <c r="L195" s="212"/>
      <c r="M195" s="212"/>
      <c r="N195" s="212"/>
      <c r="O195" s="212"/>
      <c r="P195" s="212"/>
      <c r="Q195" s="212"/>
      <c r="R195" s="212"/>
      <c r="S195" s="177"/>
      <c r="T195" s="177"/>
      <c r="U195" s="177"/>
      <c r="V195" s="5"/>
    </row>
    <row r="196" spans="1:22" ht="15.6" x14ac:dyDescent="0.3">
      <c r="A196" s="352"/>
      <c r="B196" s="285" t="s">
        <v>72</v>
      </c>
      <c r="C196" s="353"/>
      <c r="D196" s="353"/>
      <c r="E196" s="353"/>
      <c r="F196" s="353"/>
      <c r="G196" s="329"/>
      <c r="H196" s="329"/>
      <c r="I196" s="329"/>
      <c r="J196" s="329"/>
      <c r="K196" s="329"/>
      <c r="L196" s="329"/>
      <c r="M196" s="329"/>
      <c r="N196" s="329"/>
      <c r="O196" s="329"/>
      <c r="P196" s="329"/>
      <c r="Q196" s="329"/>
      <c r="R196" s="320">
        <v>5.1569999999999998E-2</v>
      </c>
      <c r="S196" s="285"/>
      <c r="T196" s="285"/>
      <c r="U196" s="317"/>
      <c r="V196" s="5"/>
    </row>
    <row r="197" spans="1:22" ht="15.6" x14ac:dyDescent="0.3">
      <c r="A197" s="352"/>
      <c r="B197" s="285" t="s">
        <v>157</v>
      </c>
      <c r="C197" s="353"/>
      <c r="D197" s="353"/>
      <c r="E197" s="353"/>
      <c r="F197" s="353"/>
      <c r="G197" s="329"/>
      <c r="H197" s="329"/>
      <c r="I197" s="329"/>
      <c r="J197" s="329"/>
      <c r="K197" s="329"/>
      <c r="L197" s="329"/>
      <c r="M197" s="329"/>
      <c r="N197" s="329"/>
      <c r="O197" s="329"/>
      <c r="P197" s="329"/>
      <c r="Q197" s="329"/>
      <c r="R197" s="320">
        <v>4.6899999999999997E-2</v>
      </c>
      <c r="S197" s="285"/>
      <c r="T197" s="285"/>
      <c r="U197" s="317"/>
      <c r="V197" s="5"/>
    </row>
    <row r="198" spans="1:22" ht="15.6" x14ac:dyDescent="0.3">
      <c r="A198" s="352"/>
      <c r="B198" s="285" t="s">
        <v>73</v>
      </c>
      <c r="C198" s="353"/>
      <c r="D198" s="353"/>
      <c r="E198" s="353"/>
      <c r="F198" s="353"/>
      <c r="G198" s="329"/>
      <c r="H198" s="329"/>
      <c r="I198" s="329"/>
      <c r="J198" s="329"/>
      <c r="K198" s="329"/>
      <c r="L198" s="329"/>
      <c r="M198" s="329"/>
      <c r="N198" s="329"/>
      <c r="O198" s="329"/>
      <c r="P198" s="329"/>
      <c r="Q198" s="329"/>
      <c r="R198" s="320">
        <f>R196-R197</f>
        <v>4.6700000000000005E-3</v>
      </c>
      <c r="S198" s="285"/>
      <c r="T198" s="285"/>
      <c r="U198" s="317"/>
      <c r="V198" s="5"/>
    </row>
    <row r="199" spans="1:22" ht="15.6" x14ac:dyDescent="0.3">
      <c r="A199" s="352"/>
      <c r="B199" s="285" t="s">
        <v>74</v>
      </c>
      <c r="C199" s="353"/>
      <c r="D199" s="353"/>
      <c r="E199" s="353"/>
      <c r="F199" s="353"/>
      <c r="G199" s="329"/>
      <c r="H199" s="329"/>
      <c r="I199" s="329"/>
      <c r="J199" s="329"/>
      <c r="K199" s="329"/>
      <c r="L199" s="329"/>
      <c r="M199" s="329"/>
      <c r="N199" s="329"/>
      <c r="O199" s="329"/>
      <c r="P199" s="329"/>
      <c r="Q199" s="329"/>
      <c r="R199" s="320">
        <v>2.2790000000000001E-2</v>
      </c>
      <c r="S199" s="285"/>
      <c r="T199" s="285"/>
      <c r="U199" s="317"/>
      <c r="V199" s="5"/>
    </row>
    <row r="200" spans="1:22" ht="15.6" x14ac:dyDescent="0.3">
      <c r="A200" s="352"/>
      <c r="B200" s="285" t="s">
        <v>257</v>
      </c>
      <c r="C200" s="353"/>
      <c r="D200" s="353"/>
      <c r="E200" s="353"/>
      <c r="F200" s="353"/>
      <c r="G200" s="329"/>
      <c r="H200" s="329"/>
      <c r="I200" s="329"/>
      <c r="J200" s="329"/>
      <c r="K200" s="329"/>
      <c r="L200" s="329"/>
      <c r="M200" s="329"/>
      <c r="N200" s="329"/>
      <c r="O200" s="329"/>
      <c r="P200" s="329"/>
      <c r="Q200" s="329"/>
      <c r="R200" s="320">
        <f>T43</f>
        <v>8.0850804240838493E-3</v>
      </c>
      <c r="S200" s="285"/>
      <c r="T200" s="285"/>
      <c r="U200" s="317"/>
      <c r="V200" s="5"/>
    </row>
    <row r="201" spans="1:22" ht="15.6" x14ac:dyDescent="0.3">
      <c r="A201" s="352"/>
      <c r="B201" s="285" t="s">
        <v>75</v>
      </c>
      <c r="C201" s="353"/>
      <c r="D201" s="353"/>
      <c r="E201" s="353"/>
      <c r="F201" s="353"/>
      <c r="G201" s="329"/>
      <c r="H201" s="329"/>
      <c r="I201" s="329"/>
      <c r="J201" s="329"/>
      <c r="K201" s="329"/>
      <c r="L201" s="329"/>
      <c r="M201" s="329"/>
      <c r="N201" s="329"/>
      <c r="O201" s="329"/>
      <c r="P201" s="329"/>
      <c r="Q201" s="329"/>
      <c r="R201" s="320">
        <f>R199-R200</f>
        <v>1.4704919575916152E-2</v>
      </c>
      <c r="S201" s="285"/>
      <c r="T201" s="285"/>
      <c r="U201" s="317"/>
      <c r="V201" s="5"/>
    </row>
    <row r="202" spans="1:22" ht="15.6" x14ac:dyDescent="0.3">
      <c r="A202" s="352"/>
      <c r="B202" s="285" t="s">
        <v>260</v>
      </c>
      <c r="C202" s="353"/>
      <c r="D202" s="353"/>
      <c r="E202" s="353"/>
      <c r="F202" s="353"/>
      <c r="G202" s="329"/>
      <c r="H202" s="329"/>
      <c r="I202" s="329"/>
      <c r="J202" s="329"/>
      <c r="K202" s="329"/>
      <c r="L202" s="329"/>
      <c r="M202" s="329"/>
      <c r="N202" s="329"/>
      <c r="O202" s="329"/>
      <c r="P202" s="329"/>
      <c r="Q202" s="329"/>
      <c r="R202" s="320">
        <f>+T100/L71</f>
        <v>6.3730978909304504E-3</v>
      </c>
      <c r="S202" s="285"/>
      <c r="T202" s="285"/>
      <c r="U202" s="317"/>
      <c r="V202" s="5"/>
    </row>
    <row r="203" spans="1:22" ht="15.6" x14ac:dyDescent="0.3">
      <c r="A203" s="352"/>
      <c r="B203" s="285" t="s">
        <v>217</v>
      </c>
      <c r="C203" s="353"/>
      <c r="D203" s="353"/>
      <c r="E203" s="353"/>
      <c r="F203" s="353"/>
      <c r="G203" s="329"/>
      <c r="H203" s="329"/>
      <c r="I203" s="329"/>
      <c r="J203" s="329"/>
      <c r="K203" s="329"/>
      <c r="L203" s="329"/>
      <c r="M203" s="329"/>
      <c r="N203" s="329"/>
      <c r="O203" s="329"/>
      <c r="P203" s="329"/>
      <c r="Q203" s="329"/>
      <c r="R203" s="354">
        <v>15250</v>
      </c>
      <c r="S203" s="285"/>
      <c r="T203" s="285"/>
      <c r="U203" s="317"/>
      <c r="V203" s="5"/>
    </row>
    <row r="204" spans="1:22" ht="15.6" x14ac:dyDescent="0.3">
      <c r="A204" s="352"/>
      <c r="B204" s="285" t="s">
        <v>218</v>
      </c>
      <c r="C204" s="353"/>
      <c r="D204" s="353"/>
      <c r="E204" s="353"/>
      <c r="F204" s="353"/>
      <c r="G204" s="329"/>
      <c r="H204" s="329"/>
      <c r="I204" s="329"/>
      <c r="J204" s="329"/>
      <c r="K204" s="329"/>
      <c r="L204" s="329"/>
      <c r="M204" s="329"/>
      <c r="N204" s="329"/>
      <c r="O204" s="329"/>
      <c r="P204" s="329"/>
      <c r="Q204" s="329"/>
      <c r="R204" s="354">
        <v>15250</v>
      </c>
      <c r="S204" s="285"/>
      <c r="T204" s="285"/>
      <c r="U204" s="317"/>
      <c r="V204" s="5"/>
    </row>
    <row r="205" spans="1:22" ht="15.6" x14ac:dyDescent="0.3">
      <c r="A205" s="352"/>
      <c r="B205" s="285" t="s">
        <v>219</v>
      </c>
      <c r="C205" s="353"/>
      <c r="D205" s="353"/>
      <c r="E205" s="353"/>
      <c r="F205" s="353"/>
      <c r="G205" s="329"/>
      <c r="H205" s="329"/>
      <c r="I205" s="329"/>
      <c r="J205" s="329"/>
      <c r="K205" s="329"/>
      <c r="L205" s="329"/>
      <c r="M205" s="329"/>
      <c r="N205" s="329"/>
      <c r="O205" s="329"/>
      <c r="P205" s="329"/>
      <c r="Q205" s="329"/>
      <c r="R205" s="354">
        <v>15250</v>
      </c>
      <c r="S205" s="285"/>
      <c r="T205" s="285"/>
      <c r="U205" s="317"/>
      <c r="V205" s="5"/>
    </row>
    <row r="206" spans="1:22" ht="15.6" x14ac:dyDescent="0.3">
      <c r="A206" s="352"/>
      <c r="B206" s="285" t="s">
        <v>76</v>
      </c>
      <c r="C206" s="353"/>
      <c r="D206" s="353"/>
      <c r="E206" s="353"/>
      <c r="F206" s="353"/>
      <c r="G206" s="329"/>
      <c r="H206" s="329"/>
      <c r="I206" s="329"/>
      <c r="J206" s="329"/>
      <c r="K206" s="329"/>
      <c r="L206" s="329"/>
      <c r="M206" s="329"/>
      <c r="N206" s="329"/>
      <c r="O206" s="329"/>
      <c r="P206" s="329"/>
      <c r="Q206" s="329"/>
      <c r="R206" s="326">
        <v>21.18</v>
      </c>
      <c r="S206" s="285" t="s">
        <v>116</v>
      </c>
      <c r="T206" s="285"/>
      <c r="U206" s="317"/>
      <c r="V206" s="5"/>
    </row>
    <row r="207" spans="1:22" ht="15.6" x14ac:dyDescent="0.3">
      <c r="A207" s="352"/>
      <c r="B207" s="285" t="s">
        <v>77</v>
      </c>
      <c r="C207" s="353"/>
      <c r="D207" s="353"/>
      <c r="E207" s="353"/>
      <c r="F207" s="353"/>
      <c r="G207" s="329"/>
      <c r="H207" s="329"/>
      <c r="I207" s="329"/>
      <c r="J207" s="329"/>
      <c r="K207" s="329"/>
      <c r="L207" s="329"/>
      <c r="M207" s="329"/>
      <c r="N207" s="329"/>
      <c r="O207" s="329"/>
      <c r="P207" s="329"/>
      <c r="Q207" s="329"/>
      <c r="R207" s="326">
        <v>13.9</v>
      </c>
      <c r="S207" s="285" t="s">
        <v>116</v>
      </c>
      <c r="T207" s="285"/>
      <c r="U207" s="317"/>
      <c r="V207" s="5"/>
    </row>
    <row r="208" spans="1:22" ht="15.6" x14ac:dyDescent="0.3">
      <c r="A208" s="352"/>
      <c r="B208" s="285" t="s">
        <v>78</v>
      </c>
      <c r="C208" s="353"/>
      <c r="D208" s="353"/>
      <c r="E208" s="353"/>
      <c r="F208" s="353"/>
      <c r="G208" s="329"/>
      <c r="H208" s="329"/>
      <c r="I208" s="329"/>
      <c r="J208" s="329"/>
      <c r="K208" s="329"/>
      <c r="L208" s="329"/>
      <c r="M208" s="329"/>
      <c r="N208" s="329"/>
      <c r="O208" s="329"/>
      <c r="P208" s="329"/>
      <c r="Q208" s="329"/>
      <c r="R208" s="320">
        <f>N68/L68</f>
        <v>8.0746709741368241E-3</v>
      </c>
      <c r="S208" s="285"/>
      <c r="T208" s="285"/>
      <c r="U208" s="317"/>
      <c r="V208" s="5"/>
    </row>
    <row r="209" spans="1:22" ht="15.6" x14ac:dyDescent="0.3">
      <c r="A209" s="352"/>
      <c r="B209" s="285" t="s">
        <v>79</v>
      </c>
      <c r="C209" s="353"/>
      <c r="D209" s="353"/>
      <c r="E209" s="353"/>
      <c r="F209" s="353"/>
      <c r="G209" s="329"/>
      <c r="H209" s="329"/>
      <c r="I209" s="329"/>
      <c r="J209" s="329"/>
      <c r="K209" s="329"/>
      <c r="L209" s="329"/>
      <c r="M209" s="329"/>
      <c r="N209" s="329"/>
      <c r="O209" s="329"/>
      <c r="P209" s="329"/>
      <c r="Q209" s="329"/>
      <c r="R209" s="320">
        <v>8.4500000000000006E-2</v>
      </c>
      <c r="S209" s="285"/>
      <c r="T209" s="285"/>
      <c r="U209" s="317"/>
      <c r="V209" s="5"/>
    </row>
    <row r="210" spans="1:22" ht="15.6" x14ac:dyDescent="0.3">
      <c r="A210" s="209"/>
      <c r="B210" s="350"/>
      <c r="C210" s="350"/>
      <c r="D210" s="350"/>
      <c r="E210" s="350"/>
      <c r="F210" s="350"/>
      <c r="G210" s="334"/>
      <c r="H210" s="334"/>
      <c r="I210" s="334"/>
      <c r="J210" s="334"/>
      <c r="K210" s="334"/>
      <c r="L210" s="334"/>
      <c r="M210" s="334"/>
      <c r="N210" s="334"/>
      <c r="O210" s="334"/>
      <c r="P210" s="334"/>
      <c r="Q210" s="334"/>
      <c r="R210" s="347"/>
      <c r="S210" s="334"/>
      <c r="T210" s="351"/>
      <c r="U210" s="334"/>
      <c r="V210" s="5"/>
    </row>
    <row r="211" spans="1:22" ht="15.6" x14ac:dyDescent="0.3">
      <c r="A211" s="266"/>
      <c r="B211" s="395" t="s">
        <v>80</v>
      </c>
      <c r="C211" s="396"/>
      <c r="D211" s="396"/>
      <c r="E211" s="396"/>
      <c r="F211" s="402"/>
      <c r="G211" s="396"/>
      <c r="H211" s="396"/>
      <c r="I211" s="396"/>
      <c r="J211" s="396"/>
      <c r="K211" s="396"/>
      <c r="L211" s="396"/>
      <c r="M211" s="396"/>
      <c r="N211" s="396"/>
      <c r="O211" s="396"/>
      <c r="P211" s="396"/>
      <c r="Q211" s="396" t="s">
        <v>105</v>
      </c>
      <c r="R211" s="402" t="s">
        <v>112</v>
      </c>
      <c r="S211" s="223"/>
      <c r="T211" s="223"/>
      <c r="U211" s="223"/>
      <c r="V211" s="5"/>
    </row>
    <row r="212" spans="1:22" ht="15.6" x14ac:dyDescent="0.3">
      <c r="A212" s="214"/>
      <c r="B212" s="239" t="s">
        <v>81</v>
      </c>
      <c r="C212" s="243"/>
      <c r="D212" s="243"/>
      <c r="E212" s="243"/>
      <c r="F212" s="239"/>
      <c r="G212" s="239"/>
      <c r="H212" s="242"/>
      <c r="I212" s="242"/>
      <c r="J212" s="242"/>
      <c r="K212" s="242"/>
      <c r="L212" s="242"/>
      <c r="M212" s="242"/>
      <c r="N212" s="242"/>
      <c r="O212" s="242"/>
      <c r="P212" s="242"/>
      <c r="Q212" s="242">
        <v>1</v>
      </c>
      <c r="R212" s="272">
        <v>52</v>
      </c>
      <c r="S212" s="239"/>
      <c r="T212" s="273"/>
      <c r="U212" s="215"/>
      <c r="V212" s="5"/>
    </row>
    <row r="213" spans="1:22" ht="15.6" x14ac:dyDescent="0.3">
      <c r="A213" s="360"/>
      <c r="B213" s="285" t="s">
        <v>151</v>
      </c>
      <c r="C213" s="338"/>
      <c r="D213" s="338"/>
      <c r="E213" s="338"/>
      <c r="F213" s="285"/>
      <c r="G213" s="285"/>
      <c r="H213" s="293"/>
      <c r="I213" s="293"/>
      <c r="J213" s="293"/>
      <c r="K213" s="293"/>
      <c r="L213" s="293"/>
      <c r="M213" s="293"/>
      <c r="N213" s="293"/>
      <c r="O213" s="293"/>
      <c r="P213" s="293"/>
      <c r="Q213" s="361">
        <f>+P265</f>
        <v>103</v>
      </c>
      <c r="R213" s="362">
        <f>+R265</f>
        <v>15637</v>
      </c>
      <c r="S213" s="285"/>
      <c r="T213" s="363"/>
      <c r="U213" s="364"/>
      <c r="V213" s="5"/>
    </row>
    <row r="214" spans="1:22" ht="15.6" x14ac:dyDescent="0.3">
      <c r="A214" s="360"/>
      <c r="B214" s="285" t="s">
        <v>82</v>
      </c>
      <c r="C214" s="338"/>
      <c r="D214" s="338"/>
      <c r="E214" s="338"/>
      <c r="F214" s="285"/>
      <c r="G214" s="285"/>
      <c r="H214" s="293"/>
      <c r="I214" s="293"/>
      <c r="J214" s="293"/>
      <c r="K214" s="293"/>
      <c r="L214" s="293"/>
      <c r="M214" s="293"/>
      <c r="N214" s="293"/>
      <c r="O214" s="293"/>
      <c r="P214" s="293"/>
      <c r="Q214" s="361">
        <f>+P277</f>
        <v>1</v>
      </c>
      <c r="R214" s="362">
        <f>+R277</f>
        <v>125</v>
      </c>
      <c r="S214" s="285"/>
      <c r="T214" s="363"/>
      <c r="U214" s="364"/>
      <c r="V214" s="5"/>
    </row>
    <row r="215" spans="1:22" ht="15.6" x14ac:dyDescent="0.3">
      <c r="A215" s="360"/>
      <c r="B215" s="310" t="s">
        <v>83</v>
      </c>
      <c r="C215" s="365"/>
      <c r="D215" s="365"/>
      <c r="E215" s="365"/>
      <c r="F215" s="311"/>
      <c r="G215" s="311"/>
      <c r="H215" s="311"/>
      <c r="I215" s="311"/>
      <c r="J215" s="311"/>
      <c r="K215" s="311"/>
      <c r="L215" s="311"/>
      <c r="M215" s="311"/>
      <c r="N215" s="311"/>
      <c r="O215" s="311"/>
      <c r="P215" s="311"/>
      <c r="Q215" s="285"/>
      <c r="R215" s="362">
        <v>0</v>
      </c>
      <c r="S215" s="311"/>
      <c r="T215" s="366"/>
      <c r="U215" s="364"/>
      <c r="V215" s="5"/>
    </row>
    <row r="216" spans="1:22" ht="15.6" x14ac:dyDescent="0.3">
      <c r="A216" s="360"/>
      <c r="B216" s="310" t="s">
        <v>84</v>
      </c>
      <c r="C216" s="365"/>
      <c r="D216" s="365"/>
      <c r="E216" s="365"/>
      <c r="F216" s="311"/>
      <c r="G216" s="311"/>
      <c r="H216" s="311"/>
      <c r="I216" s="311"/>
      <c r="J216" s="311"/>
      <c r="K216" s="311"/>
      <c r="L216" s="311"/>
      <c r="M216" s="311"/>
      <c r="N216" s="311"/>
      <c r="O216" s="311"/>
      <c r="P216" s="311"/>
      <c r="Q216" s="285"/>
      <c r="R216" s="367" t="s">
        <v>113</v>
      </c>
      <c r="S216" s="311"/>
      <c r="T216" s="366"/>
      <c r="U216" s="364"/>
      <c r="V216" s="5"/>
    </row>
    <row r="217" spans="1:22" ht="15.6" x14ac:dyDescent="0.3">
      <c r="A217" s="368"/>
      <c r="B217" s="310" t="s">
        <v>85</v>
      </c>
      <c r="C217" s="369"/>
      <c r="D217" s="369"/>
      <c r="E217" s="369"/>
      <c r="F217" s="369"/>
      <c r="G217" s="311"/>
      <c r="H217" s="311"/>
      <c r="I217" s="311"/>
      <c r="J217" s="311"/>
      <c r="K217" s="311"/>
      <c r="L217" s="311"/>
      <c r="M217" s="311"/>
      <c r="N217" s="311"/>
      <c r="O217" s="311"/>
      <c r="P217" s="311"/>
      <c r="Q217" s="285"/>
      <c r="R217" s="362"/>
      <c r="S217" s="311"/>
      <c r="T217" s="366"/>
      <c r="U217" s="370"/>
      <c r="V217" s="5"/>
    </row>
    <row r="218" spans="1:22" ht="15.6" x14ac:dyDescent="0.3">
      <c r="A218" s="368"/>
      <c r="B218" s="285" t="s">
        <v>86</v>
      </c>
      <c r="C218" s="285"/>
      <c r="D218" s="285"/>
      <c r="E218" s="285"/>
      <c r="F218" s="285"/>
      <c r="G218" s="285"/>
      <c r="H218" s="285"/>
      <c r="I218" s="285"/>
      <c r="J218" s="285"/>
      <c r="K218" s="285"/>
      <c r="L218" s="285"/>
      <c r="M218" s="285"/>
      <c r="N218" s="285"/>
      <c r="O218" s="285"/>
      <c r="P218" s="285"/>
      <c r="Q218" s="293"/>
      <c r="R218" s="362">
        <f>T162</f>
        <v>333</v>
      </c>
      <c r="S218" s="285"/>
      <c r="T218" s="363"/>
      <c r="U218" s="370"/>
      <c r="V218" s="5"/>
    </row>
    <row r="219" spans="1:22" ht="15.6" x14ac:dyDescent="0.3">
      <c r="A219" s="360"/>
      <c r="B219" s="285" t="s">
        <v>87</v>
      </c>
      <c r="C219" s="338"/>
      <c r="D219" s="338"/>
      <c r="E219" s="338"/>
      <c r="F219" s="338"/>
      <c r="G219" s="285"/>
      <c r="H219" s="285"/>
      <c r="I219" s="285"/>
      <c r="J219" s="285"/>
      <c r="K219" s="285"/>
      <c r="L219" s="285"/>
      <c r="M219" s="285"/>
      <c r="N219" s="285"/>
      <c r="O219" s="285"/>
      <c r="P219" s="285"/>
      <c r="Q219" s="293"/>
      <c r="R219" s="362">
        <f>'June 13'!R219+R218</f>
        <v>4355</v>
      </c>
      <c r="S219" s="285"/>
      <c r="T219" s="363"/>
      <c r="U219" s="370"/>
      <c r="V219" s="5"/>
    </row>
    <row r="220" spans="1:22" ht="15.6" x14ac:dyDescent="0.3">
      <c r="A220" s="368"/>
      <c r="B220" s="310" t="s">
        <v>282</v>
      </c>
      <c r="C220" s="369"/>
      <c r="D220" s="369"/>
      <c r="E220" s="369"/>
      <c r="F220" s="369"/>
      <c r="G220" s="311"/>
      <c r="H220" s="311"/>
      <c r="I220" s="311"/>
      <c r="J220" s="311"/>
      <c r="K220" s="311"/>
      <c r="L220" s="311"/>
      <c r="M220" s="311"/>
      <c r="N220" s="311"/>
      <c r="O220" s="311"/>
      <c r="P220" s="311"/>
      <c r="Q220" s="293"/>
      <c r="R220" s="362"/>
      <c r="S220" s="311"/>
      <c r="T220" s="366"/>
      <c r="U220" s="370"/>
      <c r="V220" s="5"/>
    </row>
    <row r="221" spans="1:22" ht="15.6" x14ac:dyDescent="0.3">
      <c r="A221" s="368"/>
      <c r="B221" s="285" t="s">
        <v>280</v>
      </c>
      <c r="C221" s="369"/>
      <c r="D221" s="369"/>
      <c r="E221" s="369"/>
      <c r="F221" s="369"/>
      <c r="G221" s="311"/>
      <c r="H221" s="311"/>
      <c r="I221" s="311"/>
      <c r="J221" s="311"/>
      <c r="K221" s="311"/>
      <c r="L221" s="311"/>
      <c r="M221" s="311"/>
      <c r="N221" s="311"/>
      <c r="O221" s="311"/>
      <c r="P221" s="311"/>
      <c r="Q221" s="293">
        <v>0</v>
      </c>
      <c r="R221" s="362">
        <v>0</v>
      </c>
      <c r="S221" s="311"/>
      <c r="T221" s="366"/>
      <c r="U221" s="370"/>
      <c r="V221" s="5"/>
    </row>
    <row r="222" spans="1:22" ht="15.6" x14ac:dyDescent="0.3">
      <c r="A222" s="360"/>
      <c r="B222" s="285" t="s">
        <v>89</v>
      </c>
      <c r="C222" s="373"/>
      <c r="D222" s="373"/>
      <c r="E222" s="373"/>
      <c r="F222" s="374"/>
      <c r="G222" s="311"/>
      <c r="H222" s="311"/>
      <c r="I222" s="311"/>
      <c r="J222" s="311"/>
      <c r="K222" s="311"/>
      <c r="L222" s="311"/>
      <c r="M222" s="311"/>
      <c r="N222" s="311"/>
      <c r="O222" s="311"/>
      <c r="P222" s="311"/>
      <c r="Q222" s="285"/>
      <c r="R222" s="367">
        <v>0</v>
      </c>
      <c r="S222" s="311"/>
      <c r="T222" s="366"/>
      <c r="U222" s="370"/>
      <c r="V222" s="5"/>
    </row>
    <row r="223" spans="1:22" ht="15.6" x14ac:dyDescent="0.3">
      <c r="A223" s="360"/>
      <c r="B223" s="285" t="s">
        <v>90</v>
      </c>
      <c r="C223" s="373"/>
      <c r="D223" s="373"/>
      <c r="E223" s="373"/>
      <c r="F223" s="374"/>
      <c r="G223" s="311"/>
      <c r="H223" s="311"/>
      <c r="I223" s="311"/>
      <c r="J223" s="311"/>
      <c r="K223" s="311"/>
      <c r="L223" s="311"/>
      <c r="M223" s="311"/>
      <c r="N223" s="311"/>
      <c r="O223" s="311"/>
      <c r="P223" s="311"/>
      <c r="Q223" s="285"/>
      <c r="R223" s="367">
        <v>0</v>
      </c>
      <c r="S223" s="311"/>
      <c r="T223" s="366"/>
      <c r="U223" s="370"/>
      <c r="V223" s="5"/>
    </row>
    <row r="224" spans="1:22" ht="15.6" x14ac:dyDescent="0.3">
      <c r="A224" s="360"/>
      <c r="B224" s="310" t="s">
        <v>226</v>
      </c>
      <c r="C224" s="373"/>
      <c r="D224" s="373"/>
      <c r="E224" s="373"/>
      <c r="F224" s="374"/>
      <c r="G224" s="311"/>
      <c r="H224" s="311"/>
      <c r="I224" s="311"/>
      <c r="J224" s="311"/>
      <c r="K224" s="311"/>
      <c r="L224" s="311"/>
      <c r="M224" s="311"/>
      <c r="N224" s="311"/>
      <c r="O224" s="311"/>
      <c r="P224" s="311"/>
      <c r="Q224" s="293"/>
      <c r="R224" s="375"/>
      <c r="S224" s="311"/>
      <c r="T224" s="366"/>
      <c r="U224" s="370"/>
      <c r="V224" s="5"/>
    </row>
    <row r="225" spans="1:23" ht="15.6" x14ac:dyDescent="0.3">
      <c r="A225" s="360"/>
      <c r="B225" s="285" t="s">
        <v>280</v>
      </c>
      <c r="C225" s="373"/>
      <c r="D225" s="373"/>
      <c r="E225" s="373"/>
      <c r="F225" s="374"/>
      <c r="G225" s="311"/>
      <c r="H225" s="311"/>
      <c r="I225" s="311"/>
      <c r="J225" s="311"/>
      <c r="K225" s="311"/>
      <c r="L225" s="311"/>
      <c r="M225" s="311"/>
      <c r="N225" s="311"/>
      <c r="O225" s="311"/>
      <c r="P225" s="311"/>
      <c r="Q225" s="293">
        <v>9</v>
      </c>
      <c r="R225" s="362">
        <v>1038</v>
      </c>
      <c r="S225" s="311"/>
      <c r="T225" s="366"/>
      <c r="U225" s="370"/>
      <c r="V225" s="5"/>
    </row>
    <row r="226" spans="1:23" ht="15.6" x14ac:dyDescent="0.3">
      <c r="A226" s="360"/>
      <c r="B226" s="285" t="s">
        <v>227</v>
      </c>
      <c r="C226" s="373"/>
      <c r="D226" s="373"/>
      <c r="E226" s="373"/>
      <c r="F226" s="374"/>
      <c r="G226" s="311"/>
      <c r="H226" s="311"/>
      <c r="I226" s="311"/>
      <c r="J226" s="311"/>
      <c r="K226" s="311"/>
      <c r="L226" s="311"/>
      <c r="M226" s="311"/>
      <c r="N226" s="311"/>
      <c r="O226" s="311"/>
      <c r="P226" s="311"/>
      <c r="Q226" s="293"/>
      <c r="R226" s="367">
        <v>8.4499999999999993</v>
      </c>
      <c r="S226" s="311"/>
      <c r="T226" s="366"/>
      <c r="U226" s="370"/>
      <c r="V226" s="5"/>
    </row>
    <row r="227" spans="1:23" ht="15.6" x14ac:dyDescent="0.3">
      <c r="A227" s="360"/>
      <c r="B227" s="369"/>
      <c r="C227" s="373"/>
      <c r="D227" s="373"/>
      <c r="E227" s="373"/>
      <c r="F227" s="374"/>
      <c r="G227" s="311"/>
      <c r="H227" s="311"/>
      <c r="I227" s="311"/>
      <c r="J227" s="311"/>
      <c r="K227" s="311"/>
      <c r="L227" s="311"/>
      <c r="M227" s="311"/>
      <c r="N227" s="311"/>
      <c r="O227" s="311"/>
      <c r="P227" s="311"/>
      <c r="Q227" s="311"/>
      <c r="R227" s="376"/>
      <c r="S227" s="311"/>
      <c r="T227" s="366"/>
      <c r="U227" s="370"/>
      <c r="V227" s="5"/>
    </row>
    <row r="228" spans="1:23" ht="15.6" x14ac:dyDescent="0.3">
      <c r="A228" s="360"/>
      <c r="B228" s="369"/>
      <c r="C228" s="373"/>
      <c r="D228" s="373"/>
      <c r="E228" s="373"/>
      <c r="F228" s="374"/>
      <c r="G228" s="311"/>
      <c r="H228" s="311"/>
      <c r="I228" s="311"/>
      <c r="J228" s="311"/>
      <c r="K228" s="311"/>
      <c r="L228" s="311"/>
      <c r="M228" s="311"/>
      <c r="N228" s="311"/>
      <c r="O228" s="311"/>
      <c r="P228" s="311"/>
      <c r="Q228" s="311"/>
      <c r="R228" s="376"/>
      <c r="S228" s="311"/>
      <c r="T228" s="366"/>
      <c r="U228" s="370"/>
      <c r="V228" s="5"/>
    </row>
    <row r="229" spans="1:23" ht="17.399999999999999" x14ac:dyDescent="0.3">
      <c r="A229" s="360"/>
      <c r="B229" s="377" t="s">
        <v>175</v>
      </c>
      <c r="C229" s="373"/>
      <c r="D229" s="373"/>
      <c r="E229" s="373"/>
      <c r="F229" s="374"/>
      <c r="G229" s="311"/>
      <c r="H229" s="311"/>
      <c r="I229" s="311"/>
      <c r="J229" s="311"/>
      <c r="K229" s="311"/>
      <c r="L229" s="311"/>
      <c r="M229" s="311"/>
      <c r="N229" s="378" t="s">
        <v>174</v>
      </c>
      <c r="O229" s="311"/>
      <c r="P229" s="311"/>
      <c r="Q229" s="311"/>
      <c r="R229" s="376"/>
      <c r="S229" s="311"/>
      <c r="T229" s="366"/>
      <c r="U229" s="370"/>
      <c r="V229" s="5"/>
    </row>
    <row r="230" spans="1:23" ht="15.6" x14ac:dyDescent="0.3">
      <c r="A230" s="355"/>
      <c r="B230" s="350"/>
      <c r="C230" s="356"/>
      <c r="D230" s="356"/>
      <c r="E230" s="356"/>
      <c r="F230" s="357"/>
      <c r="G230" s="334"/>
      <c r="H230" s="334"/>
      <c r="I230" s="334"/>
      <c r="J230" s="334"/>
      <c r="K230" s="334"/>
      <c r="L230" s="334"/>
      <c r="M230" s="334"/>
      <c r="N230" s="334"/>
      <c r="O230" s="334"/>
      <c r="P230" s="334"/>
      <c r="Q230" s="334"/>
      <c r="R230" s="358"/>
      <c r="S230" s="334"/>
      <c r="T230" s="351"/>
      <c r="U230" s="359"/>
      <c r="V230" s="5"/>
    </row>
    <row r="231" spans="1:23" ht="15.6" x14ac:dyDescent="0.3">
      <c r="A231" s="222"/>
      <c r="B231" s="395" t="s">
        <v>295</v>
      </c>
      <c r="C231" s="396"/>
      <c r="D231" s="396"/>
      <c r="E231" s="396"/>
      <c r="F231" s="402"/>
      <c r="G231" s="396"/>
      <c r="H231" s="396"/>
      <c r="I231" s="396"/>
      <c r="J231" s="396"/>
      <c r="K231" s="396"/>
      <c r="L231" s="396"/>
      <c r="M231" s="396"/>
      <c r="N231" s="396"/>
      <c r="O231" s="396"/>
      <c r="P231" s="402" t="s">
        <v>105</v>
      </c>
      <c r="Q231" s="396" t="s">
        <v>106</v>
      </c>
      <c r="R231" s="402" t="s">
        <v>114</v>
      </c>
      <c r="S231" s="396" t="s">
        <v>106</v>
      </c>
      <c r="T231" s="223"/>
      <c r="U231" s="395"/>
      <c r="V231" s="5"/>
    </row>
    <row r="232" spans="1:23" ht="15.6" x14ac:dyDescent="0.3">
      <c r="A232" s="190"/>
      <c r="B232" s="243" t="s">
        <v>91</v>
      </c>
      <c r="C232" s="217"/>
      <c r="D232" s="217"/>
      <c r="E232" s="217"/>
      <c r="F232" s="191"/>
      <c r="G232" s="217"/>
      <c r="H232" s="217"/>
      <c r="I232" s="217"/>
      <c r="J232" s="217"/>
      <c r="K232" s="217"/>
      <c r="L232" s="217"/>
      <c r="M232" s="217"/>
      <c r="N232" s="217"/>
      <c r="O232" s="217"/>
      <c r="P232" s="338">
        <f t="shared" ref="P232:P239" si="1">+P244+P256+P268</f>
        <v>4102</v>
      </c>
      <c r="Q232" s="384">
        <f t="shared" ref="Q232:Q239" si="2">P232/$P$241</f>
        <v>0.99394233099103468</v>
      </c>
      <c r="R232" s="339">
        <f t="shared" ref="R232:R239" si="3">+R244+R256+R268</f>
        <v>536961</v>
      </c>
      <c r="S232" s="384">
        <f t="shared" ref="S232:S239" si="4">R232/$R$241</f>
        <v>0.99332187631226976</v>
      </c>
      <c r="T232" s="213"/>
      <c r="U232" s="216"/>
      <c r="V232" s="5"/>
    </row>
    <row r="233" spans="1:23" ht="15.6" x14ac:dyDescent="0.3">
      <c r="A233" s="284"/>
      <c r="B233" s="338" t="s">
        <v>92</v>
      </c>
      <c r="C233" s="382"/>
      <c r="D233" s="382"/>
      <c r="E233" s="382"/>
      <c r="F233" s="311"/>
      <c r="G233" s="383"/>
      <c r="H233" s="382"/>
      <c r="I233" s="382"/>
      <c r="J233" s="382"/>
      <c r="K233" s="382"/>
      <c r="L233" s="382"/>
      <c r="M233" s="382"/>
      <c r="N233" s="382"/>
      <c r="O233" s="382"/>
      <c r="P233" s="338">
        <f t="shared" si="1"/>
        <v>5</v>
      </c>
      <c r="Q233" s="384">
        <f t="shared" si="2"/>
        <v>1.21153380179307E-3</v>
      </c>
      <c r="R233" s="339">
        <f t="shared" si="3"/>
        <v>574</v>
      </c>
      <c r="S233" s="384">
        <f t="shared" si="4"/>
        <v>1.0618401653066849E-3</v>
      </c>
      <c r="T233" s="366"/>
      <c r="U233" s="370"/>
      <c r="V233" s="5"/>
      <c r="W233" s="109"/>
    </row>
    <row r="234" spans="1:23" ht="15.6" x14ac:dyDescent="0.3">
      <c r="A234" s="284"/>
      <c r="B234" s="338" t="s">
        <v>93</v>
      </c>
      <c r="C234" s="382"/>
      <c r="D234" s="382"/>
      <c r="E234" s="382"/>
      <c r="F234" s="311"/>
      <c r="G234" s="383"/>
      <c r="H234" s="382"/>
      <c r="I234" s="382"/>
      <c r="J234" s="382"/>
      <c r="K234" s="382"/>
      <c r="L234" s="382"/>
      <c r="M234" s="382"/>
      <c r="N234" s="382"/>
      <c r="O234" s="382"/>
      <c r="P234" s="338">
        <f t="shared" si="1"/>
        <v>5</v>
      </c>
      <c r="Q234" s="384">
        <f t="shared" si="2"/>
        <v>1.21153380179307E-3</v>
      </c>
      <c r="R234" s="339">
        <f t="shared" si="3"/>
        <v>674</v>
      </c>
      <c r="S234" s="384">
        <f t="shared" si="4"/>
        <v>1.2468297411440865E-3</v>
      </c>
      <c r="T234" s="366"/>
      <c r="U234" s="370"/>
      <c r="V234" s="5"/>
    </row>
    <row r="235" spans="1:23" ht="15.6" x14ac:dyDescent="0.3">
      <c r="A235" s="284"/>
      <c r="B235" s="338" t="s">
        <v>163</v>
      </c>
      <c r="C235" s="382"/>
      <c r="D235" s="382"/>
      <c r="E235" s="382"/>
      <c r="F235" s="311"/>
      <c r="G235" s="383"/>
      <c r="H235" s="382"/>
      <c r="I235" s="382"/>
      <c r="J235" s="382"/>
      <c r="K235" s="382"/>
      <c r="L235" s="382"/>
      <c r="M235" s="382"/>
      <c r="N235" s="382"/>
      <c r="O235" s="382"/>
      <c r="P235" s="338">
        <f t="shared" si="1"/>
        <v>1</v>
      </c>
      <c r="Q235" s="384">
        <f t="shared" si="2"/>
        <v>2.4230676035861401E-4</v>
      </c>
      <c r="R235" s="339">
        <f t="shared" si="3"/>
        <v>93</v>
      </c>
      <c r="S235" s="384">
        <f t="shared" si="4"/>
        <v>1.7204030552878347E-4</v>
      </c>
      <c r="T235" s="366"/>
      <c r="U235" s="370"/>
      <c r="V235" s="5"/>
      <c r="W235" s="109"/>
    </row>
    <row r="236" spans="1:23" ht="15.6" x14ac:dyDescent="0.3">
      <c r="A236" s="284"/>
      <c r="B236" s="338" t="s">
        <v>164</v>
      </c>
      <c r="C236" s="382"/>
      <c r="D236" s="382"/>
      <c r="E236" s="382"/>
      <c r="F236" s="311"/>
      <c r="G236" s="383"/>
      <c r="H236" s="382"/>
      <c r="I236" s="382"/>
      <c r="J236" s="382"/>
      <c r="K236" s="382"/>
      <c r="L236" s="382"/>
      <c r="M236" s="382"/>
      <c r="N236" s="382"/>
      <c r="O236" s="382"/>
      <c r="P236" s="338">
        <f t="shared" si="1"/>
        <v>3</v>
      </c>
      <c r="Q236" s="384">
        <f t="shared" si="2"/>
        <v>7.26920281075842E-4</v>
      </c>
      <c r="R236" s="339">
        <f t="shared" si="3"/>
        <v>429</v>
      </c>
      <c r="S236" s="384">
        <f t="shared" si="4"/>
        <v>7.9360528034245266E-4</v>
      </c>
      <c r="T236" s="366"/>
      <c r="U236" s="370"/>
      <c r="V236" s="5"/>
    </row>
    <row r="237" spans="1:23" ht="15.6" x14ac:dyDescent="0.3">
      <c r="A237" s="284"/>
      <c r="B237" s="338" t="s">
        <v>165</v>
      </c>
      <c r="C237" s="382"/>
      <c r="D237" s="382"/>
      <c r="E237" s="382"/>
      <c r="F237" s="311"/>
      <c r="G237" s="383"/>
      <c r="H237" s="382"/>
      <c r="I237" s="382"/>
      <c r="J237" s="382"/>
      <c r="K237" s="382"/>
      <c r="L237" s="382"/>
      <c r="M237" s="382"/>
      <c r="N237" s="382"/>
      <c r="O237" s="382"/>
      <c r="P237" s="338">
        <f t="shared" si="1"/>
        <v>2</v>
      </c>
      <c r="Q237" s="384">
        <f t="shared" si="2"/>
        <v>4.8461352071722802E-4</v>
      </c>
      <c r="R237" s="339">
        <f t="shared" si="3"/>
        <v>193</v>
      </c>
      <c r="S237" s="384">
        <f t="shared" si="4"/>
        <v>3.5702988136618503E-4</v>
      </c>
      <c r="T237" s="366"/>
      <c r="U237" s="370"/>
      <c r="V237" s="5"/>
      <c r="W237" s="109"/>
    </row>
    <row r="238" spans="1:23" ht="15.6" x14ac:dyDescent="0.3">
      <c r="A238" s="284"/>
      <c r="B238" s="338" t="s">
        <v>166</v>
      </c>
      <c r="C238" s="382"/>
      <c r="D238" s="382"/>
      <c r="E238" s="382"/>
      <c r="F238" s="311"/>
      <c r="G238" s="383"/>
      <c r="H238" s="382"/>
      <c r="I238" s="382"/>
      <c r="J238" s="382"/>
      <c r="K238" s="382"/>
      <c r="L238" s="382"/>
      <c r="M238" s="382"/>
      <c r="N238" s="382"/>
      <c r="O238" s="382"/>
      <c r="P238" s="338">
        <f t="shared" si="1"/>
        <v>1</v>
      </c>
      <c r="Q238" s="384">
        <f t="shared" si="2"/>
        <v>2.4230676035861401E-4</v>
      </c>
      <c r="R238" s="339">
        <f t="shared" si="3"/>
        <v>139</v>
      </c>
      <c r="S238" s="384">
        <f t="shared" si="4"/>
        <v>2.5713551041398817E-4</v>
      </c>
      <c r="T238" s="366"/>
      <c r="U238" s="370"/>
      <c r="V238" s="5"/>
    </row>
    <row r="239" spans="1:23" ht="15.6" x14ac:dyDescent="0.3">
      <c r="A239" s="284"/>
      <c r="B239" s="338" t="s">
        <v>167</v>
      </c>
      <c r="C239" s="382"/>
      <c r="D239" s="382"/>
      <c r="E239" s="382"/>
      <c r="F239" s="311"/>
      <c r="G239" s="383"/>
      <c r="H239" s="382"/>
      <c r="I239" s="382"/>
      <c r="J239" s="382"/>
      <c r="K239" s="382"/>
      <c r="L239" s="382"/>
      <c r="M239" s="382"/>
      <c r="N239" s="382"/>
      <c r="O239" s="382"/>
      <c r="P239" s="338">
        <f t="shared" si="1"/>
        <v>8</v>
      </c>
      <c r="Q239" s="384">
        <f t="shared" si="2"/>
        <v>1.9384540828689121E-3</v>
      </c>
      <c r="R239" s="339">
        <f t="shared" si="3"/>
        <v>1508</v>
      </c>
      <c r="S239" s="384">
        <f t="shared" si="4"/>
        <v>2.7896428036280154E-3</v>
      </c>
      <c r="T239" s="366"/>
      <c r="U239" s="370"/>
      <c r="V239" s="5"/>
      <c r="W239" s="109"/>
    </row>
    <row r="240" spans="1:23" ht="15.6" x14ac:dyDescent="0.3">
      <c r="A240" s="284"/>
      <c r="B240" s="338"/>
      <c r="C240" s="382"/>
      <c r="D240" s="382"/>
      <c r="E240" s="382"/>
      <c r="F240" s="311"/>
      <c r="G240" s="383"/>
      <c r="H240" s="382"/>
      <c r="I240" s="382"/>
      <c r="J240" s="382"/>
      <c r="K240" s="382"/>
      <c r="L240" s="382"/>
      <c r="M240" s="382"/>
      <c r="N240" s="382"/>
      <c r="O240" s="382"/>
      <c r="P240" s="338"/>
      <c r="Q240" s="384"/>
      <c r="R240" s="339"/>
      <c r="S240" s="384"/>
      <c r="T240" s="366"/>
      <c r="U240" s="370"/>
      <c r="V240" s="5"/>
    </row>
    <row r="241" spans="1:23" ht="15.6" x14ac:dyDescent="0.3">
      <c r="A241" s="284"/>
      <c r="B241" s="285" t="s">
        <v>120</v>
      </c>
      <c r="C241" s="311"/>
      <c r="D241" s="311"/>
      <c r="E241" s="311"/>
      <c r="F241" s="311"/>
      <c r="G241" s="311"/>
      <c r="H241" s="385"/>
      <c r="I241" s="385"/>
      <c r="J241" s="385"/>
      <c r="K241" s="385"/>
      <c r="L241" s="385"/>
      <c r="M241" s="385"/>
      <c r="N241" s="385"/>
      <c r="O241" s="385"/>
      <c r="P241" s="338">
        <f>SUM(P232:P240)</f>
        <v>4127</v>
      </c>
      <c r="Q241" s="384">
        <f>SUM(Q232:Q240)</f>
        <v>1</v>
      </c>
      <c r="R241" s="339">
        <f>SUM(R232:R240)</f>
        <v>540571</v>
      </c>
      <c r="S241" s="384">
        <f>SUM(S232:S240)</f>
        <v>0.99999999999999989</v>
      </c>
      <c r="T241" s="311"/>
      <c r="U241" s="317"/>
      <c r="V241" s="5"/>
    </row>
    <row r="242" spans="1:23" ht="15.6" x14ac:dyDescent="0.3">
      <c r="A242" s="355"/>
      <c r="B242" s="350"/>
      <c r="C242" s="356"/>
      <c r="D242" s="356"/>
      <c r="E242" s="356"/>
      <c r="F242" s="357"/>
      <c r="G242" s="334"/>
      <c r="H242" s="334"/>
      <c r="I242" s="334"/>
      <c r="J242" s="334"/>
      <c r="K242" s="334"/>
      <c r="L242" s="334"/>
      <c r="M242" s="334"/>
      <c r="N242" s="334"/>
      <c r="O242" s="334"/>
      <c r="P242" s="334"/>
      <c r="Q242" s="334"/>
      <c r="R242" s="358"/>
      <c r="S242" s="334"/>
      <c r="T242" s="351"/>
      <c r="U242" s="359"/>
      <c r="V242" s="5"/>
    </row>
    <row r="243" spans="1:23" ht="15.6" x14ac:dyDescent="0.3">
      <c r="A243" s="222"/>
      <c r="B243" s="395" t="s">
        <v>169</v>
      </c>
      <c r="C243" s="396"/>
      <c r="D243" s="396"/>
      <c r="E243" s="396"/>
      <c r="F243" s="402"/>
      <c r="G243" s="396"/>
      <c r="H243" s="396"/>
      <c r="I243" s="396"/>
      <c r="J243" s="396"/>
      <c r="K243" s="396"/>
      <c r="L243" s="396"/>
      <c r="M243" s="396"/>
      <c r="N243" s="396"/>
      <c r="O243" s="396"/>
      <c r="P243" s="402" t="s">
        <v>105</v>
      </c>
      <c r="Q243" s="396" t="s">
        <v>106</v>
      </c>
      <c r="R243" s="402" t="s">
        <v>114</v>
      </c>
      <c r="S243" s="396" t="s">
        <v>106</v>
      </c>
      <c r="T243" s="223"/>
      <c r="U243" s="395"/>
      <c r="V243" s="5"/>
    </row>
    <row r="244" spans="1:23" ht="15.6" x14ac:dyDescent="0.3">
      <c r="A244" s="190"/>
      <c r="B244" s="243" t="s">
        <v>91</v>
      </c>
      <c r="C244" s="217"/>
      <c r="D244" s="217"/>
      <c r="E244" s="217"/>
      <c r="F244" s="191"/>
      <c r="G244" s="217"/>
      <c r="H244" s="217"/>
      <c r="I244" s="217"/>
      <c r="J244" s="217"/>
      <c r="K244" s="217"/>
      <c r="L244" s="217"/>
      <c r="M244" s="217"/>
      <c r="N244" s="217"/>
      <c r="O244" s="217"/>
      <c r="P244" s="243">
        <v>4017</v>
      </c>
      <c r="Q244" s="274">
        <f t="shared" ref="Q244:Q251" si="5">P244/$P$253</f>
        <v>0.99850857568978379</v>
      </c>
      <c r="R244" s="251">
        <v>523970</v>
      </c>
      <c r="S244" s="274">
        <f t="shared" ref="S244:S251" si="6">R244/$R$253</f>
        <v>0.99840132314804053</v>
      </c>
      <c r="T244" s="213"/>
      <c r="U244" s="216"/>
      <c r="V244" s="5"/>
    </row>
    <row r="245" spans="1:23" ht="15.6" x14ac:dyDescent="0.3">
      <c r="A245" s="284"/>
      <c r="B245" s="338" t="s">
        <v>92</v>
      </c>
      <c r="C245" s="382"/>
      <c r="D245" s="382"/>
      <c r="E245" s="382"/>
      <c r="F245" s="311"/>
      <c r="G245" s="383"/>
      <c r="H245" s="382"/>
      <c r="I245" s="382"/>
      <c r="J245" s="382"/>
      <c r="K245" s="382"/>
      <c r="L245" s="382"/>
      <c r="M245" s="382"/>
      <c r="N245" s="382"/>
      <c r="O245" s="382"/>
      <c r="P245" s="338">
        <v>4</v>
      </c>
      <c r="Q245" s="384">
        <f t="shared" si="5"/>
        <v>9.9428287347750428E-4</v>
      </c>
      <c r="R245" s="339">
        <v>447</v>
      </c>
      <c r="S245" s="384">
        <f t="shared" si="6"/>
        <v>8.5173844198556045E-4</v>
      </c>
      <c r="T245" s="366"/>
      <c r="U245" s="370"/>
      <c r="V245" s="5"/>
      <c r="W245" s="109"/>
    </row>
    <row r="246" spans="1:23" ht="15.6" x14ac:dyDescent="0.3">
      <c r="A246" s="284"/>
      <c r="B246" s="338" t="s">
        <v>93</v>
      </c>
      <c r="C246" s="382"/>
      <c r="D246" s="382"/>
      <c r="E246" s="382"/>
      <c r="F246" s="311"/>
      <c r="G246" s="383"/>
      <c r="H246" s="382"/>
      <c r="I246" s="382"/>
      <c r="J246" s="382"/>
      <c r="K246" s="382"/>
      <c r="L246" s="382"/>
      <c r="M246" s="382"/>
      <c r="N246" s="382"/>
      <c r="O246" s="382"/>
      <c r="P246" s="338">
        <v>0</v>
      </c>
      <c r="Q246" s="384">
        <f t="shared" si="5"/>
        <v>0</v>
      </c>
      <c r="R246" s="339">
        <v>0</v>
      </c>
      <c r="S246" s="384">
        <f t="shared" si="6"/>
        <v>0</v>
      </c>
      <c r="T246" s="366"/>
      <c r="U246" s="370"/>
      <c r="V246" s="5"/>
    </row>
    <row r="247" spans="1:23" ht="15.6" x14ac:dyDescent="0.3">
      <c r="A247" s="284"/>
      <c r="B247" s="338" t="s">
        <v>163</v>
      </c>
      <c r="C247" s="382"/>
      <c r="D247" s="382"/>
      <c r="E247" s="382"/>
      <c r="F247" s="311"/>
      <c r="G247" s="383"/>
      <c r="H247" s="382"/>
      <c r="I247" s="382"/>
      <c r="J247" s="382"/>
      <c r="K247" s="382"/>
      <c r="L247" s="382"/>
      <c r="M247" s="382"/>
      <c r="N247" s="382"/>
      <c r="O247" s="382"/>
      <c r="P247" s="338">
        <v>0</v>
      </c>
      <c r="Q247" s="384">
        <f t="shared" si="5"/>
        <v>0</v>
      </c>
      <c r="R247" s="339">
        <v>0</v>
      </c>
      <c r="S247" s="384">
        <f t="shared" si="6"/>
        <v>0</v>
      </c>
      <c r="T247" s="366"/>
      <c r="U247" s="370"/>
      <c r="V247" s="5"/>
      <c r="W247" s="109"/>
    </row>
    <row r="248" spans="1:23" ht="15.6" x14ac:dyDescent="0.3">
      <c r="A248" s="284"/>
      <c r="B248" s="338" t="s">
        <v>164</v>
      </c>
      <c r="C248" s="382"/>
      <c r="D248" s="382"/>
      <c r="E248" s="382"/>
      <c r="F248" s="311"/>
      <c r="G248" s="383"/>
      <c r="H248" s="382"/>
      <c r="I248" s="382"/>
      <c r="J248" s="382"/>
      <c r="K248" s="382"/>
      <c r="L248" s="382"/>
      <c r="M248" s="382"/>
      <c r="N248" s="382"/>
      <c r="O248" s="382"/>
      <c r="P248" s="338">
        <v>1</v>
      </c>
      <c r="Q248" s="384">
        <f t="shared" si="5"/>
        <v>2.4857071836937607E-4</v>
      </c>
      <c r="R248" s="339">
        <v>299</v>
      </c>
      <c r="S248" s="384">
        <f t="shared" si="6"/>
        <v>5.6973108311785816E-4</v>
      </c>
      <c r="T248" s="366"/>
      <c r="U248" s="370"/>
      <c r="V248" s="5"/>
    </row>
    <row r="249" spans="1:23" ht="15.6" x14ac:dyDescent="0.3">
      <c r="A249" s="284"/>
      <c r="B249" s="338" t="s">
        <v>165</v>
      </c>
      <c r="C249" s="382"/>
      <c r="D249" s="382"/>
      <c r="E249" s="382"/>
      <c r="F249" s="311"/>
      <c r="G249" s="383"/>
      <c r="H249" s="382"/>
      <c r="I249" s="382"/>
      <c r="J249" s="382"/>
      <c r="K249" s="382"/>
      <c r="L249" s="382"/>
      <c r="M249" s="382"/>
      <c r="N249" s="382"/>
      <c r="O249" s="382"/>
      <c r="P249" s="338">
        <v>0</v>
      </c>
      <c r="Q249" s="384">
        <f t="shared" si="5"/>
        <v>0</v>
      </c>
      <c r="R249" s="339">
        <v>0</v>
      </c>
      <c r="S249" s="384">
        <f t="shared" si="6"/>
        <v>0</v>
      </c>
      <c r="T249" s="366"/>
      <c r="U249" s="370"/>
      <c r="V249" s="5"/>
      <c r="W249" s="109"/>
    </row>
    <row r="250" spans="1:23" ht="15.6" x14ac:dyDescent="0.3">
      <c r="A250" s="284"/>
      <c r="B250" s="338" t="s">
        <v>166</v>
      </c>
      <c r="C250" s="382"/>
      <c r="D250" s="382"/>
      <c r="E250" s="382"/>
      <c r="F250" s="311"/>
      <c r="G250" s="383"/>
      <c r="H250" s="382"/>
      <c r="I250" s="382"/>
      <c r="J250" s="382"/>
      <c r="K250" s="382"/>
      <c r="L250" s="382"/>
      <c r="M250" s="382"/>
      <c r="N250" s="382"/>
      <c r="O250" s="382"/>
      <c r="P250" s="338">
        <v>0</v>
      </c>
      <c r="Q250" s="384">
        <f t="shared" si="5"/>
        <v>0</v>
      </c>
      <c r="R250" s="339">
        <v>0</v>
      </c>
      <c r="S250" s="384">
        <f t="shared" si="6"/>
        <v>0</v>
      </c>
      <c r="T250" s="366"/>
      <c r="U250" s="370"/>
      <c r="V250" s="5"/>
    </row>
    <row r="251" spans="1:23" ht="15.6" x14ac:dyDescent="0.3">
      <c r="A251" s="284"/>
      <c r="B251" s="338" t="s">
        <v>167</v>
      </c>
      <c r="C251" s="382"/>
      <c r="D251" s="382"/>
      <c r="E251" s="382"/>
      <c r="F251" s="311"/>
      <c r="G251" s="383"/>
      <c r="H251" s="382"/>
      <c r="I251" s="382"/>
      <c r="J251" s="382"/>
      <c r="K251" s="382"/>
      <c r="L251" s="382"/>
      <c r="M251" s="382"/>
      <c r="N251" s="382"/>
      <c r="O251" s="382"/>
      <c r="P251" s="338">
        <v>1</v>
      </c>
      <c r="Q251" s="384">
        <f t="shared" si="5"/>
        <v>2.4857071836937607E-4</v>
      </c>
      <c r="R251" s="339">
        <v>93</v>
      </c>
      <c r="S251" s="384">
        <f t="shared" si="6"/>
        <v>1.7720732685605619E-4</v>
      </c>
      <c r="T251" s="366"/>
      <c r="U251" s="370"/>
      <c r="V251" s="5"/>
      <c r="W251" s="109"/>
    </row>
    <row r="252" spans="1:23" ht="15.6" x14ac:dyDescent="0.3">
      <c r="A252" s="284"/>
      <c r="B252" s="338"/>
      <c r="C252" s="382"/>
      <c r="D252" s="382"/>
      <c r="E252" s="382"/>
      <c r="F252" s="311"/>
      <c r="G252" s="383"/>
      <c r="H252" s="382"/>
      <c r="I252" s="382"/>
      <c r="J252" s="382"/>
      <c r="K252" s="382"/>
      <c r="L252" s="382"/>
      <c r="M252" s="382"/>
      <c r="N252" s="382"/>
      <c r="O252" s="382"/>
      <c r="P252" s="338"/>
      <c r="Q252" s="384"/>
      <c r="R252" s="339"/>
      <c r="S252" s="384"/>
      <c r="T252" s="366"/>
      <c r="U252" s="370"/>
      <c r="V252" s="5"/>
    </row>
    <row r="253" spans="1:23" ht="15.6" x14ac:dyDescent="0.3">
      <c r="A253" s="284"/>
      <c r="B253" s="285" t="s">
        <v>120</v>
      </c>
      <c r="C253" s="311"/>
      <c r="D253" s="311"/>
      <c r="E253" s="311"/>
      <c r="F253" s="311"/>
      <c r="G253" s="311"/>
      <c r="H253" s="385"/>
      <c r="I253" s="385"/>
      <c r="J253" s="385"/>
      <c r="K253" s="385"/>
      <c r="L253" s="385"/>
      <c r="M253" s="385"/>
      <c r="N253" s="385"/>
      <c r="O253" s="385"/>
      <c r="P253" s="338">
        <f>SUM(P244:P252)</f>
        <v>4023</v>
      </c>
      <c r="Q253" s="384">
        <f>SUM(Q244:Q252)</f>
        <v>1</v>
      </c>
      <c r="R253" s="339">
        <f>SUM(R244:R252)</f>
        <v>524809</v>
      </c>
      <c r="S253" s="384">
        <f>SUM(S244:S252)</f>
        <v>1</v>
      </c>
      <c r="T253" s="311"/>
      <c r="U253" s="317"/>
      <c r="V253" s="5"/>
    </row>
    <row r="254" spans="1:23" ht="15.6" x14ac:dyDescent="0.3">
      <c r="A254" s="175"/>
      <c r="B254" s="334"/>
      <c r="C254" s="334"/>
      <c r="D254" s="334"/>
      <c r="E254" s="334"/>
      <c r="F254" s="334"/>
      <c r="G254" s="334"/>
      <c r="H254" s="379"/>
      <c r="I254" s="379"/>
      <c r="J254" s="379"/>
      <c r="K254" s="379"/>
      <c r="L254" s="379"/>
      <c r="M254" s="379"/>
      <c r="N254" s="379"/>
      <c r="O254" s="379"/>
      <c r="P254" s="335"/>
      <c r="Q254" s="380"/>
      <c r="R254" s="381"/>
      <c r="S254" s="380"/>
      <c r="T254" s="334"/>
      <c r="U254" s="334"/>
      <c r="V254" s="5"/>
    </row>
    <row r="255" spans="1:23" ht="15.6" x14ac:dyDescent="0.3">
      <c r="A255" s="268"/>
      <c r="B255" s="395" t="s">
        <v>267</v>
      </c>
      <c r="C255" s="396"/>
      <c r="D255" s="396"/>
      <c r="E255" s="396"/>
      <c r="F255" s="402"/>
      <c r="G255" s="396"/>
      <c r="H255" s="396"/>
      <c r="I255" s="396"/>
      <c r="J255" s="396"/>
      <c r="K255" s="396"/>
      <c r="L255" s="396"/>
      <c r="M255" s="396"/>
      <c r="N255" s="396"/>
      <c r="O255" s="396"/>
      <c r="P255" s="402" t="s">
        <v>105</v>
      </c>
      <c r="Q255" s="396" t="s">
        <v>106</v>
      </c>
      <c r="R255" s="402" t="s">
        <v>114</v>
      </c>
      <c r="S255" s="396" t="s">
        <v>106</v>
      </c>
      <c r="T255" s="269"/>
      <c r="U255" s="270"/>
      <c r="V255" s="5"/>
    </row>
    <row r="256" spans="1:23" ht="15.6" x14ac:dyDescent="0.3">
      <c r="A256" s="190"/>
      <c r="B256" s="243" t="s">
        <v>91</v>
      </c>
      <c r="C256" s="217"/>
      <c r="D256" s="217"/>
      <c r="E256" s="217"/>
      <c r="F256" s="191"/>
      <c r="G256" s="217"/>
      <c r="H256" s="217"/>
      <c r="I256" s="217"/>
      <c r="J256" s="217"/>
      <c r="K256" s="217"/>
      <c r="L256" s="217"/>
      <c r="M256" s="217"/>
      <c r="N256" s="217"/>
      <c r="O256" s="217"/>
      <c r="P256" s="243">
        <v>85</v>
      </c>
      <c r="Q256" s="274">
        <f t="shared" ref="Q256:Q263" si="7">P256/$P$265</f>
        <v>0.82524271844660191</v>
      </c>
      <c r="R256" s="251">
        <v>12991</v>
      </c>
      <c r="S256" s="274">
        <f t="shared" ref="S256:S263" si="8">R256/$R$265</f>
        <v>0.83078595638549591</v>
      </c>
      <c r="T256" s="191"/>
      <c r="U256" s="191"/>
      <c r="V256" s="5"/>
    </row>
    <row r="257" spans="1:22" ht="15.6" x14ac:dyDescent="0.3">
      <c r="A257" s="284"/>
      <c r="B257" s="338" t="s">
        <v>92</v>
      </c>
      <c r="C257" s="382"/>
      <c r="D257" s="382"/>
      <c r="E257" s="382"/>
      <c r="F257" s="311"/>
      <c r="G257" s="383"/>
      <c r="H257" s="382"/>
      <c r="I257" s="382"/>
      <c r="J257" s="382"/>
      <c r="K257" s="382"/>
      <c r="L257" s="382"/>
      <c r="M257" s="382"/>
      <c r="N257" s="382"/>
      <c r="O257" s="382"/>
      <c r="P257" s="338">
        <v>1</v>
      </c>
      <c r="Q257" s="384">
        <f t="shared" si="7"/>
        <v>9.7087378640776691E-3</v>
      </c>
      <c r="R257" s="339">
        <v>127</v>
      </c>
      <c r="S257" s="384">
        <f t="shared" si="8"/>
        <v>8.1217624864104374E-3</v>
      </c>
      <c r="T257" s="311"/>
      <c r="U257" s="317"/>
      <c r="V257" s="5"/>
    </row>
    <row r="258" spans="1:22" ht="15.6" x14ac:dyDescent="0.3">
      <c r="A258" s="284"/>
      <c r="B258" s="338" t="s">
        <v>93</v>
      </c>
      <c r="C258" s="382"/>
      <c r="D258" s="382"/>
      <c r="E258" s="382"/>
      <c r="F258" s="311"/>
      <c r="G258" s="383"/>
      <c r="H258" s="382"/>
      <c r="I258" s="382"/>
      <c r="J258" s="382"/>
      <c r="K258" s="382"/>
      <c r="L258" s="382"/>
      <c r="M258" s="382"/>
      <c r="N258" s="382"/>
      <c r="O258" s="382"/>
      <c r="P258" s="338">
        <v>5</v>
      </c>
      <c r="Q258" s="384">
        <f t="shared" si="7"/>
        <v>4.8543689320388349E-2</v>
      </c>
      <c r="R258" s="339">
        <v>674</v>
      </c>
      <c r="S258" s="384">
        <f t="shared" si="8"/>
        <v>4.3102896975123109E-2</v>
      </c>
      <c r="T258" s="311"/>
      <c r="U258" s="317"/>
      <c r="V258" s="5"/>
    </row>
    <row r="259" spans="1:22" ht="15.6" x14ac:dyDescent="0.3">
      <c r="A259" s="284"/>
      <c r="B259" s="338" t="s">
        <v>163</v>
      </c>
      <c r="C259" s="382"/>
      <c r="D259" s="382"/>
      <c r="E259" s="382"/>
      <c r="F259" s="311"/>
      <c r="G259" s="383"/>
      <c r="H259" s="382"/>
      <c r="I259" s="382"/>
      <c r="J259" s="382"/>
      <c r="K259" s="382"/>
      <c r="L259" s="382"/>
      <c r="M259" s="382"/>
      <c r="N259" s="382"/>
      <c r="O259" s="382"/>
      <c r="P259" s="338">
        <v>1</v>
      </c>
      <c r="Q259" s="384">
        <f t="shared" si="7"/>
        <v>9.7087378640776691E-3</v>
      </c>
      <c r="R259" s="339">
        <v>93</v>
      </c>
      <c r="S259" s="384">
        <f t="shared" si="8"/>
        <v>5.9474323719383515E-3</v>
      </c>
      <c r="T259" s="311"/>
      <c r="U259" s="317"/>
      <c r="V259" s="5"/>
    </row>
    <row r="260" spans="1:22" ht="15.6" x14ac:dyDescent="0.3">
      <c r="A260" s="284"/>
      <c r="B260" s="338" t="s">
        <v>164</v>
      </c>
      <c r="C260" s="382"/>
      <c r="D260" s="382"/>
      <c r="E260" s="382"/>
      <c r="F260" s="311"/>
      <c r="G260" s="383"/>
      <c r="H260" s="382"/>
      <c r="I260" s="382"/>
      <c r="J260" s="382"/>
      <c r="K260" s="382"/>
      <c r="L260" s="382"/>
      <c r="M260" s="382"/>
      <c r="N260" s="382"/>
      <c r="O260" s="382"/>
      <c r="P260" s="338">
        <v>2</v>
      </c>
      <c r="Q260" s="384">
        <f t="shared" si="7"/>
        <v>1.9417475728155338E-2</v>
      </c>
      <c r="R260" s="339">
        <v>130</v>
      </c>
      <c r="S260" s="384">
        <f t="shared" si="8"/>
        <v>8.3136151435697376E-3</v>
      </c>
      <c r="T260" s="311"/>
      <c r="U260" s="317"/>
      <c r="V260" s="5"/>
    </row>
    <row r="261" spans="1:22" ht="15.6" x14ac:dyDescent="0.3">
      <c r="A261" s="284"/>
      <c r="B261" s="338" t="s">
        <v>165</v>
      </c>
      <c r="C261" s="382"/>
      <c r="D261" s="382"/>
      <c r="E261" s="382"/>
      <c r="F261" s="311"/>
      <c r="G261" s="383"/>
      <c r="H261" s="382"/>
      <c r="I261" s="382"/>
      <c r="J261" s="382"/>
      <c r="K261" s="382"/>
      <c r="L261" s="382"/>
      <c r="M261" s="382"/>
      <c r="N261" s="382"/>
      <c r="O261" s="382"/>
      <c r="P261" s="338">
        <v>1</v>
      </c>
      <c r="Q261" s="384">
        <f t="shared" si="7"/>
        <v>9.7087378640776691E-3</v>
      </c>
      <c r="R261" s="339">
        <v>68</v>
      </c>
      <c r="S261" s="384">
        <f t="shared" si="8"/>
        <v>4.3486602289441708E-3</v>
      </c>
      <c r="T261" s="311"/>
      <c r="U261" s="317"/>
      <c r="V261" s="5"/>
    </row>
    <row r="262" spans="1:22" ht="15.6" x14ac:dyDescent="0.3">
      <c r="A262" s="284"/>
      <c r="B262" s="338" t="s">
        <v>166</v>
      </c>
      <c r="C262" s="382"/>
      <c r="D262" s="382"/>
      <c r="E262" s="382"/>
      <c r="F262" s="311"/>
      <c r="G262" s="383"/>
      <c r="H262" s="382"/>
      <c r="I262" s="382"/>
      <c r="J262" s="382"/>
      <c r="K262" s="382"/>
      <c r="L262" s="382"/>
      <c r="M262" s="382"/>
      <c r="N262" s="382"/>
      <c r="O262" s="382"/>
      <c r="P262" s="338">
        <v>1</v>
      </c>
      <c r="Q262" s="384">
        <f t="shared" si="7"/>
        <v>9.7087378640776691E-3</v>
      </c>
      <c r="R262" s="339">
        <v>139</v>
      </c>
      <c r="S262" s="384">
        <f t="shared" si="8"/>
        <v>8.8891731150476435E-3</v>
      </c>
      <c r="T262" s="311"/>
      <c r="U262" s="317"/>
      <c r="V262" s="5"/>
    </row>
    <row r="263" spans="1:22" ht="15.6" x14ac:dyDescent="0.3">
      <c r="A263" s="284"/>
      <c r="B263" s="338" t="s">
        <v>167</v>
      </c>
      <c r="C263" s="382"/>
      <c r="D263" s="382"/>
      <c r="E263" s="382"/>
      <c r="F263" s="311"/>
      <c r="G263" s="383"/>
      <c r="H263" s="382"/>
      <c r="I263" s="382"/>
      <c r="J263" s="382"/>
      <c r="K263" s="382"/>
      <c r="L263" s="382"/>
      <c r="M263" s="382"/>
      <c r="N263" s="382"/>
      <c r="O263" s="382"/>
      <c r="P263" s="338">
        <v>7</v>
      </c>
      <c r="Q263" s="384">
        <f t="shared" si="7"/>
        <v>6.7961165048543687E-2</v>
      </c>
      <c r="R263" s="339">
        <v>1415</v>
      </c>
      <c r="S263" s="384">
        <f t="shared" si="8"/>
        <v>9.0490503293470609E-2</v>
      </c>
      <c r="T263" s="311"/>
      <c r="U263" s="317"/>
      <c r="V263" s="5"/>
    </row>
    <row r="264" spans="1:22" ht="15.6" x14ac:dyDescent="0.3">
      <c r="A264" s="284"/>
      <c r="B264" s="338"/>
      <c r="C264" s="382"/>
      <c r="D264" s="382"/>
      <c r="E264" s="382"/>
      <c r="F264" s="311"/>
      <c r="G264" s="383"/>
      <c r="H264" s="382"/>
      <c r="I264" s="382"/>
      <c r="J264" s="382"/>
      <c r="K264" s="382"/>
      <c r="L264" s="382"/>
      <c r="M264" s="382"/>
      <c r="N264" s="382"/>
      <c r="O264" s="382"/>
      <c r="P264" s="338"/>
      <c r="Q264" s="384"/>
      <c r="R264" s="339"/>
      <c r="S264" s="384"/>
      <c r="T264" s="311"/>
      <c r="U264" s="317"/>
      <c r="V264" s="5"/>
    </row>
    <row r="265" spans="1:22" ht="15.6" x14ac:dyDescent="0.3">
      <c r="A265" s="284"/>
      <c r="B265" s="285" t="s">
        <v>120</v>
      </c>
      <c r="C265" s="311"/>
      <c r="D265" s="311"/>
      <c r="E265" s="311"/>
      <c r="F265" s="311"/>
      <c r="G265" s="311"/>
      <c r="H265" s="385"/>
      <c r="I265" s="385"/>
      <c r="J265" s="385"/>
      <c r="K265" s="385"/>
      <c r="L265" s="385"/>
      <c r="M265" s="385"/>
      <c r="N265" s="385"/>
      <c r="O265" s="385"/>
      <c r="P265" s="338">
        <f>SUM(P256:P264)</f>
        <v>103</v>
      </c>
      <c r="Q265" s="384">
        <f>SUM(Q256:Q264)</f>
        <v>0.99999999999999989</v>
      </c>
      <c r="R265" s="339">
        <f>SUM(R256:R264)</f>
        <v>15637</v>
      </c>
      <c r="S265" s="384">
        <f>SUM(S256:S264)</f>
        <v>1</v>
      </c>
      <c r="T265" s="311"/>
      <c r="U265" s="317"/>
      <c r="V265" s="5"/>
    </row>
    <row r="266" spans="1:22" ht="15.6" x14ac:dyDescent="0.3">
      <c r="A266" s="175"/>
      <c r="B266" s="334"/>
      <c r="C266" s="334"/>
      <c r="D266" s="334"/>
      <c r="E266" s="334"/>
      <c r="F266" s="334"/>
      <c r="G266" s="334"/>
      <c r="H266" s="379"/>
      <c r="I266" s="379"/>
      <c r="J266" s="379"/>
      <c r="K266" s="379"/>
      <c r="L266" s="379"/>
      <c r="M266" s="379"/>
      <c r="N266" s="379"/>
      <c r="O266" s="379"/>
      <c r="P266" s="335"/>
      <c r="Q266" s="380"/>
      <c r="R266" s="381"/>
      <c r="S266" s="380"/>
      <c r="T266" s="334"/>
      <c r="U266" s="334"/>
      <c r="V266" s="5"/>
    </row>
    <row r="267" spans="1:22" ht="15.6" x14ac:dyDescent="0.3">
      <c r="A267" s="268"/>
      <c r="B267" s="395" t="s">
        <v>170</v>
      </c>
      <c r="C267" s="269"/>
      <c r="D267" s="269"/>
      <c r="E267" s="269"/>
      <c r="F267" s="269"/>
      <c r="G267" s="269"/>
      <c r="H267" s="271"/>
      <c r="I267" s="271"/>
      <c r="J267" s="271"/>
      <c r="K267" s="271"/>
      <c r="L267" s="271"/>
      <c r="M267" s="271"/>
      <c r="N267" s="271"/>
      <c r="O267" s="271"/>
      <c r="P267" s="402" t="s">
        <v>105</v>
      </c>
      <c r="Q267" s="396" t="s">
        <v>106</v>
      </c>
      <c r="R267" s="402" t="s">
        <v>114</v>
      </c>
      <c r="S267" s="396" t="s">
        <v>106</v>
      </c>
      <c r="T267" s="269"/>
      <c r="U267" s="270"/>
      <c r="V267" s="5"/>
    </row>
    <row r="268" spans="1:22" ht="15.6" x14ac:dyDescent="0.3">
      <c r="A268" s="190"/>
      <c r="B268" s="243" t="s">
        <v>91</v>
      </c>
      <c r="C268" s="239"/>
      <c r="D268" s="239"/>
      <c r="E268" s="239"/>
      <c r="F268" s="239"/>
      <c r="G268" s="239"/>
      <c r="H268" s="275"/>
      <c r="I268" s="275"/>
      <c r="J268" s="275"/>
      <c r="K268" s="275"/>
      <c r="L268" s="218"/>
      <c r="M268" s="218"/>
      <c r="N268" s="218"/>
      <c r="O268" s="218"/>
      <c r="P268" s="243">
        <v>0</v>
      </c>
      <c r="Q268" s="274">
        <v>0</v>
      </c>
      <c r="R268" s="251">
        <v>0</v>
      </c>
      <c r="S268" s="274">
        <v>0</v>
      </c>
      <c r="T268" s="239"/>
      <c r="U268" s="191"/>
      <c r="V268" s="5"/>
    </row>
    <row r="269" spans="1:22" ht="15.6" x14ac:dyDescent="0.3">
      <c r="A269" s="284"/>
      <c r="B269" s="338" t="s">
        <v>92</v>
      </c>
      <c r="C269" s="285"/>
      <c r="D269" s="285"/>
      <c r="E269" s="285"/>
      <c r="F269" s="285"/>
      <c r="G269" s="285"/>
      <c r="H269" s="387"/>
      <c r="I269" s="387"/>
      <c r="J269" s="387"/>
      <c r="K269" s="387"/>
      <c r="L269" s="385"/>
      <c r="M269" s="385"/>
      <c r="N269" s="385"/>
      <c r="O269" s="385"/>
      <c r="P269" s="338">
        <v>0</v>
      </c>
      <c r="Q269" s="384">
        <v>0</v>
      </c>
      <c r="R269" s="339">
        <v>0</v>
      </c>
      <c r="S269" s="384">
        <v>0</v>
      </c>
      <c r="T269" s="285"/>
      <c r="U269" s="317"/>
      <c r="V269" s="5"/>
    </row>
    <row r="270" spans="1:22" ht="15.6" x14ac:dyDescent="0.3">
      <c r="A270" s="284"/>
      <c r="B270" s="338" t="s">
        <v>93</v>
      </c>
      <c r="C270" s="285"/>
      <c r="D270" s="285"/>
      <c r="E270" s="285"/>
      <c r="F270" s="285"/>
      <c r="G270" s="285"/>
      <c r="H270" s="387"/>
      <c r="I270" s="387"/>
      <c r="J270" s="387"/>
      <c r="K270" s="387"/>
      <c r="L270" s="385"/>
      <c r="M270" s="385"/>
      <c r="N270" s="385"/>
      <c r="O270" s="385"/>
      <c r="P270" s="338">
        <v>0</v>
      </c>
      <c r="Q270" s="384">
        <v>0</v>
      </c>
      <c r="R270" s="339">
        <v>0</v>
      </c>
      <c r="S270" s="384">
        <v>0</v>
      </c>
      <c r="T270" s="285"/>
      <c r="U270" s="317"/>
      <c r="V270" s="5"/>
    </row>
    <row r="271" spans="1:22" ht="15.6" x14ac:dyDescent="0.3">
      <c r="A271" s="284"/>
      <c r="B271" s="338" t="s">
        <v>163</v>
      </c>
      <c r="C271" s="285"/>
      <c r="D271" s="285"/>
      <c r="E271" s="285"/>
      <c r="F271" s="285"/>
      <c r="G271" s="285"/>
      <c r="H271" s="387"/>
      <c r="I271" s="387"/>
      <c r="J271" s="387"/>
      <c r="K271" s="387"/>
      <c r="L271" s="385"/>
      <c r="M271" s="385"/>
      <c r="N271" s="385"/>
      <c r="O271" s="385"/>
      <c r="P271" s="338">
        <v>0</v>
      </c>
      <c r="Q271" s="384">
        <v>0</v>
      </c>
      <c r="R271" s="339">
        <v>0</v>
      </c>
      <c r="S271" s="384">
        <v>0</v>
      </c>
      <c r="T271" s="285"/>
      <c r="U271" s="317"/>
      <c r="V271" s="5"/>
    </row>
    <row r="272" spans="1:22" ht="15.6" x14ac:dyDescent="0.3">
      <c r="A272" s="284"/>
      <c r="B272" s="338" t="s">
        <v>164</v>
      </c>
      <c r="C272" s="285"/>
      <c r="D272" s="285"/>
      <c r="E272" s="285"/>
      <c r="F272" s="285"/>
      <c r="G272" s="285"/>
      <c r="H272" s="387"/>
      <c r="I272" s="387"/>
      <c r="J272" s="387"/>
      <c r="K272" s="387"/>
      <c r="L272" s="385"/>
      <c r="M272" s="385"/>
      <c r="N272" s="385"/>
      <c r="O272" s="385"/>
      <c r="P272" s="338">
        <v>0</v>
      </c>
      <c r="Q272" s="384">
        <v>0</v>
      </c>
      <c r="R272" s="339">
        <v>0</v>
      </c>
      <c r="S272" s="384">
        <v>0</v>
      </c>
      <c r="T272" s="285"/>
      <c r="U272" s="317"/>
      <c r="V272" s="5"/>
    </row>
    <row r="273" spans="1:22" ht="15.6" x14ac:dyDescent="0.3">
      <c r="A273" s="284"/>
      <c r="B273" s="338" t="s">
        <v>165</v>
      </c>
      <c r="C273" s="285"/>
      <c r="D273" s="285"/>
      <c r="E273" s="285"/>
      <c r="F273" s="285"/>
      <c r="G273" s="285"/>
      <c r="H273" s="387"/>
      <c r="I273" s="387"/>
      <c r="J273" s="387"/>
      <c r="K273" s="387"/>
      <c r="L273" s="385"/>
      <c r="M273" s="385"/>
      <c r="N273" s="385"/>
      <c r="O273" s="385"/>
      <c r="P273" s="338">
        <v>1</v>
      </c>
      <c r="Q273" s="384">
        <v>1</v>
      </c>
      <c r="R273" s="339">
        <v>125</v>
      </c>
      <c r="S273" s="384">
        <v>1</v>
      </c>
      <c r="T273" s="285"/>
      <c r="U273" s="317"/>
      <c r="V273" s="5"/>
    </row>
    <row r="274" spans="1:22" ht="15.6" x14ac:dyDescent="0.3">
      <c r="A274" s="284"/>
      <c r="B274" s="338" t="s">
        <v>166</v>
      </c>
      <c r="C274" s="285"/>
      <c r="D274" s="285"/>
      <c r="E274" s="285"/>
      <c r="F274" s="285"/>
      <c r="G274" s="285"/>
      <c r="H274" s="387"/>
      <c r="I274" s="387"/>
      <c r="J274" s="387"/>
      <c r="K274" s="387"/>
      <c r="L274" s="385"/>
      <c r="M274" s="385"/>
      <c r="N274" s="385"/>
      <c r="O274" s="385"/>
      <c r="P274" s="338">
        <v>0</v>
      </c>
      <c r="Q274" s="384">
        <f>+P274/P277</f>
        <v>0</v>
      </c>
      <c r="R274" s="339">
        <v>0</v>
      </c>
      <c r="S274" s="384">
        <f>+R274/R277</f>
        <v>0</v>
      </c>
      <c r="T274" s="285"/>
      <c r="U274" s="317"/>
      <c r="V274" s="5"/>
    </row>
    <row r="275" spans="1:22" ht="15.6" x14ac:dyDescent="0.3">
      <c r="A275" s="284"/>
      <c r="B275" s="338" t="s">
        <v>167</v>
      </c>
      <c r="C275" s="285"/>
      <c r="D275" s="285"/>
      <c r="E275" s="285"/>
      <c r="F275" s="285"/>
      <c r="G275" s="285"/>
      <c r="H275" s="387"/>
      <c r="I275" s="387"/>
      <c r="J275" s="387"/>
      <c r="K275" s="387"/>
      <c r="L275" s="385"/>
      <c r="M275" s="385"/>
      <c r="N275" s="385"/>
      <c r="O275" s="385"/>
      <c r="P275" s="338">
        <v>0</v>
      </c>
      <c r="Q275" s="384">
        <v>0</v>
      </c>
      <c r="R275" s="339">
        <v>0</v>
      </c>
      <c r="S275" s="384">
        <v>0</v>
      </c>
      <c r="T275" s="285"/>
      <c r="U275" s="317"/>
      <c r="V275" s="5"/>
    </row>
    <row r="276" spans="1:22" ht="15.6" x14ac:dyDescent="0.3">
      <c r="A276" s="284"/>
      <c r="B276" s="338"/>
      <c r="C276" s="285"/>
      <c r="D276" s="285"/>
      <c r="E276" s="285"/>
      <c r="F276" s="285"/>
      <c r="G276" s="285"/>
      <c r="H276" s="387"/>
      <c r="I276" s="387"/>
      <c r="J276" s="387"/>
      <c r="K276" s="387"/>
      <c r="L276" s="385"/>
      <c r="M276" s="385"/>
      <c r="N276" s="385"/>
      <c r="O276" s="385"/>
      <c r="P276" s="338"/>
      <c r="Q276" s="384"/>
      <c r="R276" s="339"/>
      <c r="S276" s="384"/>
      <c r="T276" s="285"/>
      <c r="U276" s="317"/>
      <c r="V276" s="5"/>
    </row>
    <row r="277" spans="1:22" ht="15.6" x14ac:dyDescent="0.3">
      <c r="A277" s="284"/>
      <c r="B277" s="285" t="s">
        <v>120</v>
      </c>
      <c r="C277" s="285"/>
      <c r="D277" s="285"/>
      <c r="E277" s="285"/>
      <c r="F277" s="285"/>
      <c r="G277" s="285"/>
      <c r="H277" s="387"/>
      <c r="I277" s="387"/>
      <c r="J277" s="387"/>
      <c r="K277" s="387"/>
      <c r="L277" s="385"/>
      <c r="M277" s="385"/>
      <c r="N277" s="385"/>
      <c r="O277" s="385"/>
      <c r="P277" s="338">
        <f>SUM(P268:P275)</f>
        <v>1</v>
      </c>
      <c r="Q277" s="384">
        <f>SUM(Q268:Q276)</f>
        <v>1</v>
      </c>
      <c r="R277" s="339">
        <f>SUM(R268:R275)</f>
        <v>125</v>
      </c>
      <c r="S277" s="384">
        <f>SUM(S268:S276)</f>
        <v>1</v>
      </c>
      <c r="T277" s="285"/>
      <c r="U277" s="317"/>
      <c r="V277" s="5"/>
    </row>
    <row r="278" spans="1:22" ht="15.6" x14ac:dyDescent="0.3">
      <c r="A278" s="284"/>
      <c r="B278" s="285"/>
      <c r="C278" s="285"/>
      <c r="D278" s="285"/>
      <c r="E278" s="285"/>
      <c r="F278" s="285"/>
      <c r="G278" s="285"/>
      <c r="H278" s="387"/>
      <c r="I278" s="387"/>
      <c r="J278" s="387"/>
      <c r="K278" s="387"/>
      <c r="L278" s="385"/>
      <c r="M278" s="385"/>
      <c r="N278" s="385"/>
      <c r="O278" s="385"/>
      <c r="P278" s="344"/>
      <c r="Q278" s="388"/>
      <c r="R278" s="345"/>
      <c r="S278" s="388"/>
      <c r="T278" s="311"/>
      <c r="U278" s="317"/>
      <c r="V278" s="5"/>
    </row>
    <row r="279" spans="1:22" ht="15.6" x14ac:dyDescent="0.3">
      <c r="A279" s="284"/>
      <c r="B279" s="292" t="s">
        <v>171</v>
      </c>
      <c r="C279" s="285"/>
      <c r="D279" s="285"/>
      <c r="E279" s="285"/>
      <c r="F279" s="285"/>
      <c r="G279" s="285"/>
      <c r="H279" s="387"/>
      <c r="I279" s="387"/>
      <c r="J279" s="387"/>
      <c r="K279" s="387"/>
      <c r="L279" s="385"/>
      <c r="M279" s="385"/>
      <c r="N279" s="385"/>
      <c r="O279" s="385"/>
      <c r="P279" s="403">
        <f>P277+P265+P253</f>
        <v>4127</v>
      </c>
      <c r="Q279" s="384"/>
      <c r="R279" s="404">
        <f>+R277+R265+R253</f>
        <v>540571</v>
      </c>
      <c r="S279" s="384"/>
      <c r="T279" s="311"/>
      <c r="U279" s="317"/>
      <c r="V279" s="5"/>
    </row>
    <row r="280" spans="1:22" ht="15.6" x14ac:dyDescent="0.3">
      <c r="A280" s="175"/>
      <c r="B280" s="281"/>
      <c r="C280" s="281"/>
      <c r="D280" s="281"/>
      <c r="E280" s="281"/>
      <c r="F280" s="281"/>
      <c r="G280" s="281"/>
      <c r="H280" s="386"/>
      <c r="I280" s="386"/>
      <c r="J280" s="386"/>
      <c r="K280" s="386"/>
      <c r="L280" s="379"/>
      <c r="M280" s="379"/>
      <c r="N280" s="379"/>
      <c r="O280" s="379"/>
      <c r="P280" s="379"/>
      <c r="Q280" s="379"/>
      <c r="R280" s="381"/>
      <c r="S280" s="379"/>
      <c r="T280" s="334"/>
      <c r="U280" s="334"/>
      <c r="V280" s="5"/>
    </row>
    <row r="281" spans="1:22" ht="15.6" x14ac:dyDescent="0.3">
      <c r="A281" s="175"/>
      <c r="B281" s="231"/>
      <c r="C281" s="231"/>
      <c r="D281" s="231"/>
      <c r="E281" s="231"/>
      <c r="F281" s="231"/>
      <c r="G281" s="231"/>
      <c r="H281" s="276"/>
      <c r="I281" s="276"/>
      <c r="J281" s="276"/>
      <c r="K281" s="276"/>
      <c r="L281" s="219"/>
      <c r="M281" s="219"/>
      <c r="N281" s="219"/>
      <c r="O281" s="219"/>
      <c r="P281" s="219"/>
      <c r="Q281" s="219"/>
      <c r="R281" s="220"/>
      <c r="S281" s="219"/>
      <c r="T281" s="177"/>
      <c r="U281" s="177"/>
      <c r="V281" s="5"/>
    </row>
    <row r="282" spans="1:22" ht="15.6" x14ac:dyDescent="0.3">
      <c r="A282" s="221"/>
      <c r="B282" s="230" t="s">
        <v>94</v>
      </c>
      <c r="C282" s="231"/>
      <c r="D282" s="231"/>
      <c r="E282" s="231"/>
      <c r="F282" s="236" t="s">
        <v>100</v>
      </c>
      <c r="G282" s="231"/>
      <c r="H282" s="230" t="s">
        <v>102</v>
      </c>
      <c r="I282" s="277"/>
      <c r="J282" s="277"/>
      <c r="K282" s="277"/>
      <c r="L282" s="188"/>
      <c r="M282" s="188"/>
      <c r="N282" s="188"/>
      <c r="O282" s="188"/>
      <c r="P282" s="188"/>
      <c r="Q282" s="188"/>
      <c r="R282" s="188"/>
      <c r="S282" s="188"/>
      <c r="T282" s="188"/>
      <c r="U282" s="188"/>
      <c r="V282" s="5"/>
    </row>
    <row r="283" spans="1:22" ht="15.6" x14ac:dyDescent="0.3">
      <c r="A283" s="221"/>
      <c r="B283" s="230" t="s">
        <v>316</v>
      </c>
      <c r="C283" s="230"/>
      <c r="D283" s="230"/>
      <c r="E283" s="230"/>
      <c r="F283" s="278" t="s">
        <v>154</v>
      </c>
      <c r="G283" s="230"/>
      <c r="H283" s="230" t="s">
        <v>158</v>
      </c>
      <c r="I283" s="277"/>
      <c r="J283" s="277"/>
      <c r="K283" s="277"/>
      <c r="L283" s="188"/>
      <c r="M283" s="188"/>
      <c r="N283" s="188"/>
      <c r="O283" s="188"/>
      <c r="P283" s="188"/>
      <c r="Q283" s="188"/>
      <c r="R283" s="188"/>
      <c r="S283" s="188"/>
      <c r="T283" s="188"/>
      <c r="U283" s="188"/>
      <c r="V283" s="5"/>
    </row>
    <row r="284" spans="1:22" ht="15.6" x14ac:dyDescent="0.3">
      <c r="A284" s="221"/>
      <c r="B284" s="230" t="s">
        <v>317</v>
      </c>
      <c r="C284" s="230"/>
      <c r="D284" s="230"/>
      <c r="E284" s="230"/>
      <c r="F284" s="278" t="s">
        <v>269</v>
      </c>
      <c r="G284" s="230"/>
      <c r="H284" s="230" t="s">
        <v>270</v>
      </c>
      <c r="I284" s="277"/>
      <c r="J284" s="277"/>
      <c r="K284" s="277"/>
      <c r="L284" s="188"/>
      <c r="M284" s="188"/>
      <c r="N284" s="188"/>
      <c r="O284" s="188"/>
      <c r="P284" s="188"/>
      <c r="Q284" s="188"/>
      <c r="R284" s="188"/>
      <c r="S284" s="188"/>
      <c r="T284" s="188"/>
      <c r="U284" s="188"/>
      <c r="V284" s="5"/>
    </row>
    <row r="285" spans="1:22" ht="15.6" x14ac:dyDescent="0.3">
      <c r="A285" s="221"/>
      <c r="B285" s="230" t="s">
        <v>318</v>
      </c>
      <c r="C285" s="230"/>
      <c r="D285" s="230"/>
      <c r="E285" s="230"/>
      <c r="F285" s="278" t="s">
        <v>153</v>
      </c>
      <c r="G285" s="230"/>
      <c r="H285" s="230" t="s">
        <v>159</v>
      </c>
      <c r="I285" s="277"/>
      <c r="J285" s="277"/>
      <c r="K285" s="277"/>
      <c r="L285" s="188"/>
      <c r="M285" s="188"/>
      <c r="N285" s="188"/>
      <c r="O285" s="188"/>
      <c r="P285" s="188"/>
      <c r="Q285" s="188"/>
      <c r="R285" s="188"/>
      <c r="S285" s="188"/>
      <c r="T285" s="188"/>
      <c r="U285" s="188"/>
      <c r="V285" s="5"/>
    </row>
    <row r="286" spans="1:22" ht="15.6" x14ac:dyDescent="0.3">
      <c r="A286" s="221"/>
      <c r="B286" s="230"/>
      <c r="C286" s="230"/>
      <c r="D286" s="230"/>
      <c r="E286" s="230"/>
      <c r="F286" s="230"/>
      <c r="G286" s="279"/>
      <c r="H286" s="277"/>
      <c r="I286" s="277"/>
      <c r="J286" s="277"/>
      <c r="K286" s="277"/>
      <c r="L286" s="188"/>
      <c r="M286" s="188"/>
      <c r="N286" s="188"/>
      <c r="O286" s="188"/>
      <c r="P286" s="188"/>
      <c r="Q286" s="188"/>
      <c r="R286" s="188"/>
      <c r="S286" s="188"/>
      <c r="T286" s="188"/>
      <c r="U286" s="188"/>
      <c r="V286" s="5"/>
    </row>
    <row r="287" spans="1:22" ht="15.6" x14ac:dyDescent="0.3">
      <c r="A287" s="221"/>
      <c r="B287" s="230"/>
      <c r="C287" s="230"/>
      <c r="D287" s="230"/>
      <c r="E287" s="230"/>
      <c r="F287" s="230"/>
      <c r="G287" s="279"/>
      <c r="H287" s="277"/>
      <c r="I287" s="277"/>
      <c r="J287" s="277"/>
      <c r="K287" s="277"/>
      <c r="L287" s="188"/>
      <c r="M287" s="188"/>
      <c r="N287" s="188"/>
      <c r="O287" s="188"/>
      <c r="P287" s="188"/>
      <c r="Q287" s="188"/>
      <c r="R287" s="188"/>
      <c r="S287" s="188"/>
      <c r="T287" s="188"/>
      <c r="U287" s="188"/>
      <c r="V287" s="5"/>
    </row>
    <row r="288" spans="1:22" ht="18" thickBot="1" x14ac:dyDescent="0.35">
      <c r="A288" s="221"/>
      <c r="B288" s="280" t="str">
        <f>B193</f>
        <v>PM11 INVESTOR REPORT QUARTER ENDING SEPTEMBER 2013</v>
      </c>
      <c r="C288" s="230"/>
      <c r="D288" s="230"/>
      <c r="E288" s="230"/>
      <c r="F288" s="230"/>
      <c r="G288" s="279"/>
      <c r="H288" s="277"/>
      <c r="I288" s="277"/>
      <c r="J288" s="277"/>
      <c r="K288" s="277"/>
      <c r="L288" s="188"/>
      <c r="M288" s="188"/>
      <c r="N288" s="188"/>
      <c r="O288" s="188"/>
      <c r="P288" s="188"/>
      <c r="Q288" s="188"/>
      <c r="R288" s="188"/>
      <c r="S288" s="188"/>
      <c r="T288" s="188"/>
      <c r="U288" s="188"/>
      <c r="V288" s="5"/>
    </row>
    <row r="289" spans="1:21" x14ac:dyDescent="0.25">
      <c r="A289" s="100"/>
      <c r="B289" s="100"/>
      <c r="C289" s="100"/>
      <c r="D289" s="100"/>
      <c r="E289" s="100"/>
      <c r="F289" s="100"/>
      <c r="G289" s="100"/>
      <c r="H289" s="100"/>
      <c r="I289" s="100"/>
      <c r="J289" s="100"/>
      <c r="K289" s="100"/>
      <c r="L289" s="100"/>
      <c r="M289" s="100"/>
      <c r="N289" s="100"/>
      <c r="O289" s="100"/>
      <c r="P289" s="100"/>
      <c r="Q289" s="100"/>
      <c r="R289" s="100"/>
      <c r="S289" s="100"/>
      <c r="T289" s="100"/>
      <c r="U289" s="100"/>
    </row>
  </sheetData>
  <hyperlinks>
    <hyperlink ref="N229" r:id="rId1" xr:uid="{00000000-0004-0000-1D00-000000000000}"/>
    <hyperlink ref="J9" r:id="rId2" xr:uid="{00000000-0004-0000-1D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4" max="20" man="1"/>
    <brk id="133" max="20" man="1"/>
    <brk id="193" max="20" man="1"/>
  </rowBreaks>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89CB31"/>
  </sheetPr>
  <dimension ref="A1:X289"/>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08984375" style="1" customWidth="1"/>
    <col min="10" max="10" width="17.81640625" style="1" customWidth="1"/>
    <col min="11" max="11" width="2.1796875" style="1" customWidth="1"/>
    <col min="12" max="12" width="14.81640625" style="1" customWidth="1"/>
    <col min="13" max="13" width="2.1796875" style="1" customWidth="1"/>
    <col min="14" max="14" width="15.54296875" style="1" customWidth="1"/>
    <col min="15" max="15" width="2.08984375" style="1" customWidth="1"/>
    <col min="16" max="16" width="15.54296875" style="1" customWidth="1"/>
    <col min="17" max="18" width="12.81640625" style="1" customWidth="1"/>
    <col min="19" max="19" width="7.81640625" style="1" customWidth="1"/>
    <col min="20" max="20" width="14.81640625" style="1" customWidth="1"/>
    <col min="21" max="21" width="11.81640625" style="1" customWidth="1"/>
    <col min="22" max="16384" width="9.81640625" style="1"/>
  </cols>
  <sheetData>
    <row r="1" spans="1:22" ht="20.399999999999999" x14ac:dyDescent="0.35">
      <c r="A1" s="173"/>
      <c r="B1" s="228" t="s">
        <v>228</v>
      </c>
      <c r="C1" s="174"/>
      <c r="D1" s="174"/>
      <c r="E1" s="174"/>
      <c r="F1" s="174"/>
      <c r="G1" s="174"/>
      <c r="H1" s="174"/>
      <c r="I1" s="174"/>
      <c r="J1" s="174"/>
      <c r="K1" s="174"/>
      <c r="L1" s="174"/>
      <c r="M1" s="174"/>
      <c r="N1" s="174"/>
      <c r="O1" s="174"/>
      <c r="P1" s="174"/>
      <c r="Q1" s="174"/>
      <c r="R1" s="174"/>
      <c r="S1" s="174"/>
      <c r="T1" s="174"/>
      <c r="U1" s="174"/>
      <c r="V1" s="5"/>
    </row>
    <row r="2" spans="1:22" ht="15.6" x14ac:dyDescent="0.3">
      <c r="A2" s="175"/>
      <c r="B2" s="176"/>
      <c r="C2" s="177"/>
      <c r="D2" s="177"/>
      <c r="E2" s="177"/>
      <c r="F2" s="177"/>
      <c r="G2" s="177"/>
      <c r="H2" s="177"/>
      <c r="I2" s="177"/>
      <c r="J2" s="177"/>
      <c r="K2" s="177"/>
      <c r="L2" s="177"/>
      <c r="M2" s="177"/>
      <c r="N2" s="177"/>
      <c r="O2" s="177"/>
      <c r="P2" s="177"/>
      <c r="Q2" s="177"/>
      <c r="R2" s="177"/>
      <c r="S2" s="177"/>
      <c r="T2" s="177"/>
      <c r="U2" s="177"/>
      <c r="V2" s="5"/>
    </row>
    <row r="3" spans="1:22" ht="15.6" x14ac:dyDescent="0.3">
      <c r="A3" s="178"/>
      <c r="B3" s="179" t="s">
        <v>229</v>
      </c>
      <c r="C3" s="177"/>
      <c r="D3" s="177"/>
      <c r="E3" s="177"/>
      <c r="F3" s="177"/>
      <c r="G3" s="177"/>
      <c r="H3" s="177"/>
      <c r="I3" s="177"/>
      <c r="J3" s="177"/>
      <c r="K3" s="177"/>
      <c r="L3" s="177"/>
      <c r="M3" s="177"/>
      <c r="N3" s="177"/>
      <c r="O3" s="177"/>
      <c r="P3" s="177"/>
      <c r="Q3" s="177"/>
      <c r="R3" s="177"/>
      <c r="S3" s="177"/>
      <c r="T3" s="177"/>
      <c r="U3" s="177"/>
      <c r="V3" s="5"/>
    </row>
    <row r="4" spans="1:22" ht="15.6" x14ac:dyDescent="0.3">
      <c r="A4" s="175"/>
      <c r="B4" s="176"/>
      <c r="C4" s="177"/>
      <c r="D4" s="177"/>
      <c r="E4" s="177"/>
      <c r="F4" s="177"/>
      <c r="G4" s="177"/>
      <c r="H4" s="177"/>
      <c r="I4" s="177"/>
      <c r="J4" s="177"/>
      <c r="K4" s="177"/>
      <c r="L4" s="177"/>
      <c r="M4" s="177"/>
      <c r="N4" s="177"/>
      <c r="O4" s="177"/>
      <c r="P4" s="177"/>
      <c r="Q4" s="177"/>
      <c r="R4" s="177"/>
      <c r="S4" s="177"/>
      <c r="T4" s="177"/>
      <c r="U4" s="177"/>
      <c r="V4" s="5"/>
    </row>
    <row r="5" spans="1:22" ht="15.6" x14ac:dyDescent="0.3">
      <c r="A5" s="175"/>
      <c r="B5" s="229" t="s">
        <v>143</v>
      </c>
      <c r="C5" s="177"/>
      <c r="D5" s="177"/>
      <c r="E5" s="177"/>
      <c r="F5" s="177"/>
      <c r="G5" s="177"/>
      <c r="H5" s="177"/>
      <c r="I5" s="177"/>
      <c r="J5" s="177"/>
      <c r="K5" s="177"/>
      <c r="L5" s="177"/>
      <c r="M5" s="177"/>
      <c r="N5" s="177"/>
      <c r="O5" s="177"/>
      <c r="P5" s="177"/>
      <c r="Q5" s="177"/>
      <c r="R5" s="177"/>
      <c r="S5" s="177"/>
      <c r="T5" s="177"/>
      <c r="U5" s="177"/>
      <c r="V5" s="5"/>
    </row>
    <row r="6" spans="1:22" ht="15.6" x14ac:dyDescent="0.3">
      <c r="A6" s="175"/>
      <c r="B6" s="229" t="s">
        <v>145</v>
      </c>
      <c r="C6" s="177"/>
      <c r="D6" s="177"/>
      <c r="E6" s="177"/>
      <c r="F6" s="177"/>
      <c r="G6" s="177"/>
      <c r="H6" s="177"/>
      <c r="I6" s="177"/>
      <c r="J6" s="177"/>
      <c r="K6" s="177"/>
      <c r="L6" s="177"/>
      <c r="M6" s="177"/>
      <c r="N6" s="177"/>
      <c r="O6" s="177"/>
      <c r="P6" s="177"/>
      <c r="Q6" s="177"/>
      <c r="R6" s="177"/>
      <c r="S6" s="177"/>
      <c r="T6" s="177"/>
      <c r="U6" s="177"/>
      <c r="V6" s="5"/>
    </row>
    <row r="7" spans="1:22" ht="15.6" x14ac:dyDescent="0.3">
      <c r="A7" s="175"/>
      <c r="B7" s="229" t="s">
        <v>144</v>
      </c>
      <c r="C7" s="177"/>
      <c r="D7" s="177"/>
      <c r="E7" s="177"/>
      <c r="F7" s="177"/>
      <c r="G7" s="177"/>
      <c r="H7" s="177"/>
      <c r="I7" s="177"/>
      <c r="J7" s="177"/>
      <c r="K7" s="177"/>
      <c r="L7" s="177"/>
      <c r="M7" s="177"/>
      <c r="N7" s="177"/>
      <c r="O7" s="177"/>
      <c r="P7" s="177"/>
      <c r="Q7" s="177"/>
      <c r="R7" s="177"/>
      <c r="S7" s="177"/>
      <c r="T7" s="177"/>
      <c r="U7" s="177"/>
      <c r="V7" s="5"/>
    </row>
    <row r="8" spans="1:22" ht="15.6" x14ac:dyDescent="0.3">
      <c r="A8" s="175"/>
      <c r="B8" s="180"/>
      <c r="C8" s="177"/>
      <c r="D8" s="177"/>
      <c r="E8" s="177"/>
      <c r="F8" s="177"/>
      <c r="G8" s="177"/>
      <c r="H8" s="177"/>
      <c r="I8" s="177"/>
      <c r="J8" s="177"/>
      <c r="K8" s="177"/>
      <c r="L8" s="177"/>
      <c r="M8" s="177"/>
      <c r="N8" s="177"/>
      <c r="O8" s="177"/>
      <c r="P8" s="177"/>
      <c r="Q8" s="177"/>
      <c r="R8" s="177"/>
      <c r="S8" s="177"/>
      <c r="T8" s="177"/>
      <c r="U8" s="177"/>
      <c r="V8" s="5"/>
    </row>
    <row r="9" spans="1:22" ht="17.399999999999999" x14ac:dyDescent="0.3">
      <c r="A9" s="175"/>
      <c r="B9" s="181" t="s">
        <v>173</v>
      </c>
      <c r="C9" s="177"/>
      <c r="D9" s="177"/>
      <c r="E9" s="177"/>
      <c r="F9" s="177"/>
      <c r="G9" s="177"/>
      <c r="H9" s="177"/>
      <c r="I9" s="177"/>
      <c r="J9" s="182" t="s">
        <v>174</v>
      </c>
      <c r="K9" s="177"/>
      <c r="L9" s="182"/>
      <c r="M9" s="177"/>
      <c r="N9" s="177"/>
      <c r="O9" s="177"/>
      <c r="P9" s="177"/>
      <c r="Q9" s="177"/>
      <c r="R9" s="177"/>
      <c r="S9" s="177"/>
      <c r="T9" s="177"/>
      <c r="U9" s="177"/>
      <c r="V9" s="5"/>
    </row>
    <row r="10" spans="1:22" ht="15.6" x14ac:dyDescent="0.3">
      <c r="A10" s="175"/>
      <c r="B10" s="180"/>
      <c r="C10" s="183"/>
      <c r="D10" s="183"/>
      <c r="E10" s="183"/>
      <c r="F10" s="177"/>
      <c r="G10" s="177"/>
      <c r="H10" s="177"/>
      <c r="I10" s="177"/>
      <c r="J10" s="177"/>
      <c r="K10" s="177"/>
      <c r="L10" s="177"/>
      <c r="M10" s="177"/>
      <c r="N10" s="177"/>
      <c r="O10" s="177"/>
      <c r="P10" s="177"/>
      <c r="Q10" s="177"/>
      <c r="R10" s="177"/>
      <c r="S10" s="177"/>
      <c r="T10" s="177"/>
      <c r="U10" s="177"/>
      <c r="V10" s="5"/>
    </row>
    <row r="11" spans="1:22" ht="15.6" x14ac:dyDescent="0.3">
      <c r="A11" s="175"/>
      <c r="B11" s="230" t="s">
        <v>0</v>
      </c>
      <c r="C11" s="177"/>
      <c r="D11" s="177"/>
      <c r="E11" s="177"/>
      <c r="F11" s="177"/>
      <c r="G11" s="177"/>
      <c r="H11" s="177"/>
      <c r="I11" s="177"/>
      <c r="J11" s="177"/>
      <c r="K11" s="177"/>
      <c r="L11" s="177"/>
      <c r="M11" s="177"/>
      <c r="N11" s="177"/>
      <c r="O11" s="177"/>
      <c r="P11" s="177"/>
      <c r="Q11" s="177"/>
      <c r="R11" s="177"/>
      <c r="S11" s="177"/>
      <c r="T11" s="177"/>
      <c r="U11" s="177"/>
      <c r="V11" s="5"/>
    </row>
    <row r="12" spans="1:22" ht="16.2" thickBot="1" x14ac:dyDescent="0.35">
      <c r="A12" s="175"/>
      <c r="B12" s="183"/>
      <c r="C12" s="177"/>
      <c r="D12" s="177"/>
      <c r="E12" s="177"/>
      <c r="F12" s="177"/>
      <c r="G12" s="177"/>
      <c r="H12" s="177"/>
      <c r="I12" s="177"/>
      <c r="J12" s="177"/>
      <c r="K12" s="177"/>
      <c r="L12" s="177"/>
      <c r="M12" s="177"/>
      <c r="N12" s="177"/>
      <c r="O12" s="177"/>
      <c r="P12" s="177"/>
      <c r="Q12" s="177"/>
      <c r="R12" s="177"/>
      <c r="S12" s="177"/>
      <c r="T12" s="177"/>
      <c r="U12" s="177"/>
      <c r="V12" s="5"/>
    </row>
    <row r="13" spans="1:22" ht="15.6" x14ac:dyDescent="0.3">
      <c r="A13" s="173"/>
      <c r="B13" s="174"/>
      <c r="C13" s="174"/>
      <c r="D13" s="174"/>
      <c r="E13" s="174"/>
      <c r="F13" s="174"/>
      <c r="G13" s="174"/>
      <c r="H13" s="174"/>
      <c r="I13" s="174"/>
      <c r="J13" s="174"/>
      <c r="K13" s="174"/>
      <c r="L13" s="174"/>
      <c r="M13" s="174"/>
      <c r="N13" s="174"/>
      <c r="O13" s="174"/>
      <c r="P13" s="174"/>
      <c r="Q13" s="174"/>
      <c r="R13" s="174"/>
      <c r="S13" s="174"/>
      <c r="T13" s="174"/>
      <c r="U13" s="174"/>
      <c r="V13" s="5"/>
    </row>
    <row r="14" spans="1:22" ht="15.6" x14ac:dyDescent="0.3">
      <c r="A14" s="175"/>
      <c r="B14" s="230" t="s">
        <v>1</v>
      </c>
      <c r="C14" s="184"/>
      <c r="D14" s="184"/>
      <c r="E14" s="184"/>
      <c r="F14" s="184"/>
      <c r="G14" s="184"/>
      <c r="H14" s="184"/>
      <c r="I14" s="184"/>
      <c r="J14" s="184"/>
      <c r="K14" s="184"/>
      <c r="L14" s="184"/>
      <c r="M14" s="184"/>
      <c r="N14" s="184"/>
      <c r="O14" s="184"/>
      <c r="P14" s="231"/>
      <c r="Q14" s="231"/>
      <c r="R14" s="231"/>
      <c r="S14" s="231"/>
      <c r="T14" s="233" t="s">
        <v>230</v>
      </c>
      <c r="U14" s="184"/>
      <c r="V14" s="5"/>
    </row>
    <row r="15" spans="1:22" ht="15.6" x14ac:dyDescent="0.3">
      <c r="A15" s="175"/>
      <c r="B15" s="230" t="s">
        <v>2</v>
      </c>
      <c r="C15" s="184"/>
      <c r="D15" s="184"/>
      <c r="E15" s="184"/>
      <c r="F15" s="184"/>
      <c r="G15" s="184"/>
      <c r="H15" s="185"/>
      <c r="I15" s="185"/>
      <c r="J15" s="185"/>
      <c r="K15" s="185"/>
      <c r="L15" s="185"/>
      <c r="M15" s="185"/>
      <c r="N15" s="185"/>
      <c r="O15" s="185"/>
      <c r="P15" s="234" t="s">
        <v>107</v>
      </c>
      <c r="Q15" s="235">
        <v>0.40749999999999997</v>
      </c>
      <c r="R15" s="236" t="s">
        <v>146</v>
      </c>
      <c r="S15" s="235">
        <v>0.59250000000000003</v>
      </c>
      <c r="T15" s="233"/>
      <c r="U15" s="184"/>
      <c r="V15" s="5"/>
    </row>
    <row r="16" spans="1:22" ht="15.6" x14ac:dyDescent="0.3">
      <c r="A16" s="175"/>
      <c r="B16" s="230" t="s">
        <v>3</v>
      </c>
      <c r="C16" s="184"/>
      <c r="D16" s="184"/>
      <c r="E16" s="184"/>
      <c r="F16" s="184"/>
      <c r="G16" s="184"/>
      <c r="H16" s="185"/>
      <c r="I16" s="185"/>
      <c r="J16" s="185"/>
      <c r="K16" s="185"/>
      <c r="L16" s="185"/>
      <c r="M16" s="185"/>
      <c r="N16" s="185"/>
      <c r="O16" s="185"/>
      <c r="P16" s="234" t="s">
        <v>107</v>
      </c>
      <c r="Q16" s="235">
        <v>0.45450000000000002</v>
      </c>
      <c r="R16" s="236" t="s">
        <v>146</v>
      </c>
      <c r="S16" s="235">
        <v>0.54549999999999998</v>
      </c>
      <c r="T16" s="233"/>
      <c r="U16" s="184"/>
      <c r="V16" s="5"/>
    </row>
    <row r="17" spans="1:22" ht="15.6" x14ac:dyDescent="0.3">
      <c r="A17" s="175"/>
      <c r="B17" s="230" t="s">
        <v>4</v>
      </c>
      <c r="C17" s="184"/>
      <c r="D17" s="184"/>
      <c r="E17" s="184"/>
      <c r="F17" s="184"/>
      <c r="G17" s="184"/>
      <c r="H17" s="184"/>
      <c r="I17" s="184"/>
      <c r="J17" s="184"/>
      <c r="K17" s="184"/>
      <c r="L17" s="184"/>
      <c r="M17" s="184"/>
      <c r="N17" s="184"/>
      <c r="O17" s="184"/>
      <c r="P17" s="231"/>
      <c r="Q17" s="231"/>
      <c r="R17" s="231"/>
      <c r="S17" s="231"/>
      <c r="T17" s="237">
        <v>38799</v>
      </c>
      <c r="U17" s="184"/>
      <c r="V17" s="5"/>
    </row>
    <row r="18" spans="1:22" ht="15.6" x14ac:dyDescent="0.3">
      <c r="A18" s="175"/>
      <c r="B18" s="230" t="s">
        <v>5</v>
      </c>
      <c r="C18" s="184"/>
      <c r="D18" s="184"/>
      <c r="E18" s="184"/>
      <c r="F18" s="184"/>
      <c r="G18" s="184"/>
      <c r="H18" s="184"/>
      <c r="I18" s="184"/>
      <c r="J18" s="184"/>
      <c r="K18" s="184"/>
      <c r="L18" s="184"/>
      <c r="M18" s="184"/>
      <c r="N18" s="184"/>
      <c r="O18" s="184"/>
      <c r="P18" s="231"/>
      <c r="Q18" s="231"/>
      <c r="R18" s="231"/>
      <c r="S18" s="231"/>
      <c r="T18" s="237">
        <v>41661</v>
      </c>
      <c r="U18" s="184"/>
      <c r="V18" s="5"/>
    </row>
    <row r="19" spans="1:22" ht="15.6" x14ac:dyDescent="0.3">
      <c r="A19" s="175"/>
      <c r="B19" s="177"/>
      <c r="C19" s="177"/>
      <c r="D19" s="177"/>
      <c r="E19" s="177"/>
      <c r="F19" s="177"/>
      <c r="G19" s="177"/>
      <c r="H19" s="177"/>
      <c r="I19" s="177"/>
      <c r="J19" s="177"/>
      <c r="K19" s="177"/>
      <c r="L19" s="177"/>
      <c r="M19" s="177"/>
      <c r="N19" s="177"/>
      <c r="O19" s="177"/>
      <c r="P19" s="177"/>
      <c r="Q19" s="177"/>
      <c r="R19" s="177"/>
      <c r="S19" s="177"/>
      <c r="T19" s="186"/>
      <c r="U19" s="177"/>
      <c r="V19" s="5"/>
    </row>
    <row r="20" spans="1:22" ht="15.6" x14ac:dyDescent="0.3">
      <c r="A20" s="175"/>
      <c r="B20" s="232" t="s">
        <v>6</v>
      </c>
      <c r="C20" s="177"/>
      <c r="D20" s="177"/>
      <c r="E20" s="177"/>
      <c r="F20" s="177"/>
      <c r="G20" s="177"/>
      <c r="H20" s="177"/>
      <c r="I20" s="177"/>
      <c r="J20" s="177"/>
      <c r="K20" s="177"/>
      <c r="L20" s="177"/>
      <c r="M20" s="177"/>
      <c r="N20" s="177"/>
      <c r="O20" s="177"/>
      <c r="P20" s="177"/>
      <c r="Q20" s="177"/>
      <c r="R20" s="238" t="s">
        <v>108</v>
      </c>
      <c r="S20" s="177"/>
      <c r="T20" s="188"/>
      <c r="U20" s="177"/>
      <c r="V20" s="5"/>
    </row>
    <row r="21" spans="1:22" ht="15.6" x14ac:dyDescent="0.3">
      <c r="A21" s="175"/>
      <c r="B21" s="177"/>
      <c r="C21" s="177"/>
      <c r="D21" s="177"/>
      <c r="E21" s="177"/>
      <c r="F21" s="177"/>
      <c r="G21" s="177"/>
      <c r="H21" s="177"/>
      <c r="I21" s="177"/>
      <c r="J21" s="177"/>
      <c r="K21" s="177"/>
      <c r="L21" s="177"/>
      <c r="M21" s="177"/>
      <c r="N21" s="177"/>
      <c r="O21" s="177"/>
      <c r="P21" s="177"/>
      <c r="Q21" s="177"/>
      <c r="R21" s="177"/>
      <c r="S21" s="177"/>
      <c r="T21" s="189"/>
      <c r="U21" s="177"/>
      <c r="V21" s="5"/>
    </row>
    <row r="22" spans="1:22" ht="15.6" x14ac:dyDescent="0.3">
      <c r="A22" s="222"/>
      <c r="B22" s="223"/>
      <c r="C22" s="224"/>
      <c r="D22" s="224" t="s">
        <v>184</v>
      </c>
      <c r="E22" s="224"/>
      <c r="F22" s="224" t="s">
        <v>185</v>
      </c>
      <c r="G22" s="224"/>
      <c r="H22" s="224" t="s">
        <v>186</v>
      </c>
      <c r="I22" s="224"/>
      <c r="J22" s="224" t="s">
        <v>187</v>
      </c>
      <c r="K22" s="224"/>
      <c r="L22" s="224" t="s">
        <v>188</v>
      </c>
      <c r="M22" s="224"/>
      <c r="N22" s="224" t="s">
        <v>189</v>
      </c>
      <c r="O22" s="224"/>
      <c r="P22" s="224"/>
      <c r="Q22" s="226"/>
      <c r="R22" s="226"/>
      <c r="S22" s="227"/>
      <c r="T22" s="227"/>
      <c r="U22" s="223"/>
      <c r="V22" s="5"/>
    </row>
    <row r="23" spans="1:22" ht="15.6" x14ac:dyDescent="0.3">
      <c r="A23" s="190"/>
      <c r="B23" s="239" t="s">
        <v>7</v>
      </c>
      <c r="C23" s="240"/>
      <c r="D23" s="240" t="s">
        <v>222</v>
      </c>
      <c r="E23" s="240"/>
      <c r="F23" s="240" t="s">
        <v>147</v>
      </c>
      <c r="G23" s="240"/>
      <c r="H23" s="240" t="s">
        <v>147</v>
      </c>
      <c r="I23" s="240"/>
      <c r="J23" s="240" t="s">
        <v>190</v>
      </c>
      <c r="K23" s="240"/>
      <c r="L23" s="240" t="s">
        <v>190</v>
      </c>
      <c r="M23" s="240"/>
      <c r="N23" s="240" t="s">
        <v>148</v>
      </c>
      <c r="O23" s="240"/>
      <c r="P23" s="240"/>
      <c r="Q23" s="240"/>
      <c r="R23" s="240"/>
      <c r="S23" s="241"/>
      <c r="T23" s="241"/>
      <c r="U23" s="239"/>
      <c r="V23" s="5"/>
    </row>
    <row r="24" spans="1:22" ht="15.6" x14ac:dyDescent="0.3">
      <c r="A24" s="284"/>
      <c r="B24" s="285" t="s">
        <v>8</v>
      </c>
      <c r="C24" s="286"/>
      <c r="D24" s="286" t="s">
        <v>223</v>
      </c>
      <c r="E24" s="286"/>
      <c r="F24" s="286" t="s">
        <v>149</v>
      </c>
      <c r="G24" s="286"/>
      <c r="H24" s="286" t="s">
        <v>149</v>
      </c>
      <c r="I24" s="286"/>
      <c r="J24" s="286" t="s">
        <v>172</v>
      </c>
      <c r="K24" s="286"/>
      <c r="L24" s="286" t="s">
        <v>172</v>
      </c>
      <c r="M24" s="286"/>
      <c r="N24" s="286" t="s">
        <v>150</v>
      </c>
      <c r="O24" s="286"/>
      <c r="P24" s="286"/>
      <c r="Q24" s="286"/>
      <c r="R24" s="286"/>
      <c r="S24" s="287"/>
      <c r="T24" s="287"/>
      <c r="U24" s="288"/>
      <c r="V24" s="5"/>
    </row>
    <row r="25" spans="1:22" ht="15.6" x14ac:dyDescent="0.3">
      <c r="A25" s="289"/>
      <c r="B25" s="285" t="s">
        <v>198</v>
      </c>
      <c r="C25" s="394"/>
      <c r="D25" s="286" t="s">
        <v>224</v>
      </c>
      <c r="E25" s="286"/>
      <c r="F25" s="286" t="s">
        <v>149</v>
      </c>
      <c r="G25" s="286"/>
      <c r="H25" s="286" t="s">
        <v>149</v>
      </c>
      <c r="I25" s="286"/>
      <c r="J25" s="286" t="s">
        <v>172</v>
      </c>
      <c r="K25" s="286"/>
      <c r="L25" s="286" t="s">
        <v>172</v>
      </c>
      <c r="M25" s="286"/>
      <c r="N25" s="286" t="s">
        <v>150</v>
      </c>
      <c r="O25" s="286"/>
      <c r="P25" s="286"/>
      <c r="Q25" s="394"/>
      <c r="R25" s="286"/>
      <c r="S25" s="287"/>
      <c r="T25" s="287"/>
      <c r="U25" s="288"/>
      <c r="V25" s="5"/>
    </row>
    <row r="26" spans="1:22" ht="15.6" x14ac:dyDescent="0.3">
      <c r="A26" s="289"/>
      <c r="B26" s="292" t="s">
        <v>9</v>
      </c>
      <c r="C26" s="394"/>
      <c r="D26" s="394" t="s">
        <v>306</v>
      </c>
      <c r="E26" s="394"/>
      <c r="F26" s="394" t="s">
        <v>147</v>
      </c>
      <c r="G26" s="394"/>
      <c r="H26" s="394" t="s">
        <v>147</v>
      </c>
      <c r="I26" s="394"/>
      <c r="J26" s="394" t="s">
        <v>190</v>
      </c>
      <c r="K26" s="394"/>
      <c r="L26" s="394" t="s">
        <v>190</v>
      </c>
      <c r="M26" s="394"/>
      <c r="N26" s="394" t="s">
        <v>148</v>
      </c>
      <c r="O26" s="394"/>
      <c r="P26" s="394"/>
      <c r="Q26" s="394"/>
      <c r="R26" s="286"/>
      <c r="S26" s="287"/>
      <c r="T26" s="287"/>
      <c r="U26" s="288"/>
      <c r="V26" s="5"/>
    </row>
    <row r="27" spans="1:22" ht="15.6" x14ac:dyDescent="0.3">
      <c r="A27" s="284"/>
      <c r="B27" s="292" t="s">
        <v>199</v>
      </c>
      <c r="C27" s="286"/>
      <c r="D27" s="394" t="s">
        <v>307</v>
      </c>
      <c r="E27" s="394"/>
      <c r="F27" s="394" t="s">
        <v>172</v>
      </c>
      <c r="G27" s="394"/>
      <c r="H27" s="394" t="s">
        <v>172</v>
      </c>
      <c r="I27" s="394"/>
      <c r="J27" s="394" t="s">
        <v>150</v>
      </c>
      <c r="K27" s="394"/>
      <c r="L27" s="394" t="s">
        <v>150</v>
      </c>
      <c r="M27" s="394"/>
      <c r="N27" s="394" t="s">
        <v>308</v>
      </c>
      <c r="O27" s="394"/>
      <c r="P27" s="394"/>
      <c r="Q27" s="286"/>
      <c r="R27" s="293"/>
      <c r="S27" s="287"/>
      <c r="T27" s="287"/>
      <c r="U27" s="288"/>
      <c r="V27" s="5"/>
    </row>
    <row r="28" spans="1:22" ht="15.6" x14ac:dyDescent="0.3">
      <c r="A28" s="284"/>
      <c r="B28" s="292" t="s">
        <v>200</v>
      </c>
      <c r="C28" s="286"/>
      <c r="D28" s="394" t="s">
        <v>302</v>
      </c>
      <c r="E28" s="394"/>
      <c r="F28" s="394" t="s">
        <v>149</v>
      </c>
      <c r="G28" s="394"/>
      <c r="H28" s="394" t="s">
        <v>149</v>
      </c>
      <c r="I28" s="394"/>
      <c r="J28" s="394" t="s">
        <v>172</v>
      </c>
      <c r="K28" s="394"/>
      <c r="L28" s="394" t="s">
        <v>172</v>
      </c>
      <c r="M28" s="394"/>
      <c r="N28" s="394" t="s">
        <v>150</v>
      </c>
      <c r="O28" s="394"/>
      <c r="P28" s="394"/>
      <c r="Q28" s="286"/>
      <c r="R28" s="293"/>
      <c r="S28" s="287"/>
      <c r="T28" s="287"/>
      <c r="U28" s="288"/>
      <c r="V28" s="5"/>
    </row>
    <row r="29" spans="1:22" ht="15.6" x14ac:dyDescent="0.3">
      <c r="A29" s="284"/>
      <c r="B29" s="285" t="s">
        <v>10</v>
      </c>
      <c r="C29" s="295"/>
      <c r="D29" s="286" t="s">
        <v>237</v>
      </c>
      <c r="E29" s="286"/>
      <c r="F29" s="293" t="s">
        <v>238</v>
      </c>
      <c r="G29" s="286"/>
      <c r="H29" s="286" t="s">
        <v>239</v>
      </c>
      <c r="I29" s="286"/>
      <c r="J29" s="286" t="s">
        <v>240</v>
      </c>
      <c r="K29" s="286"/>
      <c r="L29" s="286" t="s">
        <v>241</v>
      </c>
      <c r="M29" s="286"/>
      <c r="N29" s="286" t="s">
        <v>242</v>
      </c>
      <c r="O29" s="286"/>
      <c r="P29" s="286"/>
      <c r="Q29" s="296"/>
      <c r="R29" s="296"/>
      <c r="S29" s="297"/>
      <c r="T29" s="296"/>
      <c r="U29" s="298"/>
      <c r="V29" s="5"/>
    </row>
    <row r="30" spans="1:22" ht="15.6" x14ac:dyDescent="0.3">
      <c r="A30" s="284"/>
      <c r="B30" s="285" t="s">
        <v>10</v>
      </c>
      <c r="C30" s="295"/>
      <c r="D30" s="286" t="s">
        <v>236</v>
      </c>
      <c r="E30" s="286"/>
      <c r="F30" s="293" t="s">
        <v>124</v>
      </c>
      <c r="G30" s="286"/>
      <c r="H30" s="286" t="s">
        <v>124</v>
      </c>
      <c r="I30" s="286"/>
      <c r="J30" s="286" t="s">
        <v>124</v>
      </c>
      <c r="K30" s="286"/>
      <c r="L30" s="286" t="s">
        <v>124</v>
      </c>
      <c r="M30" s="286"/>
      <c r="N30" s="286" t="s">
        <v>124</v>
      </c>
      <c r="O30" s="286"/>
      <c r="P30" s="286"/>
      <c r="Q30" s="296"/>
      <c r="R30" s="296"/>
      <c r="S30" s="297"/>
      <c r="T30" s="296"/>
      <c r="U30" s="298"/>
      <c r="V30" s="5"/>
    </row>
    <row r="31" spans="1:22" ht="15.6" x14ac:dyDescent="0.3">
      <c r="A31" s="289"/>
      <c r="B31" s="285" t="s">
        <v>139</v>
      </c>
      <c r="C31" s="299"/>
      <c r="D31" s="300">
        <v>985000</v>
      </c>
      <c r="E31" s="295"/>
      <c r="F31" s="296">
        <v>149500</v>
      </c>
      <c r="G31" s="296"/>
      <c r="H31" s="301">
        <v>219700</v>
      </c>
      <c r="I31" s="296"/>
      <c r="J31" s="296">
        <v>16000</v>
      </c>
      <c r="K31" s="296"/>
      <c r="L31" s="301">
        <v>82400</v>
      </c>
      <c r="M31" s="296"/>
      <c r="N31" s="301">
        <v>87500</v>
      </c>
      <c r="O31" s="296"/>
      <c r="P31" s="301"/>
      <c r="Q31" s="302"/>
      <c r="R31" s="302"/>
      <c r="S31" s="303"/>
      <c r="T31" s="302"/>
      <c r="U31" s="298"/>
      <c r="V31" s="5"/>
    </row>
    <row r="32" spans="1:22" ht="15.6" x14ac:dyDescent="0.3">
      <c r="A32" s="284"/>
      <c r="B32" s="285" t="s">
        <v>138</v>
      </c>
      <c r="C32" s="295"/>
      <c r="D32" s="300">
        <f>D38*D31</f>
        <v>463282.83149999997</v>
      </c>
      <c r="E32" s="295"/>
      <c r="F32" s="296">
        <f>F38*F31</f>
        <v>70315.710399999996</v>
      </c>
      <c r="G32" s="296"/>
      <c r="H32" s="301">
        <f>H38*H31</f>
        <v>103333.52224000001</v>
      </c>
      <c r="I32" s="296"/>
      <c r="J32" s="296">
        <f>+J31</f>
        <v>16000</v>
      </c>
      <c r="K32" s="296"/>
      <c r="L32" s="301">
        <f>+L31</f>
        <v>82400</v>
      </c>
      <c r="M32" s="296"/>
      <c r="N32" s="301">
        <f>+N31</f>
        <v>87500</v>
      </c>
      <c r="O32" s="296"/>
      <c r="P32" s="301"/>
      <c r="Q32" s="296"/>
      <c r="R32" s="296"/>
      <c r="S32" s="297"/>
      <c r="T32" s="296"/>
      <c r="U32" s="298"/>
      <c r="V32" s="5"/>
    </row>
    <row r="33" spans="1:22" ht="15.6" x14ac:dyDescent="0.3">
      <c r="A33" s="284"/>
      <c r="B33" s="292" t="s">
        <v>140</v>
      </c>
      <c r="C33" s="295"/>
      <c r="D33" s="304">
        <f>D37*D31</f>
        <v>456779.66449999996</v>
      </c>
      <c r="E33" s="299"/>
      <c r="F33" s="302">
        <f>F37*F31</f>
        <v>69328.681500000006</v>
      </c>
      <c r="G33" s="302"/>
      <c r="H33" s="305">
        <f>H31*H37</f>
        <v>101883.0189</v>
      </c>
      <c r="I33" s="302"/>
      <c r="J33" s="302">
        <f>J31*J37</f>
        <v>16000</v>
      </c>
      <c r="K33" s="302"/>
      <c r="L33" s="305">
        <f>L31*L37</f>
        <v>82400</v>
      </c>
      <c r="M33" s="302"/>
      <c r="N33" s="305">
        <f>N31*N37</f>
        <v>87500</v>
      </c>
      <c r="O33" s="302"/>
      <c r="P33" s="305"/>
      <c r="Q33" s="296"/>
      <c r="R33" s="296"/>
      <c r="S33" s="297"/>
      <c r="T33" s="296"/>
      <c r="U33" s="298"/>
      <c r="V33" s="5"/>
    </row>
    <row r="34" spans="1:22" ht="15.6" x14ac:dyDescent="0.3">
      <c r="A34" s="289"/>
      <c r="B34" s="285" t="s">
        <v>283</v>
      </c>
      <c r="C34" s="299"/>
      <c r="D34" s="296">
        <v>567282</v>
      </c>
      <c r="E34" s="295"/>
      <c r="F34" s="296">
        <v>149500</v>
      </c>
      <c r="G34" s="296"/>
      <c r="H34" s="296">
        <v>150716</v>
      </c>
      <c r="I34" s="296"/>
      <c r="J34" s="296">
        <v>16000</v>
      </c>
      <c r="K34" s="296"/>
      <c r="L34" s="296">
        <v>56527</v>
      </c>
      <c r="M34" s="296"/>
      <c r="N34" s="296">
        <v>60025</v>
      </c>
      <c r="O34" s="296"/>
      <c r="P34" s="296"/>
      <c r="Q34" s="302"/>
      <c r="R34" s="302"/>
      <c r="S34" s="303"/>
      <c r="T34" s="296">
        <f>SUM(C34:P34)</f>
        <v>1000050</v>
      </c>
      <c r="U34" s="298"/>
      <c r="V34" s="5"/>
    </row>
    <row r="35" spans="1:22" ht="15.6" x14ac:dyDescent="0.3">
      <c r="A35" s="289"/>
      <c r="B35" s="285" t="s">
        <v>284</v>
      </c>
      <c r="C35" s="299"/>
      <c r="D35" s="296">
        <f>D38*D34</f>
        <v>266814.22458779998</v>
      </c>
      <c r="E35" s="295"/>
      <c r="F35" s="296">
        <f>F38*F34</f>
        <v>70315.710399999996</v>
      </c>
      <c r="G35" s="296"/>
      <c r="H35" s="296">
        <f>H38*H34</f>
        <v>70887.642867200004</v>
      </c>
      <c r="I35" s="296"/>
      <c r="J35" s="296">
        <f>+J34</f>
        <v>16000</v>
      </c>
      <c r="K35" s="296"/>
      <c r="L35" s="296">
        <f>+L34</f>
        <v>56527</v>
      </c>
      <c r="M35" s="296"/>
      <c r="N35" s="296">
        <f>+N34</f>
        <v>60025</v>
      </c>
      <c r="O35" s="296"/>
      <c r="P35" s="296"/>
      <c r="Q35" s="296"/>
      <c r="R35" s="296"/>
      <c r="S35" s="297"/>
      <c r="T35" s="296">
        <f>SUM(C35:P35)+1</f>
        <v>540570.57785500004</v>
      </c>
      <c r="U35" s="298"/>
      <c r="V35" s="5"/>
    </row>
    <row r="36" spans="1:22" ht="15.6" x14ac:dyDescent="0.3">
      <c r="A36" s="289"/>
      <c r="B36" s="292" t="s">
        <v>285</v>
      </c>
      <c r="C36" s="299"/>
      <c r="D36" s="302">
        <f>D37*D34</f>
        <v>263068.91536739998</v>
      </c>
      <c r="E36" s="299"/>
      <c r="F36" s="302">
        <f>F37*F34</f>
        <v>69328.681500000006</v>
      </c>
      <c r="G36" s="302"/>
      <c r="H36" s="302">
        <f>H37*H34</f>
        <v>69892.585692000008</v>
      </c>
      <c r="I36" s="302"/>
      <c r="J36" s="302">
        <f>+J34</f>
        <v>16000</v>
      </c>
      <c r="K36" s="302"/>
      <c r="L36" s="302">
        <f>+L34</f>
        <v>56527</v>
      </c>
      <c r="M36" s="302"/>
      <c r="N36" s="302">
        <f>+N34</f>
        <v>60025</v>
      </c>
      <c r="O36" s="302"/>
      <c r="P36" s="302"/>
      <c r="Q36" s="327"/>
      <c r="R36" s="327"/>
      <c r="S36" s="297"/>
      <c r="T36" s="302">
        <f>SUM(C36:P36)+1</f>
        <v>534843.18255939998</v>
      </c>
      <c r="U36" s="298"/>
      <c r="V36" s="5"/>
    </row>
    <row r="37" spans="1:22" ht="15.6" x14ac:dyDescent="0.3">
      <c r="A37" s="284"/>
      <c r="B37" s="310" t="s">
        <v>136</v>
      </c>
      <c r="C37" s="311"/>
      <c r="D37" s="312">
        <v>0.46373569999999997</v>
      </c>
      <c r="E37" s="313"/>
      <c r="F37" s="312">
        <v>0.46373700000000001</v>
      </c>
      <c r="G37" s="314"/>
      <c r="H37" s="312">
        <v>0.46373700000000001</v>
      </c>
      <c r="I37" s="314"/>
      <c r="J37" s="312">
        <v>1</v>
      </c>
      <c r="K37" s="314"/>
      <c r="L37" s="312">
        <v>1</v>
      </c>
      <c r="M37" s="314"/>
      <c r="N37" s="312">
        <v>1</v>
      </c>
      <c r="O37" s="314"/>
      <c r="P37" s="314"/>
      <c r="Q37" s="315"/>
      <c r="R37" s="315"/>
      <c r="S37" s="316"/>
      <c r="T37" s="316"/>
      <c r="U37" s="317"/>
      <c r="V37" s="5"/>
    </row>
    <row r="38" spans="1:22" ht="15.6" x14ac:dyDescent="0.3">
      <c r="A38" s="284"/>
      <c r="B38" s="310" t="s">
        <v>137</v>
      </c>
      <c r="C38" s="311"/>
      <c r="D38" s="312">
        <v>0.47033789999999998</v>
      </c>
      <c r="E38" s="313"/>
      <c r="F38" s="312">
        <v>0.47033920000000001</v>
      </c>
      <c r="G38" s="314"/>
      <c r="H38" s="312">
        <v>0.47033920000000001</v>
      </c>
      <c r="I38" s="314"/>
      <c r="J38" s="312">
        <v>1</v>
      </c>
      <c r="K38" s="312"/>
      <c r="L38" s="312">
        <v>1</v>
      </c>
      <c r="M38" s="312"/>
      <c r="N38" s="312">
        <v>1</v>
      </c>
      <c r="O38" s="314"/>
      <c r="P38" s="314"/>
      <c r="Q38" s="318"/>
      <c r="R38" s="319"/>
      <c r="S38" s="316"/>
      <c r="T38" s="318"/>
      <c r="U38" s="317"/>
      <c r="V38" s="5"/>
    </row>
    <row r="39" spans="1:22" ht="15.6" x14ac:dyDescent="0.3">
      <c r="A39" s="284"/>
      <c r="B39" s="285" t="s">
        <v>11</v>
      </c>
      <c r="C39" s="285"/>
      <c r="D39" s="293" t="s">
        <v>275</v>
      </c>
      <c r="E39" s="285"/>
      <c r="F39" s="293" t="s">
        <v>232</v>
      </c>
      <c r="G39" s="293"/>
      <c r="H39" s="293" t="s">
        <v>232</v>
      </c>
      <c r="I39" s="293"/>
      <c r="J39" s="293" t="s">
        <v>234</v>
      </c>
      <c r="K39" s="293"/>
      <c r="L39" s="293" t="s">
        <v>234</v>
      </c>
      <c r="M39" s="293"/>
      <c r="N39" s="293" t="s">
        <v>235</v>
      </c>
      <c r="O39" s="293"/>
      <c r="P39" s="293"/>
      <c r="Q39" s="320"/>
      <c r="R39" s="321"/>
      <c r="S39" s="287"/>
      <c r="T39" s="287"/>
      <c r="U39" s="288"/>
      <c r="V39" s="5"/>
    </row>
    <row r="40" spans="1:22" ht="15.6" x14ac:dyDescent="0.3">
      <c r="A40" s="284"/>
      <c r="B40" s="285" t="s">
        <v>12</v>
      </c>
      <c r="C40" s="285"/>
      <c r="D40" s="321">
        <v>2.666E-3</v>
      </c>
      <c r="E40" s="285"/>
      <c r="F40" s="321">
        <v>7.5950000000000002E-3</v>
      </c>
      <c r="G40" s="320"/>
      <c r="H40" s="321">
        <v>4.6699999999999997E-3</v>
      </c>
      <c r="I40" s="320"/>
      <c r="J40" s="321">
        <v>9.9950000000000004E-3</v>
      </c>
      <c r="K40" s="320"/>
      <c r="L40" s="321">
        <v>7.0699999999999999E-3</v>
      </c>
      <c r="M40" s="320"/>
      <c r="N40" s="321">
        <v>1.1270000000000001E-2</v>
      </c>
      <c r="O40" s="320"/>
      <c r="P40" s="321"/>
      <c r="Q40" s="320"/>
      <c r="R40" s="321"/>
      <c r="S40" s="287"/>
      <c r="T40" s="293"/>
      <c r="U40" s="288"/>
      <c r="V40" s="5"/>
    </row>
    <row r="41" spans="1:22" ht="15.6" x14ac:dyDescent="0.3">
      <c r="A41" s="284"/>
      <c r="B41" s="285" t="s">
        <v>13</v>
      </c>
      <c r="C41" s="285"/>
      <c r="D41" s="321">
        <v>2.823E-3</v>
      </c>
      <c r="E41" s="285"/>
      <c r="F41" s="321">
        <v>7.4938000000000001E-3</v>
      </c>
      <c r="G41" s="320"/>
      <c r="H41" s="321">
        <v>4.5799999999999999E-3</v>
      </c>
      <c r="I41" s="320"/>
      <c r="J41" s="321">
        <v>9.8937999999999995E-3</v>
      </c>
      <c r="K41" s="320"/>
      <c r="L41" s="321">
        <v>6.9800000000000001E-3</v>
      </c>
      <c r="M41" s="320"/>
      <c r="N41" s="321">
        <v>1.1180000000000001E-2</v>
      </c>
      <c r="O41" s="320"/>
      <c r="P41" s="321"/>
      <c r="Q41" s="320"/>
      <c r="R41" s="321"/>
      <c r="S41" s="287"/>
      <c r="T41" s="320" t="s">
        <v>201</v>
      </c>
      <c r="U41" s="288"/>
      <c r="V41" s="5"/>
    </row>
    <row r="42" spans="1:22" ht="15.6" x14ac:dyDescent="0.3">
      <c r="A42" s="284"/>
      <c r="B42" s="285" t="s">
        <v>286</v>
      </c>
      <c r="C42" s="285"/>
      <c r="D42" s="293" t="s">
        <v>231</v>
      </c>
      <c r="E42" s="285"/>
      <c r="F42" s="293" t="s">
        <v>232</v>
      </c>
      <c r="G42" s="293"/>
      <c r="H42" s="293" t="s">
        <v>232</v>
      </c>
      <c r="I42" s="293"/>
      <c r="J42" s="293" t="s">
        <v>234</v>
      </c>
      <c r="K42" s="293"/>
      <c r="L42" s="293" t="s">
        <v>245</v>
      </c>
      <c r="M42" s="293"/>
      <c r="N42" s="293" t="s">
        <v>247</v>
      </c>
      <c r="O42" s="293"/>
      <c r="P42" s="293"/>
      <c r="Q42" s="320"/>
      <c r="R42" s="321"/>
      <c r="S42" s="287"/>
      <c r="T42" s="287"/>
      <c r="U42" s="288"/>
      <c r="V42" s="5"/>
    </row>
    <row r="43" spans="1:22" ht="15.6" x14ac:dyDescent="0.3">
      <c r="A43" s="284"/>
      <c r="B43" s="285" t="s">
        <v>287</v>
      </c>
      <c r="C43" s="322"/>
      <c r="D43" s="321">
        <v>6.4311999999999998E-3</v>
      </c>
      <c r="E43" s="321"/>
      <c r="F43" s="321">
        <f>+F40</f>
        <v>7.5950000000000002E-3</v>
      </c>
      <c r="G43" s="321"/>
      <c r="H43" s="321">
        <v>7.5909999999999997E-3</v>
      </c>
      <c r="I43" s="321"/>
      <c r="J43" s="321">
        <f>+J40</f>
        <v>9.9950000000000004E-3</v>
      </c>
      <c r="K43" s="321"/>
      <c r="L43" s="321">
        <v>1.0300999999999999E-2</v>
      </c>
      <c r="M43" s="321"/>
      <c r="N43" s="321">
        <v>1.5004999999999999E-2</v>
      </c>
      <c r="O43" s="320"/>
      <c r="P43" s="321"/>
      <c r="Q43" s="293"/>
      <c r="R43" s="293"/>
      <c r="S43" s="287"/>
      <c r="T43" s="320">
        <f>SUMPRODUCT(D43:N43,D35:N35)/T35</f>
        <v>8.1968414341827469E-3</v>
      </c>
      <c r="U43" s="288"/>
      <c r="V43" s="5"/>
    </row>
    <row r="44" spans="1:22" ht="15.6" x14ac:dyDescent="0.3">
      <c r="A44" s="284"/>
      <c r="B44" s="285" t="s">
        <v>288</v>
      </c>
      <c r="C44" s="322"/>
      <c r="D44" s="321">
        <v>6.3299999999999997E-3</v>
      </c>
      <c r="E44" s="321"/>
      <c r="F44" s="321">
        <f>+F41</f>
        <v>7.4938000000000001E-3</v>
      </c>
      <c r="G44" s="321"/>
      <c r="H44" s="321">
        <v>7.4897999999999996E-3</v>
      </c>
      <c r="I44" s="321"/>
      <c r="J44" s="321">
        <f>+J41</f>
        <v>9.8937999999999995E-3</v>
      </c>
      <c r="K44" s="321"/>
      <c r="L44" s="321">
        <v>1.01998E-2</v>
      </c>
      <c r="M44" s="321"/>
      <c r="N44" s="321">
        <v>1.49038E-2</v>
      </c>
      <c r="O44" s="320"/>
      <c r="P44" s="321"/>
      <c r="Q44" s="293"/>
      <c r="R44" s="293"/>
      <c r="S44" s="287"/>
      <c r="T44" s="287"/>
      <c r="U44" s="288"/>
      <c r="V44" s="5"/>
    </row>
    <row r="45" spans="1:22" ht="15.6" x14ac:dyDescent="0.3">
      <c r="A45" s="284"/>
      <c r="B45" s="285" t="s">
        <v>14</v>
      </c>
      <c r="C45" s="285"/>
      <c r="D45" s="322">
        <v>40283</v>
      </c>
      <c r="E45" s="322"/>
      <c r="F45" s="322">
        <v>40283</v>
      </c>
      <c r="G45" s="322"/>
      <c r="H45" s="322">
        <v>40283</v>
      </c>
      <c r="I45" s="322"/>
      <c r="J45" s="322">
        <v>40283</v>
      </c>
      <c r="K45" s="322"/>
      <c r="L45" s="322">
        <v>40283</v>
      </c>
      <c r="M45" s="322"/>
      <c r="N45" s="322">
        <v>40283</v>
      </c>
      <c r="O45" s="322"/>
      <c r="P45" s="322"/>
      <c r="Q45" s="293"/>
      <c r="R45" s="293"/>
      <c r="S45" s="287"/>
      <c r="T45" s="287"/>
      <c r="U45" s="288"/>
      <c r="V45" s="5"/>
    </row>
    <row r="46" spans="1:22" ht="15.6" x14ac:dyDescent="0.3">
      <c r="A46" s="284"/>
      <c r="B46" s="285" t="s">
        <v>15</v>
      </c>
      <c r="C46" s="285"/>
      <c r="D46" s="322">
        <v>40648</v>
      </c>
      <c r="E46" s="322"/>
      <c r="F46" s="322">
        <v>40648</v>
      </c>
      <c r="G46" s="322"/>
      <c r="H46" s="322">
        <v>40648</v>
      </c>
      <c r="I46" s="293"/>
      <c r="J46" s="322">
        <v>40648</v>
      </c>
      <c r="K46" s="293"/>
      <c r="L46" s="322">
        <v>40648</v>
      </c>
      <c r="M46" s="293"/>
      <c r="N46" s="322">
        <v>40648</v>
      </c>
      <c r="O46" s="293"/>
      <c r="P46" s="322"/>
      <c r="Q46" s="293"/>
      <c r="R46" s="293"/>
      <c r="S46" s="287"/>
      <c r="T46" s="287"/>
      <c r="U46" s="288"/>
      <c r="V46" s="5"/>
    </row>
    <row r="47" spans="1:22" ht="15.6" x14ac:dyDescent="0.3">
      <c r="A47" s="284"/>
      <c r="B47" s="285" t="s">
        <v>125</v>
      </c>
      <c r="C47" s="285"/>
      <c r="D47" s="293" t="s">
        <v>124</v>
      </c>
      <c r="E47" s="285"/>
      <c r="F47" s="293" t="s">
        <v>232</v>
      </c>
      <c r="G47" s="293"/>
      <c r="H47" s="293" t="s">
        <v>232</v>
      </c>
      <c r="I47" s="293"/>
      <c r="J47" s="293" t="s">
        <v>234</v>
      </c>
      <c r="K47" s="293"/>
      <c r="L47" s="293" t="s">
        <v>234</v>
      </c>
      <c r="M47" s="293"/>
      <c r="N47" s="293" t="s">
        <v>235</v>
      </c>
      <c r="O47" s="293"/>
      <c r="P47" s="293"/>
      <c r="Q47" s="324"/>
      <c r="R47" s="324"/>
      <c r="S47" s="324"/>
      <c r="T47" s="324"/>
      <c r="U47" s="288"/>
      <c r="V47" s="5"/>
    </row>
    <row r="48" spans="1:22" ht="15.6" x14ac:dyDescent="0.3">
      <c r="A48" s="284"/>
      <c r="B48" s="285" t="s">
        <v>289</v>
      </c>
      <c r="C48" s="285"/>
      <c r="D48" s="293" t="s">
        <v>208</v>
      </c>
      <c r="E48" s="285"/>
      <c r="F48" s="293" t="s">
        <v>232</v>
      </c>
      <c r="G48" s="293"/>
      <c r="H48" s="293" t="s">
        <v>232</v>
      </c>
      <c r="I48" s="293"/>
      <c r="J48" s="293" t="s">
        <v>234</v>
      </c>
      <c r="K48" s="293"/>
      <c r="L48" s="293" t="s">
        <v>245</v>
      </c>
      <c r="M48" s="293"/>
      <c r="N48" s="293" t="s">
        <v>247</v>
      </c>
      <c r="O48" s="293"/>
      <c r="P48" s="293"/>
      <c r="Q48" s="285"/>
      <c r="R48" s="285"/>
      <c r="S48" s="285"/>
      <c r="T48" s="320"/>
      <c r="U48" s="288"/>
      <c r="V48" s="5"/>
    </row>
    <row r="49" spans="1:23" ht="15.6" x14ac:dyDescent="0.3">
      <c r="A49" s="284"/>
      <c r="B49" s="285"/>
      <c r="C49" s="285"/>
      <c r="D49" s="293"/>
      <c r="E49" s="285"/>
      <c r="F49" s="293"/>
      <c r="G49" s="293"/>
      <c r="H49" s="293"/>
      <c r="I49" s="293"/>
      <c r="J49" s="293"/>
      <c r="K49" s="293"/>
      <c r="L49" s="293"/>
      <c r="M49" s="293"/>
      <c r="N49" s="293"/>
      <c r="O49" s="293"/>
      <c r="P49" s="293"/>
      <c r="Q49" s="285"/>
      <c r="R49" s="285"/>
      <c r="S49" s="285"/>
      <c r="T49" s="320" t="s">
        <v>201</v>
      </c>
      <c r="U49" s="288"/>
      <c r="V49" s="5"/>
    </row>
    <row r="50" spans="1:23" ht="15.6" x14ac:dyDescent="0.3">
      <c r="A50" s="284"/>
      <c r="B50" s="285" t="s">
        <v>176</v>
      </c>
      <c r="C50" s="285"/>
      <c r="D50" s="293"/>
      <c r="E50" s="285"/>
      <c r="F50" s="293"/>
      <c r="G50" s="293"/>
      <c r="H50" s="293"/>
      <c r="I50" s="293"/>
      <c r="J50" s="293"/>
      <c r="K50" s="293"/>
      <c r="L50" s="293"/>
      <c r="M50" s="293"/>
      <c r="N50" s="293"/>
      <c r="O50" s="293"/>
      <c r="P50" s="293"/>
      <c r="Q50" s="285"/>
      <c r="R50" s="285"/>
      <c r="S50" s="285"/>
      <c r="T50" s="320">
        <f>SUM(J34:P34)/SUM(D34:H34)</f>
        <v>0.15279804679664968</v>
      </c>
      <c r="U50" s="288"/>
      <c r="V50" s="5"/>
    </row>
    <row r="51" spans="1:23" ht="15.6" x14ac:dyDescent="0.3">
      <c r="A51" s="284"/>
      <c r="B51" s="285" t="s">
        <v>177</v>
      </c>
      <c r="C51" s="285"/>
      <c r="D51" s="285"/>
      <c r="E51" s="285"/>
      <c r="F51" s="325"/>
      <c r="G51" s="285"/>
      <c r="H51" s="285"/>
      <c r="I51" s="285"/>
      <c r="J51" s="285"/>
      <c r="K51" s="285"/>
      <c r="L51" s="285"/>
      <c r="M51" s="285"/>
      <c r="N51" s="285"/>
      <c r="O51" s="285"/>
      <c r="P51" s="285"/>
      <c r="Q51" s="285"/>
      <c r="R51" s="285"/>
      <c r="S51" s="285"/>
      <c r="T51" s="320">
        <f>SUM(J36:P36)/SUM(D36:H36)</f>
        <v>0.32949349933596278</v>
      </c>
      <c r="U51" s="288"/>
      <c r="V51" s="5"/>
    </row>
    <row r="52" spans="1:23" ht="15.6" x14ac:dyDescent="0.3">
      <c r="A52" s="284"/>
      <c r="B52" s="285" t="s">
        <v>178</v>
      </c>
      <c r="C52" s="285"/>
      <c r="D52" s="285"/>
      <c r="E52" s="285"/>
      <c r="F52" s="285"/>
      <c r="G52" s="285"/>
      <c r="H52" s="285"/>
      <c r="I52" s="285"/>
      <c r="J52" s="285"/>
      <c r="K52" s="285"/>
      <c r="L52" s="285"/>
      <c r="M52" s="285"/>
      <c r="N52" s="285"/>
      <c r="O52" s="285"/>
      <c r="P52" s="285"/>
      <c r="Q52" s="285"/>
      <c r="R52" s="293" t="s">
        <v>109</v>
      </c>
      <c r="S52" s="293" t="s">
        <v>115</v>
      </c>
      <c r="T52" s="296">
        <f>+T34/2-SUM(J34:P34)</f>
        <v>367473</v>
      </c>
      <c r="U52" s="288"/>
      <c r="V52" s="5"/>
    </row>
    <row r="53" spans="1:23" ht="15.6" x14ac:dyDescent="0.3">
      <c r="A53" s="284"/>
      <c r="B53" s="285"/>
      <c r="C53" s="285"/>
      <c r="D53" s="285"/>
      <c r="E53" s="285"/>
      <c r="F53" s="285"/>
      <c r="G53" s="285"/>
      <c r="H53" s="285"/>
      <c r="I53" s="285"/>
      <c r="J53" s="285"/>
      <c r="K53" s="285"/>
      <c r="L53" s="285"/>
      <c r="M53" s="285"/>
      <c r="N53" s="285"/>
      <c r="O53" s="285"/>
      <c r="P53" s="285"/>
      <c r="Q53" s="285"/>
      <c r="R53" s="285"/>
      <c r="S53" s="285"/>
      <c r="T53" s="326"/>
      <c r="U53" s="288"/>
      <c r="V53" s="5"/>
    </row>
    <row r="54" spans="1:23" ht="15.6" x14ac:dyDescent="0.3">
      <c r="A54" s="284"/>
      <c r="B54" s="285" t="s">
        <v>211</v>
      </c>
      <c r="C54" s="285"/>
      <c r="D54" s="285"/>
      <c r="E54" s="285"/>
      <c r="F54" s="285"/>
      <c r="G54" s="285"/>
      <c r="H54" s="285"/>
      <c r="I54" s="285"/>
      <c r="J54" s="285"/>
      <c r="K54" s="285"/>
      <c r="L54" s="285"/>
      <c r="M54" s="285"/>
      <c r="N54" s="285"/>
      <c r="O54" s="285"/>
      <c r="P54" s="285"/>
      <c r="Q54" s="285"/>
      <c r="R54" s="285"/>
      <c r="S54" s="285"/>
      <c r="T54" s="327" t="s">
        <v>212</v>
      </c>
      <c r="U54" s="288"/>
      <c r="V54" s="5"/>
    </row>
    <row r="55" spans="1:23" ht="15.6" x14ac:dyDescent="0.3">
      <c r="A55" s="284"/>
      <c r="B55" s="285" t="s">
        <v>253</v>
      </c>
      <c r="C55" s="285"/>
      <c r="D55" s="285"/>
      <c r="E55" s="285"/>
      <c r="F55" s="285"/>
      <c r="G55" s="285"/>
      <c r="H55" s="285"/>
      <c r="I55" s="285"/>
      <c r="J55" s="285"/>
      <c r="K55" s="285"/>
      <c r="L55" s="285"/>
      <c r="M55" s="285"/>
      <c r="N55" s="285"/>
      <c r="O55" s="285"/>
      <c r="P55" s="285"/>
      <c r="Q55" s="285"/>
      <c r="R55" s="293"/>
      <c r="S55" s="293"/>
      <c r="T55" s="328" t="s">
        <v>117</v>
      </c>
      <c r="U55" s="288"/>
      <c r="V55" s="5"/>
    </row>
    <row r="56" spans="1:23" ht="15.6" x14ac:dyDescent="0.3">
      <c r="A56" s="284"/>
      <c r="B56" s="292" t="s">
        <v>210</v>
      </c>
      <c r="C56" s="292"/>
      <c r="D56" s="292"/>
      <c r="E56" s="292"/>
      <c r="F56" s="292"/>
      <c r="G56" s="292"/>
      <c r="H56" s="292"/>
      <c r="I56" s="292"/>
      <c r="J56" s="292"/>
      <c r="K56" s="292"/>
      <c r="L56" s="292"/>
      <c r="M56" s="292"/>
      <c r="N56" s="292"/>
      <c r="O56" s="292"/>
      <c r="P56" s="292"/>
      <c r="Q56" s="292"/>
      <c r="R56" s="329"/>
      <c r="S56" s="329"/>
      <c r="T56" s="330">
        <v>41654</v>
      </c>
      <c r="U56" s="288"/>
      <c r="V56" s="5"/>
    </row>
    <row r="57" spans="1:23" ht="15.6" x14ac:dyDescent="0.3">
      <c r="A57" s="284"/>
      <c r="B57" s="285" t="s">
        <v>127</v>
      </c>
      <c r="C57" s="285"/>
      <c r="D57" s="285"/>
      <c r="E57" s="285"/>
      <c r="F57" s="285"/>
      <c r="G57" s="285"/>
      <c r="H57" s="331"/>
      <c r="I57" s="331"/>
      <c r="J57" s="331"/>
      <c r="K57" s="331"/>
      <c r="L57" s="331"/>
      <c r="M57" s="331"/>
      <c r="N57" s="331"/>
      <c r="O57" s="331"/>
      <c r="P57" s="285">
        <f>+T57-R57+1</f>
        <v>92</v>
      </c>
      <c r="Q57" s="331"/>
      <c r="R57" s="332">
        <v>41470</v>
      </c>
      <c r="S57" s="333"/>
      <c r="T57" s="332">
        <v>41561</v>
      </c>
      <c r="U57" s="288"/>
      <c r="V57" s="5"/>
    </row>
    <row r="58" spans="1:23" ht="15.6" x14ac:dyDescent="0.3">
      <c r="A58" s="284"/>
      <c r="B58" s="285" t="s">
        <v>128</v>
      </c>
      <c r="C58" s="285"/>
      <c r="D58" s="285"/>
      <c r="E58" s="285"/>
      <c r="F58" s="285"/>
      <c r="G58" s="285"/>
      <c r="H58" s="285"/>
      <c r="I58" s="285"/>
      <c r="J58" s="285"/>
      <c r="K58" s="285"/>
      <c r="L58" s="285"/>
      <c r="M58" s="285"/>
      <c r="N58" s="285"/>
      <c r="O58" s="285"/>
      <c r="P58" s="285">
        <f>+T58-R58+1</f>
        <v>92</v>
      </c>
      <c r="Q58" s="285"/>
      <c r="R58" s="332">
        <v>41562</v>
      </c>
      <c r="S58" s="333"/>
      <c r="T58" s="332">
        <v>41653</v>
      </c>
      <c r="U58" s="288"/>
      <c r="V58" s="5"/>
    </row>
    <row r="59" spans="1:23" ht="15.6" x14ac:dyDescent="0.3">
      <c r="A59" s="284"/>
      <c r="B59" s="285" t="s">
        <v>209</v>
      </c>
      <c r="C59" s="285"/>
      <c r="D59" s="285"/>
      <c r="E59" s="285"/>
      <c r="F59" s="285"/>
      <c r="G59" s="285"/>
      <c r="H59" s="285"/>
      <c r="I59" s="285"/>
      <c r="J59" s="285"/>
      <c r="K59" s="285"/>
      <c r="L59" s="285"/>
      <c r="M59" s="285"/>
      <c r="N59" s="285"/>
      <c r="O59" s="285"/>
      <c r="P59" s="285"/>
      <c r="Q59" s="285"/>
      <c r="R59" s="332"/>
      <c r="S59" s="333"/>
      <c r="T59" s="332" t="s">
        <v>126</v>
      </c>
      <c r="U59" s="288"/>
      <c r="V59" s="5"/>
    </row>
    <row r="60" spans="1:23" ht="15.6" x14ac:dyDescent="0.3">
      <c r="A60" s="284"/>
      <c r="B60" s="285" t="s">
        <v>249</v>
      </c>
      <c r="C60" s="285"/>
      <c r="D60" s="285"/>
      <c r="E60" s="285"/>
      <c r="F60" s="285"/>
      <c r="G60" s="285"/>
      <c r="H60" s="285"/>
      <c r="I60" s="285"/>
      <c r="J60" s="285"/>
      <c r="K60" s="285"/>
      <c r="L60" s="285"/>
      <c r="M60" s="285"/>
      <c r="N60" s="285"/>
      <c r="O60" s="285"/>
      <c r="P60" s="285"/>
      <c r="Q60" s="285"/>
      <c r="R60" s="332"/>
      <c r="S60" s="333"/>
      <c r="T60" s="332" t="s">
        <v>160</v>
      </c>
      <c r="U60" s="288"/>
      <c r="V60" s="5"/>
      <c r="W60" s="134"/>
    </row>
    <row r="61" spans="1:23" ht="15.6" x14ac:dyDescent="0.3">
      <c r="A61" s="284"/>
      <c r="B61" s="285" t="s">
        <v>16</v>
      </c>
      <c r="C61" s="285"/>
      <c r="D61" s="285"/>
      <c r="E61" s="285"/>
      <c r="F61" s="285"/>
      <c r="G61" s="285"/>
      <c r="H61" s="285"/>
      <c r="I61" s="285"/>
      <c r="J61" s="285"/>
      <c r="K61" s="285"/>
      <c r="L61" s="285"/>
      <c r="M61" s="285"/>
      <c r="N61" s="285"/>
      <c r="O61" s="285"/>
      <c r="P61" s="285"/>
      <c r="Q61" s="285"/>
      <c r="R61" s="332"/>
      <c r="S61" s="333"/>
      <c r="T61" s="332">
        <v>41641</v>
      </c>
      <c r="U61" s="288"/>
      <c r="V61" s="5"/>
    </row>
    <row r="62" spans="1:23" ht="15.6" x14ac:dyDescent="0.3">
      <c r="A62" s="175"/>
      <c r="B62" s="281"/>
      <c r="C62" s="281"/>
      <c r="D62" s="281"/>
      <c r="E62" s="281"/>
      <c r="F62" s="281"/>
      <c r="G62" s="281"/>
      <c r="H62" s="281"/>
      <c r="I62" s="281"/>
      <c r="J62" s="281"/>
      <c r="K62" s="281"/>
      <c r="L62" s="281"/>
      <c r="M62" s="281"/>
      <c r="N62" s="281"/>
      <c r="O62" s="281"/>
      <c r="P62" s="281"/>
      <c r="Q62" s="281"/>
      <c r="R62" s="282"/>
      <c r="S62" s="283"/>
      <c r="T62" s="282"/>
      <c r="U62" s="281"/>
      <c r="V62" s="5"/>
    </row>
    <row r="63" spans="1:23" ht="15.6" x14ac:dyDescent="0.3">
      <c r="A63" s="175"/>
      <c r="B63" s="231"/>
      <c r="C63" s="231"/>
      <c r="D63" s="231"/>
      <c r="E63" s="231"/>
      <c r="F63" s="231"/>
      <c r="G63" s="231"/>
      <c r="H63" s="231"/>
      <c r="I63" s="231"/>
      <c r="J63" s="231"/>
      <c r="K63" s="231"/>
      <c r="L63" s="231"/>
      <c r="M63" s="231"/>
      <c r="N63" s="231"/>
      <c r="O63" s="231"/>
      <c r="P63" s="231"/>
      <c r="Q63" s="231"/>
      <c r="R63" s="244"/>
      <c r="S63" s="245"/>
      <c r="T63" s="244"/>
      <c r="U63" s="231"/>
      <c r="V63" s="5"/>
    </row>
    <row r="64" spans="1:23" ht="18" thickBot="1" x14ac:dyDescent="0.35">
      <c r="A64" s="192"/>
      <c r="B64" s="246" t="s">
        <v>320</v>
      </c>
      <c r="C64" s="247"/>
      <c r="D64" s="247"/>
      <c r="E64" s="247"/>
      <c r="F64" s="247"/>
      <c r="G64" s="247"/>
      <c r="H64" s="247"/>
      <c r="I64" s="247"/>
      <c r="J64" s="247"/>
      <c r="K64" s="247"/>
      <c r="L64" s="247"/>
      <c r="M64" s="247"/>
      <c r="N64" s="247"/>
      <c r="O64" s="247"/>
      <c r="P64" s="247"/>
      <c r="Q64" s="247"/>
      <c r="R64" s="247"/>
      <c r="S64" s="247"/>
      <c r="T64" s="248"/>
      <c r="U64" s="249"/>
      <c r="V64" s="5"/>
    </row>
    <row r="65" spans="1:22" ht="15.6" x14ac:dyDescent="0.3">
      <c r="A65" s="222"/>
      <c r="B65" s="395" t="s">
        <v>17</v>
      </c>
      <c r="C65" s="223"/>
      <c r="D65" s="223"/>
      <c r="E65" s="223"/>
      <c r="F65" s="223"/>
      <c r="G65" s="223"/>
      <c r="H65" s="223"/>
      <c r="I65" s="223"/>
      <c r="J65" s="223"/>
      <c r="K65" s="223"/>
      <c r="L65" s="223"/>
      <c r="M65" s="223"/>
      <c r="N65" s="223"/>
      <c r="O65" s="223"/>
      <c r="P65" s="223"/>
      <c r="Q65" s="223"/>
      <c r="R65" s="223"/>
      <c r="S65" s="223"/>
      <c r="T65" s="250"/>
      <c r="U65" s="223"/>
      <c r="V65" s="5"/>
    </row>
    <row r="66" spans="1:22" ht="15.6" x14ac:dyDescent="0.3">
      <c r="A66" s="175"/>
      <c r="B66" s="183"/>
      <c r="C66" s="177"/>
      <c r="D66" s="177"/>
      <c r="E66" s="177"/>
      <c r="F66" s="177"/>
      <c r="G66" s="177"/>
      <c r="H66" s="177"/>
      <c r="I66" s="177"/>
      <c r="J66" s="177"/>
      <c r="K66" s="177"/>
      <c r="L66" s="177"/>
      <c r="M66" s="177"/>
      <c r="N66" s="177"/>
      <c r="O66" s="177"/>
      <c r="P66" s="177"/>
      <c r="Q66" s="177"/>
      <c r="R66" s="177"/>
      <c r="S66" s="177"/>
      <c r="T66" s="194"/>
      <c r="U66" s="177"/>
      <c r="V66" s="5"/>
    </row>
    <row r="67" spans="1:22" ht="46.8" x14ac:dyDescent="0.3">
      <c r="A67" s="175"/>
      <c r="B67" s="195" t="s">
        <v>18</v>
      </c>
      <c r="C67" s="196"/>
      <c r="D67" s="196"/>
      <c r="E67" s="196"/>
      <c r="F67" s="196"/>
      <c r="G67" s="196"/>
      <c r="H67" s="196"/>
      <c r="I67" s="196"/>
      <c r="J67" s="196" t="s">
        <v>97</v>
      </c>
      <c r="K67" s="196"/>
      <c r="L67" s="196" t="s">
        <v>99</v>
      </c>
      <c r="M67" s="196"/>
      <c r="N67" s="196" t="s">
        <v>101</v>
      </c>
      <c r="O67" s="196"/>
      <c r="P67" s="196" t="s">
        <v>103</v>
      </c>
      <c r="Q67" s="196"/>
      <c r="R67" s="196" t="s">
        <v>110</v>
      </c>
      <c r="S67" s="196"/>
      <c r="T67" s="197" t="s">
        <v>118</v>
      </c>
      <c r="U67" s="198"/>
      <c r="V67" s="5"/>
    </row>
    <row r="68" spans="1:22" ht="15.6" x14ac:dyDescent="0.3">
      <c r="A68" s="337"/>
      <c r="B68" s="285" t="s">
        <v>19</v>
      </c>
      <c r="C68" s="338"/>
      <c r="D68" s="338"/>
      <c r="E68" s="338"/>
      <c r="F68" s="338"/>
      <c r="G68" s="338"/>
      <c r="H68" s="338"/>
      <c r="I68" s="338"/>
      <c r="J68" s="338">
        <v>1000039</v>
      </c>
      <c r="K68" s="338"/>
      <c r="L68" s="339">
        <v>540571</v>
      </c>
      <c r="M68" s="338"/>
      <c r="N68" s="338">
        <f>5727+57+208+1</f>
        <v>5993</v>
      </c>
      <c r="O68" s="338"/>
      <c r="P68" s="338">
        <f>57+208</f>
        <v>265</v>
      </c>
      <c r="Q68" s="338"/>
      <c r="R68" s="338">
        <v>0</v>
      </c>
      <c r="S68" s="338"/>
      <c r="T68" s="339">
        <f>+L68-N68+P68-R68</f>
        <v>534843</v>
      </c>
      <c r="U68" s="288"/>
      <c r="V68" s="5"/>
    </row>
    <row r="69" spans="1:22" ht="15.6" x14ac:dyDescent="0.3">
      <c r="A69" s="337"/>
      <c r="B69" s="285" t="s">
        <v>20</v>
      </c>
      <c r="C69" s="338"/>
      <c r="D69" s="338"/>
      <c r="E69" s="338"/>
      <c r="F69" s="338"/>
      <c r="G69" s="338"/>
      <c r="H69" s="338"/>
      <c r="I69" s="338"/>
      <c r="J69" s="338">
        <v>10</v>
      </c>
      <c r="K69" s="338"/>
      <c r="L69" s="339">
        <v>0</v>
      </c>
      <c r="M69" s="338"/>
      <c r="N69" s="338">
        <v>0</v>
      </c>
      <c r="O69" s="338"/>
      <c r="P69" s="338">
        <v>0</v>
      </c>
      <c r="Q69" s="338"/>
      <c r="R69" s="338">
        <v>0</v>
      </c>
      <c r="S69" s="338"/>
      <c r="T69" s="339">
        <v>0</v>
      </c>
      <c r="U69" s="288"/>
      <c r="V69" s="5"/>
    </row>
    <row r="70" spans="1:22" ht="15.6" x14ac:dyDescent="0.3">
      <c r="A70" s="337"/>
      <c r="B70" s="285"/>
      <c r="C70" s="338"/>
      <c r="D70" s="338"/>
      <c r="E70" s="338"/>
      <c r="F70" s="338"/>
      <c r="G70" s="338"/>
      <c r="H70" s="338"/>
      <c r="I70" s="338"/>
      <c r="J70" s="338"/>
      <c r="K70" s="338"/>
      <c r="L70" s="339"/>
      <c r="M70" s="338"/>
      <c r="N70" s="338"/>
      <c r="O70" s="338"/>
      <c r="P70" s="338"/>
      <c r="Q70" s="338"/>
      <c r="R70" s="338"/>
      <c r="S70" s="338"/>
      <c r="T70" s="339"/>
      <c r="U70" s="288"/>
      <c r="V70" s="5"/>
    </row>
    <row r="71" spans="1:22" ht="15.6" x14ac:dyDescent="0.3">
      <c r="A71" s="337"/>
      <c r="B71" s="285" t="s">
        <v>21</v>
      </c>
      <c r="C71" s="338"/>
      <c r="D71" s="338"/>
      <c r="E71" s="338"/>
      <c r="F71" s="338"/>
      <c r="G71" s="338"/>
      <c r="H71" s="338"/>
      <c r="I71" s="338"/>
      <c r="J71" s="338">
        <f>SUM(J68:J70)</f>
        <v>1000049</v>
      </c>
      <c r="K71" s="338"/>
      <c r="L71" s="338">
        <f>L68+L69</f>
        <v>540571</v>
      </c>
      <c r="M71" s="338"/>
      <c r="N71" s="338">
        <f>SUM(N68:N70)</f>
        <v>5993</v>
      </c>
      <c r="O71" s="338"/>
      <c r="P71" s="338">
        <f>SUM(P68:P70)</f>
        <v>265</v>
      </c>
      <c r="Q71" s="338"/>
      <c r="R71" s="338">
        <f>SUM(R68:R70)</f>
        <v>0</v>
      </c>
      <c r="S71" s="338"/>
      <c r="T71" s="338">
        <f>SUM(T68:T70)</f>
        <v>534843</v>
      </c>
      <c r="U71" s="288"/>
      <c r="V71" s="5"/>
    </row>
    <row r="72" spans="1:22" ht="15.6" x14ac:dyDescent="0.3">
      <c r="A72" s="175"/>
      <c r="B72" s="334"/>
      <c r="C72" s="335"/>
      <c r="D72" s="335"/>
      <c r="E72" s="335"/>
      <c r="F72" s="335"/>
      <c r="G72" s="335"/>
      <c r="H72" s="335"/>
      <c r="I72" s="335"/>
      <c r="J72" s="335"/>
      <c r="K72" s="335"/>
      <c r="L72" s="335"/>
      <c r="M72" s="335"/>
      <c r="N72" s="335"/>
      <c r="O72" s="335"/>
      <c r="P72" s="335"/>
      <c r="Q72" s="335"/>
      <c r="R72" s="335"/>
      <c r="S72" s="335"/>
      <c r="T72" s="336"/>
      <c r="U72" s="334"/>
      <c r="V72" s="5"/>
    </row>
    <row r="73" spans="1:22" ht="15.6" x14ac:dyDescent="0.3">
      <c r="A73" s="175"/>
      <c r="B73" s="179" t="s">
        <v>22</v>
      </c>
      <c r="C73" s="199"/>
      <c r="D73" s="199"/>
      <c r="E73" s="199"/>
      <c r="F73" s="199"/>
      <c r="G73" s="199"/>
      <c r="H73" s="199"/>
      <c r="I73" s="199"/>
      <c r="J73" s="199"/>
      <c r="K73" s="199"/>
      <c r="L73" s="199"/>
      <c r="M73" s="199"/>
      <c r="N73" s="199"/>
      <c r="O73" s="199"/>
      <c r="P73" s="199"/>
      <c r="Q73" s="199"/>
      <c r="R73" s="199"/>
      <c r="S73" s="199"/>
      <c r="T73" s="200"/>
      <c r="U73" s="177"/>
      <c r="V73" s="5"/>
    </row>
    <row r="74" spans="1:22" ht="15.6" x14ac:dyDescent="0.3">
      <c r="A74" s="175"/>
      <c r="B74" s="177"/>
      <c r="C74" s="199"/>
      <c r="D74" s="199"/>
      <c r="E74" s="199"/>
      <c r="F74" s="199"/>
      <c r="G74" s="199"/>
      <c r="H74" s="199"/>
      <c r="I74" s="199"/>
      <c r="J74" s="199"/>
      <c r="K74" s="199"/>
      <c r="L74" s="199"/>
      <c r="M74" s="199"/>
      <c r="N74" s="199"/>
      <c r="O74" s="199"/>
      <c r="P74" s="199"/>
      <c r="Q74" s="199"/>
      <c r="R74" s="199"/>
      <c r="S74" s="199"/>
      <c r="T74" s="200"/>
      <c r="U74" s="177"/>
      <c r="V74" s="5"/>
    </row>
    <row r="75" spans="1:22" ht="15.6" x14ac:dyDescent="0.3">
      <c r="A75" s="284"/>
      <c r="B75" s="285" t="s">
        <v>19</v>
      </c>
      <c r="C75" s="338"/>
      <c r="D75" s="338"/>
      <c r="E75" s="338"/>
      <c r="F75" s="338"/>
      <c r="G75" s="338"/>
      <c r="H75" s="338"/>
      <c r="I75" s="338"/>
      <c r="J75" s="338"/>
      <c r="K75" s="338"/>
      <c r="L75" s="338"/>
      <c r="M75" s="338"/>
      <c r="N75" s="338"/>
      <c r="O75" s="338"/>
      <c r="P75" s="338"/>
      <c r="Q75" s="338"/>
      <c r="R75" s="338"/>
      <c r="S75" s="338"/>
      <c r="T75" s="338"/>
      <c r="U75" s="288"/>
      <c r="V75" s="5"/>
    </row>
    <row r="76" spans="1:22" ht="15.6" x14ac:dyDescent="0.3">
      <c r="A76" s="284"/>
      <c r="B76" s="285" t="s">
        <v>20</v>
      </c>
      <c r="C76" s="338"/>
      <c r="D76" s="338"/>
      <c r="E76" s="338"/>
      <c r="F76" s="338"/>
      <c r="G76" s="338"/>
      <c r="H76" s="338"/>
      <c r="I76" s="338"/>
      <c r="J76" s="338"/>
      <c r="K76" s="338"/>
      <c r="L76" s="338"/>
      <c r="M76" s="338"/>
      <c r="N76" s="338"/>
      <c r="O76" s="338"/>
      <c r="P76" s="338"/>
      <c r="Q76" s="338"/>
      <c r="R76" s="338"/>
      <c r="S76" s="338"/>
      <c r="T76" s="338"/>
      <c r="U76" s="288"/>
      <c r="V76" s="5"/>
    </row>
    <row r="77" spans="1:22" ht="15.6" x14ac:dyDescent="0.3">
      <c r="A77" s="284"/>
      <c r="B77" s="285"/>
      <c r="C77" s="338"/>
      <c r="D77" s="338"/>
      <c r="E77" s="338"/>
      <c r="F77" s="338"/>
      <c r="G77" s="338"/>
      <c r="H77" s="338"/>
      <c r="I77" s="338"/>
      <c r="J77" s="338"/>
      <c r="K77" s="338"/>
      <c r="L77" s="338"/>
      <c r="M77" s="338"/>
      <c r="N77" s="338"/>
      <c r="O77" s="338"/>
      <c r="P77" s="338"/>
      <c r="Q77" s="338"/>
      <c r="R77" s="338"/>
      <c r="S77" s="338"/>
      <c r="T77" s="338"/>
      <c r="U77" s="288"/>
      <c r="V77" s="5"/>
    </row>
    <row r="78" spans="1:22" ht="15.6" x14ac:dyDescent="0.3">
      <c r="A78" s="284"/>
      <c r="B78" s="285" t="s">
        <v>21</v>
      </c>
      <c r="C78" s="338"/>
      <c r="D78" s="338"/>
      <c r="E78" s="338"/>
      <c r="F78" s="338"/>
      <c r="G78" s="338"/>
      <c r="H78" s="338"/>
      <c r="I78" s="338"/>
      <c r="J78" s="338"/>
      <c r="K78" s="338"/>
      <c r="L78" s="338"/>
      <c r="M78" s="338"/>
      <c r="N78" s="338"/>
      <c r="O78" s="338"/>
      <c r="P78" s="338"/>
      <c r="Q78" s="338"/>
      <c r="R78" s="338"/>
      <c r="S78" s="338"/>
      <c r="T78" s="338"/>
      <c r="U78" s="288"/>
      <c r="V78" s="5"/>
    </row>
    <row r="79" spans="1:22" ht="15.6" x14ac:dyDescent="0.3">
      <c r="A79" s="284"/>
      <c r="B79" s="285"/>
      <c r="C79" s="338"/>
      <c r="D79" s="338"/>
      <c r="E79" s="338"/>
      <c r="F79" s="338"/>
      <c r="G79" s="338"/>
      <c r="H79" s="338"/>
      <c r="I79" s="338"/>
      <c r="J79" s="338"/>
      <c r="K79" s="338"/>
      <c r="L79" s="338"/>
      <c r="M79" s="338"/>
      <c r="N79" s="338"/>
      <c r="O79" s="338"/>
      <c r="P79" s="338"/>
      <c r="Q79" s="338"/>
      <c r="R79" s="338"/>
      <c r="S79" s="338"/>
      <c r="T79" s="338"/>
      <c r="U79" s="288"/>
      <c r="V79" s="5"/>
    </row>
    <row r="80" spans="1:22" ht="15.6" x14ac:dyDescent="0.3">
      <c r="A80" s="284"/>
      <c r="B80" s="285" t="s">
        <v>23</v>
      </c>
      <c r="C80" s="338"/>
      <c r="D80" s="338"/>
      <c r="E80" s="338"/>
      <c r="F80" s="338"/>
      <c r="G80" s="338"/>
      <c r="H80" s="338"/>
      <c r="I80" s="338"/>
      <c r="J80" s="338">
        <v>0</v>
      </c>
      <c r="K80" s="338"/>
      <c r="L80" s="338">
        <v>0</v>
      </c>
      <c r="M80" s="338"/>
      <c r="N80" s="338"/>
      <c r="O80" s="338"/>
      <c r="P80" s="338"/>
      <c r="Q80" s="338"/>
      <c r="R80" s="338"/>
      <c r="S80" s="338"/>
      <c r="T80" s="339">
        <v>0</v>
      </c>
      <c r="U80" s="288"/>
      <c r="V80" s="5"/>
    </row>
    <row r="81" spans="1:22" ht="15.6" x14ac:dyDescent="0.3">
      <c r="A81" s="284"/>
      <c r="B81" s="285" t="s">
        <v>123</v>
      </c>
      <c r="C81" s="338"/>
      <c r="D81" s="338"/>
      <c r="E81" s="338"/>
      <c r="F81" s="338"/>
      <c r="G81" s="338"/>
      <c r="H81" s="338"/>
      <c r="I81" s="338"/>
      <c r="J81" s="338">
        <v>0</v>
      </c>
      <c r="K81" s="338"/>
      <c r="L81" s="338">
        <v>0</v>
      </c>
      <c r="M81" s="338"/>
      <c r="N81" s="338"/>
      <c r="O81" s="338"/>
      <c r="P81" s="338"/>
      <c r="Q81" s="338"/>
      <c r="R81" s="338"/>
      <c r="S81" s="338"/>
      <c r="T81" s="338">
        <f>SUM(J81:P81)</f>
        <v>0</v>
      </c>
      <c r="U81" s="288"/>
      <c r="V81" s="5"/>
    </row>
    <row r="82" spans="1:22" ht="15.6" x14ac:dyDescent="0.3">
      <c r="A82" s="284"/>
      <c r="B82" s="285" t="s">
        <v>152</v>
      </c>
      <c r="C82" s="338"/>
      <c r="D82" s="338"/>
      <c r="E82" s="338"/>
      <c r="F82" s="338"/>
      <c r="G82" s="338"/>
      <c r="H82" s="338"/>
      <c r="I82" s="338"/>
      <c r="J82" s="338">
        <v>1</v>
      </c>
      <c r="K82" s="338"/>
      <c r="L82" s="338">
        <v>0</v>
      </c>
      <c r="M82" s="338"/>
      <c r="N82" s="338">
        <v>0</v>
      </c>
      <c r="O82" s="338"/>
      <c r="P82" s="338"/>
      <c r="Q82" s="338"/>
      <c r="R82" s="338"/>
      <c r="S82" s="338"/>
      <c r="T82" s="338">
        <f>+L82+N82</f>
        <v>0</v>
      </c>
      <c r="U82" s="288"/>
      <c r="V82" s="5"/>
    </row>
    <row r="83" spans="1:22" ht="15.6" x14ac:dyDescent="0.3">
      <c r="A83" s="284"/>
      <c r="B83" s="285" t="s">
        <v>25</v>
      </c>
      <c r="C83" s="338"/>
      <c r="D83" s="338"/>
      <c r="E83" s="338"/>
      <c r="F83" s="338"/>
      <c r="G83" s="338"/>
      <c r="H83" s="338"/>
      <c r="I83" s="338"/>
      <c r="J83" s="338">
        <v>0</v>
      </c>
      <c r="K83" s="338"/>
      <c r="L83" s="338">
        <v>0</v>
      </c>
      <c r="M83" s="338"/>
      <c r="N83" s="338"/>
      <c r="O83" s="338"/>
      <c r="P83" s="338"/>
      <c r="Q83" s="338"/>
      <c r="R83" s="338"/>
      <c r="S83" s="338"/>
      <c r="T83" s="338">
        <v>0</v>
      </c>
      <c r="U83" s="288"/>
      <c r="V83" s="5"/>
    </row>
    <row r="84" spans="1:22" ht="15.6" x14ac:dyDescent="0.3">
      <c r="A84" s="284"/>
      <c r="B84" s="285" t="s">
        <v>26</v>
      </c>
      <c r="C84" s="338"/>
      <c r="D84" s="338"/>
      <c r="E84" s="338"/>
      <c r="F84" s="338"/>
      <c r="G84" s="338"/>
      <c r="H84" s="338"/>
      <c r="I84" s="338"/>
      <c r="J84" s="338">
        <f>SUM(J71:J83)</f>
        <v>1000050</v>
      </c>
      <c r="K84" s="338"/>
      <c r="L84" s="338">
        <f>SUM(L71:L83)</f>
        <v>540571</v>
      </c>
      <c r="M84" s="338"/>
      <c r="N84" s="338"/>
      <c r="O84" s="338"/>
      <c r="P84" s="338"/>
      <c r="Q84" s="338"/>
      <c r="R84" s="338"/>
      <c r="S84" s="338"/>
      <c r="T84" s="338">
        <f>SUM(T71:T83)</f>
        <v>534843</v>
      </c>
      <c r="U84" s="288"/>
      <c r="V84" s="5"/>
    </row>
    <row r="85" spans="1:22" ht="15.6" x14ac:dyDescent="0.3">
      <c r="A85" s="175"/>
      <c r="B85" s="334"/>
      <c r="C85" s="335"/>
      <c r="D85" s="335"/>
      <c r="E85" s="335"/>
      <c r="F85" s="335"/>
      <c r="G85" s="335"/>
      <c r="H85" s="335"/>
      <c r="I85" s="335"/>
      <c r="J85" s="335"/>
      <c r="K85" s="335"/>
      <c r="L85" s="335"/>
      <c r="M85" s="335"/>
      <c r="N85" s="335"/>
      <c r="O85" s="335"/>
      <c r="P85" s="335"/>
      <c r="Q85" s="335"/>
      <c r="R85" s="335"/>
      <c r="S85" s="335"/>
      <c r="T85" s="336"/>
      <c r="U85" s="334"/>
      <c r="V85" s="5"/>
    </row>
    <row r="86" spans="1:22" ht="15.6" x14ac:dyDescent="0.3">
      <c r="A86" s="175"/>
      <c r="B86" s="177"/>
      <c r="C86" s="177"/>
      <c r="D86" s="177"/>
      <c r="E86" s="177"/>
      <c r="F86" s="177"/>
      <c r="G86" s="177"/>
      <c r="H86" s="177"/>
      <c r="I86" s="177"/>
      <c r="J86" s="177"/>
      <c r="K86" s="177"/>
      <c r="L86" s="177"/>
      <c r="M86" s="177"/>
      <c r="N86" s="177"/>
      <c r="O86" s="177"/>
      <c r="P86" s="177"/>
      <c r="Q86" s="177"/>
      <c r="R86" s="177"/>
      <c r="S86" s="177"/>
      <c r="T86" s="177"/>
      <c r="U86" s="177"/>
      <c r="V86" s="5"/>
    </row>
    <row r="87" spans="1:22" ht="15.6" x14ac:dyDescent="0.3">
      <c r="A87" s="222"/>
      <c r="B87" s="395" t="s">
        <v>27</v>
      </c>
      <c r="C87" s="395"/>
      <c r="D87" s="395"/>
      <c r="E87" s="395"/>
      <c r="F87" s="395"/>
      <c r="G87" s="395"/>
      <c r="H87" s="396"/>
      <c r="I87" s="396"/>
      <c r="J87" s="397" t="s">
        <v>98</v>
      </c>
      <c r="K87" s="396"/>
      <c r="L87" s="398">
        <f>+R194</f>
        <v>41639</v>
      </c>
      <c r="M87" s="396"/>
      <c r="N87" s="396"/>
      <c r="O87" s="396"/>
      <c r="P87" s="396"/>
      <c r="Q87" s="396"/>
      <c r="R87" s="396" t="s">
        <v>111</v>
      </c>
      <c r="S87" s="396"/>
      <c r="T87" s="396" t="s">
        <v>119</v>
      </c>
      <c r="U87" s="223"/>
      <c r="V87" s="5"/>
    </row>
    <row r="88" spans="1:22" ht="15.6" x14ac:dyDescent="0.3">
      <c r="A88" s="190"/>
      <c r="B88" s="239" t="s">
        <v>28</v>
      </c>
      <c r="C88" s="239"/>
      <c r="D88" s="239"/>
      <c r="E88" s="239"/>
      <c r="F88" s="239"/>
      <c r="G88" s="239"/>
      <c r="H88" s="239"/>
      <c r="I88" s="239"/>
      <c r="J88" s="239"/>
      <c r="K88" s="239"/>
      <c r="L88" s="239"/>
      <c r="M88" s="239"/>
      <c r="N88" s="239"/>
      <c r="O88" s="239"/>
      <c r="P88" s="239"/>
      <c r="Q88" s="239"/>
      <c r="R88" s="243">
        <v>0</v>
      </c>
      <c r="S88" s="239"/>
      <c r="T88" s="251">
        <v>0</v>
      </c>
      <c r="U88" s="239"/>
      <c r="V88" s="5"/>
    </row>
    <row r="89" spans="1:22" ht="15.6" x14ac:dyDescent="0.3">
      <c r="A89" s="284"/>
      <c r="B89" s="285" t="s">
        <v>29</v>
      </c>
      <c r="C89" s="285"/>
      <c r="D89" s="285"/>
      <c r="E89" s="285"/>
      <c r="F89" s="285"/>
      <c r="G89" s="285"/>
      <c r="H89" s="324"/>
      <c r="I89" s="341"/>
      <c r="J89" s="324"/>
      <c r="K89" s="285"/>
      <c r="L89" s="342"/>
      <c r="M89" s="285"/>
      <c r="N89" s="285"/>
      <c r="O89" s="285"/>
      <c r="P89" s="285"/>
      <c r="Q89" s="285"/>
      <c r="R89" s="338">
        <f>5993-322</f>
        <v>5671</v>
      </c>
      <c r="S89" s="285"/>
      <c r="T89" s="339"/>
      <c r="U89" s="288"/>
      <c r="V89" s="5"/>
    </row>
    <row r="90" spans="1:22" ht="15.6" x14ac:dyDescent="0.3">
      <c r="A90" s="284"/>
      <c r="B90" s="285" t="s">
        <v>225</v>
      </c>
      <c r="C90" s="285"/>
      <c r="D90" s="285"/>
      <c r="E90" s="285"/>
      <c r="F90" s="285"/>
      <c r="G90" s="285"/>
      <c r="H90" s="324"/>
      <c r="I90" s="341"/>
      <c r="J90" s="324"/>
      <c r="K90" s="285"/>
      <c r="L90" s="342"/>
      <c r="M90" s="285"/>
      <c r="N90" s="285"/>
      <c r="O90" s="285"/>
      <c r="P90" s="285"/>
      <c r="Q90" s="285"/>
      <c r="R90" s="338"/>
      <c r="S90" s="285"/>
      <c r="T90" s="339">
        <f>1693+2028-296-256</f>
        <v>3169</v>
      </c>
      <c r="U90" s="288"/>
      <c r="V90" s="5"/>
    </row>
    <row r="91" spans="1:22" ht="15.6" x14ac:dyDescent="0.3">
      <c r="A91" s="284"/>
      <c r="B91" s="285" t="s">
        <v>220</v>
      </c>
      <c r="C91" s="285"/>
      <c r="D91" s="285"/>
      <c r="E91" s="285"/>
      <c r="F91" s="285"/>
      <c r="G91" s="285"/>
      <c r="H91" s="324"/>
      <c r="I91" s="341"/>
      <c r="J91" s="324"/>
      <c r="K91" s="285"/>
      <c r="L91" s="342"/>
      <c r="M91" s="285"/>
      <c r="N91" s="285"/>
      <c r="O91" s="285"/>
      <c r="P91" s="285"/>
      <c r="Q91" s="285"/>
      <c r="R91" s="338"/>
      <c r="S91" s="285"/>
      <c r="T91" s="339">
        <f>47+67</f>
        <v>114</v>
      </c>
      <c r="U91" s="288"/>
      <c r="V91" s="5"/>
    </row>
    <row r="92" spans="1:22" ht="15.6" x14ac:dyDescent="0.3">
      <c r="A92" s="284"/>
      <c r="B92" s="285" t="s">
        <v>221</v>
      </c>
      <c r="C92" s="285"/>
      <c r="D92" s="285"/>
      <c r="E92" s="285"/>
      <c r="F92" s="285"/>
      <c r="G92" s="285"/>
      <c r="H92" s="324"/>
      <c r="I92" s="341"/>
      <c r="J92" s="324"/>
      <c r="K92" s="285"/>
      <c r="L92" s="342"/>
      <c r="M92" s="285"/>
      <c r="N92" s="285"/>
      <c r="O92" s="285"/>
      <c r="P92" s="285"/>
      <c r="Q92" s="285"/>
      <c r="R92" s="338"/>
      <c r="S92" s="285"/>
      <c r="T92" s="339">
        <v>26</v>
      </c>
      <c r="U92" s="288"/>
      <c r="V92" s="5"/>
    </row>
    <row r="93" spans="1:22" ht="15.6" x14ac:dyDescent="0.3">
      <c r="A93" s="284"/>
      <c r="B93" s="285" t="s">
        <v>261</v>
      </c>
      <c r="C93" s="285"/>
      <c r="D93" s="285"/>
      <c r="E93" s="285"/>
      <c r="F93" s="285"/>
      <c r="G93" s="285"/>
      <c r="H93" s="324"/>
      <c r="I93" s="341"/>
      <c r="J93" s="324"/>
      <c r="K93" s="285"/>
      <c r="L93" s="342"/>
      <c r="M93" s="285"/>
      <c r="N93" s="285"/>
      <c r="O93" s="285"/>
      <c r="P93" s="285"/>
      <c r="Q93" s="285"/>
      <c r="R93" s="338"/>
      <c r="S93" s="285"/>
      <c r="T93" s="339">
        <v>0</v>
      </c>
      <c r="U93" s="288"/>
      <c r="V93" s="5"/>
    </row>
    <row r="94" spans="1:22" ht="15.6" x14ac:dyDescent="0.3">
      <c r="A94" s="284"/>
      <c r="B94" s="285" t="s">
        <v>141</v>
      </c>
      <c r="C94" s="285"/>
      <c r="D94" s="285"/>
      <c r="E94" s="285"/>
      <c r="F94" s="285"/>
      <c r="G94" s="285"/>
      <c r="H94" s="285"/>
      <c r="I94" s="285"/>
      <c r="J94" s="285"/>
      <c r="K94" s="285"/>
      <c r="L94" s="285"/>
      <c r="M94" s="285"/>
      <c r="N94" s="285"/>
      <c r="O94" s="285"/>
      <c r="P94" s="285"/>
      <c r="Q94" s="285"/>
      <c r="R94" s="338"/>
      <c r="S94" s="285"/>
      <c r="T94" s="339">
        <v>0</v>
      </c>
      <c r="U94" s="288"/>
      <c r="V94" s="5"/>
    </row>
    <row r="95" spans="1:22" ht="15.6" x14ac:dyDescent="0.3">
      <c r="A95" s="284"/>
      <c r="B95" s="285" t="s">
        <v>250</v>
      </c>
      <c r="C95" s="285"/>
      <c r="D95" s="285"/>
      <c r="E95" s="285"/>
      <c r="F95" s="285"/>
      <c r="G95" s="285"/>
      <c r="H95" s="285"/>
      <c r="I95" s="285"/>
      <c r="J95" s="285"/>
      <c r="K95" s="285"/>
      <c r="L95" s="285"/>
      <c r="M95" s="285"/>
      <c r="N95" s="285"/>
      <c r="O95" s="285"/>
      <c r="P95" s="285"/>
      <c r="Q95" s="285"/>
      <c r="R95" s="338"/>
      <c r="S95" s="285"/>
      <c r="T95" s="339">
        <v>185</v>
      </c>
      <c r="U95" s="288"/>
      <c r="V95" s="5"/>
    </row>
    <row r="96" spans="1:22" ht="15.6" x14ac:dyDescent="0.3">
      <c r="A96" s="284"/>
      <c r="B96" s="285" t="s">
        <v>30</v>
      </c>
      <c r="C96" s="285"/>
      <c r="D96" s="285"/>
      <c r="E96" s="285"/>
      <c r="F96" s="285"/>
      <c r="G96" s="285"/>
      <c r="H96" s="285"/>
      <c r="I96" s="285"/>
      <c r="J96" s="285"/>
      <c r="K96" s="285"/>
      <c r="L96" s="285"/>
      <c r="M96" s="285"/>
      <c r="N96" s="285"/>
      <c r="O96" s="285"/>
      <c r="P96" s="285"/>
      <c r="Q96" s="285"/>
      <c r="R96" s="338">
        <f>SUM(R88:R95)</f>
        <v>5671</v>
      </c>
      <c r="S96" s="285"/>
      <c r="T96" s="338">
        <f>SUM(T88:T95)</f>
        <v>3494</v>
      </c>
      <c r="U96" s="288"/>
      <c r="V96" s="5"/>
    </row>
    <row r="97" spans="1:24" ht="15.6" x14ac:dyDescent="0.3">
      <c r="A97" s="284"/>
      <c r="B97" s="285" t="s">
        <v>168</v>
      </c>
      <c r="C97" s="285"/>
      <c r="D97" s="285"/>
      <c r="E97" s="285"/>
      <c r="F97" s="285"/>
      <c r="G97" s="285"/>
      <c r="H97" s="285"/>
      <c r="I97" s="285"/>
      <c r="J97" s="285"/>
      <c r="K97" s="285"/>
      <c r="L97" s="285"/>
      <c r="M97" s="285"/>
      <c r="N97" s="285"/>
      <c r="O97" s="285"/>
      <c r="P97" s="285"/>
      <c r="Q97" s="285"/>
      <c r="R97" s="338">
        <v>0</v>
      </c>
      <c r="S97" s="285"/>
      <c r="T97" s="338">
        <f>-R97</f>
        <v>0</v>
      </c>
      <c r="U97" s="288"/>
      <c r="V97" s="5"/>
    </row>
    <row r="98" spans="1:24" ht="15.6" x14ac:dyDescent="0.3">
      <c r="A98" s="284"/>
      <c r="B98" s="285" t="s">
        <v>31</v>
      </c>
      <c r="C98" s="285"/>
      <c r="D98" s="285"/>
      <c r="E98" s="285"/>
      <c r="F98" s="285"/>
      <c r="G98" s="285"/>
      <c r="H98" s="285"/>
      <c r="I98" s="285"/>
      <c r="J98" s="285"/>
      <c r="K98" s="285"/>
      <c r="L98" s="285"/>
      <c r="M98" s="285"/>
      <c r="N98" s="285"/>
      <c r="O98" s="285"/>
      <c r="P98" s="285"/>
      <c r="Q98" s="285"/>
      <c r="R98" s="338">
        <f>-T98</f>
        <v>0</v>
      </c>
      <c r="S98" s="285"/>
      <c r="T98" s="339">
        <v>0</v>
      </c>
      <c r="U98" s="288"/>
      <c r="V98" s="5"/>
    </row>
    <row r="99" spans="1:24" ht="15.6" x14ac:dyDescent="0.3">
      <c r="A99" s="284"/>
      <c r="B99" s="285" t="s">
        <v>273</v>
      </c>
      <c r="C99" s="285"/>
      <c r="D99" s="285"/>
      <c r="E99" s="285"/>
      <c r="F99" s="285"/>
      <c r="G99" s="285"/>
      <c r="H99" s="285"/>
      <c r="I99" s="285"/>
      <c r="J99" s="285"/>
      <c r="K99" s="285"/>
      <c r="L99" s="285"/>
      <c r="M99" s="285"/>
      <c r="N99" s="285"/>
      <c r="O99" s="285"/>
      <c r="P99" s="285"/>
      <c r="Q99" s="285"/>
      <c r="R99" s="338"/>
      <c r="S99" s="285"/>
      <c r="T99" s="339">
        <v>62</v>
      </c>
      <c r="U99" s="288"/>
      <c r="V99" s="5"/>
    </row>
    <row r="100" spans="1:24" ht="15.6" x14ac:dyDescent="0.3">
      <c r="A100" s="284"/>
      <c r="B100" s="285" t="s">
        <v>32</v>
      </c>
      <c r="C100" s="285"/>
      <c r="D100" s="285"/>
      <c r="E100" s="285"/>
      <c r="F100" s="285"/>
      <c r="G100" s="285"/>
      <c r="H100" s="285"/>
      <c r="I100" s="285"/>
      <c r="J100" s="285"/>
      <c r="K100" s="285"/>
      <c r="L100" s="285"/>
      <c r="M100" s="285"/>
      <c r="N100" s="285"/>
      <c r="O100" s="285"/>
      <c r="P100" s="285"/>
      <c r="Q100" s="285"/>
      <c r="R100" s="338">
        <f>R96+R98+R97</f>
        <v>5671</v>
      </c>
      <c r="S100" s="285"/>
      <c r="T100" s="338">
        <f>T96+T98+T97+T99</f>
        <v>3556</v>
      </c>
      <c r="U100" s="288"/>
      <c r="V100" s="5"/>
    </row>
    <row r="101" spans="1:24" ht="15.6" x14ac:dyDescent="0.3">
      <c r="A101" s="284"/>
      <c r="B101" s="343" t="s">
        <v>33</v>
      </c>
      <c r="C101" s="311"/>
      <c r="D101" s="311"/>
      <c r="E101" s="311"/>
      <c r="F101" s="311"/>
      <c r="G101" s="311"/>
      <c r="H101" s="311"/>
      <c r="I101" s="311"/>
      <c r="J101" s="311"/>
      <c r="K101" s="311"/>
      <c r="L101" s="311"/>
      <c r="M101" s="311"/>
      <c r="N101" s="311"/>
      <c r="O101" s="311"/>
      <c r="P101" s="311"/>
      <c r="Q101" s="311"/>
      <c r="R101" s="344"/>
      <c r="S101" s="311"/>
      <c r="T101" s="345"/>
      <c r="U101" s="317"/>
      <c r="V101" s="5"/>
    </row>
    <row r="102" spans="1:24" ht="15.6" x14ac:dyDescent="0.3">
      <c r="A102" s="337">
        <v>1</v>
      </c>
      <c r="B102" s="285" t="s">
        <v>34</v>
      </c>
      <c r="C102" s="285"/>
      <c r="D102" s="285"/>
      <c r="E102" s="285"/>
      <c r="F102" s="285"/>
      <c r="G102" s="285"/>
      <c r="H102" s="285"/>
      <c r="I102" s="285"/>
      <c r="J102" s="285"/>
      <c r="K102" s="285"/>
      <c r="L102" s="285"/>
      <c r="M102" s="285"/>
      <c r="N102" s="285"/>
      <c r="O102" s="285"/>
      <c r="P102" s="285"/>
      <c r="Q102" s="285"/>
      <c r="R102" s="285"/>
      <c r="S102" s="285"/>
      <c r="T102" s="339">
        <v>0</v>
      </c>
      <c r="U102" s="288"/>
      <c r="V102" s="5"/>
    </row>
    <row r="103" spans="1:24" ht="15.6" x14ac:dyDescent="0.3">
      <c r="A103" s="337">
        <f>+A102+1</f>
        <v>2</v>
      </c>
      <c r="B103" s="285" t="s">
        <v>312</v>
      </c>
      <c r="C103" s="285"/>
      <c r="D103" s="285"/>
      <c r="E103" s="285"/>
      <c r="F103" s="285"/>
      <c r="G103" s="285"/>
      <c r="H103" s="285"/>
      <c r="I103" s="285"/>
      <c r="J103" s="285"/>
      <c r="K103" s="285"/>
      <c r="L103" s="285"/>
      <c r="M103" s="285"/>
      <c r="N103" s="285"/>
      <c r="O103" s="285"/>
      <c r="P103" s="285"/>
      <c r="Q103" s="285"/>
      <c r="R103" s="285"/>
      <c r="S103" s="285"/>
      <c r="T103" s="339">
        <v>-2</v>
      </c>
      <c r="U103" s="288"/>
      <c r="V103" s="5"/>
    </row>
    <row r="104" spans="1:24" ht="15.6" x14ac:dyDescent="0.3">
      <c r="A104" s="337">
        <f>+A103+1</f>
        <v>3</v>
      </c>
      <c r="B104" s="407" t="s">
        <v>314</v>
      </c>
      <c r="C104" s="285"/>
      <c r="D104" s="285"/>
      <c r="E104" s="285"/>
      <c r="F104" s="285"/>
      <c r="G104" s="285"/>
      <c r="H104" s="285"/>
      <c r="I104" s="285"/>
      <c r="J104" s="285"/>
      <c r="K104" s="285"/>
      <c r="L104" s="285"/>
      <c r="M104" s="285"/>
      <c r="N104" s="285"/>
      <c r="O104" s="285"/>
      <c r="P104" s="285"/>
      <c r="Q104" s="285"/>
      <c r="R104" s="285"/>
      <c r="S104" s="285"/>
      <c r="T104" s="339">
        <f>-207-175-7</f>
        <v>-389</v>
      </c>
      <c r="U104" s="288"/>
      <c r="V104" s="5"/>
    </row>
    <row r="105" spans="1:24" ht="15.6" x14ac:dyDescent="0.3">
      <c r="A105" s="337" t="s">
        <v>133</v>
      </c>
      <c r="B105" s="285" t="s">
        <v>122</v>
      </c>
      <c r="C105" s="285"/>
      <c r="D105" s="285"/>
      <c r="E105" s="285"/>
      <c r="F105" s="285"/>
      <c r="G105" s="285"/>
      <c r="H105" s="285"/>
      <c r="I105" s="285"/>
      <c r="J105" s="285"/>
      <c r="K105" s="285"/>
      <c r="L105" s="285"/>
      <c r="M105" s="285"/>
      <c r="N105" s="285"/>
      <c r="O105" s="285"/>
      <c r="P105" s="285"/>
      <c r="Q105" s="285"/>
      <c r="R105" s="285"/>
      <c r="S105" s="285"/>
      <c r="T105" s="339">
        <v>0</v>
      </c>
      <c r="U105" s="288"/>
      <c r="V105" s="5"/>
    </row>
    <row r="106" spans="1:24" ht="15.6" x14ac:dyDescent="0.3">
      <c r="A106" s="337" t="s">
        <v>134</v>
      </c>
      <c r="B106" s="285" t="s">
        <v>194</v>
      </c>
      <c r="C106" s="285"/>
      <c r="D106" s="285"/>
      <c r="E106" s="285"/>
      <c r="F106" s="285"/>
      <c r="G106" s="285"/>
      <c r="H106" s="285"/>
      <c r="I106" s="285"/>
      <c r="J106" s="285"/>
      <c r="K106" s="285"/>
      <c r="L106" s="285"/>
      <c r="M106" s="285"/>
      <c r="N106" s="285"/>
      <c r="O106" s="285"/>
      <c r="P106" s="285"/>
      <c r="Q106" s="285"/>
      <c r="R106" s="285"/>
      <c r="S106" s="285"/>
      <c r="T106" s="339">
        <f>-703+135</f>
        <v>-568</v>
      </c>
      <c r="U106" s="288"/>
      <c r="V106" s="5"/>
      <c r="W106" s="109"/>
    </row>
    <row r="107" spans="1:24" ht="15.6" x14ac:dyDescent="0.3">
      <c r="A107" s="337" t="s">
        <v>156</v>
      </c>
      <c r="B107" s="285" t="s">
        <v>191</v>
      </c>
      <c r="C107" s="285"/>
      <c r="D107" s="285"/>
      <c r="E107" s="285"/>
      <c r="F107" s="285"/>
      <c r="G107" s="285"/>
      <c r="H107" s="285"/>
      <c r="I107" s="285"/>
      <c r="J107" s="285"/>
      <c r="K107" s="285"/>
      <c r="L107" s="285"/>
      <c r="M107" s="285"/>
      <c r="N107" s="285"/>
      <c r="O107" s="285"/>
      <c r="P107" s="285"/>
      <c r="Q107" s="285"/>
      <c r="R107" s="285"/>
      <c r="S107" s="285"/>
      <c r="T107" s="339">
        <v>-135</v>
      </c>
      <c r="U107" s="288"/>
      <c r="V107" s="5"/>
      <c r="W107" s="109"/>
    </row>
    <row r="108" spans="1:24" ht="15.6" x14ac:dyDescent="0.3">
      <c r="A108" s="337" t="s">
        <v>214</v>
      </c>
      <c r="B108" s="285" t="s">
        <v>192</v>
      </c>
      <c r="C108" s="285"/>
      <c r="D108" s="285"/>
      <c r="E108" s="285"/>
      <c r="F108" s="285"/>
      <c r="G108" s="285"/>
      <c r="H108" s="285"/>
      <c r="I108" s="285"/>
      <c r="J108" s="285"/>
      <c r="K108" s="285"/>
      <c r="L108" s="285"/>
      <c r="M108" s="285"/>
      <c r="N108" s="285"/>
      <c r="O108" s="285"/>
      <c r="P108" s="285"/>
      <c r="Q108" s="285"/>
      <c r="R108" s="285"/>
      <c r="S108" s="285"/>
      <c r="T108" s="339">
        <v>-147</v>
      </c>
      <c r="U108" s="288"/>
      <c r="V108" s="5"/>
      <c r="W108" s="109"/>
      <c r="X108" s="109"/>
    </row>
    <row r="109" spans="1:24" ht="15.6" x14ac:dyDescent="0.3">
      <c r="A109" s="337" t="s">
        <v>215</v>
      </c>
      <c r="B109" s="285" t="s">
        <v>193</v>
      </c>
      <c r="C109" s="285"/>
      <c r="D109" s="285"/>
      <c r="E109" s="285"/>
      <c r="F109" s="285"/>
      <c r="G109" s="285"/>
      <c r="H109" s="285"/>
      <c r="I109" s="285"/>
      <c r="J109" s="285"/>
      <c r="K109" s="285"/>
      <c r="L109" s="285"/>
      <c r="M109" s="285"/>
      <c r="N109" s="285"/>
      <c r="O109" s="285"/>
      <c r="P109" s="285"/>
      <c r="Q109" s="285"/>
      <c r="R109" s="285"/>
      <c r="S109" s="285"/>
      <c r="T109" s="339">
        <v>-40</v>
      </c>
      <c r="U109" s="288"/>
      <c r="V109" s="169"/>
      <c r="W109" s="109"/>
    </row>
    <row r="110" spans="1:24" ht="15.6" x14ac:dyDescent="0.3">
      <c r="A110" s="337" t="s">
        <v>216</v>
      </c>
      <c r="B110" s="285" t="s">
        <v>204</v>
      </c>
      <c r="C110" s="285"/>
      <c r="D110" s="285"/>
      <c r="E110" s="285"/>
      <c r="F110" s="285"/>
      <c r="G110" s="285"/>
      <c r="H110" s="285"/>
      <c r="I110" s="285"/>
      <c r="J110" s="285"/>
      <c r="K110" s="285"/>
      <c r="L110" s="285"/>
      <c r="M110" s="285"/>
      <c r="N110" s="285"/>
      <c r="O110" s="285"/>
      <c r="P110" s="285"/>
      <c r="Q110" s="285"/>
      <c r="R110" s="285"/>
      <c r="S110" s="285"/>
      <c r="T110" s="339">
        <v>-227</v>
      </c>
      <c r="U110" s="288"/>
      <c r="V110" s="5"/>
      <c r="W110" s="109"/>
    </row>
    <row r="111" spans="1:24" ht="15.6" x14ac:dyDescent="0.3">
      <c r="A111" s="406">
        <v>7</v>
      </c>
      <c r="B111" s="407" t="s">
        <v>313</v>
      </c>
      <c r="C111" s="407"/>
      <c r="D111" s="407"/>
      <c r="E111" s="407"/>
      <c r="F111" s="407"/>
      <c r="G111" s="285"/>
      <c r="H111" s="285"/>
      <c r="I111" s="285"/>
      <c r="J111" s="285"/>
      <c r="K111" s="285"/>
      <c r="L111" s="285"/>
      <c r="M111" s="285"/>
      <c r="N111" s="285"/>
      <c r="O111" s="285"/>
      <c r="P111" s="285"/>
      <c r="Q111" s="285"/>
      <c r="R111" s="285"/>
      <c r="S111" s="285"/>
      <c r="T111" s="339">
        <v>0</v>
      </c>
      <c r="U111" s="288"/>
      <c r="V111" s="5"/>
      <c r="W111" s="109"/>
    </row>
    <row r="112" spans="1:24" ht="15.6" x14ac:dyDescent="0.3">
      <c r="A112" s="337">
        <f t="shared" ref="A112:A118" si="0">+A111+1</f>
        <v>8</v>
      </c>
      <c r="B112" s="285" t="s">
        <v>35</v>
      </c>
      <c r="C112" s="285"/>
      <c r="D112" s="285"/>
      <c r="E112" s="285"/>
      <c r="F112" s="285"/>
      <c r="G112" s="285"/>
      <c r="H112" s="285"/>
      <c r="I112" s="285"/>
      <c r="J112" s="285"/>
      <c r="K112" s="285"/>
      <c r="L112" s="285"/>
      <c r="M112" s="285"/>
      <c r="N112" s="285"/>
      <c r="O112" s="285"/>
      <c r="P112" s="285"/>
      <c r="Q112" s="285"/>
      <c r="R112" s="285"/>
      <c r="S112" s="285"/>
      <c r="T112" s="339">
        <v>-10</v>
      </c>
      <c r="U112" s="288"/>
      <c r="V112" s="5"/>
    </row>
    <row r="113" spans="1:22" ht="15.6" x14ac:dyDescent="0.3">
      <c r="A113" s="337">
        <f t="shared" si="0"/>
        <v>9</v>
      </c>
      <c r="B113" s="285" t="s">
        <v>46</v>
      </c>
      <c r="C113" s="285"/>
      <c r="D113" s="285"/>
      <c r="E113" s="285"/>
      <c r="F113" s="285"/>
      <c r="G113" s="285"/>
      <c r="H113" s="285"/>
      <c r="I113" s="285"/>
      <c r="J113" s="285"/>
      <c r="K113" s="285"/>
      <c r="L113" s="285"/>
      <c r="M113" s="285"/>
      <c r="N113" s="285"/>
      <c r="O113" s="285"/>
      <c r="P113" s="285"/>
      <c r="Q113" s="285"/>
      <c r="R113" s="338">
        <f>-T113</f>
        <v>322</v>
      </c>
      <c r="S113" s="285"/>
      <c r="T113" s="339">
        <v>-322</v>
      </c>
      <c r="U113" s="288"/>
      <c r="V113" s="5"/>
    </row>
    <row r="114" spans="1:22" ht="15.6" x14ac:dyDescent="0.3">
      <c r="A114" s="337">
        <f t="shared" si="0"/>
        <v>10</v>
      </c>
      <c r="B114" s="285" t="s">
        <v>131</v>
      </c>
      <c r="C114" s="285"/>
      <c r="D114" s="285"/>
      <c r="E114" s="285"/>
      <c r="F114" s="285"/>
      <c r="G114" s="285"/>
      <c r="H114" s="285"/>
      <c r="I114" s="285"/>
      <c r="J114" s="285"/>
      <c r="K114" s="285"/>
      <c r="L114" s="285"/>
      <c r="M114" s="285"/>
      <c r="N114" s="285"/>
      <c r="O114" s="285"/>
      <c r="P114" s="285"/>
      <c r="Q114" s="285"/>
      <c r="R114" s="285"/>
      <c r="S114" s="285"/>
      <c r="T114" s="339">
        <v>0</v>
      </c>
      <c r="U114" s="288"/>
      <c r="V114" s="5"/>
    </row>
    <row r="115" spans="1:22" ht="15.6" x14ac:dyDescent="0.3">
      <c r="A115" s="337">
        <f t="shared" si="0"/>
        <v>11</v>
      </c>
      <c r="B115" s="285" t="s">
        <v>36</v>
      </c>
      <c r="C115" s="285"/>
      <c r="D115" s="285"/>
      <c r="E115" s="285"/>
      <c r="F115" s="285"/>
      <c r="G115" s="285"/>
      <c r="H115" s="285"/>
      <c r="I115" s="285"/>
      <c r="J115" s="285"/>
      <c r="K115" s="285"/>
      <c r="L115" s="285"/>
      <c r="M115" s="285"/>
      <c r="N115" s="285"/>
      <c r="O115" s="285"/>
      <c r="P115" s="285"/>
      <c r="Q115" s="285"/>
      <c r="R115" s="285"/>
      <c r="S115" s="285"/>
      <c r="T115" s="339">
        <v>0</v>
      </c>
      <c r="U115" s="288"/>
      <c r="V115" s="5"/>
    </row>
    <row r="116" spans="1:22" ht="15.6" x14ac:dyDescent="0.3">
      <c r="A116" s="337">
        <f t="shared" si="0"/>
        <v>12</v>
      </c>
      <c r="B116" s="285" t="s">
        <v>37</v>
      </c>
      <c r="C116" s="285"/>
      <c r="D116" s="285"/>
      <c r="E116" s="285"/>
      <c r="F116" s="285"/>
      <c r="G116" s="285"/>
      <c r="H116" s="285"/>
      <c r="I116" s="285"/>
      <c r="J116" s="285"/>
      <c r="K116" s="285"/>
      <c r="L116" s="285"/>
      <c r="M116" s="285"/>
      <c r="N116" s="285"/>
      <c r="O116" s="285"/>
      <c r="P116" s="285"/>
      <c r="Q116" s="285"/>
      <c r="R116" s="285"/>
      <c r="S116" s="285"/>
      <c r="T116" s="339">
        <v>0</v>
      </c>
      <c r="U116" s="288"/>
      <c r="V116" s="5"/>
    </row>
    <row r="117" spans="1:22" ht="15.6" x14ac:dyDescent="0.3">
      <c r="A117" s="337">
        <f t="shared" si="0"/>
        <v>13</v>
      </c>
      <c r="B117" s="285" t="s">
        <v>155</v>
      </c>
      <c r="C117" s="285"/>
      <c r="D117" s="285"/>
      <c r="E117" s="285"/>
      <c r="F117" s="285"/>
      <c r="G117" s="285"/>
      <c r="H117" s="285"/>
      <c r="I117" s="285"/>
      <c r="J117" s="285"/>
      <c r="K117" s="285"/>
      <c r="L117" s="285"/>
      <c r="M117" s="285"/>
      <c r="N117" s="285"/>
      <c r="O117" s="285"/>
      <c r="P117" s="285"/>
      <c r="Q117" s="285"/>
      <c r="R117" s="285"/>
      <c r="S117" s="285"/>
      <c r="T117" s="339">
        <v>-206</v>
      </c>
      <c r="U117" s="288"/>
      <c r="V117" s="5"/>
    </row>
    <row r="118" spans="1:22" ht="15.6" x14ac:dyDescent="0.3">
      <c r="A118" s="337">
        <f t="shared" si="0"/>
        <v>14</v>
      </c>
      <c r="B118" s="285" t="s">
        <v>132</v>
      </c>
      <c r="C118" s="285"/>
      <c r="D118" s="285"/>
      <c r="E118" s="285"/>
      <c r="F118" s="285"/>
      <c r="G118" s="285"/>
      <c r="H118" s="285"/>
      <c r="I118" s="285"/>
      <c r="J118" s="285"/>
      <c r="K118" s="285"/>
      <c r="L118" s="285"/>
      <c r="M118" s="285"/>
      <c r="N118" s="285"/>
      <c r="O118" s="285"/>
      <c r="P118" s="285"/>
      <c r="Q118" s="285"/>
      <c r="R118" s="285"/>
      <c r="S118" s="285"/>
      <c r="T118" s="339">
        <f>-T100-SUM(T102:T117)</f>
        <v>-1510</v>
      </c>
      <c r="U118" s="288"/>
      <c r="V118" s="5"/>
    </row>
    <row r="119" spans="1:22" ht="15.6" x14ac:dyDescent="0.3">
      <c r="A119" s="284"/>
      <c r="B119" s="343" t="s">
        <v>38</v>
      </c>
      <c r="C119" s="311"/>
      <c r="D119" s="311"/>
      <c r="E119" s="311"/>
      <c r="F119" s="311"/>
      <c r="G119" s="311"/>
      <c r="H119" s="311"/>
      <c r="I119" s="311"/>
      <c r="J119" s="311"/>
      <c r="K119" s="311"/>
      <c r="L119" s="311"/>
      <c r="M119" s="311"/>
      <c r="N119" s="311"/>
      <c r="O119" s="311"/>
      <c r="P119" s="311"/>
      <c r="Q119" s="311"/>
      <c r="R119" s="311"/>
      <c r="S119" s="311"/>
      <c r="T119" s="346"/>
      <c r="U119" s="317"/>
      <c r="V119" s="5"/>
    </row>
    <row r="120" spans="1:22" ht="15.6" x14ac:dyDescent="0.3">
      <c r="A120" s="337"/>
      <c r="B120" s="285" t="s">
        <v>180</v>
      </c>
      <c r="C120" s="285"/>
      <c r="D120" s="285"/>
      <c r="E120" s="285"/>
      <c r="F120" s="285"/>
      <c r="G120" s="285"/>
      <c r="H120" s="285"/>
      <c r="I120" s="285"/>
      <c r="J120" s="285"/>
      <c r="K120" s="285"/>
      <c r="L120" s="285"/>
      <c r="M120" s="285"/>
      <c r="N120" s="285"/>
      <c r="O120" s="285"/>
      <c r="P120" s="285"/>
      <c r="Q120" s="285"/>
      <c r="R120" s="338">
        <f>-R178</f>
        <v>0</v>
      </c>
      <c r="S120" s="338"/>
      <c r="T120" s="339"/>
      <c r="U120" s="288"/>
      <c r="V120" s="5"/>
    </row>
    <row r="121" spans="1:22" ht="15.6" x14ac:dyDescent="0.3">
      <c r="A121" s="337"/>
      <c r="B121" s="285" t="s">
        <v>181</v>
      </c>
      <c r="C121" s="285"/>
      <c r="D121" s="285"/>
      <c r="E121" s="285"/>
      <c r="F121" s="285"/>
      <c r="G121" s="285"/>
      <c r="H121" s="285"/>
      <c r="I121" s="285"/>
      <c r="J121" s="285"/>
      <c r="K121" s="285"/>
      <c r="L121" s="285"/>
      <c r="M121" s="285"/>
      <c r="N121" s="285"/>
      <c r="O121" s="285"/>
      <c r="P121" s="285"/>
      <c r="Q121" s="285"/>
      <c r="R121" s="338">
        <v>0</v>
      </c>
      <c r="S121" s="338"/>
      <c r="T121" s="339"/>
      <c r="U121" s="288"/>
      <c r="V121" s="5"/>
    </row>
    <row r="122" spans="1:22" ht="15.6" x14ac:dyDescent="0.3">
      <c r="A122" s="337"/>
      <c r="B122" s="285" t="s">
        <v>39</v>
      </c>
      <c r="C122" s="285"/>
      <c r="D122" s="285"/>
      <c r="E122" s="285"/>
      <c r="F122" s="285"/>
      <c r="G122" s="285"/>
      <c r="H122" s="285"/>
      <c r="I122" s="285"/>
      <c r="J122" s="285"/>
      <c r="K122" s="285"/>
      <c r="L122" s="285"/>
      <c r="M122" s="285"/>
      <c r="N122" s="285"/>
      <c r="O122" s="285"/>
      <c r="P122" s="285"/>
      <c r="Q122" s="285"/>
      <c r="R122" s="338">
        <f>-Q178</f>
        <v>-265</v>
      </c>
      <c r="S122" s="338"/>
      <c r="T122" s="339"/>
      <c r="U122" s="288"/>
      <c r="V122" s="5"/>
    </row>
    <row r="123" spans="1:22" ht="15.6" x14ac:dyDescent="0.3">
      <c r="A123" s="337"/>
      <c r="B123" s="285" t="s">
        <v>205</v>
      </c>
      <c r="C123" s="285"/>
      <c r="D123" s="285"/>
      <c r="E123" s="285"/>
      <c r="F123" s="285"/>
      <c r="G123" s="285"/>
      <c r="H123" s="285"/>
      <c r="I123" s="285"/>
      <c r="J123" s="285"/>
      <c r="K123" s="285"/>
      <c r="L123" s="285"/>
      <c r="M123" s="285"/>
      <c r="N123" s="285"/>
      <c r="O123" s="285"/>
      <c r="P123" s="285"/>
      <c r="Q123" s="285"/>
      <c r="R123" s="338">
        <v>-3746</v>
      </c>
      <c r="S123" s="338"/>
      <c r="T123" s="339"/>
      <c r="U123" s="288"/>
      <c r="V123" s="5"/>
    </row>
    <row r="124" spans="1:22" ht="15.6" x14ac:dyDescent="0.3">
      <c r="A124" s="337"/>
      <c r="B124" s="285" t="s">
        <v>203</v>
      </c>
      <c r="C124" s="285"/>
      <c r="D124" s="285"/>
      <c r="E124" s="285"/>
      <c r="F124" s="285"/>
      <c r="G124" s="285"/>
      <c r="H124" s="285"/>
      <c r="I124" s="285"/>
      <c r="J124" s="285"/>
      <c r="K124" s="285"/>
      <c r="L124" s="285"/>
      <c r="M124" s="285"/>
      <c r="N124" s="285"/>
      <c r="O124" s="285"/>
      <c r="P124" s="285"/>
      <c r="Q124" s="285"/>
      <c r="R124" s="338">
        <v>-987</v>
      </c>
      <c r="S124" s="338"/>
      <c r="T124" s="339"/>
      <c r="U124" s="288"/>
      <c r="V124" s="5"/>
    </row>
    <row r="125" spans="1:22" ht="15.6" x14ac:dyDescent="0.3">
      <c r="A125" s="337"/>
      <c r="B125" s="285" t="s">
        <v>202</v>
      </c>
      <c r="C125" s="285"/>
      <c r="D125" s="285"/>
      <c r="E125" s="285"/>
      <c r="F125" s="285"/>
      <c r="G125" s="285"/>
      <c r="H125" s="285"/>
      <c r="I125" s="285"/>
      <c r="J125" s="285"/>
      <c r="K125" s="285"/>
      <c r="L125" s="285"/>
      <c r="M125" s="285"/>
      <c r="N125" s="285"/>
      <c r="O125" s="285"/>
      <c r="P125" s="285"/>
      <c r="Q125" s="285"/>
      <c r="R125" s="338">
        <v>-995</v>
      </c>
      <c r="S125" s="338"/>
      <c r="T125" s="339"/>
      <c r="U125" s="288"/>
      <c r="V125" s="5"/>
    </row>
    <row r="126" spans="1:22" ht="15.6" x14ac:dyDescent="0.3">
      <c r="A126" s="337"/>
      <c r="B126" s="285" t="s">
        <v>197</v>
      </c>
      <c r="C126" s="285"/>
      <c r="D126" s="285"/>
      <c r="E126" s="285"/>
      <c r="F126" s="285"/>
      <c r="G126" s="285"/>
      <c r="H126" s="285"/>
      <c r="I126" s="285"/>
      <c r="J126" s="285"/>
      <c r="K126" s="285"/>
      <c r="L126" s="285"/>
      <c r="M126" s="285"/>
      <c r="N126" s="285"/>
      <c r="O126" s="285"/>
      <c r="P126" s="285"/>
      <c r="Q126" s="285"/>
      <c r="R126" s="338">
        <v>0</v>
      </c>
      <c r="S126" s="338"/>
      <c r="T126" s="339"/>
      <c r="U126" s="288"/>
      <c r="V126" s="5"/>
    </row>
    <row r="127" spans="1:22" ht="15.6" x14ac:dyDescent="0.3">
      <c r="A127" s="337"/>
      <c r="B127" s="285" t="s">
        <v>196</v>
      </c>
      <c r="C127" s="285"/>
      <c r="D127" s="285"/>
      <c r="E127" s="285"/>
      <c r="F127" s="285"/>
      <c r="G127" s="285"/>
      <c r="H127" s="285"/>
      <c r="I127" s="285"/>
      <c r="J127" s="285"/>
      <c r="K127" s="285"/>
      <c r="L127" s="285"/>
      <c r="M127" s="285"/>
      <c r="N127" s="285"/>
      <c r="O127" s="285"/>
      <c r="P127" s="285"/>
      <c r="Q127" s="285"/>
      <c r="R127" s="338">
        <v>0</v>
      </c>
      <c r="S127" s="338"/>
      <c r="T127" s="339"/>
      <c r="U127" s="288"/>
      <c r="V127" s="5"/>
    </row>
    <row r="128" spans="1:22" ht="15.6" x14ac:dyDescent="0.3">
      <c r="A128" s="337"/>
      <c r="B128" s="285" t="s">
        <v>195</v>
      </c>
      <c r="C128" s="285"/>
      <c r="D128" s="285"/>
      <c r="E128" s="285"/>
      <c r="F128" s="285"/>
      <c r="G128" s="285"/>
      <c r="H128" s="285"/>
      <c r="I128" s="285"/>
      <c r="J128" s="285"/>
      <c r="K128" s="285"/>
      <c r="L128" s="285"/>
      <c r="M128" s="285"/>
      <c r="N128" s="285"/>
      <c r="O128" s="285"/>
      <c r="P128" s="285"/>
      <c r="Q128" s="285"/>
      <c r="R128" s="338">
        <v>0</v>
      </c>
      <c r="S128" s="338"/>
      <c r="T128" s="339"/>
      <c r="U128" s="288"/>
      <c r="V128" s="5"/>
    </row>
    <row r="129" spans="1:22" ht="15.6" x14ac:dyDescent="0.3">
      <c r="A129" s="337"/>
      <c r="B129" s="285" t="s">
        <v>40</v>
      </c>
      <c r="C129" s="285"/>
      <c r="D129" s="285"/>
      <c r="E129" s="285"/>
      <c r="F129" s="285"/>
      <c r="G129" s="285"/>
      <c r="H129" s="285"/>
      <c r="I129" s="285"/>
      <c r="J129" s="285"/>
      <c r="K129" s="285"/>
      <c r="L129" s="285"/>
      <c r="M129" s="285"/>
      <c r="N129" s="285"/>
      <c r="O129" s="285"/>
      <c r="P129" s="285"/>
      <c r="Q129" s="285"/>
      <c r="R129" s="338">
        <f>SUM(R120:R128)</f>
        <v>-5993</v>
      </c>
      <c r="S129" s="338"/>
      <c r="T129" s="338">
        <f>SUM(T101:T127)</f>
        <v>-3556</v>
      </c>
      <c r="U129" s="288"/>
      <c r="V129" s="5"/>
    </row>
    <row r="130" spans="1:22" ht="15.6" x14ac:dyDescent="0.3">
      <c r="A130" s="337"/>
      <c r="B130" s="285" t="s">
        <v>41</v>
      </c>
      <c r="C130" s="285"/>
      <c r="D130" s="285"/>
      <c r="E130" s="285"/>
      <c r="F130" s="285"/>
      <c r="G130" s="285"/>
      <c r="H130" s="285"/>
      <c r="I130" s="285"/>
      <c r="J130" s="285"/>
      <c r="K130" s="285"/>
      <c r="L130" s="285"/>
      <c r="M130" s="285"/>
      <c r="N130" s="285"/>
      <c r="O130" s="285"/>
      <c r="P130" s="285"/>
      <c r="Q130" s="285"/>
      <c r="R130" s="338">
        <f>R100+R129+R113</f>
        <v>0</v>
      </c>
      <c r="S130" s="338"/>
      <c r="T130" s="338">
        <f>T100+T129</f>
        <v>0</v>
      </c>
      <c r="U130" s="288"/>
      <c r="V130" s="5"/>
    </row>
    <row r="131" spans="1:22" ht="15.6" x14ac:dyDescent="0.3">
      <c r="A131" s="256"/>
      <c r="B131" s="281"/>
      <c r="C131" s="281"/>
      <c r="D131" s="281"/>
      <c r="E131" s="281"/>
      <c r="F131" s="281"/>
      <c r="G131" s="281"/>
      <c r="H131" s="281"/>
      <c r="I131" s="281"/>
      <c r="J131" s="281"/>
      <c r="K131" s="281"/>
      <c r="L131" s="281"/>
      <c r="M131" s="281"/>
      <c r="N131" s="281"/>
      <c r="O131" s="281"/>
      <c r="P131" s="281"/>
      <c r="Q131" s="281"/>
      <c r="R131" s="340"/>
      <c r="S131" s="340"/>
      <c r="T131" s="340"/>
      <c r="U131" s="281"/>
      <c r="V131" s="5"/>
    </row>
    <row r="132" spans="1:22" ht="15.6" x14ac:dyDescent="0.3">
      <c r="A132" s="256"/>
      <c r="B132" s="231"/>
      <c r="C132" s="231"/>
      <c r="D132" s="231"/>
      <c r="E132" s="231"/>
      <c r="F132" s="231"/>
      <c r="G132" s="231"/>
      <c r="H132" s="231"/>
      <c r="I132" s="231"/>
      <c r="J132" s="231"/>
      <c r="K132" s="231"/>
      <c r="L132" s="231"/>
      <c r="M132" s="231"/>
      <c r="N132" s="231"/>
      <c r="O132" s="231"/>
      <c r="P132" s="231"/>
      <c r="Q132" s="231"/>
      <c r="R132" s="231"/>
      <c r="S132" s="231"/>
      <c r="T132" s="257"/>
      <c r="U132" s="231"/>
      <c r="V132" s="5"/>
    </row>
    <row r="133" spans="1:22" ht="18" thickBot="1" x14ac:dyDescent="0.35">
      <c r="A133" s="258"/>
      <c r="B133" s="246" t="str">
        <f>B64</f>
        <v>PM11 INVESTOR REPORT QUARTER ENDING DECEMBER 2013</v>
      </c>
      <c r="C133" s="247"/>
      <c r="D133" s="247"/>
      <c r="E133" s="247"/>
      <c r="F133" s="247"/>
      <c r="G133" s="247"/>
      <c r="H133" s="247"/>
      <c r="I133" s="247"/>
      <c r="J133" s="247"/>
      <c r="K133" s="247"/>
      <c r="L133" s="247"/>
      <c r="M133" s="247"/>
      <c r="N133" s="247"/>
      <c r="O133" s="247"/>
      <c r="P133" s="247"/>
      <c r="Q133" s="247"/>
      <c r="R133" s="247"/>
      <c r="S133" s="247"/>
      <c r="T133" s="259"/>
      <c r="U133" s="249"/>
      <c r="V133" s="5"/>
    </row>
    <row r="134" spans="1:22" ht="15.6" x14ac:dyDescent="0.3">
      <c r="A134" s="260"/>
      <c r="B134" s="399" t="s">
        <v>42</v>
      </c>
      <c r="C134" s="261"/>
      <c r="D134" s="261"/>
      <c r="E134" s="261"/>
      <c r="F134" s="261"/>
      <c r="G134" s="261"/>
      <c r="H134" s="261"/>
      <c r="I134" s="261"/>
      <c r="J134" s="261"/>
      <c r="K134" s="261"/>
      <c r="L134" s="261"/>
      <c r="M134" s="261"/>
      <c r="N134" s="261"/>
      <c r="O134" s="261"/>
      <c r="P134" s="261"/>
      <c r="Q134" s="261"/>
      <c r="R134" s="261"/>
      <c r="S134" s="261"/>
      <c r="T134" s="262"/>
      <c r="U134" s="261"/>
      <c r="V134" s="5"/>
    </row>
    <row r="135" spans="1:22" ht="15.6" x14ac:dyDescent="0.3">
      <c r="A135" s="175"/>
      <c r="B135" s="187"/>
      <c r="C135" s="177"/>
      <c r="D135" s="177"/>
      <c r="E135" s="177"/>
      <c r="F135" s="177"/>
      <c r="G135" s="177"/>
      <c r="H135" s="177"/>
      <c r="I135" s="177"/>
      <c r="J135" s="177"/>
      <c r="K135" s="177"/>
      <c r="L135" s="177"/>
      <c r="M135" s="177"/>
      <c r="N135" s="177"/>
      <c r="O135" s="177"/>
      <c r="P135" s="177"/>
      <c r="Q135" s="177"/>
      <c r="R135" s="177"/>
      <c r="S135" s="177"/>
      <c r="T135" s="194"/>
      <c r="U135" s="177"/>
      <c r="V135" s="5"/>
    </row>
    <row r="136" spans="1:22" ht="15.6" x14ac:dyDescent="0.3">
      <c r="A136" s="175"/>
      <c r="B136" s="201" t="s">
        <v>43</v>
      </c>
      <c r="C136" s="177"/>
      <c r="D136" s="177"/>
      <c r="E136" s="177"/>
      <c r="F136" s="177"/>
      <c r="G136" s="177"/>
      <c r="H136" s="177"/>
      <c r="I136" s="177"/>
      <c r="J136" s="177"/>
      <c r="K136" s="177"/>
      <c r="L136" s="177"/>
      <c r="M136" s="177"/>
      <c r="N136" s="177"/>
      <c r="O136" s="177"/>
      <c r="P136" s="177"/>
      <c r="Q136" s="177"/>
      <c r="R136" s="177"/>
      <c r="S136" s="177"/>
      <c r="T136" s="194"/>
      <c r="U136" s="177"/>
      <c r="V136" s="5"/>
    </row>
    <row r="137" spans="1:22" ht="15.6" x14ac:dyDescent="0.3">
      <c r="A137" s="284"/>
      <c r="B137" s="285" t="s">
        <v>44</v>
      </c>
      <c r="C137" s="285"/>
      <c r="D137" s="285"/>
      <c r="E137" s="285"/>
      <c r="F137" s="285"/>
      <c r="G137" s="285"/>
      <c r="H137" s="285"/>
      <c r="I137" s="285"/>
      <c r="J137" s="285"/>
      <c r="K137" s="285"/>
      <c r="L137" s="285"/>
      <c r="M137" s="285"/>
      <c r="N137" s="285"/>
      <c r="O137" s="285"/>
      <c r="P137" s="285"/>
      <c r="Q137" s="285"/>
      <c r="R137" s="285"/>
      <c r="S137" s="285"/>
      <c r="T137" s="339">
        <f>+T34*0.019</f>
        <v>19000.95</v>
      </c>
      <c r="U137" s="288"/>
      <c r="V137" s="5"/>
    </row>
    <row r="138" spans="1:22" ht="15.6" x14ac:dyDescent="0.3">
      <c r="A138" s="284"/>
      <c r="B138" s="285" t="s">
        <v>45</v>
      </c>
      <c r="C138" s="285"/>
      <c r="D138" s="285"/>
      <c r="E138" s="285"/>
      <c r="F138" s="285"/>
      <c r="G138" s="285"/>
      <c r="H138" s="285"/>
      <c r="I138" s="285"/>
      <c r="J138" s="285"/>
      <c r="K138" s="285"/>
      <c r="L138" s="285"/>
      <c r="M138" s="285"/>
      <c r="N138" s="285"/>
      <c r="O138" s="285"/>
      <c r="P138" s="285"/>
      <c r="Q138" s="285"/>
      <c r="R138" s="285"/>
      <c r="S138" s="285"/>
      <c r="T138" s="339">
        <v>19001</v>
      </c>
      <c r="U138" s="288"/>
      <c r="V138" s="5"/>
    </row>
    <row r="139" spans="1:22" ht="15.6" x14ac:dyDescent="0.3">
      <c r="A139" s="284"/>
      <c r="B139" s="285" t="s">
        <v>142</v>
      </c>
      <c r="C139" s="285"/>
      <c r="D139" s="285"/>
      <c r="E139" s="285"/>
      <c r="F139" s="285"/>
      <c r="G139" s="285"/>
      <c r="H139" s="285"/>
      <c r="I139" s="285"/>
      <c r="J139" s="285"/>
      <c r="K139" s="285"/>
      <c r="L139" s="285"/>
      <c r="M139" s="285"/>
      <c r="N139" s="285"/>
      <c r="O139" s="285"/>
      <c r="P139" s="285"/>
      <c r="Q139" s="285"/>
      <c r="R139" s="285"/>
      <c r="S139" s="285"/>
      <c r="T139" s="339">
        <v>0</v>
      </c>
      <c r="U139" s="288"/>
      <c r="V139" s="5"/>
    </row>
    <row r="140" spans="1:22" ht="15.6" x14ac:dyDescent="0.3">
      <c r="A140" s="284"/>
      <c r="B140" s="285" t="s">
        <v>129</v>
      </c>
      <c r="C140" s="285"/>
      <c r="D140" s="285"/>
      <c r="E140" s="285"/>
      <c r="F140" s="285"/>
      <c r="G140" s="285"/>
      <c r="H140" s="285"/>
      <c r="I140" s="285"/>
      <c r="J140" s="285"/>
      <c r="K140" s="285"/>
      <c r="L140" s="285"/>
      <c r="M140" s="285"/>
      <c r="N140" s="285"/>
      <c r="O140" s="285"/>
      <c r="P140" s="285"/>
      <c r="Q140" s="285"/>
      <c r="R140" s="285"/>
      <c r="S140" s="285"/>
      <c r="T140" s="339">
        <v>0</v>
      </c>
      <c r="U140" s="288"/>
      <c r="V140" s="5"/>
    </row>
    <row r="141" spans="1:22" ht="15.6" x14ac:dyDescent="0.3">
      <c r="A141" s="284"/>
      <c r="B141" s="285" t="s">
        <v>130</v>
      </c>
      <c r="C141" s="285"/>
      <c r="D141" s="285"/>
      <c r="E141" s="285"/>
      <c r="F141" s="285"/>
      <c r="G141" s="285"/>
      <c r="H141" s="285"/>
      <c r="I141" s="285"/>
      <c r="J141" s="285"/>
      <c r="K141" s="285"/>
      <c r="L141" s="285"/>
      <c r="M141" s="285"/>
      <c r="N141" s="285"/>
      <c r="O141" s="285"/>
      <c r="P141" s="285"/>
      <c r="Q141" s="285"/>
      <c r="R141" s="285"/>
      <c r="S141" s="285"/>
      <c r="T141" s="339">
        <v>0</v>
      </c>
      <c r="U141" s="288"/>
      <c r="V141" s="5"/>
    </row>
    <row r="142" spans="1:22" ht="15.6" x14ac:dyDescent="0.3">
      <c r="A142" s="284"/>
      <c r="B142" s="285" t="s">
        <v>182</v>
      </c>
      <c r="C142" s="285"/>
      <c r="D142" s="285"/>
      <c r="E142" s="285"/>
      <c r="F142" s="285"/>
      <c r="G142" s="285"/>
      <c r="H142" s="285"/>
      <c r="I142" s="285"/>
      <c r="J142" s="285"/>
      <c r="K142" s="285"/>
      <c r="L142" s="285"/>
      <c r="M142" s="285"/>
      <c r="N142" s="285"/>
      <c r="O142" s="285"/>
      <c r="P142" s="285"/>
      <c r="Q142" s="285"/>
      <c r="R142" s="285"/>
      <c r="S142" s="285"/>
      <c r="T142" s="339">
        <v>0</v>
      </c>
      <c r="U142" s="288"/>
      <c r="V142" s="5"/>
    </row>
    <row r="143" spans="1:22" ht="15.6" x14ac:dyDescent="0.3">
      <c r="A143" s="284"/>
      <c r="B143" s="285" t="s">
        <v>46</v>
      </c>
      <c r="C143" s="285"/>
      <c r="D143" s="285"/>
      <c r="E143" s="285"/>
      <c r="F143" s="285"/>
      <c r="G143" s="285"/>
      <c r="H143" s="285"/>
      <c r="I143" s="285"/>
      <c r="J143" s="285"/>
      <c r="K143" s="285"/>
      <c r="L143" s="285"/>
      <c r="M143" s="285"/>
      <c r="N143" s="285"/>
      <c r="O143" s="285"/>
      <c r="P143" s="285"/>
      <c r="Q143" s="285"/>
      <c r="R143" s="285"/>
      <c r="S143" s="285"/>
      <c r="T143" s="339">
        <v>0</v>
      </c>
      <c r="U143" s="288"/>
      <c r="V143" s="5"/>
    </row>
    <row r="144" spans="1:22" ht="15.6" x14ac:dyDescent="0.3">
      <c r="A144" s="284"/>
      <c r="B144" s="285" t="s">
        <v>135</v>
      </c>
      <c r="C144" s="285"/>
      <c r="D144" s="285"/>
      <c r="E144" s="285"/>
      <c r="F144" s="285"/>
      <c r="G144" s="285"/>
      <c r="H144" s="285"/>
      <c r="I144" s="285"/>
      <c r="J144" s="285"/>
      <c r="K144" s="285"/>
      <c r="L144" s="285"/>
      <c r="M144" s="285"/>
      <c r="N144" s="285"/>
      <c r="O144" s="285"/>
      <c r="P144" s="285"/>
      <c r="Q144" s="285"/>
      <c r="R144" s="285"/>
      <c r="S144" s="285"/>
      <c r="T144" s="339">
        <v>0</v>
      </c>
      <c r="U144" s="288"/>
      <c r="V144" s="5"/>
    </row>
    <row r="145" spans="1:23" ht="15.6" x14ac:dyDescent="0.3">
      <c r="A145" s="284"/>
      <c r="B145" s="285" t="s">
        <v>251</v>
      </c>
      <c r="C145" s="285"/>
      <c r="D145" s="285"/>
      <c r="E145" s="285"/>
      <c r="F145" s="285"/>
      <c r="G145" s="285"/>
      <c r="H145" s="285"/>
      <c r="I145" s="285"/>
      <c r="J145" s="285"/>
      <c r="K145" s="285"/>
      <c r="L145" s="285"/>
      <c r="M145" s="285"/>
      <c r="N145" s="285"/>
      <c r="O145" s="285"/>
      <c r="P145" s="285"/>
      <c r="Q145" s="285"/>
      <c r="R145" s="285"/>
      <c r="S145" s="285"/>
      <c r="T145" s="339">
        <v>0</v>
      </c>
      <c r="U145" s="288"/>
      <c r="V145" s="5"/>
      <c r="W145" s="109"/>
    </row>
    <row r="146" spans="1:23" ht="15.6" x14ac:dyDescent="0.3">
      <c r="A146" s="284"/>
      <c r="B146" s="285" t="s">
        <v>47</v>
      </c>
      <c r="C146" s="285"/>
      <c r="D146" s="285"/>
      <c r="E146" s="285"/>
      <c r="F146" s="285"/>
      <c r="G146" s="285"/>
      <c r="H146" s="285"/>
      <c r="I146" s="285"/>
      <c r="J146" s="285"/>
      <c r="K146" s="285"/>
      <c r="L146" s="285"/>
      <c r="M146" s="285"/>
      <c r="N146" s="285"/>
      <c r="O146" s="285"/>
      <c r="P146" s="285"/>
      <c r="Q146" s="285"/>
      <c r="R146" s="285"/>
      <c r="S146" s="285"/>
      <c r="T146" s="339">
        <f>SUM(T138:T145)</f>
        <v>19001</v>
      </c>
      <c r="U146" s="288"/>
      <c r="V146" s="5"/>
    </row>
    <row r="147" spans="1:23" ht="15.6" x14ac:dyDescent="0.3">
      <c r="A147" s="284"/>
      <c r="B147" s="311"/>
      <c r="C147" s="311"/>
      <c r="D147" s="311"/>
      <c r="E147" s="311"/>
      <c r="F147" s="311"/>
      <c r="G147" s="311"/>
      <c r="H147" s="311"/>
      <c r="I147" s="311"/>
      <c r="J147" s="311"/>
      <c r="K147" s="311"/>
      <c r="L147" s="311"/>
      <c r="M147" s="311"/>
      <c r="N147" s="311"/>
      <c r="O147" s="311"/>
      <c r="P147" s="311"/>
      <c r="Q147" s="311"/>
      <c r="R147" s="311"/>
      <c r="S147" s="311"/>
      <c r="T147" s="345"/>
      <c r="U147" s="317"/>
      <c r="V147" s="5"/>
    </row>
    <row r="148" spans="1:23" ht="15.6" x14ac:dyDescent="0.3">
      <c r="A148" s="284"/>
      <c r="B148" s="343" t="s">
        <v>262</v>
      </c>
      <c r="C148" s="311"/>
      <c r="D148" s="311"/>
      <c r="E148" s="311"/>
      <c r="F148" s="311"/>
      <c r="G148" s="311"/>
      <c r="H148" s="311"/>
      <c r="I148" s="311"/>
      <c r="J148" s="311"/>
      <c r="K148" s="311"/>
      <c r="L148" s="311"/>
      <c r="M148" s="311"/>
      <c r="N148" s="311"/>
      <c r="O148" s="311"/>
      <c r="P148" s="311"/>
      <c r="Q148" s="311"/>
      <c r="R148" s="311"/>
      <c r="S148" s="311"/>
      <c r="T148" s="345"/>
      <c r="U148" s="317"/>
      <c r="V148" s="5"/>
    </row>
    <row r="149" spans="1:23" ht="15.6" x14ac:dyDescent="0.3">
      <c r="A149" s="284"/>
      <c r="B149" s="285" t="s">
        <v>263</v>
      </c>
      <c r="C149" s="285"/>
      <c r="D149" s="285"/>
      <c r="E149" s="285"/>
      <c r="F149" s="285"/>
      <c r="G149" s="285"/>
      <c r="H149" s="285"/>
      <c r="I149" s="285"/>
      <c r="J149" s="285"/>
      <c r="K149" s="285"/>
      <c r="L149" s="285"/>
      <c r="M149" s="285"/>
      <c r="N149" s="285"/>
      <c r="O149" s="285"/>
      <c r="P149" s="285"/>
      <c r="Q149" s="285"/>
      <c r="R149" s="285"/>
      <c r="S149" s="285"/>
      <c r="T149" s="339">
        <v>0</v>
      </c>
      <c r="U149" s="288"/>
      <c r="V149" s="5"/>
    </row>
    <row r="150" spans="1:23" ht="15.6" x14ac:dyDescent="0.3">
      <c r="A150" s="284"/>
      <c r="B150" s="285" t="s">
        <v>179</v>
      </c>
      <c r="C150" s="285"/>
      <c r="D150" s="285"/>
      <c r="E150" s="285"/>
      <c r="F150" s="285"/>
      <c r="G150" s="285"/>
      <c r="H150" s="285"/>
      <c r="I150" s="285"/>
      <c r="J150" s="285"/>
      <c r="K150" s="285"/>
      <c r="L150" s="285"/>
      <c r="M150" s="285"/>
      <c r="N150" s="285"/>
      <c r="O150" s="285"/>
      <c r="P150" s="285"/>
      <c r="Q150" s="285"/>
      <c r="R150" s="285"/>
      <c r="S150" s="285"/>
      <c r="T150" s="339">
        <v>0</v>
      </c>
      <c r="U150" s="288"/>
      <c r="V150" s="5"/>
    </row>
    <row r="151" spans="1:23" ht="15.6" x14ac:dyDescent="0.3">
      <c r="A151" s="284"/>
      <c r="B151" s="285" t="s">
        <v>264</v>
      </c>
      <c r="C151" s="285"/>
      <c r="D151" s="285"/>
      <c r="E151" s="285"/>
      <c r="F151" s="285"/>
      <c r="G151" s="285"/>
      <c r="H151" s="285"/>
      <c r="I151" s="285"/>
      <c r="J151" s="285"/>
      <c r="K151" s="285"/>
      <c r="L151" s="285"/>
      <c r="M151" s="285"/>
      <c r="N151" s="285"/>
      <c r="O151" s="285"/>
      <c r="P151" s="285"/>
      <c r="Q151" s="285"/>
      <c r="R151" s="285"/>
      <c r="S151" s="285"/>
      <c r="T151" s="339">
        <v>0</v>
      </c>
      <c r="U151" s="288"/>
      <c r="V151" s="5"/>
    </row>
    <row r="152" spans="1:23" ht="15.6" x14ac:dyDescent="0.3">
      <c r="A152" s="284"/>
      <c r="B152" s="285"/>
      <c r="C152" s="285"/>
      <c r="D152" s="285"/>
      <c r="E152" s="285"/>
      <c r="F152" s="285"/>
      <c r="G152" s="285"/>
      <c r="H152" s="285"/>
      <c r="I152" s="285"/>
      <c r="J152" s="285"/>
      <c r="K152" s="285"/>
      <c r="L152" s="285"/>
      <c r="M152" s="285"/>
      <c r="N152" s="285"/>
      <c r="O152" s="285"/>
      <c r="P152" s="285"/>
      <c r="Q152" s="285"/>
      <c r="R152" s="285"/>
      <c r="S152" s="285"/>
      <c r="T152" s="339"/>
      <c r="U152" s="288"/>
      <c r="V152" s="5"/>
    </row>
    <row r="153" spans="1:23" ht="15.6" x14ac:dyDescent="0.3">
      <c r="A153" s="175"/>
      <c r="B153" s="334"/>
      <c r="C153" s="334"/>
      <c r="D153" s="334"/>
      <c r="E153" s="334"/>
      <c r="F153" s="334"/>
      <c r="G153" s="334"/>
      <c r="H153" s="334"/>
      <c r="I153" s="334"/>
      <c r="J153" s="334"/>
      <c r="K153" s="334"/>
      <c r="L153" s="334"/>
      <c r="M153" s="334"/>
      <c r="N153" s="334"/>
      <c r="O153" s="334"/>
      <c r="P153" s="334"/>
      <c r="Q153" s="334"/>
      <c r="R153" s="334"/>
      <c r="S153" s="334"/>
      <c r="T153" s="347"/>
      <c r="U153" s="334"/>
      <c r="V153" s="5"/>
    </row>
    <row r="154" spans="1:23" ht="15.6" x14ac:dyDescent="0.3">
      <c r="A154" s="175"/>
      <c r="B154" s="201" t="s">
        <v>24</v>
      </c>
      <c r="C154" s="177"/>
      <c r="D154" s="177"/>
      <c r="E154" s="177"/>
      <c r="F154" s="177"/>
      <c r="G154" s="177"/>
      <c r="H154" s="177"/>
      <c r="I154" s="177"/>
      <c r="J154" s="177"/>
      <c r="K154" s="177"/>
      <c r="L154" s="177"/>
      <c r="M154" s="177"/>
      <c r="N154" s="177"/>
      <c r="O154" s="177"/>
      <c r="P154" s="177"/>
      <c r="Q154" s="177"/>
      <c r="R154" s="177"/>
      <c r="S154" s="177"/>
      <c r="T154" s="194"/>
      <c r="U154" s="177"/>
      <c r="V154" s="5"/>
    </row>
    <row r="155" spans="1:23" ht="15.6" x14ac:dyDescent="0.3">
      <c r="A155" s="284"/>
      <c r="B155" s="285" t="s">
        <v>48</v>
      </c>
      <c r="C155" s="285"/>
      <c r="D155" s="285"/>
      <c r="E155" s="285"/>
      <c r="F155" s="285"/>
      <c r="G155" s="285"/>
      <c r="H155" s="285"/>
      <c r="I155" s="285"/>
      <c r="J155" s="285"/>
      <c r="K155" s="285"/>
      <c r="L155" s="285"/>
      <c r="M155" s="285"/>
      <c r="N155" s="285"/>
      <c r="O155" s="285"/>
      <c r="P155" s="285"/>
      <c r="Q155" s="285"/>
      <c r="R155" s="285"/>
      <c r="S155" s="285"/>
      <c r="T155" s="348" t="s">
        <v>124</v>
      </c>
      <c r="U155" s="288"/>
      <c r="V155" s="5"/>
    </row>
    <row r="156" spans="1:23" ht="15.6" x14ac:dyDescent="0.3">
      <c r="A156" s="284"/>
      <c r="B156" s="285" t="s">
        <v>49</v>
      </c>
      <c r="C156" s="287"/>
      <c r="D156" s="287"/>
      <c r="E156" s="287"/>
      <c r="F156" s="287"/>
      <c r="G156" s="287"/>
      <c r="H156" s="287"/>
      <c r="I156" s="287"/>
      <c r="J156" s="287"/>
      <c r="K156" s="287"/>
      <c r="L156" s="287"/>
      <c r="M156" s="287"/>
      <c r="N156" s="287"/>
      <c r="O156" s="287"/>
      <c r="P156" s="287"/>
      <c r="Q156" s="287"/>
      <c r="R156" s="287"/>
      <c r="S156" s="287"/>
      <c r="T156" s="348" t="s">
        <v>124</v>
      </c>
      <c r="U156" s="288"/>
      <c r="V156" s="5"/>
    </row>
    <row r="157" spans="1:23" ht="15.6" x14ac:dyDescent="0.3">
      <c r="A157" s="284"/>
      <c r="B157" s="285" t="s">
        <v>50</v>
      </c>
      <c r="C157" s="285"/>
      <c r="D157" s="285"/>
      <c r="E157" s="285"/>
      <c r="F157" s="285"/>
      <c r="G157" s="285"/>
      <c r="H157" s="285"/>
      <c r="I157" s="285"/>
      <c r="J157" s="285"/>
      <c r="K157" s="285"/>
      <c r="L157" s="285"/>
      <c r="M157" s="285"/>
      <c r="N157" s="285"/>
      <c r="O157" s="285"/>
      <c r="P157" s="285"/>
      <c r="Q157" s="285"/>
      <c r="R157" s="285"/>
      <c r="S157" s="285"/>
      <c r="T157" s="348" t="s">
        <v>124</v>
      </c>
      <c r="U157" s="288"/>
      <c r="V157" s="5"/>
    </row>
    <row r="158" spans="1:23" ht="15.6" x14ac:dyDescent="0.3">
      <c r="A158" s="284"/>
      <c r="B158" s="285" t="s">
        <v>51</v>
      </c>
      <c r="C158" s="285"/>
      <c r="D158" s="285"/>
      <c r="E158" s="285"/>
      <c r="F158" s="285"/>
      <c r="G158" s="285"/>
      <c r="H158" s="285"/>
      <c r="I158" s="285"/>
      <c r="J158" s="285"/>
      <c r="K158" s="285"/>
      <c r="L158" s="285"/>
      <c r="M158" s="285"/>
      <c r="N158" s="285"/>
      <c r="O158" s="285"/>
      <c r="P158" s="285"/>
      <c r="Q158" s="285"/>
      <c r="R158" s="285"/>
      <c r="S158" s="285"/>
      <c r="T158" s="348" t="s">
        <v>124</v>
      </c>
      <c r="U158" s="288"/>
      <c r="V158" s="5"/>
    </row>
    <row r="159" spans="1:23" ht="15.6" x14ac:dyDescent="0.3">
      <c r="A159" s="175"/>
      <c r="B159" s="334"/>
      <c r="C159" s="334"/>
      <c r="D159" s="334"/>
      <c r="E159" s="334"/>
      <c r="F159" s="334"/>
      <c r="G159" s="334"/>
      <c r="H159" s="334"/>
      <c r="I159" s="334"/>
      <c r="J159" s="334"/>
      <c r="K159" s="334"/>
      <c r="L159" s="334"/>
      <c r="M159" s="334"/>
      <c r="N159" s="334"/>
      <c r="O159" s="334"/>
      <c r="P159" s="334"/>
      <c r="Q159" s="334"/>
      <c r="R159" s="334"/>
      <c r="S159" s="334"/>
      <c r="T159" s="347"/>
      <c r="U159" s="334"/>
      <c r="V159" s="5"/>
    </row>
    <row r="160" spans="1:23" ht="15.6" x14ac:dyDescent="0.3">
      <c r="A160" s="175"/>
      <c r="B160" s="201" t="s">
        <v>52</v>
      </c>
      <c r="C160" s="177"/>
      <c r="D160" s="177"/>
      <c r="E160" s="177"/>
      <c r="F160" s="177"/>
      <c r="G160" s="177"/>
      <c r="H160" s="177"/>
      <c r="I160" s="177"/>
      <c r="J160" s="177"/>
      <c r="K160" s="177"/>
      <c r="L160" s="177"/>
      <c r="M160" s="177"/>
      <c r="N160" s="177"/>
      <c r="O160" s="177"/>
      <c r="P160" s="177"/>
      <c r="Q160" s="177"/>
      <c r="R160" s="177"/>
      <c r="S160" s="177"/>
      <c r="T160" s="202"/>
      <c r="U160" s="177"/>
      <c r="V160" s="5"/>
    </row>
    <row r="161" spans="1:22" ht="15.6" x14ac:dyDescent="0.3">
      <c r="A161" s="284"/>
      <c r="B161" s="285" t="s">
        <v>53</v>
      </c>
      <c r="C161" s="285"/>
      <c r="D161" s="285"/>
      <c r="E161" s="285"/>
      <c r="F161" s="285"/>
      <c r="G161" s="285"/>
      <c r="H161" s="285"/>
      <c r="I161" s="285"/>
      <c r="J161" s="285"/>
      <c r="K161" s="285"/>
      <c r="L161" s="285"/>
      <c r="M161" s="285"/>
      <c r="N161" s="285"/>
      <c r="O161" s="285"/>
      <c r="P161" s="285"/>
      <c r="Q161" s="285"/>
      <c r="R161" s="285"/>
      <c r="S161" s="285"/>
      <c r="T161" s="339">
        <v>0</v>
      </c>
      <c r="U161" s="288"/>
      <c r="V161" s="5"/>
    </row>
    <row r="162" spans="1:22" ht="15.6" x14ac:dyDescent="0.3">
      <c r="A162" s="284"/>
      <c r="B162" s="285" t="s">
        <v>54</v>
      </c>
      <c r="C162" s="285"/>
      <c r="D162" s="285"/>
      <c r="E162" s="285"/>
      <c r="F162" s="285"/>
      <c r="G162" s="285"/>
      <c r="H162" s="285"/>
      <c r="I162" s="285"/>
      <c r="J162" s="285"/>
      <c r="K162" s="285"/>
      <c r="L162" s="285"/>
      <c r="M162" s="285"/>
      <c r="N162" s="285"/>
      <c r="O162" s="285"/>
      <c r="P162" s="285"/>
      <c r="Q162" s="285"/>
      <c r="R162" s="285"/>
      <c r="S162" s="285"/>
      <c r="T162" s="339">
        <f>R113</f>
        <v>322</v>
      </c>
      <c r="U162" s="288"/>
      <c r="V162" s="5"/>
    </row>
    <row r="163" spans="1:22" ht="15.6" x14ac:dyDescent="0.3">
      <c r="A163" s="284"/>
      <c r="B163" s="285" t="s">
        <v>55</v>
      </c>
      <c r="C163" s="285"/>
      <c r="D163" s="285"/>
      <c r="E163" s="285"/>
      <c r="F163" s="285"/>
      <c r="G163" s="285"/>
      <c r="H163" s="285"/>
      <c r="I163" s="285"/>
      <c r="J163" s="285"/>
      <c r="K163" s="285"/>
      <c r="L163" s="285"/>
      <c r="M163" s="285"/>
      <c r="N163" s="285"/>
      <c r="O163" s="285"/>
      <c r="P163" s="285"/>
      <c r="Q163" s="285"/>
      <c r="R163" s="285"/>
      <c r="S163" s="285"/>
      <c r="T163" s="339">
        <f>T162+T161</f>
        <v>322</v>
      </c>
      <c r="U163" s="288"/>
      <c r="V163" s="5"/>
    </row>
    <row r="164" spans="1:22" ht="15.6" x14ac:dyDescent="0.3">
      <c r="A164" s="284"/>
      <c r="B164" s="285" t="s">
        <v>301</v>
      </c>
      <c r="C164" s="285"/>
      <c r="D164" s="285"/>
      <c r="E164" s="285"/>
      <c r="F164" s="285"/>
      <c r="G164" s="285"/>
      <c r="H164" s="285"/>
      <c r="I164" s="285"/>
      <c r="J164" s="285"/>
      <c r="K164" s="285"/>
      <c r="L164" s="285"/>
      <c r="M164" s="285"/>
      <c r="N164" s="285"/>
      <c r="O164" s="285"/>
      <c r="P164" s="285"/>
      <c r="Q164" s="285"/>
      <c r="R164" s="285"/>
      <c r="S164" s="285"/>
      <c r="T164" s="339">
        <f>T113</f>
        <v>-322</v>
      </c>
      <c r="U164" s="288"/>
      <c r="V164" s="5"/>
    </row>
    <row r="165" spans="1:22" ht="15.6" x14ac:dyDescent="0.3">
      <c r="A165" s="284"/>
      <c r="B165" s="285" t="s">
        <v>56</v>
      </c>
      <c r="C165" s="285"/>
      <c r="D165" s="285"/>
      <c r="E165" s="285"/>
      <c r="F165" s="285"/>
      <c r="G165" s="285"/>
      <c r="H165" s="285"/>
      <c r="I165" s="285"/>
      <c r="J165" s="285"/>
      <c r="K165" s="285"/>
      <c r="L165" s="285"/>
      <c r="M165" s="285"/>
      <c r="N165" s="285"/>
      <c r="O165" s="285"/>
      <c r="P165" s="285"/>
      <c r="Q165" s="285"/>
      <c r="R165" s="285"/>
      <c r="S165" s="285"/>
      <c r="T165" s="339">
        <f>T163+T164</f>
        <v>0</v>
      </c>
      <c r="U165" s="288"/>
      <c r="V165" s="5"/>
    </row>
    <row r="166" spans="1:22" ht="15.6" x14ac:dyDescent="0.3">
      <c r="A166" s="284"/>
      <c r="B166" s="285" t="s">
        <v>273</v>
      </c>
      <c r="C166" s="285"/>
      <c r="D166" s="285"/>
      <c r="E166" s="285"/>
      <c r="F166" s="285"/>
      <c r="G166" s="285"/>
      <c r="H166" s="285"/>
      <c r="I166" s="285"/>
      <c r="J166" s="285"/>
      <c r="K166" s="285"/>
      <c r="L166" s="285"/>
      <c r="M166" s="285"/>
      <c r="N166" s="285"/>
      <c r="O166" s="285"/>
      <c r="P166" s="285"/>
      <c r="Q166" s="285"/>
      <c r="R166" s="285"/>
      <c r="S166" s="285"/>
      <c r="T166" s="339">
        <v>0</v>
      </c>
      <c r="U166" s="288"/>
      <c r="V166" s="5"/>
    </row>
    <row r="167" spans="1:22" ht="16.2" thickBot="1" x14ac:dyDescent="0.35">
      <c r="A167" s="175"/>
      <c r="B167" s="334"/>
      <c r="C167" s="334"/>
      <c r="D167" s="334"/>
      <c r="E167" s="334"/>
      <c r="F167" s="334"/>
      <c r="G167" s="334"/>
      <c r="H167" s="334"/>
      <c r="I167" s="334"/>
      <c r="J167" s="334"/>
      <c r="K167" s="334"/>
      <c r="L167" s="334"/>
      <c r="M167" s="334"/>
      <c r="N167" s="334"/>
      <c r="O167" s="334"/>
      <c r="P167" s="334"/>
      <c r="Q167" s="334"/>
      <c r="R167" s="334"/>
      <c r="S167" s="334"/>
      <c r="T167" s="347"/>
      <c r="U167" s="334"/>
      <c r="V167" s="5"/>
    </row>
    <row r="168" spans="1:22" ht="15.6" x14ac:dyDescent="0.3">
      <c r="A168" s="173"/>
      <c r="B168" s="174"/>
      <c r="C168" s="174"/>
      <c r="D168" s="174"/>
      <c r="E168" s="174"/>
      <c r="F168" s="174"/>
      <c r="G168" s="174"/>
      <c r="H168" s="174"/>
      <c r="I168" s="174"/>
      <c r="J168" s="174"/>
      <c r="K168" s="174"/>
      <c r="L168" s="174"/>
      <c r="M168" s="174"/>
      <c r="N168" s="174"/>
      <c r="O168" s="174"/>
      <c r="P168" s="174"/>
      <c r="Q168" s="174"/>
      <c r="R168" s="174"/>
      <c r="S168" s="174"/>
      <c r="T168" s="193"/>
      <c r="U168" s="174"/>
      <c r="V168" s="5"/>
    </row>
    <row r="169" spans="1:22" ht="15.6" x14ac:dyDescent="0.3">
      <c r="A169" s="175"/>
      <c r="B169" s="201" t="s">
        <v>57</v>
      </c>
      <c r="C169" s="177"/>
      <c r="D169" s="177"/>
      <c r="E169" s="177"/>
      <c r="F169" s="177"/>
      <c r="G169" s="177"/>
      <c r="H169" s="177"/>
      <c r="I169" s="177"/>
      <c r="J169" s="177"/>
      <c r="K169" s="177"/>
      <c r="L169" s="177"/>
      <c r="M169" s="177"/>
      <c r="N169" s="177"/>
      <c r="O169" s="177"/>
      <c r="P169" s="177"/>
      <c r="Q169" s="177"/>
      <c r="R169" s="177"/>
      <c r="S169" s="177"/>
      <c r="T169" s="194"/>
      <c r="U169" s="177"/>
      <c r="V169" s="5"/>
    </row>
    <row r="170" spans="1:22" ht="15.6" x14ac:dyDescent="0.3">
      <c r="A170" s="175"/>
      <c r="B170" s="187"/>
      <c r="C170" s="177"/>
      <c r="D170" s="177"/>
      <c r="E170" s="177"/>
      <c r="F170" s="177"/>
      <c r="G170" s="177"/>
      <c r="H170" s="177"/>
      <c r="I170" s="177"/>
      <c r="J170" s="177"/>
      <c r="K170" s="177"/>
      <c r="L170" s="177"/>
      <c r="M170" s="177"/>
      <c r="N170" s="177"/>
      <c r="O170" s="177"/>
      <c r="P170" s="177"/>
      <c r="Q170" s="177"/>
      <c r="R170" s="177"/>
      <c r="S170" s="177"/>
      <c r="T170" s="194"/>
      <c r="U170" s="177"/>
      <c r="V170" s="5"/>
    </row>
    <row r="171" spans="1:22" ht="15.6" x14ac:dyDescent="0.3">
      <c r="A171" s="284"/>
      <c r="B171" s="285" t="s">
        <v>58</v>
      </c>
      <c r="C171" s="285"/>
      <c r="D171" s="285"/>
      <c r="E171" s="285"/>
      <c r="F171" s="285"/>
      <c r="G171" s="285"/>
      <c r="H171" s="285"/>
      <c r="I171" s="285"/>
      <c r="J171" s="285"/>
      <c r="K171" s="285"/>
      <c r="L171" s="285"/>
      <c r="M171" s="285"/>
      <c r="N171" s="285"/>
      <c r="O171" s="285"/>
      <c r="P171" s="285"/>
      <c r="Q171" s="285"/>
      <c r="R171" s="285"/>
      <c r="S171" s="285"/>
      <c r="T171" s="339">
        <f>T71</f>
        <v>534843</v>
      </c>
      <c r="U171" s="288"/>
      <c r="V171" s="5"/>
    </row>
    <row r="172" spans="1:22" ht="15.6" x14ac:dyDescent="0.3">
      <c r="A172" s="284"/>
      <c r="B172" s="285" t="s">
        <v>59</v>
      </c>
      <c r="C172" s="285"/>
      <c r="D172" s="285"/>
      <c r="E172" s="285"/>
      <c r="F172" s="285"/>
      <c r="G172" s="285"/>
      <c r="H172" s="285"/>
      <c r="I172" s="285"/>
      <c r="J172" s="285"/>
      <c r="K172" s="285"/>
      <c r="L172" s="285"/>
      <c r="M172" s="285"/>
      <c r="N172" s="285"/>
      <c r="O172" s="285"/>
      <c r="P172" s="285"/>
      <c r="Q172" s="285"/>
      <c r="R172" s="285"/>
      <c r="S172" s="285"/>
      <c r="T172" s="339">
        <f>T84</f>
        <v>534843</v>
      </c>
      <c r="U172" s="288"/>
      <c r="V172" s="5"/>
    </row>
    <row r="173" spans="1:22" ht="16.2" thickBot="1" x14ac:dyDescent="0.35">
      <c r="A173" s="175"/>
      <c r="B173" s="334"/>
      <c r="C173" s="334"/>
      <c r="D173" s="334"/>
      <c r="E173" s="334"/>
      <c r="F173" s="334"/>
      <c r="G173" s="334"/>
      <c r="H173" s="334"/>
      <c r="I173" s="334"/>
      <c r="J173" s="334"/>
      <c r="K173" s="334"/>
      <c r="L173" s="334"/>
      <c r="M173" s="334"/>
      <c r="N173" s="334"/>
      <c r="O173" s="334"/>
      <c r="P173" s="334"/>
      <c r="Q173" s="334"/>
      <c r="R173" s="334"/>
      <c r="S173" s="334"/>
      <c r="T173" s="347"/>
      <c r="U173" s="334"/>
      <c r="V173" s="5"/>
    </row>
    <row r="174" spans="1:22" ht="15.6" x14ac:dyDescent="0.3">
      <c r="A174" s="173"/>
      <c r="B174" s="174"/>
      <c r="C174" s="174"/>
      <c r="D174" s="174"/>
      <c r="E174" s="174"/>
      <c r="F174" s="174"/>
      <c r="G174" s="174"/>
      <c r="H174" s="174"/>
      <c r="I174" s="174"/>
      <c r="J174" s="174"/>
      <c r="K174" s="174"/>
      <c r="L174" s="174"/>
      <c r="M174" s="174"/>
      <c r="N174" s="174"/>
      <c r="O174" s="174"/>
      <c r="P174" s="174"/>
      <c r="Q174" s="174"/>
      <c r="R174" s="174"/>
      <c r="S174" s="174"/>
      <c r="T174" s="193"/>
      <c r="U174" s="174"/>
      <c r="V174" s="5"/>
    </row>
    <row r="175" spans="1:22" ht="15.6" x14ac:dyDescent="0.3">
      <c r="A175" s="175"/>
      <c r="B175" s="201" t="s">
        <v>60</v>
      </c>
      <c r="C175" s="198"/>
      <c r="D175" s="198"/>
      <c r="E175" s="198"/>
      <c r="F175" s="198"/>
      <c r="G175" s="198"/>
      <c r="H175" s="203"/>
      <c r="I175" s="203"/>
      <c r="J175" s="203"/>
      <c r="K175" s="203"/>
      <c r="L175" s="203"/>
      <c r="M175" s="203"/>
      <c r="N175" s="203"/>
      <c r="O175" s="203"/>
      <c r="P175" s="203"/>
      <c r="Q175" s="203" t="s">
        <v>104</v>
      </c>
      <c r="R175" s="203" t="s">
        <v>183</v>
      </c>
      <c r="S175" s="179"/>
      <c r="T175" s="204" t="s">
        <v>120</v>
      </c>
      <c r="U175" s="205"/>
      <c r="V175" s="5"/>
    </row>
    <row r="176" spans="1:22" ht="15.6" x14ac:dyDescent="0.3">
      <c r="A176" s="284"/>
      <c r="B176" s="285" t="s">
        <v>61</v>
      </c>
      <c r="C176" s="285"/>
      <c r="D176" s="285"/>
      <c r="E176" s="285"/>
      <c r="F176" s="285"/>
      <c r="G176" s="285"/>
      <c r="H176" s="285"/>
      <c r="I176" s="285"/>
      <c r="J176" s="285"/>
      <c r="K176" s="285"/>
      <c r="L176" s="285"/>
      <c r="M176" s="285"/>
      <c r="N176" s="285"/>
      <c r="O176" s="285"/>
      <c r="P176" s="285"/>
      <c r="Q176" s="339">
        <v>160008</v>
      </c>
      <c r="R176" s="324"/>
      <c r="S176" s="285"/>
      <c r="T176" s="339"/>
      <c r="U176" s="288"/>
      <c r="V176" s="5"/>
    </row>
    <row r="177" spans="1:22" ht="15.6" x14ac:dyDescent="0.3">
      <c r="A177" s="284"/>
      <c r="B177" s="285" t="s">
        <v>62</v>
      </c>
      <c r="C177" s="285"/>
      <c r="D177" s="285"/>
      <c r="E177" s="285"/>
      <c r="F177" s="285"/>
      <c r="G177" s="285"/>
      <c r="H177" s="285"/>
      <c r="I177" s="285"/>
      <c r="J177" s="285"/>
      <c r="K177" s="285"/>
      <c r="L177" s="285"/>
      <c r="M177" s="285"/>
      <c r="N177" s="285"/>
      <c r="O177" s="285"/>
      <c r="P177" s="285"/>
      <c r="Q177" s="339">
        <f>+'Sept 13'!Q179</f>
        <v>37286</v>
      </c>
      <c r="R177" s="339">
        <f>+'Sept 13'!R179</f>
        <v>3447</v>
      </c>
      <c r="S177" s="285"/>
      <c r="T177" s="339">
        <f>Q177+R177</f>
        <v>40733</v>
      </c>
      <c r="U177" s="288"/>
      <c r="V177" s="5"/>
    </row>
    <row r="178" spans="1:22" ht="15.6" x14ac:dyDescent="0.3">
      <c r="A178" s="284"/>
      <c r="B178" s="285" t="s">
        <v>63</v>
      </c>
      <c r="C178" s="285"/>
      <c r="D178" s="285"/>
      <c r="E178" s="285"/>
      <c r="F178" s="285"/>
      <c r="G178" s="285"/>
      <c r="H178" s="285"/>
      <c r="I178" s="285"/>
      <c r="J178" s="285"/>
      <c r="K178" s="285"/>
      <c r="L178" s="285"/>
      <c r="M178" s="285"/>
      <c r="N178" s="285"/>
      <c r="O178" s="285"/>
      <c r="P178" s="285"/>
      <c r="Q178" s="338">
        <f>57+208</f>
        <v>265</v>
      </c>
      <c r="R178" s="338">
        <v>0</v>
      </c>
      <c r="S178" s="285"/>
      <c r="T178" s="339">
        <f>Q178+R178</f>
        <v>265</v>
      </c>
      <c r="U178" s="288"/>
      <c r="V178" s="5"/>
    </row>
    <row r="179" spans="1:22" ht="15.6" x14ac:dyDescent="0.3">
      <c r="A179" s="284"/>
      <c r="B179" s="285" t="s">
        <v>64</v>
      </c>
      <c r="C179" s="285"/>
      <c r="D179" s="285"/>
      <c r="E179" s="285"/>
      <c r="F179" s="285"/>
      <c r="G179" s="285"/>
      <c r="H179" s="285"/>
      <c r="I179" s="285"/>
      <c r="J179" s="285"/>
      <c r="K179" s="285"/>
      <c r="L179" s="285"/>
      <c r="M179" s="285"/>
      <c r="N179" s="285"/>
      <c r="O179" s="285"/>
      <c r="P179" s="285"/>
      <c r="Q179" s="339">
        <f>Q177+Q178</f>
        <v>37551</v>
      </c>
      <c r="R179" s="339">
        <f>R178+R177</f>
        <v>3447</v>
      </c>
      <c r="S179" s="285"/>
      <c r="T179" s="339">
        <f>Q179+R179</f>
        <v>40998</v>
      </c>
      <c r="U179" s="288"/>
      <c r="V179" s="5"/>
    </row>
    <row r="180" spans="1:22" ht="15.6" x14ac:dyDescent="0.3">
      <c r="A180" s="284"/>
      <c r="B180" s="285" t="s">
        <v>65</v>
      </c>
      <c r="C180" s="285"/>
      <c r="D180" s="285"/>
      <c r="E180" s="285"/>
      <c r="F180" s="285"/>
      <c r="G180" s="285"/>
      <c r="H180" s="285"/>
      <c r="I180" s="285"/>
      <c r="J180" s="285"/>
      <c r="K180" s="285"/>
      <c r="L180" s="285"/>
      <c r="M180" s="285"/>
      <c r="N180" s="285"/>
      <c r="O180" s="285"/>
      <c r="P180" s="285"/>
      <c r="Q180" s="339">
        <f>Q176-Q179-R179</f>
        <v>119010</v>
      </c>
      <c r="R180" s="324"/>
      <c r="S180" s="285"/>
      <c r="T180" s="339"/>
      <c r="U180" s="288"/>
      <c r="V180" s="5"/>
    </row>
    <row r="181" spans="1:22" ht="16.2" thickBot="1" x14ac:dyDescent="0.35">
      <c r="A181" s="175"/>
      <c r="B181" s="334"/>
      <c r="C181" s="334"/>
      <c r="D181" s="334"/>
      <c r="E181" s="334"/>
      <c r="F181" s="334"/>
      <c r="G181" s="334"/>
      <c r="H181" s="334"/>
      <c r="I181" s="334"/>
      <c r="J181" s="334"/>
      <c r="K181" s="334"/>
      <c r="L181" s="334"/>
      <c r="M181" s="334"/>
      <c r="N181" s="334"/>
      <c r="O181" s="334"/>
      <c r="P181" s="334"/>
      <c r="Q181" s="334"/>
      <c r="R181" s="334"/>
      <c r="S181" s="334"/>
      <c r="T181" s="347"/>
      <c r="U181" s="334"/>
      <c r="V181" s="5"/>
    </row>
    <row r="182" spans="1:22" ht="15.6" x14ac:dyDescent="0.3">
      <c r="A182" s="173"/>
      <c r="B182" s="174"/>
      <c r="C182" s="174"/>
      <c r="D182" s="174"/>
      <c r="E182" s="174"/>
      <c r="F182" s="174"/>
      <c r="G182" s="174"/>
      <c r="H182" s="174"/>
      <c r="I182" s="174"/>
      <c r="J182" s="174"/>
      <c r="K182" s="174"/>
      <c r="L182" s="174"/>
      <c r="M182" s="174"/>
      <c r="N182" s="174"/>
      <c r="O182" s="174"/>
      <c r="P182" s="174"/>
      <c r="Q182" s="174"/>
      <c r="R182" s="174"/>
      <c r="S182" s="174"/>
      <c r="T182" s="193"/>
      <c r="U182" s="174"/>
      <c r="V182" s="5"/>
    </row>
    <row r="183" spans="1:22" ht="15.6" x14ac:dyDescent="0.3">
      <c r="A183" s="175"/>
      <c r="B183" s="201" t="s">
        <v>66</v>
      </c>
      <c r="C183" s="177"/>
      <c r="D183" s="177"/>
      <c r="E183" s="177"/>
      <c r="F183" s="177"/>
      <c r="G183" s="177"/>
      <c r="H183" s="177"/>
      <c r="I183" s="177"/>
      <c r="J183" s="177"/>
      <c r="K183" s="177"/>
      <c r="L183" s="177"/>
      <c r="M183" s="177"/>
      <c r="N183" s="177"/>
      <c r="O183" s="177"/>
      <c r="P183" s="177"/>
      <c r="Q183" s="177"/>
      <c r="R183" s="177"/>
      <c r="S183" s="177"/>
      <c r="T183" s="206"/>
      <c r="U183" s="177"/>
      <c r="V183" s="5"/>
    </row>
    <row r="184" spans="1:22" ht="15.6" x14ac:dyDescent="0.3">
      <c r="A184" s="284"/>
      <c r="B184" s="285" t="s">
        <v>67</v>
      </c>
      <c r="C184" s="285"/>
      <c r="D184" s="285"/>
      <c r="E184" s="285"/>
      <c r="F184" s="285"/>
      <c r="G184" s="285"/>
      <c r="H184" s="285"/>
      <c r="I184" s="285"/>
      <c r="J184" s="285"/>
      <c r="K184" s="285"/>
      <c r="L184" s="285"/>
      <c r="M184" s="285"/>
      <c r="N184" s="285"/>
      <c r="O184" s="285"/>
      <c r="P184" s="285"/>
      <c r="Q184" s="285"/>
      <c r="R184" s="285"/>
      <c r="S184" s="285"/>
      <c r="T184" s="348">
        <f>(T100+T102+T103+T104+T105)/-(T106+T107)</f>
        <v>4.5021337126600285</v>
      </c>
      <c r="U184" s="288" t="s">
        <v>121</v>
      </c>
      <c r="V184" s="5"/>
    </row>
    <row r="185" spans="1:22" ht="15.6" x14ac:dyDescent="0.3">
      <c r="A185" s="284"/>
      <c r="B185" s="285" t="s">
        <v>68</v>
      </c>
      <c r="C185" s="285"/>
      <c r="D185" s="285"/>
      <c r="E185" s="285"/>
      <c r="F185" s="285"/>
      <c r="G185" s="285"/>
      <c r="H185" s="285"/>
      <c r="I185" s="285"/>
      <c r="J185" s="285"/>
      <c r="K185" s="285"/>
      <c r="L185" s="285"/>
      <c r="M185" s="285"/>
      <c r="N185" s="285"/>
      <c r="O185" s="285"/>
      <c r="P185" s="285"/>
      <c r="Q185" s="285"/>
      <c r="R185" s="285"/>
      <c r="S185" s="285"/>
      <c r="T185" s="349">
        <v>1.73</v>
      </c>
      <c r="U185" s="288" t="s">
        <v>121</v>
      </c>
      <c r="V185" s="5"/>
    </row>
    <row r="186" spans="1:22" ht="15.6" x14ac:dyDescent="0.3">
      <c r="A186" s="284"/>
      <c r="B186" s="285" t="s">
        <v>69</v>
      </c>
      <c r="C186" s="285"/>
      <c r="D186" s="285"/>
      <c r="E186" s="285"/>
      <c r="F186" s="285"/>
      <c r="G186" s="285"/>
      <c r="H186" s="285"/>
      <c r="I186" s="285"/>
      <c r="J186" s="285"/>
      <c r="K186" s="285"/>
      <c r="L186" s="285"/>
      <c r="M186" s="285"/>
      <c r="N186" s="285"/>
      <c r="O186" s="285"/>
      <c r="P186" s="285"/>
      <c r="Q186" s="285"/>
      <c r="R186" s="285"/>
      <c r="S186" s="285"/>
      <c r="T186" s="348">
        <f>(T100+T102+T103+T104+T105+T106+T107)/-(T108+T109)</f>
        <v>13.165775401069519</v>
      </c>
      <c r="U186" s="288" t="s">
        <v>121</v>
      </c>
      <c r="V186" s="5"/>
    </row>
    <row r="187" spans="1:22" ht="15.6" x14ac:dyDescent="0.3">
      <c r="A187" s="284"/>
      <c r="B187" s="285" t="s">
        <v>70</v>
      </c>
      <c r="C187" s="285"/>
      <c r="D187" s="285"/>
      <c r="E187" s="285"/>
      <c r="F187" s="285"/>
      <c r="G187" s="285"/>
      <c r="H187" s="285"/>
      <c r="I187" s="285"/>
      <c r="J187" s="285"/>
      <c r="K187" s="285"/>
      <c r="L187" s="285"/>
      <c r="M187" s="285"/>
      <c r="N187" s="285"/>
      <c r="O187" s="285"/>
      <c r="P187" s="285"/>
      <c r="Q187" s="285"/>
      <c r="R187" s="285"/>
      <c r="S187" s="285"/>
      <c r="T187" s="349">
        <v>6.12</v>
      </c>
      <c r="U187" s="288" t="s">
        <v>121</v>
      </c>
      <c r="V187" s="5"/>
    </row>
    <row r="188" spans="1:22" ht="15.6" x14ac:dyDescent="0.3">
      <c r="A188" s="284"/>
      <c r="B188" s="285" t="s">
        <v>206</v>
      </c>
      <c r="C188" s="285"/>
      <c r="D188" s="285"/>
      <c r="E188" s="285"/>
      <c r="F188" s="285"/>
      <c r="G188" s="285"/>
      <c r="H188" s="285"/>
      <c r="I188" s="285"/>
      <c r="J188" s="285"/>
      <c r="K188" s="285"/>
      <c r="L188" s="285"/>
      <c r="M188" s="285"/>
      <c r="N188" s="285"/>
      <c r="O188" s="285"/>
      <c r="P188" s="285"/>
      <c r="Q188" s="285"/>
      <c r="R188" s="285"/>
      <c r="S188" s="285"/>
      <c r="T188" s="348">
        <f>(T100+T102+T103+T104+T105+T106+T107+T108+T109)/-(T110)</f>
        <v>10.022026431718063</v>
      </c>
      <c r="U188" s="288" t="s">
        <v>121</v>
      </c>
      <c r="V188" s="5"/>
    </row>
    <row r="189" spans="1:22" ht="15.6" x14ac:dyDescent="0.3">
      <c r="A189" s="284"/>
      <c r="B189" s="285" t="s">
        <v>207</v>
      </c>
      <c r="C189" s="285"/>
      <c r="D189" s="285"/>
      <c r="E189" s="285"/>
      <c r="F189" s="285"/>
      <c r="G189" s="285"/>
      <c r="H189" s="285"/>
      <c r="I189" s="285"/>
      <c r="J189" s="285"/>
      <c r="K189" s="285"/>
      <c r="L189" s="285"/>
      <c r="M189" s="285"/>
      <c r="N189" s="285"/>
      <c r="O189" s="285"/>
      <c r="P189" s="285"/>
      <c r="Q189" s="285"/>
      <c r="R189" s="285"/>
      <c r="S189" s="285"/>
      <c r="T189" s="349">
        <v>5.56</v>
      </c>
      <c r="U189" s="288" t="s">
        <v>121</v>
      </c>
      <c r="V189" s="5"/>
    </row>
    <row r="190" spans="1:22" ht="15.6" x14ac:dyDescent="0.3">
      <c r="A190" s="284"/>
      <c r="B190" s="311"/>
      <c r="C190" s="311"/>
      <c r="D190" s="311"/>
      <c r="E190" s="311"/>
      <c r="F190" s="311"/>
      <c r="G190" s="311"/>
      <c r="H190" s="311"/>
      <c r="I190" s="311"/>
      <c r="J190" s="311"/>
      <c r="K190" s="311"/>
      <c r="L190" s="311"/>
      <c r="M190" s="311"/>
      <c r="N190" s="311"/>
      <c r="O190" s="311"/>
      <c r="P190" s="311"/>
      <c r="Q190" s="311"/>
      <c r="R190" s="311"/>
      <c r="S190" s="311"/>
      <c r="T190" s="311"/>
      <c r="U190" s="317"/>
      <c r="V190" s="5"/>
    </row>
    <row r="191" spans="1:22" ht="15.6" x14ac:dyDescent="0.3">
      <c r="A191" s="175"/>
      <c r="B191" s="334"/>
      <c r="C191" s="334"/>
      <c r="D191" s="334"/>
      <c r="E191" s="334"/>
      <c r="F191" s="334"/>
      <c r="G191" s="334"/>
      <c r="H191" s="334"/>
      <c r="I191" s="334"/>
      <c r="J191" s="334"/>
      <c r="K191" s="334"/>
      <c r="L191" s="334"/>
      <c r="M191" s="334"/>
      <c r="N191" s="334"/>
      <c r="O191" s="334"/>
      <c r="P191" s="334"/>
      <c r="Q191" s="334"/>
      <c r="R191" s="334"/>
      <c r="S191" s="334"/>
      <c r="T191" s="334"/>
      <c r="U191" s="334"/>
      <c r="V191" s="5"/>
    </row>
    <row r="192" spans="1:22" ht="15.6" x14ac:dyDescent="0.3">
      <c r="A192" s="175"/>
      <c r="B192" s="177"/>
      <c r="C192" s="177"/>
      <c r="D192" s="177"/>
      <c r="E192" s="177"/>
      <c r="F192" s="177"/>
      <c r="G192" s="177"/>
      <c r="H192" s="177"/>
      <c r="I192" s="177"/>
      <c r="J192" s="177"/>
      <c r="K192" s="177"/>
      <c r="L192" s="177"/>
      <c r="M192" s="177"/>
      <c r="N192" s="177"/>
      <c r="O192" s="177"/>
      <c r="P192" s="177"/>
      <c r="Q192" s="177"/>
      <c r="R192" s="177"/>
      <c r="S192" s="177"/>
      <c r="T192" s="177"/>
      <c r="U192" s="177"/>
      <c r="V192" s="5"/>
    </row>
    <row r="193" spans="1:22" ht="18" thickBot="1" x14ac:dyDescent="0.35">
      <c r="A193" s="192"/>
      <c r="B193" s="246" t="str">
        <f>B133</f>
        <v>PM11 INVESTOR REPORT QUARTER ENDING DECEMBER 2013</v>
      </c>
      <c r="C193" s="207"/>
      <c r="D193" s="207"/>
      <c r="E193" s="207"/>
      <c r="F193" s="207"/>
      <c r="G193" s="207"/>
      <c r="H193" s="207"/>
      <c r="I193" s="207"/>
      <c r="J193" s="207"/>
      <c r="K193" s="207"/>
      <c r="L193" s="207"/>
      <c r="M193" s="207"/>
      <c r="N193" s="207"/>
      <c r="O193" s="207"/>
      <c r="P193" s="207"/>
      <c r="Q193" s="207"/>
      <c r="R193" s="207"/>
      <c r="S193" s="207"/>
      <c r="T193" s="207"/>
      <c r="U193" s="208"/>
      <c r="V193" s="5"/>
    </row>
    <row r="194" spans="1:22" ht="15.6" x14ac:dyDescent="0.3">
      <c r="A194" s="260"/>
      <c r="B194" s="399" t="s">
        <v>71</v>
      </c>
      <c r="C194" s="400"/>
      <c r="D194" s="400"/>
      <c r="E194" s="400"/>
      <c r="F194" s="400"/>
      <c r="G194" s="401"/>
      <c r="H194" s="401"/>
      <c r="I194" s="401"/>
      <c r="J194" s="401"/>
      <c r="K194" s="401"/>
      <c r="L194" s="401"/>
      <c r="M194" s="401"/>
      <c r="N194" s="401"/>
      <c r="O194" s="401"/>
      <c r="P194" s="401"/>
      <c r="Q194" s="401"/>
      <c r="R194" s="401">
        <v>41639</v>
      </c>
      <c r="S194" s="261"/>
      <c r="T194" s="261"/>
      <c r="U194" s="261"/>
      <c r="V194" s="5"/>
    </row>
    <row r="195" spans="1:22" ht="15.6" x14ac:dyDescent="0.3">
      <c r="A195" s="209"/>
      <c r="B195" s="210"/>
      <c r="C195" s="211"/>
      <c r="D195" s="211"/>
      <c r="E195" s="211"/>
      <c r="F195" s="211"/>
      <c r="G195" s="212"/>
      <c r="H195" s="212"/>
      <c r="I195" s="212"/>
      <c r="J195" s="212"/>
      <c r="K195" s="212"/>
      <c r="L195" s="212"/>
      <c r="M195" s="212"/>
      <c r="N195" s="212"/>
      <c r="O195" s="212"/>
      <c r="P195" s="212"/>
      <c r="Q195" s="212"/>
      <c r="R195" s="212"/>
      <c r="S195" s="177"/>
      <c r="T195" s="177"/>
      <c r="U195" s="177"/>
      <c r="V195" s="5"/>
    </row>
    <row r="196" spans="1:22" ht="15.6" x14ac:dyDescent="0.3">
      <c r="A196" s="352"/>
      <c r="B196" s="285" t="s">
        <v>72</v>
      </c>
      <c r="C196" s="353"/>
      <c r="D196" s="353"/>
      <c r="E196" s="353"/>
      <c r="F196" s="353"/>
      <c r="G196" s="329"/>
      <c r="H196" s="329"/>
      <c r="I196" s="329"/>
      <c r="J196" s="329"/>
      <c r="K196" s="329"/>
      <c r="L196" s="329"/>
      <c r="M196" s="329"/>
      <c r="N196" s="329"/>
      <c r="O196" s="329"/>
      <c r="P196" s="329"/>
      <c r="Q196" s="329"/>
      <c r="R196" s="320">
        <v>5.1569999999999998E-2</v>
      </c>
      <c r="S196" s="285"/>
      <c r="T196" s="285"/>
      <c r="U196" s="317"/>
      <c r="V196" s="5"/>
    </row>
    <row r="197" spans="1:22" ht="15.6" x14ac:dyDescent="0.3">
      <c r="A197" s="352"/>
      <c r="B197" s="285" t="s">
        <v>157</v>
      </c>
      <c r="C197" s="353"/>
      <c r="D197" s="353"/>
      <c r="E197" s="353"/>
      <c r="F197" s="353"/>
      <c r="G197" s="329"/>
      <c r="H197" s="329"/>
      <c r="I197" s="329"/>
      <c r="J197" s="329"/>
      <c r="K197" s="329"/>
      <c r="L197" s="329"/>
      <c r="M197" s="329"/>
      <c r="N197" s="329"/>
      <c r="O197" s="329"/>
      <c r="P197" s="329"/>
      <c r="Q197" s="329"/>
      <c r="R197" s="320">
        <v>4.6899999999999997E-2</v>
      </c>
      <c r="S197" s="285"/>
      <c r="T197" s="285"/>
      <c r="U197" s="317"/>
      <c r="V197" s="5"/>
    </row>
    <row r="198" spans="1:22" ht="15.6" x14ac:dyDescent="0.3">
      <c r="A198" s="352"/>
      <c r="B198" s="285" t="s">
        <v>73</v>
      </c>
      <c r="C198" s="353"/>
      <c r="D198" s="353"/>
      <c r="E198" s="353"/>
      <c r="F198" s="353"/>
      <c r="G198" s="329"/>
      <c r="H198" s="329"/>
      <c r="I198" s="329"/>
      <c r="J198" s="329"/>
      <c r="K198" s="329"/>
      <c r="L198" s="329"/>
      <c r="M198" s="329"/>
      <c r="N198" s="329"/>
      <c r="O198" s="329"/>
      <c r="P198" s="329"/>
      <c r="Q198" s="329"/>
      <c r="R198" s="320">
        <f>R196-R197</f>
        <v>4.6700000000000005E-3</v>
      </c>
      <c r="S198" s="285"/>
      <c r="T198" s="285"/>
      <c r="U198" s="317"/>
      <c r="V198" s="5"/>
    </row>
    <row r="199" spans="1:22" ht="15.6" x14ac:dyDescent="0.3">
      <c r="A199" s="352"/>
      <c r="B199" s="285" t="s">
        <v>74</v>
      </c>
      <c r="C199" s="353"/>
      <c r="D199" s="353"/>
      <c r="E199" s="353"/>
      <c r="F199" s="353"/>
      <c r="G199" s="329"/>
      <c r="H199" s="329"/>
      <c r="I199" s="329"/>
      <c r="J199" s="329"/>
      <c r="K199" s="329"/>
      <c r="L199" s="329"/>
      <c r="M199" s="329"/>
      <c r="N199" s="329"/>
      <c r="O199" s="329"/>
      <c r="P199" s="329"/>
      <c r="Q199" s="329"/>
      <c r="R199" s="320">
        <v>2.282E-2</v>
      </c>
      <c r="S199" s="285"/>
      <c r="T199" s="285"/>
      <c r="U199" s="317"/>
      <c r="V199" s="5"/>
    </row>
    <row r="200" spans="1:22" ht="15.6" x14ac:dyDescent="0.3">
      <c r="A200" s="352"/>
      <c r="B200" s="285" t="s">
        <v>257</v>
      </c>
      <c r="C200" s="353"/>
      <c r="D200" s="353"/>
      <c r="E200" s="353"/>
      <c r="F200" s="353"/>
      <c r="G200" s="329"/>
      <c r="H200" s="329"/>
      <c r="I200" s="329"/>
      <c r="J200" s="329"/>
      <c r="K200" s="329"/>
      <c r="L200" s="329"/>
      <c r="M200" s="329"/>
      <c r="N200" s="329"/>
      <c r="O200" s="329"/>
      <c r="P200" s="329"/>
      <c r="Q200" s="329"/>
      <c r="R200" s="320">
        <f>T43</f>
        <v>8.1968414341827469E-3</v>
      </c>
      <c r="S200" s="285"/>
      <c r="T200" s="285"/>
      <c r="U200" s="317"/>
      <c r="V200" s="5"/>
    </row>
    <row r="201" spans="1:22" ht="15.6" x14ac:dyDescent="0.3">
      <c r="A201" s="352"/>
      <c r="B201" s="285" t="s">
        <v>75</v>
      </c>
      <c r="C201" s="353"/>
      <c r="D201" s="353"/>
      <c r="E201" s="353"/>
      <c r="F201" s="353"/>
      <c r="G201" s="329"/>
      <c r="H201" s="329"/>
      <c r="I201" s="329"/>
      <c r="J201" s="329"/>
      <c r="K201" s="329"/>
      <c r="L201" s="329"/>
      <c r="M201" s="329"/>
      <c r="N201" s="329"/>
      <c r="O201" s="329"/>
      <c r="P201" s="329"/>
      <c r="Q201" s="329"/>
      <c r="R201" s="320">
        <f>R199-R200</f>
        <v>1.4623158565817253E-2</v>
      </c>
      <c r="S201" s="285"/>
      <c r="T201" s="285"/>
      <c r="U201" s="317"/>
      <c r="V201" s="5"/>
    </row>
    <row r="202" spans="1:22" ht="15.6" x14ac:dyDescent="0.3">
      <c r="A202" s="352"/>
      <c r="B202" s="285" t="s">
        <v>260</v>
      </c>
      <c r="C202" s="353"/>
      <c r="D202" s="353"/>
      <c r="E202" s="353"/>
      <c r="F202" s="353"/>
      <c r="G202" s="329"/>
      <c r="H202" s="329"/>
      <c r="I202" s="329"/>
      <c r="J202" s="329"/>
      <c r="K202" s="329"/>
      <c r="L202" s="329"/>
      <c r="M202" s="329"/>
      <c r="N202" s="329"/>
      <c r="O202" s="329"/>
      <c r="P202" s="329"/>
      <c r="Q202" s="329"/>
      <c r="R202" s="320">
        <f>+T100/L71</f>
        <v>6.5782293167779993E-3</v>
      </c>
      <c r="S202" s="285"/>
      <c r="T202" s="285"/>
      <c r="U202" s="317"/>
      <c r="V202" s="5"/>
    </row>
    <row r="203" spans="1:22" ht="15.6" x14ac:dyDescent="0.3">
      <c r="A203" s="352"/>
      <c r="B203" s="285" t="s">
        <v>217</v>
      </c>
      <c r="C203" s="353"/>
      <c r="D203" s="353"/>
      <c r="E203" s="353"/>
      <c r="F203" s="353"/>
      <c r="G203" s="329"/>
      <c r="H203" s="329"/>
      <c r="I203" s="329"/>
      <c r="J203" s="329"/>
      <c r="K203" s="329"/>
      <c r="L203" s="329"/>
      <c r="M203" s="329"/>
      <c r="N203" s="329"/>
      <c r="O203" s="329"/>
      <c r="P203" s="329"/>
      <c r="Q203" s="329"/>
      <c r="R203" s="354">
        <v>15250</v>
      </c>
      <c r="S203" s="285"/>
      <c r="T203" s="285"/>
      <c r="U203" s="317"/>
      <c r="V203" s="5"/>
    </row>
    <row r="204" spans="1:22" ht="15.6" x14ac:dyDescent="0.3">
      <c r="A204" s="352"/>
      <c r="B204" s="285" t="s">
        <v>218</v>
      </c>
      <c r="C204" s="353"/>
      <c r="D204" s="353"/>
      <c r="E204" s="353"/>
      <c r="F204" s="353"/>
      <c r="G204" s="329"/>
      <c r="H204" s="329"/>
      <c r="I204" s="329"/>
      <c r="J204" s="329"/>
      <c r="K204" s="329"/>
      <c r="L204" s="329"/>
      <c r="M204" s="329"/>
      <c r="N204" s="329"/>
      <c r="O204" s="329"/>
      <c r="P204" s="329"/>
      <c r="Q204" s="329"/>
      <c r="R204" s="354">
        <v>15250</v>
      </c>
      <c r="S204" s="285"/>
      <c r="T204" s="285"/>
      <c r="U204" s="317"/>
      <c r="V204" s="5"/>
    </row>
    <row r="205" spans="1:22" ht="15.6" x14ac:dyDescent="0.3">
      <c r="A205" s="352"/>
      <c r="B205" s="285" t="s">
        <v>219</v>
      </c>
      <c r="C205" s="353"/>
      <c r="D205" s="353"/>
      <c r="E205" s="353"/>
      <c r="F205" s="353"/>
      <c r="G205" s="329"/>
      <c r="H205" s="329"/>
      <c r="I205" s="329"/>
      <c r="J205" s="329"/>
      <c r="K205" s="329"/>
      <c r="L205" s="329"/>
      <c r="M205" s="329"/>
      <c r="N205" s="329"/>
      <c r="O205" s="329"/>
      <c r="P205" s="329"/>
      <c r="Q205" s="329"/>
      <c r="R205" s="354">
        <v>15250</v>
      </c>
      <c r="S205" s="285"/>
      <c r="T205" s="285"/>
      <c r="U205" s="317"/>
      <c r="V205" s="5"/>
    </row>
    <row r="206" spans="1:22" ht="15.6" x14ac:dyDescent="0.3">
      <c r="A206" s="352"/>
      <c r="B206" s="285" t="s">
        <v>76</v>
      </c>
      <c r="C206" s="353"/>
      <c r="D206" s="353"/>
      <c r="E206" s="353"/>
      <c r="F206" s="353"/>
      <c r="G206" s="329"/>
      <c r="H206" s="329"/>
      <c r="I206" s="329"/>
      <c r="J206" s="329"/>
      <c r="K206" s="329"/>
      <c r="L206" s="329"/>
      <c r="M206" s="329"/>
      <c r="N206" s="329"/>
      <c r="O206" s="329"/>
      <c r="P206" s="329"/>
      <c r="Q206" s="329"/>
      <c r="R206" s="326">
        <v>21.18</v>
      </c>
      <c r="S206" s="285" t="s">
        <v>116</v>
      </c>
      <c r="T206" s="285"/>
      <c r="U206" s="317"/>
      <c r="V206" s="5"/>
    </row>
    <row r="207" spans="1:22" ht="15.6" x14ac:dyDescent="0.3">
      <c r="A207" s="352"/>
      <c r="B207" s="285" t="s">
        <v>77</v>
      </c>
      <c r="C207" s="353"/>
      <c r="D207" s="353"/>
      <c r="E207" s="353"/>
      <c r="F207" s="353"/>
      <c r="G207" s="329"/>
      <c r="H207" s="329"/>
      <c r="I207" s="329"/>
      <c r="J207" s="329"/>
      <c r="K207" s="329"/>
      <c r="L207" s="329"/>
      <c r="M207" s="329"/>
      <c r="N207" s="329"/>
      <c r="O207" s="329"/>
      <c r="P207" s="329"/>
      <c r="Q207" s="329"/>
      <c r="R207" s="326">
        <v>13.67</v>
      </c>
      <c r="S207" s="285" t="s">
        <v>116</v>
      </c>
      <c r="T207" s="285"/>
      <c r="U207" s="317"/>
      <c r="V207" s="5"/>
    </row>
    <row r="208" spans="1:22" ht="15.6" x14ac:dyDescent="0.3">
      <c r="A208" s="352"/>
      <c r="B208" s="285" t="s">
        <v>78</v>
      </c>
      <c r="C208" s="353"/>
      <c r="D208" s="353"/>
      <c r="E208" s="353"/>
      <c r="F208" s="353"/>
      <c r="G208" s="329"/>
      <c r="H208" s="329"/>
      <c r="I208" s="329"/>
      <c r="J208" s="329"/>
      <c r="K208" s="329"/>
      <c r="L208" s="329"/>
      <c r="M208" s="329"/>
      <c r="N208" s="329"/>
      <c r="O208" s="329"/>
      <c r="P208" s="329"/>
      <c r="Q208" s="329"/>
      <c r="R208" s="320">
        <f>N68/L68</f>
        <v>1.1086425279935476E-2</v>
      </c>
      <c r="S208" s="285"/>
      <c r="T208" s="285"/>
      <c r="U208" s="317"/>
      <c r="V208" s="5"/>
    </row>
    <row r="209" spans="1:22" ht="15.6" x14ac:dyDescent="0.3">
      <c r="A209" s="352"/>
      <c r="B209" s="285" t="s">
        <v>79</v>
      </c>
      <c r="C209" s="353"/>
      <c r="D209" s="353"/>
      <c r="E209" s="353"/>
      <c r="F209" s="353"/>
      <c r="G209" s="329"/>
      <c r="H209" s="329"/>
      <c r="I209" s="329"/>
      <c r="J209" s="329"/>
      <c r="K209" s="329"/>
      <c r="L209" s="329"/>
      <c r="M209" s="329"/>
      <c r="N209" s="329"/>
      <c r="O209" s="329"/>
      <c r="P209" s="329"/>
      <c r="Q209" s="329"/>
      <c r="R209" s="320">
        <v>8.3199999999999996E-2</v>
      </c>
      <c r="S209" s="285"/>
      <c r="T209" s="285"/>
      <c r="U209" s="317"/>
      <c r="V209" s="5"/>
    </row>
    <row r="210" spans="1:22" ht="15.6" x14ac:dyDescent="0.3">
      <c r="A210" s="209"/>
      <c r="B210" s="350"/>
      <c r="C210" s="350"/>
      <c r="D210" s="350"/>
      <c r="E210" s="350"/>
      <c r="F210" s="350"/>
      <c r="G210" s="334"/>
      <c r="H210" s="334"/>
      <c r="I210" s="334"/>
      <c r="J210" s="334"/>
      <c r="K210" s="334"/>
      <c r="L210" s="334"/>
      <c r="M210" s="334"/>
      <c r="N210" s="334"/>
      <c r="O210" s="334"/>
      <c r="P210" s="334"/>
      <c r="Q210" s="334"/>
      <c r="R210" s="347"/>
      <c r="S210" s="334"/>
      <c r="T210" s="351"/>
      <c r="U210" s="334"/>
      <c r="V210" s="5"/>
    </row>
    <row r="211" spans="1:22" ht="15.6" x14ac:dyDescent="0.3">
      <c r="A211" s="266"/>
      <c r="B211" s="395" t="s">
        <v>80</v>
      </c>
      <c r="C211" s="396"/>
      <c r="D211" s="396"/>
      <c r="E211" s="396"/>
      <c r="F211" s="402"/>
      <c r="G211" s="396"/>
      <c r="H211" s="396"/>
      <c r="I211" s="396"/>
      <c r="J211" s="396"/>
      <c r="K211" s="396"/>
      <c r="L211" s="396"/>
      <c r="M211" s="396"/>
      <c r="N211" s="396"/>
      <c r="O211" s="396"/>
      <c r="P211" s="396"/>
      <c r="Q211" s="396" t="s">
        <v>105</v>
      </c>
      <c r="R211" s="402" t="s">
        <v>112</v>
      </c>
      <c r="S211" s="223"/>
      <c r="T211" s="223"/>
      <c r="U211" s="223"/>
      <c r="V211" s="5"/>
    </row>
    <row r="212" spans="1:22" ht="15.6" x14ac:dyDescent="0.3">
      <c r="A212" s="214"/>
      <c r="B212" s="239" t="s">
        <v>81</v>
      </c>
      <c r="C212" s="243"/>
      <c r="D212" s="243"/>
      <c r="E212" s="243"/>
      <c r="F212" s="239"/>
      <c r="G212" s="239"/>
      <c r="H212" s="242"/>
      <c r="I212" s="242"/>
      <c r="J212" s="242"/>
      <c r="K212" s="242"/>
      <c r="L212" s="242"/>
      <c r="M212" s="242"/>
      <c r="N212" s="242"/>
      <c r="O212" s="242"/>
      <c r="P212" s="242"/>
      <c r="Q212" s="242">
        <v>0</v>
      </c>
      <c r="R212" s="272">
        <v>0</v>
      </c>
      <c r="S212" s="239"/>
      <c r="T212" s="273"/>
      <c r="U212" s="215"/>
      <c r="V212" s="5"/>
    </row>
    <row r="213" spans="1:22" ht="15.6" x14ac:dyDescent="0.3">
      <c r="A213" s="360"/>
      <c r="B213" s="285" t="s">
        <v>151</v>
      </c>
      <c r="C213" s="338"/>
      <c r="D213" s="338"/>
      <c r="E213" s="338"/>
      <c r="F213" s="285"/>
      <c r="G213" s="285"/>
      <c r="H213" s="293"/>
      <c r="I213" s="293"/>
      <c r="J213" s="293"/>
      <c r="K213" s="293"/>
      <c r="L213" s="293"/>
      <c r="M213" s="293"/>
      <c r="N213" s="293"/>
      <c r="O213" s="293"/>
      <c r="P213" s="293"/>
      <c r="Q213" s="361">
        <f>+P265</f>
        <v>97</v>
      </c>
      <c r="R213" s="362">
        <f>+R265</f>
        <v>14743</v>
      </c>
      <c r="S213" s="285"/>
      <c r="T213" s="363"/>
      <c r="U213" s="364"/>
      <c r="V213" s="5"/>
    </row>
    <row r="214" spans="1:22" ht="15.6" x14ac:dyDescent="0.3">
      <c r="A214" s="360"/>
      <c r="B214" s="285" t="s">
        <v>82</v>
      </c>
      <c r="C214" s="338"/>
      <c r="D214" s="338"/>
      <c r="E214" s="338"/>
      <c r="F214" s="285"/>
      <c r="G214" s="285"/>
      <c r="H214" s="293"/>
      <c r="I214" s="293"/>
      <c r="J214" s="293"/>
      <c r="K214" s="293"/>
      <c r="L214" s="293"/>
      <c r="M214" s="293"/>
      <c r="N214" s="293"/>
      <c r="O214" s="293"/>
      <c r="P214" s="293"/>
      <c r="Q214" s="361">
        <f>+P277</f>
        <v>0</v>
      </c>
      <c r="R214" s="362">
        <f>+R277</f>
        <v>0</v>
      </c>
      <c r="S214" s="285"/>
      <c r="T214" s="363"/>
      <c r="U214" s="364"/>
      <c r="V214" s="5"/>
    </row>
    <row r="215" spans="1:22" ht="15.6" x14ac:dyDescent="0.3">
      <c r="A215" s="360"/>
      <c r="B215" s="310" t="s">
        <v>83</v>
      </c>
      <c r="C215" s="365"/>
      <c r="D215" s="365"/>
      <c r="E215" s="365"/>
      <c r="F215" s="311"/>
      <c r="G215" s="311"/>
      <c r="H215" s="311"/>
      <c r="I215" s="311"/>
      <c r="J215" s="311"/>
      <c r="K215" s="311"/>
      <c r="L215" s="311"/>
      <c r="M215" s="311"/>
      <c r="N215" s="311"/>
      <c r="O215" s="311"/>
      <c r="P215" s="311"/>
      <c r="Q215" s="285"/>
      <c r="R215" s="362">
        <v>0</v>
      </c>
      <c r="S215" s="311"/>
      <c r="T215" s="366"/>
      <c r="U215" s="364"/>
      <c r="V215" s="5"/>
    </row>
    <row r="216" spans="1:22" ht="15.6" x14ac:dyDescent="0.3">
      <c r="A216" s="360"/>
      <c r="B216" s="310" t="s">
        <v>84</v>
      </c>
      <c r="C216" s="365"/>
      <c r="D216" s="365"/>
      <c r="E216" s="365"/>
      <c r="F216" s="311"/>
      <c r="G216" s="311"/>
      <c r="H216" s="311"/>
      <c r="I216" s="311"/>
      <c r="J216" s="311"/>
      <c r="K216" s="311"/>
      <c r="L216" s="311"/>
      <c r="M216" s="311"/>
      <c r="N216" s="311"/>
      <c r="O216" s="311"/>
      <c r="P216" s="311"/>
      <c r="Q216" s="285"/>
      <c r="R216" s="367" t="s">
        <v>113</v>
      </c>
      <c r="S216" s="311"/>
      <c r="T216" s="366"/>
      <c r="U216" s="364"/>
      <c r="V216" s="5"/>
    </row>
    <row r="217" spans="1:22" ht="15.6" x14ac:dyDescent="0.3">
      <c r="A217" s="368"/>
      <c r="B217" s="310" t="s">
        <v>85</v>
      </c>
      <c r="C217" s="369"/>
      <c r="D217" s="369"/>
      <c r="E217" s="369"/>
      <c r="F217" s="369"/>
      <c r="G217" s="311"/>
      <c r="H217" s="311"/>
      <c r="I217" s="311"/>
      <c r="J217" s="311"/>
      <c r="K217" s="311"/>
      <c r="L217" s="311"/>
      <c r="M217" s="311"/>
      <c r="N217" s="311"/>
      <c r="O217" s="311"/>
      <c r="P217" s="311"/>
      <c r="Q217" s="285"/>
      <c r="R217" s="362"/>
      <c r="S217" s="311"/>
      <c r="T217" s="366"/>
      <c r="U217" s="370"/>
      <c r="V217" s="5"/>
    </row>
    <row r="218" spans="1:22" ht="15.6" x14ac:dyDescent="0.3">
      <c r="A218" s="368"/>
      <c r="B218" s="285" t="s">
        <v>86</v>
      </c>
      <c r="C218" s="285"/>
      <c r="D218" s="285"/>
      <c r="E218" s="285"/>
      <c r="F218" s="285"/>
      <c r="G218" s="285"/>
      <c r="H218" s="285"/>
      <c r="I218" s="285"/>
      <c r="J218" s="285"/>
      <c r="K218" s="285"/>
      <c r="L218" s="285"/>
      <c r="M218" s="285"/>
      <c r="N218" s="285"/>
      <c r="O218" s="285"/>
      <c r="P218" s="285"/>
      <c r="Q218" s="293"/>
      <c r="R218" s="362">
        <f>T162</f>
        <v>322</v>
      </c>
      <c r="S218" s="285"/>
      <c r="T218" s="363"/>
      <c r="U218" s="370"/>
      <c r="V218" s="5"/>
    </row>
    <row r="219" spans="1:22" ht="15.6" x14ac:dyDescent="0.3">
      <c r="A219" s="360"/>
      <c r="B219" s="285" t="s">
        <v>87</v>
      </c>
      <c r="C219" s="338"/>
      <c r="D219" s="338"/>
      <c r="E219" s="338"/>
      <c r="F219" s="338"/>
      <c r="G219" s="285"/>
      <c r="H219" s="285"/>
      <c r="I219" s="285"/>
      <c r="J219" s="285"/>
      <c r="K219" s="285"/>
      <c r="L219" s="285"/>
      <c r="M219" s="285"/>
      <c r="N219" s="285"/>
      <c r="O219" s="285"/>
      <c r="P219" s="285"/>
      <c r="Q219" s="293"/>
      <c r="R219" s="362">
        <f>'Sept 13'!R219+R218</f>
        <v>4677</v>
      </c>
      <c r="S219" s="285"/>
      <c r="T219" s="363"/>
      <c r="U219" s="370"/>
      <c r="V219" s="5"/>
    </row>
    <row r="220" spans="1:22" ht="15.6" x14ac:dyDescent="0.3">
      <c r="A220" s="368"/>
      <c r="B220" s="310" t="s">
        <v>282</v>
      </c>
      <c r="C220" s="369"/>
      <c r="D220" s="369"/>
      <c r="E220" s="369"/>
      <c r="F220" s="369"/>
      <c r="G220" s="311"/>
      <c r="H220" s="311"/>
      <c r="I220" s="311"/>
      <c r="J220" s="311"/>
      <c r="K220" s="311"/>
      <c r="L220" s="311"/>
      <c r="M220" s="311"/>
      <c r="N220" s="311"/>
      <c r="O220" s="311"/>
      <c r="P220" s="311"/>
      <c r="Q220" s="293"/>
      <c r="R220" s="362"/>
      <c r="S220" s="311"/>
      <c r="T220" s="366"/>
      <c r="U220" s="370"/>
      <c r="V220" s="5"/>
    </row>
    <row r="221" spans="1:22" ht="15.6" x14ac:dyDescent="0.3">
      <c r="A221" s="368"/>
      <c r="B221" s="285" t="s">
        <v>280</v>
      </c>
      <c r="C221" s="369"/>
      <c r="D221" s="369"/>
      <c r="E221" s="369"/>
      <c r="F221" s="369"/>
      <c r="G221" s="311"/>
      <c r="H221" s="311"/>
      <c r="I221" s="311"/>
      <c r="J221" s="311"/>
      <c r="K221" s="311"/>
      <c r="L221" s="311"/>
      <c r="M221" s="311"/>
      <c r="N221" s="311"/>
      <c r="O221" s="311"/>
      <c r="P221" s="311"/>
      <c r="Q221" s="293">
        <v>1</v>
      </c>
      <c r="R221" s="362">
        <v>125</v>
      </c>
      <c r="S221" s="311"/>
      <c r="T221" s="366"/>
      <c r="U221" s="370"/>
      <c r="V221" s="5"/>
    </row>
    <row r="222" spans="1:22" ht="15.6" x14ac:dyDescent="0.3">
      <c r="A222" s="360"/>
      <c r="B222" s="285" t="s">
        <v>89</v>
      </c>
      <c r="C222" s="373"/>
      <c r="D222" s="373"/>
      <c r="E222" s="373"/>
      <c r="F222" s="374"/>
      <c r="G222" s="311"/>
      <c r="H222" s="311"/>
      <c r="I222" s="311"/>
      <c r="J222" s="311"/>
      <c r="K222" s="311"/>
      <c r="L222" s="311"/>
      <c r="M222" s="311"/>
      <c r="N222" s="311"/>
      <c r="O222" s="311"/>
      <c r="P222" s="311"/>
      <c r="Q222" s="285"/>
      <c r="R222" s="367">
        <v>5.18</v>
      </c>
      <c r="S222" s="311"/>
      <c r="T222" s="366"/>
      <c r="U222" s="370"/>
      <c r="V222" s="5"/>
    </row>
    <row r="223" spans="1:22" ht="15.6" x14ac:dyDescent="0.3">
      <c r="A223" s="360"/>
      <c r="B223" s="285" t="s">
        <v>90</v>
      </c>
      <c r="C223" s="373"/>
      <c r="D223" s="373"/>
      <c r="E223" s="373"/>
      <c r="F223" s="374"/>
      <c r="G223" s="311"/>
      <c r="H223" s="311"/>
      <c r="I223" s="311"/>
      <c r="J223" s="311"/>
      <c r="K223" s="311"/>
      <c r="L223" s="311"/>
      <c r="M223" s="311"/>
      <c r="N223" s="311"/>
      <c r="O223" s="311"/>
      <c r="P223" s="311"/>
      <c r="Q223" s="285"/>
      <c r="R223" s="367">
        <v>23.98</v>
      </c>
      <c r="S223" s="311"/>
      <c r="T223" s="366"/>
      <c r="U223" s="370"/>
      <c r="V223" s="5"/>
    </row>
    <row r="224" spans="1:22" ht="15.6" x14ac:dyDescent="0.3">
      <c r="A224" s="360"/>
      <c r="B224" s="310" t="s">
        <v>226</v>
      </c>
      <c r="C224" s="373"/>
      <c r="D224" s="373"/>
      <c r="E224" s="373"/>
      <c r="F224" s="374"/>
      <c r="G224" s="311"/>
      <c r="H224" s="311"/>
      <c r="I224" s="311"/>
      <c r="J224" s="311"/>
      <c r="K224" s="311"/>
      <c r="L224" s="311"/>
      <c r="M224" s="311"/>
      <c r="N224" s="311"/>
      <c r="O224" s="311"/>
      <c r="P224" s="311"/>
      <c r="Q224" s="293"/>
      <c r="R224" s="375"/>
      <c r="S224" s="311"/>
      <c r="T224" s="366"/>
      <c r="U224" s="370"/>
      <c r="V224" s="5"/>
    </row>
    <row r="225" spans="1:23" ht="15.6" x14ac:dyDescent="0.3">
      <c r="A225" s="360"/>
      <c r="B225" s="285" t="s">
        <v>280</v>
      </c>
      <c r="C225" s="373"/>
      <c r="D225" s="373"/>
      <c r="E225" s="373"/>
      <c r="F225" s="374"/>
      <c r="G225" s="311"/>
      <c r="H225" s="311"/>
      <c r="I225" s="311"/>
      <c r="J225" s="311"/>
      <c r="K225" s="311"/>
      <c r="L225" s="311"/>
      <c r="M225" s="311"/>
      <c r="N225" s="311"/>
      <c r="O225" s="311"/>
      <c r="P225" s="311"/>
      <c r="Q225" s="293">
        <v>5</v>
      </c>
      <c r="R225" s="362">
        <v>780</v>
      </c>
      <c r="S225" s="311"/>
      <c r="T225" s="366"/>
      <c r="U225" s="370"/>
      <c r="V225" s="5"/>
    </row>
    <row r="226" spans="1:23" ht="15.6" x14ac:dyDescent="0.3">
      <c r="A226" s="360"/>
      <c r="B226" s="285" t="s">
        <v>227</v>
      </c>
      <c r="C226" s="373"/>
      <c r="D226" s="373"/>
      <c r="E226" s="373"/>
      <c r="F226" s="374"/>
      <c r="G226" s="311"/>
      <c r="H226" s="311"/>
      <c r="I226" s="311"/>
      <c r="J226" s="311"/>
      <c r="K226" s="311"/>
      <c r="L226" s="311"/>
      <c r="M226" s="311"/>
      <c r="N226" s="311"/>
      <c r="O226" s="311"/>
      <c r="P226" s="311"/>
      <c r="Q226" s="293"/>
      <c r="R226" s="367">
        <v>5.79</v>
      </c>
      <c r="S226" s="311"/>
      <c r="T226" s="366"/>
      <c r="U226" s="370"/>
      <c r="V226" s="5"/>
    </row>
    <row r="227" spans="1:23" ht="15.6" x14ac:dyDescent="0.3">
      <c r="A227" s="360"/>
      <c r="B227" s="369"/>
      <c r="C227" s="373"/>
      <c r="D227" s="373"/>
      <c r="E227" s="373"/>
      <c r="F227" s="374"/>
      <c r="G227" s="311"/>
      <c r="H227" s="311"/>
      <c r="I227" s="311"/>
      <c r="J227" s="311"/>
      <c r="K227" s="311"/>
      <c r="L227" s="311"/>
      <c r="M227" s="311"/>
      <c r="N227" s="311"/>
      <c r="O227" s="311"/>
      <c r="P227" s="311"/>
      <c r="Q227" s="311"/>
      <c r="R227" s="376"/>
      <c r="S227" s="311"/>
      <c r="T227" s="366"/>
      <c r="U227" s="370"/>
      <c r="V227" s="5"/>
    </row>
    <row r="228" spans="1:23" ht="15.6" x14ac:dyDescent="0.3">
      <c r="A228" s="360"/>
      <c r="B228" s="369"/>
      <c r="C228" s="373"/>
      <c r="D228" s="373"/>
      <c r="E228" s="373"/>
      <c r="F228" s="374"/>
      <c r="G228" s="311"/>
      <c r="H228" s="311"/>
      <c r="I228" s="311"/>
      <c r="J228" s="311"/>
      <c r="K228" s="311"/>
      <c r="L228" s="311"/>
      <c r="M228" s="311"/>
      <c r="N228" s="311"/>
      <c r="O228" s="311"/>
      <c r="P228" s="311"/>
      <c r="Q228" s="311"/>
      <c r="R228" s="376"/>
      <c r="S228" s="311"/>
      <c r="T228" s="366"/>
      <c r="U228" s="370"/>
      <c r="V228" s="5"/>
    </row>
    <row r="229" spans="1:23" ht="17.399999999999999" x14ac:dyDescent="0.3">
      <c r="A229" s="360"/>
      <c r="B229" s="377" t="s">
        <v>175</v>
      </c>
      <c r="C229" s="373"/>
      <c r="D229" s="373"/>
      <c r="E229" s="373"/>
      <c r="F229" s="374"/>
      <c r="G229" s="311"/>
      <c r="H229" s="311"/>
      <c r="I229" s="311"/>
      <c r="J229" s="311"/>
      <c r="K229" s="311"/>
      <c r="L229" s="311"/>
      <c r="M229" s="311"/>
      <c r="N229" s="378" t="s">
        <v>174</v>
      </c>
      <c r="O229" s="311"/>
      <c r="P229" s="311"/>
      <c r="Q229" s="311"/>
      <c r="R229" s="376"/>
      <c r="S229" s="311"/>
      <c r="T229" s="366"/>
      <c r="U229" s="370"/>
      <c r="V229" s="5"/>
    </row>
    <row r="230" spans="1:23" ht="15.6" x14ac:dyDescent="0.3">
      <c r="A230" s="355"/>
      <c r="B230" s="350"/>
      <c r="C230" s="356"/>
      <c r="D230" s="356"/>
      <c r="E230" s="356"/>
      <c r="F230" s="357"/>
      <c r="G230" s="334"/>
      <c r="H230" s="334"/>
      <c r="I230" s="334"/>
      <c r="J230" s="334"/>
      <c r="K230" s="334"/>
      <c r="L230" s="334"/>
      <c r="M230" s="334"/>
      <c r="N230" s="334"/>
      <c r="O230" s="334"/>
      <c r="P230" s="334"/>
      <c r="Q230" s="334"/>
      <c r="R230" s="358"/>
      <c r="S230" s="334"/>
      <c r="T230" s="351"/>
      <c r="U230" s="359"/>
      <c r="V230" s="5"/>
    </row>
    <row r="231" spans="1:23" ht="15.6" x14ac:dyDescent="0.3">
      <c r="A231" s="222"/>
      <c r="B231" s="395" t="s">
        <v>295</v>
      </c>
      <c r="C231" s="396"/>
      <c r="D231" s="396"/>
      <c r="E231" s="396"/>
      <c r="F231" s="402"/>
      <c r="G231" s="396"/>
      <c r="H231" s="396"/>
      <c r="I231" s="396"/>
      <c r="J231" s="396"/>
      <c r="K231" s="396"/>
      <c r="L231" s="396"/>
      <c r="M231" s="396"/>
      <c r="N231" s="396"/>
      <c r="O231" s="396"/>
      <c r="P231" s="402" t="s">
        <v>105</v>
      </c>
      <c r="Q231" s="396" t="s">
        <v>106</v>
      </c>
      <c r="R231" s="402" t="s">
        <v>114</v>
      </c>
      <c r="S231" s="396" t="s">
        <v>106</v>
      </c>
      <c r="T231" s="223"/>
      <c r="U231" s="395"/>
      <c r="V231" s="5"/>
    </row>
    <row r="232" spans="1:23" ht="15.6" x14ac:dyDescent="0.3">
      <c r="A232" s="190"/>
      <c r="B232" s="243" t="s">
        <v>91</v>
      </c>
      <c r="C232" s="217"/>
      <c r="D232" s="217"/>
      <c r="E232" s="217"/>
      <c r="F232" s="191"/>
      <c r="G232" s="217"/>
      <c r="H232" s="217"/>
      <c r="I232" s="217"/>
      <c r="J232" s="217"/>
      <c r="K232" s="217"/>
      <c r="L232" s="217"/>
      <c r="M232" s="217"/>
      <c r="N232" s="217"/>
      <c r="O232" s="217"/>
      <c r="P232" s="338">
        <f t="shared" ref="P232:P239" si="1">+P244+P256+P268</f>
        <v>4067</v>
      </c>
      <c r="Q232" s="384">
        <f t="shared" ref="Q232:Q239" si="2">P232/$P$241</f>
        <v>0.99413346370080669</v>
      </c>
      <c r="R232" s="339">
        <f t="shared" ref="R232:R239" si="3">+R244+R256+R268</f>
        <v>531623</v>
      </c>
      <c r="S232" s="384">
        <f t="shared" ref="S232:S239" si="4">R232/$R$241</f>
        <v>0.993979541659889</v>
      </c>
      <c r="T232" s="213"/>
      <c r="U232" s="216"/>
      <c r="V232" s="5"/>
    </row>
    <row r="233" spans="1:23" ht="15.6" x14ac:dyDescent="0.3">
      <c r="A233" s="284"/>
      <c r="B233" s="338" t="s">
        <v>92</v>
      </c>
      <c r="C233" s="382"/>
      <c r="D233" s="382"/>
      <c r="E233" s="382"/>
      <c r="F233" s="311"/>
      <c r="G233" s="383"/>
      <c r="H233" s="382"/>
      <c r="I233" s="382"/>
      <c r="J233" s="382"/>
      <c r="K233" s="382"/>
      <c r="L233" s="382"/>
      <c r="M233" s="382"/>
      <c r="N233" s="382"/>
      <c r="O233" s="382"/>
      <c r="P233" s="338">
        <f t="shared" si="1"/>
        <v>12</v>
      </c>
      <c r="Q233" s="384">
        <f t="shared" si="2"/>
        <v>2.9332681495966755E-3</v>
      </c>
      <c r="R233" s="339">
        <f t="shared" si="3"/>
        <v>1288</v>
      </c>
      <c r="S233" s="384">
        <f t="shared" si="4"/>
        <v>2.4081833360444093E-3</v>
      </c>
      <c r="T233" s="366"/>
      <c r="U233" s="370"/>
      <c r="V233" s="5"/>
      <c r="W233" s="109"/>
    </row>
    <row r="234" spans="1:23" ht="15.6" x14ac:dyDescent="0.3">
      <c r="A234" s="284"/>
      <c r="B234" s="338" t="s">
        <v>93</v>
      </c>
      <c r="C234" s="382"/>
      <c r="D234" s="382"/>
      <c r="E234" s="382"/>
      <c r="F234" s="311"/>
      <c r="G234" s="383"/>
      <c r="H234" s="382"/>
      <c r="I234" s="382"/>
      <c r="J234" s="382"/>
      <c r="K234" s="382"/>
      <c r="L234" s="382"/>
      <c r="M234" s="382"/>
      <c r="N234" s="382"/>
      <c r="O234" s="382"/>
      <c r="P234" s="338">
        <f t="shared" si="1"/>
        <v>2</v>
      </c>
      <c r="Q234" s="384">
        <f t="shared" si="2"/>
        <v>4.8887802493277925E-4</v>
      </c>
      <c r="R234" s="339">
        <f t="shared" si="3"/>
        <v>203</v>
      </c>
      <c r="S234" s="384">
        <f t="shared" si="4"/>
        <v>3.7955063448526016E-4</v>
      </c>
      <c r="T234" s="366"/>
      <c r="U234" s="370"/>
      <c r="V234" s="5"/>
    </row>
    <row r="235" spans="1:23" ht="15.6" x14ac:dyDescent="0.3">
      <c r="A235" s="284"/>
      <c r="B235" s="338" t="s">
        <v>163</v>
      </c>
      <c r="C235" s="382"/>
      <c r="D235" s="382"/>
      <c r="E235" s="382"/>
      <c r="F235" s="311"/>
      <c r="G235" s="383"/>
      <c r="H235" s="382"/>
      <c r="I235" s="382"/>
      <c r="J235" s="382"/>
      <c r="K235" s="382"/>
      <c r="L235" s="382"/>
      <c r="M235" s="382"/>
      <c r="N235" s="382"/>
      <c r="O235" s="382"/>
      <c r="P235" s="338">
        <f t="shared" si="1"/>
        <v>1</v>
      </c>
      <c r="Q235" s="384">
        <f t="shared" si="2"/>
        <v>2.4443901246638962E-4</v>
      </c>
      <c r="R235" s="339">
        <f t="shared" si="3"/>
        <v>276</v>
      </c>
      <c r="S235" s="384">
        <f t="shared" si="4"/>
        <v>5.1603928629523062E-4</v>
      </c>
      <c r="T235" s="366"/>
      <c r="U235" s="370"/>
      <c r="V235" s="5"/>
      <c r="W235" s="109"/>
    </row>
    <row r="236" spans="1:23" ht="15.6" x14ac:dyDescent="0.3">
      <c r="A236" s="284"/>
      <c r="B236" s="338" t="s">
        <v>164</v>
      </c>
      <c r="C236" s="382"/>
      <c r="D236" s="382"/>
      <c r="E236" s="382"/>
      <c r="F236" s="311"/>
      <c r="G236" s="383"/>
      <c r="H236" s="382"/>
      <c r="I236" s="382"/>
      <c r="J236" s="382"/>
      <c r="K236" s="382"/>
      <c r="L236" s="382"/>
      <c r="M236" s="382"/>
      <c r="N236" s="382"/>
      <c r="O236" s="382"/>
      <c r="P236" s="338">
        <f t="shared" si="1"/>
        <v>0</v>
      </c>
      <c r="Q236" s="384">
        <f t="shared" si="2"/>
        <v>0</v>
      </c>
      <c r="R236" s="339">
        <f t="shared" si="3"/>
        <v>0</v>
      </c>
      <c r="S236" s="384">
        <f t="shared" si="4"/>
        <v>0</v>
      </c>
      <c r="T236" s="366"/>
      <c r="U236" s="370"/>
      <c r="V236" s="5"/>
    </row>
    <row r="237" spans="1:23" ht="15.6" x14ac:dyDescent="0.3">
      <c r="A237" s="284"/>
      <c r="B237" s="338" t="s">
        <v>165</v>
      </c>
      <c r="C237" s="382"/>
      <c r="D237" s="382"/>
      <c r="E237" s="382"/>
      <c r="F237" s="311"/>
      <c r="G237" s="383"/>
      <c r="H237" s="382"/>
      <c r="I237" s="382"/>
      <c r="J237" s="382"/>
      <c r="K237" s="382"/>
      <c r="L237" s="382"/>
      <c r="M237" s="382"/>
      <c r="N237" s="382"/>
      <c r="O237" s="382"/>
      <c r="P237" s="338">
        <f t="shared" si="1"/>
        <v>0</v>
      </c>
      <c r="Q237" s="384">
        <f t="shared" si="2"/>
        <v>0</v>
      </c>
      <c r="R237" s="339">
        <f t="shared" si="3"/>
        <v>0</v>
      </c>
      <c r="S237" s="384">
        <f t="shared" si="4"/>
        <v>0</v>
      </c>
      <c r="T237" s="366"/>
      <c r="U237" s="370"/>
      <c r="V237" s="5"/>
      <c r="W237" s="109"/>
    </row>
    <row r="238" spans="1:23" ht="15.6" x14ac:dyDescent="0.3">
      <c r="A238" s="284"/>
      <c r="B238" s="338" t="s">
        <v>166</v>
      </c>
      <c r="C238" s="382"/>
      <c r="D238" s="382"/>
      <c r="E238" s="382"/>
      <c r="F238" s="311"/>
      <c r="G238" s="383"/>
      <c r="H238" s="382"/>
      <c r="I238" s="382"/>
      <c r="J238" s="382"/>
      <c r="K238" s="382"/>
      <c r="L238" s="382"/>
      <c r="M238" s="382"/>
      <c r="N238" s="382"/>
      <c r="O238" s="382"/>
      <c r="P238" s="338">
        <f t="shared" si="1"/>
        <v>4</v>
      </c>
      <c r="Q238" s="384">
        <f t="shared" si="2"/>
        <v>9.777560498655585E-4</v>
      </c>
      <c r="R238" s="339">
        <f t="shared" si="3"/>
        <v>538</v>
      </c>
      <c r="S238" s="384">
        <f t="shared" si="4"/>
        <v>1.0059026667638914E-3</v>
      </c>
      <c r="T238" s="366"/>
      <c r="U238" s="370"/>
      <c r="V238" s="5"/>
    </row>
    <row r="239" spans="1:23" ht="15.6" x14ac:dyDescent="0.3">
      <c r="A239" s="284"/>
      <c r="B239" s="338" t="s">
        <v>167</v>
      </c>
      <c r="C239" s="382"/>
      <c r="D239" s="382"/>
      <c r="E239" s="382"/>
      <c r="F239" s="311"/>
      <c r="G239" s="383"/>
      <c r="H239" s="382"/>
      <c r="I239" s="382"/>
      <c r="J239" s="382"/>
      <c r="K239" s="382"/>
      <c r="L239" s="382"/>
      <c r="M239" s="382"/>
      <c r="N239" s="382"/>
      <c r="O239" s="382"/>
      <c r="P239" s="338">
        <f t="shared" si="1"/>
        <v>5</v>
      </c>
      <c r="Q239" s="384">
        <f t="shared" si="2"/>
        <v>1.2221950623319481E-3</v>
      </c>
      <c r="R239" s="339">
        <f t="shared" si="3"/>
        <v>915</v>
      </c>
      <c r="S239" s="384">
        <f t="shared" si="4"/>
        <v>1.7107824165222317E-3</v>
      </c>
      <c r="T239" s="366"/>
      <c r="U239" s="370"/>
      <c r="V239" s="5"/>
      <c r="W239" s="109"/>
    </row>
    <row r="240" spans="1:23" ht="15.6" x14ac:dyDescent="0.3">
      <c r="A240" s="284"/>
      <c r="B240" s="338"/>
      <c r="C240" s="382"/>
      <c r="D240" s="382"/>
      <c r="E240" s="382"/>
      <c r="F240" s="311"/>
      <c r="G240" s="383"/>
      <c r="H240" s="382"/>
      <c r="I240" s="382"/>
      <c r="J240" s="382"/>
      <c r="K240" s="382"/>
      <c r="L240" s="382"/>
      <c r="M240" s="382"/>
      <c r="N240" s="382"/>
      <c r="O240" s="382"/>
      <c r="P240" s="338"/>
      <c r="Q240" s="384"/>
      <c r="R240" s="339"/>
      <c r="S240" s="384"/>
      <c r="T240" s="366"/>
      <c r="U240" s="370"/>
      <c r="V240" s="5"/>
    </row>
    <row r="241" spans="1:23" ht="15.6" x14ac:dyDescent="0.3">
      <c r="A241" s="284"/>
      <c r="B241" s="285" t="s">
        <v>120</v>
      </c>
      <c r="C241" s="311"/>
      <c r="D241" s="311"/>
      <c r="E241" s="311"/>
      <c r="F241" s="311"/>
      <c r="G241" s="311"/>
      <c r="H241" s="385"/>
      <c r="I241" s="385"/>
      <c r="J241" s="385"/>
      <c r="K241" s="385"/>
      <c r="L241" s="385"/>
      <c r="M241" s="385"/>
      <c r="N241" s="385"/>
      <c r="O241" s="385"/>
      <c r="P241" s="338">
        <f>SUM(P232:P240)</f>
        <v>4091</v>
      </c>
      <c r="Q241" s="384">
        <f>SUM(Q232:Q240)</f>
        <v>1.0000000000000002</v>
      </c>
      <c r="R241" s="339">
        <f>SUM(R232:R240)</f>
        <v>534843</v>
      </c>
      <c r="S241" s="384">
        <f>SUM(S232:S240)</f>
        <v>1</v>
      </c>
      <c r="T241" s="311"/>
      <c r="U241" s="317"/>
      <c r="V241" s="5"/>
    </row>
    <row r="242" spans="1:23" ht="15.6" x14ac:dyDescent="0.3">
      <c r="A242" s="355"/>
      <c r="B242" s="350"/>
      <c r="C242" s="356"/>
      <c r="D242" s="356"/>
      <c r="E242" s="356"/>
      <c r="F242" s="357"/>
      <c r="G242" s="334"/>
      <c r="H242" s="334"/>
      <c r="I242" s="334"/>
      <c r="J242" s="334"/>
      <c r="K242" s="334"/>
      <c r="L242" s="334"/>
      <c r="M242" s="334"/>
      <c r="N242" s="334"/>
      <c r="O242" s="334"/>
      <c r="P242" s="334"/>
      <c r="Q242" s="334"/>
      <c r="R242" s="358"/>
      <c r="S242" s="334"/>
      <c r="T242" s="351"/>
      <c r="U242" s="359"/>
      <c r="V242" s="5"/>
    </row>
    <row r="243" spans="1:23" ht="15.6" x14ac:dyDescent="0.3">
      <c r="A243" s="222"/>
      <c r="B243" s="395" t="s">
        <v>169</v>
      </c>
      <c r="C243" s="396"/>
      <c r="D243" s="396"/>
      <c r="E243" s="396"/>
      <c r="F243" s="402"/>
      <c r="G243" s="396"/>
      <c r="H243" s="396"/>
      <c r="I243" s="396"/>
      <c r="J243" s="396"/>
      <c r="K243" s="396"/>
      <c r="L243" s="396"/>
      <c r="M243" s="396"/>
      <c r="N243" s="396"/>
      <c r="O243" s="396"/>
      <c r="P243" s="402" t="s">
        <v>105</v>
      </c>
      <c r="Q243" s="396" t="s">
        <v>106</v>
      </c>
      <c r="R243" s="402" t="s">
        <v>114</v>
      </c>
      <c r="S243" s="396" t="s">
        <v>106</v>
      </c>
      <c r="T243" s="223"/>
      <c r="U243" s="395"/>
      <c r="V243" s="5"/>
    </row>
    <row r="244" spans="1:23" ht="15.6" x14ac:dyDescent="0.3">
      <c r="A244" s="190"/>
      <c r="B244" s="243" t="s">
        <v>91</v>
      </c>
      <c r="C244" s="217"/>
      <c r="D244" s="217"/>
      <c r="E244" s="217"/>
      <c r="F244" s="191"/>
      <c r="G244" s="217"/>
      <c r="H244" s="217"/>
      <c r="I244" s="217"/>
      <c r="J244" s="217"/>
      <c r="K244" s="217"/>
      <c r="L244" s="217"/>
      <c r="M244" s="217"/>
      <c r="N244" s="217"/>
      <c r="O244" s="217"/>
      <c r="P244" s="243">
        <v>3981</v>
      </c>
      <c r="Q244" s="274">
        <f t="shared" ref="Q244:Q251" si="5">P244/$P$253</f>
        <v>0.99674511767651475</v>
      </c>
      <c r="R244" s="251">
        <v>518450</v>
      </c>
      <c r="S244" s="274">
        <f t="shared" ref="S244:S251" si="6">R244/$R$253</f>
        <v>0.9968275331666987</v>
      </c>
      <c r="T244" s="213"/>
      <c r="U244" s="216"/>
      <c r="V244" s="5"/>
    </row>
    <row r="245" spans="1:23" ht="15.6" x14ac:dyDescent="0.3">
      <c r="A245" s="284"/>
      <c r="B245" s="338" t="s">
        <v>92</v>
      </c>
      <c r="C245" s="382"/>
      <c r="D245" s="382"/>
      <c r="E245" s="382"/>
      <c r="F245" s="311"/>
      <c r="G245" s="383"/>
      <c r="H245" s="382"/>
      <c r="I245" s="382"/>
      <c r="J245" s="382"/>
      <c r="K245" s="382"/>
      <c r="L245" s="382"/>
      <c r="M245" s="382"/>
      <c r="N245" s="382"/>
      <c r="O245" s="382"/>
      <c r="P245" s="338">
        <v>11</v>
      </c>
      <c r="Q245" s="384">
        <f t="shared" si="5"/>
        <v>2.7541311967951929E-3</v>
      </c>
      <c r="R245" s="339">
        <v>1250</v>
      </c>
      <c r="S245" s="384">
        <f t="shared" si="6"/>
        <v>2.4033839646221879E-3</v>
      </c>
      <c r="T245" s="366"/>
      <c r="U245" s="370"/>
      <c r="V245" s="5"/>
      <c r="W245" s="109"/>
    </row>
    <row r="246" spans="1:23" ht="15.6" x14ac:dyDescent="0.3">
      <c r="A246" s="284"/>
      <c r="B246" s="338" t="s">
        <v>93</v>
      </c>
      <c r="C246" s="382"/>
      <c r="D246" s="382"/>
      <c r="E246" s="382"/>
      <c r="F246" s="311"/>
      <c r="G246" s="383"/>
      <c r="H246" s="382"/>
      <c r="I246" s="382"/>
      <c r="J246" s="382"/>
      <c r="K246" s="382"/>
      <c r="L246" s="382"/>
      <c r="M246" s="382"/>
      <c r="N246" s="382"/>
      <c r="O246" s="382"/>
      <c r="P246" s="338">
        <v>1</v>
      </c>
      <c r="Q246" s="384">
        <f t="shared" si="5"/>
        <v>2.503755633450175E-4</v>
      </c>
      <c r="R246" s="339">
        <v>101</v>
      </c>
      <c r="S246" s="384">
        <f t="shared" si="6"/>
        <v>1.941934243414728E-4</v>
      </c>
      <c r="T246" s="366"/>
      <c r="U246" s="370"/>
      <c r="V246" s="5"/>
    </row>
    <row r="247" spans="1:23" ht="15.6" x14ac:dyDescent="0.3">
      <c r="A247" s="284"/>
      <c r="B247" s="338" t="s">
        <v>163</v>
      </c>
      <c r="C247" s="382"/>
      <c r="D247" s="382"/>
      <c r="E247" s="382"/>
      <c r="F247" s="311"/>
      <c r="G247" s="383"/>
      <c r="H247" s="382"/>
      <c r="I247" s="382"/>
      <c r="J247" s="382"/>
      <c r="K247" s="382"/>
      <c r="L247" s="382"/>
      <c r="M247" s="382"/>
      <c r="N247" s="382"/>
      <c r="O247" s="382"/>
      <c r="P247" s="338">
        <v>0</v>
      </c>
      <c r="Q247" s="384">
        <f t="shared" si="5"/>
        <v>0</v>
      </c>
      <c r="R247" s="339">
        <v>0</v>
      </c>
      <c r="S247" s="384">
        <f t="shared" si="6"/>
        <v>0</v>
      </c>
      <c r="T247" s="366"/>
      <c r="U247" s="370"/>
      <c r="V247" s="5"/>
      <c r="W247" s="109"/>
    </row>
    <row r="248" spans="1:23" ht="15.6" x14ac:dyDescent="0.3">
      <c r="A248" s="284"/>
      <c r="B248" s="338" t="s">
        <v>164</v>
      </c>
      <c r="C248" s="382"/>
      <c r="D248" s="382"/>
      <c r="E248" s="382"/>
      <c r="F248" s="311"/>
      <c r="G248" s="383"/>
      <c r="H248" s="382"/>
      <c r="I248" s="382"/>
      <c r="J248" s="382"/>
      <c r="K248" s="382"/>
      <c r="L248" s="382"/>
      <c r="M248" s="382"/>
      <c r="N248" s="382"/>
      <c r="O248" s="382"/>
      <c r="P248" s="338">
        <v>0</v>
      </c>
      <c r="Q248" s="384">
        <f t="shared" si="5"/>
        <v>0</v>
      </c>
      <c r="R248" s="339">
        <v>0</v>
      </c>
      <c r="S248" s="384">
        <f t="shared" si="6"/>
        <v>0</v>
      </c>
      <c r="T248" s="366"/>
      <c r="U248" s="370"/>
      <c r="V248" s="5"/>
    </row>
    <row r="249" spans="1:23" ht="15.6" x14ac:dyDescent="0.3">
      <c r="A249" s="284"/>
      <c r="B249" s="338" t="s">
        <v>165</v>
      </c>
      <c r="C249" s="382"/>
      <c r="D249" s="382"/>
      <c r="E249" s="382"/>
      <c r="F249" s="311"/>
      <c r="G249" s="383"/>
      <c r="H249" s="382"/>
      <c r="I249" s="382"/>
      <c r="J249" s="382"/>
      <c r="K249" s="382"/>
      <c r="L249" s="382"/>
      <c r="M249" s="382"/>
      <c r="N249" s="382"/>
      <c r="O249" s="382"/>
      <c r="P249" s="338">
        <v>0</v>
      </c>
      <c r="Q249" s="384">
        <f t="shared" si="5"/>
        <v>0</v>
      </c>
      <c r="R249" s="339">
        <v>0</v>
      </c>
      <c r="S249" s="384">
        <f t="shared" si="6"/>
        <v>0</v>
      </c>
      <c r="T249" s="366"/>
      <c r="U249" s="370"/>
      <c r="V249" s="5"/>
      <c r="W249" s="109"/>
    </row>
    <row r="250" spans="1:23" ht="15.6" x14ac:dyDescent="0.3">
      <c r="A250" s="284"/>
      <c r="B250" s="338" t="s">
        <v>166</v>
      </c>
      <c r="C250" s="382"/>
      <c r="D250" s="382"/>
      <c r="E250" s="382"/>
      <c r="F250" s="311"/>
      <c r="G250" s="383"/>
      <c r="H250" s="382"/>
      <c r="I250" s="382"/>
      <c r="J250" s="382"/>
      <c r="K250" s="382"/>
      <c r="L250" s="382"/>
      <c r="M250" s="382"/>
      <c r="N250" s="382"/>
      <c r="O250" s="382"/>
      <c r="P250" s="338">
        <v>1</v>
      </c>
      <c r="Q250" s="384">
        <f t="shared" si="5"/>
        <v>2.503755633450175E-4</v>
      </c>
      <c r="R250" s="339">
        <v>299</v>
      </c>
      <c r="S250" s="384">
        <f t="shared" si="6"/>
        <v>5.7488944433762743E-4</v>
      </c>
      <c r="T250" s="366"/>
      <c r="U250" s="370"/>
      <c r="V250" s="5"/>
    </row>
    <row r="251" spans="1:23" ht="15.6" x14ac:dyDescent="0.3">
      <c r="A251" s="284"/>
      <c r="B251" s="338" t="s">
        <v>167</v>
      </c>
      <c r="C251" s="382"/>
      <c r="D251" s="382"/>
      <c r="E251" s="382"/>
      <c r="F251" s="311"/>
      <c r="G251" s="383"/>
      <c r="H251" s="382"/>
      <c r="I251" s="382"/>
      <c r="J251" s="382"/>
      <c r="K251" s="382"/>
      <c r="L251" s="382"/>
      <c r="M251" s="382"/>
      <c r="N251" s="382"/>
      <c r="O251" s="382"/>
      <c r="P251" s="338">
        <v>0</v>
      </c>
      <c r="Q251" s="384">
        <f t="shared" si="5"/>
        <v>0</v>
      </c>
      <c r="R251" s="339">
        <v>0</v>
      </c>
      <c r="S251" s="384">
        <f t="shared" si="6"/>
        <v>0</v>
      </c>
      <c r="T251" s="366"/>
      <c r="U251" s="370"/>
      <c r="V251" s="5"/>
      <c r="W251" s="109"/>
    </row>
    <row r="252" spans="1:23" ht="15.6" x14ac:dyDescent="0.3">
      <c r="A252" s="284"/>
      <c r="B252" s="338"/>
      <c r="C252" s="382"/>
      <c r="D252" s="382"/>
      <c r="E252" s="382"/>
      <c r="F252" s="311"/>
      <c r="G252" s="383"/>
      <c r="H252" s="382"/>
      <c r="I252" s="382"/>
      <c r="J252" s="382"/>
      <c r="K252" s="382"/>
      <c r="L252" s="382"/>
      <c r="M252" s="382"/>
      <c r="N252" s="382"/>
      <c r="O252" s="382"/>
      <c r="P252" s="338"/>
      <c r="Q252" s="384"/>
      <c r="R252" s="339"/>
      <c r="S252" s="384"/>
      <c r="T252" s="366"/>
      <c r="U252" s="370"/>
      <c r="V252" s="5"/>
    </row>
    <row r="253" spans="1:23" ht="15.6" x14ac:dyDescent="0.3">
      <c r="A253" s="284"/>
      <c r="B253" s="285" t="s">
        <v>120</v>
      </c>
      <c r="C253" s="311"/>
      <c r="D253" s="311"/>
      <c r="E253" s="311"/>
      <c r="F253" s="311"/>
      <c r="G253" s="311"/>
      <c r="H253" s="385"/>
      <c r="I253" s="385"/>
      <c r="J253" s="385"/>
      <c r="K253" s="385"/>
      <c r="L253" s="385"/>
      <c r="M253" s="385"/>
      <c r="N253" s="385"/>
      <c r="O253" s="385"/>
      <c r="P253" s="338">
        <f>SUM(P244:P252)</f>
        <v>3994</v>
      </c>
      <c r="Q253" s="384">
        <f>SUM(Q244:Q252)</f>
        <v>1</v>
      </c>
      <c r="R253" s="339">
        <f>SUM(R244:R252)</f>
        <v>520100</v>
      </c>
      <c r="S253" s="384">
        <f>SUM(S244:S252)</f>
        <v>0.99999999999999989</v>
      </c>
      <c r="T253" s="311"/>
      <c r="U253" s="317"/>
      <c r="V253" s="5"/>
    </row>
    <row r="254" spans="1:23" ht="15.6" x14ac:dyDescent="0.3">
      <c r="A254" s="175"/>
      <c r="B254" s="334"/>
      <c r="C254" s="334"/>
      <c r="D254" s="334"/>
      <c r="E254" s="334"/>
      <c r="F254" s="334"/>
      <c r="G254" s="334"/>
      <c r="H254" s="379"/>
      <c r="I254" s="379"/>
      <c r="J254" s="379"/>
      <c r="K254" s="379"/>
      <c r="L254" s="379"/>
      <c r="M254" s="379"/>
      <c r="N254" s="379"/>
      <c r="O254" s="379"/>
      <c r="P254" s="335"/>
      <c r="Q254" s="380"/>
      <c r="R254" s="381"/>
      <c r="S254" s="380"/>
      <c r="T254" s="334"/>
      <c r="U254" s="334"/>
      <c r="V254" s="5"/>
    </row>
    <row r="255" spans="1:23" ht="15.6" x14ac:dyDescent="0.3">
      <c r="A255" s="268"/>
      <c r="B255" s="395" t="s">
        <v>267</v>
      </c>
      <c r="C255" s="396"/>
      <c r="D255" s="396"/>
      <c r="E255" s="396"/>
      <c r="F255" s="402"/>
      <c r="G255" s="396"/>
      <c r="H255" s="396"/>
      <c r="I255" s="396"/>
      <c r="J255" s="396"/>
      <c r="K255" s="396"/>
      <c r="L255" s="396"/>
      <c r="M255" s="396"/>
      <c r="N255" s="396"/>
      <c r="O255" s="396"/>
      <c r="P255" s="402" t="s">
        <v>105</v>
      </c>
      <c r="Q255" s="396" t="s">
        <v>106</v>
      </c>
      <c r="R255" s="402" t="s">
        <v>114</v>
      </c>
      <c r="S255" s="396" t="s">
        <v>106</v>
      </c>
      <c r="T255" s="269"/>
      <c r="U255" s="270"/>
      <c r="V255" s="5"/>
    </row>
    <row r="256" spans="1:23" ht="15.6" x14ac:dyDescent="0.3">
      <c r="A256" s="190"/>
      <c r="B256" s="243" t="s">
        <v>91</v>
      </c>
      <c r="C256" s="217"/>
      <c r="D256" s="217"/>
      <c r="E256" s="217"/>
      <c r="F256" s="191"/>
      <c r="G256" s="217"/>
      <c r="H256" s="217"/>
      <c r="I256" s="217"/>
      <c r="J256" s="217"/>
      <c r="K256" s="217"/>
      <c r="L256" s="217"/>
      <c r="M256" s="217"/>
      <c r="N256" s="217"/>
      <c r="O256" s="217"/>
      <c r="P256" s="243">
        <v>86</v>
      </c>
      <c r="Q256" s="274">
        <f t="shared" ref="Q256:Q263" si="7">P256/$P$265</f>
        <v>0.88659793814432986</v>
      </c>
      <c r="R256" s="251">
        <v>13173</v>
      </c>
      <c r="S256" s="274">
        <f t="shared" ref="S256:S263" si="8">R256/$R$265</f>
        <v>0.89350878382961407</v>
      </c>
      <c r="T256" s="191"/>
      <c r="U256" s="191"/>
      <c r="V256" s="5"/>
    </row>
    <row r="257" spans="1:22" ht="15.6" x14ac:dyDescent="0.3">
      <c r="A257" s="284"/>
      <c r="B257" s="338" t="s">
        <v>92</v>
      </c>
      <c r="C257" s="382"/>
      <c r="D257" s="382"/>
      <c r="E257" s="382"/>
      <c r="F257" s="311"/>
      <c r="G257" s="383"/>
      <c r="H257" s="382"/>
      <c r="I257" s="382"/>
      <c r="J257" s="382"/>
      <c r="K257" s="382"/>
      <c r="L257" s="382"/>
      <c r="M257" s="382"/>
      <c r="N257" s="382"/>
      <c r="O257" s="382"/>
      <c r="P257" s="338">
        <v>1</v>
      </c>
      <c r="Q257" s="384">
        <f t="shared" si="7"/>
        <v>1.0309278350515464E-2</v>
      </c>
      <c r="R257" s="339">
        <v>38</v>
      </c>
      <c r="S257" s="384">
        <f t="shared" si="8"/>
        <v>2.5774944041239908E-3</v>
      </c>
      <c r="T257" s="311"/>
      <c r="U257" s="317"/>
      <c r="V257" s="5"/>
    </row>
    <row r="258" spans="1:22" ht="15.6" x14ac:dyDescent="0.3">
      <c r="A258" s="284"/>
      <c r="B258" s="338" t="s">
        <v>93</v>
      </c>
      <c r="C258" s="382"/>
      <c r="D258" s="382"/>
      <c r="E258" s="382"/>
      <c r="F258" s="311"/>
      <c r="G258" s="383"/>
      <c r="H258" s="382"/>
      <c r="I258" s="382"/>
      <c r="J258" s="382"/>
      <c r="K258" s="382"/>
      <c r="L258" s="382"/>
      <c r="M258" s="382"/>
      <c r="N258" s="382"/>
      <c r="O258" s="382"/>
      <c r="P258" s="338">
        <v>1</v>
      </c>
      <c r="Q258" s="384">
        <f t="shared" si="7"/>
        <v>1.0309278350515464E-2</v>
      </c>
      <c r="R258" s="339">
        <v>102</v>
      </c>
      <c r="S258" s="384">
        <f t="shared" si="8"/>
        <v>6.9185376110696599E-3</v>
      </c>
      <c r="T258" s="311"/>
      <c r="U258" s="317"/>
      <c r="V258" s="5"/>
    </row>
    <row r="259" spans="1:22" ht="15.6" x14ac:dyDescent="0.3">
      <c r="A259" s="284"/>
      <c r="B259" s="338" t="s">
        <v>163</v>
      </c>
      <c r="C259" s="382"/>
      <c r="D259" s="382"/>
      <c r="E259" s="382"/>
      <c r="F259" s="311"/>
      <c r="G259" s="383"/>
      <c r="H259" s="382"/>
      <c r="I259" s="382"/>
      <c r="J259" s="382"/>
      <c r="K259" s="382"/>
      <c r="L259" s="382"/>
      <c r="M259" s="382"/>
      <c r="N259" s="382"/>
      <c r="O259" s="382"/>
      <c r="P259" s="338">
        <v>1</v>
      </c>
      <c r="Q259" s="384">
        <f t="shared" si="7"/>
        <v>1.0309278350515464E-2</v>
      </c>
      <c r="R259" s="339">
        <v>276</v>
      </c>
      <c r="S259" s="384">
        <f t="shared" si="8"/>
        <v>1.8720748829953199E-2</v>
      </c>
      <c r="T259" s="311"/>
      <c r="U259" s="317"/>
      <c r="V259" s="5"/>
    </row>
    <row r="260" spans="1:22" ht="15.6" x14ac:dyDescent="0.3">
      <c r="A260" s="284"/>
      <c r="B260" s="338" t="s">
        <v>164</v>
      </c>
      <c r="C260" s="382"/>
      <c r="D260" s="382"/>
      <c r="E260" s="382"/>
      <c r="F260" s="311"/>
      <c r="G260" s="383"/>
      <c r="H260" s="382"/>
      <c r="I260" s="382"/>
      <c r="J260" s="382"/>
      <c r="K260" s="382"/>
      <c r="L260" s="382"/>
      <c r="M260" s="382"/>
      <c r="N260" s="382"/>
      <c r="O260" s="382"/>
      <c r="P260" s="338">
        <v>0</v>
      </c>
      <c r="Q260" s="384">
        <f t="shared" si="7"/>
        <v>0</v>
      </c>
      <c r="R260" s="339">
        <v>0</v>
      </c>
      <c r="S260" s="384">
        <f t="shared" si="8"/>
        <v>0</v>
      </c>
      <c r="T260" s="311"/>
      <c r="U260" s="317"/>
      <c r="V260" s="5"/>
    </row>
    <row r="261" spans="1:22" ht="15.6" x14ac:dyDescent="0.3">
      <c r="A261" s="284"/>
      <c r="B261" s="338" t="s">
        <v>165</v>
      </c>
      <c r="C261" s="382"/>
      <c r="D261" s="382"/>
      <c r="E261" s="382"/>
      <c r="F261" s="311"/>
      <c r="G261" s="383"/>
      <c r="H261" s="382"/>
      <c r="I261" s="382"/>
      <c r="J261" s="382"/>
      <c r="K261" s="382"/>
      <c r="L261" s="382"/>
      <c r="M261" s="382"/>
      <c r="N261" s="382"/>
      <c r="O261" s="382"/>
      <c r="P261" s="338">
        <v>0</v>
      </c>
      <c r="Q261" s="384">
        <f t="shared" si="7"/>
        <v>0</v>
      </c>
      <c r="R261" s="339">
        <v>0</v>
      </c>
      <c r="S261" s="384">
        <f t="shared" si="8"/>
        <v>0</v>
      </c>
      <c r="T261" s="311"/>
      <c r="U261" s="317"/>
      <c r="V261" s="5"/>
    </row>
    <row r="262" spans="1:22" ht="15.6" x14ac:dyDescent="0.3">
      <c r="A262" s="284"/>
      <c r="B262" s="338" t="s">
        <v>166</v>
      </c>
      <c r="C262" s="382"/>
      <c r="D262" s="382"/>
      <c r="E262" s="382"/>
      <c r="F262" s="311"/>
      <c r="G262" s="383"/>
      <c r="H262" s="382"/>
      <c r="I262" s="382"/>
      <c r="J262" s="382"/>
      <c r="K262" s="382"/>
      <c r="L262" s="382"/>
      <c r="M262" s="382"/>
      <c r="N262" s="382"/>
      <c r="O262" s="382"/>
      <c r="P262" s="338">
        <v>3</v>
      </c>
      <c r="Q262" s="384">
        <f t="shared" si="7"/>
        <v>3.0927835051546393E-2</v>
      </c>
      <c r="R262" s="339">
        <v>239</v>
      </c>
      <c r="S262" s="384">
        <f t="shared" si="8"/>
        <v>1.6211083225937731E-2</v>
      </c>
      <c r="T262" s="311"/>
      <c r="U262" s="317"/>
      <c r="V262" s="5"/>
    </row>
    <row r="263" spans="1:22" ht="15.6" x14ac:dyDescent="0.3">
      <c r="A263" s="284"/>
      <c r="B263" s="338" t="s">
        <v>167</v>
      </c>
      <c r="C263" s="382"/>
      <c r="D263" s="382"/>
      <c r="E263" s="382"/>
      <c r="F263" s="311"/>
      <c r="G263" s="383"/>
      <c r="H263" s="382"/>
      <c r="I263" s="382"/>
      <c r="J263" s="382"/>
      <c r="K263" s="382"/>
      <c r="L263" s="382"/>
      <c r="M263" s="382"/>
      <c r="N263" s="382"/>
      <c r="O263" s="382"/>
      <c r="P263" s="338">
        <v>5</v>
      </c>
      <c r="Q263" s="384">
        <f t="shared" si="7"/>
        <v>5.1546391752577317E-2</v>
      </c>
      <c r="R263" s="339">
        <v>915</v>
      </c>
      <c r="S263" s="384">
        <f t="shared" si="8"/>
        <v>6.2063352099301361E-2</v>
      </c>
      <c r="T263" s="311"/>
      <c r="U263" s="317"/>
      <c r="V263" s="5"/>
    </row>
    <row r="264" spans="1:22" ht="15.6" x14ac:dyDescent="0.3">
      <c r="A264" s="284"/>
      <c r="B264" s="338"/>
      <c r="C264" s="382"/>
      <c r="D264" s="382"/>
      <c r="E264" s="382"/>
      <c r="F264" s="311"/>
      <c r="G264" s="383"/>
      <c r="H264" s="382"/>
      <c r="I264" s="382"/>
      <c r="J264" s="382"/>
      <c r="K264" s="382"/>
      <c r="L264" s="382"/>
      <c r="M264" s="382"/>
      <c r="N264" s="382"/>
      <c r="O264" s="382"/>
      <c r="P264" s="338"/>
      <c r="Q264" s="384"/>
      <c r="R264" s="339"/>
      <c r="S264" s="384"/>
      <c r="T264" s="311"/>
      <c r="U264" s="317"/>
      <c r="V264" s="5"/>
    </row>
    <row r="265" spans="1:22" ht="15.6" x14ac:dyDescent="0.3">
      <c r="A265" s="284"/>
      <c r="B265" s="285" t="s">
        <v>120</v>
      </c>
      <c r="C265" s="311"/>
      <c r="D265" s="311"/>
      <c r="E265" s="311"/>
      <c r="F265" s="311"/>
      <c r="G265" s="311"/>
      <c r="H265" s="385"/>
      <c r="I265" s="385"/>
      <c r="J265" s="385"/>
      <c r="K265" s="385"/>
      <c r="L265" s="385"/>
      <c r="M265" s="385"/>
      <c r="N265" s="385"/>
      <c r="O265" s="385"/>
      <c r="P265" s="338">
        <f>SUM(P256:P264)</f>
        <v>97</v>
      </c>
      <c r="Q265" s="384">
        <f>SUM(Q256:Q264)</f>
        <v>0.99999999999999989</v>
      </c>
      <c r="R265" s="339">
        <f>SUM(R256:R264)</f>
        <v>14743</v>
      </c>
      <c r="S265" s="384">
        <f>SUM(S256:S264)</f>
        <v>1</v>
      </c>
      <c r="T265" s="311"/>
      <c r="U265" s="317"/>
      <c r="V265" s="5"/>
    </row>
    <row r="266" spans="1:22" ht="15.6" x14ac:dyDescent="0.3">
      <c r="A266" s="175"/>
      <c r="B266" s="334"/>
      <c r="C266" s="334"/>
      <c r="D266" s="334"/>
      <c r="E266" s="334"/>
      <c r="F266" s="334"/>
      <c r="G266" s="334"/>
      <c r="H266" s="379"/>
      <c r="I266" s="379"/>
      <c r="J266" s="379"/>
      <c r="K266" s="379"/>
      <c r="L266" s="379"/>
      <c r="M266" s="379"/>
      <c r="N266" s="379"/>
      <c r="O266" s="379"/>
      <c r="P266" s="335"/>
      <c r="Q266" s="380"/>
      <c r="R266" s="381"/>
      <c r="S266" s="380"/>
      <c r="T266" s="334"/>
      <c r="U266" s="334"/>
      <c r="V266" s="5"/>
    </row>
    <row r="267" spans="1:22" ht="15.6" x14ac:dyDescent="0.3">
      <c r="A267" s="268"/>
      <c r="B267" s="395" t="s">
        <v>170</v>
      </c>
      <c r="C267" s="269"/>
      <c r="D267" s="269"/>
      <c r="E267" s="269"/>
      <c r="F267" s="269"/>
      <c r="G267" s="269"/>
      <c r="H267" s="271"/>
      <c r="I267" s="271"/>
      <c r="J267" s="271"/>
      <c r="K267" s="271"/>
      <c r="L267" s="271"/>
      <c r="M267" s="271"/>
      <c r="N267" s="271"/>
      <c r="O267" s="271"/>
      <c r="P267" s="402" t="s">
        <v>105</v>
      </c>
      <c r="Q267" s="396" t="s">
        <v>106</v>
      </c>
      <c r="R267" s="402" t="s">
        <v>114</v>
      </c>
      <c r="S267" s="396" t="s">
        <v>106</v>
      </c>
      <c r="T267" s="269"/>
      <c r="U267" s="270"/>
      <c r="V267" s="5"/>
    </row>
    <row r="268" spans="1:22" ht="15.6" x14ac:dyDescent="0.3">
      <c r="A268" s="190"/>
      <c r="B268" s="243" t="s">
        <v>91</v>
      </c>
      <c r="C268" s="239"/>
      <c r="D268" s="239"/>
      <c r="E268" s="239"/>
      <c r="F268" s="239"/>
      <c r="G268" s="239"/>
      <c r="H268" s="275"/>
      <c r="I268" s="275"/>
      <c r="J268" s="275"/>
      <c r="K268" s="275"/>
      <c r="L268" s="218"/>
      <c r="M268" s="218"/>
      <c r="N268" s="218"/>
      <c r="O268" s="218"/>
      <c r="P268" s="243">
        <v>0</v>
      </c>
      <c r="Q268" s="274">
        <v>0</v>
      </c>
      <c r="R268" s="251">
        <v>0</v>
      </c>
      <c r="S268" s="274">
        <v>0</v>
      </c>
      <c r="T268" s="239"/>
      <c r="U268" s="191"/>
      <c r="V268" s="5"/>
    </row>
    <row r="269" spans="1:22" ht="15.6" x14ac:dyDescent="0.3">
      <c r="A269" s="284"/>
      <c r="B269" s="338" t="s">
        <v>92</v>
      </c>
      <c r="C269" s="285"/>
      <c r="D269" s="285"/>
      <c r="E269" s="285"/>
      <c r="F269" s="285"/>
      <c r="G269" s="285"/>
      <c r="H269" s="387"/>
      <c r="I269" s="387"/>
      <c r="J269" s="387"/>
      <c r="K269" s="387"/>
      <c r="L269" s="385"/>
      <c r="M269" s="385"/>
      <c r="N269" s="385"/>
      <c r="O269" s="385"/>
      <c r="P269" s="338">
        <v>0</v>
      </c>
      <c r="Q269" s="384">
        <v>0</v>
      </c>
      <c r="R269" s="339">
        <v>0</v>
      </c>
      <c r="S269" s="384">
        <v>0</v>
      </c>
      <c r="T269" s="285"/>
      <c r="U269" s="317"/>
      <c r="V269" s="5"/>
    </row>
    <row r="270" spans="1:22" ht="15.6" x14ac:dyDescent="0.3">
      <c r="A270" s="284"/>
      <c r="B270" s="338" t="s">
        <v>93</v>
      </c>
      <c r="C270" s="285"/>
      <c r="D270" s="285"/>
      <c r="E270" s="285"/>
      <c r="F270" s="285"/>
      <c r="G270" s="285"/>
      <c r="H270" s="387"/>
      <c r="I270" s="387"/>
      <c r="J270" s="387"/>
      <c r="K270" s="387"/>
      <c r="L270" s="385"/>
      <c r="M270" s="385"/>
      <c r="N270" s="385"/>
      <c r="O270" s="385"/>
      <c r="P270" s="338">
        <v>0</v>
      </c>
      <c r="Q270" s="384">
        <v>0</v>
      </c>
      <c r="R270" s="339">
        <v>0</v>
      </c>
      <c r="S270" s="384">
        <v>0</v>
      </c>
      <c r="T270" s="285"/>
      <c r="U270" s="317"/>
      <c r="V270" s="5"/>
    </row>
    <row r="271" spans="1:22" ht="15.6" x14ac:dyDescent="0.3">
      <c r="A271" s="284"/>
      <c r="B271" s="338" t="s">
        <v>163</v>
      </c>
      <c r="C271" s="285"/>
      <c r="D271" s="285"/>
      <c r="E271" s="285"/>
      <c r="F271" s="285"/>
      <c r="G271" s="285"/>
      <c r="H271" s="387"/>
      <c r="I271" s="387"/>
      <c r="J271" s="387"/>
      <c r="K271" s="387"/>
      <c r="L271" s="385"/>
      <c r="M271" s="385"/>
      <c r="N271" s="385"/>
      <c r="O271" s="385"/>
      <c r="P271" s="338">
        <v>0</v>
      </c>
      <c r="Q271" s="384">
        <v>0</v>
      </c>
      <c r="R271" s="339">
        <v>0</v>
      </c>
      <c r="S271" s="384">
        <v>0</v>
      </c>
      <c r="T271" s="285"/>
      <c r="U271" s="317"/>
      <c r="V271" s="5"/>
    </row>
    <row r="272" spans="1:22" ht="15.6" x14ac:dyDescent="0.3">
      <c r="A272" s="284"/>
      <c r="B272" s="338" t="s">
        <v>164</v>
      </c>
      <c r="C272" s="285"/>
      <c r="D272" s="285"/>
      <c r="E272" s="285"/>
      <c r="F272" s="285"/>
      <c r="G272" s="285"/>
      <c r="H272" s="387"/>
      <c r="I272" s="387"/>
      <c r="J272" s="387"/>
      <c r="K272" s="387"/>
      <c r="L272" s="385"/>
      <c r="M272" s="385"/>
      <c r="N272" s="385"/>
      <c r="O272" s="385"/>
      <c r="P272" s="338">
        <v>0</v>
      </c>
      <c r="Q272" s="384">
        <v>0</v>
      </c>
      <c r="R272" s="339">
        <v>0</v>
      </c>
      <c r="S272" s="384">
        <v>0</v>
      </c>
      <c r="T272" s="285"/>
      <c r="U272" s="317"/>
      <c r="V272" s="5"/>
    </row>
    <row r="273" spans="1:22" ht="15.6" x14ac:dyDescent="0.3">
      <c r="A273" s="284"/>
      <c r="B273" s="338" t="s">
        <v>165</v>
      </c>
      <c r="C273" s="285"/>
      <c r="D273" s="285"/>
      <c r="E273" s="285"/>
      <c r="F273" s="285"/>
      <c r="G273" s="285"/>
      <c r="H273" s="387"/>
      <c r="I273" s="387"/>
      <c r="J273" s="387"/>
      <c r="K273" s="387"/>
      <c r="L273" s="385"/>
      <c r="M273" s="385"/>
      <c r="N273" s="385"/>
      <c r="O273" s="385"/>
      <c r="P273" s="338">
        <v>0</v>
      </c>
      <c r="Q273" s="384">
        <v>0</v>
      </c>
      <c r="R273" s="339">
        <v>0</v>
      </c>
      <c r="S273" s="384">
        <v>0</v>
      </c>
      <c r="T273" s="285"/>
      <c r="U273" s="317"/>
      <c r="V273" s="5"/>
    </row>
    <row r="274" spans="1:22" ht="15.6" x14ac:dyDescent="0.3">
      <c r="A274" s="284"/>
      <c r="B274" s="338" t="s">
        <v>166</v>
      </c>
      <c r="C274" s="285"/>
      <c r="D274" s="285"/>
      <c r="E274" s="285"/>
      <c r="F274" s="285"/>
      <c r="G274" s="285"/>
      <c r="H274" s="387"/>
      <c r="I274" s="387"/>
      <c r="J274" s="387"/>
      <c r="K274" s="387"/>
      <c r="L274" s="385"/>
      <c r="M274" s="385"/>
      <c r="N274" s="385"/>
      <c r="O274" s="385"/>
      <c r="P274" s="338">
        <v>0</v>
      </c>
      <c r="Q274" s="384">
        <v>0</v>
      </c>
      <c r="R274" s="339">
        <v>0</v>
      </c>
      <c r="S274" s="384">
        <v>0</v>
      </c>
      <c r="T274" s="285"/>
      <c r="U274" s="317"/>
      <c r="V274" s="5"/>
    </row>
    <row r="275" spans="1:22" ht="15.6" x14ac:dyDescent="0.3">
      <c r="A275" s="284"/>
      <c r="B275" s="338" t="s">
        <v>167</v>
      </c>
      <c r="C275" s="285"/>
      <c r="D275" s="285"/>
      <c r="E275" s="285"/>
      <c r="F275" s="285"/>
      <c r="G275" s="285"/>
      <c r="H275" s="387"/>
      <c r="I275" s="387"/>
      <c r="J275" s="387"/>
      <c r="K275" s="387"/>
      <c r="L275" s="385"/>
      <c r="M275" s="385"/>
      <c r="N275" s="385"/>
      <c r="O275" s="385"/>
      <c r="P275" s="338">
        <v>0</v>
      </c>
      <c r="Q275" s="384">
        <v>0</v>
      </c>
      <c r="R275" s="339">
        <v>0</v>
      </c>
      <c r="S275" s="384">
        <v>0</v>
      </c>
      <c r="T275" s="285"/>
      <c r="U275" s="317"/>
      <c r="V275" s="5"/>
    </row>
    <row r="276" spans="1:22" ht="15.6" x14ac:dyDescent="0.3">
      <c r="A276" s="284"/>
      <c r="B276" s="338"/>
      <c r="C276" s="285"/>
      <c r="D276" s="285"/>
      <c r="E276" s="285"/>
      <c r="F276" s="285"/>
      <c r="G276" s="285"/>
      <c r="H276" s="387"/>
      <c r="I276" s="387"/>
      <c r="J276" s="387"/>
      <c r="K276" s="387"/>
      <c r="L276" s="385"/>
      <c r="M276" s="385"/>
      <c r="N276" s="385"/>
      <c r="O276" s="385"/>
      <c r="P276" s="338"/>
      <c r="Q276" s="384"/>
      <c r="R276" s="339"/>
      <c r="S276" s="384"/>
      <c r="T276" s="285"/>
      <c r="U276" s="317"/>
      <c r="V276" s="5"/>
    </row>
    <row r="277" spans="1:22" ht="15.6" x14ac:dyDescent="0.3">
      <c r="A277" s="284"/>
      <c r="B277" s="285" t="s">
        <v>120</v>
      </c>
      <c r="C277" s="285"/>
      <c r="D277" s="285"/>
      <c r="E277" s="285"/>
      <c r="F277" s="285"/>
      <c r="G277" s="285"/>
      <c r="H277" s="387"/>
      <c r="I277" s="387"/>
      <c r="J277" s="387"/>
      <c r="K277" s="387"/>
      <c r="L277" s="385"/>
      <c r="M277" s="385"/>
      <c r="N277" s="385"/>
      <c r="O277" s="385"/>
      <c r="P277" s="338">
        <f>SUM(P268:P275)</f>
        <v>0</v>
      </c>
      <c r="Q277" s="384">
        <f>SUM(Q268:Q276)</f>
        <v>0</v>
      </c>
      <c r="R277" s="339">
        <f>SUM(R268:R275)</f>
        <v>0</v>
      </c>
      <c r="S277" s="384">
        <f>SUM(S268:S276)</f>
        <v>0</v>
      </c>
      <c r="T277" s="285"/>
      <c r="U277" s="317"/>
      <c r="V277" s="5"/>
    </row>
    <row r="278" spans="1:22" ht="15.6" x14ac:dyDescent="0.3">
      <c r="A278" s="284"/>
      <c r="B278" s="285"/>
      <c r="C278" s="285"/>
      <c r="D278" s="285"/>
      <c r="E278" s="285"/>
      <c r="F278" s="285"/>
      <c r="G278" s="285"/>
      <c r="H278" s="387"/>
      <c r="I278" s="387"/>
      <c r="J278" s="387"/>
      <c r="K278" s="387"/>
      <c r="L278" s="385"/>
      <c r="M278" s="385"/>
      <c r="N278" s="385"/>
      <c r="O278" s="385"/>
      <c r="P278" s="344"/>
      <c r="Q278" s="388"/>
      <c r="R278" s="345"/>
      <c r="S278" s="388"/>
      <c r="T278" s="311"/>
      <c r="U278" s="317"/>
      <c r="V278" s="5"/>
    </row>
    <row r="279" spans="1:22" ht="15.6" x14ac:dyDescent="0.3">
      <c r="A279" s="284"/>
      <c r="B279" s="292" t="s">
        <v>171</v>
      </c>
      <c r="C279" s="285"/>
      <c r="D279" s="285"/>
      <c r="E279" s="285"/>
      <c r="F279" s="285"/>
      <c r="G279" s="285"/>
      <c r="H279" s="387"/>
      <c r="I279" s="387"/>
      <c r="J279" s="387"/>
      <c r="K279" s="387"/>
      <c r="L279" s="385"/>
      <c r="M279" s="385"/>
      <c r="N279" s="385"/>
      <c r="O279" s="385"/>
      <c r="P279" s="403">
        <f>P277+P265+P253</f>
        <v>4091</v>
      </c>
      <c r="Q279" s="384"/>
      <c r="R279" s="404">
        <f>+R277+R265+R253</f>
        <v>534843</v>
      </c>
      <c r="S279" s="384"/>
      <c r="T279" s="311"/>
      <c r="U279" s="317"/>
      <c r="V279" s="5"/>
    </row>
    <row r="280" spans="1:22" ht="15.6" x14ac:dyDescent="0.3">
      <c r="A280" s="175"/>
      <c r="B280" s="281"/>
      <c r="C280" s="281"/>
      <c r="D280" s="281"/>
      <c r="E280" s="281"/>
      <c r="F280" s="281"/>
      <c r="G280" s="281"/>
      <c r="H280" s="386"/>
      <c r="I280" s="386"/>
      <c r="J280" s="386"/>
      <c r="K280" s="386"/>
      <c r="L280" s="379"/>
      <c r="M280" s="379"/>
      <c r="N280" s="379"/>
      <c r="O280" s="379"/>
      <c r="P280" s="379"/>
      <c r="Q280" s="379"/>
      <c r="R280" s="381"/>
      <c r="S280" s="379"/>
      <c r="T280" s="334"/>
      <c r="U280" s="334"/>
      <c r="V280" s="5"/>
    </row>
    <row r="281" spans="1:22" ht="15.6" x14ac:dyDescent="0.3">
      <c r="A281" s="175"/>
      <c r="B281" s="231"/>
      <c r="C281" s="231"/>
      <c r="D281" s="231"/>
      <c r="E281" s="231"/>
      <c r="F281" s="231"/>
      <c r="G281" s="231"/>
      <c r="H281" s="276"/>
      <c r="I281" s="276"/>
      <c r="J281" s="276"/>
      <c r="K281" s="276"/>
      <c r="L281" s="219"/>
      <c r="M281" s="219"/>
      <c r="N281" s="219"/>
      <c r="O281" s="219"/>
      <c r="P281" s="219"/>
      <c r="Q281" s="219"/>
      <c r="R281" s="220"/>
      <c r="S281" s="219"/>
      <c r="T281" s="177"/>
      <c r="U281" s="177"/>
      <c r="V281" s="5"/>
    </row>
    <row r="282" spans="1:22" ht="15.6" x14ac:dyDescent="0.3">
      <c r="A282" s="221"/>
      <c r="B282" s="230" t="s">
        <v>94</v>
      </c>
      <c r="C282" s="231"/>
      <c r="D282" s="231"/>
      <c r="E282" s="231"/>
      <c r="F282" s="236" t="s">
        <v>100</v>
      </c>
      <c r="G282" s="231"/>
      <c r="H282" s="230" t="s">
        <v>102</v>
      </c>
      <c r="I282" s="277"/>
      <c r="J282" s="277"/>
      <c r="K282" s="277"/>
      <c r="L282" s="188"/>
      <c r="M282" s="188"/>
      <c r="N282" s="188"/>
      <c r="O282" s="188"/>
      <c r="P282" s="188"/>
      <c r="Q282" s="188"/>
      <c r="R282" s="188"/>
      <c r="S282" s="188"/>
      <c r="T282" s="188"/>
      <c r="U282" s="188"/>
      <c r="V282" s="5"/>
    </row>
    <row r="283" spans="1:22" ht="15.6" x14ac:dyDescent="0.3">
      <c r="A283" s="221"/>
      <c r="B283" s="230" t="s">
        <v>316</v>
      </c>
      <c r="C283" s="230"/>
      <c r="D283" s="230"/>
      <c r="E283" s="230"/>
      <c r="F283" s="278" t="s">
        <v>154</v>
      </c>
      <c r="G283" s="230"/>
      <c r="H283" s="230" t="s">
        <v>158</v>
      </c>
      <c r="I283" s="277"/>
      <c r="J283" s="277"/>
      <c r="K283" s="277"/>
      <c r="L283" s="188"/>
      <c r="M283" s="188"/>
      <c r="N283" s="188"/>
      <c r="O283" s="188"/>
      <c r="P283" s="188"/>
      <c r="Q283" s="188"/>
      <c r="R283" s="188"/>
      <c r="S283" s="188"/>
      <c r="T283" s="188"/>
      <c r="U283" s="188"/>
      <c r="V283" s="5"/>
    </row>
    <row r="284" spans="1:22" ht="15.6" x14ac:dyDescent="0.3">
      <c r="A284" s="221"/>
      <c r="B284" s="230" t="s">
        <v>317</v>
      </c>
      <c r="C284" s="230"/>
      <c r="D284" s="230"/>
      <c r="E284" s="230"/>
      <c r="F284" s="278" t="s">
        <v>269</v>
      </c>
      <c r="G284" s="230"/>
      <c r="H284" s="230" t="s">
        <v>270</v>
      </c>
      <c r="I284" s="277"/>
      <c r="J284" s="277"/>
      <c r="K284" s="277"/>
      <c r="L284" s="188"/>
      <c r="M284" s="188"/>
      <c r="N284" s="188"/>
      <c r="O284" s="188"/>
      <c r="P284" s="188"/>
      <c r="Q284" s="188"/>
      <c r="R284" s="188"/>
      <c r="S284" s="188"/>
      <c r="T284" s="188"/>
      <c r="U284" s="188"/>
      <c r="V284" s="5"/>
    </row>
    <row r="285" spans="1:22" ht="15.6" x14ac:dyDescent="0.3">
      <c r="A285" s="221"/>
      <c r="B285" s="230" t="s">
        <v>318</v>
      </c>
      <c r="C285" s="230"/>
      <c r="D285" s="230"/>
      <c r="E285" s="230"/>
      <c r="F285" s="278" t="s">
        <v>153</v>
      </c>
      <c r="G285" s="230"/>
      <c r="H285" s="230" t="s">
        <v>159</v>
      </c>
      <c r="I285" s="277"/>
      <c r="J285" s="277"/>
      <c r="K285" s="277"/>
      <c r="L285" s="188"/>
      <c r="M285" s="188"/>
      <c r="N285" s="188"/>
      <c r="O285" s="188"/>
      <c r="P285" s="188"/>
      <c r="Q285" s="188"/>
      <c r="R285" s="188"/>
      <c r="S285" s="188"/>
      <c r="T285" s="188"/>
      <c r="U285" s="188"/>
      <c r="V285" s="5"/>
    </row>
    <row r="286" spans="1:22" ht="15.6" x14ac:dyDescent="0.3">
      <c r="A286" s="221"/>
      <c r="B286" s="230"/>
      <c r="C286" s="230"/>
      <c r="D286" s="230"/>
      <c r="E286" s="230"/>
      <c r="F286" s="230"/>
      <c r="G286" s="279"/>
      <c r="H286" s="277"/>
      <c r="I286" s="277"/>
      <c r="J286" s="277"/>
      <c r="K286" s="277"/>
      <c r="L286" s="188"/>
      <c r="M286" s="188"/>
      <c r="N286" s="188"/>
      <c r="O286" s="188"/>
      <c r="P286" s="188"/>
      <c r="Q286" s="188"/>
      <c r="R286" s="188"/>
      <c r="S286" s="188"/>
      <c r="T286" s="188"/>
      <c r="U286" s="188"/>
      <c r="V286" s="5"/>
    </row>
    <row r="287" spans="1:22" ht="15.6" x14ac:dyDescent="0.3">
      <c r="A287" s="221"/>
      <c r="B287" s="230"/>
      <c r="C287" s="230"/>
      <c r="D287" s="230"/>
      <c r="E287" s="230"/>
      <c r="F287" s="230"/>
      <c r="G287" s="279"/>
      <c r="H287" s="277"/>
      <c r="I287" s="277"/>
      <c r="J287" s="277"/>
      <c r="K287" s="277"/>
      <c r="L287" s="188"/>
      <c r="M287" s="188"/>
      <c r="N287" s="188"/>
      <c r="O287" s="188"/>
      <c r="P287" s="188"/>
      <c r="Q287" s="188"/>
      <c r="R287" s="188"/>
      <c r="S287" s="188"/>
      <c r="T287" s="188"/>
      <c r="U287" s="188"/>
      <c r="V287" s="5"/>
    </row>
    <row r="288" spans="1:22" ht="18" thickBot="1" x14ac:dyDescent="0.35">
      <c r="A288" s="221"/>
      <c r="B288" s="280" t="str">
        <f>B193</f>
        <v>PM11 INVESTOR REPORT QUARTER ENDING DECEMBER 2013</v>
      </c>
      <c r="C288" s="230"/>
      <c r="D288" s="230"/>
      <c r="E288" s="230"/>
      <c r="F288" s="230"/>
      <c r="G288" s="279"/>
      <c r="H288" s="277"/>
      <c r="I288" s="277"/>
      <c r="J288" s="277"/>
      <c r="K288" s="277"/>
      <c r="L288" s="188"/>
      <c r="M288" s="188"/>
      <c r="N288" s="188"/>
      <c r="O288" s="188"/>
      <c r="P288" s="188"/>
      <c r="Q288" s="188"/>
      <c r="R288" s="188"/>
      <c r="S288" s="188"/>
      <c r="T288" s="188"/>
      <c r="U288" s="188"/>
      <c r="V288" s="5"/>
    </row>
    <row r="289" spans="1:21" x14ac:dyDescent="0.25">
      <c r="A289" s="100"/>
      <c r="B289" s="100"/>
      <c r="C289" s="100"/>
      <c r="D289" s="100"/>
      <c r="E289" s="100"/>
      <c r="F289" s="100"/>
      <c r="G289" s="100"/>
      <c r="H289" s="100"/>
      <c r="I289" s="100"/>
      <c r="J289" s="100"/>
      <c r="K289" s="100"/>
      <c r="L289" s="100"/>
      <c r="M289" s="100"/>
      <c r="N289" s="100"/>
      <c r="O289" s="100"/>
      <c r="P289" s="100"/>
      <c r="Q289" s="100"/>
      <c r="R289" s="100"/>
      <c r="S289" s="100"/>
      <c r="T289" s="100"/>
      <c r="U289" s="100"/>
    </row>
  </sheetData>
  <hyperlinks>
    <hyperlink ref="N229" r:id="rId1" xr:uid="{00000000-0004-0000-1E00-000000000000}"/>
    <hyperlink ref="J9" r:id="rId2" xr:uid="{00000000-0004-0000-1E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4" max="20" man="1"/>
    <brk id="133" max="20" man="1"/>
    <brk id="193" max="20" man="1"/>
  </rowBreaks>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2D2926"/>
  </sheetPr>
  <dimension ref="A1:X289"/>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08984375" style="1" customWidth="1"/>
    <col min="10" max="10" width="17.81640625" style="1" customWidth="1"/>
    <col min="11" max="11" width="2.1796875" style="1" customWidth="1"/>
    <col min="12" max="12" width="14.81640625" style="1" customWidth="1"/>
    <col min="13" max="13" width="2.1796875" style="1" customWidth="1"/>
    <col min="14" max="14" width="15.54296875" style="1" customWidth="1"/>
    <col min="15" max="15" width="2.08984375" style="1" customWidth="1"/>
    <col min="16" max="16" width="15.54296875" style="1" customWidth="1"/>
    <col min="17" max="18" width="12.81640625" style="1" customWidth="1"/>
    <col min="19" max="19" width="7.81640625" style="1" customWidth="1"/>
    <col min="20" max="20" width="14.81640625" style="1" customWidth="1"/>
    <col min="21" max="21" width="11.81640625" style="1" customWidth="1"/>
    <col min="22" max="16384" width="9.81640625" style="1"/>
  </cols>
  <sheetData>
    <row r="1" spans="1:22" ht="20.399999999999999" x14ac:dyDescent="0.35">
      <c r="A1" s="173"/>
      <c r="B1" s="228" t="s">
        <v>228</v>
      </c>
      <c r="C1" s="174"/>
      <c r="D1" s="174"/>
      <c r="E1" s="174"/>
      <c r="F1" s="174"/>
      <c r="G1" s="174"/>
      <c r="H1" s="174"/>
      <c r="I1" s="174"/>
      <c r="J1" s="174"/>
      <c r="K1" s="174"/>
      <c r="L1" s="174"/>
      <c r="M1" s="174"/>
      <c r="N1" s="174"/>
      <c r="O1" s="174"/>
      <c r="P1" s="174"/>
      <c r="Q1" s="174"/>
      <c r="R1" s="174"/>
      <c r="S1" s="174"/>
      <c r="T1" s="174"/>
      <c r="U1" s="174"/>
      <c r="V1" s="5"/>
    </row>
    <row r="2" spans="1:22" ht="15.6" x14ac:dyDescent="0.3">
      <c r="A2" s="175"/>
      <c r="B2" s="176"/>
      <c r="C2" s="177"/>
      <c r="D2" s="177"/>
      <c r="E2" s="177"/>
      <c r="F2" s="177"/>
      <c r="G2" s="177"/>
      <c r="H2" s="177"/>
      <c r="I2" s="177"/>
      <c r="J2" s="177"/>
      <c r="K2" s="177"/>
      <c r="L2" s="177"/>
      <c r="M2" s="177"/>
      <c r="N2" s="177"/>
      <c r="O2" s="177"/>
      <c r="P2" s="177"/>
      <c r="Q2" s="177"/>
      <c r="R2" s="177"/>
      <c r="S2" s="177"/>
      <c r="T2" s="177"/>
      <c r="U2" s="177"/>
      <c r="V2" s="5"/>
    </row>
    <row r="3" spans="1:22" ht="15.6" x14ac:dyDescent="0.3">
      <c r="A3" s="178"/>
      <c r="B3" s="179" t="s">
        <v>229</v>
      </c>
      <c r="C3" s="177"/>
      <c r="D3" s="177"/>
      <c r="E3" s="177"/>
      <c r="F3" s="177"/>
      <c r="G3" s="177"/>
      <c r="H3" s="177"/>
      <c r="I3" s="177"/>
      <c r="J3" s="177"/>
      <c r="K3" s="177"/>
      <c r="L3" s="177"/>
      <c r="M3" s="177"/>
      <c r="N3" s="177"/>
      <c r="O3" s="177"/>
      <c r="P3" s="177"/>
      <c r="Q3" s="177"/>
      <c r="R3" s="177"/>
      <c r="S3" s="177"/>
      <c r="T3" s="177"/>
      <c r="U3" s="177"/>
      <c r="V3" s="5"/>
    </row>
    <row r="4" spans="1:22" ht="15.6" x14ac:dyDescent="0.3">
      <c r="A4" s="175"/>
      <c r="B4" s="176"/>
      <c r="C4" s="177"/>
      <c r="D4" s="177"/>
      <c r="E4" s="177"/>
      <c r="F4" s="177"/>
      <c r="G4" s="177"/>
      <c r="H4" s="177"/>
      <c r="I4" s="177"/>
      <c r="J4" s="177"/>
      <c r="K4" s="177"/>
      <c r="L4" s="177"/>
      <c r="M4" s="177"/>
      <c r="N4" s="177"/>
      <c r="O4" s="177"/>
      <c r="P4" s="177"/>
      <c r="Q4" s="177"/>
      <c r="R4" s="177"/>
      <c r="S4" s="177"/>
      <c r="T4" s="177"/>
      <c r="U4" s="177"/>
      <c r="V4" s="5"/>
    </row>
    <row r="5" spans="1:22" ht="15.6" x14ac:dyDescent="0.3">
      <c r="A5" s="175"/>
      <c r="B5" s="229" t="s">
        <v>143</v>
      </c>
      <c r="C5" s="177"/>
      <c r="D5" s="177"/>
      <c r="E5" s="177"/>
      <c r="F5" s="177"/>
      <c r="G5" s="177"/>
      <c r="H5" s="177"/>
      <c r="I5" s="177"/>
      <c r="J5" s="177"/>
      <c r="K5" s="177"/>
      <c r="L5" s="177"/>
      <c r="M5" s="177"/>
      <c r="N5" s="177"/>
      <c r="O5" s="177"/>
      <c r="P5" s="177"/>
      <c r="Q5" s="177"/>
      <c r="R5" s="177"/>
      <c r="S5" s="177"/>
      <c r="T5" s="177"/>
      <c r="U5" s="177"/>
      <c r="V5" s="5"/>
    </row>
    <row r="6" spans="1:22" ht="15.6" x14ac:dyDescent="0.3">
      <c r="A6" s="175"/>
      <c r="B6" s="229" t="s">
        <v>145</v>
      </c>
      <c r="C6" s="177"/>
      <c r="D6" s="177"/>
      <c r="E6" s="177"/>
      <c r="F6" s="177"/>
      <c r="G6" s="177"/>
      <c r="H6" s="177"/>
      <c r="I6" s="177"/>
      <c r="J6" s="177"/>
      <c r="K6" s="177"/>
      <c r="L6" s="177"/>
      <c r="M6" s="177"/>
      <c r="N6" s="177"/>
      <c r="O6" s="177"/>
      <c r="P6" s="177"/>
      <c r="Q6" s="177"/>
      <c r="R6" s="177"/>
      <c r="S6" s="177"/>
      <c r="T6" s="177"/>
      <c r="U6" s="177"/>
      <c r="V6" s="5"/>
    </row>
    <row r="7" spans="1:22" ht="15.6" x14ac:dyDescent="0.3">
      <c r="A7" s="175"/>
      <c r="B7" s="229" t="s">
        <v>144</v>
      </c>
      <c r="C7" s="177"/>
      <c r="D7" s="177"/>
      <c r="E7" s="177"/>
      <c r="F7" s="177"/>
      <c r="G7" s="177"/>
      <c r="H7" s="177"/>
      <c r="I7" s="177"/>
      <c r="J7" s="177"/>
      <c r="K7" s="177"/>
      <c r="L7" s="177"/>
      <c r="M7" s="177"/>
      <c r="N7" s="177"/>
      <c r="O7" s="177"/>
      <c r="P7" s="177"/>
      <c r="Q7" s="177"/>
      <c r="R7" s="177"/>
      <c r="S7" s="177"/>
      <c r="T7" s="177"/>
      <c r="U7" s="177"/>
      <c r="V7" s="5"/>
    </row>
    <row r="8" spans="1:22" ht="15.6" x14ac:dyDescent="0.3">
      <c r="A8" s="175"/>
      <c r="B8" s="180"/>
      <c r="C8" s="177"/>
      <c r="D8" s="177"/>
      <c r="E8" s="177"/>
      <c r="F8" s="177"/>
      <c r="G8" s="177"/>
      <c r="H8" s="177"/>
      <c r="I8" s="177"/>
      <c r="J8" s="177"/>
      <c r="K8" s="177"/>
      <c r="L8" s="177"/>
      <c r="M8" s="177"/>
      <c r="N8" s="177"/>
      <c r="O8" s="177"/>
      <c r="P8" s="177"/>
      <c r="Q8" s="177"/>
      <c r="R8" s="177"/>
      <c r="S8" s="177"/>
      <c r="T8" s="177"/>
      <c r="U8" s="177"/>
      <c r="V8" s="5"/>
    </row>
    <row r="9" spans="1:22" ht="17.399999999999999" x14ac:dyDescent="0.3">
      <c r="A9" s="175"/>
      <c r="B9" s="181" t="s">
        <v>173</v>
      </c>
      <c r="C9" s="177"/>
      <c r="D9" s="177"/>
      <c r="E9" s="177"/>
      <c r="F9" s="177"/>
      <c r="G9" s="177"/>
      <c r="H9" s="177"/>
      <c r="I9" s="177"/>
      <c r="J9" s="182" t="s">
        <v>174</v>
      </c>
      <c r="K9" s="177"/>
      <c r="L9" s="182"/>
      <c r="M9" s="177"/>
      <c r="N9" s="177"/>
      <c r="O9" s="177"/>
      <c r="P9" s="177"/>
      <c r="Q9" s="177"/>
      <c r="R9" s="177"/>
      <c r="S9" s="177"/>
      <c r="T9" s="177"/>
      <c r="U9" s="177"/>
      <c r="V9" s="5"/>
    </row>
    <row r="10" spans="1:22" ht="15.6" x14ac:dyDescent="0.3">
      <c r="A10" s="175"/>
      <c r="B10" s="180"/>
      <c r="C10" s="183"/>
      <c r="D10" s="183"/>
      <c r="E10" s="183"/>
      <c r="F10" s="177"/>
      <c r="G10" s="177"/>
      <c r="H10" s="177"/>
      <c r="I10" s="177"/>
      <c r="J10" s="177"/>
      <c r="K10" s="177"/>
      <c r="L10" s="177"/>
      <c r="M10" s="177"/>
      <c r="N10" s="177"/>
      <c r="O10" s="177"/>
      <c r="P10" s="177"/>
      <c r="Q10" s="177"/>
      <c r="R10" s="177"/>
      <c r="S10" s="177"/>
      <c r="T10" s="177"/>
      <c r="U10" s="177"/>
      <c r="V10" s="5"/>
    </row>
    <row r="11" spans="1:22" ht="15.6" x14ac:dyDescent="0.3">
      <c r="A11" s="175"/>
      <c r="B11" s="230" t="s">
        <v>0</v>
      </c>
      <c r="C11" s="177"/>
      <c r="D11" s="177"/>
      <c r="E11" s="177"/>
      <c r="F11" s="177"/>
      <c r="G11" s="177"/>
      <c r="H11" s="177"/>
      <c r="I11" s="177"/>
      <c r="J11" s="177"/>
      <c r="K11" s="177"/>
      <c r="L11" s="177"/>
      <c r="M11" s="177"/>
      <c r="N11" s="177"/>
      <c r="O11" s="177"/>
      <c r="P11" s="177"/>
      <c r="Q11" s="177"/>
      <c r="R11" s="177"/>
      <c r="S11" s="177"/>
      <c r="T11" s="177"/>
      <c r="U11" s="177"/>
      <c r="V11" s="5"/>
    </row>
    <row r="12" spans="1:22" ht="16.2" thickBot="1" x14ac:dyDescent="0.35">
      <c r="A12" s="175"/>
      <c r="B12" s="183"/>
      <c r="C12" s="177"/>
      <c r="D12" s="177"/>
      <c r="E12" s="177"/>
      <c r="F12" s="177"/>
      <c r="G12" s="177"/>
      <c r="H12" s="177"/>
      <c r="I12" s="177"/>
      <c r="J12" s="177"/>
      <c r="K12" s="177"/>
      <c r="L12" s="177"/>
      <c r="M12" s="177"/>
      <c r="N12" s="177"/>
      <c r="O12" s="177"/>
      <c r="P12" s="177"/>
      <c r="Q12" s="177"/>
      <c r="R12" s="177"/>
      <c r="S12" s="177"/>
      <c r="T12" s="177"/>
      <c r="U12" s="177"/>
      <c r="V12" s="5"/>
    </row>
    <row r="13" spans="1:22" ht="15.6" x14ac:dyDescent="0.3">
      <c r="A13" s="173"/>
      <c r="B13" s="174"/>
      <c r="C13" s="174"/>
      <c r="D13" s="174"/>
      <c r="E13" s="174"/>
      <c r="F13" s="174"/>
      <c r="G13" s="174"/>
      <c r="H13" s="174"/>
      <c r="I13" s="174"/>
      <c r="J13" s="174"/>
      <c r="K13" s="174"/>
      <c r="L13" s="174"/>
      <c r="M13" s="174"/>
      <c r="N13" s="174"/>
      <c r="O13" s="174"/>
      <c r="P13" s="174"/>
      <c r="Q13" s="174"/>
      <c r="R13" s="174"/>
      <c r="S13" s="174"/>
      <c r="T13" s="174"/>
      <c r="U13" s="174"/>
      <c r="V13" s="5"/>
    </row>
    <row r="14" spans="1:22" ht="15.6" x14ac:dyDescent="0.3">
      <c r="A14" s="175"/>
      <c r="B14" s="230" t="s">
        <v>1</v>
      </c>
      <c r="C14" s="184"/>
      <c r="D14" s="184"/>
      <c r="E14" s="184"/>
      <c r="F14" s="184"/>
      <c r="G14" s="184"/>
      <c r="H14" s="184"/>
      <c r="I14" s="184"/>
      <c r="J14" s="184"/>
      <c r="K14" s="184"/>
      <c r="L14" s="184"/>
      <c r="M14" s="184"/>
      <c r="N14" s="184"/>
      <c r="O14" s="184"/>
      <c r="P14" s="231"/>
      <c r="Q14" s="231"/>
      <c r="R14" s="231"/>
      <c r="S14" s="231"/>
      <c r="T14" s="233" t="s">
        <v>230</v>
      </c>
      <c r="U14" s="184"/>
      <c r="V14" s="5"/>
    </row>
    <row r="15" spans="1:22" ht="15.6" x14ac:dyDescent="0.3">
      <c r="A15" s="175"/>
      <c r="B15" s="230" t="s">
        <v>2</v>
      </c>
      <c r="C15" s="184"/>
      <c r="D15" s="184"/>
      <c r="E15" s="184"/>
      <c r="F15" s="184"/>
      <c r="G15" s="184"/>
      <c r="H15" s="185"/>
      <c r="I15" s="185"/>
      <c r="J15" s="185"/>
      <c r="K15" s="185"/>
      <c r="L15" s="185"/>
      <c r="M15" s="185"/>
      <c r="N15" s="185"/>
      <c r="O15" s="185"/>
      <c r="P15" s="234" t="s">
        <v>107</v>
      </c>
      <c r="Q15" s="235">
        <v>0.40749999999999997</v>
      </c>
      <c r="R15" s="236" t="s">
        <v>146</v>
      </c>
      <c r="S15" s="235">
        <v>0.59250000000000003</v>
      </c>
      <c r="T15" s="233"/>
      <c r="U15" s="184"/>
      <c r="V15" s="5"/>
    </row>
    <row r="16" spans="1:22" ht="15.6" x14ac:dyDescent="0.3">
      <c r="A16" s="175"/>
      <c r="B16" s="230" t="s">
        <v>3</v>
      </c>
      <c r="C16" s="184"/>
      <c r="D16" s="184"/>
      <c r="E16" s="184"/>
      <c r="F16" s="184"/>
      <c r="G16" s="184"/>
      <c r="H16" s="185"/>
      <c r="I16" s="185"/>
      <c r="J16" s="185"/>
      <c r="K16" s="185"/>
      <c r="L16" s="185"/>
      <c r="M16" s="185"/>
      <c r="N16" s="185"/>
      <c r="O16" s="185"/>
      <c r="P16" s="234" t="s">
        <v>107</v>
      </c>
      <c r="Q16" s="235">
        <v>0.45500000000000002</v>
      </c>
      <c r="R16" s="236" t="s">
        <v>146</v>
      </c>
      <c r="S16" s="235">
        <v>0.54500000000000004</v>
      </c>
      <c r="T16" s="233"/>
      <c r="U16" s="184"/>
      <c r="V16" s="5"/>
    </row>
    <row r="17" spans="1:22" ht="15.6" x14ac:dyDescent="0.3">
      <c r="A17" s="175"/>
      <c r="B17" s="230" t="s">
        <v>4</v>
      </c>
      <c r="C17" s="184"/>
      <c r="D17" s="184"/>
      <c r="E17" s="184"/>
      <c r="F17" s="184"/>
      <c r="G17" s="184"/>
      <c r="H17" s="184"/>
      <c r="I17" s="184"/>
      <c r="J17" s="184"/>
      <c r="K17" s="184"/>
      <c r="L17" s="184"/>
      <c r="M17" s="184"/>
      <c r="N17" s="184"/>
      <c r="O17" s="184"/>
      <c r="P17" s="231"/>
      <c r="Q17" s="231"/>
      <c r="R17" s="231"/>
      <c r="S17" s="231"/>
      <c r="T17" s="237">
        <v>38799</v>
      </c>
      <c r="U17" s="184"/>
      <c r="V17" s="5"/>
    </row>
    <row r="18" spans="1:22" ht="15.6" x14ac:dyDescent="0.3">
      <c r="A18" s="175"/>
      <c r="B18" s="230" t="s">
        <v>5</v>
      </c>
      <c r="C18" s="184"/>
      <c r="D18" s="184"/>
      <c r="E18" s="184"/>
      <c r="F18" s="184"/>
      <c r="G18" s="184"/>
      <c r="H18" s="184"/>
      <c r="I18" s="184"/>
      <c r="J18" s="184"/>
      <c r="K18" s="184"/>
      <c r="L18" s="184"/>
      <c r="M18" s="184"/>
      <c r="N18" s="184"/>
      <c r="O18" s="184"/>
      <c r="P18" s="231"/>
      <c r="Q18" s="231"/>
      <c r="R18" s="231"/>
      <c r="S18" s="231"/>
      <c r="T18" s="237">
        <v>41751</v>
      </c>
      <c r="U18" s="184"/>
      <c r="V18" s="5"/>
    </row>
    <row r="19" spans="1:22" ht="15.6" x14ac:dyDescent="0.3">
      <c r="A19" s="175"/>
      <c r="B19" s="177"/>
      <c r="C19" s="177"/>
      <c r="D19" s="177"/>
      <c r="E19" s="177"/>
      <c r="F19" s="177"/>
      <c r="G19" s="177"/>
      <c r="H19" s="177"/>
      <c r="I19" s="177"/>
      <c r="J19" s="177"/>
      <c r="K19" s="177"/>
      <c r="L19" s="177"/>
      <c r="M19" s="177"/>
      <c r="N19" s="177"/>
      <c r="O19" s="177"/>
      <c r="P19" s="177"/>
      <c r="Q19" s="177"/>
      <c r="R19" s="177"/>
      <c r="S19" s="177"/>
      <c r="T19" s="186"/>
      <c r="U19" s="177"/>
      <c r="V19" s="5"/>
    </row>
    <row r="20" spans="1:22" ht="15.6" x14ac:dyDescent="0.3">
      <c r="A20" s="175"/>
      <c r="B20" s="232" t="s">
        <v>6</v>
      </c>
      <c r="C20" s="177"/>
      <c r="D20" s="177"/>
      <c r="E20" s="177"/>
      <c r="F20" s="177"/>
      <c r="G20" s="177"/>
      <c r="H20" s="177"/>
      <c r="I20" s="177"/>
      <c r="J20" s="177"/>
      <c r="K20" s="177"/>
      <c r="L20" s="177"/>
      <c r="M20" s="177"/>
      <c r="N20" s="177"/>
      <c r="O20" s="177"/>
      <c r="P20" s="177"/>
      <c r="Q20" s="177"/>
      <c r="R20" s="238" t="s">
        <v>108</v>
      </c>
      <c r="S20" s="177"/>
      <c r="T20" s="188"/>
      <c r="U20" s="177"/>
      <c r="V20" s="5"/>
    </row>
    <row r="21" spans="1:22" ht="15.6" x14ac:dyDescent="0.3">
      <c r="A21" s="175"/>
      <c r="B21" s="177"/>
      <c r="C21" s="177"/>
      <c r="D21" s="177"/>
      <c r="E21" s="177"/>
      <c r="F21" s="177"/>
      <c r="G21" s="177"/>
      <c r="H21" s="177"/>
      <c r="I21" s="177"/>
      <c r="J21" s="177"/>
      <c r="K21" s="177"/>
      <c r="L21" s="177"/>
      <c r="M21" s="177"/>
      <c r="N21" s="177"/>
      <c r="O21" s="177"/>
      <c r="P21" s="177"/>
      <c r="Q21" s="177"/>
      <c r="R21" s="177"/>
      <c r="S21" s="177"/>
      <c r="T21" s="189"/>
      <c r="U21" s="177"/>
      <c r="V21" s="5"/>
    </row>
    <row r="22" spans="1:22" ht="15.6" x14ac:dyDescent="0.3">
      <c r="A22" s="222"/>
      <c r="B22" s="223"/>
      <c r="C22" s="224"/>
      <c r="D22" s="224" t="s">
        <v>184</v>
      </c>
      <c r="E22" s="224"/>
      <c r="F22" s="224" t="s">
        <v>185</v>
      </c>
      <c r="G22" s="224"/>
      <c r="H22" s="224" t="s">
        <v>186</v>
      </c>
      <c r="I22" s="224"/>
      <c r="J22" s="224" t="s">
        <v>187</v>
      </c>
      <c r="K22" s="224"/>
      <c r="L22" s="224" t="s">
        <v>188</v>
      </c>
      <c r="M22" s="224"/>
      <c r="N22" s="224" t="s">
        <v>189</v>
      </c>
      <c r="O22" s="224"/>
      <c r="P22" s="224"/>
      <c r="Q22" s="226"/>
      <c r="R22" s="226"/>
      <c r="S22" s="227"/>
      <c r="T22" s="227"/>
      <c r="U22" s="223"/>
      <c r="V22" s="5"/>
    </row>
    <row r="23" spans="1:22" ht="15.6" x14ac:dyDescent="0.3">
      <c r="A23" s="190"/>
      <c r="B23" s="239" t="s">
        <v>7</v>
      </c>
      <c r="C23" s="240"/>
      <c r="D23" s="240" t="s">
        <v>222</v>
      </c>
      <c r="E23" s="240"/>
      <c r="F23" s="240" t="s">
        <v>147</v>
      </c>
      <c r="G23" s="240"/>
      <c r="H23" s="240" t="s">
        <v>147</v>
      </c>
      <c r="I23" s="240"/>
      <c r="J23" s="240" t="s">
        <v>190</v>
      </c>
      <c r="K23" s="240"/>
      <c r="L23" s="240" t="s">
        <v>190</v>
      </c>
      <c r="M23" s="240"/>
      <c r="N23" s="240" t="s">
        <v>148</v>
      </c>
      <c r="O23" s="240"/>
      <c r="P23" s="240"/>
      <c r="Q23" s="240"/>
      <c r="R23" s="240"/>
      <c r="S23" s="241"/>
      <c r="T23" s="241"/>
      <c r="U23" s="239"/>
      <c r="V23" s="5"/>
    </row>
    <row r="24" spans="1:22" ht="15.6" x14ac:dyDescent="0.3">
      <c r="A24" s="284"/>
      <c r="B24" s="285" t="s">
        <v>8</v>
      </c>
      <c r="C24" s="286"/>
      <c r="D24" s="286" t="s">
        <v>223</v>
      </c>
      <c r="E24" s="286"/>
      <c r="F24" s="286" t="s">
        <v>149</v>
      </c>
      <c r="G24" s="286"/>
      <c r="H24" s="286" t="s">
        <v>149</v>
      </c>
      <c r="I24" s="286"/>
      <c r="J24" s="286" t="s">
        <v>172</v>
      </c>
      <c r="K24" s="286"/>
      <c r="L24" s="286" t="s">
        <v>172</v>
      </c>
      <c r="M24" s="286"/>
      <c r="N24" s="286" t="s">
        <v>150</v>
      </c>
      <c r="O24" s="286"/>
      <c r="P24" s="286"/>
      <c r="Q24" s="286"/>
      <c r="R24" s="286"/>
      <c r="S24" s="287"/>
      <c r="T24" s="287"/>
      <c r="U24" s="288"/>
      <c r="V24" s="5"/>
    </row>
    <row r="25" spans="1:22" ht="15.6" x14ac:dyDescent="0.3">
      <c r="A25" s="289"/>
      <c r="B25" s="285" t="s">
        <v>198</v>
      </c>
      <c r="C25" s="394"/>
      <c r="D25" s="286" t="s">
        <v>224</v>
      </c>
      <c r="E25" s="286"/>
      <c r="F25" s="286" t="s">
        <v>149</v>
      </c>
      <c r="G25" s="286"/>
      <c r="H25" s="286" t="s">
        <v>149</v>
      </c>
      <c r="I25" s="286"/>
      <c r="J25" s="286" t="s">
        <v>172</v>
      </c>
      <c r="K25" s="286"/>
      <c r="L25" s="286" t="s">
        <v>172</v>
      </c>
      <c r="M25" s="286"/>
      <c r="N25" s="286" t="s">
        <v>150</v>
      </c>
      <c r="O25" s="286"/>
      <c r="P25" s="286"/>
      <c r="Q25" s="394"/>
      <c r="R25" s="286"/>
      <c r="S25" s="287"/>
      <c r="T25" s="287"/>
      <c r="U25" s="288"/>
      <c r="V25" s="5"/>
    </row>
    <row r="26" spans="1:22" ht="15.6" x14ac:dyDescent="0.3">
      <c r="A26" s="289"/>
      <c r="B26" s="292" t="s">
        <v>9</v>
      </c>
      <c r="C26" s="394"/>
      <c r="D26" s="394" t="s">
        <v>306</v>
      </c>
      <c r="E26" s="394"/>
      <c r="F26" s="394" t="s">
        <v>147</v>
      </c>
      <c r="G26" s="394"/>
      <c r="H26" s="394" t="s">
        <v>147</v>
      </c>
      <c r="I26" s="394"/>
      <c r="J26" s="394" t="s">
        <v>190</v>
      </c>
      <c r="K26" s="394"/>
      <c r="L26" s="394" t="s">
        <v>190</v>
      </c>
      <c r="M26" s="394"/>
      <c r="N26" s="394" t="s">
        <v>148</v>
      </c>
      <c r="O26" s="394"/>
      <c r="P26" s="394"/>
      <c r="Q26" s="394"/>
      <c r="R26" s="286"/>
      <c r="S26" s="287"/>
      <c r="T26" s="287"/>
      <c r="U26" s="288"/>
      <c r="V26" s="5"/>
    </row>
    <row r="27" spans="1:22" ht="15.6" x14ac:dyDescent="0.3">
      <c r="A27" s="284"/>
      <c r="B27" s="292" t="s">
        <v>199</v>
      </c>
      <c r="C27" s="286"/>
      <c r="D27" s="394" t="s">
        <v>307</v>
      </c>
      <c r="E27" s="394"/>
      <c r="F27" s="394" t="s">
        <v>172</v>
      </c>
      <c r="G27" s="394"/>
      <c r="H27" s="394" t="s">
        <v>172</v>
      </c>
      <c r="I27" s="394"/>
      <c r="J27" s="394" t="s">
        <v>150</v>
      </c>
      <c r="K27" s="394"/>
      <c r="L27" s="394" t="s">
        <v>150</v>
      </c>
      <c r="M27" s="394"/>
      <c r="N27" s="394" t="s">
        <v>308</v>
      </c>
      <c r="O27" s="394"/>
      <c r="P27" s="394"/>
      <c r="Q27" s="286"/>
      <c r="R27" s="293"/>
      <c r="S27" s="287"/>
      <c r="T27" s="287"/>
      <c r="U27" s="288"/>
      <c r="V27" s="5"/>
    </row>
    <row r="28" spans="1:22" ht="15.6" x14ac:dyDescent="0.3">
      <c r="A28" s="284"/>
      <c r="B28" s="292" t="s">
        <v>200</v>
      </c>
      <c r="C28" s="286"/>
      <c r="D28" s="394" t="s">
        <v>302</v>
      </c>
      <c r="E28" s="394"/>
      <c r="F28" s="394" t="s">
        <v>149</v>
      </c>
      <c r="G28" s="394"/>
      <c r="H28" s="394" t="s">
        <v>149</v>
      </c>
      <c r="I28" s="394"/>
      <c r="J28" s="394" t="s">
        <v>322</v>
      </c>
      <c r="K28" s="394"/>
      <c r="L28" s="394" t="s">
        <v>322</v>
      </c>
      <c r="M28" s="394"/>
      <c r="N28" s="394" t="s">
        <v>150</v>
      </c>
      <c r="O28" s="394"/>
      <c r="P28" s="394"/>
      <c r="Q28" s="286"/>
      <c r="R28" s="293"/>
      <c r="S28" s="287"/>
      <c r="T28" s="287"/>
      <c r="U28" s="288"/>
      <c r="V28" s="5"/>
    </row>
    <row r="29" spans="1:22" ht="15.6" x14ac:dyDescent="0.3">
      <c r="A29" s="284"/>
      <c r="B29" s="285" t="s">
        <v>10</v>
      </c>
      <c r="C29" s="295"/>
      <c r="D29" s="286" t="s">
        <v>237</v>
      </c>
      <c r="E29" s="286"/>
      <c r="F29" s="293" t="s">
        <v>238</v>
      </c>
      <c r="G29" s="286"/>
      <c r="H29" s="286" t="s">
        <v>239</v>
      </c>
      <c r="I29" s="286"/>
      <c r="J29" s="286" t="s">
        <v>240</v>
      </c>
      <c r="K29" s="286"/>
      <c r="L29" s="286" t="s">
        <v>241</v>
      </c>
      <c r="M29" s="286"/>
      <c r="N29" s="286" t="s">
        <v>242</v>
      </c>
      <c r="O29" s="286"/>
      <c r="P29" s="286"/>
      <c r="Q29" s="296"/>
      <c r="R29" s="296"/>
      <c r="S29" s="297"/>
      <c r="T29" s="296"/>
      <c r="U29" s="298"/>
      <c r="V29" s="5"/>
    </row>
    <row r="30" spans="1:22" ht="15.6" x14ac:dyDescent="0.3">
      <c r="A30" s="284"/>
      <c r="B30" s="285" t="s">
        <v>10</v>
      </c>
      <c r="C30" s="295"/>
      <c r="D30" s="286" t="s">
        <v>236</v>
      </c>
      <c r="E30" s="286"/>
      <c r="F30" s="293" t="s">
        <v>124</v>
      </c>
      <c r="G30" s="286"/>
      <c r="H30" s="286" t="s">
        <v>124</v>
      </c>
      <c r="I30" s="286"/>
      <c r="J30" s="286" t="s">
        <v>124</v>
      </c>
      <c r="K30" s="286"/>
      <c r="L30" s="286" t="s">
        <v>124</v>
      </c>
      <c r="M30" s="286"/>
      <c r="N30" s="286" t="s">
        <v>124</v>
      </c>
      <c r="O30" s="286"/>
      <c r="P30" s="286"/>
      <c r="Q30" s="296"/>
      <c r="R30" s="296"/>
      <c r="S30" s="297"/>
      <c r="T30" s="296"/>
      <c r="U30" s="298"/>
      <c r="V30" s="5"/>
    </row>
    <row r="31" spans="1:22" ht="15.6" x14ac:dyDescent="0.3">
      <c r="A31" s="289"/>
      <c r="B31" s="285" t="s">
        <v>139</v>
      </c>
      <c r="C31" s="299"/>
      <c r="D31" s="300">
        <v>985000</v>
      </c>
      <c r="E31" s="295"/>
      <c r="F31" s="296">
        <v>149500</v>
      </c>
      <c r="G31" s="296"/>
      <c r="H31" s="301">
        <v>219700</v>
      </c>
      <c r="I31" s="296"/>
      <c r="J31" s="296">
        <v>16000</v>
      </c>
      <c r="K31" s="296"/>
      <c r="L31" s="301">
        <v>82400</v>
      </c>
      <c r="M31" s="296"/>
      <c r="N31" s="301">
        <v>87500</v>
      </c>
      <c r="O31" s="296"/>
      <c r="P31" s="301"/>
      <c r="Q31" s="302"/>
      <c r="R31" s="302"/>
      <c r="S31" s="303"/>
      <c r="T31" s="302"/>
      <c r="U31" s="298"/>
      <c r="V31" s="5"/>
    </row>
    <row r="32" spans="1:22" ht="15.6" x14ac:dyDescent="0.3">
      <c r="A32" s="284"/>
      <c r="B32" s="285" t="s">
        <v>138</v>
      </c>
      <c r="C32" s="295"/>
      <c r="D32" s="300">
        <f>D38*D31</f>
        <v>456779.66449999996</v>
      </c>
      <c r="E32" s="295"/>
      <c r="F32" s="296">
        <f>F38*F31</f>
        <v>69328.681500000006</v>
      </c>
      <c r="G32" s="296"/>
      <c r="H32" s="301">
        <f>H38*H31</f>
        <v>101883.0189</v>
      </c>
      <c r="I32" s="296"/>
      <c r="J32" s="296">
        <f>+J31</f>
        <v>16000</v>
      </c>
      <c r="K32" s="296"/>
      <c r="L32" s="301">
        <f>+L31</f>
        <v>82400</v>
      </c>
      <c r="M32" s="296"/>
      <c r="N32" s="301">
        <f>+N31</f>
        <v>87500</v>
      </c>
      <c r="O32" s="296"/>
      <c r="P32" s="301"/>
      <c r="Q32" s="296"/>
      <c r="R32" s="296"/>
      <c r="S32" s="297"/>
      <c r="T32" s="296"/>
      <c r="U32" s="298"/>
      <c r="V32" s="5"/>
    </row>
    <row r="33" spans="1:22" ht="15.6" x14ac:dyDescent="0.3">
      <c r="A33" s="284"/>
      <c r="B33" s="292" t="s">
        <v>140</v>
      </c>
      <c r="C33" s="295"/>
      <c r="D33" s="304">
        <f>D37*D31</f>
        <v>452467.13749999995</v>
      </c>
      <c r="E33" s="299"/>
      <c r="F33" s="302">
        <f>F37*F31</f>
        <v>68674.140599999999</v>
      </c>
      <c r="G33" s="302"/>
      <c r="H33" s="305">
        <f>H31*H37</f>
        <v>100921.12836</v>
      </c>
      <c r="I33" s="302"/>
      <c r="J33" s="302">
        <f>J31*J37</f>
        <v>16000</v>
      </c>
      <c r="K33" s="302"/>
      <c r="L33" s="305">
        <f>L31*L37</f>
        <v>82400</v>
      </c>
      <c r="M33" s="302"/>
      <c r="N33" s="305">
        <f>N31*N37</f>
        <v>87500</v>
      </c>
      <c r="O33" s="302"/>
      <c r="P33" s="305"/>
      <c r="Q33" s="296"/>
      <c r="R33" s="296"/>
      <c r="S33" s="297"/>
      <c r="T33" s="296"/>
      <c r="U33" s="298"/>
      <c r="V33" s="5"/>
    </row>
    <row r="34" spans="1:22" ht="15.6" x14ac:dyDescent="0.3">
      <c r="A34" s="289"/>
      <c r="B34" s="285" t="s">
        <v>283</v>
      </c>
      <c r="C34" s="299"/>
      <c r="D34" s="296">
        <v>567282</v>
      </c>
      <c r="E34" s="295"/>
      <c r="F34" s="296">
        <v>149500</v>
      </c>
      <c r="G34" s="296"/>
      <c r="H34" s="296">
        <v>150716</v>
      </c>
      <c r="I34" s="296"/>
      <c r="J34" s="296">
        <v>16000</v>
      </c>
      <c r="K34" s="296"/>
      <c r="L34" s="296">
        <v>56527</v>
      </c>
      <c r="M34" s="296"/>
      <c r="N34" s="296">
        <v>60025</v>
      </c>
      <c r="O34" s="296"/>
      <c r="P34" s="296"/>
      <c r="Q34" s="302"/>
      <c r="R34" s="302"/>
      <c r="S34" s="303"/>
      <c r="T34" s="296">
        <f>SUM(C34:P34)</f>
        <v>1000050</v>
      </c>
      <c r="U34" s="298"/>
      <c r="V34" s="5"/>
    </row>
    <row r="35" spans="1:22" ht="15.6" x14ac:dyDescent="0.3">
      <c r="A35" s="289"/>
      <c r="B35" s="285" t="s">
        <v>284</v>
      </c>
      <c r="C35" s="299"/>
      <c r="D35" s="296">
        <f>D38*D34</f>
        <v>263068.91536739998</v>
      </c>
      <c r="E35" s="295"/>
      <c r="F35" s="296">
        <f>F38*F34</f>
        <v>69328.681500000006</v>
      </c>
      <c r="G35" s="296"/>
      <c r="H35" s="296">
        <f>H38*H34</f>
        <v>69892.585692000008</v>
      </c>
      <c r="I35" s="296"/>
      <c r="J35" s="296">
        <f>+J34</f>
        <v>16000</v>
      </c>
      <c r="K35" s="296"/>
      <c r="L35" s="296">
        <f>+L34</f>
        <v>56527</v>
      </c>
      <c r="M35" s="296"/>
      <c r="N35" s="296">
        <f>+N34</f>
        <v>60025</v>
      </c>
      <c r="O35" s="296"/>
      <c r="P35" s="296"/>
      <c r="Q35" s="296"/>
      <c r="R35" s="296"/>
      <c r="S35" s="297"/>
      <c r="T35" s="296">
        <f>SUM(C35:P35)+1</f>
        <v>534843.18255939998</v>
      </c>
      <c r="U35" s="298"/>
      <c r="V35" s="5"/>
    </row>
    <row r="36" spans="1:22" ht="15.6" x14ac:dyDescent="0.3">
      <c r="A36" s="289"/>
      <c r="B36" s="292" t="s">
        <v>285</v>
      </c>
      <c r="C36" s="299"/>
      <c r="D36" s="302">
        <f>D37*D34</f>
        <v>260585.24131499999</v>
      </c>
      <c r="E36" s="299"/>
      <c r="F36" s="302">
        <f>F37*F34</f>
        <v>68674.140599999999</v>
      </c>
      <c r="G36" s="302"/>
      <c r="H36" s="302">
        <f>H37*H34</f>
        <v>69232.720900800006</v>
      </c>
      <c r="I36" s="302"/>
      <c r="J36" s="302">
        <f>+J34</f>
        <v>16000</v>
      </c>
      <c r="K36" s="302"/>
      <c r="L36" s="302">
        <f>+L34</f>
        <v>56527</v>
      </c>
      <c r="M36" s="302"/>
      <c r="N36" s="302">
        <f>+N34</f>
        <v>60025</v>
      </c>
      <c r="O36" s="302"/>
      <c r="P36" s="302"/>
      <c r="Q36" s="327"/>
      <c r="R36" s="327"/>
      <c r="S36" s="297"/>
      <c r="T36" s="302">
        <f>SUM(C36:P36)+1</f>
        <v>531045.1028158</v>
      </c>
      <c r="U36" s="298"/>
      <c r="V36" s="5"/>
    </row>
    <row r="37" spans="1:22" ht="15.6" x14ac:dyDescent="0.3">
      <c r="A37" s="284"/>
      <c r="B37" s="310" t="s">
        <v>136</v>
      </c>
      <c r="C37" s="311"/>
      <c r="D37" s="312">
        <v>0.45935749999999997</v>
      </c>
      <c r="E37" s="313"/>
      <c r="F37" s="312">
        <v>0.45935880000000001</v>
      </c>
      <c r="G37" s="314"/>
      <c r="H37" s="312">
        <v>0.45935880000000001</v>
      </c>
      <c r="I37" s="314"/>
      <c r="J37" s="312">
        <v>1</v>
      </c>
      <c r="K37" s="314"/>
      <c r="L37" s="312">
        <v>1</v>
      </c>
      <c r="M37" s="314"/>
      <c r="N37" s="312">
        <v>1</v>
      </c>
      <c r="O37" s="314"/>
      <c r="P37" s="314"/>
      <c r="Q37" s="315"/>
      <c r="R37" s="315"/>
      <c r="S37" s="316"/>
      <c r="T37" s="316"/>
      <c r="U37" s="317"/>
      <c r="V37" s="5"/>
    </row>
    <row r="38" spans="1:22" ht="15.6" x14ac:dyDescent="0.3">
      <c r="A38" s="284"/>
      <c r="B38" s="310" t="s">
        <v>137</v>
      </c>
      <c r="C38" s="311"/>
      <c r="D38" s="312">
        <v>0.46373569999999997</v>
      </c>
      <c r="E38" s="313"/>
      <c r="F38" s="312">
        <v>0.46373700000000001</v>
      </c>
      <c r="G38" s="314"/>
      <c r="H38" s="312">
        <v>0.46373700000000001</v>
      </c>
      <c r="I38" s="314"/>
      <c r="J38" s="312">
        <v>1</v>
      </c>
      <c r="K38" s="312"/>
      <c r="L38" s="312">
        <v>1</v>
      </c>
      <c r="M38" s="312"/>
      <c r="N38" s="312">
        <v>1</v>
      </c>
      <c r="O38" s="314"/>
      <c r="P38" s="314"/>
      <c r="Q38" s="318"/>
      <c r="R38" s="319"/>
      <c r="S38" s="316"/>
      <c r="T38" s="318"/>
      <c r="U38" s="317"/>
      <c r="V38" s="5"/>
    </row>
    <row r="39" spans="1:22" ht="15.6" x14ac:dyDescent="0.3">
      <c r="A39" s="284"/>
      <c r="B39" s="285" t="s">
        <v>11</v>
      </c>
      <c r="C39" s="285"/>
      <c r="D39" s="293" t="s">
        <v>275</v>
      </c>
      <c r="E39" s="285"/>
      <c r="F39" s="293" t="s">
        <v>232</v>
      </c>
      <c r="G39" s="293"/>
      <c r="H39" s="293" t="s">
        <v>232</v>
      </c>
      <c r="I39" s="293"/>
      <c r="J39" s="293" t="s">
        <v>234</v>
      </c>
      <c r="K39" s="293"/>
      <c r="L39" s="293" t="s">
        <v>234</v>
      </c>
      <c r="M39" s="293"/>
      <c r="N39" s="293" t="s">
        <v>235</v>
      </c>
      <c r="O39" s="293"/>
      <c r="P39" s="293"/>
      <c r="Q39" s="320"/>
      <c r="R39" s="321"/>
      <c r="S39" s="287"/>
      <c r="T39" s="287"/>
      <c r="U39" s="288"/>
      <c r="V39" s="5"/>
    </row>
    <row r="40" spans="1:22" ht="15.6" x14ac:dyDescent="0.3">
      <c r="A40" s="284"/>
      <c r="B40" s="285" t="s">
        <v>12</v>
      </c>
      <c r="C40" s="285"/>
      <c r="D40" s="321">
        <v>2.5500000000000002E-3</v>
      </c>
      <c r="E40" s="285"/>
      <c r="F40" s="321">
        <v>7.5938000000000004E-3</v>
      </c>
      <c r="G40" s="320"/>
      <c r="H40" s="321">
        <v>5.2199999999999998E-3</v>
      </c>
      <c r="I40" s="320"/>
      <c r="J40" s="321">
        <v>9.9938000000000006E-3</v>
      </c>
      <c r="K40" s="320"/>
      <c r="L40" s="321">
        <v>7.62E-3</v>
      </c>
      <c r="M40" s="320"/>
      <c r="N40" s="321">
        <v>1.1820000000000001E-2</v>
      </c>
      <c r="O40" s="320"/>
      <c r="P40" s="321"/>
      <c r="Q40" s="320"/>
      <c r="R40" s="321"/>
      <c r="S40" s="287"/>
      <c r="T40" s="293"/>
      <c r="U40" s="288"/>
      <c r="V40" s="5"/>
    </row>
    <row r="41" spans="1:22" ht="15.6" x14ac:dyDescent="0.3">
      <c r="A41" s="284"/>
      <c r="B41" s="285" t="s">
        <v>13</v>
      </c>
      <c r="C41" s="285"/>
      <c r="D41" s="321">
        <v>2.666E-3</v>
      </c>
      <c r="E41" s="285"/>
      <c r="F41" s="321">
        <v>7.5950000000000002E-3</v>
      </c>
      <c r="G41" s="320"/>
      <c r="H41" s="321">
        <v>4.6699999999999997E-3</v>
      </c>
      <c r="I41" s="320"/>
      <c r="J41" s="321">
        <v>9.9950000000000004E-3</v>
      </c>
      <c r="K41" s="320"/>
      <c r="L41" s="321">
        <v>7.0699999999999999E-3</v>
      </c>
      <c r="M41" s="320"/>
      <c r="N41" s="321">
        <v>1.1270000000000001E-2</v>
      </c>
      <c r="O41" s="320"/>
      <c r="P41" s="321"/>
      <c r="Q41" s="320"/>
      <c r="R41" s="321"/>
      <c r="S41" s="287"/>
      <c r="T41" s="320" t="s">
        <v>201</v>
      </c>
      <c r="U41" s="288"/>
      <c r="V41" s="5"/>
    </row>
    <row r="42" spans="1:22" ht="15.6" x14ac:dyDescent="0.3">
      <c r="A42" s="284"/>
      <c r="B42" s="285" t="s">
        <v>286</v>
      </c>
      <c r="C42" s="285"/>
      <c r="D42" s="293" t="s">
        <v>231</v>
      </c>
      <c r="E42" s="285"/>
      <c r="F42" s="293" t="s">
        <v>232</v>
      </c>
      <c r="G42" s="293"/>
      <c r="H42" s="293" t="s">
        <v>232</v>
      </c>
      <c r="I42" s="293"/>
      <c r="J42" s="293" t="s">
        <v>234</v>
      </c>
      <c r="K42" s="293"/>
      <c r="L42" s="293" t="s">
        <v>245</v>
      </c>
      <c r="M42" s="293"/>
      <c r="N42" s="293" t="s">
        <v>247</v>
      </c>
      <c r="O42" s="293"/>
      <c r="P42" s="293"/>
      <c r="Q42" s="320"/>
      <c r="R42" s="321"/>
      <c r="S42" s="287"/>
      <c r="T42" s="287"/>
      <c r="U42" s="288"/>
      <c r="V42" s="5"/>
    </row>
    <row r="43" spans="1:22" ht="15.6" x14ac:dyDescent="0.3">
      <c r="A43" s="284"/>
      <c r="B43" s="285" t="s">
        <v>287</v>
      </c>
      <c r="C43" s="322"/>
      <c r="D43" s="321">
        <v>6.43E-3</v>
      </c>
      <c r="E43" s="321"/>
      <c r="F43" s="321">
        <f>+F40</f>
        <v>7.5938000000000004E-3</v>
      </c>
      <c r="G43" s="321"/>
      <c r="H43" s="321">
        <v>7.5897999999999998E-3</v>
      </c>
      <c r="I43" s="321"/>
      <c r="J43" s="321">
        <f>+J40</f>
        <v>9.9938000000000006E-3</v>
      </c>
      <c r="K43" s="321"/>
      <c r="L43" s="321">
        <v>1.02998E-2</v>
      </c>
      <c r="M43" s="321"/>
      <c r="N43" s="321">
        <v>1.5003799999999999E-2</v>
      </c>
      <c r="O43" s="320"/>
      <c r="P43" s="321"/>
      <c r="Q43" s="293"/>
      <c r="R43" s="293"/>
      <c r="S43" s="287"/>
      <c r="T43" s="320">
        <f>SUMPRODUCT(D43:N43,D35:N35)/T35</f>
        <v>8.2102433892097607E-3</v>
      </c>
      <c r="U43" s="288"/>
      <c r="V43" s="5"/>
    </row>
    <row r="44" spans="1:22" ht="15.6" x14ac:dyDescent="0.3">
      <c r="A44" s="284"/>
      <c r="B44" s="285" t="s">
        <v>288</v>
      </c>
      <c r="C44" s="322"/>
      <c r="D44" s="321">
        <v>6.4311999999999998E-3</v>
      </c>
      <c r="E44" s="321"/>
      <c r="F44" s="321">
        <f>+F41</f>
        <v>7.5950000000000002E-3</v>
      </c>
      <c r="G44" s="321"/>
      <c r="H44" s="321">
        <v>7.5909999999999997E-3</v>
      </c>
      <c r="I44" s="321"/>
      <c r="J44" s="321">
        <f>+J41</f>
        <v>9.9950000000000004E-3</v>
      </c>
      <c r="K44" s="321"/>
      <c r="L44" s="321">
        <v>1.0300999999999999E-2</v>
      </c>
      <c r="M44" s="321"/>
      <c r="N44" s="321">
        <v>1.5004999999999999E-2</v>
      </c>
      <c r="O44" s="320"/>
      <c r="P44" s="321"/>
      <c r="Q44" s="293"/>
      <c r="R44" s="293"/>
      <c r="S44" s="287"/>
      <c r="T44" s="287"/>
      <c r="U44" s="288"/>
      <c r="V44" s="5"/>
    </row>
    <row r="45" spans="1:22" ht="15.6" x14ac:dyDescent="0.3">
      <c r="A45" s="284"/>
      <c r="B45" s="285" t="s">
        <v>14</v>
      </c>
      <c r="C45" s="285"/>
      <c r="D45" s="322">
        <v>40283</v>
      </c>
      <c r="E45" s="322"/>
      <c r="F45" s="322">
        <v>40283</v>
      </c>
      <c r="G45" s="322"/>
      <c r="H45" s="322">
        <v>40283</v>
      </c>
      <c r="I45" s="322"/>
      <c r="J45" s="322">
        <v>40283</v>
      </c>
      <c r="K45" s="322"/>
      <c r="L45" s="322">
        <v>40283</v>
      </c>
      <c r="M45" s="322"/>
      <c r="N45" s="322">
        <v>40283</v>
      </c>
      <c r="O45" s="322"/>
      <c r="P45" s="322"/>
      <c r="Q45" s="293"/>
      <c r="R45" s="293"/>
      <c r="S45" s="287"/>
      <c r="T45" s="287"/>
      <c r="U45" s="288"/>
      <c r="V45" s="5"/>
    </row>
    <row r="46" spans="1:22" ht="15.6" x14ac:dyDescent="0.3">
      <c r="A46" s="284"/>
      <c r="B46" s="285" t="s">
        <v>15</v>
      </c>
      <c r="C46" s="285"/>
      <c r="D46" s="322">
        <v>40648</v>
      </c>
      <c r="E46" s="322"/>
      <c r="F46" s="322">
        <v>40648</v>
      </c>
      <c r="G46" s="322"/>
      <c r="H46" s="322">
        <v>40648</v>
      </c>
      <c r="I46" s="293"/>
      <c r="J46" s="322">
        <v>40648</v>
      </c>
      <c r="K46" s="293"/>
      <c r="L46" s="322">
        <v>40648</v>
      </c>
      <c r="M46" s="293"/>
      <c r="N46" s="322">
        <v>40648</v>
      </c>
      <c r="O46" s="293"/>
      <c r="P46" s="322"/>
      <c r="Q46" s="293"/>
      <c r="R46" s="293"/>
      <c r="S46" s="287"/>
      <c r="T46" s="287"/>
      <c r="U46" s="288"/>
      <c r="V46" s="5"/>
    </row>
    <row r="47" spans="1:22" ht="15.6" x14ac:dyDescent="0.3">
      <c r="A47" s="284"/>
      <c r="B47" s="285" t="s">
        <v>125</v>
      </c>
      <c r="C47" s="285"/>
      <c r="D47" s="293" t="s">
        <v>124</v>
      </c>
      <c r="E47" s="285"/>
      <c r="F47" s="293" t="s">
        <v>232</v>
      </c>
      <c r="G47" s="293"/>
      <c r="H47" s="293" t="s">
        <v>232</v>
      </c>
      <c r="I47" s="293"/>
      <c r="J47" s="293" t="s">
        <v>234</v>
      </c>
      <c r="K47" s="293"/>
      <c r="L47" s="293" t="s">
        <v>234</v>
      </c>
      <c r="M47" s="293"/>
      <c r="N47" s="293" t="s">
        <v>235</v>
      </c>
      <c r="O47" s="293"/>
      <c r="P47" s="293"/>
      <c r="Q47" s="324"/>
      <c r="R47" s="324"/>
      <c r="S47" s="324"/>
      <c r="T47" s="324"/>
      <c r="U47" s="288"/>
      <c r="V47" s="5"/>
    </row>
    <row r="48" spans="1:22" ht="15.6" x14ac:dyDescent="0.3">
      <c r="A48" s="284"/>
      <c r="B48" s="285" t="s">
        <v>289</v>
      </c>
      <c r="C48" s="285"/>
      <c r="D48" s="293" t="s">
        <v>208</v>
      </c>
      <c r="E48" s="285"/>
      <c r="F48" s="293" t="s">
        <v>232</v>
      </c>
      <c r="G48" s="293"/>
      <c r="H48" s="293" t="s">
        <v>232</v>
      </c>
      <c r="I48" s="293"/>
      <c r="J48" s="293" t="s">
        <v>234</v>
      </c>
      <c r="K48" s="293"/>
      <c r="L48" s="293" t="s">
        <v>245</v>
      </c>
      <c r="M48" s="293"/>
      <c r="N48" s="293" t="s">
        <v>247</v>
      </c>
      <c r="O48" s="293"/>
      <c r="P48" s="293"/>
      <c r="Q48" s="285"/>
      <c r="R48" s="285"/>
      <c r="S48" s="285"/>
      <c r="T48" s="320"/>
      <c r="U48" s="288"/>
      <c r="V48" s="5"/>
    </row>
    <row r="49" spans="1:23" ht="15.6" x14ac:dyDescent="0.3">
      <c r="A49" s="284"/>
      <c r="B49" s="285"/>
      <c r="C49" s="285"/>
      <c r="D49" s="293"/>
      <c r="E49" s="285"/>
      <c r="F49" s="293"/>
      <c r="G49" s="293"/>
      <c r="H49" s="293"/>
      <c r="I49" s="293"/>
      <c r="J49" s="293"/>
      <c r="K49" s="293"/>
      <c r="L49" s="293"/>
      <c r="M49" s="293"/>
      <c r="N49" s="293"/>
      <c r="O49" s="293"/>
      <c r="P49" s="293"/>
      <c r="Q49" s="285"/>
      <c r="R49" s="285"/>
      <c r="S49" s="285"/>
      <c r="T49" s="320" t="s">
        <v>201</v>
      </c>
      <c r="U49" s="288"/>
      <c r="V49" s="5"/>
    </row>
    <row r="50" spans="1:23" ht="15.6" x14ac:dyDescent="0.3">
      <c r="A50" s="284"/>
      <c r="B50" s="285" t="s">
        <v>176</v>
      </c>
      <c r="C50" s="285"/>
      <c r="D50" s="293"/>
      <c r="E50" s="285"/>
      <c r="F50" s="293"/>
      <c r="G50" s="293"/>
      <c r="H50" s="293"/>
      <c r="I50" s="293"/>
      <c r="J50" s="293"/>
      <c r="K50" s="293"/>
      <c r="L50" s="293"/>
      <c r="M50" s="293"/>
      <c r="N50" s="293"/>
      <c r="O50" s="293"/>
      <c r="P50" s="293"/>
      <c r="Q50" s="285"/>
      <c r="R50" s="285"/>
      <c r="S50" s="285"/>
      <c r="T50" s="320">
        <f>SUM(J34:P34)/SUM(D34:H34)</f>
        <v>0.15279804679664968</v>
      </c>
      <c r="U50" s="288"/>
      <c r="V50" s="5"/>
    </row>
    <row r="51" spans="1:23" ht="15.6" x14ac:dyDescent="0.3">
      <c r="A51" s="284"/>
      <c r="B51" s="285" t="s">
        <v>177</v>
      </c>
      <c r="C51" s="285"/>
      <c r="D51" s="285"/>
      <c r="E51" s="285"/>
      <c r="F51" s="325"/>
      <c r="G51" s="285"/>
      <c r="H51" s="285"/>
      <c r="I51" s="285"/>
      <c r="J51" s="285"/>
      <c r="K51" s="285"/>
      <c r="L51" s="285"/>
      <c r="M51" s="285"/>
      <c r="N51" s="285"/>
      <c r="O51" s="285"/>
      <c r="P51" s="285"/>
      <c r="Q51" s="285"/>
      <c r="R51" s="285"/>
      <c r="S51" s="285"/>
      <c r="T51" s="320">
        <f>SUM(J36:P36)/SUM(D36:H36)</f>
        <v>0.33263394447059136</v>
      </c>
      <c r="U51" s="288"/>
      <c r="V51" s="5"/>
    </row>
    <row r="52" spans="1:23" ht="15.6" x14ac:dyDescent="0.3">
      <c r="A52" s="284"/>
      <c r="B52" s="285" t="s">
        <v>178</v>
      </c>
      <c r="C52" s="285"/>
      <c r="D52" s="285"/>
      <c r="E52" s="285"/>
      <c r="F52" s="285"/>
      <c r="G52" s="285"/>
      <c r="H52" s="285"/>
      <c r="I52" s="285"/>
      <c r="J52" s="285"/>
      <c r="K52" s="285"/>
      <c r="L52" s="285"/>
      <c r="M52" s="285"/>
      <c r="N52" s="285"/>
      <c r="O52" s="285"/>
      <c r="P52" s="285"/>
      <c r="Q52" s="285"/>
      <c r="R52" s="293" t="s">
        <v>109</v>
      </c>
      <c r="S52" s="293" t="s">
        <v>115</v>
      </c>
      <c r="T52" s="296">
        <f>+T34/2-SUM(J34:P34)</f>
        <v>367473</v>
      </c>
      <c r="U52" s="288"/>
      <c r="V52" s="5"/>
    </row>
    <row r="53" spans="1:23" ht="15.6" x14ac:dyDescent="0.3">
      <c r="A53" s="284"/>
      <c r="B53" s="285"/>
      <c r="C53" s="285"/>
      <c r="D53" s="285"/>
      <c r="E53" s="285"/>
      <c r="F53" s="285"/>
      <c r="G53" s="285"/>
      <c r="H53" s="285"/>
      <c r="I53" s="285"/>
      <c r="J53" s="285"/>
      <c r="K53" s="285"/>
      <c r="L53" s="285"/>
      <c r="M53" s="285"/>
      <c r="N53" s="285"/>
      <c r="O53" s="285"/>
      <c r="P53" s="285"/>
      <c r="Q53" s="285"/>
      <c r="R53" s="285"/>
      <c r="S53" s="285"/>
      <c r="T53" s="326"/>
      <c r="U53" s="288"/>
      <c r="V53" s="5"/>
    </row>
    <row r="54" spans="1:23" ht="15.6" x14ac:dyDescent="0.3">
      <c r="A54" s="284"/>
      <c r="B54" s="285" t="s">
        <v>211</v>
      </c>
      <c r="C54" s="285"/>
      <c r="D54" s="285"/>
      <c r="E54" s="285"/>
      <c r="F54" s="285"/>
      <c r="G54" s="285"/>
      <c r="H54" s="285"/>
      <c r="I54" s="285"/>
      <c r="J54" s="285"/>
      <c r="K54" s="285"/>
      <c r="L54" s="285"/>
      <c r="M54" s="285"/>
      <c r="N54" s="285"/>
      <c r="O54" s="285"/>
      <c r="P54" s="285"/>
      <c r="Q54" s="285"/>
      <c r="R54" s="285"/>
      <c r="S54" s="285"/>
      <c r="T54" s="327" t="s">
        <v>212</v>
      </c>
      <c r="U54" s="288"/>
      <c r="V54" s="5"/>
    </row>
    <row r="55" spans="1:23" ht="15.6" x14ac:dyDescent="0.3">
      <c r="A55" s="284"/>
      <c r="B55" s="285" t="s">
        <v>253</v>
      </c>
      <c r="C55" s="285"/>
      <c r="D55" s="285"/>
      <c r="E55" s="285"/>
      <c r="F55" s="285"/>
      <c r="G55" s="285"/>
      <c r="H55" s="285"/>
      <c r="I55" s="285"/>
      <c r="J55" s="285"/>
      <c r="K55" s="285"/>
      <c r="L55" s="285"/>
      <c r="M55" s="285"/>
      <c r="N55" s="285"/>
      <c r="O55" s="285"/>
      <c r="P55" s="285"/>
      <c r="Q55" s="285"/>
      <c r="R55" s="293"/>
      <c r="S55" s="293"/>
      <c r="T55" s="328" t="s">
        <v>117</v>
      </c>
      <c r="U55" s="288"/>
      <c r="V55" s="5"/>
    </row>
    <row r="56" spans="1:23" ht="15.6" x14ac:dyDescent="0.3">
      <c r="A56" s="284"/>
      <c r="B56" s="292" t="s">
        <v>210</v>
      </c>
      <c r="C56" s="292"/>
      <c r="D56" s="292"/>
      <c r="E56" s="292"/>
      <c r="F56" s="292"/>
      <c r="G56" s="292"/>
      <c r="H56" s="292"/>
      <c r="I56" s="292"/>
      <c r="J56" s="292"/>
      <c r="K56" s="292"/>
      <c r="L56" s="292"/>
      <c r="M56" s="292"/>
      <c r="N56" s="292"/>
      <c r="O56" s="292"/>
      <c r="P56" s="292"/>
      <c r="Q56" s="292"/>
      <c r="R56" s="329"/>
      <c r="S56" s="329"/>
      <c r="T56" s="330">
        <v>41744</v>
      </c>
      <c r="U56" s="288"/>
      <c r="V56" s="5"/>
    </row>
    <row r="57" spans="1:23" ht="15.6" x14ac:dyDescent="0.3">
      <c r="A57" s="284"/>
      <c r="B57" s="285" t="s">
        <v>127</v>
      </c>
      <c r="C57" s="285"/>
      <c r="D57" s="285"/>
      <c r="E57" s="285"/>
      <c r="F57" s="285"/>
      <c r="G57" s="285"/>
      <c r="H57" s="331"/>
      <c r="I57" s="331"/>
      <c r="J57" s="331"/>
      <c r="K57" s="331"/>
      <c r="L57" s="331"/>
      <c r="M57" s="331"/>
      <c r="N57" s="331"/>
      <c r="O57" s="331"/>
      <c r="P57" s="285">
        <f>+T57-R57+1</f>
        <v>92</v>
      </c>
      <c r="Q57" s="331"/>
      <c r="R57" s="332">
        <v>41562</v>
      </c>
      <c r="S57" s="333"/>
      <c r="T57" s="332">
        <v>41653</v>
      </c>
      <c r="U57" s="288"/>
      <c r="V57" s="5"/>
    </row>
    <row r="58" spans="1:23" ht="15.6" x14ac:dyDescent="0.3">
      <c r="A58" s="284"/>
      <c r="B58" s="285" t="s">
        <v>128</v>
      </c>
      <c r="C58" s="285"/>
      <c r="D58" s="285"/>
      <c r="E58" s="285"/>
      <c r="F58" s="285"/>
      <c r="G58" s="285"/>
      <c r="H58" s="285"/>
      <c r="I58" s="285"/>
      <c r="J58" s="285"/>
      <c r="K58" s="285"/>
      <c r="L58" s="285"/>
      <c r="M58" s="285"/>
      <c r="N58" s="285"/>
      <c r="O58" s="285"/>
      <c r="P58" s="285">
        <f>+T58-R58+1</f>
        <v>90</v>
      </c>
      <c r="Q58" s="285"/>
      <c r="R58" s="332">
        <v>41654</v>
      </c>
      <c r="S58" s="333"/>
      <c r="T58" s="332">
        <v>41743</v>
      </c>
      <c r="U58" s="288"/>
      <c r="V58" s="5"/>
    </row>
    <row r="59" spans="1:23" ht="15.6" x14ac:dyDescent="0.3">
      <c r="A59" s="284"/>
      <c r="B59" s="285" t="s">
        <v>209</v>
      </c>
      <c r="C59" s="285"/>
      <c r="D59" s="285"/>
      <c r="E59" s="285"/>
      <c r="F59" s="285"/>
      <c r="G59" s="285"/>
      <c r="H59" s="285"/>
      <c r="I59" s="285"/>
      <c r="J59" s="285"/>
      <c r="K59" s="285"/>
      <c r="L59" s="285"/>
      <c r="M59" s="285"/>
      <c r="N59" s="285"/>
      <c r="O59" s="285"/>
      <c r="P59" s="285"/>
      <c r="Q59" s="285"/>
      <c r="R59" s="332"/>
      <c r="S59" s="333"/>
      <c r="T59" s="332" t="s">
        <v>126</v>
      </c>
      <c r="U59" s="288"/>
      <c r="V59" s="5"/>
    </row>
    <row r="60" spans="1:23" ht="15.6" x14ac:dyDescent="0.3">
      <c r="A60" s="284"/>
      <c r="B60" s="285" t="s">
        <v>249</v>
      </c>
      <c r="C60" s="285"/>
      <c r="D60" s="285"/>
      <c r="E60" s="285"/>
      <c r="F60" s="285"/>
      <c r="G60" s="285"/>
      <c r="H60" s="285"/>
      <c r="I60" s="285"/>
      <c r="J60" s="285"/>
      <c r="K60" s="285"/>
      <c r="L60" s="285"/>
      <c r="M60" s="285"/>
      <c r="N60" s="285"/>
      <c r="O60" s="285"/>
      <c r="P60" s="285"/>
      <c r="Q60" s="285"/>
      <c r="R60" s="332"/>
      <c r="S60" s="333"/>
      <c r="T60" s="332" t="s">
        <v>160</v>
      </c>
      <c r="U60" s="288"/>
      <c r="V60" s="5"/>
      <c r="W60" s="134"/>
    </row>
    <row r="61" spans="1:23" ht="15.6" x14ac:dyDescent="0.3">
      <c r="A61" s="284"/>
      <c r="B61" s="285" t="s">
        <v>16</v>
      </c>
      <c r="C61" s="285"/>
      <c r="D61" s="285"/>
      <c r="E61" s="285"/>
      <c r="F61" s="285"/>
      <c r="G61" s="285"/>
      <c r="H61" s="285"/>
      <c r="I61" s="285"/>
      <c r="J61" s="285"/>
      <c r="K61" s="285"/>
      <c r="L61" s="285"/>
      <c r="M61" s="285"/>
      <c r="N61" s="285"/>
      <c r="O61" s="285"/>
      <c r="P61" s="285"/>
      <c r="Q61" s="285"/>
      <c r="R61" s="332"/>
      <c r="S61" s="333"/>
      <c r="T61" s="332">
        <v>41730</v>
      </c>
      <c r="U61" s="288"/>
      <c r="V61" s="5"/>
    </row>
    <row r="62" spans="1:23" ht="15.6" x14ac:dyDescent="0.3">
      <c r="A62" s="175"/>
      <c r="B62" s="281"/>
      <c r="C62" s="281"/>
      <c r="D62" s="281"/>
      <c r="E62" s="281"/>
      <c r="F62" s="281"/>
      <c r="G62" s="281"/>
      <c r="H62" s="281"/>
      <c r="I62" s="281"/>
      <c r="J62" s="281"/>
      <c r="K62" s="281"/>
      <c r="L62" s="281"/>
      <c r="M62" s="281"/>
      <c r="N62" s="281"/>
      <c r="O62" s="281"/>
      <c r="P62" s="281"/>
      <c r="Q62" s="281"/>
      <c r="R62" s="282"/>
      <c r="S62" s="283"/>
      <c r="T62" s="282"/>
      <c r="U62" s="281"/>
      <c r="V62" s="5"/>
    </row>
    <row r="63" spans="1:23" ht="15.6" x14ac:dyDescent="0.3">
      <c r="A63" s="175"/>
      <c r="B63" s="231"/>
      <c r="C63" s="231"/>
      <c r="D63" s="231"/>
      <c r="E63" s="231"/>
      <c r="F63" s="231"/>
      <c r="G63" s="231"/>
      <c r="H63" s="231"/>
      <c r="I63" s="231"/>
      <c r="J63" s="231"/>
      <c r="K63" s="231"/>
      <c r="L63" s="231"/>
      <c r="M63" s="231"/>
      <c r="N63" s="231"/>
      <c r="O63" s="231"/>
      <c r="P63" s="231"/>
      <c r="Q63" s="231"/>
      <c r="R63" s="244"/>
      <c r="S63" s="245"/>
      <c r="T63" s="244"/>
      <c r="U63" s="231"/>
      <c r="V63" s="5"/>
    </row>
    <row r="64" spans="1:23" ht="18" thickBot="1" x14ac:dyDescent="0.35">
      <c r="A64" s="192"/>
      <c r="B64" s="246" t="s">
        <v>321</v>
      </c>
      <c r="C64" s="247"/>
      <c r="D64" s="247"/>
      <c r="E64" s="247"/>
      <c r="F64" s="247"/>
      <c r="G64" s="247"/>
      <c r="H64" s="247"/>
      <c r="I64" s="247"/>
      <c r="J64" s="247"/>
      <c r="K64" s="247"/>
      <c r="L64" s="247"/>
      <c r="M64" s="247"/>
      <c r="N64" s="247"/>
      <c r="O64" s="247"/>
      <c r="P64" s="247"/>
      <c r="Q64" s="247"/>
      <c r="R64" s="247"/>
      <c r="S64" s="247"/>
      <c r="T64" s="248"/>
      <c r="U64" s="249"/>
      <c r="V64" s="5"/>
    </row>
    <row r="65" spans="1:22" ht="15.6" x14ac:dyDescent="0.3">
      <c r="A65" s="222"/>
      <c r="B65" s="395" t="s">
        <v>17</v>
      </c>
      <c r="C65" s="223"/>
      <c r="D65" s="223"/>
      <c r="E65" s="223"/>
      <c r="F65" s="223"/>
      <c r="G65" s="223"/>
      <c r="H65" s="223"/>
      <c r="I65" s="223"/>
      <c r="J65" s="223"/>
      <c r="K65" s="223"/>
      <c r="L65" s="223"/>
      <c r="M65" s="223"/>
      <c r="N65" s="223"/>
      <c r="O65" s="223"/>
      <c r="P65" s="223"/>
      <c r="Q65" s="223"/>
      <c r="R65" s="223"/>
      <c r="S65" s="223"/>
      <c r="T65" s="250"/>
      <c r="U65" s="223"/>
      <c r="V65" s="5"/>
    </row>
    <row r="66" spans="1:22" ht="15.6" x14ac:dyDescent="0.3">
      <c r="A66" s="175"/>
      <c r="B66" s="183"/>
      <c r="C66" s="177"/>
      <c r="D66" s="177"/>
      <c r="E66" s="177"/>
      <c r="F66" s="177"/>
      <c r="G66" s="177"/>
      <c r="H66" s="177"/>
      <c r="I66" s="177"/>
      <c r="J66" s="177"/>
      <c r="K66" s="177"/>
      <c r="L66" s="177"/>
      <c r="M66" s="177"/>
      <c r="N66" s="177"/>
      <c r="O66" s="177"/>
      <c r="P66" s="177"/>
      <c r="Q66" s="177"/>
      <c r="R66" s="177"/>
      <c r="S66" s="177"/>
      <c r="T66" s="194"/>
      <c r="U66" s="177"/>
      <c r="V66" s="5"/>
    </row>
    <row r="67" spans="1:22" ht="46.8" x14ac:dyDescent="0.3">
      <c r="A67" s="175"/>
      <c r="B67" s="195" t="s">
        <v>18</v>
      </c>
      <c r="C67" s="196"/>
      <c r="D67" s="196"/>
      <c r="E67" s="196"/>
      <c r="F67" s="196"/>
      <c r="G67" s="196"/>
      <c r="H67" s="196"/>
      <c r="I67" s="196"/>
      <c r="J67" s="196" t="s">
        <v>97</v>
      </c>
      <c r="K67" s="196"/>
      <c r="L67" s="196" t="s">
        <v>99</v>
      </c>
      <c r="M67" s="196"/>
      <c r="N67" s="196" t="s">
        <v>101</v>
      </c>
      <c r="O67" s="196"/>
      <c r="P67" s="196" t="s">
        <v>103</v>
      </c>
      <c r="Q67" s="196"/>
      <c r="R67" s="196" t="s">
        <v>110</v>
      </c>
      <c r="S67" s="196"/>
      <c r="T67" s="197" t="s">
        <v>118</v>
      </c>
      <c r="U67" s="198"/>
      <c r="V67" s="5"/>
    </row>
    <row r="68" spans="1:22" ht="15.6" x14ac:dyDescent="0.3">
      <c r="A68" s="337"/>
      <c r="B68" s="285" t="s">
        <v>19</v>
      </c>
      <c r="C68" s="338"/>
      <c r="D68" s="338"/>
      <c r="E68" s="338"/>
      <c r="F68" s="338"/>
      <c r="G68" s="338"/>
      <c r="H68" s="338"/>
      <c r="I68" s="338"/>
      <c r="J68" s="338">
        <v>1000039</v>
      </c>
      <c r="K68" s="338"/>
      <c r="L68" s="339">
        <v>534843</v>
      </c>
      <c r="M68" s="338"/>
      <c r="N68" s="338">
        <f>3798+175+117</f>
        <v>4090</v>
      </c>
      <c r="O68" s="338"/>
      <c r="P68" s="338">
        <f>175+117</f>
        <v>292</v>
      </c>
      <c r="Q68" s="338"/>
      <c r="R68" s="338">
        <v>0</v>
      </c>
      <c r="S68" s="338"/>
      <c r="T68" s="339">
        <f>+L68-N68+P68-R68</f>
        <v>531045</v>
      </c>
      <c r="U68" s="288"/>
      <c r="V68" s="5"/>
    </row>
    <row r="69" spans="1:22" ht="15.6" x14ac:dyDescent="0.3">
      <c r="A69" s="337"/>
      <c r="B69" s="285" t="s">
        <v>20</v>
      </c>
      <c r="C69" s="338"/>
      <c r="D69" s="338"/>
      <c r="E69" s="338"/>
      <c r="F69" s="338"/>
      <c r="G69" s="338"/>
      <c r="H69" s="338"/>
      <c r="I69" s="338"/>
      <c r="J69" s="338">
        <v>10</v>
      </c>
      <c r="K69" s="338"/>
      <c r="L69" s="339">
        <v>0</v>
      </c>
      <c r="M69" s="338"/>
      <c r="N69" s="338">
        <v>0</v>
      </c>
      <c r="O69" s="338"/>
      <c r="P69" s="338">
        <v>0</v>
      </c>
      <c r="Q69" s="338"/>
      <c r="R69" s="338">
        <v>0</v>
      </c>
      <c r="S69" s="338"/>
      <c r="T69" s="339">
        <v>0</v>
      </c>
      <c r="U69" s="288"/>
      <c r="V69" s="5"/>
    </row>
    <row r="70" spans="1:22" ht="15.6" x14ac:dyDescent="0.3">
      <c r="A70" s="337"/>
      <c r="B70" s="285"/>
      <c r="C70" s="338"/>
      <c r="D70" s="338"/>
      <c r="E70" s="338"/>
      <c r="F70" s="338"/>
      <c r="G70" s="338"/>
      <c r="H70" s="338"/>
      <c r="I70" s="338"/>
      <c r="J70" s="338"/>
      <c r="K70" s="338"/>
      <c r="L70" s="339"/>
      <c r="M70" s="338"/>
      <c r="N70" s="338"/>
      <c r="O70" s="338"/>
      <c r="P70" s="338"/>
      <c r="Q70" s="338"/>
      <c r="R70" s="338"/>
      <c r="S70" s="338"/>
      <c r="T70" s="339"/>
      <c r="U70" s="288"/>
      <c r="V70" s="5"/>
    </row>
    <row r="71" spans="1:22" ht="15.6" x14ac:dyDescent="0.3">
      <c r="A71" s="337"/>
      <c r="B71" s="285" t="s">
        <v>21</v>
      </c>
      <c r="C71" s="338"/>
      <c r="D71" s="338"/>
      <c r="E71" s="338"/>
      <c r="F71" s="338"/>
      <c r="G71" s="338"/>
      <c r="H71" s="338"/>
      <c r="I71" s="338"/>
      <c r="J71" s="338">
        <f>SUM(J68:J70)</f>
        <v>1000049</v>
      </c>
      <c r="K71" s="338"/>
      <c r="L71" s="338">
        <f>L68+L69</f>
        <v>534843</v>
      </c>
      <c r="M71" s="338"/>
      <c r="N71" s="338">
        <f>SUM(N68:N70)</f>
        <v>4090</v>
      </c>
      <c r="O71" s="338"/>
      <c r="P71" s="338">
        <f>SUM(P68:P70)</f>
        <v>292</v>
      </c>
      <c r="Q71" s="338"/>
      <c r="R71" s="338">
        <f>SUM(R68:R70)</f>
        <v>0</v>
      </c>
      <c r="S71" s="338"/>
      <c r="T71" s="338">
        <f>SUM(T68:T70)</f>
        <v>531045</v>
      </c>
      <c r="U71" s="288"/>
      <c r="V71" s="5"/>
    </row>
    <row r="72" spans="1:22" ht="15.6" x14ac:dyDescent="0.3">
      <c r="A72" s="175"/>
      <c r="B72" s="334"/>
      <c r="C72" s="335"/>
      <c r="D72" s="335"/>
      <c r="E72" s="335"/>
      <c r="F72" s="335"/>
      <c r="G72" s="335"/>
      <c r="H72" s="335"/>
      <c r="I72" s="335"/>
      <c r="J72" s="335"/>
      <c r="K72" s="335"/>
      <c r="L72" s="335"/>
      <c r="M72" s="335"/>
      <c r="N72" s="335"/>
      <c r="O72" s="335"/>
      <c r="P72" s="335"/>
      <c r="Q72" s="335"/>
      <c r="R72" s="335"/>
      <c r="S72" s="335"/>
      <c r="T72" s="336"/>
      <c r="U72" s="334"/>
      <c r="V72" s="5"/>
    </row>
    <row r="73" spans="1:22" ht="15.6" x14ac:dyDescent="0.3">
      <c r="A73" s="175"/>
      <c r="B73" s="179" t="s">
        <v>22</v>
      </c>
      <c r="C73" s="199"/>
      <c r="D73" s="199"/>
      <c r="E73" s="199"/>
      <c r="F73" s="199"/>
      <c r="G73" s="199"/>
      <c r="H73" s="199"/>
      <c r="I73" s="199"/>
      <c r="J73" s="199"/>
      <c r="K73" s="199"/>
      <c r="L73" s="199"/>
      <c r="M73" s="199"/>
      <c r="N73" s="199"/>
      <c r="O73" s="199"/>
      <c r="P73" s="199"/>
      <c r="Q73" s="199"/>
      <c r="R73" s="199"/>
      <c r="S73" s="199"/>
      <c r="T73" s="200"/>
      <c r="U73" s="177"/>
      <c r="V73" s="5"/>
    </row>
    <row r="74" spans="1:22" ht="15.6" x14ac:dyDescent="0.3">
      <c r="A74" s="175"/>
      <c r="B74" s="177"/>
      <c r="C74" s="199"/>
      <c r="D74" s="199"/>
      <c r="E74" s="199"/>
      <c r="F74" s="199"/>
      <c r="G74" s="199"/>
      <c r="H74" s="199"/>
      <c r="I74" s="199"/>
      <c r="J74" s="199"/>
      <c r="K74" s="199"/>
      <c r="L74" s="199"/>
      <c r="M74" s="199"/>
      <c r="N74" s="199"/>
      <c r="O74" s="199"/>
      <c r="P74" s="199"/>
      <c r="Q74" s="199"/>
      <c r="R74" s="199"/>
      <c r="S74" s="199"/>
      <c r="T74" s="200"/>
      <c r="U74" s="177"/>
      <c r="V74" s="5"/>
    </row>
    <row r="75" spans="1:22" ht="15.6" x14ac:dyDescent="0.3">
      <c r="A75" s="284"/>
      <c r="B75" s="285" t="s">
        <v>19</v>
      </c>
      <c r="C75" s="338"/>
      <c r="D75" s="338"/>
      <c r="E75" s="338"/>
      <c r="F75" s="338"/>
      <c r="G75" s="338"/>
      <c r="H75" s="338"/>
      <c r="I75" s="338"/>
      <c r="J75" s="338"/>
      <c r="K75" s="338"/>
      <c r="L75" s="338"/>
      <c r="M75" s="338"/>
      <c r="N75" s="338"/>
      <c r="O75" s="338"/>
      <c r="P75" s="338"/>
      <c r="Q75" s="338"/>
      <c r="R75" s="338"/>
      <c r="S75" s="338"/>
      <c r="T75" s="338"/>
      <c r="U75" s="288"/>
      <c r="V75" s="5"/>
    </row>
    <row r="76" spans="1:22" ht="15.6" x14ac:dyDescent="0.3">
      <c r="A76" s="284"/>
      <c r="B76" s="285" t="s">
        <v>20</v>
      </c>
      <c r="C76" s="338"/>
      <c r="D76" s="338"/>
      <c r="E76" s="338"/>
      <c r="F76" s="338"/>
      <c r="G76" s="338"/>
      <c r="H76" s="338"/>
      <c r="I76" s="338"/>
      <c r="J76" s="338"/>
      <c r="K76" s="338"/>
      <c r="L76" s="338"/>
      <c r="M76" s="338"/>
      <c r="N76" s="338"/>
      <c r="O76" s="338"/>
      <c r="P76" s="338"/>
      <c r="Q76" s="338"/>
      <c r="R76" s="338"/>
      <c r="S76" s="338"/>
      <c r="T76" s="338"/>
      <c r="U76" s="288"/>
      <c r="V76" s="5"/>
    </row>
    <row r="77" spans="1:22" ht="15.6" x14ac:dyDescent="0.3">
      <c r="A77" s="284"/>
      <c r="B77" s="285"/>
      <c r="C77" s="338"/>
      <c r="D77" s="338"/>
      <c r="E77" s="338"/>
      <c r="F77" s="338"/>
      <c r="G77" s="338"/>
      <c r="H77" s="338"/>
      <c r="I77" s="338"/>
      <c r="J77" s="338"/>
      <c r="K77" s="338"/>
      <c r="L77" s="338"/>
      <c r="M77" s="338"/>
      <c r="N77" s="338"/>
      <c r="O77" s="338"/>
      <c r="P77" s="338"/>
      <c r="Q77" s="338"/>
      <c r="R77" s="338"/>
      <c r="S77" s="338"/>
      <c r="T77" s="338"/>
      <c r="U77" s="288"/>
      <c r="V77" s="5"/>
    </row>
    <row r="78" spans="1:22" ht="15.6" x14ac:dyDescent="0.3">
      <c r="A78" s="284"/>
      <c r="B78" s="285" t="s">
        <v>21</v>
      </c>
      <c r="C78" s="338"/>
      <c r="D78" s="338"/>
      <c r="E78" s="338"/>
      <c r="F78" s="338"/>
      <c r="G78" s="338"/>
      <c r="H78" s="338"/>
      <c r="I78" s="338"/>
      <c r="J78" s="338"/>
      <c r="K78" s="338"/>
      <c r="L78" s="338"/>
      <c r="M78" s="338"/>
      <c r="N78" s="338"/>
      <c r="O78" s="338"/>
      <c r="P78" s="338"/>
      <c r="Q78" s="338"/>
      <c r="R78" s="338"/>
      <c r="S78" s="338"/>
      <c r="T78" s="338"/>
      <c r="U78" s="288"/>
      <c r="V78" s="5"/>
    </row>
    <row r="79" spans="1:22" ht="15.6" x14ac:dyDescent="0.3">
      <c r="A79" s="284"/>
      <c r="B79" s="285"/>
      <c r="C79" s="338"/>
      <c r="D79" s="338"/>
      <c r="E79" s="338"/>
      <c r="F79" s="338"/>
      <c r="G79" s="338"/>
      <c r="H79" s="338"/>
      <c r="I79" s="338"/>
      <c r="J79" s="338"/>
      <c r="K79" s="338"/>
      <c r="L79" s="338"/>
      <c r="M79" s="338"/>
      <c r="N79" s="338"/>
      <c r="O79" s="338"/>
      <c r="P79" s="338"/>
      <c r="Q79" s="338"/>
      <c r="R79" s="338"/>
      <c r="S79" s="338"/>
      <c r="T79" s="338"/>
      <c r="U79" s="288"/>
      <c r="V79" s="5"/>
    </row>
    <row r="80" spans="1:22" ht="15.6" x14ac:dyDescent="0.3">
      <c r="A80" s="284"/>
      <c r="B80" s="285" t="s">
        <v>23</v>
      </c>
      <c r="C80" s="338"/>
      <c r="D80" s="338"/>
      <c r="E80" s="338"/>
      <c r="F80" s="338"/>
      <c r="G80" s="338"/>
      <c r="H80" s="338"/>
      <c r="I80" s="338"/>
      <c r="J80" s="338">
        <v>0</v>
      </c>
      <c r="K80" s="338"/>
      <c r="L80" s="338">
        <v>0</v>
      </c>
      <c r="M80" s="338"/>
      <c r="N80" s="338"/>
      <c r="O80" s="338"/>
      <c r="P80" s="338"/>
      <c r="Q80" s="338"/>
      <c r="R80" s="338"/>
      <c r="S80" s="338"/>
      <c r="T80" s="339">
        <v>0</v>
      </c>
      <c r="U80" s="288"/>
      <c r="V80" s="5"/>
    </row>
    <row r="81" spans="1:22" ht="15.6" x14ac:dyDescent="0.3">
      <c r="A81" s="284"/>
      <c r="B81" s="285" t="s">
        <v>123</v>
      </c>
      <c r="C81" s="338"/>
      <c r="D81" s="338"/>
      <c r="E81" s="338"/>
      <c r="F81" s="338"/>
      <c r="G81" s="338"/>
      <c r="H81" s="338"/>
      <c r="I81" s="338"/>
      <c r="J81" s="338">
        <v>0</v>
      </c>
      <c r="K81" s="338"/>
      <c r="L81" s="338">
        <v>0</v>
      </c>
      <c r="M81" s="338"/>
      <c r="N81" s="338"/>
      <c r="O81" s="338"/>
      <c r="P81" s="338"/>
      <c r="Q81" s="338"/>
      <c r="R81" s="338"/>
      <c r="S81" s="338"/>
      <c r="T81" s="338">
        <f>SUM(J81:P81)</f>
        <v>0</v>
      </c>
      <c r="U81" s="288"/>
      <c r="V81" s="5"/>
    </row>
    <row r="82" spans="1:22" ht="15.6" x14ac:dyDescent="0.3">
      <c r="A82" s="284"/>
      <c r="B82" s="285" t="s">
        <v>152</v>
      </c>
      <c r="C82" s="338"/>
      <c r="D82" s="338"/>
      <c r="E82" s="338"/>
      <c r="F82" s="338"/>
      <c r="G82" s="338"/>
      <c r="H82" s="338"/>
      <c r="I82" s="338"/>
      <c r="J82" s="338">
        <v>1</v>
      </c>
      <c r="K82" s="338"/>
      <c r="L82" s="338">
        <v>0</v>
      </c>
      <c r="M82" s="338"/>
      <c r="N82" s="338">
        <v>0</v>
      </c>
      <c r="O82" s="338"/>
      <c r="P82" s="338"/>
      <c r="Q82" s="338"/>
      <c r="R82" s="338"/>
      <c r="S82" s="338"/>
      <c r="T82" s="338">
        <f>+L82+N82</f>
        <v>0</v>
      </c>
      <c r="U82" s="288"/>
      <c r="V82" s="5"/>
    </row>
    <row r="83" spans="1:22" ht="15.6" x14ac:dyDescent="0.3">
      <c r="A83" s="284"/>
      <c r="B83" s="285" t="s">
        <v>25</v>
      </c>
      <c r="C83" s="338"/>
      <c r="D83" s="338"/>
      <c r="E83" s="338"/>
      <c r="F83" s="338"/>
      <c r="G83" s="338"/>
      <c r="H83" s="338"/>
      <c r="I83" s="338"/>
      <c r="J83" s="338">
        <v>0</v>
      </c>
      <c r="K83" s="338"/>
      <c r="L83" s="338">
        <v>0</v>
      </c>
      <c r="M83" s="338"/>
      <c r="N83" s="338"/>
      <c r="O83" s="338"/>
      <c r="P83" s="338"/>
      <c r="Q83" s="338"/>
      <c r="R83" s="338"/>
      <c r="S83" s="338"/>
      <c r="T83" s="338">
        <v>0</v>
      </c>
      <c r="U83" s="288"/>
      <c r="V83" s="5"/>
    </row>
    <row r="84" spans="1:22" ht="15.6" x14ac:dyDescent="0.3">
      <c r="A84" s="284"/>
      <c r="B84" s="285" t="s">
        <v>26</v>
      </c>
      <c r="C84" s="338"/>
      <c r="D84" s="338"/>
      <c r="E84" s="338"/>
      <c r="F84" s="338"/>
      <c r="G84" s="338"/>
      <c r="H84" s="338"/>
      <c r="I84" s="338"/>
      <c r="J84" s="338">
        <f>SUM(J71:J83)</f>
        <v>1000050</v>
      </c>
      <c r="K84" s="338"/>
      <c r="L84" s="338">
        <f>SUM(L71:L83)</f>
        <v>534843</v>
      </c>
      <c r="M84" s="338"/>
      <c r="N84" s="338"/>
      <c r="O84" s="338"/>
      <c r="P84" s="338"/>
      <c r="Q84" s="338"/>
      <c r="R84" s="338"/>
      <c r="S84" s="338"/>
      <c r="T84" s="338">
        <f>SUM(T71:T83)</f>
        <v>531045</v>
      </c>
      <c r="U84" s="288"/>
      <c r="V84" s="5"/>
    </row>
    <row r="85" spans="1:22" ht="15.6" x14ac:dyDescent="0.3">
      <c r="A85" s="175"/>
      <c r="B85" s="334"/>
      <c r="C85" s="335"/>
      <c r="D85" s="335"/>
      <c r="E85" s="335"/>
      <c r="F85" s="335"/>
      <c r="G85" s="335"/>
      <c r="H85" s="335"/>
      <c r="I85" s="335"/>
      <c r="J85" s="335"/>
      <c r="K85" s="335"/>
      <c r="L85" s="335"/>
      <c r="M85" s="335"/>
      <c r="N85" s="335"/>
      <c r="O85" s="335"/>
      <c r="P85" s="335"/>
      <c r="Q85" s="335"/>
      <c r="R85" s="335"/>
      <c r="S85" s="335"/>
      <c r="T85" s="336"/>
      <c r="U85" s="334"/>
      <c r="V85" s="5"/>
    </row>
    <row r="86" spans="1:22" ht="15.6" x14ac:dyDescent="0.3">
      <c r="A86" s="175"/>
      <c r="B86" s="177"/>
      <c r="C86" s="177"/>
      <c r="D86" s="177"/>
      <c r="E86" s="177"/>
      <c r="F86" s="177"/>
      <c r="G86" s="177"/>
      <c r="H86" s="177"/>
      <c r="I86" s="177"/>
      <c r="J86" s="177"/>
      <c r="K86" s="177"/>
      <c r="L86" s="177"/>
      <c r="M86" s="177"/>
      <c r="N86" s="177"/>
      <c r="O86" s="177"/>
      <c r="P86" s="177"/>
      <c r="Q86" s="177"/>
      <c r="R86" s="177"/>
      <c r="S86" s="177"/>
      <c r="T86" s="177"/>
      <c r="U86" s="177"/>
      <c r="V86" s="5"/>
    </row>
    <row r="87" spans="1:22" ht="15.6" x14ac:dyDescent="0.3">
      <c r="A87" s="222"/>
      <c r="B87" s="395" t="s">
        <v>27</v>
      </c>
      <c r="C87" s="395"/>
      <c r="D87" s="395"/>
      <c r="E87" s="395"/>
      <c r="F87" s="395"/>
      <c r="G87" s="395"/>
      <c r="H87" s="396"/>
      <c r="I87" s="396"/>
      <c r="J87" s="397" t="s">
        <v>98</v>
      </c>
      <c r="K87" s="396"/>
      <c r="L87" s="398">
        <f>+R194</f>
        <v>41729</v>
      </c>
      <c r="M87" s="396"/>
      <c r="N87" s="396"/>
      <c r="O87" s="396"/>
      <c r="P87" s="396"/>
      <c r="Q87" s="396"/>
      <c r="R87" s="396" t="s">
        <v>111</v>
      </c>
      <c r="S87" s="396"/>
      <c r="T87" s="396" t="s">
        <v>119</v>
      </c>
      <c r="U87" s="223"/>
      <c r="V87" s="5"/>
    </row>
    <row r="88" spans="1:22" ht="15.6" x14ac:dyDescent="0.3">
      <c r="A88" s="190"/>
      <c r="B88" s="239" t="s">
        <v>28</v>
      </c>
      <c r="C88" s="239"/>
      <c r="D88" s="239"/>
      <c r="E88" s="239"/>
      <c r="F88" s="239"/>
      <c r="G88" s="239"/>
      <c r="H88" s="239"/>
      <c r="I88" s="239"/>
      <c r="J88" s="239"/>
      <c r="K88" s="239"/>
      <c r="L88" s="239"/>
      <c r="M88" s="239"/>
      <c r="N88" s="239"/>
      <c r="O88" s="239"/>
      <c r="P88" s="239"/>
      <c r="Q88" s="239"/>
      <c r="R88" s="243">
        <v>0</v>
      </c>
      <c r="S88" s="239"/>
      <c r="T88" s="251">
        <v>0</v>
      </c>
      <c r="U88" s="239"/>
      <c r="V88" s="5"/>
    </row>
    <row r="89" spans="1:22" ht="15.6" x14ac:dyDescent="0.3">
      <c r="A89" s="284"/>
      <c r="B89" s="285" t="s">
        <v>29</v>
      </c>
      <c r="C89" s="285"/>
      <c r="D89" s="285"/>
      <c r="E89" s="285"/>
      <c r="F89" s="285"/>
      <c r="G89" s="285"/>
      <c r="H89" s="324"/>
      <c r="I89" s="341"/>
      <c r="J89" s="324"/>
      <c r="K89" s="285"/>
      <c r="L89" s="342"/>
      <c r="M89" s="285"/>
      <c r="N89" s="285"/>
      <c r="O89" s="285"/>
      <c r="P89" s="285"/>
      <c r="Q89" s="285"/>
      <c r="R89" s="338">
        <f>4090-117</f>
        <v>3973</v>
      </c>
      <c r="S89" s="285"/>
      <c r="T89" s="339"/>
      <c r="U89" s="288"/>
      <c r="V89" s="5"/>
    </row>
    <row r="90" spans="1:22" ht="15.6" x14ac:dyDescent="0.3">
      <c r="A90" s="284"/>
      <c r="B90" s="285" t="s">
        <v>225</v>
      </c>
      <c r="C90" s="285"/>
      <c r="D90" s="285"/>
      <c r="E90" s="285"/>
      <c r="F90" s="285"/>
      <c r="G90" s="285"/>
      <c r="H90" s="324"/>
      <c r="I90" s="341"/>
      <c r="J90" s="324"/>
      <c r="K90" s="285"/>
      <c r="L90" s="342"/>
      <c r="M90" s="285"/>
      <c r="N90" s="285"/>
      <c r="O90" s="285"/>
      <c r="P90" s="285"/>
      <c r="Q90" s="285"/>
      <c r="R90" s="338"/>
      <c r="S90" s="285"/>
      <c r="T90" s="339">
        <f>1874+2105-500-367</f>
        <v>3112</v>
      </c>
      <c r="U90" s="288"/>
      <c r="V90" s="5"/>
    </row>
    <row r="91" spans="1:22" ht="15.6" x14ac:dyDescent="0.3">
      <c r="A91" s="284"/>
      <c r="B91" s="285" t="s">
        <v>220</v>
      </c>
      <c r="C91" s="285"/>
      <c r="D91" s="285"/>
      <c r="E91" s="285"/>
      <c r="F91" s="285"/>
      <c r="G91" s="285"/>
      <c r="H91" s="324"/>
      <c r="I91" s="341"/>
      <c r="J91" s="324"/>
      <c r="K91" s="285"/>
      <c r="L91" s="342"/>
      <c r="M91" s="285"/>
      <c r="N91" s="285"/>
      <c r="O91" s="285"/>
      <c r="P91" s="285"/>
      <c r="Q91" s="285"/>
      <c r="R91" s="338"/>
      <c r="S91" s="285"/>
      <c r="T91" s="339">
        <f>9+37</f>
        <v>46</v>
      </c>
      <c r="U91" s="288"/>
      <c r="V91" s="5"/>
    </row>
    <row r="92" spans="1:22" ht="15.6" x14ac:dyDescent="0.3">
      <c r="A92" s="284"/>
      <c r="B92" s="285" t="s">
        <v>221</v>
      </c>
      <c r="C92" s="285"/>
      <c r="D92" s="285"/>
      <c r="E92" s="285"/>
      <c r="F92" s="285"/>
      <c r="G92" s="285"/>
      <c r="H92" s="324"/>
      <c r="I92" s="341"/>
      <c r="J92" s="324"/>
      <c r="K92" s="285"/>
      <c r="L92" s="342"/>
      <c r="M92" s="285"/>
      <c r="N92" s="285"/>
      <c r="O92" s="285"/>
      <c r="P92" s="285"/>
      <c r="Q92" s="285"/>
      <c r="R92" s="338"/>
      <c r="S92" s="285"/>
      <c r="T92" s="339">
        <v>27</v>
      </c>
      <c r="U92" s="288"/>
      <c r="V92" s="5"/>
    </row>
    <row r="93" spans="1:22" ht="15.6" x14ac:dyDescent="0.3">
      <c r="A93" s="284"/>
      <c r="B93" s="285" t="s">
        <v>261</v>
      </c>
      <c r="C93" s="285"/>
      <c r="D93" s="285"/>
      <c r="E93" s="285"/>
      <c r="F93" s="285"/>
      <c r="G93" s="285"/>
      <c r="H93" s="324"/>
      <c r="I93" s="341"/>
      <c r="J93" s="324"/>
      <c r="K93" s="285"/>
      <c r="L93" s="342"/>
      <c r="M93" s="285"/>
      <c r="N93" s="285"/>
      <c r="O93" s="285"/>
      <c r="P93" s="285"/>
      <c r="Q93" s="285"/>
      <c r="R93" s="338"/>
      <c r="S93" s="285"/>
      <c r="T93" s="339">
        <v>0</v>
      </c>
      <c r="U93" s="288"/>
      <c r="V93" s="5"/>
    </row>
    <row r="94" spans="1:22" ht="15.6" x14ac:dyDescent="0.3">
      <c r="A94" s="284"/>
      <c r="B94" s="285" t="s">
        <v>141</v>
      </c>
      <c r="C94" s="285"/>
      <c r="D94" s="285"/>
      <c r="E94" s="285"/>
      <c r="F94" s="285"/>
      <c r="G94" s="285"/>
      <c r="H94" s="285"/>
      <c r="I94" s="285"/>
      <c r="J94" s="285"/>
      <c r="K94" s="285"/>
      <c r="L94" s="285"/>
      <c r="M94" s="285"/>
      <c r="N94" s="285"/>
      <c r="O94" s="285"/>
      <c r="P94" s="285"/>
      <c r="Q94" s="285"/>
      <c r="R94" s="338"/>
      <c r="S94" s="285"/>
      <c r="T94" s="339">
        <v>0</v>
      </c>
      <c r="U94" s="288"/>
      <c r="V94" s="5"/>
    </row>
    <row r="95" spans="1:22" ht="15.6" x14ac:dyDescent="0.3">
      <c r="A95" s="284"/>
      <c r="B95" s="285" t="s">
        <v>250</v>
      </c>
      <c r="C95" s="285"/>
      <c r="D95" s="285"/>
      <c r="E95" s="285"/>
      <c r="F95" s="285"/>
      <c r="G95" s="285"/>
      <c r="H95" s="285"/>
      <c r="I95" s="285"/>
      <c r="J95" s="285"/>
      <c r="K95" s="285"/>
      <c r="L95" s="285"/>
      <c r="M95" s="285"/>
      <c r="N95" s="285"/>
      <c r="O95" s="285"/>
      <c r="P95" s="285"/>
      <c r="Q95" s="285"/>
      <c r="R95" s="338"/>
      <c r="S95" s="285"/>
      <c r="T95" s="339">
        <v>236</v>
      </c>
      <c r="U95" s="288"/>
      <c r="V95" s="5"/>
    </row>
    <row r="96" spans="1:22" ht="15.6" x14ac:dyDescent="0.3">
      <c r="A96" s="284"/>
      <c r="B96" s="285" t="s">
        <v>30</v>
      </c>
      <c r="C96" s="285"/>
      <c r="D96" s="285"/>
      <c r="E96" s="285"/>
      <c r="F96" s="285"/>
      <c r="G96" s="285"/>
      <c r="H96" s="285"/>
      <c r="I96" s="285"/>
      <c r="J96" s="285"/>
      <c r="K96" s="285"/>
      <c r="L96" s="285"/>
      <c r="M96" s="285"/>
      <c r="N96" s="285"/>
      <c r="O96" s="285"/>
      <c r="P96" s="285"/>
      <c r="Q96" s="285"/>
      <c r="R96" s="338">
        <f>SUM(R88:R95)</f>
        <v>3973</v>
      </c>
      <c r="S96" s="285"/>
      <c r="T96" s="338">
        <f>SUM(T88:T95)</f>
        <v>3421</v>
      </c>
      <c r="U96" s="288"/>
      <c r="V96" s="5"/>
    </row>
    <row r="97" spans="1:24" ht="15.6" x14ac:dyDescent="0.3">
      <c r="A97" s="284"/>
      <c r="B97" s="285" t="s">
        <v>168</v>
      </c>
      <c r="C97" s="285"/>
      <c r="D97" s="285"/>
      <c r="E97" s="285"/>
      <c r="F97" s="285"/>
      <c r="G97" s="285"/>
      <c r="H97" s="285"/>
      <c r="I97" s="285"/>
      <c r="J97" s="285"/>
      <c r="K97" s="285"/>
      <c r="L97" s="285"/>
      <c r="M97" s="285"/>
      <c r="N97" s="285"/>
      <c r="O97" s="285"/>
      <c r="P97" s="285"/>
      <c r="Q97" s="285"/>
      <c r="R97" s="338">
        <v>0</v>
      </c>
      <c r="S97" s="285"/>
      <c r="T97" s="338">
        <f>-R97</f>
        <v>0</v>
      </c>
      <c r="U97" s="288"/>
      <c r="V97" s="5"/>
    </row>
    <row r="98" spans="1:24" ht="15.6" x14ac:dyDescent="0.3">
      <c r="A98" s="284"/>
      <c r="B98" s="285" t="s">
        <v>31</v>
      </c>
      <c r="C98" s="285"/>
      <c r="D98" s="285"/>
      <c r="E98" s="285"/>
      <c r="F98" s="285"/>
      <c r="G98" s="285"/>
      <c r="H98" s="285"/>
      <c r="I98" s="285"/>
      <c r="J98" s="285"/>
      <c r="K98" s="285"/>
      <c r="L98" s="285"/>
      <c r="M98" s="285"/>
      <c r="N98" s="285"/>
      <c r="O98" s="285"/>
      <c r="P98" s="285"/>
      <c r="Q98" s="285"/>
      <c r="R98" s="338">
        <f>-T98</f>
        <v>0</v>
      </c>
      <c r="S98" s="285"/>
      <c r="T98" s="339">
        <v>0</v>
      </c>
      <c r="U98" s="288"/>
      <c r="V98" s="5"/>
    </row>
    <row r="99" spans="1:24" ht="15.6" x14ac:dyDescent="0.3">
      <c r="A99" s="284"/>
      <c r="B99" s="285" t="s">
        <v>273</v>
      </c>
      <c r="C99" s="285"/>
      <c r="D99" s="285"/>
      <c r="E99" s="285"/>
      <c r="F99" s="285"/>
      <c r="G99" s="285"/>
      <c r="H99" s="285"/>
      <c r="I99" s="285"/>
      <c r="J99" s="285"/>
      <c r="K99" s="285"/>
      <c r="L99" s="285"/>
      <c r="M99" s="285"/>
      <c r="N99" s="285"/>
      <c r="O99" s="285"/>
      <c r="P99" s="285"/>
      <c r="Q99" s="285"/>
      <c r="R99" s="338"/>
      <c r="S99" s="285"/>
      <c r="T99" s="339">
        <v>-159</v>
      </c>
      <c r="U99" s="288"/>
      <c r="V99" s="5"/>
    </row>
    <row r="100" spans="1:24" ht="15.6" x14ac:dyDescent="0.3">
      <c r="A100" s="284"/>
      <c r="B100" s="285" t="s">
        <v>32</v>
      </c>
      <c r="C100" s="285"/>
      <c r="D100" s="285"/>
      <c r="E100" s="285"/>
      <c r="F100" s="285"/>
      <c r="G100" s="285"/>
      <c r="H100" s="285"/>
      <c r="I100" s="285"/>
      <c r="J100" s="285"/>
      <c r="K100" s="285"/>
      <c r="L100" s="285"/>
      <c r="M100" s="285"/>
      <c r="N100" s="285"/>
      <c r="O100" s="285"/>
      <c r="P100" s="285"/>
      <c r="Q100" s="285"/>
      <c r="R100" s="338">
        <f>R96+R98+R97</f>
        <v>3973</v>
      </c>
      <c r="S100" s="285"/>
      <c r="T100" s="338">
        <f>T96+T98+T97+T99</f>
        <v>3262</v>
      </c>
      <c r="U100" s="288"/>
      <c r="V100" s="5"/>
    </row>
    <row r="101" spans="1:24" ht="15.6" x14ac:dyDescent="0.3">
      <c r="A101" s="284"/>
      <c r="B101" s="343" t="s">
        <v>33</v>
      </c>
      <c r="C101" s="311"/>
      <c r="D101" s="311"/>
      <c r="E101" s="311"/>
      <c r="F101" s="311"/>
      <c r="G101" s="311"/>
      <c r="H101" s="311"/>
      <c r="I101" s="311"/>
      <c r="J101" s="311"/>
      <c r="K101" s="311"/>
      <c r="L101" s="311"/>
      <c r="M101" s="311"/>
      <c r="N101" s="311"/>
      <c r="O101" s="311"/>
      <c r="P101" s="311"/>
      <c r="Q101" s="311"/>
      <c r="R101" s="344"/>
      <c r="S101" s="311"/>
      <c r="T101" s="345"/>
      <c r="U101" s="317"/>
      <c r="V101" s="5"/>
    </row>
    <row r="102" spans="1:24" ht="15.6" x14ac:dyDescent="0.3">
      <c r="A102" s="337">
        <v>1</v>
      </c>
      <c r="B102" s="285" t="s">
        <v>34</v>
      </c>
      <c r="C102" s="285"/>
      <c r="D102" s="285"/>
      <c r="E102" s="285"/>
      <c r="F102" s="285"/>
      <c r="G102" s="285"/>
      <c r="H102" s="285"/>
      <c r="I102" s="285"/>
      <c r="J102" s="285"/>
      <c r="K102" s="285"/>
      <c r="L102" s="285"/>
      <c r="M102" s="285"/>
      <c r="N102" s="285"/>
      <c r="O102" s="285"/>
      <c r="P102" s="285"/>
      <c r="Q102" s="285"/>
      <c r="R102" s="285"/>
      <c r="S102" s="285"/>
      <c r="T102" s="339">
        <v>0</v>
      </c>
      <c r="U102" s="288"/>
      <c r="V102" s="5"/>
    </row>
    <row r="103" spans="1:24" ht="15.6" x14ac:dyDescent="0.3">
      <c r="A103" s="337">
        <f>+A102+1</f>
        <v>2</v>
      </c>
      <c r="B103" s="285" t="s">
        <v>312</v>
      </c>
      <c r="C103" s="285"/>
      <c r="D103" s="285"/>
      <c r="E103" s="285"/>
      <c r="F103" s="285"/>
      <c r="G103" s="285"/>
      <c r="H103" s="285"/>
      <c r="I103" s="285"/>
      <c r="J103" s="285"/>
      <c r="K103" s="285"/>
      <c r="L103" s="285"/>
      <c r="M103" s="285"/>
      <c r="N103" s="285"/>
      <c r="O103" s="285"/>
      <c r="P103" s="285"/>
      <c r="Q103" s="285"/>
      <c r="R103" s="285"/>
      <c r="S103" s="285"/>
      <c r="T103" s="339">
        <v>-2</v>
      </c>
      <c r="U103" s="288"/>
      <c r="V103" s="5"/>
    </row>
    <row r="104" spans="1:24" ht="15.6" x14ac:dyDescent="0.3">
      <c r="A104" s="337">
        <f>+A103+1</f>
        <v>3</v>
      </c>
      <c r="B104" s="407" t="s">
        <v>314</v>
      </c>
      <c r="C104" s="285"/>
      <c r="D104" s="285"/>
      <c r="E104" s="285"/>
      <c r="F104" s="285"/>
      <c r="G104" s="285"/>
      <c r="H104" s="285"/>
      <c r="I104" s="285"/>
      <c r="J104" s="285"/>
      <c r="K104" s="285"/>
      <c r="L104" s="285"/>
      <c r="M104" s="285"/>
      <c r="N104" s="285"/>
      <c r="O104" s="285"/>
      <c r="P104" s="285"/>
      <c r="Q104" s="285"/>
      <c r="R104" s="285"/>
      <c r="S104" s="285"/>
      <c r="T104" s="339">
        <f>-200-122-7</f>
        <v>-329</v>
      </c>
      <c r="U104" s="288"/>
      <c r="V104" s="5"/>
    </row>
    <row r="105" spans="1:24" ht="15.6" x14ac:dyDescent="0.3">
      <c r="A105" s="337" t="s">
        <v>133</v>
      </c>
      <c r="B105" s="285" t="s">
        <v>122</v>
      </c>
      <c r="C105" s="285"/>
      <c r="D105" s="285"/>
      <c r="E105" s="285"/>
      <c r="F105" s="285"/>
      <c r="G105" s="285"/>
      <c r="H105" s="285"/>
      <c r="I105" s="285"/>
      <c r="J105" s="285"/>
      <c r="K105" s="285"/>
      <c r="L105" s="285"/>
      <c r="M105" s="285"/>
      <c r="N105" s="285"/>
      <c r="O105" s="285"/>
      <c r="P105" s="285"/>
      <c r="Q105" s="285"/>
      <c r="R105" s="285"/>
      <c r="S105" s="285"/>
      <c r="T105" s="339">
        <v>0</v>
      </c>
      <c r="U105" s="288"/>
      <c r="V105" s="5"/>
    </row>
    <row r="106" spans="1:24" ht="15.6" x14ac:dyDescent="0.3">
      <c r="A106" s="337" t="s">
        <v>134</v>
      </c>
      <c r="B106" s="285" t="s">
        <v>194</v>
      </c>
      <c r="C106" s="285"/>
      <c r="D106" s="285"/>
      <c r="E106" s="285"/>
      <c r="F106" s="285"/>
      <c r="G106" s="285"/>
      <c r="H106" s="285"/>
      <c r="I106" s="285"/>
      <c r="J106" s="285"/>
      <c r="K106" s="285"/>
      <c r="L106" s="285"/>
      <c r="M106" s="285"/>
      <c r="N106" s="285"/>
      <c r="O106" s="285"/>
      <c r="P106" s="285"/>
      <c r="Q106" s="285"/>
      <c r="R106" s="285"/>
      <c r="S106" s="285"/>
      <c r="T106" s="339">
        <f>-678+130</f>
        <v>-548</v>
      </c>
      <c r="U106" s="288"/>
      <c r="V106" s="5"/>
      <c r="W106" s="109"/>
    </row>
    <row r="107" spans="1:24" ht="15.6" x14ac:dyDescent="0.3">
      <c r="A107" s="337" t="s">
        <v>156</v>
      </c>
      <c r="B107" s="285" t="s">
        <v>191</v>
      </c>
      <c r="C107" s="285"/>
      <c r="D107" s="285"/>
      <c r="E107" s="285"/>
      <c r="F107" s="285"/>
      <c r="G107" s="285"/>
      <c r="H107" s="285"/>
      <c r="I107" s="285"/>
      <c r="J107" s="285"/>
      <c r="K107" s="285"/>
      <c r="L107" s="285"/>
      <c r="M107" s="285"/>
      <c r="N107" s="285"/>
      <c r="O107" s="285"/>
      <c r="P107" s="285"/>
      <c r="Q107" s="285"/>
      <c r="R107" s="285"/>
      <c r="S107" s="285"/>
      <c r="T107" s="339">
        <v>-130</v>
      </c>
      <c r="U107" s="288"/>
      <c r="V107" s="5"/>
      <c r="W107" s="109"/>
    </row>
    <row r="108" spans="1:24" ht="15.6" x14ac:dyDescent="0.3">
      <c r="A108" s="337" t="s">
        <v>214</v>
      </c>
      <c r="B108" s="285" t="s">
        <v>192</v>
      </c>
      <c r="C108" s="285"/>
      <c r="D108" s="285"/>
      <c r="E108" s="285"/>
      <c r="F108" s="285"/>
      <c r="G108" s="285"/>
      <c r="H108" s="285"/>
      <c r="I108" s="285"/>
      <c r="J108" s="285"/>
      <c r="K108" s="285"/>
      <c r="L108" s="285"/>
      <c r="M108" s="285"/>
      <c r="N108" s="285"/>
      <c r="O108" s="285"/>
      <c r="P108" s="285"/>
      <c r="Q108" s="285"/>
      <c r="R108" s="285"/>
      <c r="S108" s="285"/>
      <c r="T108" s="339">
        <v>-144</v>
      </c>
      <c r="U108" s="288"/>
      <c r="V108" s="5"/>
      <c r="W108" s="109"/>
      <c r="X108" s="109"/>
    </row>
    <row r="109" spans="1:24" ht="15.6" x14ac:dyDescent="0.3">
      <c r="A109" s="337" t="s">
        <v>215</v>
      </c>
      <c r="B109" s="285" t="s">
        <v>193</v>
      </c>
      <c r="C109" s="285"/>
      <c r="D109" s="285"/>
      <c r="E109" s="285"/>
      <c r="F109" s="285"/>
      <c r="G109" s="285"/>
      <c r="H109" s="285"/>
      <c r="I109" s="285"/>
      <c r="J109" s="285"/>
      <c r="K109" s="285"/>
      <c r="L109" s="285"/>
      <c r="M109" s="285"/>
      <c r="N109" s="285"/>
      <c r="O109" s="285"/>
      <c r="P109" s="285"/>
      <c r="Q109" s="285"/>
      <c r="R109" s="285"/>
      <c r="S109" s="285"/>
      <c r="T109" s="339">
        <v>-39</v>
      </c>
      <c r="U109" s="288"/>
      <c r="V109" s="169"/>
      <c r="W109" s="109"/>
    </row>
    <row r="110" spans="1:24" ht="15.6" x14ac:dyDescent="0.3">
      <c r="A110" s="337" t="s">
        <v>216</v>
      </c>
      <c r="B110" s="285" t="s">
        <v>204</v>
      </c>
      <c r="C110" s="285"/>
      <c r="D110" s="285"/>
      <c r="E110" s="285"/>
      <c r="F110" s="285"/>
      <c r="G110" s="285"/>
      <c r="H110" s="285"/>
      <c r="I110" s="285"/>
      <c r="J110" s="285"/>
      <c r="K110" s="285"/>
      <c r="L110" s="285"/>
      <c r="M110" s="285"/>
      <c r="N110" s="285"/>
      <c r="O110" s="285"/>
      <c r="P110" s="285"/>
      <c r="Q110" s="285"/>
      <c r="R110" s="285"/>
      <c r="S110" s="285"/>
      <c r="T110" s="339">
        <v>-222</v>
      </c>
      <c r="U110" s="288"/>
      <c r="V110" s="5"/>
      <c r="W110" s="109"/>
    </row>
    <row r="111" spans="1:24" ht="15.6" x14ac:dyDescent="0.3">
      <c r="A111" s="406">
        <v>7</v>
      </c>
      <c r="B111" s="407" t="s">
        <v>313</v>
      </c>
      <c r="C111" s="407"/>
      <c r="D111" s="407"/>
      <c r="E111" s="407"/>
      <c r="F111" s="407"/>
      <c r="G111" s="285"/>
      <c r="H111" s="285"/>
      <c r="I111" s="285"/>
      <c r="J111" s="285"/>
      <c r="K111" s="285"/>
      <c r="L111" s="285"/>
      <c r="M111" s="285"/>
      <c r="N111" s="285"/>
      <c r="O111" s="285"/>
      <c r="P111" s="285"/>
      <c r="Q111" s="285"/>
      <c r="R111" s="285"/>
      <c r="S111" s="285"/>
      <c r="T111" s="339">
        <v>0</v>
      </c>
      <c r="U111" s="288"/>
      <c r="V111" s="5"/>
      <c r="W111" s="109"/>
    </row>
    <row r="112" spans="1:24" ht="15.6" x14ac:dyDescent="0.3">
      <c r="A112" s="337">
        <f t="shared" ref="A112:A118" si="0">+A111+1</f>
        <v>8</v>
      </c>
      <c r="B112" s="285" t="s">
        <v>35</v>
      </c>
      <c r="C112" s="285"/>
      <c r="D112" s="285"/>
      <c r="E112" s="285"/>
      <c r="F112" s="285"/>
      <c r="G112" s="285"/>
      <c r="H112" s="285"/>
      <c r="I112" s="285"/>
      <c r="J112" s="285"/>
      <c r="K112" s="285"/>
      <c r="L112" s="285"/>
      <c r="M112" s="285"/>
      <c r="N112" s="285"/>
      <c r="O112" s="285"/>
      <c r="P112" s="285"/>
      <c r="Q112" s="285"/>
      <c r="R112" s="285"/>
      <c r="S112" s="285"/>
      <c r="T112" s="339">
        <v>-10</v>
      </c>
      <c r="U112" s="288"/>
      <c r="V112" s="5"/>
    </row>
    <row r="113" spans="1:22" ht="15.6" x14ac:dyDescent="0.3">
      <c r="A113" s="337">
        <f t="shared" si="0"/>
        <v>9</v>
      </c>
      <c r="B113" s="285" t="s">
        <v>46</v>
      </c>
      <c r="C113" s="285"/>
      <c r="D113" s="285"/>
      <c r="E113" s="285"/>
      <c r="F113" s="285"/>
      <c r="G113" s="285"/>
      <c r="H113" s="285"/>
      <c r="I113" s="285"/>
      <c r="J113" s="285"/>
      <c r="K113" s="285"/>
      <c r="L113" s="285"/>
      <c r="M113" s="285"/>
      <c r="N113" s="285"/>
      <c r="O113" s="285"/>
      <c r="P113" s="285"/>
      <c r="Q113" s="285"/>
      <c r="R113" s="338">
        <f>-T113</f>
        <v>117</v>
      </c>
      <c r="S113" s="285"/>
      <c r="T113" s="339">
        <v>-117</v>
      </c>
      <c r="U113" s="288"/>
      <c r="V113" s="5"/>
    </row>
    <row r="114" spans="1:22" ht="15.6" x14ac:dyDescent="0.3">
      <c r="A114" s="337">
        <f t="shared" si="0"/>
        <v>10</v>
      </c>
      <c r="B114" s="285" t="s">
        <v>131</v>
      </c>
      <c r="C114" s="285"/>
      <c r="D114" s="285"/>
      <c r="E114" s="285"/>
      <c r="F114" s="285"/>
      <c r="G114" s="285"/>
      <c r="H114" s="285"/>
      <c r="I114" s="285"/>
      <c r="J114" s="285"/>
      <c r="K114" s="285"/>
      <c r="L114" s="285"/>
      <c r="M114" s="285"/>
      <c r="N114" s="285"/>
      <c r="O114" s="285"/>
      <c r="P114" s="285"/>
      <c r="Q114" s="285"/>
      <c r="R114" s="285"/>
      <c r="S114" s="285"/>
      <c r="T114" s="339">
        <v>0</v>
      </c>
      <c r="U114" s="288"/>
      <c r="V114" s="5"/>
    </row>
    <row r="115" spans="1:22" ht="15.6" x14ac:dyDescent="0.3">
      <c r="A115" s="337">
        <f t="shared" si="0"/>
        <v>11</v>
      </c>
      <c r="B115" s="285" t="s">
        <v>36</v>
      </c>
      <c r="C115" s="285"/>
      <c r="D115" s="285"/>
      <c r="E115" s="285"/>
      <c r="F115" s="285"/>
      <c r="G115" s="285"/>
      <c r="H115" s="285"/>
      <c r="I115" s="285"/>
      <c r="J115" s="285"/>
      <c r="K115" s="285"/>
      <c r="L115" s="285"/>
      <c r="M115" s="285"/>
      <c r="N115" s="285"/>
      <c r="O115" s="285"/>
      <c r="P115" s="285"/>
      <c r="Q115" s="285"/>
      <c r="R115" s="285"/>
      <c r="S115" s="285"/>
      <c r="T115" s="339">
        <v>0</v>
      </c>
      <c r="U115" s="288"/>
      <c r="V115" s="5"/>
    </row>
    <row r="116" spans="1:22" ht="15.6" x14ac:dyDescent="0.3">
      <c r="A116" s="337">
        <f t="shared" si="0"/>
        <v>12</v>
      </c>
      <c r="B116" s="285" t="s">
        <v>37</v>
      </c>
      <c r="C116" s="285"/>
      <c r="D116" s="285"/>
      <c r="E116" s="285"/>
      <c r="F116" s="285"/>
      <c r="G116" s="285"/>
      <c r="H116" s="285"/>
      <c r="I116" s="285"/>
      <c r="J116" s="285"/>
      <c r="K116" s="285"/>
      <c r="L116" s="285"/>
      <c r="M116" s="285"/>
      <c r="N116" s="285"/>
      <c r="O116" s="285"/>
      <c r="P116" s="285"/>
      <c r="Q116" s="285"/>
      <c r="R116" s="285"/>
      <c r="S116" s="285"/>
      <c r="T116" s="339">
        <v>0</v>
      </c>
      <c r="U116" s="288"/>
      <c r="V116" s="5"/>
    </row>
    <row r="117" spans="1:22" ht="15.6" x14ac:dyDescent="0.3">
      <c r="A117" s="337">
        <f t="shared" si="0"/>
        <v>13</v>
      </c>
      <c r="B117" s="285" t="s">
        <v>155</v>
      </c>
      <c r="C117" s="285"/>
      <c r="D117" s="285"/>
      <c r="E117" s="285"/>
      <c r="F117" s="285"/>
      <c r="G117" s="285"/>
      <c r="H117" s="285"/>
      <c r="I117" s="285"/>
      <c r="J117" s="285"/>
      <c r="K117" s="285"/>
      <c r="L117" s="285"/>
      <c r="M117" s="285"/>
      <c r="N117" s="285"/>
      <c r="O117" s="285"/>
      <c r="P117" s="285"/>
      <c r="Q117" s="285"/>
      <c r="R117" s="285"/>
      <c r="S117" s="285"/>
      <c r="T117" s="339">
        <v>-200</v>
      </c>
      <c r="U117" s="288"/>
      <c r="V117" s="5"/>
    </row>
    <row r="118" spans="1:22" ht="15.6" x14ac:dyDescent="0.3">
      <c r="A118" s="337">
        <f t="shared" si="0"/>
        <v>14</v>
      </c>
      <c r="B118" s="285" t="s">
        <v>132</v>
      </c>
      <c r="C118" s="285"/>
      <c r="D118" s="285"/>
      <c r="E118" s="285"/>
      <c r="F118" s="285"/>
      <c r="G118" s="285"/>
      <c r="H118" s="285"/>
      <c r="I118" s="285"/>
      <c r="J118" s="285"/>
      <c r="K118" s="285"/>
      <c r="L118" s="285"/>
      <c r="M118" s="285"/>
      <c r="N118" s="285"/>
      <c r="O118" s="285"/>
      <c r="P118" s="285"/>
      <c r="Q118" s="285"/>
      <c r="R118" s="285"/>
      <c r="S118" s="285"/>
      <c r="T118" s="339">
        <f>-T100-SUM(T102:T117)</f>
        <v>-1521</v>
      </c>
      <c r="U118" s="288"/>
      <c r="V118" s="5"/>
    </row>
    <row r="119" spans="1:22" ht="15.6" x14ac:dyDescent="0.3">
      <c r="A119" s="284"/>
      <c r="B119" s="343" t="s">
        <v>38</v>
      </c>
      <c r="C119" s="311"/>
      <c r="D119" s="311"/>
      <c r="E119" s="311"/>
      <c r="F119" s="311"/>
      <c r="G119" s="311"/>
      <c r="H119" s="311"/>
      <c r="I119" s="311"/>
      <c r="J119" s="311"/>
      <c r="K119" s="311"/>
      <c r="L119" s="311"/>
      <c r="M119" s="311"/>
      <c r="N119" s="311"/>
      <c r="O119" s="311"/>
      <c r="P119" s="311"/>
      <c r="Q119" s="311"/>
      <c r="R119" s="311"/>
      <c r="S119" s="311"/>
      <c r="T119" s="346"/>
      <c r="U119" s="317"/>
      <c r="V119" s="5"/>
    </row>
    <row r="120" spans="1:22" ht="15.6" x14ac:dyDescent="0.3">
      <c r="A120" s="337"/>
      <c r="B120" s="285" t="s">
        <v>180</v>
      </c>
      <c r="C120" s="285"/>
      <c r="D120" s="285"/>
      <c r="E120" s="285"/>
      <c r="F120" s="285"/>
      <c r="G120" s="285"/>
      <c r="H120" s="285"/>
      <c r="I120" s="285"/>
      <c r="J120" s="285"/>
      <c r="K120" s="285"/>
      <c r="L120" s="285"/>
      <c r="M120" s="285"/>
      <c r="N120" s="285"/>
      <c r="O120" s="285"/>
      <c r="P120" s="285"/>
      <c r="Q120" s="285"/>
      <c r="R120" s="338">
        <f>-R178</f>
        <v>0</v>
      </c>
      <c r="S120" s="338"/>
      <c r="T120" s="339"/>
      <c r="U120" s="288"/>
      <c r="V120" s="5"/>
    </row>
    <row r="121" spans="1:22" ht="15.6" x14ac:dyDescent="0.3">
      <c r="A121" s="337"/>
      <c r="B121" s="285" t="s">
        <v>181</v>
      </c>
      <c r="C121" s="285"/>
      <c r="D121" s="285"/>
      <c r="E121" s="285"/>
      <c r="F121" s="285"/>
      <c r="G121" s="285"/>
      <c r="H121" s="285"/>
      <c r="I121" s="285"/>
      <c r="J121" s="285"/>
      <c r="K121" s="285"/>
      <c r="L121" s="285"/>
      <c r="M121" s="285"/>
      <c r="N121" s="285"/>
      <c r="O121" s="285"/>
      <c r="P121" s="285"/>
      <c r="Q121" s="285"/>
      <c r="R121" s="338">
        <v>0</v>
      </c>
      <c r="S121" s="338"/>
      <c r="T121" s="339"/>
      <c r="U121" s="288"/>
      <c r="V121" s="5"/>
    </row>
    <row r="122" spans="1:22" ht="15.6" x14ac:dyDescent="0.3">
      <c r="A122" s="337"/>
      <c r="B122" s="285" t="s">
        <v>39</v>
      </c>
      <c r="C122" s="285"/>
      <c r="D122" s="285"/>
      <c r="E122" s="285"/>
      <c r="F122" s="285"/>
      <c r="G122" s="285"/>
      <c r="H122" s="285"/>
      <c r="I122" s="285"/>
      <c r="J122" s="285"/>
      <c r="K122" s="285"/>
      <c r="L122" s="285"/>
      <c r="M122" s="285"/>
      <c r="N122" s="285"/>
      <c r="O122" s="285"/>
      <c r="P122" s="285"/>
      <c r="Q122" s="285"/>
      <c r="R122" s="338">
        <f>-Q178</f>
        <v>-292</v>
      </c>
      <c r="S122" s="338"/>
      <c r="T122" s="339"/>
      <c r="U122" s="288"/>
      <c r="V122" s="5"/>
    </row>
    <row r="123" spans="1:22" ht="15.6" x14ac:dyDescent="0.3">
      <c r="A123" s="337"/>
      <c r="B123" s="285" t="s">
        <v>205</v>
      </c>
      <c r="C123" s="285"/>
      <c r="D123" s="285"/>
      <c r="E123" s="285"/>
      <c r="F123" s="285"/>
      <c r="G123" s="285"/>
      <c r="H123" s="285"/>
      <c r="I123" s="285"/>
      <c r="J123" s="285"/>
      <c r="K123" s="285"/>
      <c r="L123" s="285"/>
      <c r="M123" s="285"/>
      <c r="N123" s="285"/>
      <c r="O123" s="285"/>
      <c r="P123" s="285"/>
      <c r="Q123" s="285"/>
      <c r="R123" s="338">
        <v>-2484</v>
      </c>
      <c r="S123" s="338"/>
      <c r="T123" s="339"/>
      <c r="U123" s="288"/>
      <c r="V123" s="5"/>
    </row>
    <row r="124" spans="1:22" ht="15.6" x14ac:dyDescent="0.3">
      <c r="A124" s="337"/>
      <c r="B124" s="285" t="s">
        <v>203</v>
      </c>
      <c r="C124" s="285"/>
      <c r="D124" s="285"/>
      <c r="E124" s="285"/>
      <c r="F124" s="285"/>
      <c r="G124" s="285"/>
      <c r="H124" s="285"/>
      <c r="I124" s="285"/>
      <c r="J124" s="285"/>
      <c r="K124" s="285"/>
      <c r="L124" s="285"/>
      <c r="M124" s="285"/>
      <c r="N124" s="285"/>
      <c r="O124" s="285"/>
      <c r="P124" s="285"/>
      <c r="Q124" s="285"/>
      <c r="R124" s="338">
        <v>-654</v>
      </c>
      <c r="S124" s="338"/>
      <c r="T124" s="339"/>
      <c r="U124" s="288"/>
      <c r="V124" s="5"/>
    </row>
    <row r="125" spans="1:22" ht="15.6" x14ac:dyDescent="0.3">
      <c r="A125" s="337"/>
      <c r="B125" s="285" t="s">
        <v>202</v>
      </c>
      <c r="C125" s="285"/>
      <c r="D125" s="285"/>
      <c r="E125" s="285"/>
      <c r="F125" s="285"/>
      <c r="G125" s="285"/>
      <c r="H125" s="285"/>
      <c r="I125" s="285"/>
      <c r="J125" s="285"/>
      <c r="K125" s="285"/>
      <c r="L125" s="285"/>
      <c r="M125" s="285"/>
      <c r="N125" s="285"/>
      <c r="O125" s="285"/>
      <c r="P125" s="285"/>
      <c r="Q125" s="285"/>
      <c r="R125" s="338">
        <v>-660</v>
      </c>
      <c r="S125" s="338"/>
      <c r="T125" s="339"/>
      <c r="U125" s="288"/>
      <c r="V125" s="5"/>
    </row>
    <row r="126" spans="1:22" ht="15.6" x14ac:dyDescent="0.3">
      <c r="A126" s="337"/>
      <c r="B126" s="285" t="s">
        <v>197</v>
      </c>
      <c r="C126" s="285"/>
      <c r="D126" s="285"/>
      <c r="E126" s="285"/>
      <c r="F126" s="285"/>
      <c r="G126" s="285"/>
      <c r="H126" s="285"/>
      <c r="I126" s="285"/>
      <c r="J126" s="285"/>
      <c r="K126" s="285"/>
      <c r="L126" s="285"/>
      <c r="M126" s="285"/>
      <c r="N126" s="285"/>
      <c r="O126" s="285"/>
      <c r="P126" s="285"/>
      <c r="Q126" s="285"/>
      <c r="R126" s="338">
        <v>0</v>
      </c>
      <c r="S126" s="338"/>
      <c r="T126" s="339"/>
      <c r="U126" s="288"/>
      <c r="V126" s="5"/>
    </row>
    <row r="127" spans="1:22" ht="15.6" x14ac:dyDescent="0.3">
      <c r="A127" s="337"/>
      <c r="B127" s="285" t="s">
        <v>196</v>
      </c>
      <c r="C127" s="285"/>
      <c r="D127" s="285"/>
      <c r="E127" s="285"/>
      <c r="F127" s="285"/>
      <c r="G127" s="285"/>
      <c r="H127" s="285"/>
      <c r="I127" s="285"/>
      <c r="J127" s="285"/>
      <c r="K127" s="285"/>
      <c r="L127" s="285"/>
      <c r="M127" s="285"/>
      <c r="N127" s="285"/>
      <c r="O127" s="285"/>
      <c r="P127" s="285"/>
      <c r="Q127" s="285"/>
      <c r="R127" s="338">
        <v>0</v>
      </c>
      <c r="S127" s="338"/>
      <c r="T127" s="339"/>
      <c r="U127" s="288"/>
      <c r="V127" s="5"/>
    </row>
    <row r="128" spans="1:22" ht="15.6" x14ac:dyDescent="0.3">
      <c r="A128" s="337"/>
      <c r="B128" s="285" t="s">
        <v>195</v>
      </c>
      <c r="C128" s="285"/>
      <c r="D128" s="285"/>
      <c r="E128" s="285"/>
      <c r="F128" s="285"/>
      <c r="G128" s="285"/>
      <c r="H128" s="285"/>
      <c r="I128" s="285"/>
      <c r="J128" s="285"/>
      <c r="K128" s="285"/>
      <c r="L128" s="285"/>
      <c r="M128" s="285"/>
      <c r="N128" s="285"/>
      <c r="O128" s="285"/>
      <c r="P128" s="285"/>
      <c r="Q128" s="285"/>
      <c r="R128" s="338">
        <v>0</v>
      </c>
      <c r="S128" s="338"/>
      <c r="T128" s="339"/>
      <c r="U128" s="288"/>
      <c r="V128" s="5"/>
    </row>
    <row r="129" spans="1:22" ht="15.6" x14ac:dyDescent="0.3">
      <c r="A129" s="337"/>
      <c r="B129" s="285" t="s">
        <v>40</v>
      </c>
      <c r="C129" s="285"/>
      <c r="D129" s="285"/>
      <c r="E129" s="285"/>
      <c r="F129" s="285"/>
      <c r="G129" s="285"/>
      <c r="H129" s="285"/>
      <c r="I129" s="285"/>
      <c r="J129" s="285"/>
      <c r="K129" s="285"/>
      <c r="L129" s="285"/>
      <c r="M129" s="285"/>
      <c r="N129" s="285"/>
      <c r="O129" s="285"/>
      <c r="P129" s="285"/>
      <c r="Q129" s="285"/>
      <c r="R129" s="338">
        <f>SUM(R120:R128)</f>
        <v>-4090</v>
      </c>
      <c r="S129" s="338"/>
      <c r="T129" s="338">
        <f>SUM(T101:T127)</f>
        <v>-3262</v>
      </c>
      <c r="U129" s="288"/>
      <c r="V129" s="5"/>
    </row>
    <row r="130" spans="1:22" ht="15.6" x14ac:dyDescent="0.3">
      <c r="A130" s="337"/>
      <c r="B130" s="285" t="s">
        <v>41</v>
      </c>
      <c r="C130" s="285"/>
      <c r="D130" s="285"/>
      <c r="E130" s="285"/>
      <c r="F130" s="285"/>
      <c r="G130" s="285"/>
      <c r="H130" s="285"/>
      <c r="I130" s="285"/>
      <c r="J130" s="285"/>
      <c r="K130" s="285"/>
      <c r="L130" s="285"/>
      <c r="M130" s="285"/>
      <c r="N130" s="285"/>
      <c r="O130" s="285"/>
      <c r="P130" s="285"/>
      <c r="Q130" s="285"/>
      <c r="R130" s="338">
        <f>R100+R129+R113</f>
        <v>0</v>
      </c>
      <c r="S130" s="338"/>
      <c r="T130" s="338">
        <f>T100+T129</f>
        <v>0</v>
      </c>
      <c r="U130" s="288"/>
      <c r="V130" s="5"/>
    </row>
    <row r="131" spans="1:22" ht="15.6" x14ac:dyDescent="0.3">
      <c r="A131" s="256"/>
      <c r="B131" s="281"/>
      <c r="C131" s="281"/>
      <c r="D131" s="281"/>
      <c r="E131" s="281"/>
      <c r="F131" s="281"/>
      <c r="G131" s="281"/>
      <c r="H131" s="281"/>
      <c r="I131" s="281"/>
      <c r="J131" s="281"/>
      <c r="K131" s="281"/>
      <c r="L131" s="281"/>
      <c r="M131" s="281"/>
      <c r="N131" s="281"/>
      <c r="O131" s="281"/>
      <c r="P131" s="281"/>
      <c r="Q131" s="281"/>
      <c r="R131" s="340"/>
      <c r="S131" s="340"/>
      <c r="T131" s="340"/>
      <c r="U131" s="281"/>
      <c r="V131" s="5"/>
    </row>
    <row r="132" spans="1:22" ht="15.6" x14ac:dyDescent="0.3">
      <c r="A132" s="256"/>
      <c r="B132" s="231"/>
      <c r="C132" s="231"/>
      <c r="D132" s="231"/>
      <c r="E132" s="231"/>
      <c r="F132" s="231"/>
      <c r="G132" s="231"/>
      <c r="H132" s="231"/>
      <c r="I132" s="231"/>
      <c r="J132" s="231"/>
      <c r="K132" s="231"/>
      <c r="L132" s="231"/>
      <c r="M132" s="231"/>
      <c r="N132" s="231"/>
      <c r="O132" s="231"/>
      <c r="P132" s="231"/>
      <c r="Q132" s="231"/>
      <c r="R132" s="231"/>
      <c r="S132" s="231"/>
      <c r="T132" s="257"/>
      <c r="U132" s="231"/>
      <c r="V132" s="5"/>
    </row>
    <row r="133" spans="1:22" ht="18" thickBot="1" x14ac:dyDescent="0.35">
      <c r="A133" s="258"/>
      <c r="B133" s="246" t="str">
        <f>B64</f>
        <v>PM11 INVESTOR REPORT QUARTER ENDING MARCH 2014</v>
      </c>
      <c r="C133" s="247"/>
      <c r="D133" s="247"/>
      <c r="E133" s="247"/>
      <c r="F133" s="247"/>
      <c r="G133" s="247"/>
      <c r="H133" s="247"/>
      <c r="I133" s="247"/>
      <c r="J133" s="247"/>
      <c r="K133" s="247"/>
      <c r="L133" s="247"/>
      <c r="M133" s="247"/>
      <c r="N133" s="247"/>
      <c r="O133" s="247"/>
      <c r="P133" s="247"/>
      <c r="Q133" s="247"/>
      <c r="R133" s="247"/>
      <c r="S133" s="247"/>
      <c r="T133" s="259"/>
      <c r="U133" s="249"/>
      <c r="V133" s="5"/>
    </row>
    <row r="134" spans="1:22" ht="15.6" x14ac:dyDescent="0.3">
      <c r="A134" s="260"/>
      <c r="B134" s="399" t="s">
        <v>42</v>
      </c>
      <c r="C134" s="261"/>
      <c r="D134" s="261"/>
      <c r="E134" s="261"/>
      <c r="F134" s="261"/>
      <c r="G134" s="261"/>
      <c r="H134" s="261"/>
      <c r="I134" s="261"/>
      <c r="J134" s="261"/>
      <c r="K134" s="261"/>
      <c r="L134" s="261"/>
      <c r="M134" s="261"/>
      <c r="N134" s="261"/>
      <c r="O134" s="261"/>
      <c r="P134" s="261"/>
      <c r="Q134" s="261"/>
      <c r="R134" s="261"/>
      <c r="S134" s="261"/>
      <c r="T134" s="262"/>
      <c r="U134" s="261"/>
      <c r="V134" s="5"/>
    </row>
    <row r="135" spans="1:22" ht="15.6" x14ac:dyDescent="0.3">
      <c r="A135" s="175"/>
      <c r="B135" s="187"/>
      <c r="C135" s="177"/>
      <c r="D135" s="177"/>
      <c r="E135" s="177"/>
      <c r="F135" s="177"/>
      <c r="G135" s="177"/>
      <c r="H135" s="177"/>
      <c r="I135" s="177"/>
      <c r="J135" s="177"/>
      <c r="K135" s="177"/>
      <c r="L135" s="177"/>
      <c r="M135" s="177"/>
      <c r="N135" s="177"/>
      <c r="O135" s="177"/>
      <c r="P135" s="177"/>
      <c r="Q135" s="177"/>
      <c r="R135" s="177"/>
      <c r="S135" s="177"/>
      <c r="T135" s="194"/>
      <c r="U135" s="177"/>
      <c r="V135" s="5"/>
    </row>
    <row r="136" spans="1:22" ht="15.6" x14ac:dyDescent="0.3">
      <c r="A136" s="175"/>
      <c r="B136" s="201" t="s">
        <v>43</v>
      </c>
      <c r="C136" s="177"/>
      <c r="D136" s="177"/>
      <c r="E136" s="177"/>
      <c r="F136" s="177"/>
      <c r="G136" s="177"/>
      <c r="H136" s="177"/>
      <c r="I136" s="177"/>
      <c r="J136" s="177"/>
      <c r="K136" s="177"/>
      <c r="L136" s="177"/>
      <c r="M136" s="177"/>
      <c r="N136" s="177"/>
      <c r="O136" s="177"/>
      <c r="P136" s="177"/>
      <c r="Q136" s="177"/>
      <c r="R136" s="177"/>
      <c r="S136" s="177"/>
      <c r="T136" s="194"/>
      <c r="U136" s="177"/>
      <c r="V136" s="5"/>
    </row>
    <row r="137" spans="1:22" ht="15.6" x14ac:dyDescent="0.3">
      <c r="A137" s="284"/>
      <c r="B137" s="285" t="s">
        <v>44</v>
      </c>
      <c r="C137" s="285"/>
      <c r="D137" s="285"/>
      <c r="E137" s="285"/>
      <c r="F137" s="285"/>
      <c r="G137" s="285"/>
      <c r="H137" s="285"/>
      <c r="I137" s="285"/>
      <c r="J137" s="285"/>
      <c r="K137" s="285"/>
      <c r="L137" s="285"/>
      <c r="M137" s="285"/>
      <c r="N137" s="285"/>
      <c r="O137" s="285"/>
      <c r="P137" s="285"/>
      <c r="Q137" s="285"/>
      <c r="R137" s="285"/>
      <c r="S137" s="285"/>
      <c r="T137" s="339">
        <f>+T34*0.019</f>
        <v>19000.95</v>
      </c>
      <c r="U137" s="288"/>
      <c r="V137" s="5"/>
    </row>
    <row r="138" spans="1:22" ht="15.6" x14ac:dyDescent="0.3">
      <c r="A138" s="284"/>
      <c r="B138" s="285" t="s">
        <v>45</v>
      </c>
      <c r="C138" s="285"/>
      <c r="D138" s="285"/>
      <c r="E138" s="285"/>
      <c r="F138" s="285"/>
      <c r="G138" s="285"/>
      <c r="H138" s="285"/>
      <c r="I138" s="285"/>
      <c r="J138" s="285"/>
      <c r="K138" s="285"/>
      <c r="L138" s="285"/>
      <c r="M138" s="285"/>
      <c r="N138" s="285"/>
      <c r="O138" s="285"/>
      <c r="P138" s="285"/>
      <c r="Q138" s="285"/>
      <c r="R138" s="285"/>
      <c r="S138" s="285"/>
      <c r="T138" s="339">
        <v>19001</v>
      </c>
      <c r="U138" s="288"/>
      <c r="V138" s="5"/>
    </row>
    <row r="139" spans="1:22" ht="15.6" x14ac:dyDescent="0.3">
      <c r="A139" s="284"/>
      <c r="B139" s="285" t="s">
        <v>142</v>
      </c>
      <c r="C139" s="285"/>
      <c r="D139" s="285"/>
      <c r="E139" s="285"/>
      <c r="F139" s="285"/>
      <c r="G139" s="285"/>
      <c r="H139" s="285"/>
      <c r="I139" s="285"/>
      <c r="J139" s="285"/>
      <c r="K139" s="285"/>
      <c r="L139" s="285"/>
      <c r="M139" s="285"/>
      <c r="N139" s="285"/>
      <c r="O139" s="285"/>
      <c r="P139" s="285"/>
      <c r="Q139" s="285"/>
      <c r="R139" s="285"/>
      <c r="S139" s="285"/>
      <c r="T139" s="339">
        <v>0</v>
      </c>
      <c r="U139" s="288"/>
      <c r="V139" s="5"/>
    </row>
    <row r="140" spans="1:22" ht="15.6" x14ac:dyDescent="0.3">
      <c r="A140" s="284"/>
      <c r="B140" s="285" t="s">
        <v>129</v>
      </c>
      <c r="C140" s="285"/>
      <c r="D140" s="285"/>
      <c r="E140" s="285"/>
      <c r="F140" s="285"/>
      <c r="G140" s="285"/>
      <c r="H140" s="285"/>
      <c r="I140" s="285"/>
      <c r="J140" s="285"/>
      <c r="K140" s="285"/>
      <c r="L140" s="285"/>
      <c r="M140" s="285"/>
      <c r="N140" s="285"/>
      <c r="O140" s="285"/>
      <c r="P140" s="285"/>
      <c r="Q140" s="285"/>
      <c r="R140" s="285"/>
      <c r="S140" s="285"/>
      <c r="T140" s="339">
        <v>0</v>
      </c>
      <c r="U140" s="288"/>
      <c r="V140" s="5"/>
    </row>
    <row r="141" spans="1:22" ht="15.6" x14ac:dyDescent="0.3">
      <c r="A141" s="284"/>
      <c r="B141" s="285" t="s">
        <v>130</v>
      </c>
      <c r="C141" s="285"/>
      <c r="D141" s="285"/>
      <c r="E141" s="285"/>
      <c r="F141" s="285"/>
      <c r="G141" s="285"/>
      <c r="H141" s="285"/>
      <c r="I141" s="285"/>
      <c r="J141" s="285"/>
      <c r="K141" s="285"/>
      <c r="L141" s="285"/>
      <c r="M141" s="285"/>
      <c r="N141" s="285"/>
      <c r="O141" s="285"/>
      <c r="P141" s="285"/>
      <c r="Q141" s="285"/>
      <c r="R141" s="285"/>
      <c r="S141" s="285"/>
      <c r="T141" s="339">
        <v>0</v>
      </c>
      <c r="U141" s="288"/>
      <c r="V141" s="5"/>
    </row>
    <row r="142" spans="1:22" ht="15.6" x14ac:dyDescent="0.3">
      <c r="A142" s="284"/>
      <c r="B142" s="285" t="s">
        <v>182</v>
      </c>
      <c r="C142" s="285"/>
      <c r="D142" s="285"/>
      <c r="E142" s="285"/>
      <c r="F142" s="285"/>
      <c r="G142" s="285"/>
      <c r="H142" s="285"/>
      <c r="I142" s="285"/>
      <c r="J142" s="285"/>
      <c r="K142" s="285"/>
      <c r="L142" s="285"/>
      <c r="M142" s="285"/>
      <c r="N142" s="285"/>
      <c r="O142" s="285"/>
      <c r="P142" s="285"/>
      <c r="Q142" s="285"/>
      <c r="R142" s="285"/>
      <c r="S142" s="285"/>
      <c r="T142" s="339">
        <v>0</v>
      </c>
      <c r="U142" s="288"/>
      <c r="V142" s="5"/>
    </row>
    <row r="143" spans="1:22" ht="15.6" x14ac:dyDescent="0.3">
      <c r="A143" s="284"/>
      <c r="B143" s="285" t="s">
        <v>46</v>
      </c>
      <c r="C143" s="285"/>
      <c r="D143" s="285"/>
      <c r="E143" s="285"/>
      <c r="F143" s="285"/>
      <c r="G143" s="285"/>
      <c r="H143" s="285"/>
      <c r="I143" s="285"/>
      <c r="J143" s="285"/>
      <c r="K143" s="285"/>
      <c r="L143" s="285"/>
      <c r="M143" s="285"/>
      <c r="N143" s="285"/>
      <c r="O143" s="285"/>
      <c r="P143" s="285"/>
      <c r="Q143" s="285"/>
      <c r="R143" s="285"/>
      <c r="S143" s="285"/>
      <c r="T143" s="339">
        <v>0</v>
      </c>
      <c r="U143" s="288"/>
      <c r="V143" s="5"/>
    </row>
    <row r="144" spans="1:22" ht="15.6" x14ac:dyDescent="0.3">
      <c r="A144" s="284"/>
      <c r="B144" s="285" t="s">
        <v>135</v>
      </c>
      <c r="C144" s="285"/>
      <c r="D144" s="285"/>
      <c r="E144" s="285"/>
      <c r="F144" s="285"/>
      <c r="G144" s="285"/>
      <c r="H144" s="285"/>
      <c r="I144" s="285"/>
      <c r="J144" s="285"/>
      <c r="K144" s="285"/>
      <c r="L144" s="285"/>
      <c r="M144" s="285"/>
      <c r="N144" s="285"/>
      <c r="O144" s="285"/>
      <c r="P144" s="285"/>
      <c r="Q144" s="285"/>
      <c r="R144" s="285"/>
      <c r="S144" s="285"/>
      <c r="T144" s="339">
        <v>0</v>
      </c>
      <c r="U144" s="288"/>
      <c r="V144" s="5"/>
    </row>
    <row r="145" spans="1:23" ht="15.6" x14ac:dyDescent="0.3">
      <c r="A145" s="284"/>
      <c r="B145" s="285" t="s">
        <v>251</v>
      </c>
      <c r="C145" s="285"/>
      <c r="D145" s="285"/>
      <c r="E145" s="285"/>
      <c r="F145" s="285"/>
      <c r="G145" s="285"/>
      <c r="H145" s="285"/>
      <c r="I145" s="285"/>
      <c r="J145" s="285"/>
      <c r="K145" s="285"/>
      <c r="L145" s="285"/>
      <c r="M145" s="285"/>
      <c r="N145" s="285"/>
      <c r="O145" s="285"/>
      <c r="P145" s="285"/>
      <c r="Q145" s="285"/>
      <c r="R145" s="285"/>
      <c r="S145" s="285"/>
      <c r="T145" s="339">
        <v>0</v>
      </c>
      <c r="U145" s="288"/>
      <c r="V145" s="5"/>
      <c r="W145" s="109"/>
    </row>
    <row r="146" spans="1:23" ht="15.6" x14ac:dyDescent="0.3">
      <c r="A146" s="284"/>
      <c r="B146" s="285" t="s">
        <v>47</v>
      </c>
      <c r="C146" s="285"/>
      <c r="D146" s="285"/>
      <c r="E146" s="285"/>
      <c r="F146" s="285"/>
      <c r="G146" s="285"/>
      <c r="H146" s="285"/>
      <c r="I146" s="285"/>
      <c r="J146" s="285"/>
      <c r="K146" s="285"/>
      <c r="L146" s="285"/>
      <c r="M146" s="285"/>
      <c r="N146" s="285"/>
      <c r="O146" s="285"/>
      <c r="P146" s="285"/>
      <c r="Q146" s="285"/>
      <c r="R146" s="285"/>
      <c r="S146" s="285"/>
      <c r="T146" s="339">
        <f>SUM(T138:T145)</f>
        <v>19001</v>
      </c>
      <c r="U146" s="288"/>
      <c r="V146" s="5"/>
    </row>
    <row r="147" spans="1:23" ht="15.6" x14ac:dyDescent="0.3">
      <c r="A147" s="284"/>
      <c r="B147" s="311"/>
      <c r="C147" s="311"/>
      <c r="D147" s="311"/>
      <c r="E147" s="311"/>
      <c r="F147" s="311"/>
      <c r="G147" s="311"/>
      <c r="H147" s="311"/>
      <c r="I147" s="311"/>
      <c r="J147" s="311"/>
      <c r="K147" s="311"/>
      <c r="L147" s="311"/>
      <c r="M147" s="311"/>
      <c r="N147" s="311"/>
      <c r="O147" s="311"/>
      <c r="P147" s="311"/>
      <c r="Q147" s="311"/>
      <c r="R147" s="311"/>
      <c r="S147" s="311"/>
      <c r="T147" s="345"/>
      <c r="U147" s="317"/>
      <c r="V147" s="5"/>
    </row>
    <row r="148" spans="1:23" ht="15.6" x14ac:dyDescent="0.3">
      <c r="A148" s="284"/>
      <c r="B148" s="343" t="s">
        <v>262</v>
      </c>
      <c r="C148" s="311"/>
      <c r="D148" s="311"/>
      <c r="E148" s="311"/>
      <c r="F148" s="311"/>
      <c r="G148" s="311"/>
      <c r="H148" s="311"/>
      <c r="I148" s="311"/>
      <c r="J148" s="311"/>
      <c r="K148" s="311"/>
      <c r="L148" s="311"/>
      <c r="M148" s="311"/>
      <c r="N148" s="311"/>
      <c r="O148" s="311"/>
      <c r="P148" s="311"/>
      <c r="Q148" s="311"/>
      <c r="R148" s="311"/>
      <c r="S148" s="311"/>
      <c r="T148" s="345"/>
      <c r="U148" s="317"/>
      <c r="V148" s="5"/>
    </row>
    <row r="149" spans="1:23" ht="15.6" x14ac:dyDescent="0.3">
      <c r="A149" s="284"/>
      <c r="B149" s="285" t="s">
        <v>263</v>
      </c>
      <c r="C149" s="285"/>
      <c r="D149" s="285"/>
      <c r="E149" s="285"/>
      <c r="F149" s="285"/>
      <c r="G149" s="285"/>
      <c r="H149" s="285"/>
      <c r="I149" s="285"/>
      <c r="J149" s="285"/>
      <c r="K149" s="285"/>
      <c r="L149" s="285"/>
      <c r="M149" s="285"/>
      <c r="N149" s="285"/>
      <c r="O149" s="285"/>
      <c r="P149" s="285"/>
      <c r="Q149" s="285"/>
      <c r="R149" s="285"/>
      <c r="S149" s="285"/>
      <c r="T149" s="339">
        <v>0</v>
      </c>
      <c r="U149" s="288"/>
      <c r="V149" s="5"/>
    </row>
    <row r="150" spans="1:23" ht="15.6" x14ac:dyDescent="0.3">
      <c r="A150" s="284"/>
      <c r="B150" s="285" t="s">
        <v>179</v>
      </c>
      <c r="C150" s="285"/>
      <c r="D150" s="285"/>
      <c r="E150" s="285"/>
      <c r="F150" s="285"/>
      <c r="G150" s="285"/>
      <c r="H150" s="285"/>
      <c r="I150" s="285"/>
      <c r="J150" s="285"/>
      <c r="K150" s="285"/>
      <c r="L150" s="285"/>
      <c r="M150" s="285"/>
      <c r="N150" s="285"/>
      <c r="O150" s="285"/>
      <c r="P150" s="285"/>
      <c r="Q150" s="285"/>
      <c r="R150" s="285"/>
      <c r="S150" s="285"/>
      <c r="T150" s="339">
        <v>0</v>
      </c>
      <c r="U150" s="288"/>
      <c r="V150" s="5"/>
    </row>
    <row r="151" spans="1:23" ht="15.6" x14ac:dyDescent="0.3">
      <c r="A151" s="284"/>
      <c r="B151" s="285" t="s">
        <v>264</v>
      </c>
      <c r="C151" s="285"/>
      <c r="D151" s="285"/>
      <c r="E151" s="285"/>
      <c r="F151" s="285"/>
      <c r="G151" s="285"/>
      <c r="H151" s="285"/>
      <c r="I151" s="285"/>
      <c r="J151" s="285"/>
      <c r="K151" s="285"/>
      <c r="L151" s="285"/>
      <c r="M151" s="285"/>
      <c r="N151" s="285"/>
      <c r="O151" s="285"/>
      <c r="P151" s="285"/>
      <c r="Q151" s="285"/>
      <c r="R151" s="285"/>
      <c r="S151" s="285"/>
      <c r="T151" s="339">
        <v>0</v>
      </c>
      <c r="U151" s="288"/>
      <c r="V151" s="5"/>
    </row>
    <row r="152" spans="1:23" ht="15.6" x14ac:dyDescent="0.3">
      <c r="A152" s="284"/>
      <c r="B152" s="285"/>
      <c r="C152" s="285"/>
      <c r="D152" s="285"/>
      <c r="E152" s="285"/>
      <c r="F152" s="285"/>
      <c r="G152" s="285"/>
      <c r="H152" s="285"/>
      <c r="I152" s="285"/>
      <c r="J152" s="285"/>
      <c r="K152" s="285"/>
      <c r="L152" s="285"/>
      <c r="M152" s="285"/>
      <c r="N152" s="285"/>
      <c r="O152" s="285"/>
      <c r="P152" s="285"/>
      <c r="Q152" s="285"/>
      <c r="R152" s="285"/>
      <c r="S152" s="285"/>
      <c r="T152" s="339"/>
      <c r="U152" s="288"/>
      <c r="V152" s="5"/>
    </row>
    <row r="153" spans="1:23" ht="15.6" x14ac:dyDescent="0.3">
      <c r="A153" s="175"/>
      <c r="B153" s="334"/>
      <c r="C153" s="334"/>
      <c r="D153" s="334"/>
      <c r="E153" s="334"/>
      <c r="F153" s="334"/>
      <c r="G153" s="334"/>
      <c r="H153" s="334"/>
      <c r="I153" s="334"/>
      <c r="J153" s="334"/>
      <c r="K153" s="334"/>
      <c r="L153" s="334"/>
      <c r="M153" s="334"/>
      <c r="N153" s="334"/>
      <c r="O153" s="334"/>
      <c r="P153" s="334"/>
      <c r="Q153" s="334"/>
      <c r="R153" s="334"/>
      <c r="S153" s="334"/>
      <c r="T153" s="347"/>
      <c r="U153" s="334"/>
      <c r="V153" s="5"/>
    </row>
    <row r="154" spans="1:23" ht="15.6" x14ac:dyDescent="0.3">
      <c r="A154" s="175"/>
      <c r="B154" s="201" t="s">
        <v>24</v>
      </c>
      <c r="C154" s="177"/>
      <c r="D154" s="177"/>
      <c r="E154" s="177"/>
      <c r="F154" s="177"/>
      <c r="G154" s="177"/>
      <c r="H154" s="177"/>
      <c r="I154" s="177"/>
      <c r="J154" s="177"/>
      <c r="K154" s="177"/>
      <c r="L154" s="177"/>
      <c r="M154" s="177"/>
      <c r="N154" s="177"/>
      <c r="O154" s="177"/>
      <c r="P154" s="177"/>
      <c r="Q154" s="177"/>
      <c r="R154" s="177"/>
      <c r="S154" s="177"/>
      <c r="T154" s="194"/>
      <c r="U154" s="177"/>
      <c r="V154" s="5"/>
    </row>
    <row r="155" spans="1:23" ht="15.6" x14ac:dyDescent="0.3">
      <c r="A155" s="284"/>
      <c r="B155" s="285" t="s">
        <v>48</v>
      </c>
      <c r="C155" s="285"/>
      <c r="D155" s="285"/>
      <c r="E155" s="285"/>
      <c r="F155" s="285"/>
      <c r="G155" s="285"/>
      <c r="H155" s="285"/>
      <c r="I155" s="285"/>
      <c r="J155" s="285"/>
      <c r="K155" s="285"/>
      <c r="L155" s="285"/>
      <c r="M155" s="285"/>
      <c r="N155" s="285"/>
      <c r="O155" s="285"/>
      <c r="P155" s="285"/>
      <c r="Q155" s="285"/>
      <c r="R155" s="285"/>
      <c r="S155" s="285"/>
      <c r="T155" s="348" t="s">
        <v>124</v>
      </c>
      <c r="U155" s="288"/>
      <c r="V155" s="5"/>
    </row>
    <row r="156" spans="1:23" ht="15.6" x14ac:dyDescent="0.3">
      <c r="A156" s="284"/>
      <c r="B156" s="285" t="s">
        <v>49</v>
      </c>
      <c r="C156" s="287"/>
      <c r="D156" s="287"/>
      <c r="E156" s="287"/>
      <c r="F156" s="287"/>
      <c r="G156" s="287"/>
      <c r="H156" s="287"/>
      <c r="I156" s="287"/>
      <c r="J156" s="287"/>
      <c r="K156" s="287"/>
      <c r="L156" s="287"/>
      <c r="M156" s="287"/>
      <c r="N156" s="287"/>
      <c r="O156" s="287"/>
      <c r="P156" s="287"/>
      <c r="Q156" s="287"/>
      <c r="R156" s="287"/>
      <c r="S156" s="287"/>
      <c r="T156" s="348" t="s">
        <v>124</v>
      </c>
      <c r="U156" s="288"/>
      <c r="V156" s="5"/>
    </row>
    <row r="157" spans="1:23" ht="15.6" x14ac:dyDescent="0.3">
      <c r="A157" s="284"/>
      <c r="B157" s="285" t="s">
        <v>50</v>
      </c>
      <c r="C157" s="285"/>
      <c r="D157" s="285"/>
      <c r="E157" s="285"/>
      <c r="F157" s="285"/>
      <c r="G157" s="285"/>
      <c r="H157" s="285"/>
      <c r="I157" s="285"/>
      <c r="J157" s="285"/>
      <c r="K157" s="285"/>
      <c r="L157" s="285"/>
      <c r="M157" s="285"/>
      <c r="N157" s="285"/>
      <c r="O157" s="285"/>
      <c r="P157" s="285"/>
      <c r="Q157" s="285"/>
      <c r="R157" s="285"/>
      <c r="S157" s="285"/>
      <c r="T157" s="348" t="s">
        <v>124</v>
      </c>
      <c r="U157" s="288"/>
      <c r="V157" s="5"/>
    </row>
    <row r="158" spans="1:23" ht="15.6" x14ac:dyDescent="0.3">
      <c r="A158" s="284"/>
      <c r="B158" s="285" t="s">
        <v>51</v>
      </c>
      <c r="C158" s="285"/>
      <c r="D158" s="285"/>
      <c r="E158" s="285"/>
      <c r="F158" s="285"/>
      <c r="G158" s="285"/>
      <c r="H158" s="285"/>
      <c r="I158" s="285"/>
      <c r="J158" s="285"/>
      <c r="K158" s="285"/>
      <c r="L158" s="285"/>
      <c r="M158" s="285"/>
      <c r="N158" s="285"/>
      <c r="O158" s="285"/>
      <c r="P158" s="285"/>
      <c r="Q158" s="285"/>
      <c r="R158" s="285"/>
      <c r="S158" s="285"/>
      <c r="T158" s="348" t="s">
        <v>124</v>
      </c>
      <c r="U158" s="288"/>
      <c r="V158" s="5"/>
    </row>
    <row r="159" spans="1:23" ht="15.6" x14ac:dyDescent="0.3">
      <c r="A159" s="175"/>
      <c r="B159" s="334"/>
      <c r="C159" s="334"/>
      <c r="D159" s="334"/>
      <c r="E159" s="334"/>
      <c r="F159" s="334"/>
      <c r="G159" s="334"/>
      <c r="H159" s="334"/>
      <c r="I159" s="334"/>
      <c r="J159" s="334"/>
      <c r="K159" s="334"/>
      <c r="L159" s="334"/>
      <c r="M159" s="334"/>
      <c r="N159" s="334"/>
      <c r="O159" s="334"/>
      <c r="P159" s="334"/>
      <c r="Q159" s="334"/>
      <c r="R159" s="334"/>
      <c r="S159" s="334"/>
      <c r="T159" s="347"/>
      <c r="U159" s="334"/>
      <c r="V159" s="5"/>
    </row>
    <row r="160" spans="1:23" ht="15.6" x14ac:dyDescent="0.3">
      <c r="A160" s="175"/>
      <c r="B160" s="201" t="s">
        <v>52</v>
      </c>
      <c r="C160" s="177"/>
      <c r="D160" s="177"/>
      <c r="E160" s="177"/>
      <c r="F160" s="177"/>
      <c r="G160" s="177"/>
      <c r="H160" s="177"/>
      <c r="I160" s="177"/>
      <c r="J160" s="177"/>
      <c r="K160" s="177"/>
      <c r="L160" s="177"/>
      <c r="M160" s="177"/>
      <c r="N160" s="177"/>
      <c r="O160" s="177"/>
      <c r="P160" s="177"/>
      <c r="Q160" s="177"/>
      <c r="R160" s="177"/>
      <c r="S160" s="177"/>
      <c r="T160" s="202"/>
      <c r="U160" s="177"/>
      <c r="V160" s="5"/>
    </row>
    <row r="161" spans="1:22" ht="15.6" x14ac:dyDescent="0.3">
      <c r="A161" s="284"/>
      <c r="B161" s="285" t="s">
        <v>53</v>
      </c>
      <c r="C161" s="285"/>
      <c r="D161" s="285"/>
      <c r="E161" s="285"/>
      <c r="F161" s="285"/>
      <c r="G161" s="285"/>
      <c r="H161" s="285"/>
      <c r="I161" s="285"/>
      <c r="J161" s="285"/>
      <c r="K161" s="285"/>
      <c r="L161" s="285"/>
      <c r="M161" s="285"/>
      <c r="N161" s="285"/>
      <c r="O161" s="285"/>
      <c r="P161" s="285"/>
      <c r="Q161" s="285"/>
      <c r="R161" s="285"/>
      <c r="S161" s="285"/>
      <c r="T161" s="339">
        <v>0</v>
      </c>
      <c r="U161" s="288"/>
      <c r="V161" s="5"/>
    </row>
    <row r="162" spans="1:22" ht="15.6" x14ac:dyDescent="0.3">
      <c r="A162" s="284"/>
      <c r="B162" s="285" t="s">
        <v>54</v>
      </c>
      <c r="C162" s="285"/>
      <c r="D162" s="285"/>
      <c r="E162" s="285"/>
      <c r="F162" s="285"/>
      <c r="G162" s="285"/>
      <c r="H162" s="285"/>
      <c r="I162" s="285"/>
      <c r="J162" s="285"/>
      <c r="K162" s="285"/>
      <c r="L162" s="285"/>
      <c r="M162" s="285"/>
      <c r="N162" s="285"/>
      <c r="O162" s="285"/>
      <c r="P162" s="285"/>
      <c r="Q162" s="285"/>
      <c r="R162" s="285"/>
      <c r="S162" s="285"/>
      <c r="T162" s="339">
        <f>R113</f>
        <v>117</v>
      </c>
      <c r="U162" s="288"/>
      <c r="V162" s="5"/>
    </row>
    <row r="163" spans="1:22" ht="15.6" x14ac:dyDescent="0.3">
      <c r="A163" s="284"/>
      <c r="B163" s="285" t="s">
        <v>55</v>
      </c>
      <c r="C163" s="285"/>
      <c r="D163" s="285"/>
      <c r="E163" s="285"/>
      <c r="F163" s="285"/>
      <c r="G163" s="285"/>
      <c r="H163" s="285"/>
      <c r="I163" s="285"/>
      <c r="J163" s="285"/>
      <c r="K163" s="285"/>
      <c r="L163" s="285"/>
      <c r="M163" s="285"/>
      <c r="N163" s="285"/>
      <c r="O163" s="285"/>
      <c r="P163" s="285"/>
      <c r="Q163" s="285"/>
      <c r="R163" s="285"/>
      <c r="S163" s="285"/>
      <c r="T163" s="339">
        <f>T162+T161</f>
        <v>117</v>
      </c>
      <c r="U163" s="288"/>
      <c r="V163" s="5"/>
    </row>
    <row r="164" spans="1:22" ht="15.6" x14ac:dyDescent="0.3">
      <c r="A164" s="284"/>
      <c r="B164" s="285" t="s">
        <v>301</v>
      </c>
      <c r="C164" s="285"/>
      <c r="D164" s="285"/>
      <c r="E164" s="285"/>
      <c r="F164" s="285"/>
      <c r="G164" s="285"/>
      <c r="H164" s="285"/>
      <c r="I164" s="285"/>
      <c r="J164" s="285"/>
      <c r="K164" s="285"/>
      <c r="L164" s="285"/>
      <c r="M164" s="285"/>
      <c r="N164" s="285"/>
      <c r="O164" s="285"/>
      <c r="P164" s="285"/>
      <c r="Q164" s="285"/>
      <c r="R164" s="285"/>
      <c r="S164" s="285"/>
      <c r="T164" s="339">
        <f>T113</f>
        <v>-117</v>
      </c>
      <c r="U164" s="288"/>
      <c r="V164" s="5"/>
    </row>
    <row r="165" spans="1:22" ht="15.6" x14ac:dyDescent="0.3">
      <c r="A165" s="284"/>
      <c r="B165" s="285" t="s">
        <v>56</v>
      </c>
      <c r="C165" s="285"/>
      <c r="D165" s="285"/>
      <c r="E165" s="285"/>
      <c r="F165" s="285"/>
      <c r="G165" s="285"/>
      <c r="H165" s="285"/>
      <c r="I165" s="285"/>
      <c r="J165" s="285"/>
      <c r="K165" s="285"/>
      <c r="L165" s="285"/>
      <c r="M165" s="285"/>
      <c r="N165" s="285"/>
      <c r="O165" s="285"/>
      <c r="P165" s="285"/>
      <c r="Q165" s="285"/>
      <c r="R165" s="285"/>
      <c r="S165" s="285"/>
      <c r="T165" s="339">
        <f>T163+T164</f>
        <v>0</v>
      </c>
      <c r="U165" s="288"/>
      <c r="V165" s="5"/>
    </row>
    <row r="166" spans="1:22" ht="15.6" x14ac:dyDescent="0.3">
      <c r="A166" s="284"/>
      <c r="B166" s="285" t="s">
        <v>273</v>
      </c>
      <c r="C166" s="285"/>
      <c r="D166" s="285"/>
      <c r="E166" s="285"/>
      <c r="F166" s="285"/>
      <c r="G166" s="285"/>
      <c r="H166" s="285"/>
      <c r="I166" s="285"/>
      <c r="J166" s="285"/>
      <c r="K166" s="285"/>
      <c r="L166" s="285"/>
      <c r="M166" s="285"/>
      <c r="N166" s="285"/>
      <c r="O166" s="285"/>
      <c r="P166" s="285"/>
      <c r="Q166" s="285"/>
      <c r="R166" s="285"/>
      <c r="S166" s="285"/>
      <c r="T166" s="339">
        <f>-T99</f>
        <v>159</v>
      </c>
      <c r="U166" s="288"/>
      <c r="V166" s="5"/>
    </row>
    <row r="167" spans="1:22" ht="16.2" thickBot="1" x14ac:dyDescent="0.35">
      <c r="A167" s="175"/>
      <c r="B167" s="334"/>
      <c r="C167" s="334"/>
      <c r="D167" s="334"/>
      <c r="E167" s="334"/>
      <c r="F167" s="334"/>
      <c r="G167" s="334"/>
      <c r="H167" s="334"/>
      <c r="I167" s="334"/>
      <c r="J167" s="334"/>
      <c r="K167" s="334"/>
      <c r="L167" s="334"/>
      <c r="M167" s="334"/>
      <c r="N167" s="334"/>
      <c r="O167" s="334"/>
      <c r="P167" s="334"/>
      <c r="Q167" s="334"/>
      <c r="R167" s="334"/>
      <c r="S167" s="334"/>
      <c r="T167" s="347"/>
      <c r="U167" s="334"/>
      <c r="V167" s="5"/>
    </row>
    <row r="168" spans="1:22" ht="15.6" x14ac:dyDescent="0.3">
      <c r="A168" s="173"/>
      <c r="B168" s="174"/>
      <c r="C168" s="174"/>
      <c r="D168" s="174"/>
      <c r="E168" s="174"/>
      <c r="F168" s="174"/>
      <c r="G168" s="174"/>
      <c r="H168" s="174"/>
      <c r="I168" s="174"/>
      <c r="J168" s="174"/>
      <c r="K168" s="174"/>
      <c r="L168" s="174"/>
      <c r="M168" s="174"/>
      <c r="N168" s="174"/>
      <c r="O168" s="174"/>
      <c r="P168" s="174"/>
      <c r="Q168" s="174"/>
      <c r="R168" s="174"/>
      <c r="S168" s="174"/>
      <c r="T168" s="193"/>
      <c r="U168" s="174"/>
      <c r="V168" s="5"/>
    </row>
    <row r="169" spans="1:22" ht="15.6" x14ac:dyDescent="0.3">
      <c r="A169" s="175"/>
      <c r="B169" s="201" t="s">
        <v>57</v>
      </c>
      <c r="C169" s="177"/>
      <c r="D169" s="177"/>
      <c r="E169" s="177"/>
      <c r="F169" s="177"/>
      <c r="G169" s="177"/>
      <c r="H169" s="177"/>
      <c r="I169" s="177"/>
      <c r="J169" s="177"/>
      <c r="K169" s="177"/>
      <c r="L169" s="177"/>
      <c r="M169" s="177"/>
      <c r="N169" s="177"/>
      <c r="O169" s="177"/>
      <c r="P169" s="177"/>
      <c r="Q169" s="177"/>
      <c r="R169" s="177"/>
      <c r="S169" s="177"/>
      <c r="T169" s="194"/>
      <c r="U169" s="177"/>
      <c r="V169" s="5"/>
    </row>
    <row r="170" spans="1:22" ht="15.6" x14ac:dyDescent="0.3">
      <c r="A170" s="175"/>
      <c r="B170" s="187"/>
      <c r="C170" s="177"/>
      <c r="D170" s="177"/>
      <c r="E170" s="177"/>
      <c r="F170" s="177"/>
      <c r="G170" s="177"/>
      <c r="H170" s="177"/>
      <c r="I170" s="177"/>
      <c r="J170" s="177"/>
      <c r="K170" s="177"/>
      <c r="L170" s="177"/>
      <c r="M170" s="177"/>
      <c r="N170" s="177"/>
      <c r="O170" s="177"/>
      <c r="P170" s="177"/>
      <c r="Q170" s="177"/>
      <c r="R170" s="177"/>
      <c r="S170" s="177"/>
      <c r="T170" s="194"/>
      <c r="U170" s="177"/>
      <c r="V170" s="5"/>
    </row>
    <row r="171" spans="1:22" ht="15.6" x14ac:dyDescent="0.3">
      <c r="A171" s="284"/>
      <c r="B171" s="285" t="s">
        <v>58</v>
      </c>
      <c r="C171" s="285"/>
      <c r="D171" s="285"/>
      <c r="E171" s="285"/>
      <c r="F171" s="285"/>
      <c r="G171" s="285"/>
      <c r="H171" s="285"/>
      <c r="I171" s="285"/>
      <c r="J171" s="285"/>
      <c r="K171" s="285"/>
      <c r="L171" s="285"/>
      <c r="M171" s="285"/>
      <c r="N171" s="285"/>
      <c r="O171" s="285"/>
      <c r="P171" s="285"/>
      <c r="Q171" s="285"/>
      <c r="R171" s="285"/>
      <c r="S171" s="285"/>
      <c r="T171" s="339">
        <f>T71</f>
        <v>531045</v>
      </c>
      <c r="U171" s="288"/>
      <c r="V171" s="5"/>
    </row>
    <row r="172" spans="1:22" ht="15.6" x14ac:dyDescent="0.3">
      <c r="A172" s="284"/>
      <c r="B172" s="285" t="s">
        <v>59</v>
      </c>
      <c r="C172" s="285"/>
      <c r="D172" s="285"/>
      <c r="E172" s="285"/>
      <c r="F172" s="285"/>
      <c r="G172" s="285"/>
      <c r="H172" s="285"/>
      <c r="I172" s="285"/>
      <c r="J172" s="285"/>
      <c r="K172" s="285"/>
      <c r="L172" s="285"/>
      <c r="M172" s="285"/>
      <c r="N172" s="285"/>
      <c r="O172" s="285"/>
      <c r="P172" s="285"/>
      <c r="Q172" s="285"/>
      <c r="R172" s="285"/>
      <c r="S172" s="285"/>
      <c r="T172" s="339">
        <f>T84</f>
        <v>531045</v>
      </c>
      <c r="U172" s="288"/>
      <c r="V172" s="5"/>
    </row>
    <row r="173" spans="1:22" ht="16.2" thickBot="1" x14ac:dyDescent="0.35">
      <c r="A173" s="175"/>
      <c r="B173" s="334"/>
      <c r="C173" s="334"/>
      <c r="D173" s="334"/>
      <c r="E173" s="334"/>
      <c r="F173" s="334"/>
      <c r="G173" s="334"/>
      <c r="H173" s="334"/>
      <c r="I173" s="334"/>
      <c r="J173" s="334"/>
      <c r="K173" s="334"/>
      <c r="L173" s="334"/>
      <c r="M173" s="334"/>
      <c r="N173" s="334"/>
      <c r="O173" s="334"/>
      <c r="P173" s="334"/>
      <c r="Q173" s="334"/>
      <c r="R173" s="334"/>
      <c r="S173" s="334"/>
      <c r="T173" s="347"/>
      <c r="U173" s="334"/>
      <c r="V173" s="5"/>
    </row>
    <row r="174" spans="1:22" ht="15.6" x14ac:dyDescent="0.3">
      <c r="A174" s="173"/>
      <c r="B174" s="174"/>
      <c r="C174" s="174"/>
      <c r="D174" s="174"/>
      <c r="E174" s="174"/>
      <c r="F174" s="174"/>
      <c r="G174" s="174"/>
      <c r="H174" s="174"/>
      <c r="I174" s="174"/>
      <c r="J174" s="174"/>
      <c r="K174" s="174"/>
      <c r="L174" s="174"/>
      <c r="M174" s="174"/>
      <c r="N174" s="174"/>
      <c r="O174" s="174"/>
      <c r="P174" s="174"/>
      <c r="Q174" s="174"/>
      <c r="R174" s="174"/>
      <c r="S174" s="174"/>
      <c r="T174" s="193"/>
      <c r="U174" s="174"/>
      <c r="V174" s="5"/>
    </row>
    <row r="175" spans="1:22" ht="15.6" x14ac:dyDescent="0.3">
      <c r="A175" s="175"/>
      <c r="B175" s="201" t="s">
        <v>60</v>
      </c>
      <c r="C175" s="198"/>
      <c r="D175" s="198"/>
      <c r="E175" s="198"/>
      <c r="F175" s="198"/>
      <c r="G175" s="198"/>
      <c r="H175" s="203"/>
      <c r="I175" s="203"/>
      <c r="J175" s="203"/>
      <c r="K175" s="203"/>
      <c r="L175" s="203"/>
      <c r="M175" s="203"/>
      <c r="N175" s="203"/>
      <c r="O175" s="203"/>
      <c r="P175" s="203"/>
      <c r="Q175" s="203" t="s">
        <v>104</v>
      </c>
      <c r="R175" s="203" t="s">
        <v>183</v>
      </c>
      <c r="S175" s="179"/>
      <c r="T175" s="204" t="s">
        <v>120</v>
      </c>
      <c r="U175" s="205"/>
      <c r="V175" s="5"/>
    </row>
    <row r="176" spans="1:22" ht="15.6" x14ac:dyDescent="0.3">
      <c r="A176" s="284"/>
      <c r="B176" s="285" t="s">
        <v>61</v>
      </c>
      <c r="C176" s="285"/>
      <c r="D176" s="285"/>
      <c r="E176" s="285"/>
      <c r="F176" s="285"/>
      <c r="G176" s="285"/>
      <c r="H176" s="285"/>
      <c r="I176" s="285"/>
      <c r="J176" s="285"/>
      <c r="K176" s="285"/>
      <c r="L176" s="285"/>
      <c r="M176" s="285"/>
      <c r="N176" s="285"/>
      <c r="O176" s="285"/>
      <c r="P176" s="285"/>
      <c r="Q176" s="339">
        <v>160008</v>
      </c>
      <c r="R176" s="324"/>
      <c r="S176" s="285"/>
      <c r="T176" s="339"/>
      <c r="U176" s="288"/>
      <c r="V176" s="5"/>
    </row>
    <row r="177" spans="1:22" ht="15.6" x14ac:dyDescent="0.3">
      <c r="A177" s="284"/>
      <c r="B177" s="285" t="s">
        <v>62</v>
      </c>
      <c r="C177" s="285"/>
      <c r="D177" s="285"/>
      <c r="E177" s="285"/>
      <c r="F177" s="285"/>
      <c r="G177" s="285"/>
      <c r="H177" s="285"/>
      <c r="I177" s="285"/>
      <c r="J177" s="285"/>
      <c r="K177" s="285"/>
      <c r="L177" s="285"/>
      <c r="M177" s="285"/>
      <c r="N177" s="285"/>
      <c r="O177" s="285"/>
      <c r="P177" s="285"/>
      <c r="Q177" s="339">
        <f>+'Dec 13'!Q179</f>
        <v>37551</v>
      </c>
      <c r="R177" s="339">
        <f>+'Dec 13'!R179</f>
        <v>3447</v>
      </c>
      <c r="S177" s="285"/>
      <c r="T177" s="339">
        <f>Q177+R177</f>
        <v>40998</v>
      </c>
      <c r="U177" s="288"/>
      <c r="V177" s="5"/>
    </row>
    <row r="178" spans="1:22" ht="15.6" x14ac:dyDescent="0.3">
      <c r="A178" s="284"/>
      <c r="B178" s="285" t="s">
        <v>63</v>
      </c>
      <c r="C178" s="285"/>
      <c r="D178" s="285"/>
      <c r="E178" s="285"/>
      <c r="F178" s="285"/>
      <c r="G178" s="285"/>
      <c r="H178" s="285"/>
      <c r="I178" s="285"/>
      <c r="J178" s="285"/>
      <c r="K178" s="285"/>
      <c r="L178" s="285"/>
      <c r="M178" s="285"/>
      <c r="N178" s="285"/>
      <c r="O178" s="285"/>
      <c r="P178" s="285"/>
      <c r="Q178" s="338">
        <f>117+175</f>
        <v>292</v>
      </c>
      <c r="R178" s="338">
        <v>0</v>
      </c>
      <c r="S178" s="285"/>
      <c r="T178" s="339">
        <f>Q178+R178</f>
        <v>292</v>
      </c>
      <c r="U178" s="288"/>
      <c r="V178" s="5"/>
    </row>
    <row r="179" spans="1:22" ht="15.6" x14ac:dyDescent="0.3">
      <c r="A179" s="284"/>
      <c r="B179" s="285" t="s">
        <v>64</v>
      </c>
      <c r="C179" s="285"/>
      <c r="D179" s="285"/>
      <c r="E179" s="285"/>
      <c r="F179" s="285"/>
      <c r="G179" s="285"/>
      <c r="H179" s="285"/>
      <c r="I179" s="285"/>
      <c r="J179" s="285"/>
      <c r="K179" s="285"/>
      <c r="L179" s="285"/>
      <c r="M179" s="285"/>
      <c r="N179" s="285"/>
      <c r="O179" s="285"/>
      <c r="P179" s="285"/>
      <c r="Q179" s="339">
        <f>Q177+Q178</f>
        <v>37843</v>
      </c>
      <c r="R179" s="339">
        <f>R178+R177</f>
        <v>3447</v>
      </c>
      <c r="S179" s="285"/>
      <c r="T179" s="339">
        <f>Q179+R179</f>
        <v>41290</v>
      </c>
      <c r="U179" s="288"/>
      <c r="V179" s="5"/>
    </row>
    <row r="180" spans="1:22" ht="15.6" x14ac:dyDescent="0.3">
      <c r="A180" s="284"/>
      <c r="B180" s="285" t="s">
        <v>65</v>
      </c>
      <c r="C180" s="285"/>
      <c r="D180" s="285"/>
      <c r="E180" s="285"/>
      <c r="F180" s="285"/>
      <c r="G180" s="285"/>
      <c r="H180" s="285"/>
      <c r="I180" s="285"/>
      <c r="J180" s="285"/>
      <c r="K180" s="285"/>
      <c r="L180" s="285"/>
      <c r="M180" s="285"/>
      <c r="N180" s="285"/>
      <c r="O180" s="285"/>
      <c r="P180" s="285"/>
      <c r="Q180" s="339">
        <f>Q176-Q179-R179</f>
        <v>118718</v>
      </c>
      <c r="R180" s="324"/>
      <c r="S180" s="285"/>
      <c r="T180" s="339"/>
      <c r="U180" s="288"/>
      <c r="V180" s="5"/>
    </row>
    <row r="181" spans="1:22" ht="16.2" thickBot="1" x14ac:dyDescent="0.35">
      <c r="A181" s="175"/>
      <c r="B181" s="334"/>
      <c r="C181" s="334"/>
      <c r="D181" s="334"/>
      <c r="E181" s="334"/>
      <c r="F181" s="334"/>
      <c r="G181" s="334"/>
      <c r="H181" s="334"/>
      <c r="I181" s="334"/>
      <c r="J181" s="334"/>
      <c r="K181" s="334"/>
      <c r="L181" s="334"/>
      <c r="M181" s="334"/>
      <c r="N181" s="334"/>
      <c r="O181" s="334"/>
      <c r="P181" s="334"/>
      <c r="Q181" s="334"/>
      <c r="R181" s="334"/>
      <c r="S181" s="334"/>
      <c r="T181" s="347"/>
      <c r="U181" s="334"/>
      <c r="V181" s="5"/>
    </row>
    <row r="182" spans="1:22" ht="15.6" x14ac:dyDescent="0.3">
      <c r="A182" s="173"/>
      <c r="B182" s="174"/>
      <c r="C182" s="174"/>
      <c r="D182" s="174"/>
      <c r="E182" s="174"/>
      <c r="F182" s="174"/>
      <c r="G182" s="174"/>
      <c r="H182" s="174"/>
      <c r="I182" s="174"/>
      <c r="J182" s="174"/>
      <c r="K182" s="174"/>
      <c r="L182" s="174"/>
      <c r="M182" s="174"/>
      <c r="N182" s="174"/>
      <c r="O182" s="174"/>
      <c r="P182" s="174"/>
      <c r="Q182" s="174"/>
      <c r="R182" s="174"/>
      <c r="S182" s="174"/>
      <c r="T182" s="193"/>
      <c r="U182" s="174"/>
      <c r="V182" s="5"/>
    </row>
    <row r="183" spans="1:22" ht="15.6" x14ac:dyDescent="0.3">
      <c r="A183" s="175"/>
      <c r="B183" s="201" t="s">
        <v>66</v>
      </c>
      <c r="C183" s="177"/>
      <c r="D183" s="177"/>
      <c r="E183" s="177"/>
      <c r="F183" s="177"/>
      <c r="G183" s="177"/>
      <c r="H183" s="177"/>
      <c r="I183" s="177"/>
      <c r="J183" s="177"/>
      <c r="K183" s="177"/>
      <c r="L183" s="177"/>
      <c r="M183" s="177"/>
      <c r="N183" s="177"/>
      <c r="O183" s="177"/>
      <c r="P183" s="177"/>
      <c r="Q183" s="177"/>
      <c r="R183" s="177"/>
      <c r="S183" s="177"/>
      <c r="T183" s="206"/>
      <c r="U183" s="177"/>
      <c r="V183" s="5"/>
    </row>
    <row r="184" spans="1:22" ht="15.6" x14ac:dyDescent="0.3">
      <c r="A184" s="284"/>
      <c r="B184" s="285" t="s">
        <v>67</v>
      </c>
      <c r="C184" s="285"/>
      <c r="D184" s="285"/>
      <c r="E184" s="285"/>
      <c r="F184" s="285"/>
      <c r="G184" s="285"/>
      <c r="H184" s="285"/>
      <c r="I184" s="285"/>
      <c r="J184" s="285"/>
      <c r="K184" s="285"/>
      <c r="L184" s="285"/>
      <c r="M184" s="285"/>
      <c r="N184" s="285"/>
      <c r="O184" s="285"/>
      <c r="P184" s="285"/>
      <c r="Q184" s="285"/>
      <c r="R184" s="285"/>
      <c r="S184" s="285"/>
      <c r="T184" s="348">
        <f>(T100+T102+T103+T104+T105)/-(T106+T107)</f>
        <v>4.3230088495575218</v>
      </c>
      <c r="U184" s="288" t="s">
        <v>121</v>
      </c>
      <c r="V184" s="5"/>
    </row>
    <row r="185" spans="1:22" ht="15.6" x14ac:dyDescent="0.3">
      <c r="A185" s="284"/>
      <c r="B185" s="285" t="s">
        <v>68</v>
      </c>
      <c r="C185" s="285"/>
      <c r="D185" s="285"/>
      <c r="E185" s="285"/>
      <c r="F185" s="285"/>
      <c r="G185" s="285"/>
      <c r="H185" s="285"/>
      <c r="I185" s="285"/>
      <c r="J185" s="285"/>
      <c r="K185" s="285"/>
      <c r="L185" s="285"/>
      <c r="M185" s="285"/>
      <c r="N185" s="285"/>
      <c r="O185" s="285"/>
      <c r="P185" s="285"/>
      <c r="Q185" s="285"/>
      <c r="R185" s="285"/>
      <c r="S185" s="285"/>
      <c r="T185" s="349">
        <v>1.74</v>
      </c>
      <c r="U185" s="288" t="s">
        <v>121</v>
      </c>
      <c r="V185" s="5"/>
    </row>
    <row r="186" spans="1:22" ht="15.6" x14ac:dyDescent="0.3">
      <c r="A186" s="284"/>
      <c r="B186" s="285" t="s">
        <v>69</v>
      </c>
      <c r="C186" s="285"/>
      <c r="D186" s="285"/>
      <c r="E186" s="285"/>
      <c r="F186" s="285"/>
      <c r="G186" s="285"/>
      <c r="H186" s="285"/>
      <c r="I186" s="285"/>
      <c r="J186" s="285"/>
      <c r="K186" s="285"/>
      <c r="L186" s="285"/>
      <c r="M186" s="285"/>
      <c r="N186" s="285"/>
      <c r="O186" s="285"/>
      <c r="P186" s="285"/>
      <c r="Q186" s="285"/>
      <c r="R186" s="285"/>
      <c r="S186" s="285"/>
      <c r="T186" s="348">
        <f>(T100+T102+T103+T104+T105+T106+T107)/-(T108+T109)</f>
        <v>12.311475409836065</v>
      </c>
      <c r="U186" s="288" t="s">
        <v>121</v>
      </c>
      <c r="V186" s="5"/>
    </row>
    <row r="187" spans="1:22" ht="15.6" x14ac:dyDescent="0.3">
      <c r="A187" s="284"/>
      <c r="B187" s="285" t="s">
        <v>70</v>
      </c>
      <c r="C187" s="285"/>
      <c r="D187" s="285"/>
      <c r="E187" s="285"/>
      <c r="F187" s="285"/>
      <c r="G187" s="285"/>
      <c r="H187" s="285"/>
      <c r="I187" s="285"/>
      <c r="J187" s="285"/>
      <c r="K187" s="285"/>
      <c r="L187" s="285"/>
      <c r="M187" s="285"/>
      <c r="N187" s="285"/>
      <c r="O187" s="285"/>
      <c r="P187" s="285"/>
      <c r="Q187" s="285"/>
      <c r="R187" s="285"/>
      <c r="S187" s="285"/>
      <c r="T187" s="349">
        <v>6.19</v>
      </c>
      <c r="U187" s="288" t="s">
        <v>121</v>
      </c>
      <c r="V187" s="5"/>
    </row>
    <row r="188" spans="1:22" ht="15.6" x14ac:dyDescent="0.3">
      <c r="A188" s="284"/>
      <c r="B188" s="285" t="s">
        <v>206</v>
      </c>
      <c r="C188" s="285"/>
      <c r="D188" s="285"/>
      <c r="E188" s="285"/>
      <c r="F188" s="285"/>
      <c r="G188" s="285"/>
      <c r="H188" s="285"/>
      <c r="I188" s="285"/>
      <c r="J188" s="285"/>
      <c r="K188" s="285"/>
      <c r="L188" s="285"/>
      <c r="M188" s="285"/>
      <c r="N188" s="285"/>
      <c r="O188" s="285"/>
      <c r="P188" s="285"/>
      <c r="Q188" s="285"/>
      <c r="R188" s="285"/>
      <c r="S188" s="285"/>
      <c r="T188" s="348">
        <f>(T100+T102+T103+T104+T105+T106+T107+T108+T109)/-(T110)</f>
        <v>9.3243243243243246</v>
      </c>
      <c r="U188" s="288" t="s">
        <v>121</v>
      </c>
      <c r="V188" s="5"/>
    </row>
    <row r="189" spans="1:22" ht="15.6" x14ac:dyDescent="0.3">
      <c r="A189" s="284"/>
      <c r="B189" s="285" t="s">
        <v>207</v>
      </c>
      <c r="C189" s="285"/>
      <c r="D189" s="285"/>
      <c r="E189" s="285"/>
      <c r="F189" s="285"/>
      <c r="G189" s="285"/>
      <c r="H189" s="285"/>
      <c r="I189" s="285"/>
      <c r="J189" s="285"/>
      <c r="K189" s="285"/>
      <c r="L189" s="285"/>
      <c r="M189" s="285"/>
      <c r="N189" s="285"/>
      <c r="O189" s="285"/>
      <c r="P189" s="285"/>
      <c r="Q189" s="285"/>
      <c r="R189" s="285"/>
      <c r="S189" s="285"/>
      <c r="T189" s="349">
        <v>5.62</v>
      </c>
      <c r="U189" s="288" t="s">
        <v>121</v>
      </c>
      <c r="V189" s="5"/>
    </row>
    <row r="190" spans="1:22" ht="15.6" x14ac:dyDescent="0.3">
      <c r="A190" s="284"/>
      <c r="B190" s="311"/>
      <c r="C190" s="311"/>
      <c r="D190" s="311"/>
      <c r="E190" s="311"/>
      <c r="F190" s="311"/>
      <c r="G190" s="311"/>
      <c r="H190" s="311"/>
      <c r="I190" s="311"/>
      <c r="J190" s="311"/>
      <c r="K190" s="311"/>
      <c r="L190" s="311"/>
      <c r="M190" s="311"/>
      <c r="N190" s="311"/>
      <c r="O190" s="311"/>
      <c r="P190" s="311"/>
      <c r="Q190" s="311"/>
      <c r="R190" s="311"/>
      <c r="S190" s="311"/>
      <c r="T190" s="311"/>
      <c r="U190" s="317"/>
      <c r="V190" s="5"/>
    </row>
    <row r="191" spans="1:22" ht="15.6" x14ac:dyDescent="0.3">
      <c r="A191" s="175"/>
      <c r="B191" s="334"/>
      <c r="C191" s="334"/>
      <c r="D191" s="334"/>
      <c r="E191" s="334"/>
      <c r="F191" s="334"/>
      <c r="G191" s="334"/>
      <c r="H191" s="334"/>
      <c r="I191" s="334"/>
      <c r="J191" s="334"/>
      <c r="K191" s="334"/>
      <c r="L191" s="334"/>
      <c r="M191" s="334"/>
      <c r="N191" s="334"/>
      <c r="O191" s="334"/>
      <c r="P191" s="334"/>
      <c r="Q191" s="334"/>
      <c r="R191" s="334"/>
      <c r="S191" s="334"/>
      <c r="T191" s="334"/>
      <c r="U191" s="334"/>
      <c r="V191" s="5"/>
    </row>
    <row r="192" spans="1:22" ht="15.6" x14ac:dyDescent="0.3">
      <c r="A192" s="175"/>
      <c r="B192" s="177"/>
      <c r="C192" s="177"/>
      <c r="D192" s="177"/>
      <c r="E192" s="177"/>
      <c r="F192" s="177"/>
      <c r="G192" s="177"/>
      <c r="H192" s="177"/>
      <c r="I192" s="177"/>
      <c r="J192" s="177"/>
      <c r="K192" s="177"/>
      <c r="L192" s="177"/>
      <c r="M192" s="177"/>
      <c r="N192" s="177"/>
      <c r="O192" s="177"/>
      <c r="P192" s="177"/>
      <c r="Q192" s="177"/>
      <c r="R192" s="177"/>
      <c r="S192" s="177"/>
      <c r="T192" s="177"/>
      <c r="U192" s="177"/>
      <c r="V192" s="5"/>
    </row>
    <row r="193" spans="1:22" ht="18" thickBot="1" x14ac:dyDescent="0.35">
      <c r="A193" s="192"/>
      <c r="B193" s="246" t="str">
        <f>B133</f>
        <v>PM11 INVESTOR REPORT QUARTER ENDING MARCH 2014</v>
      </c>
      <c r="C193" s="207"/>
      <c r="D193" s="207"/>
      <c r="E193" s="207"/>
      <c r="F193" s="207"/>
      <c r="G193" s="207"/>
      <c r="H193" s="207"/>
      <c r="I193" s="207"/>
      <c r="J193" s="207"/>
      <c r="K193" s="207"/>
      <c r="L193" s="207"/>
      <c r="M193" s="207"/>
      <c r="N193" s="207"/>
      <c r="O193" s="207"/>
      <c r="P193" s="207"/>
      <c r="Q193" s="207"/>
      <c r="R193" s="207"/>
      <c r="S193" s="207"/>
      <c r="T193" s="207"/>
      <c r="U193" s="208"/>
      <c r="V193" s="5"/>
    </row>
    <row r="194" spans="1:22" ht="15.6" x14ac:dyDescent="0.3">
      <c r="A194" s="260"/>
      <c r="B194" s="399" t="s">
        <v>71</v>
      </c>
      <c r="C194" s="400"/>
      <c r="D194" s="400"/>
      <c r="E194" s="400"/>
      <c r="F194" s="400"/>
      <c r="G194" s="401"/>
      <c r="H194" s="401"/>
      <c r="I194" s="401"/>
      <c r="J194" s="401"/>
      <c r="K194" s="401"/>
      <c r="L194" s="401"/>
      <c r="M194" s="401"/>
      <c r="N194" s="401"/>
      <c r="O194" s="401"/>
      <c r="P194" s="401"/>
      <c r="Q194" s="401"/>
      <c r="R194" s="401">
        <v>41729</v>
      </c>
      <c r="S194" s="261"/>
      <c r="T194" s="261"/>
      <c r="U194" s="261"/>
      <c r="V194" s="5"/>
    </row>
    <row r="195" spans="1:22" ht="15.6" x14ac:dyDescent="0.3">
      <c r="A195" s="209"/>
      <c r="B195" s="210"/>
      <c r="C195" s="211"/>
      <c r="D195" s="211"/>
      <c r="E195" s="211"/>
      <c r="F195" s="211"/>
      <c r="G195" s="212"/>
      <c r="H195" s="212"/>
      <c r="I195" s="212"/>
      <c r="J195" s="212"/>
      <c r="K195" s="212"/>
      <c r="L195" s="212"/>
      <c r="M195" s="212"/>
      <c r="N195" s="212"/>
      <c r="O195" s="212"/>
      <c r="P195" s="212"/>
      <c r="Q195" s="212"/>
      <c r="R195" s="212"/>
      <c r="S195" s="177"/>
      <c r="T195" s="177"/>
      <c r="U195" s="177"/>
      <c r="V195" s="5"/>
    </row>
    <row r="196" spans="1:22" ht="15.6" x14ac:dyDescent="0.3">
      <c r="A196" s="352"/>
      <c r="B196" s="285" t="s">
        <v>72</v>
      </c>
      <c r="C196" s="353"/>
      <c r="D196" s="353"/>
      <c r="E196" s="353"/>
      <c r="F196" s="353"/>
      <c r="G196" s="329"/>
      <c r="H196" s="329"/>
      <c r="I196" s="329"/>
      <c r="J196" s="329"/>
      <c r="K196" s="329"/>
      <c r="L196" s="329"/>
      <c r="M196" s="329"/>
      <c r="N196" s="329"/>
      <c r="O196" s="329"/>
      <c r="P196" s="329"/>
      <c r="Q196" s="329"/>
      <c r="R196" s="320">
        <v>5.1569999999999998E-2</v>
      </c>
      <c r="S196" s="285"/>
      <c r="T196" s="285"/>
      <c r="U196" s="317"/>
      <c r="V196" s="5"/>
    </row>
    <row r="197" spans="1:22" ht="15.6" x14ac:dyDescent="0.3">
      <c r="A197" s="352"/>
      <c r="B197" s="285" t="s">
        <v>157</v>
      </c>
      <c r="C197" s="353"/>
      <c r="D197" s="353"/>
      <c r="E197" s="353"/>
      <c r="F197" s="353"/>
      <c r="G197" s="329"/>
      <c r="H197" s="329"/>
      <c r="I197" s="329"/>
      <c r="J197" s="329"/>
      <c r="K197" s="329"/>
      <c r="L197" s="329"/>
      <c r="M197" s="329"/>
      <c r="N197" s="329"/>
      <c r="O197" s="329"/>
      <c r="P197" s="329"/>
      <c r="Q197" s="329"/>
      <c r="R197" s="320">
        <v>4.6899999999999997E-2</v>
      </c>
      <c r="S197" s="285"/>
      <c r="T197" s="285"/>
      <c r="U197" s="317"/>
      <c r="V197" s="5"/>
    </row>
    <row r="198" spans="1:22" ht="15.6" x14ac:dyDescent="0.3">
      <c r="A198" s="352"/>
      <c r="B198" s="285" t="s">
        <v>73</v>
      </c>
      <c r="C198" s="353"/>
      <c r="D198" s="353"/>
      <c r="E198" s="353"/>
      <c r="F198" s="353"/>
      <c r="G198" s="329"/>
      <c r="H198" s="329"/>
      <c r="I198" s="329"/>
      <c r="J198" s="329"/>
      <c r="K198" s="329"/>
      <c r="L198" s="329"/>
      <c r="M198" s="329"/>
      <c r="N198" s="329"/>
      <c r="O198" s="329"/>
      <c r="P198" s="329"/>
      <c r="Q198" s="329"/>
      <c r="R198" s="320">
        <f>R196-R197</f>
        <v>4.6700000000000005E-3</v>
      </c>
      <c r="S198" s="285"/>
      <c r="T198" s="285"/>
      <c r="U198" s="317"/>
      <c r="V198" s="5"/>
    </row>
    <row r="199" spans="1:22" ht="15.6" x14ac:dyDescent="0.3">
      <c r="A199" s="352"/>
      <c r="B199" s="285" t="s">
        <v>74</v>
      </c>
      <c r="C199" s="353"/>
      <c r="D199" s="353"/>
      <c r="E199" s="353"/>
      <c r="F199" s="353"/>
      <c r="G199" s="329"/>
      <c r="H199" s="329"/>
      <c r="I199" s="329"/>
      <c r="J199" s="329"/>
      <c r="K199" s="329"/>
      <c r="L199" s="329"/>
      <c r="M199" s="329"/>
      <c r="N199" s="329"/>
      <c r="O199" s="329"/>
      <c r="P199" s="329"/>
      <c r="Q199" s="329"/>
      <c r="R199" s="320">
        <v>2.282E-2</v>
      </c>
      <c r="S199" s="285"/>
      <c r="T199" s="285"/>
      <c r="U199" s="317"/>
      <c r="V199" s="5"/>
    </row>
    <row r="200" spans="1:22" ht="15.6" x14ac:dyDescent="0.3">
      <c r="A200" s="352"/>
      <c r="B200" s="285" t="s">
        <v>257</v>
      </c>
      <c r="C200" s="353"/>
      <c r="D200" s="353"/>
      <c r="E200" s="353"/>
      <c r="F200" s="353"/>
      <c r="G200" s="329"/>
      <c r="H200" s="329"/>
      <c r="I200" s="329"/>
      <c r="J200" s="329"/>
      <c r="K200" s="329"/>
      <c r="L200" s="329"/>
      <c r="M200" s="329"/>
      <c r="N200" s="329"/>
      <c r="O200" s="329"/>
      <c r="P200" s="329"/>
      <c r="Q200" s="329"/>
      <c r="R200" s="320">
        <f>T43</f>
        <v>8.2102433892097607E-3</v>
      </c>
      <c r="S200" s="285"/>
      <c r="T200" s="285"/>
      <c r="U200" s="317"/>
      <c r="V200" s="5"/>
    </row>
    <row r="201" spans="1:22" ht="15.6" x14ac:dyDescent="0.3">
      <c r="A201" s="352"/>
      <c r="B201" s="285" t="s">
        <v>75</v>
      </c>
      <c r="C201" s="353"/>
      <c r="D201" s="353"/>
      <c r="E201" s="353"/>
      <c r="F201" s="353"/>
      <c r="G201" s="329"/>
      <c r="H201" s="329"/>
      <c r="I201" s="329"/>
      <c r="J201" s="329"/>
      <c r="K201" s="329"/>
      <c r="L201" s="329"/>
      <c r="M201" s="329"/>
      <c r="N201" s="329"/>
      <c r="O201" s="329"/>
      <c r="P201" s="329"/>
      <c r="Q201" s="329"/>
      <c r="R201" s="320">
        <f>R199-R200</f>
        <v>1.4609756610790239E-2</v>
      </c>
      <c r="S201" s="285"/>
      <c r="T201" s="285"/>
      <c r="U201" s="317"/>
      <c r="V201" s="5"/>
    </row>
    <row r="202" spans="1:22" ht="15.6" x14ac:dyDescent="0.3">
      <c r="A202" s="352"/>
      <c r="B202" s="285" t="s">
        <v>260</v>
      </c>
      <c r="C202" s="353"/>
      <c r="D202" s="353"/>
      <c r="E202" s="353"/>
      <c r="F202" s="353"/>
      <c r="G202" s="329"/>
      <c r="H202" s="329"/>
      <c r="I202" s="329"/>
      <c r="J202" s="329"/>
      <c r="K202" s="329"/>
      <c r="L202" s="329"/>
      <c r="M202" s="329"/>
      <c r="N202" s="329"/>
      <c r="O202" s="329"/>
      <c r="P202" s="329"/>
      <c r="Q202" s="329"/>
      <c r="R202" s="320">
        <f>+T100/L71</f>
        <v>6.0989860575907323E-3</v>
      </c>
      <c r="S202" s="285"/>
      <c r="T202" s="285"/>
      <c r="U202" s="317"/>
      <c r="V202" s="5"/>
    </row>
    <row r="203" spans="1:22" ht="15.6" x14ac:dyDescent="0.3">
      <c r="A203" s="352"/>
      <c r="B203" s="285" t="s">
        <v>217</v>
      </c>
      <c r="C203" s="353"/>
      <c r="D203" s="353"/>
      <c r="E203" s="353"/>
      <c r="F203" s="353"/>
      <c r="G203" s="329"/>
      <c r="H203" s="329"/>
      <c r="I203" s="329"/>
      <c r="J203" s="329"/>
      <c r="K203" s="329"/>
      <c r="L203" s="329"/>
      <c r="M203" s="329"/>
      <c r="N203" s="329"/>
      <c r="O203" s="329"/>
      <c r="P203" s="329"/>
      <c r="Q203" s="329"/>
      <c r="R203" s="354">
        <v>15250</v>
      </c>
      <c r="S203" s="285"/>
      <c r="T203" s="285"/>
      <c r="U203" s="317"/>
      <c r="V203" s="5"/>
    </row>
    <row r="204" spans="1:22" ht="15.6" x14ac:dyDescent="0.3">
      <c r="A204" s="352"/>
      <c r="B204" s="285" t="s">
        <v>218</v>
      </c>
      <c r="C204" s="353"/>
      <c r="D204" s="353"/>
      <c r="E204" s="353"/>
      <c r="F204" s="353"/>
      <c r="G204" s="329"/>
      <c r="H204" s="329"/>
      <c r="I204" s="329"/>
      <c r="J204" s="329"/>
      <c r="K204" s="329"/>
      <c r="L204" s="329"/>
      <c r="M204" s="329"/>
      <c r="N204" s="329"/>
      <c r="O204" s="329"/>
      <c r="P204" s="329"/>
      <c r="Q204" s="329"/>
      <c r="R204" s="354">
        <v>15250</v>
      </c>
      <c r="S204" s="285"/>
      <c r="T204" s="285"/>
      <c r="U204" s="317"/>
      <c r="V204" s="5"/>
    </row>
    <row r="205" spans="1:22" ht="15.6" x14ac:dyDescent="0.3">
      <c r="A205" s="352"/>
      <c r="B205" s="285" t="s">
        <v>219</v>
      </c>
      <c r="C205" s="353"/>
      <c r="D205" s="353"/>
      <c r="E205" s="353"/>
      <c r="F205" s="353"/>
      <c r="G205" s="329"/>
      <c r="H205" s="329"/>
      <c r="I205" s="329"/>
      <c r="J205" s="329"/>
      <c r="K205" s="329"/>
      <c r="L205" s="329"/>
      <c r="M205" s="329"/>
      <c r="N205" s="329"/>
      <c r="O205" s="329"/>
      <c r="P205" s="329"/>
      <c r="Q205" s="329"/>
      <c r="R205" s="354">
        <v>15250</v>
      </c>
      <c r="S205" s="285"/>
      <c r="T205" s="285"/>
      <c r="U205" s="317"/>
      <c r="V205" s="5"/>
    </row>
    <row r="206" spans="1:22" ht="15.6" x14ac:dyDescent="0.3">
      <c r="A206" s="352"/>
      <c r="B206" s="285" t="s">
        <v>76</v>
      </c>
      <c r="C206" s="353"/>
      <c r="D206" s="353"/>
      <c r="E206" s="353"/>
      <c r="F206" s="353"/>
      <c r="G206" s="329"/>
      <c r="H206" s="329"/>
      <c r="I206" s="329"/>
      <c r="J206" s="329"/>
      <c r="K206" s="329"/>
      <c r="L206" s="329"/>
      <c r="M206" s="329"/>
      <c r="N206" s="329"/>
      <c r="O206" s="329"/>
      <c r="P206" s="329"/>
      <c r="Q206" s="329"/>
      <c r="R206" s="326">
        <v>21.18</v>
      </c>
      <c r="S206" s="285" t="s">
        <v>116</v>
      </c>
      <c r="T206" s="285"/>
      <c r="U206" s="317"/>
      <c r="V206" s="5"/>
    </row>
    <row r="207" spans="1:22" ht="15.6" x14ac:dyDescent="0.3">
      <c r="A207" s="352"/>
      <c r="B207" s="285" t="s">
        <v>77</v>
      </c>
      <c r="C207" s="353"/>
      <c r="D207" s="353"/>
      <c r="E207" s="353"/>
      <c r="F207" s="353"/>
      <c r="G207" s="329"/>
      <c r="H207" s="329"/>
      <c r="I207" s="329"/>
      <c r="J207" s="329"/>
      <c r="K207" s="329"/>
      <c r="L207" s="329"/>
      <c r="M207" s="329"/>
      <c r="N207" s="329"/>
      <c r="O207" s="329"/>
      <c r="P207" s="329"/>
      <c r="Q207" s="329"/>
      <c r="R207" s="326">
        <v>13.42</v>
      </c>
      <c r="S207" s="285" t="s">
        <v>116</v>
      </c>
      <c r="T207" s="285"/>
      <c r="U207" s="317"/>
      <c r="V207" s="5"/>
    </row>
    <row r="208" spans="1:22" ht="15.6" x14ac:dyDescent="0.3">
      <c r="A208" s="352"/>
      <c r="B208" s="285" t="s">
        <v>78</v>
      </c>
      <c r="C208" s="353"/>
      <c r="D208" s="353"/>
      <c r="E208" s="353"/>
      <c r="F208" s="353"/>
      <c r="G208" s="329"/>
      <c r="H208" s="329"/>
      <c r="I208" s="329"/>
      <c r="J208" s="329"/>
      <c r="K208" s="329"/>
      <c r="L208" s="329"/>
      <c r="M208" s="329"/>
      <c r="N208" s="329"/>
      <c r="O208" s="329"/>
      <c r="P208" s="329"/>
      <c r="Q208" s="329"/>
      <c r="R208" s="320">
        <f>N68/L68</f>
        <v>7.647103916476424E-3</v>
      </c>
      <c r="S208" s="285"/>
      <c r="T208" s="285"/>
      <c r="U208" s="317"/>
      <c r="V208" s="5"/>
    </row>
    <row r="209" spans="1:22" ht="15.6" x14ac:dyDescent="0.3">
      <c r="A209" s="352"/>
      <c r="B209" s="285" t="s">
        <v>79</v>
      </c>
      <c r="C209" s="353"/>
      <c r="D209" s="353"/>
      <c r="E209" s="353"/>
      <c r="F209" s="353"/>
      <c r="G209" s="329"/>
      <c r="H209" s="329"/>
      <c r="I209" s="329"/>
      <c r="J209" s="329"/>
      <c r="K209" s="329"/>
      <c r="L209" s="329"/>
      <c r="M209" s="329"/>
      <c r="N209" s="329"/>
      <c r="O209" s="329"/>
      <c r="P209" s="329"/>
      <c r="Q209" s="329"/>
      <c r="R209" s="320">
        <v>8.1600000000000006E-2</v>
      </c>
      <c r="S209" s="285"/>
      <c r="T209" s="285"/>
      <c r="U209" s="317"/>
      <c r="V209" s="5"/>
    </row>
    <row r="210" spans="1:22" ht="15.6" x14ac:dyDescent="0.3">
      <c r="A210" s="209"/>
      <c r="B210" s="350"/>
      <c r="C210" s="350"/>
      <c r="D210" s="350"/>
      <c r="E210" s="350"/>
      <c r="F210" s="350"/>
      <c r="G210" s="334"/>
      <c r="H210" s="334"/>
      <c r="I210" s="334"/>
      <c r="J210" s="334"/>
      <c r="K210" s="334"/>
      <c r="L210" s="334"/>
      <c r="M210" s="334"/>
      <c r="N210" s="334"/>
      <c r="O210" s="334"/>
      <c r="P210" s="334"/>
      <c r="Q210" s="334"/>
      <c r="R210" s="347"/>
      <c r="S210" s="334"/>
      <c r="T210" s="351"/>
      <c r="U210" s="334"/>
      <c r="V210" s="5"/>
    </row>
    <row r="211" spans="1:22" ht="15.6" x14ac:dyDescent="0.3">
      <c r="A211" s="266"/>
      <c r="B211" s="395" t="s">
        <v>80</v>
      </c>
      <c r="C211" s="396"/>
      <c r="D211" s="396"/>
      <c r="E211" s="396"/>
      <c r="F211" s="402"/>
      <c r="G211" s="396"/>
      <c r="H211" s="396"/>
      <c r="I211" s="396"/>
      <c r="J211" s="396"/>
      <c r="K211" s="396"/>
      <c r="L211" s="396"/>
      <c r="M211" s="396"/>
      <c r="N211" s="396"/>
      <c r="O211" s="396"/>
      <c r="P211" s="396"/>
      <c r="Q211" s="396" t="s">
        <v>105</v>
      </c>
      <c r="R211" s="402" t="s">
        <v>112</v>
      </c>
      <c r="S211" s="223"/>
      <c r="T211" s="223"/>
      <c r="U211" s="223"/>
      <c r="V211" s="5"/>
    </row>
    <row r="212" spans="1:22" ht="15.6" x14ac:dyDescent="0.3">
      <c r="A212" s="214"/>
      <c r="B212" s="239" t="s">
        <v>81</v>
      </c>
      <c r="C212" s="243"/>
      <c r="D212" s="243"/>
      <c r="E212" s="243"/>
      <c r="F212" s="239"/>
      <c r="G212" s="239"/>
      <c r="H212" s="242"/>
      <c r="I212" s="242"/>
      <c r="J212" s="242"/>
      <c r="K212" s="242"/>
      <c r="L212" s="242"/>
      <c r="M212" s="242"/>
      <c r="N212" s="242"/>
      <c r="O212" s="242"/>
      <c r="P212" s="242"/>
      <c r="Q212" s="242">
        <v>1</v>
      </c>
      <c r="R212" s="272">
        <v>299</v>
      </c>
      <c r="S212" s="239"/>
      <c r="T212" s="273"/>
      <c r="U212" s="215"/>
      <c r="V212" s="5"/>
    </row>
    <row r="213" spans="1:22" ht="15.6" x14ac:dyDescent="0.3">
      <c r="A213" s="360"/>
      <c r="B213" s="285" t="s">
        <v>151</v>
      </c>
      <c r="C213" s="338"/>
      <c r="D213" s="338"/>
      <c r="E213" s="338"/>
      <c r="F213" s="285"/>
      <c r="G213" s="285"/>
      <c r="H213" s="293"/>
      <c r="I213" s="293"/>
      <c r="J213" s="293"/>
      <c r="K213" s="293"/>
      <c r="L213" s="293"/>
      <c r="M213" s="293"/>
      <c r="N213" s="293"/>
      <c r="O213" s="293"/>
      <c r="P213" s="293"/>
      <c r="Q213" s="361">
        <f>+P265</f>
        <v>97</v>
      </c>
      <c r="R213" s="362">
        <f>+R265</f>
        <v>14597</v>
      </c>
      <c r="S213" s="285"/>
      <c r="T213" s="363"/>
      <c r="U213" s="364"/>
      <c r="V213" s="5"/>
    </row>
    <row r="214" spans="1:22" ht="15.6" x14ac:dyDescent="0.3">
      <c r="A214" s="360"/>
      <c r="B214" s="285" t="s">
        <v>82</v>
      </c>
      <c r="C214" s="338"/>
      <c r="D214" s="338"/>
      <c r="E214" s="338"/>
      <c r="F214" s="285"/>
      <c r="G214" s="285"/>
      <c r="H214" s="293"/>
      <c r="I214" s="293"/>
      <c r="J214" s="293"/>
      <c r="K214" s="293"/>
      <c r="L214" s="293"/>
      <c r="M214" s="293"/>
      <c r="N214" s="293"/>
      <c r="O214" s="293"/>
      <c r="P214" s="293"/>
      <c r="Q214" s="361">
        <f>+P277</f>
        <v>0</v>
      </c>
      <c r="R214" s="362">
        <f>+R277</f>
        <v>0</v>
      </c>
      <c r="S214" s="285"/>
      <c r="T214" s="363"/>
      <c r="U214" s="364"/>
      <c r="V214" s="5"/>
    </row>
    <row r="215" spans="1:22" ht="15.6" x14ac:dyDescent="0.3">
      <c r="A215" s="360"/>
      <c r="B215" s="310" t="s">
        <v>83</v>
      </c>
      <c r="C215" s="365"/>
      <c r="D215" s="365"/>
      <c r="E215" s="365"/>
      <c r="F215" s="311"/>
      <c r="G215" s="311"/>
      <c r="H215" s="311"/>
      <c r="I215" s="311"/>
      <c r="J215" s="311"/>
      <c r="K215" s="311"/>
      <c r="L215" s="311"/>
      <c r="M215" s="311"/>
      <c r="N215" s="311"/>
      <c r="O215" s="311"/>
      <c r="P215" s="311"/>
      <c r="Q215" s="285"/>
      <c r="R215" s="362">
        <v>0</v>
      </c>
      <c r="S215" s="311"/>
      <c r="T215" s="366"/>
      <c r="U215" s="364"/>
      <c r="V215" s="5"/>
    </row>
    <row r="216" spans="1:22" ht="15.6" x14ac:dyDescent="0.3">
      <c r="A216" s="360"/>
      <c r="B216" s="310" t="s">
        <v>84</v>
      </c>
      <c r="C216" s="365"/>
      <c r="D216" s="365"/>
      <c r="E216" s="365"/>
      <c r="F216" s="311"/>
      <c r="G216" s="311"/>
      <c r="H216" s="311"/>
      <c r="I216" s="311"/>
      <c r="J216" s="311"/>
      <c r="K216" s="311"/>
      <c r="L216" s="311"/>
      <c r="M216" s="311"/>
      <c r="N216" s="311"/>
      <c r="O216" s="311"/>
      <c r="P216" s="311"/>
      <c r="Q216" s="285"/>
      <c r="R216" s="367" t="s">
        <v>113</v>
      </c>
      <c r="S216" s="311"/>
      <c r="T216" s="366"/>
      <c r="U216" s="364"/>
      <c r="V216" s="5"/>
    </row>
    <row r="217" spans="1:22" ht="15.6" x14ac:dyDescent="0.3">
      <c r="A217" s="368"/>
      <c r="B217" s="310" t="s">
        <v>85</v>
      </c>
      <c r="C217" s="369"/>
      <c r="D217" s="369"/>
      <c r="E217" s="369"/>
      <c r="F217" s="369"/>
      <c r="G217" s="311"/>
      <c r="H217" s="311"/>
      <c r="I217" s="311"/>
      <c r="J217" s="311"/>
      <c r="K217" s="311"/>
      <c r="L217" s="311"/>
      <c r="M217" s="311"/>
      <c r="N217" s="311"/>
      <c r="O217" s="311"/>
      <c r="P217" s="311"/>
      <c r="Q217" s="285"/>
      <c r="R217" s="362"/>
      <c r="S217" s="311"/>
      <c r="T217" s="366"/>
      <c r="U217" s="370"/>
      <c r="V217" s="5"/>
    </row>
    <row r="218" spans="1:22" ht="15.6" x14ac:dyDescent="0.3">
      <c r="A218" s="368"/>
      <c r="B218" s="285" t="s">
        <v>86</v>
      </c>
      <c r="C218" s="285"/>
      <c r="D218" s="285"/>
      <c r="E218" s="285"/>
      <c r="F218" s="285"/>
      <c r="G218" s="285"/>
      <c r="H218" s="285"/>
      <c r="I218" s="285"/>
      <c r="J218" s="285"/>
      <c r="K218" s="285"/>
      <c r="L218" s="285"/>
      <c r="M218" s="285"/>
      <c r="N218" s="285"/>
      <c r="O218" s="285"/>
      <c r="P218" s="285"/>
      <c r="Q218" s="293"/>
      <c r="R218" s="362">
        <f>T162</f>
        <v>117</v>
      </c>
      <c r="S218" s="285"/>
      <c r="T218" s="363"/>
      <c r="U218" s="370"/>
      <c r="V218" s="5"/>
    </row>
    <row r="219" spans="1:22" ht="15.6" x14ac:dyDescent="0.3">
      <c r="A219" s="360"/>
      <c r="B219" s="285" t="s">
        <v>87</v>
      </c>
      <c r="C219" s="338"/>
      <c r="D219" s="338"/>
      <c r="E219" s="338"/>
      <c r="F219" s="338"/>
      <c r="G219" s="285"/>
      <c r="H219" s="285"/>
      <c r="I219" s="285"/>
      <c r="J219" s="285"/>
      <c r="K219" s="285"/>
      <c r="L219" s="285"/>
      <c r="M219" s="285"/>
      <c r="N219" s="285"/>
      <c r="O219" s="285"/>
      <c r="P219" s="285"/>
      <c r="Q219" s="293"/>
      <c r="R219" s="362">
        <f>'Dec 13'!R219+R218</f>
        <v>4794</v>
      </c>
      <c r="S219" s="285"/>
      <c r="T219" s="363"/>
      <c r="U219" s="370"/>
      <c r="V219" s="5"/>
    </row>
    <row r="220" spans="1:22" ht="15.6" x14ac:dyDescent="0.3">
      <c r="A220" s="368"/>
      <c r="B220" s="310" t="s">
        <v>282</v>
      </c>
      <c r="C220" s="369"/>
      <c r="D220" s="369"/>
      <c r="E220" s="369"/>
      <c r="F220" s="369"/>
      <c r="G220" s="311"/>
      <c r="H220" s="311"/>
      <c r="I220" s="311"/>
      <c r="J220" s="311"/>
      <c r="K220" s="311"/>
      <c r="L220" s="311"/>
      <c r="M220" s="311"/>
      <c r="N220" s="311"/>
      <c r="O220" s="311"/>
      <c r="P220" s="311"/>
      <c r="Q220" s="293"/>
      <c r="R220" s="362"/>
      <c r="S220" s="311"/>
      <c r="T220" s="366"/>
      <c r="U220" s="370"/>
      <c r="V220" s="5"/>
    </row>
    <row r="221" spans="1:22" ht="15.6" x14ac:dyDescent="0.3">
      <c r="A221" s="368"/>
      <c r="B221" s="285" t="s">
        <v>280</v>
      </c>
      <c r="C221" s="369"/>
      <c r="D221" s="369"/>
      <c r="E221" s="369"/>
      <c r="F221" s="369"/>
      <c r="G221" s="311"/>
      <c r="H221" s="311"/>
      <c r="I221" s="311"/>
      <c r="J221" s="311"/>
      <c r="K221" s="311"/>
      <c r="L221" s="311"/>
      <c r="M221" s="311"/>
      <c r="N221" s="311"/>
      <c r="O221" s="311"/>
      <c r="P221" s="311"/>
      <c r="Q221" s="293">
        <v>0</v>
      </c>
      <c r="R221" s="362">
        <v>0</v>
      </c>
      <c r="S221" s="311"/>
      <c r="T221" s="366"/>
      <c r="U221" s="370"/>
      <c r="V221" s="5"/>
    </row>
    <row r="222" spans="1:22" ht="15.6" x14ac:dyDescent="0.3">
      <c r="A222" s="360"/>
      <c r="B222" s="285" t="s">
        <v>89</v>
      </c>
      <c r="C222" s="373"/>
      <c r="D222" s="373"/>
      <c r="E222" s="373"/>
      <c r="F222" s="374"/>
      <c r="G222" s="311"/>
      <c r="H222" s="311"/>
      <c r="I222" s="311"/>
      <c r="J222" s="311"/>
      <c r="K222" s="311"/>
      <c r="L222" s="311"/>
      <c r="M222" s="311"/>
      <c r="N222" s="311"/>
      <c r="O222" s="311"/>
      <c r="P222" s="311"/>
      <c r="Q222" s="285"/>
      <c r="R222" s="367">
        <v>0</v>
      </c>
      <c r="S222" s="311"/>
      <c r="T222" s="366"/>
      <c r="U222" s="370"/>
      <c r="V222" s="5"/>
    </row>
    <row r="223" spans="1:22" ht="15.6" x14ac:dyDescent="0.3">
      <c r="A223" s="360"/>
      <c r="B223" s="285" t="s">
        <v>90</v>
      </c>
      <c r="C223" s="373"/>
      <c r="D223" s="373"/>
      <c r="E223" s="373"/>
      <c r="F223" s="374"/>
      <c r="G223" s="311"/>
      <c r="H223" s="311"/>
      <c r="I223" s="311"/>
      <c r="J223" s="311"/>
      <c r="K223" s="311"/>
      <c r="L223" s="311"/>
      <c r="M223" s="311"/>
      <c r="N223" s="311"/>
      <c r="O223" s="311"/>
      <c r="P223" s="311"/>
      <c r="Q223" s="285"/>
      <c r="R223" s="367">
        <v>0</v>
      </c>
      <c r="S223" s="311"/>
      <c r="T223" s="366"/>
      <c r="U223" s="370"/>
      <c r="V223" s="5"/>
    </row>
    <row r="224" spans="1:22" ht="15.6" x14ac:dyDescent="0.3">
      <c r="A224" s="360"/>
      <c r="B224" s="310" t="s">
        <v>226</v>
      </c>
      <c r="C224" s="373"/>
      <c r="D224" s="373"/>
      <c r="E224" s="373"/>
      <c r="F224" s="374"/>
      <c r="G224" s="311"/>
      <c r="H224" s="311"/>
      <c r="I224" s="311"/>
      <c r="J224" s="311"/>
      <c r="K224" s="311"/>
      <c r="L224" s="311"/>
      <c r="M224" s="311"/>
      <c r="N224" s="311"/>
      <c r="O224" s="311"/>
      <c r="P224" s="311"/>
      <c r="Q224" s="293"/>
      <c r="R224" s="375"/>
      <c r="S224" s="311"/>
      <c r="T224" s="366"/>
      <c r="U224" s="370"/>
      <c r="V224" s="5"/>
    </row>
    <row r="225" spans="1:23" ht="15.6" x14ac:dyDescent="0.3">
      <c r="A225" s="360"/>
      <c r="B225" s="285" t="s">
        <v>280</v>
      </c>
      <c r="C225" s="373"/>
      <c r="D225" s="373"/>
      <c r="E225" s="373"/>
      <c r="F225" s="374"/>
      <c r="G225" s="311"/>
      <c r="H225" s="311"/>
      <c r="I225" s="311"/>
      <c r="J225" s="311"/>
      <c r="K225" s="311"/>
      <c r="L225" s="311"/>
      <c r="M225" s="311"/>
      <c r="N225" s="311"/>
      <c r="O225" s="311"/>
      <c r="P225" s="311"/>
      <c r="Q225" s="293">
        <v>3</v>
      </c>
      <c r="R225" s="362">
        <v>326</v>
      </c>
      <c r="S225" s="311"/>
      <c r="T225" s="366"/>
      <c r="U225" s="370"/>
      <c r="V225" s="5"/>
    </row>
    <row r="226" spans="1:23" ht="15.6" x14ac:dyDescent="0.3">
      <c r="A226" s="360"/>
      <c r="B226" s="285" t="s">
        <v>227</v>
      </c>
      <c r="C226" s="373"/>
      <c r="D226" s="373"/>
      <c r="E226" s="373"/>
      <c r="F226" s="374"/>
      <c r="G226" s="311"/>
      <c r="H226" s="311"/>
      <c r="I226" s="311"/>
      <c r="J226" s="311"/>
      <c r="K226" s="311"/>
      <c r="L226" s="311"/>
      <c r="M226" s="311"/>
      <c r="N226" s="311"/>
      <c r="O226" s="311"/>
      <c r="P226" s="311"/>
      <c r="Q226" s="293"/>
      <c r="R226" s="367">
        <v>14.26</v>
      </c>
      <c r="S226" s="311"/>
      <c r="T226" s="366"/>
      <c r="U226" s="370"/>
      <c r="V226" s="5"/>
    </row>
    <row r="227" spans="1:23" ht="15.6" x14ac:dyDescent="0.3">
      <c r="A227" s="360"/>
      <c r="B227" s="369"/>
      <c r="C227" s="373"/>
      <c r="D227" s="373"/>
      <c r="E227" s="373"/>
      <c r="F227" s="374"/>
      <c r="G227" s="311"/>
      <c r="H227" s="311"/>
      <c r="I227" s="311"/>
      <c r="J227" s="311"/>
      <c r="K227" s="311"/>
      <c r="L227" s="311"/>
      <c r="M227" s="311"/>
      <c r="N227" s="311"/>
      <c r="O227" s="311"/>
      <c r="P227" s="311"/>
      <c r="Q227" s="311"/>
      <c r="R227" s="376"/>
      <c r="S227" s="311"/>
      <c r="T227" s="366"/>
      <c r="U227" s="370"/>
      <c r="V227" s="5"/>
    </row>
    <row r="228" spans="1:23" ht="15.6" x14ac:dyDescent="0.3">
      <c r="A228" s="360"/>
      <c r="B228" s="369"/>
      <c r="C228" s="373"/>
      <c r="D228" s="373"/>
      <c r="E228" s="373"/>
      <c r="F228" s="374"/>
      <c r="G228" s="311"/>
      <c r="H228" s="311"/>
      <c r="I228" s="311"/>
      <c r="J228" s="311"/>
      <c r="K228" s="311"/>
      <c r="L228" s="311"/>
      <c r="M228" s="311"/>
      <c r="N228" s="311"/>
      <c r="O228" s="311"/>
      <c r="P228" s="311"/>
      <c r="Q228" s="311"/>
      <c r="R228" s="376"/>
      <c r="S228" s="311"/>
      <c r="T228" s="366"/>
      <c r="U228" s="370"/>
      <c r="V228" s="5"/>
    </row>
    <row r="229" spans="1:23" ht="17.399999999999999" x14ac:dyDescent="0.3">
      <c r="A229" s="360"/>
      <c r="B229" s="377" t="s">
        <v>175</v>
      </c>
      <c r="C229" s="373"/>
      <c r="D229" s="373"/>
      <c r="E229" s="373"/>
      <c r="F229" s="374"/>
      <c r="G229" s="311"/>
      <c r="H229" s="311"/>
      <c r="I229" s="311"/>
      <c r="J229" s="311"/>
      <c r="K229" s="311"/>
      <c r="L229" s="311"/>
      <c r="M229" s="311"/>
      <c r="N229" s="378" t="s">
        <v>174</v>
      </c>
      <c r="O229" s="311"/>
      <c r="P229" s="311"/>
      <c r="Q229" s="311"/>
      <c r="R229" s="376"/>
      <c r="S229" s="311"/>
      <c r="T229" s="366"/>
      <c r="U229" s="370"/>
      <c r="V229" s="5"/>
    </row>
    <row r="230" spans="1:23" ht="15.6" x14ac:dyDescent="0.3">
      <c r="A230" s="355"/>
      <c r="B230" s="350"/>
      <c r="C230" s="356"/>
      <c r="D230" s="356"/>
      <c r="E230" s="356"/>
      <c r="F230" s="357"/>
      <c r="G230" s="334"/>
      <c r="H230" s="334"/>
      <c r="I230" s="334"/>
      <c r="J230" s="334"/>
      <c r="K230" s="334"/>
      <c r="L230" s="334"/>
      <c r="M230" s="334"/>
      <c r="N230" s="334"/>
      <c r="O230" s="334"/>
      <c r="P230" s="334"/>
      <c r="Q230" s="334"/>
      <c r="R230" s="358"/>
      <c r="S230" s="334"/>
      <c r="T230" s="351"/>
      <c r="U230" s="359"/>
      <c r="V230" s="5"/>
    </row>
    <row r="231" spans="1:23" ht="15.6" x14ac:dyDescent="0.3">
      <c r="A231" s="222"/>
      <c r="B231" s="395" t="s">
        <v>295</v>
      </c>
      <c r="C231" s="396"/>
      <c r="D231" s="396"/>
      <c r="E231" s="396"/>
      <c r="F231" s="402"/>
      <c r="G231" s="396"/>
      <c r="H231" s="396"/>
      <c r="I231" s="396"/>
      <c r="J231" s="396"/>
      <c r="K231" s="396"/>
      <c r="L231" s="396"/>
      <c r="M231" s="396"/>
      <c r="N231" s="396"/>
      <c r="O231" s="396"/>
      <c r="P231" s="402" t="s">
        <v>105</v>
      </c>
      <c r="Q231" s="396" t="s">
        <v>106</v>
      </c>
      <c r="R231" s="402" t="s">
        <v>114</v>
      </c>
      <c r="S231" s="396" t="s">
        <v>106</v>
      </c>
      <c r="T231" s="223"/>
      <c r="U231" s="395"/>
      <c r="V231" s="5"/>
    </row>
    <row r="232" spans="1:23" ht="15.6" x14ac:dyDescent="0.3">
      <c r="A232" s="190"/>
      <c r="B232" s="243" t="s">
        <v>91</v>
      </c>
      <c r="C232" s="217"/>
      <c r="D232" s="217"/>
      <c r="E232" s="217"/>
      <c r="F232" s="191"/>
      <c r="G232" s="217"/>
      <c r="H232" s="217"/>
      <c r="I232" s="217"/>
      <c r="J232" s="217"/>
      <c r="K232" s="217"/>
      <c r="L232" s="217"/>
      <c r="M232" s="217"/>
      <c r="N232" s="217"/>
      <c r="O232" s="217"/>
      <c r="P232" s="338">
        <f t="shared" ref="P232:P239" si="1">+P244+P256+P268</f>
        <v>4049</v>
      </c>
      <c r="Q232" s="384">
        <f t="shared" ref="Q232:Q239" si="2">P232/$P$241</f>
        <v>0.99630905511811019</v>
      </c>
      <c r="R232" s="339">
        <f t="shared" ref="R232:R239" si="3">+R244+R256+R268</f>
        <v>528922</v>
      </c>
      <c r="S232" s="384">
        <f t="shared" ref="S232:S239" si="4">R232/$R$241</f>
        <v>0.99600222203391431</v>
      </c>
      <c r="T232" s="213"/>
      <c r="U232" s="216"/>
      <c r="V232" s="5"/>
    </row>
    <row r="233" spans="1:23" ht="15.6" x14ac:dyDescent="0.3">
      <c r="A233" s="284"/>
      <c r="B233" s="338" t="s">
        <v>92</v>
      </c>
      <c r="C233" s="382"/>
      <c r="D233" s="382"/>
      <c r="E233" s="382"/>
      <c r="F233" s="311"/>
      <c r="G233" s="383"/>
      <c r="H233" s="382"/>
      <c r="I233" s="382"/>
      <c r="J233" s="382"/>
      <c r="K233" s="382"/>
      <c r="L233" s="382"/>
      <c r="M233" s="382"/>
      <c r="N233" s="382"/>
      <c r="O233" s="382"/>
      <c r="P233" s="338">
        <f t="shared" si="1"/>
        <v>4</v>
      </c>
      <c r="Q233" s="384">
        <f t="shared" si="2"/>
        <v>9.8425196850393699E-4</v>
      </c>
      <c r="R233" s="339">
        <f t="shared" si="3"/>
        <v>452</v>
      </c>
      <c r="S233" s="384">
        <f t="shared" si="4"/>
        <v>8.5115197393817845E-4</v>
      </c>
      <c r="T233" s="366"/>
      <c r="U233" s="370"/>
      <c r="V233" s="5"/>
      <c r="W233" s="109"/>
    </row>
    <row r="234" spans="1:23" ht="15.6" x14ac:dyDescent="0.3">
      <c r="A234" s="284"/>
      <c r="B234" s="338" t="s">
        <v>93</v>
      </c>
      <c r="C234" s="382"/>
      <c r="D234" s="382"/>
      <c r="E234" s="382"/>
      <c r="F234" s="311"/>
      <c r="G234" s="383"/>
      <c r="H234" s="382"/>
      <c r="I234" s="382"/>
      <c r="J234" s="382"/>
      <c r="K234" s="382"/>
      <c r="L234" s="382"/>
      <c r="M234" s="382"/>
      <c r="N234" s="382"/>
      <c r="O234" s="382"/>
      <c r="P234" s="338">
        <f t="shared" si="1"/>
        <v>1</v>
      </c>
      <c r="Q234" s="384">
        <f t="shared" si="2"/>
        <v>2.4606299212598425E-4</v>
      </c>
      <c r="R234" s="339">
        <f t="shared" si="3"/>
        <v>300</v>
      </c>
      <c r="S234" s="384">
        <f t="shared" si="4"/>
        <v>5.6492387650764061E-4</v>
      </c>
      <c r="T234" s="366"/>
      <c r="U234" s="370"/>
      <c r="V234" s="5"/>
    </row>
    <row r="235" spans="1:23" ht="15.6" x14ac:dyDescent="0.3">
      <c r="A235" s="284"/>
      <c r="B235" s="338" t="s">
        <v>163</v>
      </c>
      <c r="C235" s="382"/>
      <c r="D235" s="382"/>
      <c r="E235" s="382"/>
      <c r="F235" s="311"/>
      <c r="G235" s="383"/>
      <c r="H235" s="382"/>
      <c r="I235" s="382"/>
      <c r="J235" s="382"/>
      <c r="K235" s="382"/>
      <c r="L235" s="382"/>
      <c r="M235" s="382"/>
      <c r="N235" s="382"/>
      <c r="O235" s="382"/>
      <c r="P235" s="338">
        <f t="shared" si="1"/>
        <v>1</v>
      </c>
      <c r="Q235" s="384">
        <f t="shared" si="2"/>
        <v>2.4606299212598425E-4</v>
      </c>
      <c r="R235" s="339">
        <f t="shared" si="3"/>
        <v>82</v>
      </c>
      <c r="S235" s="384">
        <f t="shared" si="4"/>
        <v>1.5441252624542176E-4</v>
      </c>
      <c r="T235" s="366"/>
      <c r="U235" s="370"/>
      <c r="V235" s="5"/>
      <c r="W235" s="109"/>
    </row>
    <row r="236" spans="1:23" ht="15.6" x14ac:dyDescent="0.3">
      <c r="A236" s="284"/>
      <c r="B236" s="338" t="s">
        <v>164</v>
      </c>
      <c r="C236" s="382"/>
      <c r="D236" s="382"/>
      <c r="E236" s="382"/>
      <c r="F236" s="311"/>
      <c r="G236" s="383"/>
      <c r="H236" s="382"/>
      <c r="I236" s="382"/>
      <c r="J236" s="382"/>
      <c r="K236" s="382"/>
      <c r="L236" s="382"/>
      <c r="M236" s="382"/>
      <c r="N236" s="382"/>
      <c r="O236" s="382"/>
      <c r="P236" s="338">
        <f t="shared" si="1"/>
        <v>1</v>
      </c>
      <c r="Q236" s="384">
        <f t="shared" si="2"/>
        <v>2.4606299212598425E-4</v>
      </c>
      <c r="R236" s="339">
        <f t="shared" si="3"/>
        <v>38</v>
      </c>
      <c r="S236" s="384">
        <f t="shared" si="4"/>
        <v>7.1557024357634473E-5</v>
      </c>
      <c r="T236" s="366"/>
      <c r="U236" s="370"/>
      <c r="V236" s="5"/>
    </row>
    <row r="237" spans="1:23" ht="15.6" x14ac:dyDescent="0.3">
      <c r="A237" s="284"/>
      <c r="B237" s="338" t="s">
        <v>165</v>
      </c>
      <c r="C237" s="382"/>
      <c r="D237" s="382"/>
      <c r="E237" s="382"/>
      <c r="F237" s="311"/>
      <c r="G237" s="383"/>
      <c r="H237" s="382"/>
      <c r="I237" s="382"/>
      <c r="J237" s="382"/>
      <c r="K237" s="382"/>
      <c r="L237" s="382"/>
      <c r="M237" s="382"/>
      <c r="N237" s="382"/>
      <c r="O237" s="382"/>
      <c r="P237" s="338">
        <f t="shared" si="1"/>
        <v>0</v>
      </c>
      <c r="Q237" s="384">
        <f t="shared" si="2"/>
        <v>0</v>
      </c>
      <c r="R237" s="339">
        <f t="shared" si="3"/>
        <v>0</v>
      </c>
      <c r="S237" s="384">
        <f t="shared" si="4"/>
        <v>0</v>
      </c>
      <c r="T237" s="366"/>
      <c r="U237" s="370"/>
      <c r="V237" s="5"/>
      <c r="W237" s="109"/>
    </row>
    <row r="238" spans="1:23" ht="15.6" x14ac:dyDescent="0.3">
      <c r="A238" s="284"/>
      <c r="B238" s="338" t="s">
        <v>166</v>
      </c>
      <c r="C238" s="382"/>
      <c r="D238" s="382"/>
      <c r="E238" s="382"/>
      <c r="F238" s="311"/>
      <c r="G238" s="383"/>
      <c r="H238" s="382"/>
      <c r="I238" s="382"/>
      <c r="J238" s="382"/>
      <c r="K238" s="382"/>
      <c r="L238" s="382"/>
      <c r="M238" s="382"/>
      <c r="N238" s="382"/>
      <c r="O238" s="382"/>
      <c r="P238" s="338">
        <f t="shared" si="1"/>
        <v>3</v>
      </c>
      <c r="Q238" s="384">
        <f t="shared" si="2"/>
        <v>7.3818897637795275E-4</v>
      </c>
      <c r="R238" s="339">
        <f t="shared" si="3"/>
        <v>460</v>
      </c>
      <c r="S238" s="384">
        <f t="shared" si="4"/>
        <v>8.6621661064504891E-4</v>
      </c>
      <c r="T238" s="366"/>
      <c r="U238" s="370"/>
      <c r="V238" s="5"/>
    </row>
    <row r="239" spans="1:23" ht="15.6" x14ac:dyDescent="0.3">
      <c r="A239" s="284"/>
      <c r="B239" s="338" t="s">
        <v>167</v>
      </c>
      <c r="C239" s="382"/>
      <c r="D239" s="382"/>
      <c r="E239" s="382"/>
      <c r="F239" s="311"/>
      <c r="G239" s="383"/>
      <c r="H239" s="382"/>
      <c r="I239" s="382"/>
      <c r="J239" s="382"/>
      <c r="K239" s="382"/>
      <c r="L239" s="382"/>
      <c r="M239" s="382"/>
      <c r="N239" s="382"/>
      <c r="O239" s="382"/>
      <c r="P239" s="338">
        <f t="shared" si="1"/>
        <v>5</v>
      </c>
      <c r="Q239" s="384">
        <f t="shared" si="2"/>
        <v>1.2303149606299212E-3</v>
      </c>
      <c r="R239" s="339">
        <f t="shared" si="3"/>
        <v>791</v>
      </c>
      <c r="S239" s="384">
        <f t="shared" si="4"/>
        <v>1.4895159543918124E-3</v>
      </c>
      <c r="T239" s="366"/>
      <c r="U239" s="370"/>
      <c r="V239" s="5"/>
      <c r="W239" s="109"/>
    </row>
    <row r="240" spans="1:23" ht="15.6" x14ac:dyDescent="0.3">
      <c r="A240" s="284"/>
      <c r="B240" s="338"/>
      <c r="C240" s="382"/>
      <c r="D240" s="382"/>
      <c r="E240" s="382"/>
      <c r="F240" s="311"/>
      <c r="G240" s="383"/>
      <c r="H240" s="382"/>
      <c r="I240" s="382"/>
      <c r="J240" s="382"/>
      <c r="K240" s="382"/>
      <c r="L240" s="382"/>
      <c r="M240" s="382"/>
      <c r="N240" s="382"/>
      <c r="O240" s="382"/>
      <c r="P240" s="338"/>
      <c r="Q240" s="384"/>
      <c r="R240" s="339"/>
      <c r="S240" s="384"/>
      <c r="T240" s="366"/>
      <c r="U240" s="370"/>
      <c r="V240" s="5"/>
    </row>
    <row r="241" spans="1:23" ht="15.6" x14ac:dyDescent="0.3">
      <c r="A241" s="284"/>
      <c r="B241" s="285" t="s">
        <v>120</v>
      </c>
      <c r="C241" s="311"/>
      <c r="D241" s="311"/>
      <c r="E241" s="311"/>
      <c r="F241" s="311"/>
      <c r="G241" s="311"/>
      <c r="H241" s="385"/>
      <c r="I241" s="385"/>
      <c r="J241" s="385"/>
      <c r="K241" s="385"/>
      <c r="L241" s="385"/>
      <c r="M241" s="385"/>
      <c r="N241" s="385"/>
      <c r="O241" s="385"/>
      <c r="P241" s="338">
        <f>SUM(P232:P240)</f>
        <v>4064</v>
      </c>
      <c r="Q241" s="384">
        <f>SUM(Q232:Q240)</f>
        <v>1.0000000000000002</v>
      </c>
      <c r="R241" s="339">
        <f>SUM(R232:R240)</f>
        <v>531045</v>
      </c>
      <c r="S241" s="384">
        <f>SUM(S232:S240)</f>
        <v>1</v>
      </c>
      <c r="T241" s="311"/>
      <c r="U241" s="317"/>
      <c r="V241" s="5"/>
    </row>
    <row r="242" spans="1:23" ht="15.6" x14ac:dyDescent="0.3">
      <c r="A242" s="355"/>
      <c r="B242" s="350"/>
      <c r="C242" s="356"/>
      <c r="D242" s="356"/>
      <c r="E242" s="356"/>
      <c r="F242" s="357"/>
      <c r="G242" s="334"/>
      <c r="H242" s="334"/>
      <c r="I242" s="334"/>
      <c r="J242" s="334"/>
      <c r="K242" s="334"/>
      <c r="L242" s="334"/>
      <c r="M242" s="334"/>
      <c r="N242" s="334"/>
      <c r="O242" s="334"/>
      <c r="P242" s="334"/>
      <c r="Q242" s="334"/>
      <c r="R242" s="358"/>
      <c r="S242" s="334"/>
      <c r="T242" s="351"/>
      <c r="U242" s="359"/>
      <c r="V242" s="5"/>
    </row>
    <row r="243" spans="1:23" ht="15.6" x14ac:dyDescent="0.3">
      <c r="A243" s="222"/>
      <c r="B243" s="395" t="s">
        <v>169</v>
      </c>
      <c r="C243" s="396"/>
      <c r="D243" s="396"/>
      <c r="E243" s="396"/>
      <c r="F243" s="402"/>
      <c r="G243" s="396"/>
      <c r="H243" s="396"/>
      <c r="I243" s="396"/>
      <c r="J243" s="396"/>
      <c r="K243" s="396"/>
      <c r="L243" s="396"/>
      <c r="M243" s="396"/>
      <c r="N243" s="396"/>
      <c r="O243" s="396"/>
      <c r="P243" s="402" t="s">
        <v>105</v>
      </c>
      <c r="Q243" s="396" t="s">
        <v>106</v>
      </c>
      <c r="R243" s="402" t="s">
        <v>114</v>
      </c>
      <c r="S243" s="396" t="s">
        <v>106</v>
      </c>
      <c r="T243" s="223"/>
      <c r="U243" s="395"/>
      <c r="V243" s="5"/>
    </row>
    <row r="244" spans="1:23" ht="15.6" x14ac:dyDescent="0.3">
      <c r="A244" s="190"/>
      <c r="B244" s="243" t="s">
        <v>91</v>
      </c>
      <c r="C244" s="217"/>
      <c r="D244" s="217"/>
      <c r="E244" s="217"/>
      <c r="F244" s="191"/>
      <c r="G244" s="217"/>
      <c r="H244" s="217"/>
      <c r="I244" s="217"/>
      <c r="J244" s="217"/>
      <c r="K244" s="217"/>
      <c r="L244" s="217"/>
      <c r="M244" s="217"/>
      <c r="N244" s="217"/>
      <c r="O244" s="217"/>
      <c r="P244" s="243">
        <v>3962</v>
      </c>
      <c r="Q244" s="274">
        <f t="shared" ref="Q244:Q251" si="5">P244/$P$253</f>
        <v>0.99873960171414167</v>
      </c>
      <c r="R244" s="251">
        <v>515764</v>
      </c>
      <c r="S244" s="274">
        <f t="shared" ref="S244:S251" si="6">R244/$R$253</f>
        <v>0.99867556849866779</v>
      </c>
      <c r="T244" s="213"/>
      <c r="U244" s="216"/>
      <c r="V244" s="5"/>
    </row>
    <row r="245" spans="1:23" ht="15.6" x14ac:dyDescent="0.3">
      <c r="A245" s="284"/>
      <c r="B245" s="338" t="s">
        <v>92</v>
      </c>
      <c r="C245" s="382"/>
      <c r="D245" s="382"/>
      <c r="E245" s="382"/>
      <c r="F245" s="311"/>
      <c r="G245" s="383"/>
      <c r="H245" s="382"/>
      <c r="I245" s="382"/>
      <c r="J245" s="382"/>
      <c r="K245" s="382"/>
      <c r="L245" s="382"/>
      <c r="M245" s="382"/>
      <c r="N245" s="382"/>
      <c r="O245" s="382"/>
      <c r="P245" s="338">
        <v>3</v>
      </c>
      <c r="Q245" s="384">
        <f t="shared" si="5"/>
        <v>7.5623897151499877E-4</v>
      </c>
      <c r="R245" s="339">
        <v>313</v>
      </c>
      <c r="S245" s="384">
        <f t="shared" si="6"/>
        <v>6.0606295309498725E-4</v>
      </c>
      <c r="T245" s="366"/>
      <c r="U245" s="370"/>
      <c r="V245" s="5"/>
      <c r="W245" s="109"/>
    </row>
    <row r="246" spans="1:23" ht="15.6" x14ac:dyDescent="0.3">
      <c r="A246" s="284"/>
      <c r="B246" s="338" t="s">
        <v>93</v>
      </c>
      <c r="C246" s="382"/>
      <c r="D246" s="382"/>
      <c r="E246" s="382"/>
      <c r="F246" s="311"/>
      <c r="G246" s="383"/>
      <c r="H246" s="382"/>
      <c r="I246" s="382"/>
      <c r="J246" s="382"/>
      <c r="K246" s="382"/>
      <c r="L246" s="382"/>
      <c r="M246" s="382"/>
      <c r="N246" s="382"/>
      <c r="O246" s="382"/>
      <c r="P246" s="338">
        <v>0</v>
      </c>
      <c r="Q246" s="384">
        <f t="shared" si="5"/>
        <v>0</v>
      </c>
      <c r="R246" s="339">
        <v>0</v>
      </c>
      <c r="S246" s="384">
        <f t="shared" si="6"/>
        <v>0</v>
      </c>
      <c r="T246" s="366"/>
      <c r="U246" s="370"/>
      <c r="V246" s="5"/>
    </row>
    <row r="247" spans="1:23" ht="15.6" x14ac:dyDescent="0.3">
      <c r="A247" s="284"/>
      <c r="B247" s="338" t="s">
        <v>163</v>
      </c>
      <c r="C247" s="382"/>
      <c r="D247" s="382"/>
      <c r="E247" s="382"/>
      <c r="F247" s="311"/>
      <c r="G247" s="383"/>
      <c r="H247" s="382"/>
      <c r="I247" s="382"/>
      <c r="J247" s="382"/>
      <c r="K247" s="382"/>
      <c r="L247" s="382"/>
      <c r="M247" s="382"/>
      <c r="N247" s="382"/>
      <c r="O247" s="382"/>
      <c r="P247" s="338">
        <v>0</v>
      </c>
      <c r="Q247" s="384">
        <f t="shared" si="5"/>
        <v>0</v>
      </c>
      <c r="R247" s="339">
        <v>0</v>
      </c>
      <c r="S247" s="384">
        <f t="shared" si="6"/>
        <v>0</v>
      </c>
      <c r="T247" s="366"/>
      <c r="U247" s="370"/>
      <c r="V247" s="5"/>
      <c r="W247" s="109"/>
    </row>
    <row r="248" spans="1:23" ht="15.6" x14ac:dyDescent="0.3">
      <c r="A248" s="284"/>
      <c r="B248" s="338" t="s">
        <v>164</v>
      </c>
      <c r="C248" s="382"/>
      <c r="D248" s="382"/>
      <c r="E248" s="382"/>
      <c r="F248" s="311"/>
      <c r="G248" s="383"/>
      <c r="H248" s="382"/>
      <c r="I248" s="382"/>
      <c r="J248" s="382"/>
      <c r="K248" s="382"/>
      <c r="L248" s="382"/>
      <c r="M248" s="382"/>
      <c r="N248" s="382"/>
      <c r="O248" s="382"/>
      <c r="P248" s="338">
        <v>0</v>
      </c>
      <c r="Q248" s="384">
        <f t="shared" si="5"/>
        <v>0</v>
      </c>
      <c r="R248" s="339">
        <v>0</v>
      </c>
      <c r="S248" s="384">
        <f t="shared" si="6"/>
        <v>0</v>
      </c>
      <c r="T248" s="366"/>
      <c r="U248" s="370"/>
      <c r="V248" s="5"/>
    </row>
    <row r="249" spans="1:23" ht="15.6" x14ac:dyDescent="0.3">
      <c r="A249" s="284"/>
      <c r="B249" s="338" t="s">
        <v>165</v>
      </c>
      <c r="C249" s="382"/>
      <c r="D249" s="382"/>
      <c r="E249" s="382"/>
      <c r="F249" s="311"/>
      <c r="G249" s="383"/>
      <c r="H249" s="382"/>
      <c r="I249" s="382"/>
      <c r="J249" s="382"/>
      <c r="K249" s="382"/>
      <c r="L249" s="382"/>
      <c r="M249" s="382"/>
      <c r="N249" s="382"/>
      <c r="O249" s="382"/>
      <c r="P249" s="338">
        <v>0</v>
      </c>
      <c r="Q249" s="384">
        <f t="shared" si="5"/>
        <v>0</v>
      </c>
      <c r="R249" s="339">
        <v>0</v>
      </c>
      <c r="S249" s="384">
        <f t="shared" si="6"/>
        <v>0</v>
      </c>
      <c r="T249" s="366"/>
      <c r="U249" s="370"/>
      <c r="V249" s="5"/>
      <c r="W249" s="109"/>
    </row>
    <row r="250" spans="1:23" ht="15.6" x14ac:dyDescent="0.3">
      <c r="A250" s="284"/>
      <c r="B250" s="338" t="s">
        <v>166</v>
      </c>
      <c r="C250" s="382"/>
      <c r="D250" s="382"/>
      <c r="E250" s="382"/>
      <c r="F250" s="311"/>
      <c r="G250" s="383"/>
      <c r="H250" s="382"/>
      <c r="I250" s="382"/>
      <c r="J250" s="382"/>
      <c r="K250" s="382"/>
      <c r="L250" s="382"/>
      <c r="M250" s="382"/>
      <c r="N250" s="382"/>
      <c r="O250" s="382"/>
      <c r="P250" s="338">
        <v>1</v>
      </c>
      <c r="Q250" s="384">
        <f t="shared" si="5"/>
        <v>2.5207965717166626E-4</v>
      </c>
      <c r="R250" s="339">
        <v>299</v>
      </c>
      <c r="S250" s="384">
        <f t="shared" si="6"/>
        <v>5.7895470599169708E-4</v>
      </c>
      <c r="T250" s="366"/>
      <c r="U250" s="370"/>
      <c r="V250" s="5"/>
    </row>
    <row r="251" spans="1:23" ht="15.6" x14ac:dyDescent="0.3">
      <c r="A251" s="284"/>
      <c r="B251" s="338" t="s">
        <v>167</v>
      </c>
      <c r="C251" s="382"/>
      <c r="D251" s="382"/>
      <c r="E251" s="382"/>
      <c r="F251" s="311"/>
      <c r="G251" s="383"/>
      <c r="H251" s="382"/>
      <c r="I251" s="382"/>
      <c r="J251" s="382"/>
      <c r="K251" s="382"/>
      <c r="L251" s="382"/>
      <c r="M251" s="382"/>
      <c r="N251" s="382"/>
      <c r="O251" s="382"/>
      <c r="P251" s="338">
        <v>1</v>
      </c>
      <c r="Q251" s="384">
        <f t="shared" si="5"/>
        <v>2.5207965717166626E-4</v>
      </c>
      <c r="R251" s="339">
        <v>72</v>
      </c>
      <c r="S251" s="384">
        <f t="shared" si="6"/>
        <v>1.3941384224549228E-4</v>
      </c>
      <c r="T251" s="366"/>
      <c r="U251" s="370"/>
      <c r="V251" s="5"/>
      <c r="W251" s="109"/>
    </row>
    <row r="252" spans="1:23" ht="15.6" x14ac:dyDescent="0.3">
      <c r="A252" s="284"/>
      <c r="B252" s="338"/>
      <c r="C252" s="382"/>
      <c r="D252" s="382"/>
      <c r="E252" s="382"/>
      <c r="F252" s="311"/>
      <c r="G252" s="383"/>
      <c r="H252" s="382"/>
      <c r="I252" s="382"/>
      <c r="J252" s="382"/>
      <c r="K252" s="382"/>
      <c r="L252" s="382"/>
      <c r="M252" s="382"/>
      <c r="N252" s="382"/>
      <c r="O252" s="382"/>
      <c r="P252" s="338"/>
      <c r="Q252" s="384"/>
      <c r="R252" s="339"/>
      <c r="S252" s="384"/>
      <c r="T252" s="366"/>
      <c r="U252" s="370"/>
      <c r="V252" s="5"/>
    </row>
    <row r="253" spans="1:23" ht="15.6" x14ac:dyDescent="0.3">
      <c r="A253" s="284"/>
      <c r="B253" s="285" t="s">
        <v>120</v>
      </c>
      <c r="C253" s="311"/>
      <c r="D253" s="311"/>
      <c r="E253" s="311"/>
      <c r="F253" s="311"/>
      <c r="G253" s="311"/>
      <c r="H253" s="385"/>
      <c r="I253" s="385"/>
      <c r="J253" s="385"/>
      <c r="K253" s="385"/>
      <c r="L253" s="385"/>
      <c r="M253" s="385"/>
      <c r="N253" s="385"/>
      <c r="O253" s="385"/>
      <c r="P253" s="338">
        <f>SUM(P244:P252)</f>
        <v>3967</v>
      </c>
      <c r="Q253" s="384">
        <f>SUM(Q244:Q252)</f>
        <v>1</v>
      </c>
      <c r="R253" s="339">
        <f>SUM(R244:R252)</f>
        <v>516448</v>
      </c>
      <c r="S253" s="384">
        <f>SUM(S244:S252)</f>
        <v>0.99999999999999989</v>
      </c>
      <c r="T253" s="311"/>
      <c r="U253" s="317"/>
      <c r="V253" s="5"/>
    </row>
    <row r="254" spans="1:23" ht="15.6" x14ac:dyDescent="0.3">
      <c r="A254" s="175"/>
      <c r="B254" s="334"/>
      <c r="C254" s="334"/>
      <c r="D254" s="334"/>
      <c r="E254" s="334"/>
      <c r="F254" s="334"/>
      <c r="G254" s="334"/>
      <c r="H254" s="379"/>
      <c r="I254" s="379"/>
      <c r="J254" s="379"/>
      <c r="K254" s="379"/>
      <c r="L254" s="379"/>
      <c r="M254" s="379"/>
      <c r="N254" s="379"/>
      <c r="O254" s="379"/>
      <c r="P254" s="335"/>
      <c r="Q254" s="380"/>
      <c r="R254" s="381"/>
      <c r="S254" s="380"/>
      <c r="T254" s="334"/>
      <c r="U254" s="334"/>
      <c r="V254" s="5"/>
    </row>
    <row r="255" spans="1:23" ht="15.6" x14ac:dyDescent="0.3">
      <c r="A255" s="268"/>
      <c r="B255" s="395" t="s">
        <v>267</v>
      </c>
      <c r="C255" s="396"/>
      <c r="D255" s="396"/>
      <c r="E255" s="396"/>
      <c r="F255" s="402"/>
      <c r="G255" s="396"/>
      <c r="H255" s="396"/>
      <c r="I255" s="396"/>
      <c r="J255" s="396"/>
      <c r="K255" s="396"/>
      <c r="L255" s="396"/>
      <c r="M255" s="396"/>
      <c r="N255" s="396"/>
      <c r="O255" s="396"/>
      <c r="P255" s="402" t="s">
        <v>105</v>
      </c>
      <c r="Q255" s="396" t="s">
        <v>106</v>
      </c>
      <c r="R255" s="402" t="s">
        <v>114</v>
      </c>
      <c r="S255" s="396" t="s">
        <v>106</v>
      </c>
      <c r="T255" s="269"/>
      <c r="U255" s="270"/>
      <c r="V255" s="5"/>
    </row>
    <row r="256" spans="1:23" ht="15.6" x14ac:dyDescent="0.3">
      <c r="A256" s="190"/>
      <c r="B256" s="243" t="s">
        <v>91</v>
      </c>
      <c r="C256" s="217"/>
      <c r="D256" s="217"/>
      <c r="E256" s="217"/>
      <c r="F256" s="191"/>
      <c r="G256" s="217"/>
      <c r="H256" s="217"/>
      <c r="I256" s="217"/>
      <c r="J256" s="217"/>
      <c r="K256" s="217"/>
      <c r="L256" s="217"/>
      <c r="M256" s="217"/>
      <c r="N256" s="217"/>
      <c r="O256" s="217"/>
      <c r="P256" s="243">
        <v>87</v>
      </c>
      <c r="Q256" s="274">
        <f t="shared" ref="Q256:Q263" si="7">P256/$P$265</f>
        <v>0.89690721649484539</v>
      </c>
      <c r="R256" s="251">
        <v>13158</v>
      </c>
      <c r="S256" s="274">
        <f t="shared" ref="S256:S263" si="8">R256/$R$265</f>
        <v>0.9014180996095088</v>
      </c>
      <c r="T256" s="191"/>
      <c r="U256" s="191"/>
      <c r="V256" s="5"/>
    </row>
    <row r="257" spans="1:22" ht="15.6" x14ac:dyDescent="0.3">
      <c r="A257" s="284"/>
      <c r="B257" s="338" t="s">
        <v>92</v>
      </c>
      <c r="C257" s="382"/>
      <c r="D257" s="382"/>
      <c r="E257" s="382"/>
      <c r="F257" s="311"/>
      <c r="G257" s="383"/>
      <c r="H257" s="382"/>
      <c r="I257" s="382"/>
      <c r="J257" s="382"/>
      <c r="K257" s="382"/>
      <c r="L257" s="382"/>
      <c r="M257" s="382"/>
      <c r="N257" s="382"/>
      <c r="O257" s="382"/>
      <c r="P257" s="338">
        <v>1</v>
      </c>
      <c r="Q257" s="384">
        <f t="shared" si="7"/>
        <v>1.0309278350515464E-2</v>
      </c>
      <c r="R257" s="339">
        <v>139</v>
      </c>
      <c r="S257" s="384">
        <f t="shared" si="8"/>
        <v>9.5225046242378569E-3</v>
      </c>
      <c r="T257" s="311"/>
      <c r="U257" s="317"/>
      <c r="V257" s="5"/>
    </row>
    <row r="258" spans="1:22" ht="15.6" x14ac:dyDescent="0.3">
      <c r="A258" s="284"/>
      <c r="B258" s="338" t="s">
        <v>93</v>
      </c>
      <c r="C258" s="382"/>
      <c r="D258" s="382"/>
      <c r="E258" s="382"/>
      <c r="F258" s="311"/>
      <c r="G258" s="383"/>
      <c r="H258" s="382"/>
      <c r="I258" s="382"/>
      <c r="J258" s="382"/>
      <c r="K258" s="382"/>
      <c r="L258" s="382"/>
      <c r="M258" s="382"/>
      <c r="N258" s="382"/>
      <c r="O258" s="382"/>
      <c r="P258" s="338">
        <v>1</v>
      </c>
      <c r="Q258" s="384">
        <f t="shared" si="7"/>
        <v>1.0309278350515464E-2</v>
      </c>
      <c r="R258" s="339">
        <v>300</v>
      </c>
      <c r="S258" s="384">
        <f t="shared" si="8"/>
        <v>2.055216825375077E-2</v>
      </c>
      <c r="T258" s="311"/>
      <c r="U258" s="317"/>
      <c r="V258" s="5"/>
    </row>
    <row r="259" spans="1:22" ht="15.6" x14ac:dyDescent="0.3">
      <c r="A259" s="284"/>
      <c r="B259" s="338" t="s">
        <v>163</v>
      </c>
      <c r="C259" s="382"/>
      <c r="D259" s="382"/>
      <c r="E259" s="382"/>
      <c r="F259" s="311"/>
      <c r="G259" s="383"/>
      <c r="H259" s="382"/>
      <c r="I259" s="382"/>
      <c r="J259" s="382"/>
      <c r="K259" s="382"/>
      <c r="L259" s="382"/>
      <c r="M259" s="382"/>
      <c r="N259" s="382"/>
      <c r="O259" s="382"/>
      <c r="P259" s="338">
        <v>1</v>
      </c>
      <c r="Q259" s="384">
        <f t="shared" si="7"/>
        <v>1.0309278350515464E-2</v>
      </c>
      <c r="R259" s="339">
        <v>82</v>
      </c>
      <c r="S259" s="384">
        <f t="shared" si="8"/>
        <v>5.617592656025211E-3</v>
      </c>
      <c r="T259" s="311"/>
      <c r="U259" s="317"/>
      <c r="V259" s="5"/>
    </row>
    <row r="260" spans="1:22" ht="15.6" x14ac:dyDescent="0.3">
      <c r="A260" s="284"/>
      <c r="B260" s="338" t="s">
        <v>164</v>
      </c>
      <c r="C260" s="382"/>
      <c r="D260" s="382"/>
      <c r="E260" s="382"/>
      <c r="F260" s="311"/>
      <c r="G260" s="383"/>
      <c r="H260" s="382"/>
      <c r="I260" s="382"/>
      <c r="J260" s="382"/>
      <c r="K260" s="382"/>
      <c r="L260" s="382"/>
      <c r="M260" s="382"/>
      <c r="N260" s="382"/>
      <c r="O260" s="382"/>
      <c r="P260" s="338">
        <v>1</v>
      </c>
      <c r="Q260" s="384">
        <f t="shared" si="7"/>
        <v>1.0309278350515464E-2</v>
      </c>
      <c r="R260" s="339">
        <v>38</v>
      </c>
      <c r="S260" s="384">
        <f t="shared" si="8"/>
        <v>2.6032746454750975E-3</v>
      </c>
      <c r="T260" s="311"/>
      <c r="U260" s="317"/>
      <c r="V260" s="5"/>
    </row>
    <row r="261" spans="1:22" ht="15.6" x14ac:dyDescent="0.3">
      <c r="A261" s="284"/>
      <c r="B261" s="338" t="s">
        <v>165</v>
      </c>
      <c r="C261" s="382"/>
      <c r="D261" s="382"/>
      <c r="E261" s="382"/>
      <c r="F261" s="311"/>
      <c r="G261" s="383"/>
      <c r="H261" s="382"/>
      <c r="I261" s="382"/>
      <c r="J261" s="382"/>
      <c r="K261" s="382"/>
      <c r="L261" s="382"/>
      <c r="M261" s="382"/>
      <c r="N261" s="382"/>
      <c r="O261" s="382"/>
      <c r="P261" s="338">
        <v>0</v>
      </c>
      <c r="Q261" s="384">
        <f t="shared" si="7"/>
        <v>0</v>
      </c>
      <c r="R261" s="339">
        <v>0</v>
      </c>
      <c r="S261" s="384">
        <f t="shared" si="8"/>
        <v>0</v>
      </c>
      <c r="T261" s="311"/>
      <c r="U261" s="317"/>
      <c r="V261" s="5"/>
    </row>
    <row r="262" spans="1:22" ht="15.6" x14ac:dyDescent="0.3">
      <c r="A262" s="284"/>
      <c r="B262" s="338" t="s">
        <v>166</v>
      </c>
      <c r="C262" s="382"/>
      <c r="D262" s="382"/>
      <c r="E262" s="382"/>
      <c r="F262" s="311"/>
      <c r="G262" s="383"/>
      <c r="H262" s="382"/>
      <c r="I262" s="382"/>
      <c r="J262" s="382"/>
      <c r="K262" s="382"/>
      <c r="L262" s="382"/>
      <c r="M262" s="382"/>
      <c r="N262" s="382"/>
      <c r="O262" s="382"/>
      <c r="P262" s="338">
        <v>2</v>
      </c>
      <c r="Q262" s="384">
        <f t="shared" si="7"/>
        <v>2.0618556701030927E-2</v>
      </c>
      <c r="R262" s="339">
        <v>161</v>
      </c>
      <c r="S262" s="384">
        <f t="shared" si="8"/>
        <v>1.1029663629512914E-2</v>
      </c>
      <c r="T262" s="311"/>
      <c r="U262" s="317"/>
      <c r="V262" s="5"/>
    </row>
    <row r="263" spans="1:22" ht="15.6" x14ac:dyDescent="0.3">
      <c r="A263" s="284"/>
      <c r="B263" s="338" t="s">
        <v>167</v>
      </c>
      <c r="C263" s="382"/>
      <c r="D263" s="382"/>
      <c r="E263" s="382"/>
      <c r="F263" s="311"/>
      <c r="G263" s="383"/>
      <c r="H263" s="382"/>
      <c r="I263" s="382"/>
      <c r="J263" s="382"/>
      <c r="K263" s="382"/>
      <c r="L263" s="382"/>
      <c r="M263" s="382"/>
      <c r="N263" s="382"/>
      <c r="O263" s="382"/>
      <c r="P263" s="338">
        <v>4</v>
      </c>
      <c r="Q263" s="384">
        <f t="shared" si="7"/>
        <v>4.1237113402061855E-2</v>
      </c>
      <c r="R263" s="339">
        <v>719</v>
      </c>
      <c r="S263" s="384">
        <f t="shared" si="8"/>
        <v>4.9256696581489345E-2</v>
      </c>
      <c r="T263" s="311"/>
      <c r="U263" s="317"/>
      <c r="V263" s="5"/>
    </row>
    <row r="264" spans="1:22" ht="15.6" x14ac:dyDescent="0.3">
      <c r="A264" s="284"/>
      <c r="B264" s="338"/>
      <c r="C264" s="382"/>
      <c r="D264" s="382"/>
      <c r="E264" s="382"/>
      <c r="F264" s="311"/>
      <c r="G264" s="383"/>
      <c r="H264" s="382"/>
      <c r="I264" s="382"/>
      <c r="J264" s="382"/>
      <c r="K264" s="382"/>
      <c r="L264" s="382"/>
      <c r="M264" s="382"/>
      <c r="N264" s="382"/>
      <c r="O264" s="382"/>
      <c r="P264" s="338"/>
      <c r="Q264" s="384"/>
      <c r="R264" s="339"/>
      <c r="S264" s="384"/>
      <c r="T264" s="311"/>
      <c r="U264" s="317"/>
      <c r="V264" s="5"/>
    </row>
    <row r="265" spans="1:22" ht="15.6" x14ac:dyDescent="0.3">
      <c r="A265" s="284"/>
      <c r="B265" s="285" t="s">
        <v>120</v>
      </c>
      <c r="C265" s="311"/>
      <c r="D265" s="311"/>
      <c r="E265" s="311"/>
      <c r="F265" s="311"/>
      <c r="G265" s="311"/>
      <c r="H265" s="385"/>
      <c r="I265" s="385"/>
      <c r="J265" s="385"/>
      <c r="K265" s="385"/>
      <c r="L265" s="385"/>
      <c r="M265" s="385"/>
      <c r="N265" s="385"/>
      <c r="O265" s="385"/>
      <c r="P265" s="338">
        <f>SUM(P256:P264)</f>
        <v>97</v>
      </c>
      <c r="Q265" s="384">
        <f>SUM(Q256:Q264)</f>
        <v>0.99999999999999989</v>
      </c>
      <c r="R265" s="339">
        <f>SUM(R256:R264)</f>
        <v>14597</v>
      </c>
      <c r="S265" s="384">
        <f>SUM(S256:S264)</f>
        <v>1</v>
      </c>
      <c r="T265" s="311"/>
      <c r="U265" s="317"/>
      <c r="V265" s="5"/>
    </row>
    <row r="266" spans="1:22" ht="15.6" x14ac:dyDescent="0.3">
      <c r="A266" s="175"/>
      <c r="B266" s="334"/>
      <c r="C266" s="334"/>
      <c r="D266" s="334"/>
      <c r="E266" s="334"/>
      <c r="F266" s="334"/>
      <c r="G266" s="334"/>
      <c r="H266" s="379"/>
      <c r="I266" s="379"/>
      <c r="J266" s="379"/>
      <c r="K266" s="379"/>
      <c r="L266" s="379"/>
      <c r="M266" s="379"/>
      <c r="N266" s="379"/>
      <c r="O266" s="379"/>
      <c r="P266" s="335"/>
      <c r="Q266" s="380"/>
      <c r="R266" s="381"/>
      <c r="S266" s="380"/>
      <c r="T266" s="334"/>
      <c r="U266" s="334"/>
      <c r="V266" s="5"/>
    </row>
    <row r="267" spans="1:22" ht="15.6" x14ac:dyDescent="0.3">
      <c r="A267" s="268"/>
      <c r="B267" s="395" t="s">
        <v>170</v>
      </c>
      <c r="C267" s="269"/>
      <c r="D267" s="269"/>
      <c r="E267" s="269"/>
      <c r="F267" s="269"/>
      <c r="G267" s="269"/>
      <c r="H267" s="271"/>
      <c r="I267" s="271"/>
      <c r="J267" s="271"/>
      <c r="K267" s="271"/>
      <c r="L267" s="271"/>
      <c r="M267" s="271"/>
      <c r="N267" s="271"/>
      <c r="O267" s="271"/>
      <c r="P267" s="402" t="s">
        <v>105</v>
      </c>
      <c r="Q267" s="396" t="s">
        <v>106</v>
      </c>
      <c r="R267" s="402" t="s">
        <v>114</v>
      </c>
      <c r="S267" s="396" t="s">
        <v>106</v>
      </c>
      <c r="T267" s="269"/>
      <c r="U267" s="270"/>
      <c r="V267" s="5"/>
    </row>
    <row r="268" spans="1:22" ht="15.6" x14ac:dyDescent="0.3">
      <c r="A268" s="190"/>
      <c r="B268" s="243" t="s">
        <v>91</v>
      </c>
      <c r="C268" s="239"/>
      <c r="D268" s="239"/>
      <c r="E268" s="239"/>
      <c r="F268" s="239"/>
      <c r="G268" s="239"/>
      <c r="H268" s="275"/>
      <c r="I268" s="275"/>
      <c r="J268" s="275"/>
      <c r="K268" s="275"/>
      <c r="L268" s="218"/>
      <c r="M268" s="218"/>
      <c r="N268" s="218"/>
      <c r="O268" s="218"/>
      <c r="P268" s="243">
        <v>0</v>
      </c>
      <c r="Q268" s="274">
        <v>0</v>
      </c>
      <c r="R268" s="251">
        <v>0</v>
      </c>
      <c r="S268" s="274">
        <v>0</v>
      </c>
      <c r="T268" s="239"/>
      <c r="U268" s="191"/>
      <c r="V268" s="5"/>
    </row>
    <row r="269" spans="1:22" ht="15.6" x14ac:dyDescent="0.3">
      <c r="A269" s="284"/>
      <c r="B269" s="338" t="s">
        <v>92</v>
      </c>
      <c r="C269" s="285"/>
      <c r="D269" s="285"/>
      <c r="E269" s="285"/>
      <c r="F269" s="285"/>
      <c r="G269" s="285"/>
      <c r="H269" s="387"/>
      <c r="I269" s="387"/>
      <c r="J269" s="387"/>
      <c r="K269" s="387"/>
      <c r="L269" s="385"/>
      <c r="M269" s="385"/>
      <c r="N269" s="385"/>
      <c r="O269" s="385"/>
      <c r="P269" s="338">
        <v>0</v>
      </c>
      <c r="Q269" s="384">
        <v>0</v>
      </c>
      <c r="R269" s="339">
        <v>0</v>
      </c>
      <c r="S269" s="384">
        <v>0</v>
      </c>
      <c r="T269" s="285"/>
      <c r="U269" s="317"/>
      <c r="V269" s="5"/>
    </row>
    <row r="270" spans="1:22" ht="15.6" x14ac:dyDescent="0.3">
      <c r="A270" s="284"/>
      <c r="B270" s="338" t="s">
        <v>93</v>
      </c>
      <c r="C270" s="285"/>
      <c r="D270" s="285"/>
      <c r="E270" s="285"/>
      <c r="F270" s="285"/>
      <c r="G270" s="285"/>
      <c r="H270" s="387"/>
      <c r="I270" s="387"/>
      <c r="J270" s="387"/>
      <c r="K270" s="387"/>
      <c r="L270" s="385"/>
      <c r="M270" s="385"/>
      <c r="N270" s="385"/>
      <c r="O270" s="385"/>
      <c r="P270" s="338">
        <v>0</v>
      </c>
      <c r="Q270" s="384">
        <v>0</v>
      </c>
      <c r="R270" s="339">
        <v>0</v>
      </c>
      <c r="S270" s="384">
        <v>0</v>
      </c>
      <c r="T270" s="285"/>
      <c r="U270" s="317"/>
      <c r="V270" s="5"/>
    </row>
    <row r="271" spans="1:22" ht="15.6" x14ac:dyDescent="0.3">
      <c r="A271" s="284"/>
      <c r="B271" s="338" t="s">
        <v>163</v>
      </c>
      <c r="C271" s="285"/>
      <c r="D271" s="285"/>
      <c r="E271" s="285"/>
      <c r="F271" s="285"/>
      <c r="G271" s="285"/>
      <c r="H271" s="387"/>
      <c r="I271" s="387"/>
      <c r="J271" s="387"/>
      <c r="K271" s="387"/>
      <c r="L271" s="385"/>
      <c r="M271" s="385"/>
      <c r="N271" s="385"/>
      <c r="O271" s="385"/>
      <c r="P271" s="338">
        <v>0</v>
      </c>
      <c r="Q271" s="384">
        <v>0</v>
      </c>
      <c r="R271" s="339">
        <v>0</v>
      </c>
      <c r="S271" s="384">
        <v>0</v>
      </c>
      <c r="T271" s="285"/>
      <c r="U271" s="317"/>
      <c r="V271" s="5"/>
    </row>
    <row r="272" spans="1:22" ht="15.6" x14ac:dyDescent="0.3">
      <c r="A272" s="284"/>
      <c r="B272" s="338" t="s">
        <v>164</v>
      </c>
      <c r="C272" s="285"/>
      <c r="D272" s="285"/>
      <c r="E272" s="285"/>
      <c r="F272" s="285"/>
      <c r="G272" s="285"/>
      <c r="H272" s="387"/>
      <c r="I272" s="387"/>
      <c r="J272" s="387"/>
      <c r="K272" s="387"/>
      <c r="L272" s="385"/>
      <c r="M272" s="385"/>
      <c r="N272" s="385"/>
      <c r="O272" s="385"/>
      <c r="P272" s="338">
        <v>0</v>
      </c>
      <c r="Q272" s="384">
        <v>0</v>
      </c>
      <c r="R272" s="339">
        <v>0</v>
      </c>
      <c r="S272" s="384">
        <v>0</v>
      </c>
      <c r="T272" s="285"/>
      <c r="U272" s="317"/>
      <c r="V272" s="5"/>
    </row>
    <row r="273" spans="1:22" ht="15.6" x14ac:dyDescent="0.3">
      <c r="A273" s="284"/>
      <c r="B273" s="338" t="s">
        <v>165</v>
      </c>
      <c r="C273" s="285"/>
      <c r="D273" s="285"/>
      <c r="E273" s="285"/>
      <c r="F273" s="285"/>
      <c r="G273" s="285"/>
      <c r="H273" s="387"/>
      <c r="I273" s="387"/>
      <c r="J273" s="387"/>
      <c r="K273" s="387"/>
      <c r="L273" s="385"/>
      <c r="M273" s="385"/>
      <c r="N273" s="385"/>
      <c r="O273" s="385"/>
      <c r="P273" s="338">
        <v>0</v>
      </c>
      <c r="Q273" s="384">
        <v>0</v>
      </c>
      <c r="R273" s="339">
        <v>0</v>
      </c>
      <c r="S273" s="384">
        <v>0</v>
      </c>
      <c r="T273" s="285"/>
      <c r="U273" s="317"/>
      <c r="V273" s="5"/>
    </row>
    <row r="274" spans="1:22" ht="15.6" x14ac:dyDescent="0.3">
      <c r="A274" s="284"/>
      <c r="B274" s="338" t="s">
        <v>166</v>
      </c>
      <c r="C274" s="285"/>
      <c r="D274" s="285"/>
      <c r="E274" s="285"/>
      <c r="F274" s="285"/>
      <c r="G274" s="285"/>
      <c r="H274" s="387"/>
      <c r="I274" s="387"/>
      <c r="J274" s="387"/>
      <c r="K274" s="387"/>
      <c r="L274" s="385"/>
      <c r="M274" s="385"/>
      <c r="N274" s="385"/>
      <c r="O274" s="385"/>
      <c r="P274" s="338">
        <v>0</v>
      </c>
      <c r="Q274" s="384">
        <v>0</v>
      </c>
      <c r="R274" s="339">
        <v>0</v>
      </c>
      <c r="S274" s="384">
        <v>0</v>
      </c>
      <c r="T274" s="285"/>
      <c r="U274" s="317"/>
      <c r="V274" s="5"/>
    </row>
    <row r="275" spans="1:22" ht="15.6" x14ac:dyDescent="0.3">
      <c r="A275" s="284"/>
      <c r="B275" s="338" t="s">
        <v>167</v>
      </c>
      <c r="C275" s="285"/>
      <c r="D275" s="285"/>
      <c r="E275" s="285"/>
      <c r="F275" s="285"/>
      <c r="G275" s="285"/>
      <c r="H275" s="387"/>
      <c r="I275" s="387"/>
      <c r="J275" s="387"/>
      <c r="K275" s="387"/>
      <c r="L275" s="385"/>
      <c r="M275" s="385"/>
      <c r="N275" s="385"/>
      <c r="O275" s="385"/>
      <c r="P275" s="338">
        <v>0</v>
      </c>
      <c r="Q275" s="384">
        <v>0</v>
      </c>
      <c r="R275" s="339">
        <v>0</v>
      </c>
      <c r="S275" s="384">
        <v>0</v>
      </c>
      <c r="T275" s="285"/>
      <c r="U275" s="317"/>
      <c r="V275" s="5"/>
    </row>
    <row r="276" spans="1:22" ht="15.6" x14ac:dyDescent="0.3">
      <c r="A276" s="284"/>
      <c r="B276" s="338"/>
      <c r="C276" s="285"/>
      <c r="D276" s="285"/>
      <c r="E276" s="285"/>
      <c r="F276" s="285"/>
      <c r="G276" s="285"/>
      <c r="H276" s="387"/>
      <c r="I276" s="387"/>
      <c r="J276" s="387"/>
      <c r="K276" s="387"/>
      <c r="L276" s="385"/>
      <c r="M276" s="385"/>
      <c r="N276" s="385"/>
      <c r="O276" s="385"/>
      <c r="P276" s="338"/>
      <c r="Q276" s="384"/>
      <c r="R276" s="339"/>
      <c r="S276" s="384"/>
      <c r="T276" s="285"/>
      <c r="U276" s="317"/>
      <c r="V276" s="5"/>
    </row>
    <row r="277" spans="1:22" ht="15.6" x14ac:dyDescent="0.3">
      <c r="A277" s="284"/>
      <c r="B277" s="285" t="s">
        <v>120</v>
      </c>
      <c r="C277" s="285"/>
      <c r="D277" s="285"/>
      <c r="E277" s="285"/>
      <c r="F277" s="285"/>
      <c r="G277" s="285"/>
      <c r="H277" s="387"/>
      <c r="I277" s="387"/>
      <c r="J277" s="387"/>
      <c r="K277" s="387"/>
      <c r="L277" s="385"/>
      <c r="M277" s="385"/>
      <c r="N277" s="385"/>
      <c r="O277" s="385"/>
      <c r="P277" s="338">
        <f>SUM(P268:P275)</f>
        <v>0</v>
      </c>
      <c r="Q277" s="384">
        <f>SUM(Q268:Q276)</f>
        <v>0</v>
      </c>
      <c r="R277" s="339">
        <f>SUM(R268:R275)</f>
        <v>0</v>
      </c>
      <c r="S277" s="384">
        <f>SUM(S268:S276)</f>
        <v>0</v>
      </c>
      <c r="T277" s="285"/>
      <c r="U277" s="317"/>
      <c r="V277" s="5"/>
    </row>
    <row r="278" spans="1:22" ht="15.6" x14ac:dyDescent="0.3">
      <c r="A278" s="284"/>
      <c r="B278" s="285"/>
      <c r="C278" s="285"/>
      <c r="D278" s="285"/>
      <c r="E278" s="285"/>
      <c r="F278" s="285"/>
      <c r="G278" s="285"/>
      <c r="H278" s="387"/>
      <c r="I278" s="387"/>
      <c r="J278" s="387"/>
      <c r="K278" s="387"/>
      <c r="L278" s="385"/>
      <c r="M278" s="385"/>
      <c r="N278" s="385"/>
      <c r="O278" s="385"/>
      <c r="P278" s="344"/>
      <c r="Q278" s="388"/>
      <c r="R278" s="345"/>
      <c r="S278" s="388"/>
      <c r="T278" s="311"/>
      <c r="U278" s="317"/>
      <c r="V278" s="5"/>
    </row>
    <row r="279" spans="1:22" ht="15.6" x14ac:dyDescent="0.3">
      <c r="A279" s="284"/>
      <c r="B279" s="292" t="s">
        <v>171</v>
      </c>
      <c r="C279" s="285"/>
      <c r="D279" s="285"/>
      <c r="E279" s="285"/>
      <c r="F279" s="285"/>
      <c r="G279" s="285"/>
      <c r="H279" s="387"/>
      <c r="I279" s="387"/>
      <c r="J279" s="387"/>
      <c r="K279" s="387"/>
      <c r="L279" s="385"/>
      <c r="M279" s="385"/>
      <c r="N279" s="385"/>
      <c r="O279" s="385"/>
      <c r="P279" s="403">
        <f>P277+P265+P253</f>
        <v>4064</v>
      </c>
      <c r="Q279" s="384"/>
      <c r="R279" s="404">
        <f>+R277+R265+R253</f>
        <v>531045</v>
      </c>
      <c r="S279" s="384"/>
      <c r="T279" s="311"/>
      <c r="U279" s="317"/>
      <c r="V279" s="5"/>
    </row>
    <row r="280" spans="1:22" ht="15.6" x14ac:dyDescent="0.3">
      <c r="A280" s="175"/>
      <c r="B280" s="281"/>
      <c r="C280" s="281"/>
      <c r="D280" s="281"/>
      <c r="E280" s="281"/>
      <c r="F280" s="281"/>
      <c r="G280" s="281"/>
      <c r="H280" s="386"/>
      <c r="I280" s="386"/>
      <c r="J280" s="386"/>
      <c r="K280" s="386"/>
      <c r="L280" s="379"/>
      <c r="M280" s="379"/>
      <c r="N280" s="379"/>
      <c r="O280" s="379"/>
      <c r="P280" s="379"/>
      <c r="Q280" s="379"/>
      <c r="R280" s="381"/>
      <c r="S280" s="379"/>
      <c r="T280" s="334"/>
      <c r="U280" s="334"/>
      <c r="V280" s="5"/>
    </row>
    <row r="281" spans="1:22" ht="15.6" x14ac:dyDescent="0.3">
      <c r="A281" s="175"/>
      <c r="B281" s="231"/>
      <c r="C281" s="231"/>
      <c r="D281" s="231"/>
      <c r="E281" s="231"/>
      <c r="F281" s="231"/>
      <c r="G281" s="231"/>
      <c r="H281" s="276"/>
      <c r="I281" s="276"/>
      <c r="J281" s="276"/>
      <c r="K281" s="276"/>
      <c r="L281" s="219"/>
      <c r="M281" s="219"/>
      <c r="N281" s="219"/>
      <c r="O281" s="219"/>
      <c r="P281" s="219"/>
      <c r="Q281" s="219"/>
      <c r="R281" s="220"/>
      <c r="S281" s="219"/>
      <c r="T281" s="177"/>
      <c r="U281" s="177"/>
      <c r="V281" s="5"/>
    </row>
    <row r="282" spans="1:22" ht="15.6" x14ac:dyDescent="0.3">
      <c r="A282" s="221"/>
      <c r="B282" s="230" t="s">
        <v>94</v>
      </c>
      <c r="C282" s="231"/>
      <c r="D282" s="231"/>
      <c r="E282" s="231"/>
      <c r="F282" s="236" t="s">
        <v>100</v>
      </c>
      <c r="G282" s="231"/>
      <c r="H282" s="230" t="s">
        <v>102</v>
      </c>
      <c r="I282" s="277"/>
      <c r="J282" s="277"/>
      <c r="K282" s="277"/>
      <c r="L282" s="188"/>
      <c r="M282" s="188"/>
      <c r="N282" s="188"/>
      <c r="O282" s="188"/>
      <c r="P282" s="188"/>
      <c r="Q282" s="188"/>
      <c r="R282" s="188"/>
      <c r="S282" s="188"/>
      <c r="T282" s="188"/>
      <c r="U282" s="188"/>
      <c r="V282" s="5"/>
    </row>
    <row r="283" spans="1:22" ht="15.6" x14ac:dyDescent="0.3">
      <c r="A283" s="221"/>
      <c r="B283" s="230" t="s">
        <v>316</v>
      </c>
      <c r="C283" s="230"/>
      <c r="D283" s="230"/>
      <c r="E283" s="230"/>
      <c r="F283" s="278" t="s">
        <v>154</v>
      </c>
      <c r="G283" s="230"/>
      <c r="H283" s="230" t="s">
        <v>158</v>
      </c>
      <c r="I283" s="277"/>
      <c r="J283" s="277"/>
      <c r="K283" s="277"/>
      <c r="L283" s="188"/>
      <c r="M283" s="188"/>
      <c r="N283" s="188"/>
      <c r="O283" s="188"/>
      <c r="P283" s="188"/>
      <c r="Q283" s="188"/>
      <c r="R283" s="188"/>
      <c r="S283" s="188"/>
      <c r="T283" s="188"/>
      <c r="U283" s="188"/>
      <c r="V283" s="5"/>
    </row>
    <row r="284" spans="1:22" ht="15.6" x14ac:dyDescent="0.3">
      <c r="A284" s="221"/>
      <c r="B284" s="230" t="s">
        <v>317</v>
      </c>
      <c r="C284" s="230"/>
      <c r="D284" s="230"/>
      <c r="E284" s="230"/>
      <c r="F284" s="278" t="s">
        <v>269</v>
      </c>
      <c r="G284" s="230"/>
      <c r="H284" s="230" t="s">
        <v>270</v>
      </c>
      <c r="I284" s="277"/>
      <c r="J284" s="277"/>
      <c r="K284" s="277"/>
      <c r="L284" s="188"/>
      <c r="M284" s="188"/>
      <c r="N284" s="188"/>
      <c r="O284" s="188"/>
      <c r="P284" s="188"/>
      <c r="Q284" s="188"/>
      <c r="R284" s="188"/>
      <c r="S284" s="188"/>
      <c r="T284" s="188"/>
      <c r="U284" s="188"/>
      <c r="V284" s="5"/>
    </row>
    <row r="285" spans="1:22" ht="15.6" x14ac:dyDescent="0.3">
      <c r="A285" s="221"/>
      <c r="B285" s="230" t="s">
        <v>318</v>
      </c>
      <c r="C285" s="230"/>
      <c r="D285" s="230"/>
      <c r="E285" s="230"/>
      <c r="F285" s="278" t="s">
        <v>153</v>
      </c>
      <c r="G285" s="230"/>
      <c r="H285" s="230" t="s">
        <v>159</v>
      </c>
      <c r="I285" s="277"/>
      <c r="J285" s="277"/>
      <c r="K285" s="277"/>
      <c r="L285" s="188"/>
      <c r="M285" s="188"/>
      <c r="N285" s="188"/>
      <c r="O285" s="188"/>
      <c r="P285" s="188"/>
      <c r="Q285" s="188"/>
      <c r="R285" s="188"/>
      <c r="S285" s="188"/>
      <c r="T285" s="188"/>
      <c r="U285" s="188"/>
      <c r="V285" s="5"/>
    </row>
    <row r="286" spans="1:22" ht="15.6" x14ac:dyDescent="0.3">
      <c r="A286" s="221"/>
      <c r="B286" s="230"/>
      <c r="C286" s="230"/>
      <c r="D286" s="230"/>
      <c r="E286" s="230"/>
      <c r="F286" s="230"/>
      <c r="G286" s="279"/>
      <c r="H286" s="277"/>
      <c r="I286" s="277"/>
      <c r="J286" s="277"/>
      <c r="K286" s="277"/>
      <c r="L286" s="188"/>
      <c r="M286" s="188"/>
      <c r="N286" s="188"/>
      <c r="O286" s="188"/>
      <c r="P286" s="188"/>
      <c r="Q286" s="188"/>
      <c r="R286" s="188"/>
      <c r="S286" s="188"/>
      <c r="T286" s="188"/>
      <c r="U286" s="188"/>
      <c r="V286" s="5"/>
    </row>
    <row r="287" spans="1:22" ht="15.6" x14ac:dyDescent="0.3">
      <c r="A287" s="221"/>
      <c r="B287" s="230"/>
      <c r="C287" s="230"/>
      <c r="D287" s="230"/>
      <c r="E287" s="230"/>
      <c r="F287" s="230"/>
      <c r="G287" s="279"/>
      <c r="H287" s="277"/>
      <c r="I287" s="277"/>
      <c r="J287" s="277"/>
      <c r="K287" s="277"/>
      <c r="L287" s="188"/>
      <c r="M287" s="188"/>
      <c r="N287" s="188"/>
      <c r="O287" s="188"/>
      <c r="P287" s="188"/>
      <c r="Q287" s="188"/>
      <c r="R287" s="188"/>
      <c r="S287" s="188"/>
      <c r="T287" s="188"/>
      <c r="U287" s="188"/>
      <c r="V287" s="5"/>
    </row>
    <row r="288" spans="1:22" ht="18" thickBot="1" x14ac:dyDescent="0.35">
      <c r="A288" s="221"/>
      <c r="B288" s="280" t="str">
        <f>B193</f>
        <v>PM11 INVESTOR REPORT QUARTER ENDING MARCH 2014</v>
      </c>
      <c r="C288" s="230"/>
      <c r="D288" s="230"/>
      <c r="E288" s="230"/>
      <c r="F288" s="230"/>
      <c r="G288" s="279"/>
      <c r="H288" s="277"/>
      <c r="I288" s="277"/>
      <c r="J288" s="277"/>
      <c r="K288" s="277"/>
      <c r="L288" s="188"/>
      <c r="M288" s="188"/>
      <c r="N288" s="188"/>
      <c r="O288" s="188"/>
      <c r="P288" s="188"/>
      <c r="Q288" s="188"/>
      <c r="R288" s="188"/>
      <c r="S288" s="188"/>
      <c r="T288" s="188"/>
      <c r="U288" s="188"/>
      <c r="V288" s="5"/>
    </row>
    <row r="289" spans="1:21" x14ac:dyDescent="0.25">
      <c r="A289" s="100"/>
      <c r="B289" s="100"/>
      <c r="C289" s="100"/>
      <c r="D289" s="100"/>
      <c r="E289" s="100"/>
      <c r="F289" s="100"/>
      <c r="G289" s="100"/>
      <c r="H289" s="100"/>
      <c r="I289" s="100"/>
      <c r="J289" s="100"/>
      <c r="K289" s="100"/>
      <c r="L289" s="100"/>
      <c r="M289" s="100"/>
      <c r="N289" s="100"/>
      <c r="O289" s="100"/>
      <c r="P289" s="100"/>
      <c r="Q289" s="100"/>
      <c r="R289" s="100"/>
      <c r="S289" s="100"/>
      <c r="T289" s="100"/>
      <c r="U289" s="100"/>
    </row>
  </sheetData>
  <hyperlinks>
    <hyperlink ref="N229" r:id="rId1" xr:uid="{00000000-0004-0000-1F00-000000000000}"/>
    <hyperlink ref="J9" r:id="rId2" xr:uid="{00000000-0004-0000-1F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4" max="20" man="1"/>
    <brk id="133" max="20" man="1"/>
    <brk id="193" max="20" man="1"/>
  </rowBreaks>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9CB31"/>
  </sheetPr>
  <dimension ref="A1:X289"/>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08984375" style="1" customWidth="1"/>
    <col min="10" max="10" width="17.81640625" style="1" customWidth="1"/>
    <col min="11" max="11" width="2.1796875" style="1" customWidth="1"/>
    <col min="12" max="12" width="14.81640625" style="1" customWidth="1"/>
    <col min="13" max="13" width="2.1796875" style="1" customWidth="1"/>
    <col min="14" max="14" width="15.54296875" style="1" customWidth="1"/>
    <col min="15" max="15" width="2.08984375" style="1" customWidth="1"/>
    <col min="16" max="16" width="15.54296875" style="1" customWidth="1"/>
    <col min="17" max="18" width="12.81640625" style="1" customWidth="1"/>
    <col min="19" max="19" width="7.81640625" style="1" customWidth="1"/>
    <col min="20" max="20" width="14.81640625" style="1" customWidth="1"/>
    <col min="21" max="21" width="11.81640625" style="1" customWidth="1"/>
    <col min="22" max="16384" width="9.81640625" style="1"/>
  </cols>
  <sheetData>
    <row r="1" spans="1:22" ht="20.399999999999999" x14ac:dyDescent="0.35">
      <c r="A1" s="173"/>
      <c r="B1" s="228" t="s">
        <v>228</v>
      </c>
      <c r="C1" s="174"/>
      <c r="D1" s="174"/>
      <c r="E1" s="174"/>
      <c r="F1" s="174"/>
      <c r="G1" s="174"/>
      <c r="H1" s="174"/>
      <c r="I1" s="174"/>
      <c r="J1" s="174"/>
      <c r="K1" s="174"/>
      <c r="L1" s="174"/>
      <c r="M1" s="174"/>
      <c r="N1" s="174"/>
      <c r="O1" s="174"/>
      <c r="P1" s="174"/>
      <c r="Q1" s="174"/>
      <c r="R1" s="174"/>
      <c r="S1" s="174"/>
      <c r="T1" s="174"/>
      <c r="U1" s="174"/>
      <c r="V1" s="5"/>
    </row>
    <row r="2" spans="1:22" ht="15.6" x14ac:dyDescent="0.3">
      <c r="A2" s="175"/>
      <c r="B2" s="176"/>
      <c r="C2" s="177"/>
      <c r="D2" s="177"/>
      <c r="E2" s="177"/>
      <c r="F2" s="177"/>
      <c r="G2" s="177"/>
      <c r="H2" s="177"/>
      <c r="I2" s="177"/>
      <c r="J2" s="177"/>
      <c r="K2" s="177"/>
      <c r="L2" s="177"/>
      <c r="M2" s="177"/>
      <c r="N2" s="177"/>
      <c r="O2" s="177"/>
      <c r="P2" s="177"/>
      <c r="Q2" s="177"/>
      <c r="R2" s="177"/>
      <c r="S2" s="177"/>
      <c r="T2" s="177"/>
      <c r="U2" s="177"/>
      <c r="V2" s="5"/>
    </row>
    <row r="3" spans="1:22" ht="15.6" x14ac:dyDescent="0.3">
      <c r="A3" s="178"/>
      <c r="B3" s="179" t="s">
        <v>229</v>
      </c>
      <c r="C3" s="177"/>
      <c r="D3" s="177"/>
      <c r="E3" s="177"/>
      <c r="F3" s="177"/>
      <c r="G3" s="177"/>
      <c r="H3" s="177"/>
      <c r="I3" s="177"/>
      <c r="J3" s="177"/>
      <c r="K3" s="177"/>
      <c r="L3" s="177"/>
      <c r="M3" s="177"/>
      <c r="N3" s="177"/>
      <c r="O3" s="177"/>
      <c r="P3" s="177"/>
      <c r="Q3" s="177"/>
      <c r="R3" s="177"/>
      <c r="S3" s="177"/>
      <c r="T3" s="177"/>
      <c r="U3" s="177"/>
      <c r="V3" s="5"/>
    </row>
    <row r="4" spans="1:22" ht="15.6" x14ac:dyDescent="0.3">
      <c r="A4" s="175"/>
      <c r="B4" s="176"/>
      <c r="C4" s="177"/>
      <c r="D4" s="177"/>
      <c r="E4" s="177"/>
      <c r="F4" s="177"/>
      <c r="G4" s="177"/>
      <c r="H4" s="177"/>
      <c r="I4" s="177"/>
      <c r="J4" s="177"/>
      <c r="K4" s="177"/>
      <c r="L4" s="177"/>
      <c r="M4" s="177"/>
      <c r="N4" s="177"/>
      <c r="O4" s="177"/>
      <c r="P4" s="177"/>
      <c r="Q4" s="177"/>
      <c r="R4" s="177"/>
      <c r="S4" s="177"/>
      <c r="T4" s="177"/>
      <c r="U4" s="177"/>
      <c r="V4" s="5"/>
    </row>
    <row r="5" spans="1:22" ht="15.6" x14ac:dyDescent="0.3">
      <c r="A5" s="175"/>
      <c r="B5" s="229" t="s">
        <v>143</v>
      </c>
      <c r="C5" s="177"/>
      <c r="D5" s="177"/>
      <c r="E5" s="177"/>
      <c r="F5" s="177"/>
      <c r="G5" s="177"/>
      <c r="H5" s="177"/>
      <c r="I5" s="177"/>
      <c r="J5" s="177"/>
      <c r="K5" s="177"/>
      <c r="L5" s="177"/>
      <c r="M5" s="177"/>
      <c r="N5" s="177"/>
      <c r="O5" s="177"/>
      <c r="P5" s="177"/>
      <c r="Q5" s="177"/>
      <c r="R5" s="177"/>
      <c r="S5" s="177"/>
      <c r="T5" s="177"/>
      <c r="U5" s="177"/>
      <c r="V5" s="5"/>
    </row>
    <row r="6" spans="1:22" ht="15.6" x14ac:dyDescent="0.3">
      <c r="A6" s="175"/>
      <c r="B6" s="229" t="s">
        <v>145</v>
      </c>
      <c r="C6" s="177"/>
      <c r="D6" s="177"/>
      <c r="E6" s="177"/>
      <c r="F6" s="177"/>
      <c r="G6" s="177"/>
      <c r="H6" s="177"/>
      <c r="I6" s="177"/>
      <c r="J6" s="177"/>
      <c r="K6" s="177"/>
      <c r="L6" s="177"/>
      <c r="M6" s="177"/>
      <c r="N6" s="177"/>
      <c r="O6" s="177"/>
      <c r="P6" s="177"/>
      <c r="Q6" s="177"/>
      <c r="R6" s="177"/>
      <c r="S6" s="177"/>
      <c r="T6" s="177"/>
      <c r="U6" s="177"/>
      <c r="V6" s="5"/>
    </row>
    <row r="7" spans="1:22" ht="15.6" x14ac:dyDescent="0.3">
      <c r="A7" s="175"/>
      <c r="B7" s="229" t="s">
        <v>144</v>
      </c>
      <c r="C7" s="177"/>
      <c r="D7" s="177"/>
      <c r="E7" s="177"/>
      <c r="F7" s="177"/>
      <c r="G7" s="177"/>
      <c r="H7" s="177"/>
      <c r="I7" s="177"/>
      <c r="J7" s="177"/>
      <c r="K7" s="177"/>
      <c r="L7" s="177"/>
      <c r="M7" s="177"/>
      <c r="N7" s="177"/>
      <c r="O7" s="177"/>
      <c r="P7" s="177"/>
      <c r="Q7" s="177"/>
      <c r="R7" s="177"/>
      <c r="S7" s="177"/>
      <c r="T7" s="177"/>
      <c r="U7" s="177"/>
      <c r="V7" s="5"/>
    </row>
    <row r="8" spans="1:22" ht="15.6" x14ac:dyDescent="0.3">
      <c r="A8" s="175"/>
      <c r="B8" s="180"/>
      <c r="C8" s="177"/>
      <c r="D8" s="177"/>
      <c r="E8" s="177"/>
      <c r="F8" s="177"/>
      <c r="G8" s="177"/>
      <c r="H8" s="177"/>
      <c r="I8" s="177"/>
      <c r="J8" s="177"/>
      <c r="K8" s="177"/>
      <c r="L8" s="177"/>
      <c r="M8" s="177"/>
      <c r="N8" s="177"/>
      <c r="O8" s="177"/>
      <c r="P8" s="177"/>
      <c r="Q8" s="177"/>
      <c r="R8" s="177"/>
      <c r="S8" s="177"/>
      <c r="T8" s="177"/>
      <c r="U8" s="177"/>
      <c r="V8" s="5"/>
    </row>
    <row r="9" spans="1:22" ht="17.399999999999999" x14ac:dyDescent="0.3">
      <c r="A9" s="175"/>
      <c r="B9" s="181" t="s">
        <v>173</v>
      </c>
      <c r="C9" s="177"/>
      <c r="D9" s="177"/>
      <c r="E9" s="177"/>
      <c r="F9" s="177"/>
      <c r="G9" s="177"/>
      <c r="H9" s="177"/>
      <c r="I9" s="177"/>
      <c r="J9" s="182" t="s">
        <v>174</v>
      </c>
      <c r="K9" s="177"/>
      <c r="L9" s="182"/>
      <c r="M9" s="177"/>
      <c r="N9" s="177"/>
      <c r="O9" s="177"/>
      <c r="P9" s="177"/>
      <c r="Q9" s="177"/>
      <c r="R9" s="177"/>
      <c r="S9" s="177"/>
      <c r="T9" s="177"/>
      <c r="U9" s="177"/>
      <c r="V9" s="5"/>
    </row>
    <row r="10" spans="1:22" ht="15.6" x14ac:dyDescent="0.3">
      <c r="A10" s="175"/>
      <c r="B10" s="180"/>
      <c r="C10" s="183"/>
      <c r="D10" s="183"/>
      <c r="E10" s="183"/>
      <c r="F10" s="177"/>
      <c r="G10" s="177"/>
      <c r="H10" s="177"/>
      <c r="I10" s="177"/>
      <c r="J10" s="177"/>
      <c r="K10" s="177"/>
      <c r="L10" s="177"/>
      <c r="M10" s="177"/>
      <c r="N10" s="177"/>
      <c r="O10" s="177"/>
      <c r="P10" s="177"/>
      <c r="Q10" s="177"/>
      <c r="R10" s="177"/>
      <c r="S10" s="177"/>
      <c r="T10" s="177"/>
      <c r="U10" s="177"/>
      <c r="V10" s="5"/>
    </row>
    <row r="11" spans="1:22" ht="15.6" x14ac:dyDescent="0.3">
      <c r="A11" s="175"/>
      <c r="B11" s="230" t="s">
        <v>0</v>
      </c>
      <c r="C11" s="177"/>
      <c r="D11" s="177"/>
      <c r="E11" s="177"/>
      <c r="F11" s="177"/>
      <c r="G11" s="177"/>
      <c r="H11" s="177"/>
      <c r="I11" s="177"/>
      <c r="J11" s="177"/>
      <c r="K11" s="177"/>
      <c r="L11" s="177"/>
      <c r="M11" s="177"/>
      <c r="N11" s="177"/>
      <c r="O11" s="177"/>
      <c r="P11" s="177"/>
      <c r="Q11" s="177"/>
      <c r="R11" s="177"/>
      <c r="S11" s="177"/>
      <c r="T11" s="177"/>
      <c r="U11" s="177"/>
      <c r="V11" s="5"/>
    </row>
    <row r="12" spans="1:22" ht="16.2" thickBot="1" x14ac:dyDescent="0.35">
      <c r="A12" s="175"/>
      <c r="B12" s="183"/>
      <c r="C12" s="177"/>
      <c r="D12" s="177"/>
      <c r="E12" s="177"/>
      <c r="F12" s="177"/>
      <c r="G12" s="177"/>
      <c r="H12" s="177"/>
      <c r="I12" s="177"/>
      <c r="J12" s="177"/>
      <c r="K12" s="177"/>
      <c r="L12" s="177"/>
      <c r="M12" s="177"/>
      <c r="N12" s="177"/>
      <c r="O12" s="177"/>
      <c r="P12" s="177"/>
      <c r="Q12" s="177"/>
      <c r="R12" s="177"/>
      <c r="S12" s="177"/>
      <c r="T12" s="177"/>
      <c r="U12" s="177"/>
      <c r="V12" s="5"/>
    </row>
    <row r="13" spans="1:22" ht="15.6" x14ac:dyDescent="0.3">
      <c r="A13" s="173"/>
      <c r="B13" s="174"/>
      <c r="C13" s="174"/>
      <c r="D13" s="174"/>
      <c r="E13" s="174"/>
      <c r="F13" s="174"/>
      <c r="G13" s="174"/>
      <c r="H13" s="174"/>
      <c r="I13" s="174"/>
      <c r="J13" s="174"/>
      <c r="K13" s="174"/>
      <c r="L13" s="174"/>
      <c r="M13" s="174"/>
      <c r="N13" s="174"/>
      <c r="O13" s="174"/>
      <c r="P13" s="174"/>
      <c r="Q13" s="174"/>
      <c r="R13" s="174"/>
      <c r="S13" s="174"/>
      <c r="T13" s="174"/>
      <c r="U13" s="174"/>
      <c r="V13" s="5"/>
    </row>
    <row r="14" spans="1:22" ht="15.6" x14ac:dyDescent="0.3">
      <c r="A14" s="175"/>
      <c r="B14" s="230" t="s">
        <v>1</v>
      </c>
      <c r="C14" s="184"/>
      <c r="D14" s="184"/>
      <c r="E14" s="184"/>
      <c r="F14" s="184"/>
      <c r="G14" s="184"/>
      <c r="H14" s="184"/>
      <c r="I14" s="184"/>
      <c r="J14" s="184"/>
      <c r="K14" s="184"/>
      <c r="L14" s="184"/>
      <c r="M14" s="184"/>
      <c r="N14" s="184"/>
      <c r="O14" s="184"/>
      <c r="P14" s="231"/>
      <c r="Q14" s="231"/>
      <c r="R14" s="231"/>
      <c r="S14" s="231"/>
      <c r="T14" s="233" t="s">
        <v>230</v>
      </c>
      <c r="U14" s="184"/>
      <c r="V14" s="5"/>
    </row>
    <row r="15" spans="1:22" ht="15.6" x14ac:dyDescent="0.3">
      <c r="A15" s="175"/>
      <c r="B15" s="230" t="s">
        <v>2</v>
      </c>
      <c r="C15" s="184"/>
      <c r="D15" s="184"/>
      <c r="E15" s="184"/>
      <c r="F15" s="184"/>
      <c r="G15" s="184"/>
      <c r="H15" s="185"/>
      <c r="I15" s="185"/>
      <c r="J15" s="185"/>
      <c r="K15" s="185"/>
      <c r="L15" s="185"/>
      <c r="M15" s="185"/>
      <c r="N15" s="185"/>
      <c r="O15" s="185"/>
      <c r="P15" s="234" t="s">
        <v>107</v>
      </c>
      <c r="Q15" s="235">
        <v>0.40749999999999997</v>
      </c>
      <c r="R15" s="236" t="s">
        <v>146</v>
      </c>
      <c r="S15" s="235">
        <v>0.59250000000000003</v>
      </c>
      <c r="T15" s="233"/>
      <c r="U15" s="184"/>
      <c r="V15" s="5"/>
    </row>
    <row r="16" spans="1:22" ht="15.6" x14ac:dyDescent="0.3">
      <c r="A16" s="175"/>
      <c r="B16" s="230" t="s">
        <v>3</v>
      </c>
      <c r="C16" s="184"/>
      <c r="D16" s="184"/>
      <c r="E16" s="184"/>
      <c r="F16" s="184"/>
      <c r="G16" s="184"/>
      <c r="H16" s="185"/>
      <c r="I16" s="185"/>
      <c r="J16" s="185"/>
      <c r="K16" s="185"/>
      <c r="L16" s="185"/>
      <c r="M16" s="185"/>
      <c r="N16" s="185"/>
      <c r="O16" s="185"/>
      <c r="P16" s="234" t="s">
        <v>107</v>
      </c>
      <c r="Q16" s="235">
        <v>0.45800000000000002</v>
      </c>
      <c r="R16" s="236" t="s">
        <v>146</v>
      </c>
      <c r="S16" s="235">
        <v>0.54200000000000004</v>
      </c>
      <c r="T16" s="233"/>
      <c r="U16" s="184"/>
      <c r="V16" s="5"/>
    </row>
    <row r="17" spans="1:22" ht="15.6" x14ac:dyDescent="0.3">
      <c r="A17" s="175"/>
      <c r="B17" s="230" t="s">
        <v>4</v>
      </c>
      <c r="C17" s="184"/>
      <c r="D17" s="184"/>
      <c r="E17" s="184"/>
      <c r="F17" s="184"/>
      <c r="G17" s="184"/>
      <c r="H17" s="184"/>
      <c r="I17" s="184"/>
      <c r="J17" s="184"/>
      <c r="K17" s="184"/>
      <c r="L17" s="184"/>
      <c r="M17" s="184"/>
      <c r="N17" s="184"/>
      <c r="O17" s="184"/>
      <c r="P17" s="231"/>
      <c r="Q17" s="231"/>
      <c r="R17" s="231"/>
      <c r="S17" s="231"/>
      <c r="T17" s="237">
        <v>38799</v>
      </c>
      <c r="U17" s="184"/>
      <c r="V17" s="5"/>
    </row>
    <row r="18" spans="1:22" ht="15.6" x14ac:dyDescent="0.3">
      <c r="A18" s="175"/>
      <c r="B18" s="230" t="s">
        <v>5</v>
      </c>
      <c r="C18" s="184"/>
      <c r="D18" s="184"/>
      <c r="E18" s="184"/>
      <c r="F18" s="184"/>
      <c r="G18" s="184"/>
      <c r="H18" s="184"/>
      <c r="I18" s="184"/>
      <c r="J18" s="184"/>
      <c r="K18" s="184"/>
      <c r="L18" s="184"/>
      <c r="M18" s="184"/>
      <c r="N18" s="184"/>
      <c r="O18" s="184"/>
      <c r="P18" s="231"/>
      <c r="Q18" s="231"/>
      <c r="R18" s="231"/>
      <c r="S18" s="231"/>
      <c r="T18" s="237">
        <v>41842</v>
      </c>
      <c r="U18" s="184"/>
      <c r="V18" s="5"/>
    </row>
    <row r="19" spans="1:22" ht="15.6" x14ac:dyDescent="0.3">
      <c r="A19" s="175"/>
      <c r="B19" s="177"/>
      <c r="C19" s="177"/>
      <c r="D19" s="177"/>
      <c r="E19" s="177"/>
      <c r="F19" s="177"/>
      <c r="G19" s="177"/>
      <c r="H19" s="177"/>
      <c r="I19" s="177"/>
      <c r="J19" s="177"/>
      <c r="K19" s="177"/>
      <c r="L19" s="177"/>
      <c r="M19" s="177"/>
      <c r="N19" s="177"/>
      <c r="O19" s="177"/>
      <c r="P19" s="177"/>
      <c r="Q19" s="177"/>
      <c r="R19" s="177"/>
      <c r="S19" s="177"/>
      <c r="T19" s="186"/>
      <c r="U19" s="177"/>
      <c r="V19" s="5"/>
    </row>
    <row r="20" spans="1:22" ht="15.6" x14ac:dyDescent="0.3">
      <c r="A20" s="175"/>
      <c r="B20" s="232" t="s">
        <v>6</v>
      </c>
      <c r="C20" s="177"/>
      <c r="D20" s="177"/>
      <c r="E20" s="177"/>
      <c r="F20" s="177"/>
      <c r="G20" s="177"/>
      <c r="H20" s="177"/>
      <c r="I20" s="177"/>
      <c r="J20" s="177"/>
      <c r="K20" s="177"/>
      <c r="L20" s="177"/>
      <c r="M20" s="177"/>
      <c r="N20" s="177"/>
      <c r="O20" s="177"/>
      <c r="P20" s="177"/>
      <c r="Q20" s="177"/>
      <c r="R20" s="238" t="s">
        <v>108</v>
      </c>
      <c r="S20" s="177"/>
      <c r="T20" s="188"/>
      <c r="U20" s="177"/>
      <c r="V20" s="5"/>
    </row>
    <row r="21" spans="1:22" ht="15.6" x14ac:dyDescent="0.3">
      <c r="A21" s="175"/>
      <c r="B21" s="177"/>
      <c r="C21" s="177"/>
      <c r="D21" s="177"/>
      <c r="E21" s="177"/>
      <c r="F21" s="177"/>
      <c r="G21" s="177"/>
      <c r="H21" s="177"/>
      <c r="I21" s="177"/>
      <c r="J21" s="177"/>
      <c r="K21" s="177"/>
      <c r="L21" s="177"/>
      <c r="M21" s="177"/>
      <c r="N21" s="177"/>
      <c r="O21" s="177"/>
      <c r="P21" s="177"/>
      <c r="Q21" s="177"/>
      <c r="R21" s="177"/>
      <c r="S21" s="177"/>
      <c r="T21" s="189"/>
      <c r="U21" s="177"/>
      <c r="V21" s="5"/>
    </row>
    <row r="22" spans="1:22" ht="15.6" x14ac:dyDescent="0.3">
      <c r="A22" s="222"/>
      <c r="B22" s="223"/>
      <c r="C22" s="224"/>
      <c r="D22" s="224" t="s">
        <v>184</v>
      </c>
      <c r="E22" s="224"/>
      <c r="F22" s="224" t="s">
        <v>185</v>
      </c>
      <c r="G22" s="224"/>
      <c r="H22" s="224" t="s">
        <v>186</v>
      </c>
      <c r="I22" s="224"/>
      <c r="J22" s="224" t="s">
        <v>187</v>
      </c>
      <c r="K22" s="224"/>
      <c r="L22" s="224" t="s">
        <v>188</v>
      </c>
      <c r="M22" s="224"/>
      <c r="N22" s="224" t="s">
        <v>189</v>
      </c>
      <c r="O22" s="224"/>
      <c r="P22" s="224"/>
      <c r="Q22" s="226"/>
      <c r="R22" s="226"/>
      <c r="S22" s="227"/>
      <c r="T22" s="227"/>
      <c r="U22" s="223"/>
      <c r="V22" s="5"/>
    </row>
    <row r="23" spans="1:22" ht="15.6" x14ac:dyDescent="0.3">
      <c r="A23" s="190"/>
      <c r="B23" s="239" t="s">
        <v>7</v>
      </c>
      <c r="C23" s="240"/>
      <c r="D23" s="240" t="s">
        <v>222</v>
      </c>
      <c r="E23" s="240"/>
      <c r="F23" s="240" t="s">
        <v>147</v>
      </c>
      <c r="G23" s="240"/>
      <c r="H23" s="240" t="s">
        <v>147</v>
      </c>
      <c r="I23" s="240"/>
      <c r="J23" s="240" t="s">
        <v>190</v>
      </c>
      <c r="K23" s="240"/>
      <c r="L23" s="240" t="s">
        <v>190</v>
      </c>
      <c r="M23" s="240"/>
      <c r="N23" s="240" t="s">
        <v>148</v>
      </c>
      <c r="O23" s="240"/>
      <c r="P23" s="240"/>
      <c r="Q23" s="240"/>
      <c r="R23" s="240"/>
      <c r="S23" s="241"/>
      <c r="T23" s="241"/>
      <c r="U23" s="239"/>
      <c r="V23" s="5"/>
    </row>
    <row r="24" spans="1:22" ht="15.6" x14ac:dyDescent="0.3">
      <c r="A24" s="284"/>
      <c r="B24" s="285" t="s">
        <v>8</v>
      </c>
      <c r="C24" s="286"/>
      <c r="D24" s="286" t="s">
        <v>223</v>
      </c>
      <c r="E24" s="286"/>
      <c r="F24" s="286" t="s">
        <v>149</v>
      </c>
      <c r="G24" s="286"/>
      <c r="H24" s="286" t="s">
        <v>149</v>
      </c>
      <c r="I24" s="286"/>
      <c r="J24" s="286" t="s">
        <v>172</v>
      </c>
      <c r="K24" s="286"/>
      <c r="L24" s="286" t="s">
        <v>172</v>
      </c>
      <c r="M24" s="286"/>
      <c r="N24" s="286" t="s">
        <v>150</v>
      </c>
      <c r="O24" s="286"/>
      <c r="P24" s="286"/>
      <c r="Q24" s="286"/>
      <c r="R24" s="286"/>
      <c r="S24" s="287"/>
      <c r="T24" s="287"/>
      <c r="U24" s="288"/>
      <c r="V24" s="5"/>
    </row>
    <row r="25" spans="1:22" ht="15.6" x14ac:dyDescent="0.3">
      <c r="A25" s="289"/>
      <c r="B25" s="285" t="s">
        <v>198</v>
      </c>
      <c r="C25" s="394"/>
      <c r="D25" s="286" t="s">
        <v>224</v>
      </c>
      <c r="E25" s="286"/>
      <c r="F25" s="286" t="s">
        <v>149</v>
      </c>
      <c r="G25" s="286"/>
      <c r="H25" s="286" t="s">
        <v>149</v>
      </c>
      <c r="I25" s="286"/>
      <c r="J25" s="286" t="s">
        <v>172</v>
      </c>
      <c r="K25" s="286"/>
      <c r="L25" s="286" t="s">
        <v>172</v>
      </c>
      <c r="M25" s="286"/>
      <c r="N25" s="286" t="s">
        <v>150</v>
      </c>
      <c r="O25" s="286"/>
      <c r="P25" s="286"/>
      <c r="Q25" s="394"/>
      <c r="R25" s="286"/>
      <c r="S25" s="287"/>
      <c r="T25" s="287"/>
      <c r="U25" s="288"/>
      <c r="V25" s="5"/>
    </row>
    <row r="26" spans="1:22" ht="15.6" x14ac:dyDescent="0.3">
      <c r="A26" s="289"/>
      <c r="B26" s="292" t="s">
        <v>9</v>
      </c>
      <c r="C26" s="394"/>
      <c r="D26" s="394" t="s">
        <v>306</v>
      </c>
      <c r="E26" s="394"/>
      <c r="F26" s="394" t="s">
        <v>147</v>
      </c>
      <c r="G26" s="394"/>
      <c r="H26" s="394" t="s">
        <v>147</v>
      </c>
      <c r="I26" s="394"/>
      <c r="J26" s="394" t="s">
        <v>190</v>
      </c>
      <c r="K26" s="394"/>
      <c r="L26" s="394" t="s">
        <v>190</v>
      </c>
      <c r="M26" s="394"/>
      <c r="N26" s="394" t="s">
        <v>148</v>
      </c>
      <c r="O26" s="394"/>
      <c r="P26" s="394"/>
      <c r="Q26" s="394"/>
      <c r="R26" s="286"/>
      <c r="S26" s="287"/>
      <c r="T26" s="287"/>
      <c r="U26" s="288"/>
      <c r="V26" s="5"/>
    </row>
    <row r="27" spans="1:22" ht="15.6" x14ac:dyDescent="0.3">
      <c r="A27" s="284"/>
      <c r="B27" s="292" t="s">
        <v>199</v>
      </c>
      <c r="C27" s="286"/>
      <c r="D27" s="394" t="s">
        <v>307</v>
      </c>
      <c r="E27" s="394"/>
      <c r="F27" s="394" t="s">
        <v>172</v>
      </c>
      <c r="G27" s="394"/>
      <c r="H27" s="394" t="s">
        <v>172</v>
      </c>
      <c r="I27" s="394"/>
      <c r="J27" s="394" t="s">
        <v>150</v>
      </c>
      <c r="K27" s="394"/>
      <c r="L27" s="394" t="s">
        <v>150</v>
      </c>
      <c r="M27" s="394"/>
      <c r="N27" s="394" t="s">
        <v>308</v>
      </c>
      <c r="O27" s="394"/>
      <c r="P27" s="394"/>
      <c r="Q27" s="286"/>
      <c r="R27" s="293"/>
      <c r="S27" s="287"/>
      <c r="T27" s="287"/>
      <c r="U27" s="288"/>
      <c r="V27" s="5"/>
    </row>
    <row r="28" spans="1:22" ht="15.6" x14ac:dyDescent="0.3">
      <c r="A28" s="284"/>
      <c r="B28" s="292" t="s">
        <v>200</v>
      </c>
      <c r="C28" s="286"/>
      <c r="D28" s="394" t="s">
        <v>302</v>
      </c>
      <c r="E28" s="394"/>
      <c r="F28" s="394" t="s">
        <v>149</v>
      </c>
      <c r="G28" s="394"/>
      <c r="H28" s="394" t="s">
        <v>149</v>
      </c>
      <c r="I28" s="394"/>
      <c r="J28" s="394" t="s">
        <v>322</v>
      </c>
      <c r="K28" s="394"/>
      <c r="L28" s="394" t="s">
        <v>322</v>
      </c>
      <c r="M28" s="394"/>
      <c r="N28" s="394" t="s">
        <v>150</v>
      </c>
      <c r="O28" s="394"/>
      <c r="P28" s="394"/>
      <c r="Q28" s="286"/>
      <c r="R28" s="293"/>
      <c r="S28" s="287"/>
      <c r="T28" s="287"/>
      <c r="U28" s="288"/>
      <c r="V28" s="5"/>
    </row>
    <row r="29" spans="1:22" ht="15.6" x14ac:dyDescent="0.3">
      <c r="A29" s="284"/>
      <c r="B29" s="285" t="s">
        <v>10</v>
      </c>
      <c r="C29" s="295"/>
      <c r="D29" s="286" t="s">
        <v>237</v>
      </c>
      <c r="E29" s="286"/>
      <c r="F29" s="293" t="s">
        <v>238</v>
      </c>
      <c r="G29" s="286"/>
      <c r="H29" s="286" t="s">
        <v>239</v>
      </c>
      <c r="I29" s="286"/>
      <c r="J29" s="286" t="s">
        <v>240</v>
      </c>
      <c r="K29" s="286"/>
      <c r="L29" s="286" t="s">
        <v>241</v>
      </c>
      <c r="M29" s="286"/>
      <c r="N29" s="286" t="s">
        <v>242</v>
      </c>
      <c r="O29" s="286"/>
      <c r="P29" s="286"/>
      <c r="Q29" s="296"/>
      <c r="R29" s="296"/>
      <c r="S29" s="297"/>
      <c r="T29" s="296"/>
      <c r="U29" s="298"/>
      <c r="V29" s="5"/>
    </row>
    <row r="30" spans="1:22" ht="15.6" x14ac:dyDescent="0.3">
      <c r="A30" s="284"/>
      <c r="B30" s="285" t="s">
        <v>10</v>
      </c>
      <c r="C30" s="295"/>
      <c r="D30" s="286" t="s">
        <v>236</v>
      </c>
      <c r="E30" s="286"/>
      <c r="F30" s="293" t="s">
        <v>124</v>
      </c>
      <c r="G30" s="286"/>
      <c r="H30" s="286" t="s">
        <v>124</v>
      </c>
      <c r="I30" s="286"/>
      <c r="J30" s="286" t="s">
        <v>124</v>
      </c>
      <c r="K30" s="286"/>
      <c r="L30" s="286" t="s">
        <v>124</v>
      </c>
      <c r="M30" s="286"/>
      <c r="N30" s="286" t="s">
        <v>124</v>
      </c>
      <c r="O30" s="286"/>
      <c r="P30" s="286"/>
      <c r="Q30" s="296"/>
      <c r="R30" s="296"/>
      <c r="S30" s="297"/>
      <c r="T30" s="296"/>
      <c r="U30" s="298"/>
      <c r="V30" s="5"/>
    </row>
    <row r="31" spans="1:22" ht="15.6" x14ac:dyDescent="0.3">
      <c r="A31" s="289"/>
      <c r="B31" s="285" t="s">
        <v>139</v>
      </c>
      <c r="C31" s="299"/>
      <c r="D31" s="300">
        <v>985000</v>
      </c>
      <c r="E31" s="295"/>
      <c r="F31" s="296">
        <v>149500</v>
      </c>
      <c r="G31" s="296"/>
      <c r="H31" s="301">
        <v>219700</v>
      </c>
      <c r="I31" s="296"/>
      <c r="J31" s="296">
        <v>16000</v>
      </c>
      <c r="K31" s="296"/>
      <c r="L31" s="301">
        <v>82400</v>
      </c>
      <c r="M31" s="296"/>
      <c r="N31" s="301">
        <v>87500</v>
      </c>
      <c r="O31" s="296"/>
      <c r="P31" s="301"/>
      <c r="Q31" s="302"/>
      <c r="R31" s="302"/>
      <c r="S31" s="303"/>
      <c r="T31" s="302"/>
      <c r="U31" s="298"/>
      <c r="V31" s="5"/>
    </row>
    <row r="32" spans="1:22" ht="15.6" x14ac:dyDescent="0.3">
      <c r="A32" s="284"/>
      <c r="B32" s="285" t="s">
        <v>138</v>
      </c>
      <c r="C32" s="295"/>
      <c r="D32" s="300">
        <f>D38*D31</f>
        <v>452467.13749999995</v>
      </c>
      <c r="E32" s="295"/>
      <c r="F32" s="296">
        <f>F38*F31</f>
        <v>68674.140599999999</v>
      </c>
      <c r="G32" s="296"/>
      <c r="H32" s="301">
        <f>H38*H31</f>
        <v>100921.12836</v>
      </c>
      <c r="I32" s="296"/>
      <c r="J32" s="296">
        <f>+J31</f>
        <v>16000</v>
      </c>
      <c r="K32" s="296"/>
      <c r="L32" s="301">
        <f>+L31</f>
        <v>82400</v>
      </c>
      <c r="M32" s="296"/>
      <c r="N32" s="301">
        <f>+N31</f>
        <v>87500</v>
      </c>
      <c r="O32" s="296"/>
      <c r="P32" s="301"/>
      <c r="Q32" s="296"/>
      <c r="R32" s="296"/>
      <c r="S32" s="297"/>
      <c r="T32" s="296"/>
      <c r="U32" s="298"/>
      <c r="V32" s="5"/>
    </row>
    <row r="33" spans="1:22" ht="15.6" x14ac:dyDescent="0.3">
      <c r="A33" s="284"/>
      <c r="B33" s="292" t="s">
        <v>140</v>
      </c>
      <c r="C33" s="295"/>
      <c r="D33" s="304">
        <f>D37*D31</f>
        <v>446061.6825</v>
      </c>
      <c r="E33" s="299"/>
      <c r="F33" s="302">
        <f>F37*F31</f>
        <v>67701.9421</v>
      </c>
      <c r="G33" s="302"/>
      <c r="H33" s="305">
        <f>H31*H37</f>
        <v>99492.419259999995</v>
      </c>
      <c r="I33" s="302"/>
      <c r="J33" s="302">
        <f>J31*J37</f>
        <v>16000</v>
      </c>
      <c r="K33" s="302"/>
      <c r="L33" s="305">
        <f>L31*L37</f>
        <v>82400</v>
      </c>
      <c r="M33" s="302"/>
      <c r="N33" s="305">
        <f>N31*N37</f>
        <v>87500</v>
      </c>
      <c r="O33" s="302"/>
      <c r="P33" s="305"/>
      <c r="Q33" s="296"/>
      <c r="R33" s="296"/>
      <c r="S33" s="297"/>
      <c r="T33" s="296"/>
      <c r="U33" s="298"/>
      <c r="V33" s="5"/>
    </row>
    <row r="34" spans="1:22" ht="15.6" x14ac:dyDescent="0.3">
      <c r="A34" s="289"/>
      <c r="B34" s="285" t="s">
        <v>283</v>
      </c>
      <c r="C34" s="299"/>
      <c r="D34" s="296">
        <v>567282</v>
      </c>
      <c r="E34" s="295"/>
      <c r="F34" s="296">
        <v>149500</v>
      </c>
      <c r="G34" s="296"/>
      <c r="H34" s="296">
        <v>150716</v>
      </c>
      <c r="I34" s="296"/>
      <c r="J34" s="296">
        <v>16000</v>
      </c>
      <c r="K34" s="296"/>
      <c r="L34" s="296">
        <v>56527</v>
      </c>
      <c r="M34" s="296"/>
      <c r="N34" s="296">
        <v>60025</v>
      </c>
      <c r="O34" s="296"/>
      <c r="P34" s="296"/>
      <c r="Q34" s="302"/>
      <c r="R34" s="302"/>
      <c r="S34" s="303"/>
      <c r="T34" s="296">
        <f>SUM(C34:P34)</f>
        <v>1000050</v>
      </c>
      <c r="U34" s="298"/>
      <c r="V34" s="5"/>
    </row>
    <row r="35" spans="1:22" ht="15.6" x14ac:dyDescent="0.3">
      <c r="A35" s="289"/>
      <c r="B35" s="285" t="s">
        <v>284</v>
      </c>
      <c r="C35" s="299"/>
      <c r="D35" s="296">
        <f>D38*D34</f>
        <v>260585.24131499999</v>
      </c>
      <c r="E35" s="295"/>
      <c r="F35" s="296">
        <f>F38*F34</f>
        <v>68674.140599999999</v>
      </c>
      <c r="G35" s="296"/>
      <c r="H35" s="296">
        <f>H38*H34</f>
        <v>69232.720900800006</v>
      </c>
      <c r="I35" s="296"/>
      <c r="J35" s="296">
        <f>+J34</f>
        <v>16000</v>
      </c>
      <c r="K35" s="296"/>
      <c r="L35" s="296">
        <f>+L34</f>
        <v>56527</v>
      </c>
      <c r="M35" s="296"/>
      <c r="N35" s="296">
        <f>+N34</f>
        <v>60025</v>
      </c>
      <c r="O35" s="296"/>
      <c r="P35" s="296"/>
      <c r="Q35" s="296"/>
      <c r="R35" s="296"/>
      <c r="S35" s="297"/>
      <c r="T35" s="296">
        <f>SUM(C35:P35)+1</f>
        <v>531045.1028158</v>
      </c>
      <c r="U35" s="298"/>
      <c r="V35" s="5"/>
    </row>
    <row r="36" spans="1:22" ht="15.6" x14ac:dyDescent="0.3">
      <c r="A36" s="289"/>
      <c r="B36" s="292" t="s">
        <v>285</v>
      </c>
      <c r="C36" s="299"/>
      <c r="D36" s="302">
        <f>D37*D34</f>
        <v>256896.206469</v>
      </c>
      <c r="E36" s="299"/>
      <c r="F36" s="302">
        <f>F37*F34</f>
        <v>67701.9421</v>
      </c>
      <c r="G36" s="302"/>
      <c r="H36" s="302">
        <f>H37*H34</f>
        <v>68252.6147528</v>
      </c>
      <c r="I36" s="302"/>
      <c r="J36" s="302">
        <f>+J34</f>
        <v>16000</v>
      </c>
      <c r="K36" s="302"/>
      <c r="L36" s="302">
        <f>+L34</f>
        <v>56527</v>
      </c>
      <c r="M36" s="302"/>
      <c r="N36" s="302">
        <f>+N34</f>
        <v>60025</v>
      </c>
      <c r="O36" s="302"/>
      <c r="P36" s="302"/>
      <c r="Q36" s="327"/>
      <c r="R36" s="327"/>
      <c r="S36" s="297"/>
      <c r="T36" s="302">
        <f>SUM(C36:P36)+1</f>
        <v>525403.76332180004</v>
      </c>
      <c r="U36" s="298"/>
      <c r="V36" s="5"/>
    </row>
    <row r="37" spans="1:22" ht="15.6" x14ac:dyDescent="0.3">
      <c r="A37" s="284"/>
      <c r="B37" s="310" t="s">
        <v>136</v>
      </c>
      <c r="C37" s="311"/>
      <c r="D37" s="312">
        <v>0.45285449999999999</v>
      </c>
      <c r="E37" s="313"/>
      <c r="F37" s="312">
        <v>0.45285579999999998</v>
      </c>
      <c r="G37" s="314"/>
      <c r="H37" s="312">
        <v>0.45285579999999998</v>
      </c>
      <c r="I37" s="314"/>
      <c r="J37" s="312">
        <v>1</v>
      </c>
      <c r="K37" s="314"/>
      <c r="L37" s="312">
        <v>1</v>
      </c>
      <c r="M37" s="314"/>
      <c r="N37" s="312">
        <v>1</v>
      </c>
      <c r="O37" s="314"/>
      <c r="P37" s="314"/>
      <c r="Q37" s="315"/>
      <c r="R37" s="315"/>
      <c r="S37" s="316"/>
      <c r="T37" s="316"/>
      <c r="U37" s="317"/>
      <c r="V37" s="5"/>
    </row>
    <row r="38" spans="1:22" ht="15.6" x14ac:dyDescent="0.3">
      <c r="A38" s="284"/>
      <c r="B38" s="310" t="s">
        <v>137</v>
      </c>
      <c r="C38" s="311"/>
      <c r="D38" s="312">
        <v>0.45935749999999997</v>
      </c>
      <c r="E38" s="313"/>
      <c r="F38" s="312">
        <v>0.45935880000000001</v>
      </c>
      <c r="G38" s="314"/>
      <c r="H38" s="312">
        <v>0.45935880000000001</v>
      </c>
      <c r="I38" s="314"/>
      <c r="J38" s="312">
        <v>1</v>
      </c>
      <c r="K38" s="312"/>
      <c r="L38" s="312">
        <v>1</v>
      </c>
      <c r="M38" s="312"/>
      <c r="N38" s="312">
        <v>1</v>
      </c>
      <c r="O38" s="314"/>
      <c r="P38" s="314"/>
      <c r="Q38" s="318"/>
      <c r="R38" s="319"/>
      <c r="S38" s="316"/>
      <c r="T38" s="318"/>
      <c r="U38" s="317"/>
      <c r="V38" s="5"/>
    </row>
    <row r="39" spans="1:22" ht="15.6" x14ac:dyDescent="0.3">
      <c r="A39" s="284"/>
      <c r="B39" s="285" t="s">
        <v>11</v>
      </c>
      <c r="C39" s="285"/>
      <c r="D39" s="293" t="s">
        <v>275</v>
      </c>
      <c r="E39" s="285"/>
      <c r="F39" s="293" t="s">
        <v>232</v>
      </c>
      <c r="G39" s="293"/>
      <c r="H39" s="293" t="s">
        <v>232</v>
      </c>
      <c r="I39" s="293"/>
      <c r="J39" s="293" t="s">
        <v>234</v>
      </c>
      <c r="K39" s="293"/>
      <c r="L39" s="293" t="s">
        <v>234</v>
      </c>
      <c r="M39" s="293"/>
      <c r="N39" s="293" t="s">
        <v>235</v>
      </c>
      <c r="O39" s="293"/>
      <c r="P39" s="293"/>
      <c r="Q39" s="320"/>
      <c r="R39" s="321"/>
      <c r="S39" s="287"/>
      <c r="T39" s="287"/>
      <c r="U39" s="288"/>
      <c r="V39" s="5"/>
    </row>
    <row r="40" spans="1:22" ht="15.6" x14ac:dyDescent="0.3">
      <c r="A40" s="284"/>
      <c r="B40" s="285" t="s">
        <v>12</v>
      </c>
      <c r="C40" s="285"/>
      <c r="D40" s="321">
        <v>2.5175000000000002E-3</v>
      </c>
      <c r="E40" s="285"/>
      <c r="F40" s="321">
        <v>7.6531000000000004E-3</v>
      </c>
      <c r="G40" s="320"/>
      <c r="H40" s="321">
        <v>5.6800000000000002E-3</v>
      </c>
      <c r="I40" s="320"/>
      <c r="J40" s="321">
        <v>1.0053100000000001E-2</v>
      </c>
      <c r="K40" s="320"/>
      <c r="L40" s="321">
        <v>8.0800000000000004E-3</v>
      </c>
      <c r="M40" s="320"/>
      <c r="N40" s="321">
        <v>1.2279999999999999E-2</v>
      </c>
      <c r="O40" s="320"/>
      <c r="P40" s="321"/>
      <c r="Q40" s="320"/>
      <c r="R40" s="321"/>
      <c r="S40" s="287"/>
      <c r="T40" s="293"/>
      <c r="U40" s="288"/>
      <c r="V40" s="5"/>
    </row>
    <row r="41" spans="1:22" ht="15.6" x14ac:dyDescent="0.3">
      <c r="A41" s="284"/>
      <c r="B41" s="285" t="s">
        <v>13</v>
      </c>
      <c r="C41" s="285"/>
      <c r="D41" s="321">
        <v>2.5500000000000002E-3</v>
      </c>
      <c r="E41" s="285"/>
      <c r="F41" s="321">
        <v>7.5938000000000004E-3</v>
      </c>
      <c r="G41" s="320"/>
      <c r="H41" s="321">
        <v>5.2199999999999998E-3</v>
      </c>
      <c r="I41" s="320"/>
      <c r="J41" s="321">
        <v>9.9938000000000006E-3</v>
      </c>
      <c r="K41" s="320"/>
      <c r="L41" s="321">
        <v>7.62E-3</v>
      </c>
      <c r="M41" s="320"/>
      <c r="N41" s="321">
        <v>1.1820000000000001E-2</v>
      </c>
      <c r="O41" s="320"/>
      <c r="P41" s="321"/>
      <c r="Q41" s="320"/>
      <c r="R41" s="321"/>
      <c r="S41" s="287"/>
      <c r="T41" s="320" t="s">
        <v>201</v>
      </c>
      <c r="U41" s="288"/>
      <c r="V41" s="5"/>
    </row>
    <row r="42" spans="1:22" ht="15.6" x14ac:dyDescent="0.3">
      <c r="A42" s="284"/>
      <c r="B42" s="285" t="s">
        <v>286</v>
      </c>
      <c r="C42" s="285"/>
      <c r="D42" s="293" t="s">
        <v>231</v>
      </c>
      <c r="E42" s="285"/>
      <c r="F42" s="293" t="s">
        <v>232</v>
      </c>
      <c r="G42" s="293"/>
      <c r="H42" s="293" t="s">
        <v>232</v>
      </c>
      <c r="I42" s="293"/>
      <c r="J42" s="293" t="s">
        <v>234</v>
      </c>
      <c r="K42" s="293"/>
      <c r="L42" s="293" t="s">
        <v>245</v>
      </c>
      <c r="M42" s="293"/>
      <c r="N42" s="293" t="s">
        <v>247</v>
      </c>
      <c r="O42" s="293"/>
      <c r="P42" s="293"/>
      <c r="Q42" s="320"/>
      <c r="R42" s="321"/>
      <c r="S42" s="287"/>
      <c r="T42" s="287"/>
      <c r="U42" s="288"/>
      <c r="V42" s="5"/>
    </row>
    <row r="43" spans="1:22" ht="15.6" x14ac:dyDescent="0.3">
      <c r="A43" s="284"/>
      <c r="B43" s="285" t="s">
        <v>287</v>
      </c>
      <c r="C43" s="322"/>
      <c r="D43" s="321">
        <v>6.4892999999999999E-3</v>
      </c>
      <c r="E43" s="321"/>
      <c r="F43" s="321">
        <f>+F40</f>
        <v>7.6531000000000004E-3</v>
      </c>
      <c r="G43" s="321"/>
      <c r="H43" s="321">
        <v>7.6490999999999998E-3</v>
      </c>
      <c r="I43" s="321"/>
      <c r="J43" s="321">
        <f>+J40</f>
        <v>1.0053100000000001E-2</v>
      </c>
      <c r="K43" s="321"/>
      <c r="L43" s="321">
        <v>1.03591E-2</v>
      </c>
      <c r="M43" s="321"/>
      <c r="N43" s="321">
        <v>1.5063099999999999E-2</v>
      </c>
      <c r="O43" s="320"/>
      <c r="P43" s="321"/>
      <c r="Q43" s="293"/>
      <c r="R43" s="293"/>
      <c r="S43" s="287"/>
      <c r="T43" s="320">
        <f>SUMPRODUCT(D43:N43,D35:N35)/T35</f>
        <v>8.2794001436421582E-3</v>
      </c>
      <c r="U43" s="288"/>
      <c r="V43" s="5"/>
    </row>
    <row r="44" spans="1:22" ht="15.6" x14ac:dyDescent="0.3">
      <c r="A44" s="284"/>
      <c r="B44" s="285" t="s">
        <v>288</v>
      </c>
      <c r="C44" s="322"/>
      <c r="D44" s="321">
        <v>6.43E-3</v>
      </c>
      <c r="E44" s="321"/>
      <c r="F44" s="321">
        <f>+F41</f>
        <v>7.5938000000000004E-3</v>
      </c>
      <c r="G44" s="321"/>
      <c r="H44" s="321">
        <v>7.5897999999999998E-3</v>
      </c>
      <c r="I44" s="321"/>
      <c r="J44" s="321">
        <f>+J41</f>
        <v>9.9938000000000006E-3</v>
      </c>
      <c r="K44" s="321"/>
      <c r="L44" s="321">
        <v>1.02998E-2</v>
      </c>
      <c r="M44" s="321"/>
      <c r="N44" s="321">
        <v>1.5003799999999999E-2</v>
      </c>
      <c r="O44" s="320"/>
      <c r="P44" s="321"/>
      <c r="Q44" s="293"/>
      <c r="R44" s="293"/>
      <c r="S44" s="287"/>
      <c r="T44" s="287"/>
      <c r="U44" s="288"/>
      <c r="V44" s="5"/>
    </row>
    <row r="45" spans="1:22" ht="15.6" x14ac:dyDescent="0.3">
      <c r="A45" s="284"/>
      <c r="B45" s="285" t="s">
        <v>14</v>
      </c>
      <c r="C45" s="285"/>
      <c r="D45" s="322">
        <v>40283</v>
      </c>
      <c r="E45" s="322"/>
      <c r="F45" s="322">
        <v>40283</v>
      </c>
      <c r="G45" s="322"/>
      <c r="H45" s="322">
        <v>40283</v>
      </c>
      <c r="I45" s="322"/>
      <c r="J45" s="322">
        <v>40283</v>
      </c>
      <c r="K45" s="322"/>
      <c r="L45" s="322">
        <v>40283</v>
      </c>
      <c r="M45" s="322"/>
      <c r="N45" s="322">
        <v>40283</v>
      </c>
      <c r="O45" s="322"/>
      <c r="P45" s="322"/>
      <c r="Q45" s="293"/>
      <c r="R45" s="293"/>
      <c r="S45" s="287"/>
      <c r="T45" s="287"/>
      <c r="U45" s="288"/>
      <c r="V45" s="5"/>
    </row>
    <row r="46" spans="1:22" ht="15.6" x14ac:dyDescent="0.3">
      <c r="A46" s="284"/>
      <c r="B46" s="285" t="s">
        <v>15</v>
      </c>
      <c r="C46" s="285"/>
      <c r="D46" s="322">
        <v>40648</v>
      </c>
      <c r="E46" s="322"/>
      <c r="F46" s="322">
        <v>40648</v>
      </c>
      <c r="G46" s="322"/>
      <c r="H46" s="322">
        <v>40648</v>
      </c>
      <c r="I46" s="293"/>
      <c r="J46" s="322">
        <v>40648</v>
      </c>
      <c r="K46" s="293"/>
      <c r="L46" s="322">
        <v>40648</v>
      </c>
      <c r="M46" s="293"/>
      <c r="N46" s="322">
        <v>40648</v>
      </c>
      <c r="O46" s="293"/>
      <c r="P46" s="322"/>
      <c r="Q46" s="293"/>
      <c r="R46" s="293"/>
      <c r="S46" s="287"/>
      <c r="T46" s="287"/>
      <c r="U46" s="288"/>
      <c r="V46" s="5"/>
    </row>
    <row r="47" spans="1:22" ht="15.6" x14ac:dyDescent="0.3">
      <c r="A47" s="284"/>
      <c r="B47" s="285" t="s">
        <v>125</v>
      </c>
      <c r="C47" s="285"/>
      <c r="D47" s="293" t="s">
        <v>124</v>
      </c>
      <c r="E47" s="285"/>
      <c r="F47" s="293" t="s">
        <v>232</v>
      </c>
      <c r="G47" s="293"/>
      <c r="H47" s="293" t="s">
        <v>232</v>
      </c>
      <c r="I47" s="293"/>
      <c r="J47" s="293" t="s">
        <v>234</v>
      </c>
      <c r="K47" s="293"/>
      <c r="L47" s="293" t="s">
        <v>234</v>
      </c>
      <c r="M47" s="293"/>
      <c r="N47" s="293" t="s">
        <v>235</v>
      </c>
      <c r="O47" s="293"/>
      <c r="P47" s="293"/>
      <c r="Q47" s="324"/>
      <c r="R47" s="324"/>
      <c r="S47" s="324"/>
      <c r="T47" s="324"/>
      <c r="U47" s="288"/>
      <c r="V47" s="5"/>
    </row>
    <row r="48" spans="1:22" ht="15.6" x14ac:dyDescent="0.3">
      <c r="A48" s="284"/>
      <c r="B48" s="285" t="s">
        <v>289</v>
      </c>
      <c r="C48" s="285"/>
      <c r="D48" s="293" t="s">
        <v>208</v>
      </c>
      <c r="E48" s="285"/>
      <c r="F48" s="293" t="s">
        <v>232</v>
      </c>
      <c r="G48" s="293"/>
      <c r="H48" s="293" t="s">
        <v>232</v>
      </c>
      <c r="I48" s="293"/>
      <c r="J48" s="293" t="s">
        <v>234</v>
      </c>
      <c r="K48" s="293"/>
      <c r="L48" s="293" t="s">
        <v>245</v>
      </c>
      <c r="M48" s="293"/>
      <c r="N48" s="293" t="s">
        <v>247</v>
      </c>
      <c r="O48" s="293"/>
      <c r="P48" s="293"/>
      <c r="Q48" s="285"/>
      <c r="R48" s="285"/>
      <c r="S48" s="285"/>
      <c r="T48" s="320"/>
      <c r="U48" s="288"/>
      <c r="V48" s="5"/>
    </row>
    <row r="49" spans="1:23" ht="15.6" x14ac:dyDescent="0.3">
      <c r="A49" s="284"/>
      <c r="B49" s="285"/>
      <c r="C49" s="285"/>
      <c r="D49" s="293"/>
      <c r="E49" s="285"/>
      <c r="F49" s="293"/>
      <c r="G49" s="293"/>
      <c r="H49" s="293"/>
      <c r="I49" s="293"/>
      <c r="J49" s="293"/>
      <c r="K49" s="293"/>
      <c r="L49" s="293"/>
      <c r="M49" s="293"/>
      <c r="N49" s="293"/>
      <c r="O49" s="293"/>
      <c r="P49" s="293"/>
      <c r="Q49" s="285"/>
      <c r="R49" s="285"/>
      <c r="S49" s="285"/>
      <c r="T49" s="320" t="s">
        <v>201</v>
      </c>
      <c r="U49" s="288"/>
      <c r="V49" s="5"/>
    </row>
    <row r="50" spans="1:23" ht="15.6" x14ac:dyDescent="0.3">
      <c r="A50" s="284"/>
      <c r="B50" s="285" t="s">
        <v>176</v>
      </c>
      <c r="C50" s="285"/>
      <c r="D50" s="293"/>
      <c r="E50" s="285"/>
      <c r="F50" s="293"/>
      <c r="G50" s="293"/>
      <c r="H50" s="293"/>
      <c r="I50" s="293"/>
      <c r="J50" s="293"/>
      <c r="K50" s="293"/>
      <c r="L50" s="293"/>
      <c r="M50" s="293"/>
      <c r="N50" s="293"/>
      <c r="O50" s="293"/>
      <c r="P50" s="293"/>
      <c r="Q50" s="285"/>
      <c r="R50" s="285"/>
      <c r="S50" s="285"/>
      <c r="T50" s="320">
        <f>SUM(J34:P34)/SUM(D34:H34)</f>
        <v>0.15279804679664968</v>
      </c>
      <c r="U50" s="288"/>
      <c r="V50" s="5"/>
    </row>
    <row r="51" spans="1:23" ht="15.6" x14ac:dyDescent="0.3">
      <c r="A51" s="284"/>
      <c r="B51" s="285" t="s">
        <v>177</v>
      </c>
      <c r="C51" s="285"/>
      <c r="D51" s="285"/>
      <c r="E51" s="285"/>
      <c r="F51" s="325"/>
      <c r="G51" s="285"/>
      <c r="H51" s="285"/>
      <c r="I51" s="285"/>
      <c r="J51" s="285"/>
      <c r="K51" s="285"/>
      <c r="L51" s="285"/>
      <c r="M51" s="285"/>
      <c r="N51" s="285"/>
      <c r="O51" s="285"/>
      <c r="P51" s="285"/>
      <c r="Q51" s="285"/>
      <c r="R51" s="285"/>
      <c r="S51" s="285"/>
      <c r="T51" s="320">
        <f>SUM(J36:P36)/SUM(D36:H36)</f>
        <v>0.33741057005767167</v>
      </c>
      <c r="U51" s="288"/>
      <c r="V51" s="5"/>
    </row>
    <row r="52" spans="1:23" ht="15.6" x14ac:dyDescent="0.3">
      <c r="A52" s="284"/>
      <c r="B52" s="285" t="s">
        <v>178</v>
      </c>
      <c r="C52" s="285"/>
      <c r="D52" s="285"/>
      <c r="E52" s="285"/>
      <c r="F52" s="285"/>
      <c r="G52" s="285"/>
      <c r="H52" s="285"/>
      <c r="I52" s="285"/>
      <c r="J52" s="285"/>
      <c r="K52" s="285"/>
      <c r="L52" s="285"/>
      <c r="M52" s="285"/>
      <c r="N52" s="285"/>
      <c r="O52" s="285"/>
      <c r="P52" s="285"/>
      <c r="Q52" s="285"/>
      <c r="R52" s="293" t="s">
        <v>109</v>
      </c>
      <c r="S52" s="293" t="s">
        <v>115</v>
      </c>
      <c r="T52" s="296">
        <f>+T34/2-SUM(J34:P34)</f>
        <v>367473</v>
      </c>
      <c r="U52" s="288"/>
      <c r="V52" s="5"/>
    </row>
    <row r="53" spans="1:23" ht="15.6" x14ac:dyDescent="0.3">
      <c r="A53" s="284"/>
      <c r="B53" s="285"/>
      <c r="C53" s="285"/>
      <c r="D53" s="285"/>
      <c r="E53" s="285"/>
      <c r="F53" s="285"/>
      <c r="G53" s="285"/>
      <c r="H53" s="285"/>
      <c r="I53" s="285"/>
      <c r="J53" s="285"/>
      <c r="K53" s="285"/>
      <c r="L53" s="285"/>
      <c r="M53" s="285"/>
      <c r="N53" s="285"/>
      <c r="O53" s="285"/>
      <c r="P53" s="285"/>
      <c r="Q53" s="285"/>
      <c r="R53" s="285"/>
      <c r="S53" s="285"/>
      <c r="T53" s="326"/>
      <c r="U53" s="288"/>
      <c r="V53" s="5"/>
    </row>
    <row r="54" spans="1:23" ht="15.6" x14ac:dyDescent="0.3">
      <c r="A54" s="284"/>
      <c r="B54" s="285" t="s">
        <v>211</v>
      </c>
      <c r="C54" s="285"/>
      <c r="D54" s="285"/>
      <c r="E54" s="285"/>
      <c r="F54" s="285"/>
      <c r="G54" s="285"/>
      <c r="H54" s="285"/>
      <c r="I54" s="285"/>
      <c r="J54" s="285"/>
      <c r="K54" s="285"/>
      <c r="L54" s="285"/>
      <c r="M54" s="285"/>
      <c r="N54" s="285"/>
      <c r="O54" s="285"/>
      <c r="P54" s="285"/>
      <c r="Q54" s="285"/>
      <c r="R54" s="285"/>
      <c r="S54" s="285"/>
      <c r="T54" s="327" t="s">
        <v>212</v>
      </c>
      <c r="U54" s="288"/>
      <c r="V54" s="5"/>
    </row>
    <row r="55" spans="1:23" ht="15.6" x14ac:dyDescent="0.3">
      <c r="A55" s="284"/>
      <c r="B55" s="285" t="s">
        <v>253</v>
      </c>
      <c r="C55" s="285"/>
      <c r="D55" s="285"/>
      <c r="E55" s="285"/>
      <c r="F55" s="285"/>
      <c r="G55" s="285"/>
      <c r="H55" s="285"/>
      <c r="I55" s="285"/>
      <c r="J55" s="285"/>
      <c r="K55" s="285"/>
      <c r="L55" s="285"/>
      <c r="M55" s="285"/>
      <c r="N55" s="285"/>
      <c r="O55" s="285"/>
      <c r="P55" s="285"/>
      <c r="Q55" s="285"/>
      <c r="R55" s="293"/>
      <c r="S55" s="293"/>
      <c r="T55" s="328" t="s">
        <v>117</v>
      </c>
      <c r="U55" s="288"/>
      <c r="V55" s="5"/>
    </row>
    <row r="56" spans="1:23" ht="15.6" x14ac:dyDescent="0.3">
      <c r="A56" s="284"/>
      <c r="B56" s="292" t="s">
        <v>210</v>
      </c>
      <c r="C56" s="292"/>
      <c r="D56" s="292"/>
      <c r="E56" s="292"/>
      <c r="F56" s="292"/>
      <c r="G56" s="292"/>
      <c r="H56" s="292"/>
      <c r="I56" s="292"/>
      <c r="J56" s="292"/>
      <c r="K56" s="292"/>
      <c r="L56" s="292"/>
      <c r="M56" s="292"/>
      <c r="N56" s="292"/>
      <c r="O56" s="292"/>
      <c r="P56" s="292"/>
      <c r="Q56" s="292"/>
      <c r="R56" s="329"/>
      <c r="S56" s="329"/>
      <c r="T56" s="330">
        <v>41835</v>
      </c>
      <c r="U56" s="288"/>
      <c r="V56" s="5"/>
    </row>
    <row r="57" spans="1:23" ht="15.6" x14ac:dyDescent="0.3">
      <c r="A57" s="284"/>
      <c r="B57" s="285" t="s">
        <v>127</v>
      </c>
      <c r="C57" s="285"/>
      <c r="D57" s="285"/>
      <c r="E57" s="285"/>
      <c r="F57" s="285"/>
      <c r="G57" s="285"/>
      <c r="H57" s="331"/>
      <c r="I57" s="331"/>
      <c r="J57" s="331"/>
      <c r="K57" s="331"/>
      <c r="L57" s="331"/>
      <c r="M57" s="331"/>
      <c r="N57" s="331"/>
      <c r="O57" s="331"/>
      <c r="P57" s="285">
        <f>+T57-R57+1</f>
        <v>90</v>
      </c>
      <c r="Q57" s="331"/>
      <c r="R57" s="332">
        <v>41654</v>
      </c>
      <c r="S57" s="333"/>
      <c r="T57" s="332">
        <v>41743</v>
      </c>
      <c r="U57" s="288"/>
      <c r="V57" s="5"/>
    </row>
    <row r="58" spans="1:23" ht="15.6" x14ac:dyDescent="0.3">
      <c r="A58" s="284"/>
      <c r="B58" s="285" t="s">
        <v>128</v>
      </c>
      <c r="C58" s="285"/>
      <c r="D58" s="285"/>
      <c r="E58" s="285"/>
      <c r="F58" s="285"/>
      <c r="G58" s="285"/>
      <c r="H58" s="285"/>
      <c r="I58" s="285"/>
      <c r="J58" s="285"/>
      <c r="K58" s="285"/>
      <c r="L58" s="285"/>
      <c r="M58" s="285"/>
      <c r="N58" s="285"/>
      <c r="O58" s="285"/>
      <c r="P58" s="285">
        <f>+T58-R58+1</f>
        <v>91</v>
      </c>
      <c r="Q58" s="285"/>
      <c r="R58" s="332">
        <v>41744</v>
      </c>
      <c r="S58" s="333"/>
      <c r="T58" s="332">
        <v>41834</v>
      </c>
      <c r="U58" s="288"/>
      <c r="V58" s="5"/>
    </row>
    <row r="59" spans="1:23" ht="15.6" x14ac:dyDescent="0.3">
      <c r="A59" s="284"/>
      <c r="B59" s="285" t="s">
        <v>209</v>
      </c>
      <c r="C59" s="285"/>
      <c r="D59" s="285"/>
      <c r="E59" s="285"/>
      <c r="F59" s="285"/>
      <c r="G59" s="285"/>
      <c r="H59" s="285"/>
      <c r="I59" s="285"/>
      <c r="J59" s="285"/>
      <c r="K59" s="285"/>
      <c r="L59" s="285"/>
      <c r="M59" s="285"/>
      <c r="N59" s="285"/>
      <c r="O59" s="285"/>
      <c r="P59" s="285"/>
      <c r="Q59" s="285"/>
      <c r="R59" s="332"/>
      <c r="S59" s="333"/>
      <c r="T59" s="332" t="s">
        <v>126</v>
      </c>
      <c r="U59" s="288"/>
      <c r="V59" s="5"/>
    </row>
    <row r="60" spans="1:23" ht="15.6" x14ac:dyDescent="0.3">
      <c r="A60" s="284"/>
      <c r="B60" s="285" t="s">
        <v>249</v>
      </c>
      <c r="C60" s="285"/>
      <c r="D60" s="285"/>
      <c r="E60" s="285"/>
      <c r="F60" s="285"/>
      <c r="G60" s="285"/>
      <c r="H60" s="285"/>
      <c r="I60" s="285"/>
      <c r="J60" s="285"/>
      <c r="K60" s="285"/>
      <c r="L60" s="285"/>
      <c r="M60" s="285"/>
      <c r="N60" s="285"/>
      <c r="O60" s="285"/>
      <c r="P60" s="285"/>
      <c r="Q60" s="285"/>
      <c r="R60" s="332"/>
      <c r="S60" s="333"/>
      <c r="T60" s="332" t="s">
        <v>160</v>
      </c>
      <c r="U60" s="288"/>
      <c r="V60" s="5"/>
      <c r="W60" s="134"/>
    </row>
    <row r="61" spans="1:23" ht="15.6" x14ac:dyDescent="0.3">
      <c r="A61" s="284"/>
      <c r="B61" s="285" t="s">
        <v>16</v>
      </c>
      <c r="C61" s="285"/>
      <c r="D61" s="285"/>
      <c r="E61" s="285"/>
      <c r="F61" s="285"/>
      <c r="G61" s="285"/>
      <c r="H61" s="285"/>
      <c r="I61" s="285"/>
      <c r="J61" s="285"/>
      <c r="K61" s="285"/>
      <c r="L61" s="285"/>
      <c r="M61" s="285"/>
      <c r="N61" s="285"/>
      <c r="O61" s="285"/>
      <c r="P61" s="285"/>
      <c r="Q61" s="285"/>
      <c r="R61" s="332"/>
      <c r="S61" s="333"/>
      <c r="T61" s="332">
        <v>41821</v>
      </c>
      <c r="U61" s="288"/>
      <c r="V61" s="5"/>
    </row>
    <row r="62" spans="1:23" ht="15.6" x14ac:dyDescent="0.3">
      <c r="A62" s="175"/>
      <c r="B62" s="281"/>
      <c r="C62" s="281"/>
      <c r="D62" s="281"/>
      <c r="E62" s="281"/>
      <c r="F62" s="281"/>
      <c r="G62" s="281"/>
      <c r="H62" s="281"/>
      <c r="I62" s="281"/>
      <c r="J62" s="281"/>
      <c r="K62" s="281"/>
      <c r="L62" s="281"/>
      <c r="M62" s="281"/>
      <c r="N62" s="281"/>
      <c r="O62" s="281"/>
      <c r="P62" s="281"/>
      <c r="Q62" s="281"/>
      <c r="R62" s="282"/>
      <c r="S62" s="283"/>
      <c r="T62" s="282"/>
      <c r="U62" s="281"/>
      <c r="V62" s="5"/>
    </row>
    <row r="63" spans="1:23" ht="15.6" x14ac:dyDescent="0.3">
      <c r="A63" s="175"/>
      <c r="B63" s="231"/>
      <c r="C63" s="231"/>
      <c r="D63" s="231"/>
      <c r="E63" s="231"/>
      <c r="F63" s="231"/>
      <c r="G63" s="231"/>
      <c r="H63" s="231"/>
      <c r="I63" s="231"/>
      <c r="J63" s="231"/>
      <c r="K63" s="231"/>
      <c r="L63" s="231"/>
      <c r="M63" s="231"/>
      <c r="N63" s="231"/>
      <c r="O63" s="231"/>
      <c r="P63" s="231"/>
      <c r="Q63" s="231"/>
      <c r="R63" s="244"/>
      <c r="S63" s="245"/>
      <c r="T63" s="244"/>
      <c r="U63" s="231"/>
      <c r="V63" s="5"/>
    </row>
    <row r="64" spans="1:23" ht="18" thickBot="1" x14ac:dyDescent="0.35">
      <c r="A64" s="192"/>
      <c r="B64" s="246" t="s">
        <v>323</v>
      </c>
      <c r="C64" s="247"/>
      <c r="D64" s="247"/>
      <c r="E64" s="247"/>
      <c r="F64" s="247"/>
      <c r="G64" s="247"/>
      <c r="H64" s="247"/>
      <c r="I64" s="247"/>
      <c r="J64" s="247"/>
      <c r="K64" s="247"/>
      <c r="L64" s="247"/>
      <c r="M64" s="247"/>
      <c r="N64" s="247"/>
      <c r="O64" s="247"/>
      <c r="P64" s="247"/>
      <c r="Q64" s="247"/>
      <c r="R64" s="247"/>
      <c r="S64" s="247"/>
      <c r="T64" s="248"/>
      <c r="U64" s="249"/>
      <c r="V64" s="5"/>
    </row>
    <row r="65" spans="1:22" ht="15.6" x14ac:dyDescent="0.3">
      <c r="A65" s="222"/>
      <c r="B65" s="395" t="s">
        <v>17</v>
      </c>
      <c r="C65" s="223"/>
      <c r="D65" s="223"/>
      <c r="E65" s="223"/>
      <c r="F65" s="223"/>
      <c r="G65" s="223"/>
      <c r="H65" s="223"/>
      <c r="I65" s="223"/>
      <c r="J65" s="223"/>
      <c r="K65" s="223"/>
      <c r="L65" s="223"/>
      <c r="M65" s="223"/>
      <c r="N65" s="223"/>
      <c r="O65" s="223"/>
      <c r="P65" s="223"/>
      <c r="Q65" s="223"/>
      <c r="R65" s="223"/>
      <c r="S65" s="223"/>
      <c r="T65" s="250"/>
      <c r="U65" s="223"/>
      <c r="V65" s="5"/>
    </row>
    <row r="66" spans="1:22" ht="15.6" x14ac:dyDescent="0.3">
      <c r="A66" s="175"/>
      <c r="B66" s="183"/>
      <c r="C66" s="177"/>
      <c r="D66" s="177"/>
      <c r="E66" s="177"/>
      <c r="F66" s="177"/>
      <c r="G66" s="177"/>
      <c r="H66" s="177"/>
      <c r="I66" s="177"/>
      <c r="J66" s="177"/>
      <c r="K66" s="177"/>
      <c r="L66" s="177"/>
      <c r="M66" s="177"/>
      <c r="N66" s="177"/>
      <c r="O66" s="177"/>
      <c r="P66" s="177"/>
      <c r="Q66" s="177"/>
      <c r="R66" s="177"/>
      <c r="S66" s="177"/>
      <c r="T66" s="194"/>
      <c r="U66" s="177"/>
      <c r="V66" s="5"/>
    </row>
    <row r="67" spans="1:22" ht="46.8" x14ac:dyDescent="0.3">
      <c r="A67" s="175"/>
      <c r="B67" s="195" t="s">
        <v>18</v>
      </c>
      <c r="C67" s="196"/>
      <c r="D67" s="196"/>
      <c r="E67" s="196"/>
      <c r="F67" s="196"/>
      <c r="G67" s="196"/>
      <c r="H67" s="196"/>
      <c r="I67" s="196"/>
      <c r="J67" s="196" t="s">
        <v>97</v>
      </c>
      <c r="K67" s="196"/>
      <c r="L67" s="196" t="s">
        <v>99</v>
      </c>
      <c r="M67" s="196"/>
      <c r="N67" s="196" t="s">
        <v>101</v>
      </c>
      <c r="O67" s="196"/>
      <c r="P67" s="196" t="s">
        <v>103</v>
      </c>
      <c r="Q67" s="196"/>
      <c r="R67" s="196" t="s">
        <v>110</v>
      </c>
      <c r="S67" s="196"/>
      <c r="T67" s="197" t="s">
        <v>118</v>
      </c>
      <c r="U67" s="198"/>
      <c r="V67" s="5"/>
    </row>
    <row r="68" spans="1:22" ht="15.6" x14ac:dyDescent="0.3">
      <c r="A68" s="337"/>
      <c r="B68" s="285" t="s">
        <v>19</v>
      </c>
      <c r="C68" s="338"/>
      <c r="D68" s="338"/>
      <c r="E68" s="338"/>
      <c r="F68" s="338"/>
      <c r="G68" s="338"/>
      <c r="H68" s="338"/>
      <c r="I68" s="338"/>
      <c r="J68" s="338">
        <v>1000039</v>
      </c>
      <c r="K68" s="338"/>
      <c r="L68" s="339">
        <v>531045</v>
      </c>
      <c r="M68" s="338"/>
      <c r="N68" s="338">
        <f>5641+90+107</f>
        <v>5838</v>
      </c>
      <c r="O68" s="338"/>
      <c r="P68" s="338">
        <f>90+107</f>
        <v>197</v>
      </c>
      <c r="Q68" s="338"/>
      <c r="R68" s="338">
        <v>0</v>
      </c>
      <c r="S68" s="338"/>
      <c r="T68" s="339">
        <f>+L68-N68+P68-R68</f>
        <v>525404</v>
      </c>
      <c r="U68" s="288"/>
      <c r="V68" s="5"/>
    </row>
    <row r="69" spans="1:22" ht="15.6" x14ac:dyDescent="0.3">
      <c r="A69" s="337"/>
      <c r="B69" s="285" t="s">
        <v>20</v>
      </c>
      <c r="C69" s="338"/>
      <c r="D69" s="338"/>
      <c r="E69" s="338"/>
      <c r="F69" s="338"/>
      <c r="G69" s="338"/>
      <c r="H69" s="338"/>
      <c r="I69" s="338"/>
      <c r="J69" s="338">
        <v>10</v>
      </c>
      <c r="K69" s="338"/>
      <c r="L69" s="339">
        <v>0</v>
      </c>
      <c r="M69" s="338"/>
      <c r="N69" s="338">
        <v>0</v>
      </c>
      <c r="O69" s="338"/>
      <c r="P69" s="338">
        <v>0</v>
      </c>
      <c r="Q69" s="338"/>
      <c r="R69" s="338">
        <v>0</v>
      </c>
      <c r="S69" s="338"/>
      <c r="T69" s="339">
        <v>0</v>
      </c>
      <c r="U69" s="288"/>
      <c r="V69" s="5"/>
    </row>
    <row r="70" spans="1:22" ht="15.6" x14ac:dyDescent="0.3">
      <c r="A70" s="337"/>
      <c r="B70" s="285"/>
      <c r="C70" s="338"/>
      <c r="D70" s="338"/>
      <c r="E70" s="338"/>
      <c r="F70" s="338"/>
      <c r="G70" s="338"/>
      <c r="H70" s="338"/>
      <c r="I70" s="338"/>
      <c r="J70" s="338"/>
      <c r="K70" s="338"/>
      <c r="L70" s="339"/>
      <c r="M70" s="338"/>
      <c r="N70" s="338"/>
      <c r="O70" s="338"/>
      <c r="P70" s="338"/>
      <c r="Q70" s="338"/>
      <c r="R70" s="338"/>
      <c r="S70" s="338"/>
      <c r="T70" s="339"/>
      <c r="U70" s="288"/>
      <c r="V70" s="5"/>
    </row>
    <row r="71" spans="1:22" ht="15.6" x14ac:dyDescent="0.3">
      <c r="A71" s="337"/>
      <c r="B71" s="285" t="s">
        <v>21</v>
      </c>
      <c r="C71" s="338"/>
      <c r="D71" s="338"/>
      <c r="E71" s="338"/>
      <c r="F71" s="338"/>
      <c r="G71" s="338"/>
      <c r="H71" s="338"/>
      <c r="I71" s="338"/>
      <c r="J71" s="338">
        <f>SUM(J68:J70)</f>
        <v>1000049</v>
      </c>
      <c r="K71" s="338"/>
      <c r="L71" s="338">
        <f>L68+L69</f>
        <v>531045</v>
      </c>
      <c r="M71" s="338"/>
      <c r="N71" s="338">
        <f>SUM(N68:N70)</f>
        <v>5838</v>
      </c>
      <c r="O71" s="338"/>
      <c r="P71" s="338">
        <f>SUM(P68:P70)</f>
        <v>197</v>
      </c>
      <c r="Q71" s="338"/>
      <c r="R71" s="338">
        <f>SUM(R68:R70)</f>
        <v>0</v>
      </c>
      <c r="S71" s="338"/>
      <c r="T71" s="338">
        <f>SUM(T68:T70)</f>
        <v>525404</v>
      </c>
      <c r="U71" s="288"/>
      <c r="V71" s="5"/>
    </row>
    <row r="72" spans="1:22" ht="15.6" x14ac:dyDescent="0.3">
      <c r="A72" s="175"/>
      <c r="B72" s="334"/>
      <c r="C72" s="335"/>
      <c r="D72" s="335"/>
      <c r="E72" s="335"/>
      <c r="F72" s="335"/>
      <c r="G72" s="335"/>
      <c r="H72" s="335"/>
      <c r="I72" s="335"/>
      <c r="J72" s="335"/>
      <c r="K72" s="335"/>
      <c r="L72" s="335"/>
      <c r="M72" s="335"/>
      <c r="N72" s="335"/>
      <c r="O72" s="335"/>
      <c r="P72" s="335"/>
      <c r="Q72" s="335"/>
      <c r="R72" s="335"/>
      <c r="S72" s="335"/>
      <c r="T72" s="336"/>
      <c r="U72" s="334"/>
      <c r="V72" s="5"/>
    </row>
    <row r="73" spans="1:22" ht="15.6" x14ac:dyDescent="0.3">
      <c r="A73" s="175"/>
      <c r="B73" s="179" t="s">
        <v>22</v>
      </c>
      <c r="C73" s="199"/>
      <c r="D73" s="199"/>
      <c r="E73" s="199"/>
      <c r="F73" s="199"/>
      <c r="G73" s="199"/>
      <c r="H73" s="199"/>
      <c r="I73" s="199"/>
      <c r="J73" s="199"/>
      <c r="K73" s="199"/>
      <c r="L73" s="199"/>
      <c r="M73" s="199"/>
      <c r="N73" s="199"/>
      <c r="O73" s="199"/>
      <c r="P73" s="199"/>
      <c r="Q73" s="199"/>
      <c r="R73" s="199"/>
      <c r="S73" s="199"/>
      <c r="T73" s="200"/>
      <c r="U73" s="177"/>
      <c r="V73" s="5"/>
    </row>
    <row r="74" spans="1:22" ht="15.6" x14ac:dyDescent="0.3">
      <c r="A74" s="175"/>
      <c r="B74" s="177"/>
      <c r="C74" s="199"/>
      <c r="D74" s="199"/>
      <c r="E74" s="199"/>
      <c r="F74" s="199"/>
      <c r="G74" s="199"/>
      <c r="H74" s="199"/>
      <c r="I74" s="199"/>
      <c r="J74" s="199"/>
      <c r="K74" s="199"/>
      <c r="L74" s="199"/>
      <c r="M74" s="199"/>
      <c r="N74" s="199"/>
      <c r="O74" s="199"/>
      <c r="P74" s="199"/>
      <c r="Q74" s="199"/>
      <c r="R74" s="199"/>
      <c r="S74" s="199"/>
      <c r="T74" s="200"/>
      <c r="U74" s="177"/>
      <c r="V74" s="5"/>
    </row>
    <row r="75" spans="1:22" ht="15.6" x14ac:dyDescent="0.3">
      <c r="A75" s="284"/>
      <c r="B75" s="285" t="s">
        <v>19</v>
      </c>
      <c r="C75" s="338"/>
      <c r="D75" s="338"/>
      <c r="E75" s="338"/>
      <c r="F75" s="338"/>
      <c r="G75" s="338"/>
      <c r="H75" s="338"/>
      <c r="I75" s="338"/>
      <c r="J75" s="338"/>
      <c r="K75" s="338"/>
      <c r="L75" s="338"/>
      <c r="M75" s="338"/>
      <c r="N75" s="338"/>
      <c r="O75" s="338"/>
      <c r="P75" s="338"/>
      <c r="Q75" s="338"/>
      <c r="R75" s="338"/>
      <c r="S75" s="338"/>
      <c r="T75" s="338"/>
      <c r="U75" s="288"/>
      <c r="V75" s="5"/>
    </row>
    <row r="76" spans="1:22" ht="15.6" x14ac:dyDescent="0.3">
      <c r="A76" s="284"/>
      <c r="B76" s="285" t="s">
        <v>20</v>
      </c>
      <c r="C76" s="338"/>
      <c r="D76" s="338"/>
      <c r="E76" s="338"/>
      <c r="F76" s="338"/>
      <c r="G76" s="338"/>
      <c r="H76" s="338"/>
      <c r="I76" s="338"/>
      <c r="J76" s="338"/>
      <c r="K76" s="338"/>
      <c r="L76" s="338"/>
      <c r="M76" s="338"/>
      <c r="N76" s="338"/>
      <c r="O76" s="338"/>
      <c r="P76" s="338"/>
      <c r="Q76" s="338"/>
      <c r="R76" s="338"/>
      <c r="S76" s="338"/>
      <c r="T76" s="338"/>
      <c r="U76" s="288"/>
      <c r="V76" s="5"/>
    </row>
    <row r="77" spans="1:22" ht="15.6" x14ac:dyDescent="0.3">
      <c r="A77" s="284"/>
      <c r="B77" s="285"/>
      <c r="C77" s="338"/>
      <c r="D77" s="338"/>
      <c r="E77" s="338"/>
      <c r="F77" s="338"/>
      <c r="G77" s="338"/>
      <c r="H77" s="338"/>
      <c r="I77" s="338"/>
      <c r="J77" s="338"/>
      <c r="K77" s="338"/>
      <c r="L77" s="338"/>
      <c r="M77" s="338"/>
      <c r="N77" s="338"/>
      <c r="O77" s="338"/>
      <c r="P77" s="338"/>
      <c r="Q77" s="338"/>
      <c r="R77" s="338"/>
      <c r="S77" s="338"/>
      <c r="T77" s="338"/>
      <c r="U77" s="288"/>
      <c r="V77" s="5"/>
    </row>
    <row r="78" spans="1:22" ht="15.6" x14ac:dyDescent="0.3">
      <c r="A78" s="284"/>
      <c r="B78" s="285" t="s">
        <v>21</v>
      </c>
      <c r="C78" s="338"/>
      <c r="D78" s="338"/>
      <c r="E78" s="338"/>
      <c r="F78" s="338"/>
      <c r="G78" s="338"/>
      <c r="H78" s="338"/>
      <c r="I78" s="338"/>
      <c r="J78" s="338"/>
      <c r="K78" s="338"/>
      <c r="L78" s="338"/>
      <c r="M78" s="338"/>
      <c r="N78" s="338"/>
      <c r="O78" s="338"/>
      <c r="P78" s="338"/>
      <c r="Q78" s="338"/>
      <c r="R78" s="338"/>
      <c r="S78" s="338"/>
      <c r="T78" s="338"/>
      <c r="U78" s="288"/>
      <c r="V78" s="5"/>
    </row>
    <row r="79" spans="1:22" ht="15.6" x14ac:dyDescent="0.3">
      <c r="A79" s="284"/>
      <c r="B79" s="285"/>
      <c r="C79" s="338"/>
      <c r="D79" s="338"/>
      <c r="E79" s="338"/>
      <c r="F79" s="338"/>
      <c r="G79" s="338"/>
      <c r="H79" s="338"/>
      <c r="I79" s="338"/>
      <c r="J79" s="338"/>
      <c r="K79" s="338"/>
      <c r="L79" s="338"/>
      <c r="M79" s="338"/>
      <c r="N79" s="338"/>
      <c r="O79" s="338"/>
      <c r="P79" s="338"/>
      <c r="Q79" s="338"/>
      <c r="R79" s="338"/>
      <c r="S79" s="338"/>
      <c r="T79" s="338"/>
      <c r="U79" s="288"/>
      <c r="V79" s="5"/>
    </row>
    <row r="80" spans="1:22" ht="15.6" x14ac:dyDescent="0.3">
      <c r="A80" s="284"/>
      <c r="B80" s="285" t="s">
        <v>23</v>
      </c>
      <c r="C80" s="338"/>
      <c r="D80" s="338"/>
      <c r="E80" s="338"/>
      <c r="F80" s="338"/>
      <c r="G80" s="338"/>
      <c r="H80" s="338"/>
      <c r="I80" s="338"/>
      <c r="J80" s="338">
        <v>0</v>
      </c>
      <c r="K80" s="338"/>
      <c r="L80" s="338">
        <v>0</v>
      </c>
      <c r="M80" s="338"/>
      <c r="N80" s="338"/>
      <c r="O80" s="338"/>
      <c r="P80" s="338"/>
      <c r="Q80" s="338"/>
      <c r="R80" s="338"/>
      <c r="S80" s="338"/>
      <c r="T80" s="339">
        <v>0</v>
      </c>
      <c r="U80" s="288"/>
      <c r="V80" s="5"/>
    </row>
    <row r="81" spans="1:22" ht="15.6" x14ac:dyDescent="0.3">
      <c r="A81" s="284"/>
      <c r="B81" s="285" t="s">
        <v>123</v>
      </c>
      <c r="C81" s="338"/>
      <c r="D81" s="338"/>
      <c r="E81" s="338"/>
      <c r="F81" s="338"/>
      <c r="G81" s="338"/>
      <c r="H81" s="338"/>
      <c r="I81" s="338"/>
      <c r="J81" s="338">
        <v>0</v>
      </c>
      <c r="K81" s="338"/>
      <c r="L81" s="338">
        <v>0</v>
      </c>
      <c r="M81" s="338"/>
      <c r="N81" s="338"/>
      <c r="O81" s="338"/>
      <c r="P81" s="338"/>
      <c r="Q81" s="338"/>
      <c r="R81" s="338"/>
      <c r="S81" s="338"/>
      <c r="T81" s="338">
        <f>SUM(J81:P81)</f>
        <v>0</v>
      </c>
      <c r="U81" s="288"/>
      <c r="V81" s="5"/>
    </row>
    <row r="82" spans="1:22" ht="15.6" x14ac:dyDescent="0.3">
      <c r="A82" s="284"/>
      <c r="B82" s="285" t="s">
        <v>152</v>
      </c>
      <c r="C82" s="338"/>
      <c r="D82" s="338"/>
      <c r="E82" s="338"/>
      <c r="F82" s="338"/>
      <c r="G82" s="338"/>
      <c r="H82" s="338"/>
      <c r="I82" s="338"/>
      <c r="J82" s="338">
        <v>1</v>
      </c>
      <c r="K82" s="338"/>
      <c r="L82" s="338">
        <v>0</v>
      </c>
      <c r="M82" s="338"/>
      <c r="N82" s="338">
        <v>0</v>
      </c>
      <c r="O82" s="338"/>
      <c r="P82" s="338"/>
      <c r="Q82" s="338"/>
      <c r="R82" s="338"/>
      <c r="S82" s="338"/>
      <c r="T82" s="338">
        <f>+L82+N82</f>
        <v>0</v>
      </c>
      <c r="U82" s="288"/>
      <c r="V82" s="5"/>
    </row>
    <row r="83" spans="1:22" ht="15.6" x14ac:dyDescent="0.3">
      <c r="A83" s="284"/>
      <c r="B83" s="285" t="s">
        <v>25</v>
      </c>
      <c r="C83" s="338"/>
      <c r="D83" s="338"/>
      <c r="E83" s="338"/>
      <c r="F83" s="338"/>
      <c r="G83" s="338"/>
      <c r="H83" s="338"/>
      <c r="I83" s="338"/>
      <c r="J83" s="338">
        <v>0</v>
      </c>
      <c r="K83" s="338"/>
      <c r="L83" s="338">
        <v>0</v>
      </c>
      <c r="M83" s="338"/>
      <c r="N83" s="338"/>
      <c r="O83" s="338"/>
      <c r="P83" s="338"/>
      <c r="Q83" s="338"/>
      <c r="R83" s="338"/>
      <c r="S83" s="338"/>
      <c r="T83" s="338">
        <v>0</v>
      </c>
      <c r="U83" s="288"/>
      <c r="V83" s="5"/>
    </row>
    <row r="84" spans="1:22" ht="15.6" x14ac:dyDescent="0.3">
      <c r="A84" s="284"/>
      <c r="B84" s="285" t="s">
        <v>26</v>
      </c>
      <c r="C84" s="338"/>
      <c r="D84" s="338"/>
      <c r="E84" s="338"/>
      <c r="F84" s="338"/>
      <c r="G84" s="338"/>
      <c r="H84" s="338"/>
      <c r="I84" s="338"/>
      <c r="J84" s="338">
        <f>SUM(J71:J83)</f>
        <v>1000050</v>
      </c>
      <c r="K84" s="338"/>
      <c r="L84" s="338">
        <f>SUM(L71:L83)</f>
        <v>531045</v>
      </c>
      <c r="M84" s="338"/>
      <c r="N84" s="338"/>
      <c r="O84" s="338"/>
      <c r="P84" s="338"/>
      <c r="Q84" s="338"/>
      <c r="R84" s="338"/>
      <c r="S84" s="338"/>
      <c r="T84" s="338">
        <f>SUM(T71:T83)</f>
        <v>525404</v>
      </c>
      <c r="U84" s="288"/>
      <c r="V84" s="5"/>
    </row>
    <row r="85" spans="1:22" ht="15.6" x14ac:dyDescent="0.3">
      <c r="A85" s="175"/>
      <c r="B85" s="334"/>
      <c r="C85" s="335"/>
      <c r="D85" s="335"/>
      <c r="E85" s="335"/>
      <c r="F85" s="335"/>
      <c r="G85" s="335"/>
      <c r="H85" s="335"/>
      <c r="I85" s="335"/>
      <c r="J85" s="335"/>
      <c r="K85" s="335"/>
      <c r="L85" s="335"/>
      <c r="M85" s="335"/>
      <c r="N85" s="335"/>
      <c r="O85" s="335"/>
      <c r="P85" s="335"/>
      <c r="Q85" s="335"/>
      <c r="R85" s="335"/>
      <c r="S85" s="335"/>
      <c r="T85" s="336"/>
      <c r="U85" s="334"/>
      <c r="V85" s="5"/>
    </row>
    <row r="86" spans="1:22" ht="15.6" x14ac:dyDescent="0.3">
      <c r="A86" s="175"/>
      <c r="B86" s="177"/>
      <c r="C86" s="177"/>
      <c r="D86" s="177"/>
      <c r="E86" s="177"/>
      <c r="F86" s="177"/>
      <c r="G86" s="177"/>
      <c r="H86" s="177"/>
      <c r="I86" s="177"/>
      <c r="J86" s="177"/>
      <c r="K86" s="177"/>
      <c r="L86" s="177"/>
      <c r="M86" s="177"/>
      <c r="N86" s="177"/>
      <c r="O86" s="177"/>
      <c r="P86" s="177"/>
      <c r="Q86" s="177"/>
      <c r="R86" s="177"/>
      <c r="S86" s="177"/>
      <c r="T86" s="177"/>
      <c r="U86" s="177"/>
      <c r="V86" s="5"/>
    </row>
    <row r="87" spans="1:22" ht="15.6" x14ac:dyDescent="0.3">
      <c r="A87" s="222"/>
      <c r="B87" s="395" t="s">
        <v>27</v>
      </c>
      <c r="C87" s="395"/>
      <c r="D87" s="395"/>
      <c r="E87" s="395"/>
      <c r="F87" s="395"/>
      <c r="G87" s="395"/>
      <c r="H87" s="396"/>
      <c r="I87" s="396"/>
      <c r="J87" s="397" t="s">
        <v>98</v>
      </c>
      <c r="K87" s="396"/>
      <c r="L87" s="398">
        <f>+R194</f>
        <v>41820</v>
      </c>
      <c r="M87" s="396"/>
      <c r="N87" s="396"/>
      <c r="O87" s="396"/>
      <c r="P87" s="396"/>
      <c r="Q87" s="396"/>
      <c r="R87" s="396" t="s">
        <v>111</v>
      </c>
      <c r="S87" s="396"/>
      <c r="T87" s="396" t="s">
        <v>119</v>
      </c>
      <c r="U87" s="223"/>
      <c r="V87" s="5"/>
    </row>
    <row r="88" spans="1:22" ht="15.6" x14ac:dyDescent="0.3">
      <c r="A88" s="190"/>
      <c r="B88" s="239" t="s">
        <v>28</v>
      </c>
      <c r="C88" s="239"/>
      <c r="D88" s="239"/>
      <c r="E88" s="239"/>
      <c r="F88" s="239"/>
      <c r="G88" s="239"/>
      <c r="H88" s="239"/>
      <c r="I88" s="239"/>
      <c r="J88" s="239"/>
      <c r="K88" s="239"/>
      <c r="L88" s="239"/>
      <c r="M88" s="239"/>
      <c r="N88" s="239"/>
      <c r="O88" s="239"/>
      <c r="P88" s="239"/>
      <c r="Q88" s="239"/>
      <c r="R88" s="243">
        <v>0</v>
      </c>
      <c r="S88" s="239"/>
      <c r="T88" s="251">
        <v>0</v>
      </c>
      <c r="U88" s="239"/>
      <c r="V88" s="5"/>
    </row>
    <row r="89" spans="1:22" ht="15.6" x14ac:dyDescent="0.3">
      <c r="A89" s="284"/>
      <c r="B89" s="285" t="s">
        <v>29</v>
      </c>
      <c r="C89" s="285"/>
      <c r="D89" s="285"/>
      <c r="E89" s="285"/>
      <c r="F89" s="285"/>
      <c r="G89" s="285"/>
      <c r="H89" s="324"/>
      <c r="I89" s="341"/>
      <c r="J89" s="324"/>
      <c r="K89" s="285"/>
      <c r="L89" s="342"/>
      <c r="M89" s="285"/>
      <c r="N89" s="285"/>
      <c r="O89" s="285"/>
      <c r="P89" s="285"/>
      <c r="Q89" s="285"/>
      <c r="R89" s="338">
        <f>5838-59</f>
        <v>5779</v>
      </c>
      <c r="S89" s="285"/>
      <c r="T89" s="339"/>
      <c r="U89" s="288"/>
      <c r="V89" s="5"/>
    </row>
    <row r="90" spans="1:22" ht="15.6" x14ac:dyDescent="0.3">
      <c r="A90" s="284"/>
      <c r="B90" s="285" t="s">
        <v>225</v>
      </c>
      <c r="C90" s="285"/>
      <c r="D90" s="285"/>
      <c r="E90" s="285"/>
      <c r="F90" s="285"/>
      <c r="G90" s="285"/>
      <c r="H90" s="324"/>
      <c r="I90" s="341"/>
      <c r="J90" s="324"/>
      <c r="K90" s="285"/>
      <c r="L90" s="342"/>
      <c r="M90" s="285"/>
      <c r="N90" s="285"/>
      <c r="O90" s="285"/>
      <c r="P90" s="285"/>
      <c r="Q90" s="285"/>
      <c r="R90" s="338"/>
      <c r="S90" s="285"/>
      <c r="T90" s="339">
        <f>1705+2151-342-470</f>
        <v>3044</v>
      </c>
      <c r="U90" s="288"/>
      <c r="V90" s="5"/>
    </row>
    <row r="91" spans="1:22" ht="15.6" x14ac:dyDescent="0.3">
      <c r="A91" s="284"/>
      <c r="B91" s="285" t="s">
        <v>220</v>
      </c>
      <c r="C91" s="285"/>
      <c r="D91" s="285"/>
      <c r="E91" s="285"/>
      <c r="F91" s="285"/>
      <c r="G91" s="285"/>
      <c r="H91" s="324"/>
      <c r="I91" s="341"/>
      <c r="J91" s="324"/>
      <c r="K91" s="285"/>
      <c r="L91" s="342"/>
      <c r="M91" s="285"/>
      <c r="N91" s="285"/>
      <c r="O91" s="285"/>
      <c r="P91" s="285"/>
      <c r="Q91" s="285"/>
      <c r="R91" s="338"/>
      <c r="S91" s="285"/>
      <c r="T91" s="339">
        <f>20+81</f>
        <v>101</v>
      </c>
      <c r="U91" s="288"/>
      <c r="V91" s="5"/>
    </row>
    <row r="92" spans="1:22" ht="15.6" x14ac:dyDescent="0.3">
      <c r="A92" s="284"/>
      <c r="B92" s="285" t="s">
        <v>221</v>
      </c>
      <c r="C92" s="285"/>
      <c r="D92" s="285"/>
      <c r="E92" s="285"/>
      <c r="F92" s="285"/>
      <c r="G92" s="285"/>
      <c r="H92" s="324"/>
      <c r="I92" s="341"/>
      <c r="J92" s="324"/>
      <c r="K92" s="285"/>
      <c r="L92" s="342"/>
      <c r="M92" s="285"/>
      <c r="N92" s="285"/>
      <c r="O92" s="285"/>
      <c r="P92" s="285"/>
      <c r="Q92" s="285"/>
      <c r="R92" s="338"/>
      <c r="S92" s="285"/>
      <c r="T92" s="339">
        <v>27</v>
      </c>
      <c r="U92" s="288"/>
      <c r="V92" s="5"/>
    </row>
    <row r="93" spans="1:22" ht="15.6" x14ac:dyDescent="0.3">
      <c r="A93" s="284"/>
      <c r="B93" s="285" t="s">
        <v>261</v>
      </c>
      <c r="C93" s="285"/>
      <c r="D93" s="285"/>
      <c r="E93" s="285"/>
      <c r="F93" s="285"/>
      <c r="G93" s="285"/>
      <c r="H93" s="324"/>
      <c r="I93" s="341"/>
      <c r="J93" s="324"/>
      <c r="K93" s="285"/>
      <c r="L93" s="342"/>
      <c r="M93" s="285"/>
      <c r="N93" s="285"/>
      <c r="O93" s="285"/>
      <c r="P93" s="285"/>
      <c r="Q93" s="285"/>
      <c r="R93" s="338"/>
      <c r="S93" s="285"/>
      <c r="T93" s="339">
        <v>0</v>
      </c>
      <c r="U93" s="288"/>
      <c r="V93" s="5"/>
    </row>
    <row r="94" spans="1:22" ht="15.6" x14ac:dyDescent="0.3">
      <c r="A94" s="284"/>
      <c r="B94" s="285" t="s">
        <v>141</v>
      </c>
      <c r="C94" s="285"/>
      <c r="D94" s="285"/>
      <c r="E94" s="285"/>
      <c r="F94" s="285"/>
      <c r="G94" s="285"/>
      <c r="H94" s="285"/>
      <c r="I94" s="285"/>
      <c r="J94" s="285"/>
      <c r="K94" s="285"/>
      <c r="L94" s="285"/>
      <c r="M94" s="285"/>
      <c r="N94" s="285"/>
      <c r="O94" s="285"/>
      <c r="P94" s="285"/>
      <c r="Q94" s="285"/>
      <c r="R94" s="338"/>
      <c r="S94" s="285"/>
      <c r="T94" s="339">
        <v>0</v>
      </c>
      <c r="U94" s="288"/>
      <c r="V94" s="5"/>
    </row>
    <row r="95" spans="1:22" ht="15.6" x14ac:dyDescent="0.3">
      <c r="A95" s="284"/>
      <c r="B95" s="285" t="s">
        <v>250</v>
      </c>
      <c r="C95" s="285"/>
      <c r="D95" s="285"/>
      <c r="E95" s="285"/>
      <c r="F95" s="285"/>
      <c r="G95" s="285"/>
      <c r="H95" s="285"/>
      <c r="I95" s="285"/>
      <c r="J95" s="285"/>
      <c r="K95" s="285"/>
      <c r="L95" s="285"/>
      <c r="M95" s="285"/>
      <c r="N95" s="285"/>
      <c r="O95" s="285"/>
      <c r="P95" s="285"/>
      <c r="Q95" s="285"/>
      <c r="R95" s="338"/>
      <c r="S95" s="285"/>
      <c r="T95" s="339">
        <v>191</v>
      </c>
      <c r="U95" s="288"/>
      <c r="V95" s="5"/>
    </row>
    <row r="96" spans="1:22" ht="15.6" x14ac:dyDescent="0.3">
      <c r="A96" s="284"/>
      <c r="B96" s="285" t="s">
        <v>30</v>
      </c>
      <c r="C96" s="285"/>
      <c r="D96" s="285"/>
      <c r="E96" s="285"/>
      <c r="F96" s="285"/>
      <c r="G96" s="285"/>
      <c r="H96" s="285"/>
      <c r="I96" s="285"/>
      <c r="J96" s="285"/>
      <c r="K96" s="285"/>
      <c r="L96" s="285"/>
      <c r="M96" s="285"/>
      <c r="N96" s="285"/>
      <c r="O96" s="285"/>
      <c r="P96" s="285"/>
      <c r="Q96" s="285"/>
      <c r="R96" s="338">
        <f>SUM(R88:R95)</f>
        <v>5779</v>
      </c>
      <c r="S96" s="285"/>
      <c r="T96" s="338">
        <f>SUM(T88:T95)</f>
        <v>3363</v>
      </c>
      <c r="U96" s="288"/>
      <c r="V96" s="5"/>
    </row>
    <row r="97" spans="1:24" ht="15.6" x14ac:dyDescent="0.3">
      <c r="A97" s="284"/>
      <c r="B97" s="285" t="s">
        <v>168</v>
      </c>
      <c r="C97" s="285"/>
      <c r="D97" s="285"/>
      <c r="E97" s="285"/>
      <c r="F97" s="285"/>
      <c r="G97" s="285"/>
      <c r="H97" s="285"/>
      <c r="I97" s="285"/>
      <c r="J97" s="285"/>
      <c r="K97" s="285"/>
      <c r="L97" s="285"/>
      <c r="M97" s="285"/>
      <c r="N97" s="285"/>
      <c r="O97" s="285"/>
      <c r="P97" s="285"/>
      <c r="Q97" s="285"/>
      <c r="R97" s="338">
        <v>0</v>
      </c>
      <c r="S97" s="285"/>
      <c r="T97" s="338">
        <f>-R97</f>
        <v>0</v>
      </c>
      <c r="U97" s="288"/>
      <c r="V97" s="5"/>
    </row>
    <row r="98" spans="1:24" ht="15.6" x14ac:dyDescent="0.3">
      <c r="A98" s="284"/>
      <c r="B98" s="285" t="s">
        <v>31</v>
      </c>
      <c r="C98" s="285"/>
      <c r="D98" s="285"/>
      <c r="E98" s="285"/>
      <c r="F98" s="285"/>
      <c r="G98" s="285"/>
      <c r="H98" s="285"/>
      <c r="I98" s="285"/>
      <c r="J98" s="285"/>
      <c r="K98" s="285"/>
      <c r="L98" s="285"/>
      <c r="M98" s="285"/>
      <c r="N98" s="285"/>
      <c r="O98" s="285"/>
      <c r="P98" s="285"/>
      <c r="Q98" s="285"/>
      <c r="R98" s="338">
        <f>-T98</f>
        <v>0</v>
      </c>
      <c r="S98" s="285"/>
      <c r="T98" s="339">
        <v>0</v>
      </c>
      <c r="U98" s="288"/>
      <c r="V98" s="5"/>
    </row>
    <row r="99" spans="1:24" ht="15.6" x14ac:dyDescent="0.3">
      <c r="A99" s="284"/>
      <c r="B99" s="285" t="s">
        <v>273</v>
      </c>
      <c r="C99" s="285"/>
      <c r="D99" s="285"/>
      <c r="E99" s="285"/>
      <c r="F99" s="285"/>
      <c r="G99" s="285"/>
      <c r="H99" s="285"/>
      <c r="I99" s="285"/>
      <c r="J99" s="285"/>
      <c r="K99" s="285"/>
      <c r="L99" s="285"/>
      <c r="M99" s="285"/>
      <c r="N99" s="285"/>
      <c r="O99" s="285"/>
      <c r="P99" s="285"/>
      <c r="Q99" s="285"/>
      <c r="R99" s="338"/>
      <c r="S99" s="285"/>
      <c r="T99" s="339">
        <v>18</v>
      </c>
      <c r="U99" s="288"/>
      <c r="V99" s="5"/>
    </row>
    <row r="100" spans="1:24" ht="15.6" x14ac:dyDescent="0.3">
      <c r="A100" s="284"/>
      <c r="B100" s="285" t="s">
        <v>32</v>
      </c>
      <c r="C100" s="285"/>
      <c r="D100" s="285"/>
      <c r="E100" s="285"/>
      <c r="F100" s="285"/>
      <c r="G100" s="285"/>
      <c r="H100" s="285"/>
      <c r="I100" s="285"/>
      <c r="J100" s="285"/>
      <c r="K100" s="285"/>
      <c r="L100" s="285"/>
      <c r="M100" s="285"/>
      <c r="N100" s="285"/>
      <c r="O100" s="285"/>
      <c r="P100" s="285"/>
      <c r="Q100" s="285"/>
      <c r="R100" s="338">
        <f>R96+R98+R97</f>
        <v>5779</v>
      </c>
      <c r="S100" s="285"/>
      <c r="T100" s="338">
        <f>T96+T98+T97+T99</f>
        <v>3381</v>
      </c>
      <c r="U100" s="288"/>
      <c r="V100" s="5"/>
    </row>
    <row r="101" spans="1:24" ht="15.6" x14ac:dyDescent="0.3">
      <c r="A101" s="284"/>
      <c r="B101" s="343" t="s">
        <v>33</v>
      </c>
      <c r="C101" s="311"/>
      <c r="D101" s="311"/>
      <c r="E101" s="311"/>
      <c r="F101" s="311"/>
      <c r="G101" s="311"/>
      <c r="H101" s="311"/>
      <c r="I101" s="311"/>
      <c r="J101" s="311"/>
      <c r="K101" s="311"/>
      <c r="L101" s="311"/>
      <c r="M101" s="311"/>
      <c r="N101" s="311"/>
      <c r="O101" s="311"/>
      <c r="P101" s="311"/>
      <c r="Q101" s="311"/>
      <c r="R101" s="344"/>
      <c r="S101" s="311"/>
      <c r="T101" s="345"/>
      <c r="U101" s="317"/>
      <c r="V101" s="5"/>
    </row>
    <row r="102" spans="1:24" ht="15.6" x14ac:dyDescent="0.3">
      <c r="A102" s="337">
        <v>1</v>
      </c>
      <c r="B102" s="285" t="s">
        <v>34</v>
      </c>
      <c r="C102" s="285"/>
      <c r="D102" s="285"/>
      <c r="E102" s="285"/>
      <c r="F102" s="285"/>
      <c r="G102" s="285"/>
      <c r="H102" s="285"/>
      <c r="I102" s="285"/>
      <c r="J102" s="285"/>
      <c r="K102" s="285"/>
      <c r="L102" s="285"/>
      <c r="M102" s="285"/>
      <c r="N102" s="285"/>
      <c r="O102" s="285"/>
      <c r="P102" s="285"/>
      <c r="Q102" s="285"/>
      <c r="R102" s="285"/>
      <c r="S102" s="285"/>
      <c r="T102" s="339">
        <v>0</v>
      </c>
      <c r="U102" s="288"/>
      <c r="V102" s="5"/>
    </row>
    <row r="103" spans="1:24" ht="15.6" x14ac:dyDescent="0.3">
      <c r="A103" s="337">
        <f>+A102+1</f>
        <v>2</v>
      </c>
      <c r="B103" s="285" t="s">
        <v>312</v>
      </c>
      <c r="C103" s="285"/>
      <c r="D103" s="285"/>
      <c r="E103" s="285"/>
      <c r="F103" s="285"/>
      <c r="G103" s="285"/>
      <c r="H103" s="285"/>
      <c r="I103" s="285"/>
      <c r="J103" s="285"/>
      <c r="K103" s="285"/>
      <c r="L103" s="285"/>
      <c r="M103" s="285"/>
      <c r="N103" s="285"/>
      <c r="O103" s="285"/>
      <c r="P103" s="285"/>
      <c r="Q103" s="285"/>
      <c r="R103" s="285"/>
      <c r="S103" s="285"/>
      <c r="T103" s="339">
        <v>-2</v>
      </c>
      <c r="U103" s="288"/>
      <c r="V103" s="5"/>
    </row>
    <row r="104" spans="1:24" ht="15.6" x14ac:dyDescent="0.3">
      <c r="A104" s="337">
        <f>+A103+1</f>
        <v>3</v>
      </c>
      <c r="B104" s="407" t="s">
        <v>314</v>
      </c>
      <c r="C104" s="285"/>
      <c r="D104" s="285"/>
      <c r="E104" s="285"/>
      <c r="F104" s="285"/>
      <c r="G104" s="285"/>
      <c r="H104" s="285"/>
      <c r="I104" s="285"/>
      <c r="J104" s="285"/>
      <c r="K104" s="285"/>
      <c r="L104" s="285"/>
      <c r="M104" s="285"/>
      <c r="N104" s="285"/>
      <c r="O104" s="285"/>
      <c r="P104" s="285"/>
      <c r="Q104" s="285"/>
      <c r="R104" s="285"/>
      <c r="S104" s="285"/>
      <c r="T104" s="339">
        <f>-203-138-7</f>
        <v>-348</v>
      </c>
      <c r="U104" s="288"/>
      <c r="V104" s="5"/>
    </row>
    <row r="105" spans="1:24" ht="15.6" x14ac:dyDescent="0.3">
      <c r="A105" s="337" t="s">
        <v>133</v>
      </c>
      <c r="B105" s="285" t="s">
        <v>122</v>
      </c>
      <c r="C105" s="285"/>
      <c r="D105" s="285"/>
      <c r="E105" s="285"/>
      <c r="F105" s="285"/>
      <c r="G105" s="285"/>
      <c r="H105" s="285"/>
      <c r="I105" s="285"/>
      <c r="J105" s="285"/>
      <c r="K105" s="285"/>
      <c r="L105" s="285"/>
      <c r="M105" s="285"/>
      <c r="N105" s="285"/>
      <c r="O105" s="285"/>
      <c r="P105" s="285"/>
      <c r="Q105" s="285"/>
      <c r="R105" s="285"/>
      <c r="S105" s="285"/>
      <c r="T105" s="339">
        <v>0</v>
      </c>
      <c r="U105" s="288"/>
      <c r="V105" s="5"/>
    </row>
    <row r="106" spans="1:24" ht="15.6" x14ac:dyDescent="0.3">
      <c r="A106" s="337" t="s">
        <v>134</v>
      </c>
      <c r="B106" s="285" t="s">
        <v>194</v>
      </c>
      <c r="C106" s="285"/>
      <c r="D106" s="285"/>
      <c r="E106" s="285"/>
      <c r="F106" s="285"/>
      <c r="G106" s="285"/>
      <c r="H106" s="285"/>
      <c r="I106" s="285"/>
      <c r="J106" s="285"/>
      <c r="K106" s="285"/>
      <c r="L106" s="285"/>
      <c r="M106" s="285"/>
      <c r="N106" s="285"/>
      <c r="O106" s="285"/>
      <c r="P106" s="285"/>
      <c r="Q106" s="285"/>
      <c r="R106" s="285"/>
      <c r="S106" s="285"/>
      <c r="T106" s="339">
        <f>-685+131</f>
        <v>-554</v>
      </c>
      <c r="U106" s="288"/>
      <c r="V106" s="5"/>
      <c r="W106" s="109"/>
    </row>
    <row r="107" spans="1:24" ht="15.6" x14ac:dyDescent="0.3">
      <c r="A107" s="337" t="s">
        <v>156</v>
      </c>
      <c r="B107" s="285" t="s">
        <v>191</v>
      </c>
      <c r="C107" s="285"/>
      <c r="D107" s="285"/>
      <c r="E107" s="285"/>
      <c r="F107" s="285"/>
      <c r="G107" s="285"/>
      <c r="H107" s="285"/>
      <c r="I107" s="285"/>
      <c r="J107" s="285"/>
      <c r="K107" s="285"/>
      <c r="L107" s="285"/>
      <c r="M107" s="285"/>
      <c r="N107" s="285"/>
      <c r="O107" s="285"/>
      <c r="P107" s="285"/>
      <c r="Q107" s="285"/>
      <c r="R107" s="285"/>
      <c r="S107" s="285"/>
      <c r="T107" s="339">
        <v>-131</v>
      </c>
      <c r="U107" s="288"/>
      <c r="V107" s="5"/>
      <c r="W107" s="109"/>
    </row>
    <row r="108" spans="1:24" ht="15.6" x14ac:dyDescent="0.3">
      <c r="A108" s="337" t="s">
        <v>214</v>
      </c>
      <c r="B108" s="285" t="s">
        <v>192</v>
      </c>
      <c r="C108" s="285"/>
      <c r="D108" s="285"/>
      <c r="E108" s="285"/>
      <c r="F108" s="285"/>
      <c r="G108" s="285"/>
      <c r="H108" s="285"/>
      <c r="I108" s="285"/>
      <c r="J108" s="285"/>
      <c r="K108" s="285"/>
      <c r="L108" s="285"/>
      <c r="M108" s="285"/>
      <c r="N108" s="285"/>
      <c r="O108" s="285"/>
      <c r="P108" s="285"/>
      <c r="Q108" s="285"/>
      <c r="R108" s="285"/>
      <c r="S108" s="285"/>
      <c r="T108" s="339">
        <v>-146</v>
      </c>
      <c r="U108" s="288"/>
      <c r="V108" s="5"/>
      <c r="W108" s="109"/>
      <c r="X108" s="109"/>
    </row>
    <row r="109" spans="1:24" ht="15.6" x14ac:dyDescent="0.3">
      <c r="A109" s="337" t="s">
        <v>215</v>
      </c>
      <c r="B109" s="285" t="s">
        <v>193</v>
      </c>
      <c r="C109" s="285"/>
      <c r="D109" s="285"/>
      <c r="E109" s="285"/>
      <c r="F109" s="285"/>
      <c r="G109" s="285"/>
      <c r="H109" s="285"/>
      <c r="I109" s="285"/>
      <c r="J109" s="285"/>
      <c r="K109" s="285"/>
      <c r="L109" s="285"/>
      <c r="M109" s="285"/>
      <c r="N109" s="285"/>
      <c r="O109" s="285"/>
      <c r="P109" s="285"/>
      <c r="Q109" s="285"/>
      <c r="R109" s="285"/>
      <c r="S109" s="285"/>
      <c r="T109" s="339">
        <v>-40</v>
      </c>
      <c r="U109" s="288"/>
      <c r="V109" s="169"/>
      <c r="W109" s="109"/>
    </row>
    <row r="110" spans="1:24" ht="15.6" x14ac:dyDescent="0.3">
      <c r="A110" s="337" t="s">
        <v>216</v>
      </c>
      <c r="B110" s="285" t="s">
        <v>204</v>
      </c>
      <c r="C110" s="285"/>
      <c r="D110" s="285"/>
      <c r="E110" s="285"/>
      <c r="F110" s="285"/>
      <c r="G110" s="285"/>
      <c r="H110" s="285"/>
      <c r="I110" s="285"/>
      <c r="J110" s="285"/>
      <c r="K110" s="285"/>
      <c r="L110" s="285"/>
      <c r="M110" s="285"/>
      <c r="N110" s="285"/>
      <c r="O110" s="285"/>
      <c r="P110" s="285"/>
      <c r="Q110" s="285"/>
      <c r="R110" s="285"/>
      <c r="S110" s="285"/>
      <c r="T110" s="339">
        <v>-225</v>
      </c>
      <c r="U110" s="288"/>
      <c r="V110" s="5"/>
      <c r="W110" s="109"/>
    </row>
    <row r="111" spans="1:24" ht="15.6" x14ac:dyDescent="0.3">
      <c r="A111" s="406">
        <v>7</v>
      </c>
      <c r="B111" s="407" t="s">
        <v>313</v>
      </c>
      <c r="C111" s="407"/>
      <c r="D111" s="407"/>
      <c r="E111" s="407"/>
      <c r="F111" s="407"/>
      <c r="G111" s="285"/>
      <c r="H111" s="285"/>
      <c r="I111" s="285"/>
      <c r="J111" s="285"/>
      <c r="K111" s="285"/>
      <c r="L111" s="285"/>
      <c r="M111" s="285"/>
      <c r="N111" s="285"/>
      <c r="O111" s="285"/>
      <c r="P111" s="285"/>
      <c r="Q111" s="285"/>
      <c r="R111" s="285"/>
      <c r="S111" s="285"/>
      <c r="T111" s="339">
        <v>0</v>
      </c>
      <c r="U111" s="288"/>
      <c r="V111" s="5"/>
      <c r="W111" s="109"/>
    </row>
    <row r="112" spans="1:24" ht="15.6" x14ac:dyDescent="0.3">
      <c r="A112" s="337">
        <f t="shared" ref="A112:A118" si="0">+A111+1</f>
        <v>8</v>
      </c>
      <c r="B112" s="285" t="s">
        <v>35</v>
      </c>
      <c r="C112" s="285"/>
      <c r="D112" s="285"/>
      <c r="E112" s="285"/>
      <c r="F112" s="285"/>
      <c r="G112" s="285"/>
      <c r="H112" s="285"/>
      <c r="I112" s="285"/>
      <c r="J112" s="285"/>
      <c r="K112" s="285"/>
      <c r="L112" s="285"/>
      <c r="M112" s="285"/>
      <c r="N112" s="285"/>
      <c r="O112" s="285"/>
      <c r="P112" s="285"/>
      <c r="Q112" s="285"/>
      <c r="R112" s="285"/>
      <c r="S112" s="285"/>
      <c r="T112" s="339">
        <v>-10</v>
      </c>
      <c r="U112" s="288"/>
      <c r="V112" s="5"/>
    </row>
    <row r="113" spans="1:22" ht="15.6" x14ac:dyDescent="0.3">
      <c r="A113" s="337">
        <f t="shared" si="0"/>
        <v>9</v>
      </c>
      <c r="B113" s="285" t="s">
        <v>46</v>
      </c>
      <c r="C113" s="285"/>
      <c r="D113" s="285"/>
      <c r="E113" s="285"/>
      <c r="F113" s="285"/>
      <c r="G113" s="285"/>
      <c r="H113" s="285"/>
      <c r="I113" s="285"/>
      <c r="J113" s="285"/>
      <c r="K113" s="285"/>
      <c r="L113" s="285"/>
      <c r="M113" s="285"/>
      <c r="N113" s="285"/>
      <c r="O113" s="285"/>
      <c r="P113" s="285"/>
      <c r="Q113" s="285"/>
      <c r="R113" s="338">
        <f>-T113</f>
        <v>59</v>
      </c>
      <c r="S113" s="285"/>
      <c r="T113" s="339">
        <v>-59</v>
      </c>
      <c r="U113" s="288"/>
      <c r="V113" s="5"/>
    </row>
    <row r="114" spans="1:22" ht="15.6" x14ac:dyDescent="0.3">
      <c r="A114" s="337">
        <f t="shared" si="0"/>
        <v>10</v>
      </c>
      <c r="B114" s="285" t="s">
        <v>131</v>
      </c>
      <c r="C114" s="285"/>
      <c r="D114" s="285"/>
      <c r="E114" s="285"/>
      <c r="F114" s="285"/>
      <c r="G114" s="285"/>
      <c r="H114" s="285"/>
      <c r="I114" s="285"/>
      <c r="J114" s="285"/>
      <c r="K114" s="285"/>
      <c r="L114" s="285"/>
      <c r="M114" s="285"/>
      <c r="N114" s="285"/>
      <c r="O114" s="285"/>
      <c r="P114" s="285"/>
      <c r="Q114" s="285"/>
      <c r="R114" s="285"/>
      <c r="S114" s="285"/>
      <c r="T114" s="339">
        <v>0</v>
      </c>
      <c r="U114" s="288"/>
      <c r="V114" s="5"/>
    </row>
    <row r="115" spans="1:22" ht="15.6" x14ac:dyDescent="0.3">
      <c r="A115" s="337">
        <f t="shared" si="0"/>
        <v>11</v>
      </c>
      <c r="B115" s="285" t="s">
        <v>36</v>
      </c>
      <c r="C115" s="285"/>
      <c r="D115" s="285"/>
      <c r="E115" s="285"/>
      <c r="F115" s="285"/>
      <c r="G115" s="285"/>
      <c r="H115" s="285"/>
      <c r="I115" s="285"/>
      <c r="J115" s="285"/>
      <c r="K115" s="285"/>
      <c r="L115" s="285"/>
      <c r="M115" s="285"/>
      <c r="N115" s="285"/>
      <c r="O115" s="285"/>
      <c r="P115" s="285"/>
      <c r="Q115" s="285"/>
      <c r="R115" s="285"/>
      <c r="S115" s="285"/>
      <c r="T115" s="339">
        <v>0</v>
      </c>
      <c r="U115" s="288"/>
      <c r="V115" s="5"/>
    </row>
    <row r="116" spans="1:22" ht="15.6" x14ac:dyDescent="0.3">
      <c r="A116" s="337">
        <f t="shared" si="0"/>
        <v>12</v>
      </c>
      <c r="B116" s="285" t="s">
        <v>37</v>
      </c>
      <c r="C116" s="285"/>
      <c r="D116" s="285"/>
      <c r="E116" s="285"/>
      <c r="F116" s="285"/>
      <c r="G116" s="285"/>
      <c r="H116" s="285"/>
      <c r="I116" s="285"/>
      <c r="J116" s="285"/>
      <c r="K116" s="285"/>
      <c r="L116" s="285"/>
      <c r="M116" s="285"/>
      <c r="N116" s="285"/>
      <c r="O116" s="285"/>
      <c r="P116" s="285"/>
      <c r="Q116" s="285"/>
      <c r="R116" s="285"/>
      <c r="S116" s="285"/>
      <c r="T116" s="339">
        <v>0</v>
      </c>
      <c r="U116" s="288"/>
      <c r="V116" s="5"/>
    </row>
    <row r="117" spans="1:22" ht="15.6" x14ac:dyDescent="0.3">
      <c r="A117" s="337">
        <f t="shared" si="0"/>
        <v>13</v>
      </c>
      <c r="B117" s="285" t="s">
        <v>155</v>
      </c>
      <c r="C117" s="285"/>
      <c r="D117" s="285"/>
      <c r="E117" s="285"/>
      <c r="F117" s="285"/>
      <c r="G117" s="285"/>
      <c r="H117" s="285"/>
      <c r="I117" s="285"/>
      <c r="J117" s="285"/>
      <c r="K117" s="285"/>
      <c r="L117" s="285"/>
      <c r="M117" s="285"/>
      <c r="N117" s="285"/>
      <c r="O117" s="285"/>
      <c r="P117" s="285"/>
      <c r="Q117" s="285"/>
      <c r="R117" s="285"/>
      <c r="S117" s="285"/>
      <c r="T117" s="339">
        <v>-203</v>
      </c>
      <c r="U117" s="288"/>
      <c r="V117" s="5"/>
    </row>
    <row r="118" spans="1:22" ht="15.6" x14ac:dyDescent="0.3">
      <c r="A118" s="337">
        <f t="shared" si="0"/>
        <v>14</v>
      </c>
      <c r="B118" s="285" t="s">
        <v>132</v>
      </c>
      <c r="C118" s="285"/>
      <c r="D118" s="285"/>
      <c r="E118" s="285"/>
      <c r="F118" s="285"/>
      <c r="G118" s="285"/>
      <c r="H118" s="285"/>
      <c r="I118" s="285"/>
      <c r="J118" s="285"/>
      <c r="K118" s="285"/>
      <c r="L118" s="285"/>
      <c r="M118" s="285"/>
      <c r="N118" s="285"/>
      <c r="O118" s="285"/>
      <c r="P118" s="285"/>
      <c r="Q118" s="285"/>
      <c r="R118" s="285"/>
      <c r="S118" s="285"/>
      <c r="T118" s="339">
        <f>-T100-SUM(T102:T117)</f>
        <v>-1663</v>
      </c>
      <c r="U118" s="288"/>
      <c r="V118" s="5"/>
    </row>
    <row r="119" spans="1:22" ht="15.6" x14ac:dyDescent="0.3">
      <c r="A119" s="284"/>
      <c r="B119" s="343" t="s">
        <v>38</v>
      </c>
      <c r="C119" s="311"/>
      <c r="D119" s="311"/>
      <c r="E119" s="311"/>
      <c r="F119" s="311"/>
      <c r="G119" s="311"/>
      <c r="H119" s="311"/>
      <c r="I119" s="311"/>
      <c r="J119" s="311"/>
      <c r="K119" s="311"/>
      <c r="L119" s="311"/>
      <c r="M119" s="311"/>
      <c r="N119" s="311"/>
      <c r="O119" s="311"/>
      <c r="P119" s="311"/>
      <c r="Q119" s="311"/>
      <c r="R119" s="311"/>
      <c r="S119" s="311"/>
      <c r="T119" s="346"/>
      <c r="U119" s="317"/>
      <c r="V119" s="5"/>
    </row>
    <row r="120" spans="1:22" ht="15.6" x14ac:dyDescent="0.3">
      <c r="A120" s="337"/>
      <c r="B120" s="285" t="s">
        <v>180</v>
      </c>
      <c r="C120" s="285"/>
      <c r="D120" s="285"/>
      <c r="E120" s="285"/>
      <c r="F120" s="285"/>
      <c r="G120" s="285"/>
      <c r="H120" s="285"/>
      <c r="I120" s="285"/>
      <c r="J120" s="285"/>
      <c r="K120" s="285"/>
      <c r="L120" s="285"/>
      <c r="M120" s="285"/>
      <c r="N120" s="285"/>
      <c r="O120" s="285"/>
      <c r="P120" s="285"/>
      <c r="Q120" s="285"/>
      <c r="R120" s="338">
        <f>-R178</f>
        <v>0</v>
      </c>
      <c r="S120" s="338"/>
      <c r="T120" s="339"/>
      <c r="U120" s="288"/>
      <c r="V120" s="5"/>
    </row>
    <row r="121" spans="1:22" ht="15.6" x14ac:dyDescent="0.3">
      <c r="A121" s="337"/>
      <c r="B121" s="285" t="s">
        <v>181</v>
      </c>
      <c r="C121" s="285"/>
      <c r="D121" s="285"/>
      <c r="E121" s="285"/>
      <c r="F121" s="285"/>
      <c r="G121" s="285"/>
      <c r="H121" s="285"/>
      <c r="I121" s="285"/>
      <c r="J121" s="285"/>
      <c r="K121" s="285"/>
      <c r="L121" s="285"/>
      <c r="M121" s="285"/>
      <c r="N121" s="285"/>
      <c r="O121" s="285"/>
      <c r="P121" s="285"/>
      <c r="Q121" s="285"/>
      <c r="R121" s="338">
        <v>0</v>
      </c>
      <c r="S121" s="338"/>
      <c r="T121" s="339"/>
      <c r="U121" s="288"/>
      <c r="V121" s="5"/>
    </row>
    <row r="122" spans="1:22" ht="15.6" x14ac:dyDescent="0.3">
      <c r="A122" s="337"/>
      <c r="B122" s="285" t="s">
        <v>39</v>
      </c>
      <c r="C122" s="285"/>
      <c r="D122" s="285"/>
      <c r="E122" s="285"/>
      <c r="F122" s="285"/>
      <c r="G122" s="285"/>
      <c r="H122" s="285"/>
      <c r="I122" s="285"/>
      <c r="J122" s="285"/>
      <c r="K122" s="285"/>
      <c r="L122" s="285"/>
      <c r="M122" s="285"/>
      <c r="N122" s="285"/>
      <c r="O122" s="285"/>
      <c r="P122" s="285"/>
      <c r="Q122" s="285"/>
      <c r="R122" s="338">
        <f>-Q178</f>
        <v>-197</v>
      </c>
      <c r="S122" s="338"/>
      <c r="T122" s="339"/>
      <c r="U122" s="288"/>
      <c r="V122" s="5"/>
    </row>
    <row r="123" spans="1:22" ht="15.6" x14ac:dyDescent="0.3">
      <c r="A123" s="337"/>
      <c r="B123" s="285" t="s">
        <v>205</v>
      </c>
      <c r="C123" s="285"/>
      <c r="D123" s="285"/>
      <c r="E123" s="285"/>
      <c r="F123" s="285"/>
      <c r="G123" s="285"/>
      <c r="H123" s="285"/>
      <c r="I123" s="285"/>
      <c r="J123" s="285"/>
      <c r="K123" s="285"/>
      <c r="L123" s="285"/>
      <c r="M123" s="285"/>
      <c r="N123" s="285"/>
      <c r="O123" s="285"/>
      <c r="P123" s="285"/>
      <c r="Q123" s="285"/>
      <c r="R123" s="338">
        <v>-3689</v>
      </c>
      <c r="S123" s="338"/>
      <c r="T123" s="339"/>
      <c r="U123" s="288"/>
      <c r="V123" s="5"/>
    </row>
    <row r="124" spans="1:22" ht="15.6" x14ac:dyDescent="0.3">
      <c r="A124" s="337"/>
      <c r="B124" s="285" t="s">
        <v>203</v>
      </c>
      <c r="C124" s="285"/>
      <c r="D124" s="285"/>
      <c r="E124" s="285"/>
      <c r="F124" s="285"/>
      <c r="G124" s="285"/>
      <c r="H124" s="285"/>
      <c r="I124" s="285"/>
      <c r="J124" s="285"/>
      <c r="K124" s="285"/>
      <c r="L124" s="285"/>
      <c r="M124" s="285"/>
      <c r="N124" s="285"/>
      <c r="O124" s="285"/>
      <c r="P124" s="285"/>
      <c r="Q124" s="285"/>
      <c r="R124" s="338">
        <v>-972</v>
      </c>
      <c r="S124" s="338"/>
      <c r="T124" s="339"/>
      <c r="U124" s="288"/>
      <c r="V124" s="5"/>
    </row>
    <row r="125" spans="1:22" ht="15.6" x14ac:dyDescent="0.3">
      <c r="A125" s="337"/>
      <c r="B125" s="285" t="s">
        <v>202</v>
      </c>
      <c r="C125" s="285"/>
      <c r="D125" s="285"/>
      <c r="E125" s="285"/>
      <c r="F125" s="285"/>
      <c r="G125" s="285"/>
      <c r="H125" s="285"/>
      <c r="I125" s="285"/>
      <c r="J125" s="285"/>
      <c r="K125" s="285"/>
      <c r="L125" s="285"/>
      <c r="M125" s="285"/>
      <c r="N125" s="285"/>
      <c r="O125" s="285"/>
      <c r="P125" s="285"/>
      <c r="Q125" s="285"/>
      <c r="R125" s="338">
        <v>-980</v>
      </c>
      <c r="S125" s="338"/>
      <c r="T125" s="339"/>
      <c r="U125" s="288"/>
      <c r="V125" s="5"/>
    </row>
    <row r="126" spans="1:22" ht="15.6" x14ac:dyDescent="0.3">
      <c r="A126" s="337"/>
      <c r="B126" s="285" t="s">
        <v>197</v>
      </c>
      <c r="C126" s="285"/>
      <c r="D126" s="285"/>
      <c r="E126" s="285"/>
      <c r="F126" s="285"/>
      <c r="G126" s="285"/>
      <c r="H126" s="285"/>
      <c r="I126" s="285"/>
      <c r="J126" s="285"/>
      <c r="K126" s="285"/>
      <c r="L126" s="285"/>
      <c r="M126" s="285"/>
      <c r="N126" s="285"/>
      <c r="O126" s="285"/>
      <c r="P126" s="285"/>
      <c r="Q126" s="285"/>
      <c r="R126" s="338">
        <v>0</v>
      </c>
      <c r="S126" s="338"/>
      <c r="T126" s="339"/>
      <c r="U126" s="288"/>
      <c r="V126" s="5"/>
    </row>
    <row r="127" spans="1:22" ht="15.6" x14ac:dyDescent="0.3">
      <c r="A127" s="337"/>
      <c r="B127" s="285" t="s">
        <v>196</v>
      </c>
      <c r="C127" s="285"/>
      <c r="D127" s="285"/>
      <c r="E127" s="285"/>
      <c r="F127" s="285"/>
      <c r="G127" s="285"/>
      <c r="H127" s="285"/>
      <c r="I127" s="285"/>
      <c r="J127" s="285"/>
      <c r="K127" s="285"/>
      <c r="L127" s="285"/>
      <c r="M127" s="285"/>
      <c r="N127" s="285"/>
      <c r="O127" s="285"/>
      <c r="P127" s="285"/>
      <c r="Q127" s="285"/>
      <c r="R127" s="338">
        <v>0</v>
      </c>
      <c r="S127" s="338"/>
      <c r="T127" s="339"/>
      <c r="U127" s="288"/>
      <c r="V127" s="5"/>
    </row>
    <row r="128" spans="1:22" ht="15.6" x14ac:dyDescent="0.3">
      <c r="A128" s="337"/>
      <c r="B128" s="285" t="s">
        <v>195</v>
      </c>
      <c r="C128" s="285"/>
      <c r="D128" s="285"/>
      <c r="E128" s="285"/>
      <c r="F128" s="285"/>
      <c r="G128" s="285"/>
      <c r="H128" s="285"/>
      <c r="I128" s="285"/>
      <c r="J128" s="285"/>
      <c r="K128" s="285"/>
      <c r="L128" s="285"/>
      <c r="M128" s="285"/>
      <c r="N128" s="285"/>
      <c r="O128" s="285"/>
      <c r="P128" s="285"/>
      <c r="Q128" s="285"/>
      <c r="R128" s="338">
        <v>0</v>
      </c>
      <c r="S128" s="338"/>
      <c r="T128" s="339"/>
      <c r="U128" s="288"/>
      <c r="V128" s="5"/>
    </row>
    <row r="129" spans="1:22" ht="15.6" x14ac:dyDescent="0.3">
      <c r="A129" s="337"/>
      <c r="B129" s="285" t="s">
        <v>40</v>
      </c>
      <c r="C129" s="285"/>
      <c r="D129" s="285"/>
      <c r="E129" s="285"/>
      <c r="F129" s="285"/>
      <c r="G129" s="285"/>
      <c r="H129" s="285"/>
      <c r="I129" s="285"/>
      <c r="J129" s="285"/>
      <c r="K129" s="285"/>
      <c r="L129" s="285"/>
      <c r="M129" s="285"/>
      <c r="N129" s="285"/>
      <c r="O129" s="285"/>
      <c r="P129" s="285"/>
      <c r="Q129" s="285"/>
      <c r="R129" s="338">
        <f>SUM(R120:R128)</f>
        <v>-5838</v>
      </c>
      <c r="S129" s="338"/>
      <c r="T129" s="338">
        <f>SUM(T101:T127)</f>
        <v>-3381</v>
      </c>
      <c r="U129" s="288"/>
      <c r="V129" s="5"/>
    </row>
    <row r="130" spans="1:22" ht="15.6" x14ac:dyDescent="0.3">
      <c r="A130" s="337"/>
      <c r="B130" s="285" t="s">
        <v>41</v>
      </c>
      <c r="C130" s="285"/>
      <c r="D130" s="285"/>
      <c r="E130" s="285"/>
      <c r="F130" s="285"/>
      <c r="G130" s="285"/>
      <c r="H130" s="285"/>
      <c r="I130" s="285"/>
      <c r="J130" s="285"/>
      <c r="K130" s="285"/>
      <c r="L130" s="285"/>
      <c r="M130" s="285"/>
      <c r="N130" s="285"/>
      <c r="O130" s="285"/>
      <c r="P130" s="285"/>
      <c r="Q130" s="285"/>
      <c r="R130" s="338">
        <f>R100+R129+R113</f>
        <v>0</v>
      </c>
      <c r="S130" s="338"/>
      <c r="T130" s="338">
        <f>T100+T129</f>
        <v>0</v>
      </c>
      <c r="U130" s="288"/>
      <c r="V130" s="5"/>
    </row>
    <row r="131" spans="1:22" ht="15.6" x14ac:dyDescent="0.3">
      <c r="A131" s="256"/>
      <c r="B131" s="281"/>
      <c r="C131" s="281"/>
      <c r="D131" s="281"/>
      <c r="E131" s="281"/>
      <c r="F131" s="281"/>
      <c r="G131" s="281"/>
      <c r="H131" s="281"/>
      <c r="I131" s="281"/>
      <c r="J131" s="281"/>
      <c r="K131" s="281"/>
      <c r="L131" s="281"/>
      <c r="M131" s="281"/>
      <c r="N131" s="281"/>
      <c r="O131" s="281"/>
      <c r="P131" s="281"/>
      <c r="Q131" s="281"/>
      <c r="R131" s="340"/>
      <c r="S131" s="340"/>
      <c r="T131" s="340"/>
      <c r="U131" s="281"/>
      <c r="V131" s="5"/>
    </row>
    <row r="132" spans="1:22" ht="15.6" x14ac:dyDescent="0.3">
      <c r="A132" s="256"/>
      <c r="B132" s="231"/>
      <c r="C132" s="231"/>
      <c r="D132" s="231"/>
      <c r="E132" s="231"/>
      <c r="F132" s="231"/>
      <c r="G132" s="231"/>
      <c r="H132" s="231"/>
      <c r="I132" s="231"/>
      <c r="J132" s="231"/>
      <c r="K132" s="231"/>
      <c r="L132" s="231"/>
      <c r="M132" s="231"/>
      <c r="N132" s="231"/>
      <c r="O132" s="231"/>
      <c r="P132" s="231"/>
      <c r="Q132" s="231"/>
      <c r="R132" s="231"/>
      <c r="S132" s="231"/>
      <c r="T132" s="257"/>
      <c r="U132" s="231"/>
      <c r="V132" s="5"/>
    </row>
    <row r="133" spans="1:22" ht="18" thickBot="1" x14ac:dyDescent="0.35">
      <c r="A133" s="258"/>
      <c r="B133" s="246" t="str">
        <f>B64</f>
        <v>PM11 INVESTOR REPORT QUARTER ENDING JUNE 2014</v>
      </c>
      <c r="C133" s="247"/>
      <c r="D133" s="247"/>
      <c r="E133" s="247"/>
      <c r="F133" s="247"/>
      <c r="G133" s="247"/>
      <c r="H133" s="247"/>
      <c r="I133" s="247"/>
      <c r="J133" s="247"/>
      <c r="K133" s="247"/>
      <c r="L133" s="247"/>
      <c r="M133" s="247"/>
      <c r="N133" s="247"/>
      <c r="O133" s="247"/>
      <c r="P133" s="247"/>
      <c r="Q133" s="247"/>
      <c r="R133" s="247"/>
      <c r="S133" s="247"/>
      <c r="T133" s="259"/>
      <c r="U133" s="249"/>
      <c r="V133" s="5"/>
    </row>
    <row r="134" spans="1:22" ht="15.6" x14ac:dyDescent="0.3">
      <c r="A134" s="260"/>
      <c r="B134" s="399" t="s">
        <v>42</v>
      </c>
      <c r="C134" s="261"/>
      <c r="D134" s="261"/>
      <c r="E134" s="261"/>
      <c r="F134" s="261"/>
      <c r="G134" s="261"/>
      <c r="H134" s="261"/>
      <c r="I134" s="261"/>
      <c r="J134" s="261"/>
      <c r="K134" s="261"/>
      <c r="L134" s="261"/>
      <c r="M134" s="261"/>
      <c r="N134" s="261"/>
      <c r="O134" s="261"/>
      <c r="P134" s="261"/>
      <c r="Q134" s="261"/>
      <c r="R134" s="261"/>
      <c r="S134" s="261"/>
      <c r="T134" s="262"/>
      <c r="U134" s="261"/>
      <c r="V134" s="5"/>
    </row>
    <row r="135" spans="1:22" ht="15.6" x14ac:dyDescent="0.3">
      <c r="A135" s="175"/>
      <c r="B135" s="187"/>
      <c r="C135" s="177"/>
      <c r="D135" s="177"/>
      <c r="E135" s="177"/>
      <c r="F135" s="177"/>
      <c r="G135" s="177"/>
      <c r="H135" s="177"/>
      <c r="I135" s="177"/>
      <c r="J135" s="177"/>
      <c r="K135" s="177"/>
      <c r="L135" s="177"/>
      <c r="M135" s="177"/>
      <c r="N135" s="177"/>
      <c r="O135" s="177"/>
      <c r="P135" s="177"/>
      <c r="Q135" s="177"/>
      <c r="R135" s="177"/>
      <c r="S135" s="177"/>
      <c r="T135" s="194"/>
      <c r="U135" s="177"/>
      <c r="V135" s="5"/>
    </row>
    <row r="136" spans="1:22" ht="15.6" x14ac:dyDescent="0.3">
      <c r="A136" s="175"/>
      <c r="B136" s="201" t="s">
        <v>43</v>
      </c>
      <c r="C136" s="177"/>
      <c r="D136" s="177"/>
      <c r="E136" s="177"/>
      <c r="F136" s="177"/>
      <c r="G136" s="177"/>
      <c r="H136" s="177"/>
      <c r="I136" s="177"/>
      <c r="J136" s="177"/>
      <c r="K136" s="177"/>
      <c r="L136" s="177"/>
      <c r="M136" s="177"/>
      <c r="N136" s="177"/>
      <c r="O136" s="177"/>
      <c r="P136" s="177"/>
      <c r="Q136" s="177"/>
      <c r="R136" s="177"/>
      <c r="S136" s="177"/>
      <c r="T136" s="194"/>
      <c r="U136" s="177"/>
      <c r="V136" s="5"/>
    </row>
    <row r="137" spans="1:22" ht="15.6" x14ac:dyDescent="0.3">
      <c r="A137" s="284"/>
      <c r="B137" s="285" t="s">
        <v>44</v>
      </c>
      <c r="C137" s="285"/>
      <c r="D137" s="285"/>
      <c r="E137" s="285"/>
      <c r="F137" s="285"/>
      <c r="G137" s="285"/>
      <c r="H137" s="285"/>
      <c r="I137" s="285"/>
      <c r="J137" s="285"/>
      <c r="K137" s="285"/>
      <c r="L137" s="285"/>
      <c r="M137" s="285"/>
      <c r="N137" s="285"/>
      <c r="O137" s="285"/>
      <c r="P137" s="285"/>
      <c r="Q137" s="285"/>
      <c r="R137" s="285"/>
      <c r="S137" s="285"/>
      <c r="T137" s="339">
        <f>+T34*0.019</f>
        <v>19000.95</v>
      </c>
      <c r="U137" s="288"/>
      <c r="V137" s="5"/>
    </row>
    <row r="138" spans="1:22" ht="15.6" x14ac:dyDescent="0.3">
      <c r="A138" s="284"/>
      <c r="B138" s="285" t="s">
        <v>45</v>
      </c>
      <c r="C138" s="285"/>
      <c r="D138" s="285"/>
      <c r="E138" s="285"/>
      <c r="F138" s="285"/>
      <c r="G138" s="285"/>
      <c r="H138" s="285"/>
      <c r="I138" s="285"/>
      <c r="J138" s="285"/>
      <c r="K138" s="285"/>
      <c r="L138" s="285"/>
      <c r="M138" s="285"/>
      <c r="N138" s="285"/>
      <c r="O138" s="285"/>
      <c r="P138" s="285"/>
      <c r="Q138" s="285"/>
      <c r="R138" s="285"/>
      <c r="S138" s="285"/>
      <c r="T138" s="339">
        <v>19001</v>
      </c>
      <c r="U138" s="288"/>
      <c r="V138" s="5"/>
    </row>
    <row r="139" spans="1:22" ht="15.6" x14ac:dyDescent="0.3">
      <c r="A139" s="284"/>
      <c r="B139" s="285" t="s">
        <v>142</v>
      </c>
      <c r="C139" s="285"/>
      <c r="D139" s="285"/>
      <c r="E139" s="285"/>
      <c r="F139" s="285"/>
      <c r="G139" s="285"/>
      <c r="H139" s="285"/>
      <c r="I139" s="285"/>
      <c r="J139" s="285"/>
      <c r="K139" s="285"/>
      <c r="L139" s="285"/>
      <c r="M139" s="285"/>
      <c r="N139" s="285"/>
      <c r="O139" s="285"/>
      <c r="P139" s="285"/>
      <c r="Q139" s="285"/>
      <c r="R139" s="285"/>
      <c r="S139" s="285"/>
      <c r="T139" s="339">
        <v>0</v>
      </c>
      <c r="U139" s="288"/>
      <c r="V139" s="5"/>
    </row>
    <row r="140" spans="1:22" ht="15.6" x14ac:dyDescent="0.3">
      <c r="A140" s="284"/>
      <c r="B140" s="285" t="s">
        <v>129</v>
      </c>
      <c r="C140" s="285"/>
      <c r="D140" s="285"/>
      <c r="E140" s="285"/>
      <c r="F140" s="285"/>
      <c r="G140" s="285"/>
      <c r="H140" s="285"/>
      <c r="I140" s="285"/>
      <c r="J140" s="285"/>
      <c r="K140" s="285"/>
      <c r="L140" s="285"/>
      <c r="M140" s="285"/>
      <c r="N140" s="285"/>
      <c r="O140" s="285"/>
      <c r="P140" s="285"/>
      <c r="Q140" s="285"/>
      <c r="R140" s="285"/>
      <c r="S140" s="285"/>
      <c r="T140" s="339">
        <v>0</v>
      </c>
      <c r="U140" s="288"/>
      <c r="V140" s="5"/>
    </row>
    <row r="141" spans="1:22" ht="15.6" x14ac:dyDescent="0.3">
      <c r="A141" s="284"/>
      <c r="B141" s="285" t="s">
        <v>130</v>
      </c>
      <c r="C141" s="285"/>
      <c r="D141" s="285"/>
      <c r="E141" s="285"/>
      <c r="F141" s="285"/>
      <c r="G141" s="285"/>
      <c r="H141" s="285"/>
      <c r="I141" s="285"/>
      <c r="J141" s="285"/>
      <c r="K141" s="285"/>
      <c r="L141" s="285"/>
      <c r="M141" s="285"/>
      <c r="N141" s="285"/>
      <c r="O141" s="285"/>
      <c r="P141" s="285"/>
      <c r="Q141" s="285"/>
      <c r="R141" s="285"/>
      <c r="S141" s="285"/>
      <c r="T141" s="339">
        <v>0</v>
      </c>
      <c r="U141" s="288"/>
      <c r="V141" s="5"/>
    </row>
    <row r="142" spans="1:22" ht="15.6" x14ac:dyDescent="0.3">
      <c r="A142" s="284"/>
      <c r="B142" s="285" t="s">
        <v>182</v>
      </c>
      <c r="C142" s="285"/>
      <c r="D142" s="285"/>
      <c r="E142" s="285"/>
      <c r="F142" s="285"/>
      <c r="G142" s="285"/>
      <c r="H142" s="285"/>
      <c r="I142" s="285"/>
      <c r="J142" s="285"/>
      <c r="K142" s="285"/>
      <c r="L142" s="285"/>
      <c r="M142" s="285"/>
      <c r="N142" s="285"/>
      <c r="O142" s="285"/>
      <c r="P142" s="285"/>
      <c r="Q142" s="285"/>
      <c r="R142" s="285"/>
      <c r="S142" s="285"/>
      <c r="T142" s="339">
        <v>0</v>
      </c>
      <c r="U142" s="288"/>
      <c r="V142" s="5"/>
    </row>
    <row r="143" spans="1:22" ht="15.6" x14ac:dyDescent="0.3">
      <c r="A143" s="284"/>
      <c r="B143" s="285" t="s">
        <v>46</v>
      </c>
      <c r="C143" s="285"/>
      <c r="D143" s="285"/>
      <c r="E143" s="285"/>
      <c r="F143" s="285"/>
      <c r="G143" s="285"/>
      <c r="H143" s="285"/>
      <c r="I143" s="285"/>
      <c r="J143" s="285"/>
      <c r="K143" s="285"/>
      <c r="L143" s="285"/>
      <c r="M143" s="285"/>
      <c r="N143" s="285"/>
      <c r="O143" s="285"/>
      <c r="P143" s="285"/>
      <c r="Q143" s="285"/>
      <c r="R143" s="285"/>
      <c r="S143" s="285"/>
      <c r="T143" s="339">
        <v>0</v>
      </c>
      <c r="U143" s="288"/>
      <c r="V143" s="5"/>
    </row>
    <row r="144" spans="1:22" ht="15.6" x14ac:dyDescent="0.3">
      <c r="A144" s="284"/>
      <c r="B144" s="285" t="s">
        <v>135</v>
      </c>
      <c r="C144" s="285"/>
      <c r="D144" s="285"/>
      <c r="E144" s="285"/>
      <c r="F144" s="285"/>
      <c r="G144" s="285"/>
      <c r="H144" s="285"/>
      <c r="I144" s="285"/>
      <c r="J144" s="285"/>
      <c r="K144" s="285"/>
      <c r="L144" s="285"/>
      <c r="M144" s="285"/>
      <c r="N144" s="285"/>
      <c r="O144" s="285"/>
      <c r="P144" s="285"/>
      <c r="Q144" s="285"/>
      <c r="R144" s="285"/>
      <c r="S144" s="285"/>
      <c r="T144" s="339">
        <v>0</v>
      </c>
      <c r="U144" s="288"/>
      <c r="V144" s="5"/>
    </row>
    <row r="145" spans="1:23" ht="15.6" x14ac:dyDescent="0.3">
      <c r="A145" s="284"/>
      <c r="B145" s="285" t="s">
        <v>251</v>
      </c>
      <c r="C145" s="285"/>
      <c r="D145" s="285"/>
      <c r="E145" s="285"/>
      <c r="F145" s="285"/>
      <c r="G145" s="285"/>
      <c r="H145" s="285"/>
      <c r="I145" s="285"/>
      <c r="J145" s="285"/>
      <c r="K145" s="285"/>
      <c r="L145" s="285"/>
      <c r="M145" s="285"/>
      <c r="N145" s="285"/>
      <c r="O145" s="285"/>
      <c r="P145" s="285"/>
      <c r="Q145" s="285"/>
      <c r="R145" s="285"/>
      <c r="S145" s="285"/>
      <c r="T145" s="339">
        <v>0</v>
      </c>
      <c r="U145" s="288"/>
      <c r="V145" s="5"/>
      <c r="W145" s="109"/>
    </row>
    <row r="146" spans="1:23" ht="15.6" x14ac:dyDescent="0.3">
      <c r="A146" s="284"/>
      <c r="B146" s="285" t="s">
        <v>47</v>
      </c>
      <c r="C146" s="285"/>
      <c r="D146" s="285"/>
      <c r="E146" s="285"/>
      <c r="F146" s="285"/>
      <c r="G146" s="285"/>
      <c r="H146" s="285"/>
      <c r="I146" s="285"/>
      <c r="J146" s="285"/>
      <c r="K146" s="285"/>
      <c r="L146" s="285"/>
      <c r="M146" s="285"/>
      <c r="N146" s="285"/>
      <c r="O146" s="285"/>
      <c r="P146" s="285"/>
      <c r="Q146" s="285"/>
      <c r="R146" s="285"/>
      <c r="S146" s="285"/>
      <c r="T146" s="339">
        <f>SUM(T138:T145)</f>
        <v>19001</v>
      </c>
      <c r="U146" s="288"/>
      <c r="V146" s="5"/>
    </row>
    <row r="147" spans="1:23" ht="15.6" x14ac:dyDescent="0.3">
      <c r="A147" s="284"/>
      <c r="B147" s="311"/>
      <c r="C147" s="311"/>
      <c r="D147" s="311"/>
      <c r="E147" s="311"/>
      <c r="F147" s="311"/>
      <c r="G147" s="311"/>
      <c r="H147" s="311"/>
      <c r="I147" s="311"/>
      <c r="J147" s="311"/>
      <c r="K147" s="311"/>
      <c r="L147" s="311"/>
      <c r="M147" s="311"/>
      <c r="N147" s="311"/>
      <c r="O147" s="311"/>
      <c r="P147" s="311"/>
      <c r="Q147" s="311"/>
      <c r="R147" s="311"/>
      <c r="S147" s="311"/>
      <c r="T147" s="345"/>
      <c r="U147" s="317"/>
      <c r="V147" s="5"/>
    </row>
    <row r="148" spans="1:23" ht="15.6" x14ac:dyDescent="0.3">
      <c r="A148" s="284"/>
      <c r="B148" s="343" t="s">
        <v>262</v>
      </c>
      <c r="C148" s="311"/>
      <c r="D148" s="311"/>
      <c r="E148" s="311"/>
      <c r="F148" s="311"/>
      <c r="G148" s="311"/>
      <c r="H148" s="311"/>
      <c r="I148" s="311"/>
      <c r="J148" s="311"/>
      <c r="K148" s="311"/>
      <c r="L148" s="311"/>
      <c r="M148" s="311"/>
      <c r="N148" s="311"/>
      <c r="O148" s="311"/>
      <c r="P148" s="311"/>
      <c r="Q148" s="311"/>
      <c r="R148" s="311"/>
      <c r="S148" s="311"/>
      <c r="T148" s="345"/>
      <c r="U148" s="317"/>
      <c r="V148" s="5"/>
    </row>
    <row r="149" spans="1:23" ht="15.6" x14ac:dyDescent="0.3">
      <c r="A149" s="284"/>
      <c r="B149" s="285" t="s">
        <v>263</v>
      </c>
      <c r="C149" s="285"/>
      <c r="D149" s="285"/>
      <c r="E149" s="285"/>
      <c r="F149" s="285"/>
      <c r="G149" s="285"/>
      <c r="H149" s="285"/>
      <c r="I149" s="285"/>
      <c r="J149" s="285"/>
      <c r="K149" s="285"/>
      <c r="L149" s="285"/>
      <c r="M149" s="285"/>
      <c r="N149" s="285"/>
      <c r="O149" s="285"/>
      <c r="P149" s="285"/>
      <c r="Q149" s="285"/>
      <c r="R149" s="285"/>
      <c r="S149" s="285"/>
      <c r="T149" s="339">
        <v>0</v>
      </c>
      <c r="U149" s="288"/>
      <c r="V149" s="5"/>
    </row>
    <row r="150" spans="1:23" ht="15.6" x14ac:dyDescent="0.3">
      <c r="A150" s="284"/>
      <c r="B150" s="285" t="s">
        <v>179</v>
      </c>
      <c r="C150" s="285"/>
      <c r="D150" s="285"/>
      <c r="E150" s="285"/>
      <c r="F150" s="285"/>
      <c r="G150" s="285"/>
      <c r="H150" s="285"/>
      <c r="I150" s="285"/>
      <c r="J150" s="285"/>
      <c r="K150" s="285"/>
      <c r="L150" s="285"/>
      <c r="M150" s="285"/>
      <c r="N150" s="285"/>
      <c r="O150" s="285"/>
      <c r="P150" s="285"/>
      <c r="Q150" s="285"/>
      <c r="R150" s="285"/>
      <c r="S150" s="285"/>
      <c r="T150" s="339">
        <v>0</v>
      </c>
      <c r="U150" s="288"/>
      <c r="V150" s="5"/>
    </row>
    <row r="151" spans="1:23" ht="15.6" x14ac:dyDescent="0.3">
      <c r="A151" s="284"/>
      <c r="B151" s="285" t="s">
        <v>264</v>
      </c>
      <c r="C151" s="285"/>
      <c r="D151" s="285"/>
      <c r="E151" s="285"/>
      <c r="F151" s="285"/>
      <c r="G151" s="285"/>
      <c r="H151" s="285"/>
      <c r="I151" s="285"/>
      <c r="J151" s="285"/>
      <c r="K151" s="285"/>
      <c r="L151" s="285"/>
      <c r="M151" s="285"/>
      <c r="N151" s="285"/>
      <c r="O151" s="285"/>
      <c r="P151" s="285"/>
      <c r="Q151" s="285"/>
      <c r="R151" s="285"/>
      <c r="S151" s="285"/>
      <c r="T151" s="339">
        <v>0</v>
      </c>
      <c r="U151" s="288"/>
      <c r="V151" s="5"/>
    </row>
    <row r="152" spans="1:23" ht="15.6" x14ac:dyDescent="0.3">
      <c r="A152" s="284"/>
      <c r="B152" s="285"/>
      <c r="C152" s="285"/>
      <c r="D152" s="285"/>
      <c r="E152" s="285"/>
      <c r="F152" s="285"/>
      <c r="G152" s="285"/>
      <c r="H152" s="285"/>
      <c r="I152" s="285"/>
      <c r="J152" s="285"/>
      <c r="K152" s="285"/>
      <c r="L152" s="285"/>
      <c r="M152" s="285"/>
      <c r="N152" s="285"/>
      <c r="O152" s="285"/>
      <c r="P152" s="285"/>
      <c r="Q152" s="285"/>
      <c r="R152" s="285"/>
      <c r="S152" s="285"/>
      <c r="T152" s="339"/>
      <c r="U152" s="288"/>
      <c r="V152" s="5"/>
    </row>
    <row r="153" spans="1:23" ht="15.6" x14ac:dyDescent="0.3">
      <c r="A153" s="175"/>
      <c r="B153" s="334"/>
      <c r="C153" s="334"/>
      <c r="D153" s="334"/>
      <c r="E153" s="334"/>
      <c r="F153" s="334"/>
      <c r="G153" s="334"/>
      <c r="H153" s="334"/>
      <c r="I153" s="334"/>
      <c r="J153" s="334"/>
      <c r="K153" s="334"/>
      <c r="L153" s="334"/>
      <c r="M153" s="334"/>
      <c r="N153" s="334"/>
      <c r="O153" s="334"/>
      <c r="P153" s="334"/>
      <c r="Q153" s="334"/>
      <c r="R153" s="334"/>
      <c r="S153" s="334"/>
      <c r="T153" s="347"/>
      <c r="U153" s="334"/>
      <c r="V153" s="5"/>
    </row>
    <row r="154" spans="1:23" ht="15.6" x14ac:dyDescent="0.3">
      <c r="A154" s="175"/>
      <c r="B154" s="201" t="s">
        <v>24</v>
      </c>
      <c r="C154" s="177"/>
      <c r="D154" s="177"/>
      <c r="E154" s="177"/>
      <c r="F154" s="177"/>
      <c r="G154" s="177"/>
      <c r="H154" s="177"/>
      <c r="I154" s="177"/>
      <c r="J154" s="177"/>
      <c r="K154" s="177"/>
      <c r="L154" s="177"/>
      <c r="M154" s="177"/>
      <c r="N154" s="177"/>
      <c r="O154" s="177"/>
      <c r="P154" s="177"/>
      <c r="Q154" s="177"/>
      <c r="R154" s="177"/>
      <c r="S154" s="177"/>
      <c r="T154" s="194"/>
      <c r="U154" s="177"/>
      <c r="V154" s="5"/>
    </row>
    <row r="155" spans="1:23" ht="15.6" x14ac:dyDescent="0.3">
      <c r="A155" s="284"/>
      <c r="B155" s="285" t="s">
        <v>48</v>
      </c>
      <c r="C155" s="285"/>
      <c r="D155" s="285"/>
      <c r="E155" s="285"/>
      <c r="F155" s="285"/>
      <c r="G155" s="285"/>
      <c r="H155" s="285"/>
      <c r="I155" s="285"/>
      <c r="J155" s="285"/>
      <c r="K155" s="285"/>
      <c r="L155" s="285"/>
      <c r="M155" s="285"/>
      <c r="N155" s="285"/>
      <c r="O155" s="285"/>
      <c r="P155" s="285"/>
      <c r="Q155" s="285"/>
      <c r="R155" s="285"/>
      <c r="S155" s="285"/>
      <c r="T155" s="348" t="s">
        <v>124</v>
      </c>
      <c r="U155" s="288"/>
      <c r="V155" s="5"/>
    </row>
    <row r="156" spans="1:23" ht="15.6" x14ac:dyDescent="0.3">
      <c r="A156" s="284"/>
      <c r="B156" s="285" t="s">
        <v>49</v>
      </c>
      <c r="C156" s="287"/>
      <c r="D156" s="287"/>
      <c r="E156" s="287"/>
      <c r="F156" s="287"/>
      <c r="G156" s="287"/>
      <c r="H156" s="287"/>
      <c r="I156" s="287"/>
      <c r="J156" s="287"/>
      <c r="K156" s="287"/>
      <c r="L156" s="287"/>
      <c r="M156" s="287"/>
      <c r="N156" s="287"/>
      <c r="O156" s="287"/>
      <c r="P156" s="287"/>
      <c r="Q156" s="287"/>
      <c r="R156" s="287"/>
      <c r="S156" s="287"/>
      <c r="T156" s="348" t="s">
        <v>124</v>
      </c>
      <c r="U156" s="288"/>
      <c r="V156" s="5"/>
    </row>
    <row r="157" spans="1:23" ht="15.6" x14ac:dyDescent="0.3">
      <c r="A157" s="284"/>
      <c r="B157" s="285" t="s">
        <v>50</v>
      </c>
      <c r="C157" s="285"/>
      <c r="D157" s="285"/>
      <c r="E157" s="285"/>
      <c r="F157" s="285"/>
      <c r="G157" s="285"/>
      <c r="H157" s="285"/>
      <c r="I157" s="285"/>
      <c r="J157" s="285"/>
      <c r="K157" s="285"/>
      <c r="L157" s="285"/>
      <c r="M157" s="285"/>
      <c r="N157" s="285"/>
      <c r="O157" s="285"/>
      <c r="P157" s="285"/>
      <c r="Q157" s="285"/>
      <c r="R157" s="285"/>
      <c r="S157" s="285"/>
      <c r="T157" s="348" t="s">
        <v>124</v>
      </c>
      <c r="U157" s="288"/>
      <c r="V157" s="5"/>
    </row>
    <row r="158" spans="1:23" ht="15.6" x14ac:dyDescent="0.3">
      <c r="A158" s="284"/>
      <c r="B158" s="285" t="s">
        <v>51</v>
      </c>
      <c r="C158" s="285"/>
      <c r="D158" s="285"/>
      <c r="E158" s="285"/>
      <c r="F158" s="285"/>
      <c r="G158" s="285"/>
      <c r="H158" s="285"/>
      <c r="I158" s="285"/>
      <c r="J158" s="285"/>
      <c r="K158" s="285"/>
      <c r="L158" s="285"/>
      <c r="M158" s="285"/>
      <c r="N158" s="285"/>
      <c r="O158" s="285"/>
      <c r="P158" s="285"/>
      <c r="Q158" s="285"/>
      <c r="R158" s="285"/>
      <c r="S158" s="285"/>
      <c r="T158" s="348" t="s">
        <v>124</v>
      </c>
      <c r="U158" s="288"/>
      <c r="V158" s="5"/>
    </row>
    <row r="159" spans="1:23" ht="15.6" x14ac:dyDescent="0.3">
      <c r="A159" s="175"/>
      <c r="B159" s="334"/>
      <c r="C159" s="334"/>
      <c r="D159" s="334"/>
      <c r="E159" s="334"/>
      <c r="F159" s="334"/>
      <c r="G159" s="334"/>
      <c r="H159" s="334"/>
      <c r="I159" s="334"/>
      <c r="J159" s="334"/>
      <c r="K159" s="334"/>
      <c r="L159" s="334"/>
      <c r="M159" s="334"/>
      <c r="N159" s="334"/>
      <c r="O159" s="334"/>
      <c r="P159" s="334"/>
      <c r="Q159" s="334"/>
      <c r="R159" s="334"/>
      <c r="S159" s="334"/>
      <c r="T159" s="347"/>
      <c r="U159" s="334"/>
      <c r="V159" s="5"/>
    </row>
    <row r="160" spans="1:23" ht="15.6" x14ac:dyDescent="0.3">
      <c r="A160" s="175"/>
      <c r="B160" s="201" t="s">
        <v>52</v>
      </c>
      <c r="C160" s="177"/>
      <c r="D160" s="177"/>
      <c r="E160" s="177"/>
      <c r="F160" s="177"/>
      <c r="G160" s="177"/>
      <c r="H160" s="177"/>
      <c r="I160" s="177"/>
      <c r="J160" s="177"/>
      <c r="K160" s="177"/>
      <c r="L160" s="177"/>
      <c r="M160" s="177"/>
      <c r="N160" s="177"/>
      <c r="O160" s="177"/>
      <c r="P160" s="177"/>
      <c r="Q160" s="177"/>
      <c r="R160" s="177"/>
      <c r="S160" s="177"/>
      <c r="T160" s="202"/>
      <c r="U160" s="177"/>
      <c r="V160" s="5"/>
    </row>
    <row r="161" spans="1:22" ht="15.6" x14ac:dyDescent="0.3">
      <c r="A161" s="284"/>
      <c r="B161" s="285" t="s">
        <v>53</v>
      </c>
      <c r="C161" s="285"/>
      <c r="D161" s="285"/>
      <c r="E161" s="285"/>
      <c r="F161" s="285"/>
      <c r="G161" s="285"/>
      <c r="H161" s="285"/>
      <c r="I161" s="285"/>
      <c r="J161" s="285"/>
      <c r="K161" s="285"/>
      <c r="L161" s="285"/>
      <c r="M161" s="285"/>
      <c r="N161" s="285"/>
      <c r="O161" s="285"/>
      <c r="P161" s="285"/>
      <c r="Q161" s="285"/>
      <c r="R161" s="285"/>
      <c r="S161" s="285"/>
      <c r="T161" s="339">
        <v>0</v>
      </c>
      <c r="U161" s="288"/>
      <c r="V161" s="5"/>
    </row>
    <row r="162" spans="1:22" ht="15.6" x14ac:dyDescent="0.3">
      <c r="A162" s="284"/>
      <c r="B162" s="285" t="s">
        <v>54</v>
      </c>
      <c r="C162" s="285"/>
      <c r="D162" s="285"/>
      <c r="E162" s="285"/>
      <c r="F162" s="285"/>
      <c r="G162" s="285"/>
      <c r="H162" s="285"/>
      <c r="I162" s="285"/>
      <c r="J162" s="285"/>
      <c r="K162" s="285"/>
      <c r="L162" s="285"/>
      <c r="M162" s="285"/>
      <c r="N162" s="285"/>
      <c r="O162" s="285"/>
      <c r="P162" s="285"/>
      <c r="Q162" s="285"/>
      <c r="R162" s="285"/>
      <c r="S162" s="285"/>
      <c r="T162" s="339">
        <f>R113</f>
        <v>59</v>
      </c>
      <c r="U162" s="288"/>
      <c r="V162" s="5"/>
    </row>
    <row r="163" spans="1:22" ht="15.6" x14ac:dyDescent="0.3">
      <c r="A163" s="284"/>
      <c r="B163" s="285" t="s">
        <v>55</v>
      </c>
      <c r="C163" s="285"/>
      <c r="D163" s="285"/>
      <c r="E163" s="285"/>
      <c r="F163" s="285"/>
      <c r="G163" s="285"/>
      <c r="H163" s="285"/>
      <c r="I163" s="285"/>
      <c r="J163" s="285"/>
      <c r="K163" s="285"/>
      <c r="L163" s="285"/>
      <c r="M163" s="285"/>
      <c r="N163" s="285"/>
      <c r="O163" s="285"/>
      <c r="P163" s="285"/>
      <c r="Q163" s="285"/>
      <c r="R163" s="285"/>
      <c r="S163" s="285"/>
      <c r="T163" s="339">
        <f>T162+T161</f>
        <v>59</v>
      </c>
      <c r="U163" s="288"/>
      <c r="V163" s="5"/>
    </row>
    <row r="164" spans="1:22" ht="15.6" x14ac:dyDescent="0.3">
      <c r="A164" s="284"/>
      <c r="B164" s="285" t="s">
        <v>301</v>
      </c>
      <c r="C164" s="285"/>
      <c r="D164" s="285"/>
      <c r="E164" s="285"/>
      <c r="F164" s="285"/>
      <c r="G164" s="285"/>
      <c r="H164" s="285"/>
      <c r="I164" s="285"/>
      <c r="J164" s="285"/>
      <c r="K164" s="285"/>
      <c r="L164" s="285"/>
      <c r="M164" s="285"/>
      <c r="N164" s="285"/>
      <c r="O164" s="285"/>
      <c r="P164" s="285"/>
      <c r="Q164" s="285"/>
      <c r="R164" s="285"/>
      <c r="S164" s="285"/>
      <c r="T164" s="339">
        <f>T113</f>
        <v>-59</v>
      </c>
      <c r="U164" s="288"/>
      <c r="V164" s="5"/>
    </row>
    <row r="165" spans="1:22" ht="15.6" x14ac:dyDescent="0.3">
      <c r="A165" s="284"/>
      <c r="B165" s="285" t="s">
        <v>56</v>
      </c>
      <c r="C165" s="285"/>
      <c r="D165" s="285"/>
      <c r="E165" s="285"/>
      <c r="F165" s="285"/>
      <c r="G165" s="285"/>
      <c r="H165" s="285"/>
      <c r="I165" s="285"/>
      <c r="J165" s="285"/>
      <c r="K165" s="285"/>
      <c r="L165" s="285"/>
      <c r="M165" s="285"/>
      <c r="N165" s="285"/>
      <c r="O165" s="285"/>
      <c r="P165" s="285"/>
      <c r="Q165" s="285"/>
      <c r="R165" s="285"/>
      <c r="S165" s="285"/>
      <c r="T165" s="339">
        <f>T163+T164</f>
        <v>0</v>
      </c>
      <c r="U165" s="288"/>
      <c r="V165" s="5"/>
    </row>
    <row r="166" spans="1:22" ht="15.6" x14ac:dyDescent="0.3">
      <c r="A166" s="284"/>
      <c r="B166" s="285" t="s">
        <v>273</v>
      </c>
      <c r="C166" s="285"/>
      <c r="D166" s="285"/>
      <c r="E166" s="285"/>
      <c r="F166" s="285"/>
      <c r="G166" s="285"/>
      <c r="H166" s="285"/>
      <c r="I166" s="285"/>
      <c r="J166" s="285"/>
      <c r="K166" s="285"/>
      <c r="L166" s="285"/>
      <c r="M166" s="285"/>
      <c r="N166" s="285"/>
      <c r="O166" s="285"/>
      <c r="P166" s="285"/>
      <c r="Q166" s="285"/>
      <c r="R166" s="285"/>
      <c r="S166" s="285"/>
      <c r="T166" s="339">
        <v>0</v>
      </c>
      <c r="U166" s="288"/>
      <c r="V166" s="5"/>
    </row>
    <row r="167" spans="1:22" ht="16.2" thickBot="1" x14ac:dyDescent="0.35">
      <c r="A167" s="175"/>
      <c r="B167" s="334"/>
      <c r="C167" s="334"/>
      <c r="D167" s="334"/>
      <c r="E167" s="334"/>
      <c r="F167" s="334"/>
      <c r="G167" s="334"/>
      <c r="H167" s="334"/>
      <c r="I167" s="334"/>
      <c r="J167" s="334"/>
      <c r="K167" s="334"/>
      <c r="L167" s="334"/>
      <c r="M167" s="334"/>
      <c r="N167" s="334"/>
      <c r="O167" s="334"/>
      <c r="P167" s="334"/>
      <c r="Q167" s="334"/>
      <c r="R167" s="334"/>
      <c r="S167" s="334"/>
      <c r="T167" s="347"/>
      <c r="U167" s="334"/>
      <c r="V167" s="5"/>
    </row>
    <row r="168" spans="1:22" ht="15.6" x14ac:dyDescent="0.3">
      <c r="A168" s="173"/>
      <c r="B168" s="174"/>
      <c r="C168" s="174"/>
      <c r="D168" s="174"/>
      <c r="E168" s="174"/>
      <c r="F168" s="174"/>
      <c r="G168" s="174"/>
      <c r="H168" s="174"/>
      <c r="I168" s="174"/>
      <c r="J168" s="174"/>
      <c r="K168" s="174"/>
      <c r="L168" s="174"/>
      <c r="M168" s="174"/>
      <c r="N168" s="174"/>
      <c r="O168" s="174"/>
      <c r="P168" s="174"/>
      <c r="Q168" s="174"/>
      <c r="R168" s="174"/>
      <c r="S168" s="174"/>
      <c r="T168" s="193"/>
      <c r="U168" s="174"/>
      <c r="V168" s="5"/>
    </row>
    <row r="169" spans="1:22" ht="15.6" x14ac:dyDescent="0.3">
      <c r="A169" s="175"/>
      <c r="B169" s="201" t="s">
        <v>57</v>
      </c>
      <c r="C169" s="177"/>
      <c r="D169" s="177"/>
      <c r="E169" s="177"/>
      <c r="F169" s="177"/>
      <c r="G169" s="177"/>
      <c r="H169" s="177"/>
      <c r="I169" s="177"/>
      <c r="J169" s="177"/>
      <c r="K169" s="177"/>
      <c r="L169" s="177"/>
      <c r="M169" s="177"/>
      <c r="N169" s="177"/>
      <c r="O169" s="177"/>
      <c r="P169" s="177"/>
      <c r="Q169" s="177"/>
      <c r="R169" s="177"/>
      <c r="S169" s="177"/>
      <c r="T169" s="194"/>
      <c r="U169" s="177"/>
      <c r="V169" s="5"/>
    </row>
    <row r="170" spans="1:22" ht="15.6" x14ac:dyDescent="0.3">
      <c r="A170" s="175"/>
      <c r="B170" s="187"/>
      <c r="C170" s="177"/>
      <c r="D170" s="177"/>
      <c r="E170" s="177"/>
      <c r="F170" s="177"/>
      <c r="G170" s="177"/>
      <c r="H170" s="177"/>
      <c r="I170" s="177"/>
      <c r="J170" s="177"/>
      <c r="K170" s="177"/>
      <c r="L170" s="177"/>
      <c r="M170" s="177"/>
      <c r="N170" s="177"/>
      <c r="O170" s="177"/>
      <c r="P170" s="177"/>
      <c r="Q170" s="177"/>
      <c r="R170" s="177"/>
      <c r="S170" s="177"/>
      <c r="T170" s="194"/>
      <c r="U170" s="177"/>
      <c r="V170" s="5"/>
    </row>
    <row r="171" spans="1:22" ht="15.6" x14ac:dyDescent="0.3">
      <c r="A171" s="284"/>
      <c r="B171" s="285" t="s">
        <v>58</v>
      </c>
      <c r="C171" s="285"/>
      <c r="D171" s="285"/>
      <c r="E171" s="285"/>
      <c r="F171" s="285"/>
      <c r="G171" s="285"/>
      <c r="H171" s="285"/>
      <c r="I171" s="285"/>
      <c r="J171" s="285"/>
      <c r="K171" s="285"/>
      <c r="L171" s="285"/>
      <c r="M171" s="285"/>
      <c r="N171" s="285"/>
      <c r="O171" s="285"/>
      <c r="P171" s="285"/>
      <c r="Q171" s="285"/>
      <c r="R171" s="285"/>
      <c r="S171" s="285"/>
      <c r="T171" s="339">
        <f>T71</f>
        <v>525404</v>
      </c>
      <c r="U171" s="288"/>
      <c r="V171" s="5"/>
    </row>
    <row r="172" spans="1:22" ht="15.6" x14ac:dyDescent="0.3">
      <c r="A172" s="284"/>
      <c r="B172" s="285" t="s">
        <v>59</v>
      </c>
      <c r="C172" s="285"/>
      <c r="D172" s="285"/>
      <c r="E172" s="285"/>
      <c r="F172" s="285"/>
      <c r="G172" s="285"/>
      <c r="H172" s="285"/>
      <c r="I172" s="285"/>
      <c r="J172" s="285"/>
      <c r="K172" s="285"/>
      <c r="L172" s="285"/>
      <c r="M172" s="285"/>
      <c r="N172" s="285"/>
      <c r="O172" s="285"/>
      <c r="P172" s="285"/>
      <c r="Q172" s="285"/>
      <c r="R172" s="285"/>
      <c r="S172" s="285"/>
      <c r="T172" s="339">
        <f>T84</f>
        <v>525404</v>
      </c>
      <c r="U172" s="288"/>
      <c r="V172" s="5"/>
    </row>
    <row r="173" spans="1:22" ht="16.2" thickBot="1" x14ac:dyDescent="0.35">
      <c r="A173" s="175"/>
      <c r="B173" s="334"/>
      <c r="C173" s="334"/>
      <c r="D173" s="334"/>
      <c r="E173" s="334"/>
      <c r="F173" s="334"/>
      <c r="G173" s="334"/>
      <c r="H173" s="334"/>
      <c r="I173" s="334"/>
      <c r="J173" s="334"/>
      <c r="K173" s="334"/>
      <c r="L173" s="334"/>
      <c r="M173" s="334"/>
      <c r="N173" s="334"/>
      <c r="O173" s="334"/>
      <c r="P173" s="334"/>
      <c r="Q173" s="334"/>
      <c r="R173" s="334"/>
      <c r="S173" s="334"/>
      <c r="T173" s="347"/>
      <c r="U173" s="334"/>
      <c r="V173" s="5"/>
    </row>
    <row r="174" spans="1:22" ht="15.6" x14ac:dyDescent="0.3">
      <c r="A174" s="173"/>
      <c r="B174" s="174"/>
      <c r="C174" s="174"/>
      <c r="D174" s="174"/>
      <c r="E174" s="174"/>
      <c r="F174" s="174"/>
      <c r="G174" s="174"/>
      <c r="H174" s="174"/>
      <c r="I174" s="174"/>
      <c r="J174" s="174"/>
      <c r="K174" s="174"/>
      <c r="L174" s="174"/>
      <c r="M174" s="174"/>
      <c r="N174" s="174"/>
      <c r="O174" s="174"/>
      <c r="P174" s="174"/>
      <c r="Q174" s="174"/>
      <c r="R174" s="174"/>
      <c r="S174" s="174"/>
      <c r="T174" s="193"/>
      <c r="U174" s="174"/>
      <c r="V174" s="5"/>
    </row>
    <row r="175" spans="1:22" ht="15.6" x14ac:dyDescent="0.3">
      <c r="A175" s="175"/>
      <c r="B175" s="201" t="s">
        <v>60</v>
      </c>
      <c r="C175" s="198"/>
      <c r="D175" s="198"/>
      <c r="E175" s="198"/>
      <c r="F175" s="198"/>
      <c r="G175" s="198"/>
      <c r="H175" s="203"/>
      <c r="I175" s="203"/>
      <c r="J175" s="203"/>
      <c r="K175" s="203"/>
      <c r="L175" s="203"/>
      <c r="M175" s="203"/>
      <c r="N175" s="203"/>
      <c r="O175" s="203"/>
      <c r="P175" s="203"/>
      <c r="Q175" s="203" t="s">
        <v>104</v>
      </c>
      <c r="R175" s="203" t="s">
        <v>183</v>
      </c>
      <c r="S175" s="179"/>
      <c r="T175" s="204" t="s">
        <v>120</v>
      </c>
      <c r="U175" s="205"/>
      <c r="V175" s="5"/>
    </row>
    <row r="176" spans="1:22" ht="15.6" x14ac:dyDescent="0.3">
      <c r="A176" s="284"/>
      <c r="B176" s="285" t="s">
        <v>61</v>
      </c>
      <c r="C176" s="285"/>
      <c r="D176" s="285"/>
      <c r="E176" s="285"/>
      <c r="F176" s="285"/>
      <c r="G176" s="285"/>
      <c r="H176" s="285"/>
      <c r="I176" s="285"/>
      <c r="J176" s="285"/>
      <c r="K176" s="285"/>
      <c r="L176" s="285"/>
      <c r="M176" s="285"/>
      <c r="N176" s="285"/>
      <c r="O176" s="285"/>
      <c r="P176" s="285"/>
      <c r="Q176" s="339">
        <v>160008</v>
      </c>
      <c r="R176" s="324"/>
      <c r="S176" s="285"/>
      <c r="T176" s="339"/>
      <c r="U176" s="288"/>
      <c r="V176" s="5"/>
    </row>
    <row r="177" spans="1:22" ht="15.6" x14ac:dyDescent="0.3">
      <c r="A177" s="284"/>
      <c r="B177" s="285" t="s">
        <v>62</v>
      </c>
      <c r="C177" s="285"/>
      <c r="D177" s="285"/>
      <c r="E177" s="285"/>
      <c r="F177" s="285"/>
      <c r="G177" s="285"/>
      <c r="H177" s="285"/>
      <c r="I177" s="285"/>
      <c r="J177" s="285"/>
      <c r="K177" s="285"/>
      <c r="L177" s="285"/>
      <c r="M177" s="285"/>
      <c r="N177" s="285"/>
      <c r="O177" s="285"/>
      <c r="P177" s="285"/>
      <c r="Q177" s="339">
        <f>+'March 14'!Q179</f>
        <v>37843</v>
      </c>
      <c r="R177" s="339">
        <f>+'March 14'!R179</f>
        <v>3447</v>
      </c>
      <c r="S177" s="285"/>
      <c r="T177" s="339">
        <f>Q177+R177</f>
        <v>41290</v>
      </c>
      <c r="U177" s="288"/>
      <c r="V177" s="5"/>
    </row>
    <row r="178" spans="1:22" ht="15.6" x14ac:dyDescent="0.3">
      <c r="A178" s="284"/>
      <c r="B178" s="285" t="s">
        <v>63</v>
      </c>
      <c r="C178" s="285"/>
      <c r="D178" s="285"/>
      <c r="E178" s="285"/>
      <c r="F178" s="285"/>
      <c r="G178" s="285"/>
      <c r="H178" s="285"/>
      <c r="I178" s="285"/>
      <c r="J178" s="285"/>
      <c r="K178" s="285"/>
      <c r="L178" s="285"/>
      <c r="M178" s="285"/>
      <c r="N178" s="285"/>
      <c r="O178" s="285"/>
      <c r="P178" s="285"/>
      <c r="Q178" s="338">
        <f>90+107</f>
        <v>197</v>
      </c>
      <c r="R178" s="338">
        <v>0</v>
      </c>
      <c r="S178" s="285"/>
      <c r="T178" s="339">
        <f>Q178+R178</f>
        <v>197</v>
      </c>
      <c r="U178" s="288"/>
      <c r="V178" s="5"/>
    </row>
    <row r="179" spans="1:22" ht="15.6" x14ac:dyDescent="0.3">
      <c r="A179" s="284"/>
      <c r="B179" s="285" t="s">
        <v>64</v>
      </c>
      <c r="C179" s="285"/>
      <c r="D179" s="285"/>
      <c r="E179" s="285"/>
      <c r="F179" s="285"/>
      <c r="G179" s="285"/>
      <c r="H179" s="285"/>
      <c r="I179" s="285"/>
      <c r="J179" s="285"/>
      <c r="K179" s="285"/>
      <c r="L179" s="285"/>
      <c r="M179" s="285"/>
      <c r="N179" s="285"/>
      <c r="O179" s="285"/>
      <c r="P179" s="285"/>
      <c r="Q179" s="339">
        <f>Q177+Q178</f>
        <v>38040</v>
      </c>
      <c r="R179" s="339">
        <f>R178+R177</f>
        <v>3447</v>
      </c>
      <c r="S179" s="285"/>
      <c r="T179" s="339">
        <f>Q179+R179</f>
        <v>41487</v>
      </c>
      <c r="U179" s="288"/>
      <c r="V179" s="5"/>
    </row>
    <row r="180" spans="1:22" ht="15.6" x14ac:dyDescent="0.3">
      <c r="A180" s="284"/>
      <c r="B180" s="285" t="s">
        <v>65</v>
      </c>
      <c r="C180" s="285"/>
      <c r="D180" s="285"/>
      <c r="E180" s="285"/>
      <c r="F180" s="285"/>
      <c r="G180" s="285"/>
      <c r="H180" s="285"/>
      <c r="I180" s="285"/>
      <c r="J180" s="285"/>
      <c r="K180" s="285"/>
      <c r="L180" s="285"/>
      <c r="M180" s="285"/>
      <c r="N180" s="285"/>
      <c r="O180" s="285"/>
      <c r="P180" s="285"/>
      <c r="Q180" s="339">
        <f>Q176-Q179-R179</f>
        <v>118521</v>
      </c>
      <c r="R180" s="324"/>
      <c r="S180" s="285"/>
      <c r="T180" s="339"/>
      <c r="U180" s="288"/>
      <c r="V180" s="5"/>
    </row>
    <row r="181" spans="1:22" ht="16.2" thickBot="1" x14ac:dyDescent="0.35">
      <c r="A181" s="175"/>
      <c r="B181" s="334"/>
      <c r="C181" s="334"/>
      <c r="D181" s="334"/>
      <c r="E181" s="334"/>
      <c r="F181" s="334"/>
      <c r="G181" s="334"/>
      <c r="H181" s="334"/>
      <c r="I181" s="334"/>
      <c r="J181" s="334"/>
      <c r="K181" s="334"/>
      <c r="L181" s="334"/>
      <c r="M181" s="334"/>
      <c r="N181" s="334"/>
      <c r="O181" s="334"/>
      <c r="P181" s="334"/>
      <c r="Q181" s="334"/>
      <c r="R181" s="334"/>
      <c r="S181" s="334"/>
      <c r="T181" s="347"/>
      <c r="U181" s="334"/>
      <c r="V181" s="5"/>
    </row>
    <row r="182" spans="1:22" ht="15.6" x14ac:dyDescent="0.3">
      <c r="A182" s="173"/>
      <c r="B182" s="174"/>
      <c r="C182" s="174"/>
      <c r="D182" s="174"/>
      <c r="E182" s="174"/>
      <c r="F182" s="174"/>
      <c r="G182" s="174"/>
      <c r="H182" s="174"/>
      <c r="I182" s="174"/>
      <c r="J182" s="174"/>
      <c r="K182" s="174"/>
      <c r="L182" s="174"/>
      <c r="M182" s="174"/>
      <c r="N182" s="174"/>
      <c r="O182" s="174"/>
      <c r="P182" s="174"/>
      <c r="Q182" s="174"/>
      <c r="R182" s="174"/>
      <c r="S182" s="174"/>
      <c r="T182" s="193"/>
      <c r="U182" s="174"/>
      <c r="V182" s="5"/>
    </row>
    <row r="183" spans="1:22" ht="15.6" x14ac:dyDescent="0.3">
      <c r="A183" s="175"/>
      <c r="B183" s="201" t="s">
        <v>66</v>
      </c>
      <c r="C183" s="177"/>
      <c r="D183" s="177"/>
      <c r="E183" s="177"/>
      <c r="F183" s="177"/>
      <c r="G183" s="177"/>
      <c r="H183" s="177"/>
      <c r="I183" s="177"/>
      <c r="J183" s="177"/>
      <c r="K183" s="177"/>
      <c r="L183" s="177"/>
      <c r="M183" s="177"/>
      <c r="N183" s="177"/>
      <c r="O183" s="177"/>
      <c r="P183" s="177"/>
      <c r="Q183" s="177"/>
      <c r="R183" s="177"/>
      <c r="S183" s="177"/>
      <c r="T183" s="206"/>
      <c r="U183" s="177"/>
      <c r="V183" s="5"/>
    </row>
    <row r="184" spans="1:22" ht="15.6" x14ac:dyDescent="0.3">
      <c r="A184" s="284"/>
      <c r="B184" s="285" t="s">
        <v>67</v>
      </c>
      <c r="C184" s="285"/>
      <c r="D184" s="285"/>
      <c r="E184" s="285"/>
      <c r="F184" s="285"/>
      <c r="G184" s="285"/>
      <c r="H184" s="285"/>
      <c r="I184" s="285"/>
      <c r="J184" s="285"/>
      <c r="K184" s="285"/>
      <c r="L184" s="285"/>
      <c r="M184" s="285"/>
      <c r="N184" s="285"/>
      <c r="O184" s="285"/>
      <c r="P184" s="285"/>
      <c r="Q184" s="285"/>
      <c r="R184" s="285"/>
      <c r="S184" s="285"/>
      <c r="T184" s="348">
        <f>(T100+T102+T103+T104+T105)/-(T106+T107)</f>
        <v>4.424817518248175</v>
      </c>
      <c r="U184" s="288" t="s">
        <v>121</v>
      </c>
      <c r="V184" s="5"/>
    </row>
    <row r="185" spans="1:22" ht="15.6" x14ac:dyDescent="0.3">
      <c r="A185" s="284"/>
      <c r="B185" s="285" t="s">
        <v>68</v>
      </c>
      <c r="C185" s="285"/>
      <c r="D185" s="285"/>
      <c r="E185" s="285"/>
      <c r="F185" s="285"/>
      <c r="G185" s="285"/>
      <c r="H185" s="285"/>
      <c r="I185" s="285"/>
      <c r="J185" s="285"/>
      <c r="K185" s="285"/>
      <c r="L185" s="285"/>
      <c r="M185" s="285"/>
      <c r="N185" s="285"/>
      <c r="O185" s="285"/>
      <c r="P185" s="285"/>
      <c r="Q185" s="285"/>
      <c r="R185" s="285"/>
      <c r="S185" s="285"/>
      <c r="T185" s="349">
        <v>1.75</v>
      </c>
      <c r="U185" s="288" t="s">
        <v>121</v>
      </c>
      <c r="V185" s="5"/>
    </row>
    <row r="186" spans="1:22" ht="15.6" x14ac:dyDescent="0.3">
      <c r="A186" s="284"/>
      <c r="B186" s="285" t="s">
        <v>69</v>
      </c>
      <c r="C186" s="285"/>
      <c r="D186" s="285"/>
      <c r="E186" s="285"/>
      <c r="F186" s="285"/>
      <c r="G186" s="285"/>
      <c r="H186" s="285"/>
      <c r="I186" s="285"/>
      <c r="J186" s="285"/>
      <c r="K186" s="285"/>
      <c r="L186" s="285"/>
      <c r="M186" s="285"/>
      <c r="N186" s="285"/>
      <c r="O186" s="285"/>
      <c r="P186" s="285"/>
      <c r="Q186" s="285"/>
      <c r="R186" s="285"/>
      <c r="S186" s="285"/>
      <c r="T186" s="348">
        <f>(T100+T102+T103+T104+T105+T106+T107)/-(T108+T109)</f>
        <v>12.612903225806452</v>
      </c>
      <c r="U186" s="288" t="s">
        <v>121</v>
      </c>
      <c r="V186" s="5"/>
    </row>
    <row r="187" spans="1:22" ht="15.6" x14ac:dyDescent="0.3">
      <c r="A187" s="284"/>
      <c r="B187" s="285" t="s">
        <v>70</v>
      </c>
      <c r="C187" s="285"/>
      <c r="D187" s="285"/>
      <c r="E187" s="285"/>
      <c r="F187" s="285"/>
      <c r="G187" s="285"/>
      <c r="H187" s="285"/>
      <c r="I187" s="285"/>
      <c r="J187" s="285"/>
      <c r="K187" s="285"/>
      <c r="L187" s="285"/>
      <c r="M187" s="285"/>
      <c r="N187" s="285"/>
      <c r="O187" s="285"/>
      <c r="P187" s="285"/>
      <c r="Q187" s="285"/>
      <c r="R187" s="285"/>
      <c r="S187" s="285"/>
      <c r="T187" s="349">
        <v>6.26</v>
      </c>
      <c r="U187" s="288" t="s">
        <v>121</v>
      </c>
      <c r="V187" s="5"/>
    </row>
    <row r="188" spans="1:22" ht="15.6" x14ac:dyDescent="0.3">
      <c r="A188" s="284"/>
      <c r="B188" s="285" t="s">
        <v>206</v>
      </c>
      <c r="C188" s="285"/>
      <c r="D188" s="285"/>
      <c r="E188" s="285"/>
      <c r="F188" s="285"/>
      <c r="G188" s="285"/>
      <c r="H188" s="285"/>
      <c r="I188" s="285"/>
      <c r="J188" s="285"/>
      <c r="K188" s="285"/>
      <c r="L188" s="285"/>
      <c r="M188" s="285"/>
      <c r="N188" s="285"/>
      <c r="O188" s="285"/>
      <c r="P188" s="285"/>
      <c r="Q188" s="285"/>
      <c r="R188" s="285"/>
      <c r="S188" s="285"/>
      <c r="T188" s="348">
        <f>(T100+T102+T103+T104+T105+T106+T107+T108+T109)/-(T110)</f>
        <v>9.6</v>
      </c>
      <c r="U188" s="288" t="s">
        <v>121</v>
      </c>
      <c r="V188" s="5"/>
    </row>
    <row r="189" spans="1:22" ht="15.6" x14ac:dyDescent="0.3">
      <c r="A189" s="284"/>
      <c r="B189" s="285" t="s">
        <v>207</v>
      </c>
      <c r="C189" s="285"/>
      <c r="D189" s="285"/>
      <c r="E189" s="285"/>
      <c r="F189" s="285"/>
      <c r="G189" s="285"/>
      <c r="H189" s="285"/>
      <c r="I189" s="285"/>
      <c r="J189" s="285"/>
      <c r="K189" s="285"/>
      <c r="L189" s="285"/>
      <c r="M189" s="285"/>
      <c r="N189" s="285"/>
      <c r="O189" s="285"/>
      <c r="P189" s="285"/>
      <c r="Q189" s="285"/>
      <c r="R189" s="285"/>
      <c r="S189" s="285"/>
      <c r="T189" s="349">
        <v>5.68</v>
      </c>
      <c r="U189" s="288" t="s">
        <v>121</v>
      </c>
      <c r="V189" s="5"/>
    </row>
    <row r="190" spans="1:22" ht="15.6" x14ac:dyDescent="0.3">
      <c r="A190" s="284"/>
      <c r="B190" s="311"/>
      <c r="C190" s="311"/>
      <c r="D190" s="311"/>
      <c r="E190" s="311"/>
      <c r="F190" s="311"/>
      <c r="G190" s="311"/>
      <c r="H190" s="311"/>
      <c r="I190" s="311"/>
      <c r="J190" s="311"/>
      <c r="K190" s="311"/>
      <c r="L190" s="311"/>
      <c r="M190" s="311"/>
      <c r="N190" s="311"/>
      <c r="O190" s="311"/>
      <c r="P190" s="311"/>
      <c r="Q190" s="311"/>
      <c r="R190" s="311"/>
      <c r="S190" s="311"/>
      <c r="T190" s="311"/>
      <c r="U190" s="317"/>
      <c r="V190" s="5"/>
    </row>
    <row r="191" spans="1:22" ht="15.6" x14ac:dyDescent="0.3">
      <c r="A191" s="175"/>
      <c r="B191" s="334"/>
      <c r="C191" s="334"/>
      <c r="D191" s="334"/>
      <c r="E191" s="334"/>
      <c r="F191" s="334"/>
      <c r="G191" s="334"/>
      <c r="H191" s="334"/>
      <c r="I191" s="334"/>
      <c r="J191" s="334"/>
      <c r="K191" s="334"/>
      <c r="L191" s="334"/>
      <c r="M191" s="334"/>
      <c r="N191" s="334"/>
      <c r="O191" s="334"/>
      <c r="P191" s="334"/>
      <c r="Q191" s="334"/>
      <c r="R191" s="334"/>
      <c r="S191" s="334"/>
      <c r="T191" s="334"/>
      <c r="U191" s="334"/>
      <c r="V191" s="5"/>
    </row>
    <row r="192" spans="1:22" ht="15.6" x14ac:dyDescent="0.3">
      <c r="A192" s="175"/>
      <c r="B192" s="177"/>
      <c r="C192" s="177"/>
      <c r="D192" s="177"/>
      <c r="E192" s="177"/>
      <c r="F192" s="177"/>
      <c r="G192" s="177"/>
      <c r="H192" s="177"/>
      <c r="I192" s="177"/>
      <c r="J192" s="177"/>
      <c r="K192" s="177"/>
      <c r="L192" s="177"/>
      <c r="M192" s="177"/>
      <c r="N192" s="177"/>
      <c r="O192" s="177"/>
      <c r="P192" s="177"/>
      <c r="Q192" s="177"/>
      <c r="R192" s="177"/>
      <c r="S192" s="177"/>
      <c r="T192" s="177"/>
      <c r="U192" s="177"/>
      <c r="V192" s="5"/>
    </row>
    <row r="193" spans="1:22" ht="18" thickBot="1" x14ac:dyDescent="0.35">
      <c r="A193" s="192"/>
      <c r="B193" s="246" t="str">
        <f>B133</f>
        <v>PM11 INVESTOR REPORT QUARTER ENDING JUNE 2014</v>
      </c>
      <c r="C193" s="207"/>
      <c r="D193" s="207"/>
      <c r="E193" s="207"/>
      <c r="F193" s="207"/>
      <c r="G193" s="207"/>
      <c r="H193" s="207"/>
      <c r="I193" s="207"/>
      <c r="J193" s="207"/>
      <c r="K193" s="207"/>
      <c r="L193" s="207"/>
      <c r="M193" s="207"/>
      <c r="N193" s="207"/>
      <c r="O193" s="207"/>
      <c r="P193" s="207"/>
      <c r="Q193" s="207"/>
      <c r="R193" s="207"/>
      <c r="S193" s="207"/>
      <c r="T193" s="207"/>
      <c r="U193" s="208"/>
      <c r="V193" s="5"/>
    </row>
    <row r="194" spans="1:22" ht="15.6" x14ac:dyDescent="0.3">
      <c r="A194" s="260"/>
      <c r="B194" s="399" t="s">
        <v>71</v>
      </c>
      <c r="C194" s="400"/>
      <c r="D194" s="400"/>
      <c r="E194" s="400"/>
      <c r="F194" s="400"/>
      <c r="G194" s="401"/>
      <c r="H194" s="401"/>
      <c r="I194" s="401"/>
      <c r="J194" s="401"/>
      <c r="K194" s="401"/>
      <c r="L194" s="401"/>
      <c r="M194" s="401"/>
      <c r="N194" s="401"/>
      <c r="O194" s="401"/>
      <c r="P194" s="401"/>
      <c r="Q194" s="401"/>
      <c r="R194" s="401">
        <v>41820</v>
      </c>
      <c r="S194" s="261"/>
      <c r="T194" s="261"/>
      <c r="U194" s="261"/>
      <c r="V194" s="5"/>
    </row>
    <row r="195" spans="1:22" ht="15.6" x14ac:dyDescent="0.3">
      <c r="A195" s="209"/>
      <c r="B195" s="210"/>
      <c r="C195" s="211"/>
      <c r="D195" s="211"/>
      <c r="E195" s="211"/>
      <c r="F195" s="211"/>
      <c r="G195" s="212"/>
      <c r="H195" s="212"/>
      <c r="I195" s="212"/>
      <c r="J195" s="212"/>
      <c r="K195" s="212"/>
      <c r="L195" s="212"/>
      <c r="M195" s="212"/>
      <c r="N195" s="212"/>
      <c r="O195" s="212"/>
      <c r="P195" s="212"/>
      <c r="Q195" s="212"/>
      <c r="R195" s="212"/>
      <c r="S195" s="177"/>
      <c r="T195" s="177"/>
      <c r="U195" s="177"/>
      <c r="V195" s="5"/>
    </row>
    <row r="196" spans="1:22" ht="15.6" x14ac:dyDescent="0.3">
      <c r="A196" s="352"/>
      <c r="B196" s="285" t="s">
        <v>72</v>
      </c>
      <c r="C196" s="353"/>
      <c r="D196" s="353"/>
      <c r="E196" s="353"/>
      <c r="F196" s="353"/>
      <c r="G196" s="329"/>
      <c r="H196" s="329"/>
      <c r="I196" s="329"/>
      <c r="J196" s="329"/>
      <c r="K196" s="329"/>
      <c r="L196" s="329"/>
      <c r="M196" s="329"/>
      <c r="N196" s="329"/>
      <c r="O196" s="329"/>
      <c r="P196" s="329"/>
      <c r="Q196" s="329"/>
      <c r="R196" s="320">
        <v>5.1569999999999998E-2</v>
      </c>
      <c r="S196" s="285"/>
      <c r="T196" s="285"/>
      <c r="U196" s="317"/>
      <c r="V196" s="5"/>
    </row>
    <row r="197" spans="1:22" ht="15.6" x14ac:dyDescent="0.3">
      <c r="A197" s="352"/>
      <c r="B197" s="285" t="s">
        <v>157</v>
      </c>
      <c r="C197" s="353"/>
      <c r="D197" s="353"/>
      <c r="E197" s="353"/>
      <c r="F197" s="353"/>
      <c r="G197" s="329"/>
      <c r="H197" s="329"/>
      <c r="I197" s="329"/>
      <c r="J197" s="329"/>
      <c r="K197" s="329"/>
      <c r="L197" s="329"/>
      <c r="M197" s="329"/>
      <c r="N197" s="329"/>
      <c r="O197" s="329"/>
      <c r="P197" s="329"/>
      <c r="Q197" s="329"/>
      <c r="R197" s="320">
        <v>4.6899999999999997E-2</v>
      </c>
      <c r="S197" s="285"/>
      <c r="T197" s="285"/>
      <c r="U197" s="317"/>
      <c r="V197" s="5"/>
    </row>
    <row r="198" spans="1:22" ht="15.6" x14ac:dyDescent="0.3">
      <c r="A198" s="352"/>
      <c r="B198" s="285" t="s">
        <v>73</v>
      </c>
      <c r="C198" s="353"/>
      <c r="D198" s="353"/>
      <c r="E198" s="353"/>
      <c r="F198" s="353"/>
      <c r="G198" s="329"/>
      <c r="H198" s="329"/>
      <c r="I198" s="329"/>
      <c r="J198" s="329"/>
      <c r="K198" s="329"/>
      <c r="L198" s="329"/>
      <c r="M198" s="329"/>
      <c r="N198" s="329"/>
      <c r="O198" s="329"/>
      <c r="P198" s="329"/>
      <c r="Q198" s="329"/>
      <c r="R198" s="320">
        <f>R196-R197</f>
        <v>4.6700000000000005E-3</v>
      </c>
      <c r="S198" s="285"/>
      <c r="T198" s="285"/>
      <c r="U198" s="317"/>
      <c r="V198" s="5"/>
    </row>
    <row r="199" spans="1:22" ht="15.6" x14ac:dyDescent="0.3">
      <c r="A199" s="352"/>
      <c r="B199" s="285" t="s">
        <v>74</v>
      </c>
      <c r="C199" s="353"/>
      <c r="D199" s="353"/>
      <c r="E199" s="353"/>
      <c r="F199" s="353"/>
      <c r="G199" s="329"/>
      <c r="H199" s="329"/>
      <c r="I199" s="329"/>
      <c r="J199" s="329"/>
      <c r="K199" s="329"/>
      <c r="L199" s="329"/>
      <c r="M199" s="329"/>
      <c r="N199" s="329"/>
      <c r="O199" s="329"/>
      <c r="P199" s="329"/>
      <c r="Q199" s="329"/>
      <c r="R199" s="320">
        <v>2.2870000000000001E-2</v>
      </c>
      <c r="S199" s="285"/>
      <c r="T199" s="285"/>
      <c r="U199" s="317"/>
      <c r="V199" s="5"/>
    </row>
    <row r="200" spans="1:22" ht="15.6" x14ac:dyDescent="0.3">
      <c r="A200" s="352"/>
      <c r="B200" s="285" t="s">
        <v>257</v>
      </c>
      <c r="C200" s="353"/>
      <c r="D200" s="353"/>
      <c r="E200" s="353"/>
      <c r="F200" s="353"/>
      <c r="G200" s="329"/>
      <c r="H200" s="329"/>
      <c r="I200" s="329"/>
      <c r="J200" s="329"/>
      <c r="K200" s="329"/>
      <c r="L200" s="329"/>
      <c r="M200" s="329"/>
      <c r="N200" s="329"/>
      <c r="O200" s="329"/>
      <c r="P200" s="329"/>
      <c r="Q200" s="329"/>
      <c r="R200" s="320">
        <f>T43</f>
        <v>8.2794001436421582E-3</v>
      </c>
      <c r="S200" s="285"/>
      <c r="T200" s="285"/>
      <c r="U200" s="317"/>
      <c r="V200" s="5"/>
    </row>
    <row r="201" spans="1:22" ht="15.6" x14ac:dyDescent="0.3">
      <c r="A201" s="352"/>
      <c r="B201" s="285" t="s">
        <v>75</v>
      </c>
      <c r="C201" s="353"/>
      <c r="D201" s="353"/>
      <c r="E201" s="353"/>
      <c r="F201" s="353"/>
      <c r="G201" s="329"/>
      <c r="H201" s="329"/>
      <c r="I201" s="329"/>
      <c r="J201" s="329"/>
      <c r="K201" s="329"/>
      <c r="L201" s="329"/>
      <c r="M201" s="329"/>
      <c r="N201" s="329"/>
      <c r="O201" s="329"/>
      <c r="P201" s="329"/>
      <c r="Q201" s="329"/>
      <c r="R201" s="320">
        <f>R199-R200</f>
        <v>1.4590599856357843E-2</v>
      </c>
      <c r="S201" s="285"/>
      <c r="T201" s="285"/>
      <c r="U201" s="317"/>
      <c r="V201" s="5"/>
    </row>
    <row r="202" spans="1:22" ht="15.6" x14ac:dyDescent="0.3">
      <c r="A202" s="352"/>
      <c r="B202" s="285" t="s">
        <v>260</v>
      </c>
      <c r="C202" s="353"/>
      <c r="D202" s="353"/>
      <c r="E202" s="353"/>
      <c r="F202" s="353"/>
      <c r="G202" s="329"/>
      <c r="H202" s="329"/>
      <c r="I202" s="329"/>
      <c r="J202" s="329"/>
      <c r="K202" s="329"/>
      <c r="L202" s="329"/>
      <c r="M202" s="329"/>
      <c r="N202" s="329"/>
      <c r="O202" s="329"/>
      <c r="P202" s="329"/>
      <c r="Q202" s="329"/>
      <c r="R202" s="320">
        <f>+T100/L71</f>
        <v>6.3666920882411099E-3</v>
      </c>
      <c r="S202" s="285"/>
      <c r="T202" s="285"/>
      <c r="U202" s="317"/>
      <c r="V202" s="5"/>
    </row>
    <row r="203" spans="1:22" ht="15.6" x14ac:dyDescent="0.3">
      <c r="A203" s="352"/>
      <c r="B203" s="285" t="s">
        <v>217</v>
      </c>
      <c r="C203" s="353"/>
      <c r="D203" s="353"/>
      <c r="E203" s="353"/>
      <c r="F203" s="353"/>
      <c r="G203" s="329"/>
      <c r="H203" s="329"/>
      <c r="I203" s="329"/>
      <c r="J203" s="329"/>
      <c r="K203" s="329"/>
      <c r="L203" s="329"/>
      <c r="M203" s="329"/>
      <c r="N203" s="329"/>
      <c r="O203" s="329"/>
      <c r="P203" s="329"/>
      <c r="Q203" s="329"/>
      <c r="R203" s="354">
        <v>15250</v>
      </c>
      <c r="S203" s="285"/>
      <c r="T203" s="285"/>
      <c r="U203" s="317"/>
      <c r="V203" s="5"/>
    </row>
    <row r="204" spans="1:22" ht="15.6" x14ac:dyDescent="0.3">
      <c r="A204" s="352"/>
      <c r="B204" s="285" t="s">
        <v>218</v>
      </c>
      <c r="C204" s="353"/>
      <c r="D204" s="353"/>
      <c r="E204" s="353"/>
      <c r="F204" s="353"/>
      <c r="G204" s="329"/>
      <c r="H204" s="329"/>
      <c r="I204" s="329"/>
      <c r="J204" s="329"/>
      <c r="K204" s="329"/>
      <c r="L204" s="329"/>
      <c r="M204" s="329"/>
      <c r="N204" s="329"/>
      <c r="O204" s="329"/>
      <c r="P204" s="329"/>
      <c r="Q204" s="329"/>
      <c r="R204" s="354">
        <v>15250</v>
      </c>
      <c r="S204" s="285"/>
      <c r="T204" s="285"/>
      <c r="U204" s="317"/>
      <c r="V204" s="5"/>
    </row>
    <row r="205" spans="1:22" ht="15.6" x14ac:dyDescent="0.3">
      <c r="A205" s="352"/>
      <c r="B205" s="285" t="s">
        <v>219</v>
      </c>
      <c r="C205" s="353"/>
      <c r="D205" s="353"/>
      <c r="E205" s="353"/>
      <c r="F205" s="353"/>
      <c r="G205" s="329"/>
      <c r="H205" s="329"/>
      <c r="I205" s="329"/>
      <c r="J205" s="329"/>
      <c r="K205" s="329"/>
      <c r="L205" s="329"/>
      <c r="M205" s="329"/>
      <c r="N205" s="329"/>
      <c r="O205" s="329"/>
      <c r="P205" s="329"/>
      <c r="Q205" s="329"/>
      <c r="R205" s="354">
        <v>15250</v>
      </c>
      <c r="S205" s="285"/>
      <c r="T205" s="285"/>
      <c r="U205" s="317"/>
      <c r="V205" s="5"/>
    </row>
    <row r="206" spans="1:22" ht="15.6" x14ac:dyDescent="0.3">
      <c r="A206" s="352"/>
      <c r="B206" s="285" t="s">
        <v>76</v>
      </c>
      <c r="C206" s="353"/>
      <c r="D206" s="353"/>
      <c r="E206" s="353"/>
      <c r="F206" s="353"/>
      <c r="G206" s="329"/>
      <c r="H206" s="329"/>
      <c r="I206" s="329"/>
      <c r="J206" s="329"/>
      <c r="K206" s="329"/>
      <c r="L206" s="329"/>
      <c r="M206" s="329"/>
      <c r="N206" s="329"/>
      <c r="O206" s="329"/>
      <c r="P206" s="329"/>
      <c r="Q206" s="329"/>
      <c r="R206" s="326">
        <v>21.18</v>
      </c>
      <c r="S206" s="285" t="s">
        <v>116</v>
      </c>
      <c r="T206" s="285"/>
      <c r="U206" s="317"/>
      <c r="V206" s="5"/>
    </row>
    <row r="207" spans="1:22" ht="15.6" x14ac:dyDescent="0.3">
      <c r="A207" s="352"/>
      <c r="B207" s="285" t="s">
        <v>77</v>
      </c>
      <c r="C207" s="353"/>
      <c r="D207" s="353"/>
      <c r="E207" s="353"/>
      <c r="F207" s="353"/>
      <c r="G207" s="329"/>
      <c r="H207" s="329"/>
      <c r="I207" s="329"/>
      <c r="J207" s="329"/>
      <c r="K207" s="329"/>
      <c r="L207" s="329"/>
      <c r="M207" s="329"/>
      <c r="N207" s="329"/>
      <c r="O207" s="329"/>
      <c r="P207" s="329"/>
      <c r="Q207" s="329"/>
      <c r="R207" s="326">
        <v>13.18</v>
      </c>
      <c r="S207" s="285" t="s">
        <v>116</v>
      </c>
      <c r="T207" s="285"/>
      <c r="U207" s="317"/>
      <c r="V207" s="5"/>
    </row>
    <row r="208" spans="1:22" ht="15.6" x14ac:dyDescent="0.3">
      <c r="A208" s="352"/>
      <c r="B208" s="285" t="s">
        <v>78</v>
      </c>
      <c r="C208" s="353"/>
      <c r="D208" s="353"/>
      <c r="E208" s="353"/>
      <c r="F208" s="353"/>
      <c r="G208" s="329"/>
      <c r="H208" s="329"/>
      <c r="I208" s="329"/>
      <c r="J208" s="329"/>
      <c r="K208" s="329"/>
      <c r="L208" s="329"/>
      <c r="M208" s="329"/>
      <c r="N208" s="329"/>
      <c r="O208" s="329"/>
      <c r="P208" s="329"/>
      <c r="Q208" s="329"/>
      <c r="R208" s="320">
        <f>N68/L68</f>
        <v>1.0993418636838686E-2</v>
      </c>
      <c r="S208" s="285"/>
      <c r="T208" s="285"/>
      <c r="U208" s="317"/>
      <c r="V208" s="5"/>
    </row>
    <row r="209" spans="1:22" ht="15.6" x14ac:dyDescent="0.3">
      <c r="A209" s="352"/>
      <c r="B209" s="285" t="s">
        <v>79</v>
      </c>
      <c r="C209" s="353"/>
      <c r="D209" s="353"/>
      <c r="E209" s="353"/>
      <c r="F209" s="353"/>
      <c r="G209" s="329"/>
      <c r="H209" s="329"/>
      <c r="I209" s="329"/>
      <c r="J209" s="329"/>
      <c r="K209" s="329"/>
      <c r="L209" s="329"/>
      <c r="M209" s="329"/>
      <c r="N209" s="329"/>
      <c r="O209" s="329"/>
      <c r="P209" s="329"/>
      <c r="Q209" s="329"/>
      <c r="R209" s="320">
        <v>8.0500000000000002E-2</v>
      </c>
      <c r="S209" s="285"/>
      <c r="T209" s="285"/>
      <c r="U209" s="317"/>
      <c r="V209" s="5"/>
    </row>
    <row r="210" spans="1:22" ht="15.6" x14ac:dyDescent="0.3">
      <c r="A210" s="209"/>
      <c r="B210" s="350"/>
      <c r="C210" s="350"/>
      <c r="D210" s="350"/>
      <c r="E210" s="350"/>
      <c r="F210" s="350"/>
      <c r="G210" s="334"/>
      <c r="H210" s="334"/>
      <c r="I210" s="334"/>
      <c r="J210" s="334"/>
      <c r="K210" s="334"/>
      <c r="L210" s="334"/>
      <c r="M210" s="334"/>
      <c r="N210" s="334"/>
      <c r="O210" s="334"/>
      <c r="P210" s="334"/>
      <c r="Q210" s="334"/>
      <c r="R210" s="347"/>
      <c r="S210" s="334"/>
      <c r="T210" s="351"/>
      <c r="U210" s="334"/>
      <c r="V210" s="5"/>
    </row>
    <row r="211" spans="1:22" ht="15.6" x14ac:dyDescent="0.3">
      <c r="A211" s="266"/>
      <c r="B211" s="395" t="s">
        <v>80</v>
      </c>
      <c r="C211" s="396"/>
      <c r="D211" s="396"/>
      <c r="E211" s="396"/>
      <c r="F211" s="402"/>
      <c r="G211" s="396"/>
      <c r="H211" s="396"/>
      <c r="I211" s="396"/>
      <c r="J211" s="396"/>
      <c r="K211" s="396"/>
      <c r="L211" s="396"/>
      <c r="M211" s="396"/>
      <c r="N211" s="396"/>
      <c r="O211" s="396"/>
      <c r="P211" s="396"/>
      <c r="Q211" s="396" t="s">
        <v>105</v>
      </c>
      <c r="R211" s="402" t="s">
        <v>112</v>
      </c>
      <c r="S211" s="223"/>
      <c r="T211" s="223"/>
      <c r="U211" s="223"/>
      <c r="V211" s="5"/>
    </row>
    <row r="212" spans="1:22" ht="15.6" x14ac:dyDescent="0.3">
      <c r="A212" s="214"/>
      <c r="B212" s="239" t="s">
        <v>81</v>
      </c>
      <c r="C212" s="243"/>
      <c r="D212" s="243"/>
      <c r="E212" s="243"/>
      <c r="F212" s="239"/>
      <c r="G212" s="239"/>
      <c r="H212" s="242"/>
      <c r="I212" s="242"/>
      <c r="J212" s="242"/>
      <c r="K212" s="242"/>
      <c r="L212" s="242"/>
      <c r="M212" s="242"/>
      <c r="N212" s="242"/>
      <c r="O212" s="242"/>
      <c r="P212" s="242"/>
      <c r="Q212" s="242">
        <v>2</v>
      </c>
      <c r="R212" s="272">
        <v>461</v>
      </c>
      <c r="S212" s="239"/>
      <c r="T212" s="273"/>
      <c r="U212" s="215"/>
      <c r="V212" s="5"/>
    </row>
    <row r="213" spans="1:22" ht="15.6" x14ac:dyDescent="0.3">
      <c r="A213" s="360"/>
      <c r="B213" s="285" t="s">
        <v>151</v>
      </c>
      <c r="C213" s="338"/>
      <c r="D213" s="338"/>
      <c r="E213" s="338"/>
      <c r="F213" s="285"/>
      <c r="G213" s="285"/>
      <c r="H213" s="293"/>
      <c r="I213" s="293"/>
      <c r="J213" s="293"/>
      <c r="K213" s="293"/>
      <c r="L213" s="293"/>
      <c r="M213" s="293"/>
      <c r="N213" s="293"/>
      <c r="O213" s="293"/>
      <c r="P213" s="293"/>
      <c r="Q213" s="361">
        <f>+P265</f>
        <v>90</v>
      </c>
      <c r="R213" s="362">
        <f>+R265</f>
        <v>13808</v>
      </c>
      <c r="S213" s="285"/>
      <c r="T213" s="363"/>
      <c r="U213" s="364"/>
      <c r="V213" s="5"/>
    </row>
    <row r="214" spans="1:22" ht="15.6" x14ac:dyDescent="0.3">
      <c r="A214" s="360"/>
      <c r="B214" s="285" t="s">
        <v>82</v>
      </c>
      <c r="C214" s="338"/>
      <c r="D214" s="338"/>
      <c r="E214" s="338"/>
      <c r="F214" s="285"/>
      <c r="G214" s="285"/>
      <c r="H214" s="293"/>
      <c r="I214" s="293"/>
      <c r="J214" s="293"/>
      <c r="K214" s="293"/>
      <c r="L214" s="293"/>
      <c r="M214" s="293"/>
      <c r="N214" s="293"/>
      <c r="O214" s="293"/>
      <c r="P214" s="293"/>
      <c r="Q214" s="361">
        <f>+P277</f>
        <v>0</v>
      </c>
      <c r="R214" s="362">
        <f>+R277</f>
        <v>0</v>
      </c>
      <c r="S214" s="285"/>
      <c r="T214" s="363"/>
      <c r="U214" s="364"/>
      <c r="V214" s="5"/>
    </row>
    <row r="215" spans="1:22" ht="15.6" x14ac:dyDescent="0.3">
      <c r="A215" s="360"/>
      <c r="B215" s="310" t="s">
        <v>83</v>
      </c>
      <c r="C215" s="365"/>
      <c r="D215" s="365"/>
      <c r="E215" s="365"/>
      <c r="F215" s="311"/>
      <c r="G215" s="311"/>
      <c r="H215" s="311"/>
      <c r="I215" s="311"/>
      <c r="J215" s="311"/>
      <c r="K215" s="311"/>
      <c r="L215" s="311"/>
      <c r="M215" s="311"/>
      <c r="N215" s="311"/>
      <c r="O215" s="311"/>
      <c r="P215" s="311"/>
      <c r="Q215" s="285"/>
      <c r="R215" s="362">
        <v>0</v>
      </c>
      <c r="S215" s="311"/>
      <c r="T215" s="366"/>
      <c r="U215" s="364"/>
      <c r="V215" s="5"/>
    </row>
    <row r="216" spans="1:22" ht="15.6" x14ac:dyDescent="0.3">
      <c r="A216" s="360"/>
      <c r="B216" s="310" t="s">
        <v>84</v>
      </c>
      <c r="C216" s="365"/>
      <c r="D216" s="365"/>
      <c r="E216" s="365"/>
      <c r="F216" s="311"/>
      <c r="G216" s="311"/>
      <c r="H216" s="311"/>
      <c r="I216" s="311"/>
      <c r="J216" s="311"/>
      <c r="K216" s="311"/>
      <c r="L216" s="311"/>
      <c r="M216" s="311"/>
      <c r="N216" s="311"/>
      <c r="O216" s="311"/>
      <c r="P216" s="311"/>
      <c r="Q216" s="285"/>
      <c r="R216" s="367" t="s">
        <v>113</v>
      </c>
      <c r="S216" s="311"/>
      <c r="T216" s="366"/>
      <c r="U216" s="364"/>
      <c r="V216" s="5"/>
    </row>
    <row r="217" spans="1:22" ht="15.6" x14ac:dyDescent="0.3">
      <c r="A217" s="368"/>
      <c r="B217" s="310" t="s">
        <v>85</v>
      </c>
      <c r="C217" s="369"/>
      <c r="D217" s="369"/>
      <c r="E217" s="369"/>
      <c r="F217" s="369"/>
      <c r="G217" s="311"/>
      <c r="H217" s="311"/>
      <c r="I217" s="311"/>
      <c r="J217" s="311"/>
      <c r="K217" s="311"/>
      <c r="L217" s="311"/>
      <c r="M217" s="311"/>
      <c r="N217" s="311"/>
      <c r="O217" s="311"/>
      <c r="P217" s="311"/>
      <c r="Q217" s="285"/>
      <c r="R217" s="362"/>
      <c r="S217" s="311"/>
      <c r="T217" s="366"/>
      <c r="U217" s="370"/>
      <c r="V217" s="5"/>
    </row>
    <row r="218" spans="1:22" ht="15.6" x14ac:dyDescent="0.3">
      <c r="A218" s="368"/>
      <c r="B218" s="285" t="s">
        <v>86</v>
      </c>
      <c r="C218" s="285"/>
      <c r="D218" s="285"/>
      <c r="E218" s="285"/>
      <c r="F218" s="285"/>
      <c r="G218" s="285"/>
      <c r="H218" s="285"/>
      <c r="I218" s="285"/>
      <c r="J218" s="285"/>
      <c r="K218" s="285"/>
      <c r="L218" s="285"/>
      <c r="M218" s="285"/>
      <c r="N218" s="285"/>
      <c r="O218" s="285"/>
      <c r="P218" s="285"/>
      <c r="Q218" s="293"/>
      <c r="R218" s="362">
        <f>T162</f>
        <v>59</v>
      </c>
      <c r="S218" s="285"/>
      <c r="T218" s="363"/>
      <c r="U218" s="370"/>
      <c r="V218" s="5"/>
    </row>
    <row r="219" spans="1:22" ht="15.6" x14ac:dyDescent="0.3">
      <c r="A219" s="360"/>
      <c r="B219" s="285" t="s">
        <v>87</v>
      </c>
      <c r="C219" s="338"/>
      <c r="D219" s="338"/>
      <c r="E219" s="338"/>
      <c r="F219" s="338"/>
      <c r="G219" s="285"/>
      <c r="H219" s="285"/>
      <c r="I219" s="285"/>
      <c r="J219" s="285"/>
      <c r="K219" s="285"/>
      <c r="L219" s="285"/>
      <c r="M219" s="285"/>
      <c r="N219" s="285"/>
      <c r="O219" s="285"/>
      <c r="P219" s="285"/>
      <c r="Q219" s="293"/>
      <c r="R219" s="362">
        <f>'March 14'!R219+R218</f>
        <v>4853</v>
      </c>
      <c r="S219" s="285"/>
      <c r="T219" s="363"/>
      <c r="U219" s="370"/>
      <c r="V219" s="5"/>
    </row>
    <row r="220" spans="1:22" ht="15.6" x14ac:dyDescent="0.3">
      <c r="A220" s="368"/>
      <c r="B220" s="310" t="s">
        <v>282</v>
      </c>
      <c r="C220" s="369"/>
      <c r="D220" s="369"/>
      <c r="E220" s="369"/>
      <c r="F220" s="369"/>
      <c r="G220" s="311"/>
      <c r="H220" s="311"/>
      <c r="I220" s="311"/>
      <c r="J220" s="311"/>
      <c r="K220" s="311"/>
      <c r="L220" s="311"/>
      <c r="M220" s="311"/>
      <c r="N220" s="311"/>
      <c r="O220" s="311"/>
      <c r="P220" s="311"/>
      <c r="Q220" s="293"/>
      <c r="R220" s="362"/>
      <c r="S220" s="311"/>
      <c r="T220" s="366"/>
      <c r="U220" s="370"/>
      <c r="V220" s="5"/>
    </row>
    <row r="221" spans="1:22" ht="15.6" x14ac:dyDescent="0.3">
      <c r="A221" s="368"/>
      <c r="B221" s="285" t="s">
        <v>280</v>
      </c>
      <c r="C221" s="369"/>
      <c r="D221" s="369"/>
      <c r="E221" s="369"/>
      <c r="F221" s="369"/>
      <c r="G221" s="311"/>
      <c r="H221" s="311"/>
      <c r="I221" s="311"/>
      <c r="J221" s="311"/>
      <c r="K221" s="311"/>
      <c r="L221" s="311"/>
      <c r="M221" s="311"/>
      <c r="N221" s="311"/>
      <c r="O221" s="311"/>
      <c r="P221" s="311"/>
      <c r="Q221" s="293">
        <v>0</v>
      </c>
      <c r="R221" s="362">
        <v>0</v>
      </c>
      <c r="S221" s="311"/>
      <c r="T221" s="366"/>
      <c r="U221" s="370"/>
      <c r="V221" s="5"/>
    </row>
    <row r="222" spans="1:22" ht="15.6" x14ac:dyDescent="0.3">
      <c r="A222" s="360"/>
      <c r="B222" s="285" t="s">
        <v>89</v>
      </c>
      <c r="C222" s="373"/>
      <c r="D222" s="373"/>
      <c r="E222" s="373"/>
      <c r="F222" s="374"/>
      <c r="G222" s="311"/>
      <c r="H222" s="311"/>
      <c r="I222" s="311"/>
      <c r="J222" s="311"/>
      <c r="K222" s="311"/>
      <c r="L222" s="311"/>
      <c r="M222" s="311"/>
      <c r="N222" s="311"/>
      <c r="O222" s="311"/>
      <c r="P222" s="311"/>
      <c r="Q222" s="285"/>
      <c r="R222" s="367">
        <v>0</v>
      </c>
      <c r="S222" s="311"/>
      <c r="T222" s="366"/>
      <c r="U222" s="370"/>
      <c r="V222" s="5"/>
    </row>
    <row r="223" spans="1:22" ht="15.6" x14ac:dyDescent="0.3">
      <c r="A223" s="360"/>
      <c r="B223" s="285" t="s">
        <v>90</v>
      </c>
      <c r="C223" s="373"/>
      <c r="D223" s="373"/>
      <c r="E223" s="373"/>
      <c r="F223" s="374"/>
      <c r="G223" s="311"/>
      <c r="H223" s="311"/>
      <c r="I223" s="311"/>
      <c r="J223" s="311"/>
      <c r="K223" s="311"/>
      <c r="L223" s="311"/>
      <c r="M223" s="311"/>
      <c r="N223" s="311"/>
      <c r="O223" s="311"/>
      <c r="P223" s="311"/>
      <c r="Q223" s="285"/>
      <c r="R223" s="367">
        <v>0</v>
      </c>
      <c r="S223" s="311"/>
      <c r="T223" s="366"/>
      <c r="U223" s="370"/>
      <c r="V223" s="5"/>
    </row>
    <row r="224" spans="1:22" ht="15.6" x14ac:dyDescent="0.3">
      <c r="A224" s="360"/>
      <c r="B224" s="310" t="s">
        <v>226</v>
      </c>
      <c r="C224" s="373"/>
      <c r="D224" s="373"/>
      <c r="E224" s="373"/>
      <c r="F224" s="374"/>
      <c r="G224" s="311"/>
      <c r="H224" s="311"/>
      <c r="I224" s="311"/>
      <c r="J224" s="311"/>
      <c r="K224" s="311"/>
      <c r="L224" s="311"/>
      <c r="M224" s="311"/>
      <c r="N224" s="311"/>
      <c r="O224" s="311"/>
      <c r="P224" s="311"/>
      <c r="Q224" s="293"/>
      <c r="R224" s="375"/>
      <c r="S224" s="311"/>
      <c r="T224" s="366"/>
      <c r="U224" s="370"/>
      <c r="V224" s="5"/>
    </row>
    <row r="225" spans="1:23" ht="15.6" x14ac:dyDescent="0.3">
      <c r="A225" s="360"/>
      <c r="B225" s="285" t="s">
        <v>280</v>
      </c>
      <c r="C225" s="373"/>
      <c r="D225" s="373"/>
      <c r="E225" s="373"/>
      <c r="F225" s="374"/>
      <c r="G225" s="311"/>
      <c r="H225" s="311"/>
      <c r="I225" s="311"/>
      <c r="J225" s="311"/>
      <c r="K225" s="311"/>
      <c r="L225" s="311"/>
      <c r="M225" s="311"/>
      <c r="N225" s="311"/>
      <c r="O225" s="311"/>
      <c r="P225" s="311"/>
      <c r="Q225" s="293">
        <v>6</v>
      </c>
      <c r="R225" s="362">
        <v>707</v>
      </c>
      <c r="S225" s="311"/>
      <c r="T225" s="366"/>
      <c r="U225" s="370"/>
      <c r="V225" s="5"/>
    </row>
    <row r="226" spans="1:23" ht="15.6" x14ac:dyDescent="0.3">
      <c r="A226" s="360"/>
      <c r="B226" s="285" t="s">
        <v>227</v>
      </c>
      <c r="C226" s="373"/>
      <c r="D226" s="373"/>
      <c r="E226" s="373"/>
      <c r="F226" s="374"/>
      <c r="G226" s="311"/>
      <c r="H226" s="311"/>
      <c r="I226" s="311"/>
      <c r="J226" s="311"/>
      <c r="K226" s="311"/>
      <c r="L226" s="311"/>
      <c r="M226" s="311"/>
      <c r="N226" s="311"/>
      <c r="O226" s="311"/>
      <c r="P226" s="311"/>
      <c r="Q226" s="293"/>
      <c r="R226" s="367">
        <v>0.74</v>
      </c>
      <c r="S226" s="311"/>
      <c r="T226" s="366"/>
      <c r="U226" s="370"/>
      <c r="V226" s="5"/>
    </row>
    <row r="227" spans="1:23" ht="15.6" x14ac:dyDescent="0.3">
      <c r="A227" s="360"/>
      <c r="B227" s="369"/>
      <c r="C227" s="373"/>
      <c r="D227" s="373"/>
      <c r="E227" s="373"/>
      <c r="F227" s="374"/>
      <c r="G227" s="311"/>
      <c r="H227" s="311"/>
      <c r="I227" s="311"/>
      <c r="J227" s="311"/>
      <c r="K227" s="311"/>
      <c r="L227" s="311"/>
      <c r="M227" s="311"/>
      <c r="N227" s="311"/>
      <c r="O227" s="311"/>
      <c r="P227" s="311"/>
      <c r="Q227" s="311"/>
      <c r="R227" s="376"/>
      <c r="S227" s="311"/>
      <c r="T227" s="366"/>
      <c r="U227" s="370"/>
      <c r="V227" s="5"/>
    </row>
    <row r="228" spans="1:23" ht="15.6" x14ac:dyDescent="0.3">
      <c r="A228" s="360"/>
      <c r="B228" s="369"/>
      <c r="C228" s="373"/>
      <c r="D228" s="373"/>
      <c r="E228" s="373"/>
      <c r="F228" s="374"/>
      <c r="G228" s="311"/>
      <c r="H228" s="311"/>
      <c r="I228" s="311"/>
      <c r="J228" s="311"/>
      <c r="K228" s="311"/>
      <c r="L228" s="311"/>
      <c r="M228" s="311"/>
      <c r="N228" s="311"/>
      <c r="O228" s="311"/>
      <c r="P228" s="311"/>
      <c r="Q228" s="311"/>
      <c r="R228" s="376"/>
      <c r="S228" s="311"/>
      <c r="T228" s="366"/>
      <c r="U228" s="370"/>
      <c r="V228" s="5"/>
    </row>
    <row r="229" spans="1:23" ht="17.399999999999999" x14ac:dyDescent="0.3">
      <c r="A229" s="360"/>
      <c r="B229" s="377" t="s">
        <v>175</v>
      </c>
      <c r="C229" s="373"/>
      <c r="D229" s="373"/>
      <c r="E229" s="373"/>
      <c r="F229" s="374"/>
      <c r="G229" s="311"/>
      <c r="H229" s="311"/>
      <c r="I229" s="311"/>
      <c r="J229" s="311"/>
      <c r="K229" s="311"/>
      <c r="L229" s="311"/>
      <c r="M229" s="311"/>
      <c r="N229" s="378" t="s">
        <v>174</v>
      </c>
      <c r="O229" s="311"/>
      <c r="P229" s="311"/>
      <c r="Q229" s="311"/>
      <c r="R229" s="376"/>
      <c r="S229" s="311"/>
      <c r="T229" s="366"/>
      <c r="U229" s="370"/>
      <c r="V229" s="5"/>
    </row>
    <row r="230" spans="1:23" ht="15.6" x14ac:dyDescent="0.3">
      <c r="A230" s="355"/>
      <c r="B230" s="350"/>
      <c r="C230" s="356"/>
      <c r="D230" s="356"/>
      <c r="E230" s="356"/>
      <c r="F230" s="357"/>
      <c r="G230" s="334"/>
      <c r="H230" s="334"/>
      <c r="I230" s="334"/>
      <c r="J230" s="334"/>
      <c r="K230" s="334"/>
      <c r="L230" s="334"/>
      <c r="M230" s="334"/>
      <c r="N230" s="334"/>
      <c r="O230" s="334"/>
      <c r="P230" s="334"/>
      <c r="Q230" s="334"/>
      <c r="R230" s="358"/>
      <c r="S230" s="334"/>
      <c r="T230" s="351"/>
      <c r="U230" s="359"/>
      <c r="V230" s="5"/>
    </row>
    <row r="231" spans="1:23" ht="15.6" x14ac:dyDescent="0.3">
      <c r="A231" s="222"/>
      <c r="B231" s="395" t="s">
        <v>295</v>
      </c>
      <c r="C231" s="396"/>
      <c r="D231" s="396"/>
      <c r="E231" s="396"/>
      <c r="F231" s="402"/>
      <c r="G231" s="396"/>
      <c r="H231" s="396"/>
      <c r="I231" s="396"/>
      <c r="J231" s="396"/>
      <c r="K231" s="396"/>
      <c r="L231" s="396"/>
      <c r="M231" s="396"/>
      <c r="N231" s="396"/>
      <c r="O231" s="396"/>
      <c r="P231" s="402" t="s">
        <v>105</v>
      </c>
      <c r="Q231" s="396" t="s">
        <v>106</v>
      </c>
      <c r="R231" s="402" t="s">
        <v>114</v>
      </c>
      <c r="S231" s="396" t="s">
        <v>106</v>
      </c>
      <c r="T231" s="223"/>
      <c r="U231" s="395"/>
      <c r="V231" s="5"/>
    </row>
    <row r="232" spans="1:23" ht="15.6" x14ac:dyDescent="0.3">
      <c r="A232" s="190"/>
      <c r="B232" s="243" t="s">
        <v>91</v>
      </c>
      <c r="C232" s="217"/>
      <c r="D232" s="217"/>
      <c r="E232" s="217"/>
      <c r="F232" s="191"/>
      <c r="G232" s="217"/>
      <c r="H232" s="217"/>
      <c r="I232" s="217"/>
      <c r="J232" s="217"/>
      <c r="K232" s="217"/>
      <c r="L232" s="217"/>
      <c r="M232" s="217"/>
      <c r="N232" s="217"/>
      <c r="O232" s="217"/>
      <c r="P232" s="338">
        <f t="shared" ref="P232:P239" si="1">+P244+P256+P268</f>
        <v>4012</v>
      </c>
      <c r="Q232" s="384">
        <f t="shared" ref="Q232:Q239" si="2">P232/$P$241</f>
        <v>0.99701789264413521</v>
      </c>
      <c r="R232" s="339">
        <f t="shared" ref="R232:R239" si="3">+R244+R256+R268</f>
        <v>523440</v>
      </c>
      <c r="S232" s="384">
        <f t="shared" ref="S232:S239" si="4">R232/$R$241</f>
        <v>0.99626192415741033</v>
      </c>
      <c r="T232" s="213"/>
      <c r="U232" s="216"/>
      <c r="V232" s="5"/>
    </row>
    <row r="233" spans="1:23" ht="15.6" x14ac:dyDescent="0.3">
      <c r="A233" s="284"/>
      <c r="B233" s="338" t="s">
        <v>92</v>
      </c>
      <c r="C233" s="382"/>
      <c r="D233" s="382"/>
      <c r="E233" s="382"/>
      <c r="F233" s="311"/>
      <c r="G233" s="383"/>
      <c r="H233" s="382"/>
      <c r="I233" s="382"/>
      <c r="J233" s="382"/>
      <c r="K233" s="382"/>
      <c r="L233" s="382"/>
      <c r="M233" s="382"/>
      <c r="N233" s="382"/>
      <c r="O233" s="382"/>
      <c r="P233" s="338">
        <f t="shared" si="1"/>
        <v>4</v>
      </c>
      <c r="Q233" s="384">
        <f t="shared" si="2"/>
        <v>9.9403578528827028E-4</v>
      </c>
      <c r="R233" s="339">
        <f t="shared" si="3"/>
        <v>485</v>
      </c>
      <c r="S233" s="384">
        <f t="shared" si="4"/>
        <v>9.2309917701425951E-4</v>
      </c>
      <c r="T233" s="366"/>
      <c r="U233" s="370"/>
      <c r="V233" s="5"/>
      <c r="W233" s="109"/>
    </row>
    <row r="234" spans="1:23" ht="15.6" x14ac:dyDescent="0.3">
      <c r="A234" s="284"/>
      <c r="B234" s="338" t="s">
        <v>93</v>
      </c>
      <c r="C234" s="382"/>
      <c r="D234" s="382"/>
      <c r="E234" s="382"/>
      <c r="F234" s="311"/>
      <c r="G234" s="383"/>
      <c r="H234" s="382"/>
      <c r="I234" s="382"/>
      <c r="J234" s="382"/>
      <c r="K234" s="382"/>
      <c r="L234" s="382"/>
      <c r="M234" s="382"/>
      <c r="N234" s="382"/>
      <c r="O234" s="382"/>
      <c r="P234" s="338">
        <f t="shared" si="1"/>
        <v>1</v>
      </c>
      <c r="Q234" s="384">
        <f t="shared" si="2"/>
        <v>2.4850894632206757E-4</v>
      </c>
      <c r="R234" s="339">
        <f t="shared" si="3"/>
        <v>300</v>
      </c>
      <c r="S234" s="384">
        <f t="shared" si="4"/>
        <v>5.7098918165830487E-4</v>
      </c>
      <c r="T234" s="366"/>
      <c r="U234" s="370"/>
      <c r="V234" s="5"/>
    </row>
    <row r="235" spans="1:23" ht="15.6" x14ac:dyDescent="0.3">
      <c r="A235" s="284"/>
      <c r="B235" s="338" t="s">
        <v>163</v>
      </c>
      <c r="C235" s="382"/>
      <c r="D235" s="382"/>
      <c r="E235" s="382"/>
      <c r="F235" s="311"/>
      <c r="G235" s="383"/>
      <c r="H235" s="382"/>
      <c r="I235" s="382"/>
      <c r="J235" s="382"/>
      <c r="K235" s="382"/>
      <c r="L235" s="382"/>
      <c r="M235" s="382"/>
      <c r="N235" s="382"/>
      <c r="O235" s="382"/>
      <c r="P235" s="338">
        <f t="shared" si="1"/>
        <v>0</v>
      </c>
      <c r="Q235" s="384">
        <f t="shared" si="2"/>
        <v>0</v>
      </c>
      <c r="R235" s="339">
        <f t="shared" si="3"/>
        <v>0</v>
      </c>
      <c r="S235" s="384">
        <f t="shared" si="4"/>
        <v>0</v>
      </c>
      <c r="T235" s="366"/>
      <c r="U235" s="370"/>
      <c r="V235" s="5"/>
      <c r="W235" s="109"/>
    </row>
    <row r="236" spans="1:23" ht="15.6" x14ac:dyDescent="0.3">
      <c r="A236" s="284"/>
      <c r="B236" s="338" t="s">
        <v>164</v>
      </c>
      <c r="C236" s="382"/>
      <c r="D236" s="382"/>
      <c r="E236" s="382"/>
      <c r="F236" s="311"/>
      <c r="G236" s="383"/>
      <c r="H236" s="382"/>
      <c r="I236" s="382"/>
      <c r="J236" s="382"/>
      <c r="K236" s="382"/>
      <c r="L236" s="382"/>
      <c r="M236" s="382"/>
      <c r="N236" s="382"/>
      <c r="O236" s="382"/>
      <c r="P236" s="338">
        <f t="shared" si="1"/>
        <v>0</v>
      </c>
      <c r="Q236" s="384">
        <f t="shared" si="2"/>
        <v>0</v>
      </c>
      <c r="R236" s="339">
        <f t="shared" si="3"/>
        <v>0</v>
      </c>
      <c r="S236" s="384">
        <f t="shared" si="4"/>
        <v>0</v>
      </c>
      <c r="T236" s="366"/>
      <c r="U236" s="370"/>
      <c r="V236" s="5"/>
    </row>
    <row r="237" spans="1:23" ht="15.6" x14ac:dyDescent="0.3">
      <c r="A237" s="284"/>
      <c r="B237" s="338" t="s">
        <v>165</v>
      </c>
      <c r="C237" s="382"/>
      <c r="D237" s="382"/>
      <c r="E237" s="382"/>
      <c r="F237" s="311"/>
      <c r="G237" s="383"/>
      <c r="H237" s="382"/>
      <c r="I237" s="382"/>
      <c r="J237" s="382"/>
      <c r="K237" s="382"/>
      <c r="L237" s="382"/>
      <c r="M237" s="382"/>
      <c r="N237" s="382"/>
      <c r="O237" s="382"/>
      <c r="P237" s="338">
        <f t="shared" si="1"/>
        <v>0</v>
      </c>
      <c r="Q237" s="384">
        <f t="shared" si="2"/>
        <v>0</v>
      </c>
      <c r="R237" s="339">
        <f t="shared" si="3"/>
        <v>0</v>
      </c>
      <c r="S237" s="384">
        <f t="shared" si="4"/>
        <v>0</v>
      </c>
      <c r="T237" s="366"/>
      <c r="U237" s="370"/>
      <c r="V237" s="5"/>
      <c r="W237" s="109"/>
    </row>
    <row r="238" spans="1:23" ht="15.6" x14ac:dyDescent="0.3">
      <c r="A238" s="284"/>
      <c r="B238" s="338" t="s">
        <v>166</v>
      </c>
      <c r="C238" s="382"/>
      <c r="D238" s="382"/>
      <c r="E238" s="382"/>
      <c r="F238" s="311"/>
      <c r="G238" s="383"/>
      <c r="H238" s="382"/>
      <c r="I238" s="382"/>
      <c r="J238" s="382"/>
      <c r="K238" s="382"/>
      <c r="L238" s="382"/>
      <c r="M238" s="382"/>
      <c r="N238" s="382"/>
      <c r="O238" s="382"/>
      <c r="P238" s="338">
        <f t="shared" si="1"/>
        <v>2</v>
      </c>
      <c r="Q238" s="384">
        <f t="shared" si="2"/>
        <v>4.9701789264413514E-4</v>
      </c>
      <c r="R238" s="339">
        <f t="shared" si="3"/>
        <v>392</v>
      </c>
      <c r="S238" s="384">
        <f t="shared" si="4"/>
        <v>7.4609253070018504E-4</v>
      </c>
      <c r="T238" s="366"/>
      <c r="U238" s="370"/>
      <c r="V238" s="5"/>
    </row>
    <row r="239" spans="1:23" ht="15.6" x14ac:dyDescent="0.3">
      <c r="A239" s="284"/>
      <c r="B239" s="338" t="s">
        <v>167</v>
      </c>
      <c r="C239" s="382"/>
      <c r="D239" s="382"/>
      <c r="E239" s="382"/>
      <c r="F239" s="311"/>
      <c r="G239" s="383"/>
      <c r="H239" s="382"/>
      <c r="I239" s="382"/>
      <c r="J239" s="382"/>
      <c r="K239" s="382"/>
      <c r="L239" s="382"/>
      <c r="M239" s="382"/>
      <c r="N239" s="382"/>
      <c r="O239" s="382"/>
      <c r="P239" s="338">
        <f t="shared" si="1"/>
        <v>5</v>
      </c>
      <c r="Q239" s="384">
        <f t="shared" si="2"/>
        <v>1.242544731610338E-3</v>
      </c>
      <c r="R239" s="339">
        <f t="shared" si="3"/>
        <v>787</v>
      </c>
      <c r="S239" s="384">
        <f t="shared" si="4"/>
        <v>1.4978949532169531E-3</v>
      </c>
      <c r="T239" s="366"/>
      <c r="U239" s="370"/>
      <c r="V239" s="5"/>
      <c r="W239" s="109"/>
    </row>
    <row r="240" spans="1:23" ht="15.6" x14ac:dyDescent="0.3">
      <c r="A240" s="284"/>
      <c r="B240" s="338"/>
      <c r="C240" s="382"/>
      <c r="D240" s="382"/>
      <c r="E240" s="382"/>
      <c r="F240" s="311"/>
      <c r="G240" s="383"/>
      <c r="H240" s="382"/>
      <c r="I240" s="382"/>
      <c r="J240" s="382"/>
      <c r="K240" s="382"/>
      <c r="L240" s="382"/>
      <c r="M240" s="382"/>
      <c r="N240" s="382"/>
      <c r="O240" s="382"/>
      <c r="P240" s="338"/>
      <c r="Q240" s="384"/>
      <c r="R240" s="339"/>
      <c r="S240" s="384"/>
      <c r="T240" s="366"/>
      <c r="U240" s="370"/>
      <c r="V240" s="5"/>
    </row>
    <row r="241" spans="1:23" ht="15.6" x14ac:dyDescent="0.3">
      <c r="A241" s="284"/>
      <c r="B241" s="285" t="s">
        <v>120</v>
      </c>
      <c r="C241" s="311"/>
      <c r="D241" s="311"/>
      <c r="E241" s="311"/>
      <c r="F241" s="311"/>
      <c r="G241" s="311"/>
      <c r="H241" s="385"/>
      <c r="I241" s="385"/>
      <c r="J241" s="385"/>
      <c r="K241" s="385"/>
      <c r="L241" s="385"/>
      <c r="M241" s="385"/>
      <c r="N241" s="385"/>
      <c r="O241" s="385"/>
      <c r="P241" s="338">
        <f>SUM(P232:P240)</f>
        <v>4024</v>
      </c>
      <c r="Q241" s="384">
        <f>SUM(Q232:Q240)</f>
        <v>1</v>
      </c>
      <c r="R241" s="339">
        <f>SUM(R232:R240)</f>
        <v>525404</v>
      </c>
      <c r="S241" s="384">
        <f>SUM(S232:S240)</f>
        <v>1.0000000000000002</v>
      </c>
      <c r="T241" s="311"/>
      <c r="U241" s="317"/>
      <c r="V241" s="5"/>
    </row>
    <row r="242" spans="1:23" ht="15.6" x14ac:dyDescent="0.3">
      <c r="A242" s="355"/>
      <c r="B242" s="350"/>
      <c r="C242" s="356"/>
      <c r="D242" s="356"/>
      <c r="E242" s="356"/>
      <c r="F242" s="357"/>
      <c r="G242" s="334"/>
      <c r="H242" s="334"/>
      <c r="I242" s="334"/>
      <c r="J242" s="334"/>
      <c r="K242" s="334"/>
      <c r="L242" s="334"/>
      <c r="M242" s="334"/>
      <c r="N242" s="334"/>
      <c r="O242" s="334"/>
      <c r="P242" s="334"/>
      <c r="Q242" s="334"/>
      <c r="R242" s="358"/>
      <c r="S242" s="334"/>
      <c r="T242" s="351"/>
      <c r="U242" s="359"/>
      <c r="V242" s="5"/>
    </row>
    <row r="243" spans="1:23" ht="15.6" x14ac:dyDescent="0.3">
      <c r="A243" s="222"/>
      <c r="B243" s="395" t="s">
        <v>169</v>
      </c>
      <c r="C243" s="396"/>
      <c r="D243" s="396"/>
      <c r="E243" s="396"/>
      <c r="F243" s="402"/>
      <c r="G243" s="396"/>
      <c r="H243" s="396"/>
      <c r="I243" s="396"/>
      <c r="J243" s="396"/>
      <c r="K243" s="396"/>
      <c r="L243" s="396"/>
      <c r="M243" s="396"/>
      <c r="N243" s="396"/>
      <c r="O243" s="396"/>
      <c r="P243" s="402" t="s">
        <v>105</v>
      </c>
      <c r="Q243" s="396" t="s">
        <v>106</v>
      </c>
      <c r="R243" s="402" t="s">
        <v>114</v>
      </c>
      <c r="S243" s="396" t="s">
        <v>106</v>
      </c>
      <c r="T243" s="223"/>
      <c r="U243" s="395"/>
      <c r="V243" s="5"/>
    </row>
    <row r="244" spans="1:23" ht="15.6" x14ac:dyDescent="0.3">
      <c r="A244" s="190"/>
      <c r="B244" s="243" t="s">
        <v>91</v>
      </c>
      <c r="C244" s="217"/>
      <c r="D244" s="217"/>
      <c r="E244" s="217"/>
      <c r="F244" s="191"/>
      <c r="G244" s="217"/>
      <c r="H244" s="217"/>
      <c r="I244" s="217"/>
      <c r="J244" s="217"/>
      <c r="K244" s="217"/>
      <c r="L244" s="217"/>
      <c r="M244" s="217"/>
      <c r="N244" s="217"/>
      <c r="O244" s="217"/>
      <c r="P244" s="243">
        <v>3931</v>
      </c>
      <c r="Q244" s="274">
        <f t="shared" ref="Q244:Q251" si="5">P244/$P$253</f>
        <v>0.99923741738688354</v>
      </c>
      <c r="R244" s="251">
        <v>511033</v>
      </c>
      <c r="S244" s="274">
        <f t="shared" ref="S244:S251" si="6">R244/$R$253</f>
        <v>0.99889952227929846</v>
      </c>
      <c r="T244" s="213"/>
      <c r="U244" s="216"/>
      <c r="V244" s="5"/>
    </row>
    <row r="245" spans="1:23" ht="15.6" x14ac:dyDescent="0.3">
      <c r="A245" s="284"/>
      <c r="B245" s="338" t="s">
        <v>92</v>
      </c>
      <c r="C245" s="382"/>
      <c r="D245" s="382"/>
      <c r="E245" s="382"/>
      <c r="F245" s="311"/>
      <c r="G245" s="383"/>
      <c r="H245" s="382"/>
      <c r="I245" s="382"/>
      <c r="J245" s="382"/>
      <c r="K245" s="382"/>
      <c r="L245" s="382"/>
      <c r="M245" s="382"/>
      <c r="N245" s="382"/>
      <c r="O245" s="382"/>
      <c r="P245" s="338">
        <v>2</v>
      </c>
      <c r="Q245" s="384">
        <f t="shared" si="5"/>
        <v>5.0838840874428064E-4</v>
      </c>
      <c r="R245" s="339">
        <v>264</v>
      </c>
      <c r="S245" s="384">
        <f t="shared" si="6"/>
        <v>5.1603218164332791E-4</v>
      </c>
      <c r="T245" s="366"/>
      <c r="U245" s="370"/>
      <c r="V245" s="5"/>
      <c r="W245" s="109"/>
    </row>
    <row r="246" spans="1:23" ht="15.6" x14ac:dyDescent="0.3">
      <c r="A246" s="284"/>
      <c r="B246" s="338" t="s">
        <v>93</v>
      </c>
      <c r="C246" s="382"/>
      <c r="D246" s="382"/>
      <c r="E246" s="382"/>
      <c r="F246" s="311"/>
      <c r="G246" s="383"/>
      <c r="H246" s="382"/>
      <c r="I246" s="382"/>
      <c r="J246" s="382"/>
      <c r="K246" s="382"/>
      <c r="L246" s="382"/>
      <c r="M246" s="382"/>
      <c r="N246" s="382"/>
      <c r="O246" s="382"/>
      <c r="P246" s="338">
        <v>0</v>
      </c>
      <c r="Q246" s="384">
        <f t="shared" si="5"/>
        <v>0</v>
      </c>
      <c r="R246" s="339">
        <v>0</v>
      </c>
      <c r="S246" s="384">
        <f t="shared" si="6"/>
        <v>0</v>
      </c>
      <c r="T246" s="366"/>
      <c r="U246" s="370"/>
      <c r="V246" s="5"/>
    </row>
    <row r="247" spans="1:23" ht="15.6" x14ac:dyDescent="0.3">
      <c r="A247" s="284"/>
      <c r="B247" s="338" t="s">
        <v>163</v>
      </c>
      <c r="C247" s="382"/>
      <c r="D247" s="382"/>
      <c r="E247" s="382"/>
      <c r="F247" s="311"/>
      <c r="G247" s="383"/>
      <c r="H247" s="382"/>
      <c r="I247" s="382"/>
      <c r="J247" s="382"/>
      <c r="K247" s="382"/>
      <c r="L247" s="382"/>
      <c r="M247" s="382"/>
      <c r="N247" s="382"/>
      <c r="O247" s="382"/>
      <c r="P247" s="338">
        <v>0</v>
      </c>
      <c r="Q247" s="384">
        <f t="shared" si="5"/>
        <v>0</v>
      </c>
      <c r="R247" s="339">
        <v>0</v>
      </c>
      <c r="S247" s="384">
        <f t="shared" si="6"/>
        <v>0</v>
      </c>
      <c r="T247" s="366"/>
      <c r="U247" s="370"/>
      <c r="V247" s="5"/>
      <c r="W247" s="109"/>
    </row>
    <row r="248" spans="1:23" ht="15.6" x14ac:dyDescent="0.3">
      <c r="A248" s="284"/>
      <c r="B248" s="338" t="s">
        <v>164</v>
      </c>
      <c r="C248" s="382"/>
      <c r="D248" s="382"/>
      <c r="E248" s="382"/>
      <c r="F248" s="311"/>
      <c r="G248" s="383"/>
      <c r="H248" s="382"/>
      <c r="I248" s="382"/>
      <c r="J248" s="382"/>
      <c r="K248" s="382"/>
      <c r="L248" s="382"/>
      <c r="M248" s="382"/>
      <c r="N248" s="382"/>
      <c r="O248" s="382"/>
      <c r="P248" s="338">
        <v>0</v>
      </c>
      <c r="Q248" s="384">
        <f t="shared" si="5"/>
        <v>0</v>
      </c>
      <c r="R248" s="339">
        <v>0</v>
      </c>
      <c r="S248" s="384">
        <f t="shared" si="6"/>
        <v>0</v>
      </c>
      <c r="T248" s="366"/>
      <c r="U248" s="370"/>
      <c r="V248" s="5"/>
    </row>
    <row r="249" spans="1:23" ht="15.6" x14ac:dyDescent="0.3">
      <c r="A249" s="284"/>
      <c r="B249" s="338" t="s">
        <v>165</v>
      </c>
      <c r="C249" s="382"/>
      <c r="D249" s="382"/>
      <c r="E249" s="382"/>
      <c r="F249" s="311"/>
      <c r="G249" s="383"/>
      <c r="H249" s="382"/>
      <c r="I249" s="382"/>
      <c r="J249" s="382"/>
      <c r="K249" s="382"/>
      <c r="L249" s="382"/>
      <c r="M249" s="382"/>
      <c r="N249" s="382"/>
      <c r="O249" s="382"/>
      <c r="P249" s="338">
        <v>0</v>
      </c>
      <c r="Q249" s="384">
        <f t="shared" si="5"/>
        <v>0</v>
      </c>
      <c r="R249" s="339">
        <v>0</v>
      </c>
      <c r="S249" s="384">
        <f t="shared" si="6"/>
        <v>0</v>
      </c>
      <c r="T249" s="366"/>
      <c r="U249" s="370"/>
      <c r="V249" s="5"/>
      <c r="W249" s="109"/>
    </row>
    <row r="250" spans="1:23" ht="15.6" x14ac:dyDescent="0.3">
      <c r="A250" s="284"/>
      <c r="B250" s="338" t="s">
        <v>166</v>
      </c>
      <c r="C250" s="382"/>
      <c r="D250" s="382"/>
      <c r="E250" s="382"/>
      <c r="F250" s="311"/>
      <c r="G250" s="383"/>
      <c r="H250" s="382"/>
      <c r="I250" s="382"/>
      <c r="J250" s="382"/>
      <c r="K250" s="382"/>
      <c r="L250" s="382"/>
      <c r="M250" s="382"/>
      <c r="N250" s="382"/>
      <c r="O250" s="382"/>
      <c r="P250" s="338">
        <v>1</v>
      </c>
      <c r="Q250" s="384">
        <f t="shared" si="5"/>
        <v>2.5419420437214032E-4</v>
      </c>
      <c r="R250" s="339">
        <v>299</v>
      </c>
      <c r="S250" s="384">
        <f t="shared" si="6"/>
        <v>5.8444553905816308E-4</v>
      </c>
      <c r="T250" s="366"/>
      <c r="U250" s="370"/>
      <c r="V250" s="5"/>
    </row>
    <row r="251" spans="1:23" ht="15.6" x14ac:dyDescent="0.3">
      <c r="A251" s="284"/>
      <c r="B251" s="338" t="s">
        <v>167</v>
      </c>
      <c r="C251" s="382"/>
      <c r="D251" s="382"/>
      <c r="E251" s="382"/>
      <c r="F251" s="311"/>
      <c r="G251" s="383"/>
      <c r="H251" s="382"/>
      <c r="I251" s="382"/>
      <c r="J251" s="382"/>
      <c r="K251" s="382"/>
      <c r="L251" s="382"/>
      <c r="M251" s="382"/>
      <c r="N251" s="382"/>
      <c r="O251" s="382"/>
      <c r="P251" s="338">
        <v>0</v>
      </c>
      <c r="Q251" s="384">
        <f t="shared" si="5"/>
        <v>0</v>
      </c>
      <c r="R251" s="339">
        <v>0</v>
      </c>
      <c r="S251" s="384">
        <f t="shared" si="6"/>
        <v>0</v>
      </c>
      <c r="T251" s="366"/>
      <c r="U251" s="370"/>
      <c r="V251" s="5"/>
      <c r="W251" s="109"/>
    </row>
    <row r="252" spans="1:23" ht="15.6" x14ac:dyDescent="0.3">
      <c r="A252" s="284"/>
      <c r="B252" s="338"/>
      <c r="C252" s="382"/>
      <c r="D252" s="382"/>
      <c r="E252" s="382"/>
      <c r="F252" s="311"/>
      <c r="G252" s="383"/>
      <c r="H252" s="382"/>
      <c r="I252" s="382"/>
      <c r="J252" s="382"/>
      <c r="K252" s="382"/>
      <c r="L252" s="382"/>
      <c r="M252" s="382"/>
      <c r="N252" s="382"/>
      <c r="O252" s="382"/>
      <c r="P252" s="338"/>
      <c r="Q252" s="384"/>
      <c r="R252" s="339"/>
      <c r="S252" s="384"/>
      <c r="T252" s="366"/>
      <c r="U252" s="370"/>
      <c r="V252" s="5"/>
    </row>
    <row r="253" spans="1:23" ht="15.6" x14ac:dyDescent="0.3">
      <c r="A253" s="284"/>
      <c r="B253" s="285" t="s">
        <v>120</v>
      </c>
      <c r="C253" s="311"/>
      <c r="D253" s="311"/>
      <c r="E253" s="311"/>
      <c r="F253" s="311"/>
      <c r="G253" s="311"/>
      <c r="H253" s="385"/>
      <c r="I253" s="385"/>
      <c r="J253" s="385"/>
      <c r="K253" s="385"/>
      <c r="L253" s="385"/>
      <c r="M253" s="385"/>
      <c r="N253" s="385"/>
      <c r="O253" s="385"/>
      <c r="P253" s="338">
        <f>SUM(P244:P252)</f>
        <v>3934</v>
      </c>
      <c r="Q253" s="384">
        <f>SUM(Q244:Q252)</f>
        <v>0.99999999999999989</v>
      </c>
      <c r="R253" s="339">
        <f>SUM(R244:R252)</f>
        <v>511596</v>
      </c>
      <c r="S253" s="384">
        <f>SUM(S244:S252)</f>
        <v>0.99999999999999989</v>
      </c>
      <c r="T253" s="311"/>
      <c r="U253" s="317"/>
      <c r="V253" s="5"/>
    </row>
    <row r="254" spans="1:23" ht="15.6" x14ac:dyDescent="0.3">
      <c r="A254" s="175"/>
      <c r="B254" s="334"/>
      <c r="C254" s="334"/>
      <c r="D254" s="334"/>
      <c r="E254" s="334"/>
      <c r="F254" s="334"/>
      <c r="G254" s="334"/>
      <c r="H254" s="379"/>
      <c r="I254" s="379"/>
      <c r="J254" s="379"/>
      <c r="K254" s="379"/>
      <c r="L254" s="379"/>
      <c r="M254" s="379"/>
      <c r="N254" s="379"/>
      <c r="O254" s="379"/>
      <c r="P254" s="335"/>
      <c r="Q254" s="380"/>
      <c r="R254" s="381"/>
      <c r="S254" s="380"/>
      <c r="T254" s="334"/>
      <c r="U254" s="334"/>
      <c r="V254" s="5"/>
    </row>
    <row r="255" spans="1:23" ht="15.6" x14ac:dyDescent="0.3">
      <c r="A255" s="268"/>
      <c r="B255" s="395" t="s">
        <v>267</v>
      </c>
      <c r="C255" s="396"/>
      <c r="D255" s="396"/>
      <c r="E255" s="396"/>
      <c r="F255" s="402"/>
      <c r="G255" s="396"/>
      <c r="H255" s="396"/>
      <c r="I255" s="396"/>
      <c r="J255" s="396"/>
      <c r="K255" s="396"/>
      <c r="L255" s="396"/>
      <c r="M255" s="396"/>
      <c r="N255" s="396"/>
      <c r="O255" s="396"/>
      <c r="P255" s="402" t="s">
        <v>105</v>
      </c>
      <c r="Q255" s="396" t="s">
        <v>106</v>
      </c>
      <c r="R255" s="402" t="s">
        <v>114</v>
      </c>
      <c r="S255" s="396" t="s">
        <v>106</v>
      </c>
      <c r="T255" s="269"/>
      <c r="U255" s="270"/>
      <c r="V255" s="5"/>
    </row>
    <row r="256" spans="1:23" ht="15.6" x14ac:dyDescent="0.3">
      <c r="A256" s="190"/>
      <c r="B256" s="243" t="s">
        <v>91</v>
      </c>
      <c r="C256" s="217"/>
      <c r="D256" s="217"/>
      <c r="E256" s="217"/>
      <c r="F256" s="191"/>
      <c r="G256" s="217"/>
      <c r="H256" s="217"/>
      <c r="I256" s="217"/>
      <c r="J256" s="217"/>
      <c r="K256" s="217"/>
      <c r="L256" s="217"/>
      <c r="M256" s="217"/>
      <c r="N256" s="217"/>
      <c r="O256" s="217"/>
      <c r="P256" s="243">
        <v>81</v>
      </c>
      <c r="Q256" s="274">
        <f t="shared" ref="Q256:Q263" si="7">P256/$P$265</f>
        <v>0.9</v>
      </c>
      <c r="R256" s="251">
        <v>12407</v>
      </c>
      <c r="S256" s="274">
        <f t="shared" ref="S256:S263" si="8">R256/$R$265</f>
        <v>0.89853707995365006</v>
      </c>
      <c r="T256" s="191"/>
      <c r="U256" s="191"/>
      <c r="V256" s="5"/>
    </row>
    <row r="257" spans="1:22" ht="15.6" x14ac:dyDescent="0.3">
      <c r="A257" s="284"/>
      <c r="B257" s="338" t="s">
        <v>92</v>
      </c>
      <c r="C257" s="382"/>
      <c r="D257" s="382"/>
      <c r="E257" s="382"/>
      <c r="F257" s="311"/>
      <c r="G257" s="383"/>
      <c r="H257" s="382"/>
      <c r="I257" s="382"/>
      <c r="J257" s="382"/>
      <c r="K257" s="382"/>
      <c r="L257" s="382"/>
      <c r="M257" s="382"/>
      <c r="N257" s="382"/>
      <c r="O257" s="382"/>
      <c r="P257" s="338">
        <v>2</v>
      </c>
      <c r="Q257" s="384">
        <f t="shared" si="7"/>
        <v>2.2222222222222223E-2</v>
      </c>
      <c r="R257" s="339">
        <v>221</v>
      </c>
      <c r="S257" s="384">
        <f t="shared" si="8"/>
        <v>1.600521436848204E-2</v>
      </c>
      <c r="T257" s="311"/>
      <c r="U257" s="317"/>
      <c r="V257" s="5"/>
    </row>
    <row r="258" spans="1:22" ht="15.6" x14ac:dyDescent="0.3">
      <c r="A258" s="284"/>
      <c r="B258" s="338" t="s">
        <v>93</v>
      </c>
      <c r="C258" s="382"/>
      <c r="D258" s="382"/>
      <c r="E258" s="382"/>
      <c r="F258" s="311"/>
      <c r="G258" s="383"/>
      <c r="H258" s="382"/>
      <c r="I258" s="382"/>
      <c r="J258" s="382"/>
      <c r="K258" s="382"/>
      <c r="L258" s="382"/>
      <c r="M258" s="382"/>
      <c r="N258" s="382"/>
      <c r="O258" s="382"/>
      <c r="P258" s="338">
        <v>1</v>
      </c>
      <c r="Q258" s="384">
        <f t="shared" si="7"/>
        <v>1.1111111111111112E-2</v>
      </c>
      <c r="R258" s="339">
        <v>300</v>
      </c>
      <c r="S258" s="384">
        <f t="shared" si="8"/>
        <v>2.1726535341830822E-2</v>
      </c>
      <c r="T258" s="311"/>
      <c r="U258" s="317"/>
      <c r="V258" s="5"/>
    </row>
    <row r="259" spans="1:22" ht="15.6" x14ac:dyDescent="0.3">
      <c r="A259" s="284"/>
      <c r="B259" s="338" t="s">
        <v>163</v>
      </c>
      <c r="C259" s="382"/>
      <c r="D259" s="382"/>
      <c r="E259" s="382"/>
      <c r="F259" s="311"/>
      <c r="G259" s="383"/>
      <c r="H259" s="382"/>
      <c r="I259" s="382"/>
      <c r="J259" s="382"/>
      <c r="K259" s="382"/>
      <c r="L259" s="382"/>
      <c r="M259" s="382"/>
      <c r="N259" s="382"/>
      <c r="O259" s="382"/>
      <c r="P259" s="338">
        <v>0</v>
      </c>
      <c r="Q259" s="384">
        <f t="shared" si="7"/>
        <v>0</v>
      </c>
      <c r="R259" s="339">
        <v>0</v>
      </c>
      <c r="S259" s="384">
        <f t="shared" si="8"/>
        <v>0</v>
      </c>
      <c r="T259" s="311"/>
      <c r="U259" s="317"/>
      <c r="V259" s="5"/>
    </row>
    <row r="260" spans="1:22" ht="15.6" x14ac:dyDescent="0.3">
      <c r="A260" s="284"/>
      <c r="B260" s="338" t="s">
        <v>164</v>
      </c>
      <c r="C260" s="382"/>
      <c r="D260" s="382"/>
      <c r="E260" s="382"/>
      <c r="F260" s="311"/>
      <c r="G260" s="383"/>
      <c r="H260" s="382"/>
      <c r="I260" s="382"/>
      <c r="J260" s="382"/>
      <c r="K260" s="382"/>
      <c r="L260" s="382"/>
      <c r="M260" s="382"/>
      <c r="N260" s="382"/>
      <c r="O260" s="382"/>
      <c r="P260" s="338">
        <v>0</v>
      </c>
      <c r="Q260" s="384">
        <f t="shared" si="7"/>
        <v>0</v>
      </c>
      <c r="R260" s="339">
        <v>0</v>
      </c>
      <c r="S260" s="384">
        <f t="shared" si="8"/>
        <v>0</v>
      </c>
      <c r="T260" s="311"/>
      <c r="U260" s="317"/>
      <c r="V260" s="5"/>
    </row>
    <row r="261" spans="1:22" ht="15.6" x14ac:dyDescent="0.3">
      <c r="A261" s="284"/>
      <c r="B261" s="338" t="s">
        <v>165</v>
      </c>
      <c r="C261" s="382"/>
      <c r="D261" s="382"/>
      <c r="E261" s="382"/>
      <c r="F261" s="311"/>
      <c r="G261" s="383"/>
      <c r="H261" s="382"/>
      <c r="I261" s="382"/>
      <c r="J261" s="382"/>
      <c r="K261" s="382"/>
      <c r="L261" s="382"/>
      <c r="M261" s="382"/>
      <c r="N261" s="382"/>
      <c r="O261" s="382"/>
      <c r="P261" s="338">
        <v>0</v>
      </c>
      <c r="Q261" s="384">
        <f t="shared" si="7"/>
        <v>0</v>
      </c>
      <c r="R261" s="339">
        <v>0</v>
      </c>
      <c r="S261" s="384">
        <f t="shared" si="8"/>
        <v>0</v>
      </c>
      <c r="T261" s="311"/>
      <c r="U261" s="317"/>
      <c r="V261" s="5"/>
    </row>
    <row r="262" spans="1:22" ht="15.6" x14ac:dyDescent="0.3">
      <c r="A262" s="284"/>
      <c r="B262" s="338" t="s">
        <v>166</v>
      </c>
      <c r="C262" s="382"/>
      <c r="D262" s="382"/>
      <c r="E262" s="382"/>
      <c r="F262" s="311"/>
      <c r="G262" s="383"/>
      <c r="H262" s="382"/>
      <c r="I262" s="382"/>
      <c r="J262" s="382"/>
      <c r="K262" s="382"/>
      <c r="L262" s="382"/>
      <c r="M262" s="382"/>
      <c r="N262" s="382"/>
      <c r="O262" s="382"/>
      <c r="P262" s="338">
        <v>1</v>
      </c>
      <c r="Q262" s="384">
        <f t="shared" si="7"/>
        <v>1.1111111111111112E-2</v>
      </c>
      <c r="R262" s="339">
        <v>93</v>
      </c>
      <c r="S262" s="384">
        <f t="shared" si="8"/>
        <v>6.7352259559675552E-3</v>
      </c>
      <c r="T262" s="311"/>
      <c r="U262" s="317"/>
      <c r="V262" s="5"/>
    </row>
    <row r="263" spans="1:22" ht="15.6" x14ac:dyDescent="0.3">
      <c r="A263" s="284"/>
      <c r="B263" s="338" t="s">
        <v>167</v>
      </c>
      <c r="C263" s="382"/>
      <c r="D263" s="382"/>
      <c r="E263" s="382"/>
      <c r="F263" s="311"/>
      <c r="G263" s="383"/>
      <c r="H263" s="382"/>
      <c r="I263" s="382"/>
      <c r="J263" s="382"/>
      <c r="K263" s="382"/>
      <c r="L263" s="382"/>
      <c r="M263" s="382"/>
      <c r="N263" s="382"/>
      <c r="O263" s="382"/>
      <c r="P263" s="338">
        <v>5</v>
      </c>
      <c r="Q263" s="384">
        <f t="shared" si="7"/>
        <v>5.5555555555555552E-2</v>
      </c>
      <c r="R263" s="339">
        <v>787</v>
      </c>
      <c r="S263" s="384">
        <f t="shared" si="8"/>
        <v>5.6995944380069524E-2</v>
      </c>
      <c r="T263" s="311"/>
      <c r="U263" s="317"/>
      <c r="V263" s="5"/>
    </row>
    <row r="264" spans="1:22" ht="15.6" x14ac:dyDescent="0.3">
      <c r="A264" s="284"/>
      <c r="B264" s="338"/>
      <c r="C264" s="382"/>
      <c r="D264" s="382"/>
      <c r="E264" s="382"/>
      <c r="F264" s="311"/>
      <c r="G264" s="383"/>
      <c r="H264" s="382"/>
      <c r="I264" s="382"/>
      <c r="J264" s="382"/>
      <c r="K264" s="382"/>
      <c r="L264" s="382"/>
      <c r="M264" s="382"/>
      <c r="N264" s="382"/>
      <c r="O264" s="382"/>
      <c r="P264" s="338"/>
      <c r="Q264" s="384"/>
      <c r="R264" s="339"/>
      <c r="S264" s="384"/>
      <c r="T264" s="311"/>
      <c r="U264" s="317"/>
      <c r="V264" s="5"/>
    </row>
    <row r="265" spans="1:22" ht="15.6" x14ac:dyDescent="0.3">
      <c r="A265" s="284"/>
      <c r="B265" s="285" t="s">
        <v>120</v>
      </c>
      <c r="C265" s="311"/>
      <c r="D265" s="311"/>
      <c r="E265" s="311"/>
      <c r="F265" s="311"/>
      <c r="G265" s="311"/>
      <c r="H265" s="385"/>
      <c r="I265" s="385"/>
      <c r="J265" s="385"/>
      <c r="K265" s="385"/>
      <c r="L265" s="385"/>
      <c r="M265" s="385"/>
      <c r="N265" s="385"/>
      <c r="O265" s="385"/>
      <c r="P265" s="338">
        <f>SUM(P256:P264)</f>
        <v>90</v>
      </c>
      <c r="Q265" s="384">
        <f>SUM(Q256:Q264)</f>
        <v>1</v>
      </c>
      <c r="R265" s="339">
        <f>SUM(R256:R264)</f>
        <v>13808</v>
      </c>
      <c r="S265" s="384">
        <f>SUM(S256:S264)</f>
        <v>0.99999999999999989</v>
      </c>
      <c r="T265" s="311"/>
      <c r="U265" s="317"/>
      <c r="V265" s="5"/>
    </row>
    <row r="266" spans="1:22" ht="15.6" x14ac:dyDescent="0.3">
      <c r="A266" s="175"/>
      <c r="B266" s="334"/>
      <c r="C266" s="334"/>
      <c r="D266" s="334"/>
      <c r="E266" s="334"/>
      <c r="F266" s="334"/>
      <c r="G266" s="334"/>
      <c r="H266" s="379"/>
      <c r="I266" s="379"/>
      <c r="J266" s="379"/>
      <c r="K266" s="379"/>
      <c r="L266" s="379"/>
      <c r="M266" s="379"/>
      <c r="N266" s="379"/>
      <c r="O266" s="379"/>
      <c r="P266" s="335"/>
      <c r="Q266" s="380"/>
      <c r="R266" s="381"/>
      <c r="S266" s="380"/>
      <c r="T266" s="334"/>
      <c r="U266" s="334"/>
      <c r="V266" s="5"/>
    </row>
    <row r="267" spans="1:22" ht="15.6" x14ac:dyDescent="0.3">
      <c r="A267" s="268"/>
      <c r="B267" s="395" t="s">
        <v>170</v>
      </c>
      <c r="C267" s="269"/>
      <c r="D267" s="269"/>
      <c r="E267" s="269"/>
      <c r="F267" s="269"/>
      <c r="G267" s="269"/>
      <c r="H267" s="271"/>
      <c r="I267" s="271"/>
      <c r="J267" s="271"/>
      <c r="K267" s="271"/>
      <c r="L267" s="271"/>
      <c r="M267" s="271"/>
      <c r="N267" s="271"/>
      <c r="O267" s="271"/>
      <c r="P267" s="402" t="s">
        <v>105</v>
      </c>
      <c r="Q267" s="396" t="s">
        <v>106</v>
      </c>
      <c r="R267" s="402" t="s">
        <v>114</v>
      </c>
      <c r="S267" s="396" t="s">
        <v>106</v>
      </c>
      <c r="T267" s="269"/>
      <c r="U267" s="270"/>
      <c r="V267" s="5"/>
    </row>
    <row r="268" spans="1:22" ht="15.6" x14ac:dyDescent="0.3">
      <c r="A268" s="190"/>
      <c r="B268" s="243" t="s">
        <v>91</v>
      </c>
      <c r="C268" s="239"/>
      <c r="D268" s="239"/>
      <c r="E268" s="239"/>
      <c r="F268" s="239"/>
      <c r="G268" s="239"/>
      <c r="H268" s="275"/>
      <c r="I268" s="275"/>
      <c r="J268" s="275"/>
      <c r="K268" s="275"/>
      <c r="L268" s="218"/>
      <c r="M268" s="218"/>
      <c r="N268" s="218"/>
      <c r="O268" s="218"/>
      <c r="P268" s="243">
        <v>0</v>
      </c>
      <c r="Q268" s="274">
        <v>0</v>
      </c>
      <c r="R268" s="251">
        <v>0</v>
      </c>
      <c r="S268" s="274">
        <v>0</v>
      </c>
      <c r="T268" s="239"/>
      <c r="U268" s="191"/>
      <c r="V268" s="5"/>
    </row>
    <row r="269" spans="1:22" ht="15.6" x14ac:dyDescent="0.3">
      <c r="A269" s="284"/>
      <c r="B269" s="338" t="s">
        <v>92</v>
      </c>
      <c r="C269" s="285"/>
      <c r="D269" s="285"/>
      <c r="E269" s="285"/>
      <c r="F269" s="285"/>
      <c r="G269" s="285"/>
      <c r="H269" s="387"/>
      <c r="I269" s="387"/>
      <c r="J269" s="387"/>
      <c r="K269" s="387"/>
      <c r="L269" s="385"/>
      <c r="M269" s="385"/>
      <c r="N269" s="385"/>
      <c r="O269" s="385"/>
      <c r="P269" s="338">
        <v>0</v>
      </c>
      <c r="Q269" s="384">
        <v>0</v>
      </c>
      <c r="R269" s="339">
        <v>0</v>
      </c>
      <c r="S269" s="384">
        <v>0</v>
      </c>
      <c r="T269" s="285"/>
      <c r="U269" s="317"/>
      <c r="V269" s="5"/>
    </row>
    <row r="270" spans="1:22" ht="15.6" x14ac:dyDescent="0.3">
      <c r="A270" s="284"/>
      <c r="B270" s="338" t="s">
        <v>93</v>
      </c>
      <c r="C270" s="285"/>
      <c r="D270" s="285"/>
      <c r="E270" s="285"/>
      <c r="F270" s="285"/>
      <c r="G270" s="285"/>
      <c r="H270" s="387"/>
      <c r="I270" s="387"/>
      <c r="J270" s="387"/>
      <c r="K270" s="387"/>
      <c r="L270" s="385"/>
      <c r="M270" s="385"/>
      <c r="N270" s="385"/>
      <c r="O270" s="385"/>
      <c r="P270" s="338">
        <v>0</v>
      </c>
      <c r="Q270" s="384">
        <v>0</v>
      </c>
      <c r="R270" s="339">
        <v>0</v>
      </c>
      <c r="S270" s="384">
        <v>0</v>
      </c>
      <c r="T270" s="285"/>
      <c r="U270" s="317"/>
      <c r="V270" s="5"/>
    </row>
    <row r="271" spans="1:22" ht="15.6" x14ac:dyDescent="0.3">
      <c r="A271" s="284"/>
      <c r="B271" s="338" t="s">
        <v>163</v>
      </c>
      <c r="C271" s="285"/>
      <c r="D271" s="285"/>
      <c r="E271" s="285"/>
      <c r="F271" s="285"/>
      <c r="G271" s="285"/>
      <c r="H271" s="387"/>
      <c r="I271" s="387"/>
      <c r="J271" s="387"/>
      <c r="K271" s="387"/>
      <c r="L271" s="385"/>
      <c r="M271" s="385"/>
      <c r="N271" s="385"/>
      <c r="O271" s="385"/>
      <c r="P271" s="338">
        <v>0</v>
      </c>
      <c r="Q271" s="384">
        <v>0</v>
      </c>
      <c r="R271" s="339">
        <v>0</v>
      </c>
      <c r="S271" s="384">
        <v>0</v>
      </c>
      <c r="T271" s="285"/>
      <c r="U271" s="317"/>
      <c r="V271" s="5"/>
    </row>
    <row r="272" spans="1:22" ht="15.6" x14ac:dyDescent="0.3">
      <c r="A272" s="284"/>
      <c r="B272" s="338" t="s">
        <v>164</v>
      </c>
      <c r="C272" s="285"/>
      <c r="D272" s="285"/>
      <c r="E272" s="285"/>
      <c r="F272" s="285"/>
      <c r="G272" s="285"/>
      <c r="H272" s="387"/>
      <c r="I272" s="387"/>
      <c r="J272" s="387"/>
      <c r="K272" s="387"/>
      <c r="L272" s="385"/>
      <c r="M272" s="385"/>
      <c r="N272" s="385"/>
      <c r="O272" s="385"/>
      <c r="P272" s="338">
        <v>0</v>
      </c>
      <c r="Q272" s="384">
        <v>0</v>
      </c>
      <c r="R272" s="339">
        <v>0</v>
      </c>
      <c r="S272" s="384">
        <v>0</v>
      </c>
      <c r="T272" s="285"/>
      <c r="U272" s="317"/>
      <c r="V272" s="5"/>
    </row>
    <row r="273" spans="1:22" ht="15.6" x14ac:dyDescent="0.3">
      <c r="A273" s="284"/>
      <c r="B273" s="338" t="s">
        <v>165</v>
      </c>
      <c r="C273" s="285"/>
      <c r="D273" s="285"/>
      <c r="E273" s="285"/>
      <c r="F273" s="285"/>
      <c r="G273" s="285"/>
      <c r="H273" s="387"/>
      <c r="I273" s="387"/>
      <c r="J273" s="387"/>
      <c r="K273" s="387"/>
      <c r="L273" s="385"/>
      <c r="M273" s="385"/>
      <c r="N273" s="385"/>
      <c r="O273" s="385"/>
      <c r="P273" s="338">
        <v>0</v>
      </c>
      <c r="Q273" s="384">
        <v>0</v>
      </c>
      <c r="R273" s="339">
        <v>0</v>
      </c>
      <c r="S273" s="384">
        <v>0</v>
      </c>
      <c r="T273" s="285"/>
      <c r="U273" s="317"/>
      <c r="V273" s="5"/>
    </row>
    <row r="274" spans="1:22" ht="15.6" x14ac:dyDescent="0.3">
      <c r="A274" s="284"/>
      <c r="B274" s="338" t="s">
        <v>166</v>
      </c>
      <c r="C274" s="285"/>
      <c r="D274" s="285"/>
      <c r="E274" s="285"/>
      <c r="F274" s="285"/>
      <c r="G274" s="285"/>
      <c r="H274" s="387"/>
      <c r="I274" s="387"/>
      <c r="J274" s="387"/>
      <c r="K274" s="387"/>
      <c r="L274" s="385"/>
      <c r="M274" s="385"/>
      <c r="N274" s="385"/>
      <c r="O274" s="385"/>
      <c r="P274" s="338">
        <v>0</v>
      </c>
      <c r="Q274" s="384">
        <v>0</v>
      </c>
      <c r="R274" s="339">
        <v>0</v>
      </c>
      <c r="S274" s="384">
        <v>0</v>
      </c>
      <c r="T274" s="285"/>
      <c r="U274" s="317"/>
      <c r="V274" s="5"/>
    </row>
    <row r="275" spans="1:22" ht="15.6" x14ac:dyDescent="0.3">
      <c r="A275" s="284"/>
      <c r="B275" s="338" t="s">
        <v>167</v>
      </c>
      <c r="C275" s="285"/>
      <c r="D275" s="285"/>
      <c r="E275" s="285"/>
      <c r="F275" s="285"/>
      <c r="G275" s="285"/>
      <c r="H275" s="387"/>
      <c r="I275" s="387"/>
      <c r="J275" s="387"/>
      <c r="K275" s="387"/>
      <c r="L275" s="385"/>
      <c r="M275" s="385"/>
      <c r="N275" s="385"/>
      <c r="O275" s="385"/>
      <c r="P275" s="338">
        <v>0</v>
      </c>
      <c r="Q275" s="384">
        <v>0</v>
      </c>
      <c r="R275" s="339">
        <v>0</v>
      </c>
      <c r="S275" s="384">
        <v>0</v>
      </c>
      <c r="T275" s="285"/>
      <c r="U275" s="317"/>
      <c r="V275" s="5"/>
    </row>
    <row r="276" spans="1:22" ht="15.6" x14ac:dyDescent="0.3">
      <c r="A276" s="284"/>
      <c r="B276" s="338"/>
      <c r="C276" s="285"/>
      <c r="D276" s="285"/>
      <c r="E276" s="285"/>
      <c r="F276" s="285"/>
      <c r="G276" s="285"/>
      <c r="H276" s="387"/>
      <c r="I276" s="387"/>
      <c r="J276" s="387"/>
      <c r="K276" s="387"/>
      <c r="L276" s="385"/>
      <c r="M276" s="385"/>
      <c r="N276" s="385"/>
      <c r="O276" s="385"/>
      <c r="P276" s="338"/>
      <c r="Q276" s="384"/>
      <c r="R276" s="339"/>
      <c r="S276" s="384"/>
      <c r="T276" s="285"/>
      <c r="U276" s="317"/>
      <c r="V276" s="5"/>
    </row>
    <row r="277" spans="1:22" ht="15.6" x14ac:dyDescent="0.3">
      <c r="A277" s="284"/>
      <c r="B277" s="285" t="s">
        <v>120</v>
      </c>
      <c r="C277" s="285"/>
      <c r="D277" s="285"/>
      <c r="E277" s="285"/>
      <c r="F277" s="285"/>
      <c r="G277" s="285"/>
      <c r="H277" s="387"/>
      <c r="I277" s="387"/>
      <c r="J277" s="387"/>
      <c r="K277" s="387"/>
      <c r="L277" s="385"/>
      <c r="M277" s="385"/>
      <c r="N277" s="385"/>
      <c r="O277" s="385"/>
      <c r="P277" s="338">
        <f>SUM(P268:P275)</f>
        <v>0</v>
      </c>
      <c r="Q277" s="384">
        <f>SUM(Q268:Q276)</f>
        <v>0</v>
      </c>
      <c r="R277" s="339">
        <f>SUM(R268:R275)</f>
        <v>0</v>
      </c>
      <c r="S277" s="384">
        <f>SUM(S268:S276)</f>
        <v>0</v>
      </c>
      <c r="T277" s="285"/>
      <c r="U277" s="317"/>
      <c r="V277" s="5"/>
    </row>
    <row r="278" spans="1:22" ht="15.6" x14ac:dyDescent="0.3">
      <c r="A278" s="284"/>
      <c r="B278" s="285"/>
      <c r="C278" s="285"/>
      <c r="D278" s="285"/>
      <c r="E278" s="285"/>
      <c r="F278" s="285"/>
      <c r="G278" s="285"/>
      <c r="H278" s="387"/>
      <c r="I278" s="387"/>
      <c r="J278" s="387"/>
      <c r="K278" s="387"/>
      <c r="L278" s="385"/>
      <c r="M278" s="385"/>
      <c r="N278" s="385"/>
      <c r="O278" s="385"/>
      <c r="P278" s="344"/>
      <c r="Q278" s="388"/>
      <c r="R278" s="345"/>
      <c r="S278" s="388"/>
      <c r="T278" s="311"/>
      <c r="U278" s="317"/>
      <c r="V278" s="5"/>
    </row>
    <row r="279" spans="1:22" ht="15.6" x14ac:dyDescent="0.3">
      <c r="A279" s="284"/>
      <c r="B279" s="292" t="s">
        <v>171</v>
      </c>
      <c r="C279" s="285"/>
      <c r="D279" s="285"/>
      <c r="E279" s="285"/>
      <c r="F279" s="285"/>
      <c r="G279" s="285"/>
      <c r="H279" s="387"/>
      <c r="I279" s="387"/>
      <c r="J279" s="387"/>
      <c r="K279" s="387"/>
      <c r="L279" s="385"/>
      <c r="M279" s="385"/>
      <c r="N279" s="385"/>
      <c r="O279" s="385"/>
      <c r="P279" s="403">
        <f>P277+P265+P253</f>
        <v>4024</v>
      </c>
      <c r="Q279" s="384"/>
      <c r="R279" s="404">
        <f>+R277+R265+R253</f>
        <v>525404</v>
      </c>
      <c r="S279" s="384"/>
      <c r="T279" s="311"/>
      <c r="U279" s="317"/>
      <c r="V279" s="5"/>
    </row>
    <row r="280" spans="1:22" ht="15.6" x14ac:dyDescent="0.3">
      <c r="A280" s="175"/>
      <c r="B280" s="281"/>
      <c r="C280" s="281"/>
      <c r="D280" s="281"/>
      <c r="E280" s="281"/>
      <c r="F280" s="281"/>
      <c r="G280" s="281"/>
      <c r="H280" s="386"/>
      <c r="I280" s="386"/>
      <c r="J280" s="386"/>
      <c r="K280" s="386"/>
      <c r="L280" s="379"/>
      <c r="M280" s="379"/>
      <c r="N280" s="379"/>
      <c r="O280" s="379"/>
      <c r="P280" s="379"/>
      <c r="Q280" s="379"/>
      <c r="R280" s="381"/>
      <c r="S280" s="379"/>
      <c r="T280" s="334"/>
      <c r="U280" s="334"/>
      <c r="V280" s="5"/>
    </row>
    <row r="281" spans="1:22" ht="15.6" x14ac:dyDescent="0.3">
      <c r="A281" s="175"/>
      <c r="B281" s="231"/>
      <c r="C281" s="231"/>
      <c r="D281" s="231"/>
      <c r="E281" s="231"/>
      <c r="F281" s="231"/>
      <c r="G281" s="231"/>
      <c r="H281" s="276"/>
      <c r="I281" s="276"/>
      <c r="J281" s="276"/>
      <c r="K281" s="276"/>
      <c r="L281" s="219"/>
      <c r="M281" s="219"/>
      <c r="N281" s="219"/>
      <c r="O281" s="219"/>
      <c r="P281" s="219"/>
      <c r="Q281" s="219"/>
      <c r="R281" s="220"/>
      <c r="S281" s="219"/>
      <c r="T281" s="177"/>
      <c r="U281" s="177"/>
      <c r="V281" s="5"/>
    </row>
    <row r="282" spans="1:22" ht="15.6" x14ac:dyDescent="0.3">
      <c r="A282" s="221"/>
      <c r="B282" s="230" t="s">
        <v>94</v>
      </c>
      <c r="C282" s="231"/>
      <c r="D282" s="231"/>
      <c r="E282" s="231"/>
      <c r="F282" s="236" t="s">
        <v>100</v>
      </c>
      <c r="G282" s="231"/>
      <c r="H282" s="230" t="s">
        <v>102</v>
      </c>
      <c r="I282" s="277"/>
      <c r="J282" s="277"/>
      <c r="K282" s="277"/>
      <c r="L282" s="188"/>
      <c r="M282" s="188"/>
      <c r="N282" s="188"/>
      <c r="O282" s="188"/>
      <c r="P282" s="188"/>
      <c r="Q282" s="188"/>
      <c r="R282" s="188"/>
      <c r="S282" s="188"/>
      <c r="T282" s="188"/>
      <c r="U282" s="188"/>
      <c r="V282" s="5"/>
    </row>
    <row r="283" spans="1:22" ht="15.6" x14ac:dyDescent="0.3">
      <c r="A283" s="221"/>
      <c r="B283" s="230" t="s">
        <v>316</v>
      </c>
      <c r="C283" s="230"/>
      <c r="D283" s="230"/>
      <c r="E283" s="230"/>
      <c r="F283" s="278" t="s">
        <v>154</v>
      </c>
      <c r="G283" s="230"/>
      <c r="H283" s="230" t="s">
        <v>158</v>
      </c>
      <c r="I283" s="277"/>
      <c r="J283" s="277"/>
      <c r="K283" s="277"/>
      <c r="L283" s="188"/>
      <c r="M283" s="188"/>
      <c r="N283" s="188"/>
      <c r="O283" s="188"/>
      <c r="P283" s="188"/>
      <c r="Q283" s="188"/>
      <c r="R283" s="188"/>
      <c r="S283" s="188"/>
      <c r="T283" s="188"/>
      <c r="U283" s="188"/>
      <c r="V283" s="5"/>
    </row>
    <row r="284" spans="1:22" ht="15.6" x14ac:dyDescent="0.3">
      <c r="A284" s="221"/>
      <c r="B284" s="230" t="s">
        <v>317</v>
      </c>
      <c r="C284" s="230"/>
      <c r="D284" s="230"/>
      <c r="E284" s="230"/>
      <c r="F284" s="278" t="s">
        <v>269</v>
      </c>
      <c r="G284" s="230"/>
      <c r="H284" s="230" t="s">
        <v>270</v>
      </c>
      <c r="I284" s="277"/>
      <c r="J284" s="277"/>
      <c r="K284" s="277"/>
      <c r="L284" s="188"/>
      <c r="M284" s="188"/>
      <c r="N284" s="188"/>
      <c r="O284" s="188"/>
      <c r="P284" s="188"/>
      <c r="Q284" s="188"/>
      <c r="R284" s="188"/>
      <c r="S284" s="188"/>
      <c r="T284" s="188"/>
      <c r="U284" s="188"/>
      <c r="V284" s="5"/>
    </row>
    <row r="285" spans="1:22" ht="15.6" x14ac:dyDescent="0.3">
      <c r="A285" s="221"/>
      <c r="B285" s="230" t="s">
        <v>318</v>
      </c>
      <c r="C285" s="230"/>
      <c r="D285" s="230"/>
      <c r="E285" s="230"/>
      <c r="F285" s="278" t="s">
        <v>153</v>
      </c>
      <c r="G285" s="230"/>
      <c r="H285" s="230" t="s">
        <v>159</v>
      </c>
      <c r="I285" s="277"/>
      <c r="J285" s="277"/>
      <c r="K285" s="277"/>
      <c r="L285" s="188"/>
      <c r="M285" s="188"/>
      <c r="N285" s="188"/>
      <c r="O285" s="188"/>
      <c r="P285" s="188"/>
      <c r="Q285" s="188"/>
      <c r="R285" s="188"/>
      <c r="S285" s="188"/>
      <c r="T285" s="188"/>
      <c r="U285" s="188"/>
      <c r="V285" s="5"/>
    </row>
    <row r="286" spans="1:22" ht="15.6" x14ac:dyDescent="0.3">
      <c r="A286" s="221"/>
      <c r="B286" s="230"/>
      <c r="C286" s="230"/>
      <c r="D286" s="230"/>
      <c r="E286" s="230"/>
      <c r="F286" s="230"/>
      <c r="G286" s="279"/>
      <c r="H286" s="277"/>
      <c r="I286" s="277"/>
      <c r="J286" s="277"/>
      <c r="K286" s="277"/>
      <c r="L286" s="188"/>
      <c r="M286" s="188"/>
      <c r="N286" s="188"/>
      <c r="O286" s="188"/>
      <c r="P286" s="188"/>
      <c r="Q286" s="188"/>
      <c r="R286" s="188"/>
      <c r="S286" s="188"/>
      <c r="T286" s="188"/>
      <c r="U286" s="188"/>
      <c r="V286" s="5"/>
    </row>
    <row r="287" spans="1:22" ht="15.6" x14ac:dyDescent="0.3">
      <c r="A287" s="221"/>
      <c r="B287" s="230"/>
      <c r="C287" s="230"/>
      <c r="D287" s="230"/>
      <c r="E287" s="230"/>
      <c r="F287" s="230"/>
      <c r="G287" s="279"/>
      <c r="H287" s="277"/>
      <c r="I287" s="277"/>
      <c r="J287" s="277"/>
      <c r="K287" s="277"/>
      <c r="L287" s="188"/>
      <c r="M287" s="188"/>
      <c r="N287" s="188"/>
      <c r="O287" s="188"/>
      <c r="P287" s="188"/>
      <c r="Q287" s="188"/>
      <c r="R287" s="188"/>
      <c r="S287" s="188"/>
      <c r="T287" s="188"/>
      <c r="U287" s="188"/>
      <c r="V287" s="5"/>
    </row>
    <row r="288" spans="1:22" ht="18" thickBot="1" x14ac:dyDescent="0.35">
      <c r="A288" s="221"/>
      <c r="B288" s="280" t="str">
        <f>B193</f>
        <v>PM11 INVESTOR REPORT QUARTER ENDING JUNE 2014</v>
      </c>
      <c r="C288" s="230"/>
      <c r="D288" s="230"/>
      <c r="E288" s="230"/>
      <c r="F288" s="230"/>
      <c r="G288" s="279"/>
      <c r="H288" s="277"/>
      <c r="I288" s="277"/>
      <c r="J288" s="277"/>
      <c r="K288" s="277"/>
      <c r="L288" s="188"/>
      <c r="M288" s="188"/>
      <c r="N288" s="188"/>
      <c r="O288" s="188"/>
      <c r="P288" s="188"/>
      <c r="Q288" s="188"/>
      <c r="R288" s="188"/>
      <c r="S288" s="188"/>
      <c r="T288" s="188"/>
      <c r="U288" s="188"/>
      <c r="V288" s="5"/>
    </row>
    <row r="289" spans="1:21" x14ac:dyDescent="0.25">
      <c r="A289" s="100"/>
      <c r="B289" s="100"/>
      <c r="C289" s="100"/>
      <c r="D289" s="100"/>
      <c r="E289" s="100"/>
      <c r="F289" s="100"/>
      <c r="G289" s="100"/>
      <c r="H289" s="100"/>
      <c r="I289" s="100"/>
      <c r="J289" s="100"/>
      <c r="K289" s="100"/>
      <c r="L289" s="100"/>
      <c r="M289" s="100"/>
      <c r="N289" s="100"/>
      <c r="O289" s="100"/>
      <c r="P289" s="100"/>
      <c r="Q289" s="100"/>
      <c r="R289" s="100"/>
      <c r="S289" s="100"/>
      <c r="T289" s="100"/>
      <c r="U289" s="100"/>
    </row>
  </sheetData>
  <hyperlinks>
    <hyperlink ref="N229" r:id="rId1" xr:uid="{00000000-0004-0000-2000-000000000000}"/>
    <hyperlink ref="J9" r:id="rId2" xr:uid="{00000000-0004-0000-20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4" max="20" man="1"/>
    <brk id="133" max="20" man="1"/>
    <brk id="193" max="20" man="1"/>
  </rowBreaks>
  <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2D2926"/>
  </sheetPr>
  <dimension ref="A1:X289"/>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08984375" style="1" customWidth="1"/>
    <col min="10" max="10" width="17.81640625" style="1" customWidth="1"/>
    <col min="11" max="11" width="2.1796875" style="1" customWidth="1"/>
    <col min="12" max="12" width="14.81640625" style="1" customWidth="1"/>
    <col min="13" max="13" width="2.1796875" style="1" customWidth="1"/>
    <col min="14" max="14" width="15.54296875" style="1" customWidth="1"/>
    <col min="15" max="15" width="2.08984375" style="1" customWidth="1"/>
    <col min="16" max="16" width="15.54296875" style="1" customWidth="1"/>
    <col min="17" max="18" width="12.81640625" style="1" customWidth="1"/>
    <col min="19" max="19" width="7.81640625" style="1" customWidth="1"/>
    <col min="20" max="20" width="14.81640625" style="1" customWidth="1"/>
    <col min="21" max="21" width="11.81640625" style="1" customWidth="1"/>
    <col min="22" max="16384" width="9.81640625" style="1"/>
  </cols>
  <sheetData>
    <row r="1" spans="1:22" ht="20.399999999999999" x14ac:dyDescent="0.35">
      <c r="A1" s="173"/>
      <c r="B1" s="228" t="s">
        <v>228</v>
      </c>
      <c r="C1" s="174"/>
      <c r="D1" s="174"/>
      <c r="E1" s="174"/>
      <c r="F1" s="174"/>
      <c r="G1" s="174"/>
      <c r="H1" s="174"/>
      <c r="I1" s="174"/>
      <c r="J1" s="174"/>
      <c r="K1" s="174"/>
      <c r="L1" s="174"/>
      <c r="M1" s="174"/>
      <c r="N1" s="174"/>
      <c r="O1" s="174"/>
      <c r="P1" s="174"/>
      <c r="Q1" s="174"/>
      <c r="R1" s="174"/>
      <c r="S1" s="174"/>
      <c r="T1" s="174"/>
      <c r="U1" s="174"/>
      <c r="V1" s="5"/>
    </row>
    <row r="2" spans="1:22" ht="15.6" x14ac:dyDescent="0.3">
      <c r="A2" s="175"/>
      <c r="B2" s="176"/>
      <c r="C2" s="177"/>
      <c r="D2" s="177"/>
      <c r="E2" s="177"/>
      <c r="F2" s="177"/>
      <c r="G2" s="177"/>
      <c r="H2" s="177"/>
      <c r="I2" s="177"/>
      <c r="J2" s="177"/>
      <c r="K2" s="177"/>
      <c r="L2" s="177"/>
      <c r="M2" s="177"/>
      <c r="N2" s="177"/>
      <c r="O2" s="177"/>
      <c r="P2" s="177"/>
      <c r="Q2" s="177"/>
      <c r="R2" s="177"/>
      <c r="S2" s="177"/>
      <c r="T2" s="177"/>
      <c r="U2" s="177"/>
      <c r="V2" s="5"/>
    </row>
    <row r="3" spans="1:22" ht="15.6" x14ac:dyDescent="0.3">
      <c r="A3" s="178"/>
      <c r="B3" s="179" t="s">
        <v>229</v>
      </c>
      <c r="C3" s="177"/>
      <c r="D3" s="177"/>
      <c r="E3" s="177"/>
      <c r="F3" s="177"/>
      <c r="G3" s="177"/>
      <c r="H3" s="177"/>
      <c r="I3" s="177"/>
      <c r="J3" s="177"/>
      <c r="K3" s="177"/>
      <c r="L3" s="177"/>
      <c r="M3" s="177"/>
      <c r="N3" s="177"/>
      <c r="O3" s="177"/>
      <c r="P3" s="177"/>
      <c r="Q3" s="177"/>
      <c r="R3" s="177"/>
      <c r="S3" s="177"/>
      <c r="T3" s="177"/>
      <c r="U3" s="177"/>
      <c r="V3" s="5"/>
    </row>
    <row r="4" spans="1:22" ht="15.6" x14ac:dyDescent="0.3">
      <c r="A4" s="175"/>
      <c r="B4" s="176"/>
      <c r="C4" s="177"/>
      <c r="D4" s="177"/>
      <c r="E4" s="177"/>
      <c r="F4" s="177"/>
      <c r="G4" s="177"/>
      <c r="H4" s="177"/>
      <c r="I4" s="177"/>
      <c r="J4" s="177"/>
      <c r="K4" s="177"/>
      <c r="L4" s="177"/>
      <c r="M4" s="177"/>
      <c r="N4" s="177"/>
      <c r="O4" s="177"/>
      <c r="P4" s="177"/>
      <c r="Q4" s="177"/>
      <c r="R4" s="177"/>
      <c r="S4" s="177"/>
      <c r="T4" s="177"/>
      <c r="U4" s="177"/>
      <c r="V4" s="5"/>
    </row>
    <row r="5" spans="1:22" ht="15.6" x14ac:dyDescent="0.3">
      <c r="A5" s="175"/>
      <c r="B5" s="229" t="s">
        <v>143</v>
      </c>
      <c r="C5" s="177"/>
      <c r="D5" s="177"/>
      <c r="E5" s="177"/>
      <c r="F5" s="177"/>
      <c r="G5" s="177"/>
      <c r="H5" s="177"/>
      <c r="I5" s="177"/>
      <c r="J5" s="177"/>
      <c r="K5" s="177"/>
      <c r="L5" s="177"/>
      <c r="M5" s="177"/>
      <c r="N5" s="177"/>
      <c r="O5" s="177"/>
      <c r="P5" s="177"/>
      <c r="Q5" s="177"/>
      <c r="R5" s="177"/>
      <c r="S5" s="177"/>
      <c r="T5" s="177"/>
      <c r="U5" s="177"/>
      <c r="V5" s="5"/>
    </row>
    <row r="6" spans="1:22" ht="15.6" x14ac:dyDescent="0.3">
      <c r="A6" s="175"/>
      <c r="B6" s="229" t="s">
        <v>145</v>
      </c>
      <c r="C6" s="177"/>
      <c r="D6" s="177"/>
      <c r="E6" s="177"/>
      <c r="F6" s="177"/>
      <c r="G6" s="177"/>
      <c r="H6" s="177"/>
      <c r="I6" s="177"/>
      <c r="J6" s="177"/>
      <c r="K6" s="177"/>
      <c r="L6" s="177"/>
      <c r="M6" s="177"/>
      <c r="N6" s="177"/>
      <c r="O6" s="177"/>
      <c r="P6" s="177"/>
      <c r="Q6" s="177"/>
      <c r="R6" s="177"/>
      <c r="S6" s="177"/>
      <c r="T6" s="177"/>
      <c r="U6" s="177"/>
      <c r="V6" s="5"/>
    </row>
    <row r="7" spans="1:22" ht="15.6" x14ac:dyDescent="0.3">
      <c r="A7" s="175"/>
      <c r="B7" s="229" t="s">
        <v>144</v>
      </c>
      <c r="C7" s="177"/>
      <c r="D7" s="177"/>
      <c r="E7" s="177"/>
      <c r="F7" s="177"/>
      <c r="G7" s="177"/>
      <c r="H7" s="177"/>
      <c r="I7" s="177"/>
      <c r="J7" s="177"/>
      <c r="K7" s="177"/>
      <c r="L7" s="177"/>
      <c r="M7" s="177"/>
      <c r="N7" s="177"/>
      <c r="O7" s="177"/>
      <c r="P7" s="177"/>
      <c r="Q7" s="177"/>
      <c r="R7" s="177"/>
      <c r="S7" s="177"/>
      <c r="T7" s="177"/>
      <c r="U7" s="177"/>
      <c r="V7" s="5"/>
    </row>
    <row r="8" spans="1:22" ht="15.6" x14ac:dyDescent="0.3">
      <c r="A8" s="175"/>
      <c r="B8" s="180"/>
      <c r="C8" s="177"/>
      <c r="D8" s="177"/>
      <c r="E8" s="177"/>
      <c r="F8" s="177"/>
      <c r="G8" s="177"/>
      <c r="H8" s="177"/>
      <c r="I8" s="177"/>
      <c r="J8" s="177"/>
      <c r="K8" s="177"/>
      <c r="L8" s="177"/>
      <c r="M8" s="177"/>
      <c r="N8" s="177"/>
      <c r="O8" s="177"/>
      <c r="P8" s="177"/>
      <c r="Q8" s="177"/>
      <c r="R8" s="177"/>
      <c r="S8" s="177"/>
      <c r="T8" s="177"/>
      <c r="U8" s="177"/>
      <c r="V8" s="5"/>
    </row>
    <row r="9" spans="1:22" ht="17.399999999999999" x14ac:dyDescent="0.3">
      <c r="A9" s="175"/>
      <c r="B9" s="181" t="s">
        <v>173</v>
      </c>
      <c r="C9" s="177"/>
      <c r="D9" s="177"/>
      <c r="E9" s="177"/>
      <c r="F9" s="177"/>
      <c r="G9" s="177"/>
      <c r="H9" s="177"/>
      <c r="I9" s="177"/>
      <c r="J9" s="182" t="s">
        <v>174</v>
      </c>
      <c r="K9" s="177"/>
      <c r="L9" s="182"/>
      <c r="M9" s="177"/>
      <c r="N9" s="177"/>
      <c r="O9" s="177"/>
      <c r="P9" s="177"/>
      <c r="Q9" s="177"/>
      <c r="R9" s="177"/>
      <c r="S9" s="177"/>
      <c r="T9" s="177"/>
      <c r="U9" s="177"/>
      <c r="V9" s="5"/>
    </row>
    <row r="10" spans="1:22" ht="15.6" x14ac:dyDescent="0.3">
      <c r="A10" s="175"/>
      <c r="B10" s="180"/>
      <c r="C10" s="183"/>
      <c r="D10" s="183"/>
      <c r="E10" s="183"/>
      <c r="F10" s="177"/>
      <c r="G10" s="177"/>
      <c r="H10" s="177"/>
      <c r="I10" s="177"/>
      <c r="J10" s="177"/>
      <c r="K10" s="177"/>
      <c r="L10" s="177"/>
      <c r="M10" s="177"/>
      <c r="N10" s="177"/>
      <c r="O10" s="177"/>
      <c r="P10" s="177"/>
      <c r="Q10" s="177"/>
      <c r="R10" s="177"/>
      <c r="S10" s="177"/>
      <c r="T10" s="177"/>
      <c r="U10" s="177"/>
      <c r="V10" s="5"/>
    </row>
    <row r="11" spans="1:22" ht="15.6" x14ac:dyDescent="0.3">
      <c r="A11" s="175"/>
      <c r="B11" s="230" t="s">
        <v>0</v>
      </c>
      <c r="C11" s="177"/>
      <c r="D11" s="177"/>
      <c r="E11" s="177"/>
      <c r="F11" s="177"/>
      <c r="G11" s="177"/>
      <c r="H11" s="177"/>
      <c r="I11" s="177"/>
      <c r="J11" s="177"/>
      <c r="K11" s="177"/>
      <c r="L11" s="177"/>
      <c r="M11" s="177"/>
      <c r="N11" s="177"/>
      <c r="O11" s="177"/>
      <c r="P11" s="177"/>
      <c r="Q11" s="177"/>
      <c r="R11" s="177"/>
      <c r="S11" s="177"/>
      <c r="T11" s="177"/>
      <c r="U11" s="177"/>
      <c r="V11" s="5"/>
    </row>
    <row r="12" spans="1:22" ht="16.2" thickBot="1" x14ac:dyDescent="0.35">
      <c r="A12" s="175"/>
      <c r="B12" s="183"/>
      <c r="C12" s="177"/>
      <c r="D12" s="177"/>
      <c r="E12" s="177"/>
      <c r="F12" s="177"/>
      <c r="G12" s="177"/>
      <c r="H12" s="177"/>
      <c r="I12" s="177"/>
      <c r="J12" s="177"/>
      <c r="K12" s="177"/>
      <c r="L12" s="177"/>
      <c r="M12" s="177"/>
      <c r="N12" s="177"/>
      <c r="O12" s="177"/>
      <c r="P12" s="177"/>
      <c r="Q12" s="177"/>
      <c r="R12" s="177"/>
      <c r="S12" s="177"/>
      <c r="T12" s="177"/>
      <c r="U12" s="177"/>
      <c r="V12" s="5"/>
    </row>
    <row r="13" spans="1:22" ht="15.6" x14ac:dyDescent="0.3">
      <c r="A13" s="173"/>
      <c r="B13" s="174"/>
      <c r="C13" s="174"/>
      <c r="D13" s="174"/>
      <c r="E13" s="174"/>
      <c r="F13" s="174"/>
      <c r="G13" s="174"/>
      <c r="H13" s="174"/>
      <c r="I13" s="174"/>
      <c r="J13" s="174"/>
      <c r="K13" s="174"/>
      <c r="L13" s="174"/>
      <c r="M13" s="174"/>
      <c r="N13" s="174"/>
      <c r="O13" s="174"/>
      <c r="P13" s="174"/>
      <c r="Q13" s="174"/>
      <c r="R13" s="174"/>
      <c r="S13" s="174"/>
      <c r="T13" s="174"/>
      <c r="U13" s="174"/>
      <c r="V13" s="5"/>
    </row>
    <row r="14" spans="1:22" ht="15.6" x14ac:dyDescent="0.3">
      <c r="A14" s="175"/>
      <c r="B14" s="230" t="s">
        <v>1</v>
      </c>
      <c r="C14" s="184"/>
      <c r="D14" s="184"/>
      <c r="E14" s="184"/>
      <c r="F14" s="184"/>
      <c r="G14" s="184"/>
      <c r="H14" s="184"/>
      <c r="I14" s="184"/>
      <c r="J14" s="184"/>
      <c r="K14" s="184"/>
      <c r="L14" s="184"/>
      <c r="M14" s="184"/>
      <c r="N14" s="184"/>
      <c r="O14" s="184"/>
      <c r="P14" s="231"/>
      <c r="Q14" s="231"/>
      <c r="R14" s="231"/>
      <c r="S14" s="231"/>
      <c r="T14" s="233" t="s">
        <v>230</v>
      </c>
      <c r="U14" s="184"/>
      <c r="V14" s="5"/>
    </row>
    <row r="15" spans="1:22" ht="15.6" x14ac:dyDescent="0.3">
      <c r="A15" s="175"/>
      <c r="B15" s="230" t="s">
        <v>2</v>
      </c>
      <c r="C15" s="184"/>
      <c r="D15" s="184"/>
      <c r="E15" s="184"/>
      <c r="F15" s="184"/>
      <c r="G15" s="184"/>
      <c r="H15" s="185"/>
      <c r="I15" s="185"/>
      <c r="J15" s="185"/>
      <c r="K15" s="185"/>
      <c r="L15" s="185"/>
      <c r="M15" s="185"/>
      <c r="N15" s="185"/>
      <c r="O15" s="185"/>
      <c r="P15" s="234" t="s">
        <v>107</v>
      </c>
      <c r="Q15" s="235">
        <v>0.40749999999999997</v>
      </c>
      <c r="R15" s="236" t="s">
        <v>146</v>
      </c>
      <c r="S15" s="235">
        <v>0.59250000000000003</v>
      </c>
      <c r="T15" s="233"/>
      <c r="U15" s="184"/>
      <c r="V15" s="5"/>
    </row>
    <row r="16" spans="1:22" ht="15.6" x14ac:dyDescent="0.3">
      <c r="A16" s="175"/>
      <c r="B16" s="230" t="s">
        <v>3</v>
      </c>
      <c r="C16" s="184"/>
      <c r="D16" s="184"/>
      <c r="E16" s="184"/>
      <c r="F16" s="184"/>
      <c r="G16" s="184"/>
      <c r="H16" s="185"/>
      <c r="I16" s="185"/>
      <c r="J16" s="185"/>
      <c r="K16" s="185"/>
      <c r="L16" s="185"/>
      <c r="M16" s="185"/>
      <c r="N16" s="185"/>
      <c r="O16" s="185"/>
      <c r="P16" s="234" t="s">
        <v>107</v>
      </c>
      <c r="Q16" s="235">
        <v>0.4607</v>
      </c>
      <c r="R16" s="236" t="s">
        <v>146</v>
      </c>
      <c r="S16" s="235">
        <v>0.5393</v>
      </c>
      <c r="T16" s="233"/>
      <c r="U16" s="184"/>
      <c r="V16" s="5"/>
    </row>
    <row r="17" spans="1:22" ht="15.6" x14ac:dyDescent="0.3">
      <c r="A17" s="175"/>
      <c r="B17" s="230" t="s">
        <v>4</v>
      </c>
      <c r="C17" s="184"/>
      <c r="D17" s="184"/>
      <c r="E17" s="184"/>
      <c r="F17" s="184"/>
      <c r="G17" s="184"/>
      <c r="H17" s="184"/>
      <c r="I17" s="184"/>
      <c r="J17" s="184"/>
      <c r="K17" s="184"/>
      <c r="L17" s="184"/>
      <c r="M17" s="184"/>
      <c r="N17" s="184"/>
      <c r="O17" s="184"/>
      <c r="P17" s="231"/>
      <c r="Q17" s="231"/>
      <c r="R17" s="231"/>
      <c r="S17" s="231"/>
      <c r="T17" s="237">
        <v>38799</v>
      </c>
      <c r="U17" s="184"/>
      <c r="V17" s="5"/>
    </row>
    <row r="18" spans="1:22" ht="15.6" x14ac:dyDescent="0.3">
      <c r="A18" s="175"/>
      <c r="B18" s="230" t="s">
        <v>5</v>
      </c>
      <c r="C18" s="184"/>
      <c r="D18" s="184"/>
      <c r="E18" s="184"/>
      <c r="F18" s="184"/>
      <c r="G18" s="184"/>
      <c r="H18" s="184"/>
      <c r="I18" s="184"/>
      <c r="J18" s="184"/>
      <c r="K18" s="184"/>
      <c r="L18" s="184"/>
      <c r="M18" s="184"/>
      <c r="N18" s="184"/>
      <c r="O18" s="184"/>
      <c r="P18" s="231"/>
      <c r="Q18" s="231"/>
      <c r="R18" s="231"/>
      <c r="S18" s="231"/>
      <c r="T18" s="237">
        <v>41934</v>
      </c>
      <c r="U18" s="184"/>
      <c r="V18" s="5"/>
    </row>
    <row r="19" spans="1:22" ht="15.6" x14ac:dyDescent="0.3">
      <c r="A19" s="175"/>
      <c r="B19" s="177"/>
      <c r="C19" s="177"/>
      <c r="D19" s="177"/>
      <c r="E19" s="177"/>
      <c r="F19" s="177"/>
      <c r="G19" s="177"/>
      <c r="H19" s="177"/>
      <c r="I19" s="177"/>
      <c r="J19" s="177"/>
      <c r="K19" s="177"/>
      <c r="L19" s="177"/>
      <c r="M19" s="177"/>
      <c r="N19" s="177"/>
      <c r="O19" s="177"/>
      <c r="P19" s="177"/>
      <c r="Q19" s="177"/>
      <c r="R19" s="177"/>
      <c r="S19" s="177"/>
      <c r="T19" s="186"/>
      <c r="U19" s="177"/>
      <c r="V19" s="5"/>
    </row>
    <row r="20" spans="1:22" ht="15.6" x14ac:dyDescent="0.3">
      <c r="A20" s="175"/>
      <c r="B20" s="232" t="s">
        <v>6</v>
      </c>
      <c r="C20" s="177"/>
      <c r="D20" s="177"/>
      <c r="E20" s="177"/>
      <c r="F20" s="177"/>
      <c r="G20" s="177"/>
      <c r="H20" s="177"/>
      <c r="I20" s="177"/>
      <c r="J20" s="177"/>
      <c r="K20" s="177"/>
      <c r="L20" s="177"/>
      <c r="M20" s="177"/>
      <c r="N20" s="177"/>
      <c r="O20" s="177"/>
      <c r="P20" s="177"/>
      <c r="Q20" s="177"/>
      <c r="R20" s="238" t="s">
        <v>108</v>
      </c>
      <c r="S20" s="177"/>
      <c r="T20" s="188"/>
      <c r="U20" s="177"/>
      <c r="V20" s="5"/>
    </row>
    <row r="21" spans="1:22" ht="15.6" x14ac:dyDescent="0.3">
      <c r="A21" s="175"/>
      <c r="B21" s="177"/>
      <c r="C21" s="177"/>
      <c r="D21" s="177"/>
      <c r="E21" s="177"/>
      <c r="F21" s="177"/>
      <c r="G21" s="177"/>
      <c r="H21" s="177"/>
      <c r="I21" s="177"/>
      <c r="J21" s="177"/>
      <c r="K21" s="177"/>
      <c r="L21" s="177"/>
      <c r="M21" s="177"/>
      <c r="N21" s="177"/>
      <c r="O21" s="177"/>
      <c r="P21" s="177"/>
      <c r="Q21" s="177"/>
      <c r="R21" s="177"/>
      <c r="S21" s="177"/>
      <c r="T21" s="189"/>
      <c r="U21" s="177"/>
      <c r="V21" s="5"/>
    </row>
    <row r="22" spans="1:22" ht="15.6" x14ac:dyDescent="0.3">
      <c r="A22" s="222"/>
      <c r="B22" s="223"/>
      <c r="C22" s="224"/>
      <c r="D22" s="224" t="s">
        <v>184</v>
      </c>
      <c r="E22" s="224"/>
      <c r="F22" s="224" t="s">
        <v>185</v>
      </c>
      <c r="G22" s="224"/>
      <c r="H22" s="224" t="s">
        <v>186</v>
      </c>
      <c r="I22" s="224"/>
      <c r="J22" s="224" t="s">
        <v>187</v>
      </c>
      <c r="K22" s="224"/>
      <c r="L22" s="224" t="s">
        <v>188</v>
      </c>
      <c r="M22" s="224"/>
      <c r="N22" s="224" t="s">
        <v>189</v>
      </c>
      <c r="O22" s="224"/>
      <c r="P22" s="224"/>
      <c r="Q22" s="226"/>
      <c r="R22" s="226"/>
      <c r="S22" s="227"/>
      <c r="T22" s="227"/>
      <c r="U22" s="223"/>
      <c r="V22" s="5"/>
    </row>
    <row r="23" spans="1:22" ht="15.6" x14ac:dyDescent="0.3">
      <c r="A23" s="190"/>
      <c r="B23" s="239" t="s">
        <v>7</v>
      </c>
      <c r="C23" s="240"/>
      <c r="D23" s="240" t="s">
        <v>222</v>
      </c>
      <c r="E23" s="240"/>
      <c r="F23" s="240" t="s">
        <v>147</v>
      </c>
      <c r="G23" s="240"/>
      <c r="H23" s="240" t="s">
        <v>147</v>
      </c>
      <c r="I23" s="240"/>
      <c r="J23" s="240" t="s">
        <v>190</v>
      </c>
      <c r="K23" s="240"/>
      <c r="L23" s="240" t="s">
        <v>190</v>
      </c>
      <c r="M23" s="240"/>
      <c r="N23" s="240" t="s">
        <v>148</v>
      </c>
      <c r="O23" s="240"/>
      <c r="P23" s="240"/>
      <c r="Q23" s="240"/>
      <c r="R23" s="240"/>
      <c r="S23" s="241"/>
      <c r="T23" s="241"/>
      <c r="U23" s="239"/>
      <c r="V23" s="5"/>
    </row>
    <row r="24" spans="1:22" ht="15.6" x14ac:dyDescent="0.3">
      <c r="A24" s="284"/>
      <c r="B24" s="285" t="s">
        <v>8</v>
      </c>
      <c r="C24" s="286"/>
      <c r="D24" s="286" t="s">
        <v>223</v>
      </c>
      <c r="E24" s="286"/>
      <c r="F24" s="286" t="s">
        <v>149</v>
      </c>
      <c r="G24" s="286"/>
      <c r="H24" s="286" t="s">
        <v>149</v>
      </c>
      <c r="I24" s="286"/>
      <c r="J24" s="286" t="s">
        <v>172</v>
      </c>
      <c r="K24" s="286"/>
      <c r="L24" s="286" t="s">
        <v>172</v>
      </c>
      <c r="M24" s="286"/>
      <c r="N24" s="286" t="s">
        <v>150</v>
      </c>
      <c r="O24" s="286"/>
      <c r="P24" s="286"/>
      <c r="Q24" s="286"/>
      <c r="R24" s="286"/>
      <c r="S24" s="287"/>
      <c r="T24" s="287"/>
      <c r="U24" s="288"/>
      <c r="V24" s="5"/>
    </row>
    <row r="25" spans="1:22" ht="15.6" x14ac:dyDescent="0.3">
      <c r="A25" s="289"/>
      <c r="B25" s="285" t="s">
        <v>198</v>
      </c>
      <c r="C25" s="394"/>
      <c r="D25" s="286" t="s">
        <v>224</v>
      </c>
      <c r="E25" s="286"/>
      <c r="F25" s="286" t="s">
        <v>149</v>
      </c>
      <c r="G25" s="286"/>
      <c r="H25" s="286" t="s">
        <v>149</v>
      </c>
      <c r="I25" s="286"/>
      <c r="J25" s="286" t="s">
        <v>172</v>
      </c>
      <c r="K25" s="286"/>
      <c r="L25" s="286" t="s">
        <v>172</v>
      </c>
      <c r="M25" s="286"/>
      <c r="N25" s="286" t="s">
        <v>150</v>
      </c>
      <c r="O25" s="286"/>
      <c r="P25" s="286"/>
      <c r="Q25" s="394"/>
      <c r="R25" s="286"/>
      <c r="S25" s="287"/>
      <c r="T25" s="287"/>
      <c r="U25" s="288"/>
      <c r="V25" s="5"/>
    </row>
    <row r="26" spans="1:22" ht="15.6" x14ac:dyDescent="0.3">
      <c r="A26" s="289"/>
      <c r="B26" s="292" t="s">
        <v>9</v>
      </c>
      <c r="C26" s="394"/>
      <c r="D26" s="394" t="s">
        <v>306</v>
      </c>
      <c r="E26" s="394"/>
      <c r="F26" s="394" t="s">
        <v>147</v>
      </c>
      <c r="G26" s="394"/>
      <c r="H26" s="394" t="s">
        <v>147</v>
      </c>
      <c r="I26" s="394"/>
      <c r="J26" s="394" t="s">
        <v>190</v>
      </c>
      <c r="K26" s="394"/>
      <c r="L26" s="394" t="s">
        <v>190</v>
      </c>
      <c r="M26" s="394"/>
      <c r="N26" s="394" t="s">
        <v>148</v>
      </c>
      <c r="O26" s="394"/>
      <c r="P26" s="394"/>
      <c r="Q26" s="394"/>
      <c r="R26" s="286"/>
      <c r="S26" s="287"/>
      <c r="T26" s="287"/>
      <c r="U26" s="288"/>
      <c r="V26" s="5"/>
    </row>
    <row r="27" spans="1:22" ht="15.6" x14ac:dyDescent="0.3">
      <c r="A27" s="284"/>
      <c r="B27" s="292" t="s">
        <v>199</v>
      </c>
      <c r="C27" s="286"/>
      <c r="D27" s="394" t="s">
        <v>307</v>
      </c>
      <c r="E27" s="394"/>
      <c r="F27" s="394" t="s">
        <v>172</v>
      </c>
      <c r="G27" s="394"/>
      <c r="H27" s="394" t="s">
        <v>172</v>
      </c>
      <c r="I27" s="394"/>
      <c r="J27" s="394" t="s">
        <v>150</v>
      </c>
      <c r="K27" s="394"/>
      <c r="L27" s="394" t="s">
        <v>150</v>
      </c>
      <c r="M27" s="394"/>
      <c r="N27" s="394" t="s">
        <v>308</v>
      </c>
      <c r="O27" s="394"/>
      <c r="P27" s="394"/>
      <c r="Q27" s="286"/>
      <c r="R27" s="293"/>
      <c r="S27" s="287"/>
      <c r="T27" s="287"/>
      <c r="U27" s="288"/>
      <c r="V27" s="5"/>
    </row>
    <row r="28" spans="1:22" ht="15.6" x14ac:dyDescent="0.3">
      <c r="A28" s="284"/>
      <c r="B28" s="292" t="s">
        <v>200</v>
      </c>
      <c r="C28" s="286"/>
      <c r="D28" s="394" t="s">
        <v>302</v>
      </c>
      <c r="E28" s="394"/>
      <c r="F28" s="394" t="s">
        <v>149</v>
      </c>
      <c r="G28" s="394"/>
      <c r="H28" s="394" t="s">
        <v>149</v>
      </c>
      <c r="I28" s="394"/>
      <c r="J28" s="394" t="s">
        <v>322</v>
      </c>
      <c r="K28" s="394"/>
      <c r="L28" s="394" t="s">
        <v>322</v>
      </c>
      <c r="M28" s="394"/>
      <c r="N28" s="394" t="s">
        <v>150</v>
      </c>
      <c r="O28" s="394"/>
      <c r="P28" s="394"/>
      <c r="Q28" s="286"/>
      <c r="R28" s="293"/>
      <c r="S28" s="287"/>
      <c r="T28" s="287"/>
      <c r="U28" s="288"/>
      <c r="V28" s="5"/>
    </row>
    <row r="29" spans="1:22" ht="15.6" x14ac:dyDescent="0.3">
      <c r="A29" s="284"/>
      <c r="B29" s="285" t="s">
        <v>10</v>
      </c>
      <c r="C29" s="295"/>
      <c r="D29" s="286" t="s">
        <v>237</v>
      </c>
      <c r="E29" s="286"/>
      <c r="F29" s="293" t="s">
        <v>238</v>
      </c>
      <c r="G29" s="286"/>
      <c r="H29" s="286" t="s">
        <v>239</v>
      </c>
      <c r="I29" s="286"/>
      <c r="J29" s="286" t="s">
        <v>240</v>
      </c>
      <c r="K29" s="286"/>
      <c r="L29" s="286" t="s">
        <v>241</v>
      </c>
      <c r="M29" s="286"/>
      <c r="N29" s="286" t="s">
        <v>242</v>
      </c>
      <c r="O29" s="286"/>
      <c r="P29" s="286"/>
      <c r="Q29" s="296"/>
      <c r="R29" s="296"/>
      <c r="S29" s="297"/>
      <c r="T29" s="296"/>
      <c r="U29" s="298"/>
      <c r="V29" s="5"/>
    </row>
    <row r="30" spans="1:22" ht="15.6" x14ac:dyDescent="0.3">
      <c r="A30" s="284"/>
      <c r="B30" s="285" t="s">
        <v>10</v>
      </c>
      <c r="C30" s="295"/>
      <c r="D30" s="286" t="s">
        <v>236</v>
      </c>
      <c r="E30" s="286"/>
      <c r="F30" s="293" t="s">
        <v>124</v>
      </c>
      <c r="G30" s="286"/>
      <c r="H30" s="286" t="s">
        <v>124</v>
      </c>
      <c r="I30" s="286"/>
      <c r="J30" s="286" t="s">
        <v>124</v>
      </c>
      <c r="K30" s="286"/>
      <c r="L30" s="286" t="s">
        <v>124</v>
      </c>
      <c r="M30" s="286"/>
      <c r="N30" s="286" t="s">
        <v>124</v>
      </c>
      <c r="O30" s="286"/>
      <c r="P30" s="286"/>
      <c r="Q30" s="296"/>
      <c r="R30" s="296"/>
      <c r="S30" s="297"/>
      <c r="T30" s="296"/>
      <c r="U30" s="298"/>
      <c r="V30" s="5"/>
    </row>
    <row r="31" spans="1:22" ht="15.6" x14ac:dyDescent="0.3">
      <c r="A31" s="289"/>
      <c r="B31" s="285" t="s">
        <v>139</v>
      </c>
      <c r="C31" s="299"/>
      <c r="D31" s="300">
        <v>985000</v>
      </c>
      <c r="E31" s="295"/>
      <c r="F31" s="296">
        <v>149500</v>
      </c>
      <c r="G31" s="296"/>
      <c r="H31" s="301">
        <v>219700</v>
      </c>
      <c r="I31" s="296"/>
      <c r="J31" s="296">
        <v>16000</v>
      </c>
      <c r="K31" s="296"/>
      <c r="L31" s="301">
        <v>82400</v>
      </c>
      <c r="M31" s="296"/>
      <c r="N31" s="301">
        <v>87500</v>
      </c>
      <c r="O31" s="296"/>
      <c r="P31" s="301"/>
      <c r="Q31" s="302"/>
      <c r="R31" s="302"/>
      <c r="S31" s="303"/>
      <c r="T31" s="302"/>
      <c r="U31" s="298"/>
      <c r="V31" s="5"/>
    </row>
    <row r="32" spans="1:22" ht="15.6" x14ac:dyDescent="0.3">
      <c r="A32" s="284"/>
      <c r="B32" s="285" t="s">
        <v>138</v>
      </c>
      <c r="C32" s="295"/>
      <c r="D32" s="300">
        <f>D38*D31</f>
        <v>446061.6825</v>
      </c>
      <c r="E32" s="295"/>
      <c r="F32" s="296">
        <f>F38*F31</f>
        <v>67701.9421</v>
      </c>
      <c r="G32" s="296"/>
      <c r="H32" s="301">
        <f>H38*H31</f>
        <v>99492.419259999995</v>
      </c>
      <c r="I32" s="296"/>
      <c r="J32" s="296">
        <f>+J31</f>
        <v>16000</v>
      </c>
      <c r="K32" s="296"/>
      <c r="L32" s="301">
        <f>+L31</f>
        <v>82400</v>
      </c>
      <c r="M32" s="296"/>
      <c r="N32" s="301">
        <f>+N31</f>
        <v>87500</v>
      </c>
      <c r="O32" s="296"/>
      <c r="P32" s="301"/>
      <c r="Q32" s="296"/>
      <c r="R32" s="296"/>
      <c r="S32" s="297"/>
      <c r="T32" s="296"/>
      <c r="U32" s="298"/>
      <c r="V32" s="5"/>
    </row>
    <row r="33" spans="1:22" ht="15.6" x14ac:dyDescent="0.3">
      <c r="A33" s="284"/>
      <c r="B33" s="292" t="s">
        <v>140</v>
      </c>
      <c r="C33" s="295"/>
      <c r="D33" s="304">
        <f>D37*D31</f>
        <v>438511.85450000002</v>
      </c>
      <c r="E33" s="299"/>
      <c r="F33" s="302">
        <f>F37*F31</f>
        <v>66556.054499999998</v>
      </c>
      <c r="G33" s="302"/>
      <c r="H33" s="305">
        <f>H31*H37</f>
        <v>97808.462700000004</v>
      </c>
      <c r="I33" s="302"/>
      <c r="J33" s="302">
        <f>J31*J37</f>
        <v>16000</v>
      </c>
      <c r="K33" s="302"/>
      <c r="L33" s="305">
        <f>L31*L37</f>
        <v>82400</v>
      </c>
      <c r="M33" s="302"/>
      <c r="N33" s="305">
        <f>N31*N37</f>
        <v>87500</v>
      </c>
      <c r="O33" s="302"/>
      <c r="P33" s="305"/>
      <c r="Q33" s="296"/>
      <c r="R33" s="296"/>
      <c r="S33" s="297"/>
      <c r="T33" s="296"/>
      <c r="U33" s="298"/>
      <c r="V33" s="5"/>
    </row>
    <row r="34" spans="1:22" ht="15.6" x14ac:dyDescent="0.3">
      <c r="A34" s="289"/>
      <c r="B34" s="285" t="s">
        <v>283</v>
      </c>
      <c r="C34" s="299"/>
      <c r="D34" s="296">
        <v>567282</v>
      </c>
      <c r="E34" s="295"/>
      <c r="F34" s="296">
        <v>149500</v>
      </c>
      <c r="G34" s="296"/>
      <c r="H34" s="296">
        <v>150716</v>
      </c>
      <c r="I34" s="296"/>
      <c r="J34" s="296">
        <v>16000</v>
      </c>
      <c r="K34" s="296"/>
      <c r="L34" s="296">
        <v>56527</v>
      </c>
      <c r="M34" s="296"/>
      <c r="N34" s="296">
        <v>60025</v>
      </c>
      <c r="O34" s="296"/>
      <c r="P34" s="296"/>
      <c r="Q34" s="302"/>
      <c r="R34" s="302"/>
      <c r="S34" s="303"/>
      <c r="T34" s="296">
        <f>SUM(C34:P34)</f>
        <v>1000050</v>
      </c>
      <c r="U34" s="298"/>
      <c r="V34" s="5"/>
    </row>
    <row r="35" spans="1:22" ht="15.6" x14ac:dyDescent="0.3">
      <c r="A35" s="289"/>
      <c r="B35" s="285" t="s">
        <v>284</v>
      </c>
      <c r="C35" s="299"/>
      <c r="D35" s="296">
        <f>D38*D34</f>
        <v>256896.206469</v>
      </c>
      <c r="E35" s="295"/>
      <c r="F35" s="296">
        <f>F38*F34</f>
        <v>67701.9421</v>
      </c>
      <c r="G35" s="296"/>
      <c r="H35" s="296">
        <f>H38*H34</f>
        <v>68252.6147528</v>
      </c>
      <c r="I35" s="296"/>
      <c r="J35" s="296">
        <f>+J34</f>
        <v>16000</v>
      </c>
      <c r="K35" s="296"/>
      <c r="L35" s="296">
        <f>+L34</f>
        <v>56527</v>
      </c>
      <c r="M35" s="296"/>
      <c r="N35" s="296">
        <f>+N34</f>
        <v>60025</v>
      </c>
      <c r="O35" s="296"/>
      <c r="P35" s="296"/>
      <c r="Q35" s="296"/>
      <c r="R35" s="296"/>
      <c r="S35" s="297"/>
      <c r="T35" s="296">
        <f>SUM(C35:P35)+1</f>
        <v>525403.76332180004</v>
      </c>
      <c r="U35" s="298"/>
      <c r="V35" s="5"/>
    </row>
    <row r="36" spans="1:22" ht="15.6" x14ac:dyDescent="0.3">
      <c r="A36" s="289"/>
      <c r="B36" s="292" t="s">
        <v>285</v>
      </c>
      <c r="C36" s="299"/>
      <c r="D36" s="302">
        <f>D37*D34</f>
        <v>252548.10339540002</v>
      </c>
      <c r="E36" s="299"/>
      <c r="F36" s="302">
        <f>F37*F34</f>
        <v>66556.054499999998</v>
      </c>
      <c r="G36" s="302"/>
      <c r="H36" s="302">
        <f>H37*H34</f>
        <v>67097.406755999997</v>
      </c>
      <c r="I36" s="302"/>
      <c r="J36" s="302">
        <f>+J34</f>
        <v>16000</v>
      </c>
      <c r="K36" s="302"/>
      <c r="L36" s="302">
        <f>+L34</f>
        <v>56527</v>
      </c>
      <c r="M36" s="302"/>
      <c r="N36" s="302">
        <f>+N34</f>
        <v>60025</v>
      </c>
      <c r="O36" s="302"/>
      <c r="P36" s="302"/>
      <c r="Q36" s="327"/>
      <c r="R36" s="327"/>
      <c r="S36" s="297"/>
      <c r="T36" s="302">
        <f>SUM(C36:P36)+1</f>
        <v>518754.56465140003</v>
      </c>
      <c r="U36" s="298"/>
      <c r="V36" s="5"/>
    </row>
    <row r="37" spans="1:22" ht="15.6" x14ac:dyDescent="0.3">
      <c r="A37" s="284"/>
      <c r="B37" s="310" t="s">
        <v>136</v>
      </c>
      <c r="C37" s="311"/>
      <c r="D37" s="312">
        <v>0.44518970000000002</v>
      </c>
      <c r="E37" s="313"/>
      <c r="F37" s="312">
        <v>0.445191</v>
      </c>
      <c r="G37" s="314"/>
      <c r="H37" s="312">
        <v>0.445191</v>
      </c>
      <c r="I37" s="314"/>
      <c r="J37" s="312">
        <v>1</v>
      </c>
      <c r="K37" s="314"/>
      <c r="L37" s="312">
        <v>1</v>
      </c>
      <c r="M37" s="314"/>
      <c r="N37" s="312">
        <v>1</v>
      </c>
      <c r="O37" s="314"/>
      <c r="P37" s="314"/>
      <c r="Q37" s="315"/>
      <c r="R37" s="315"/>
      <c r="S37" s="316"/>
      <c r="T37" s="316"/>
      <c r="U37" s="317"/>
      <c r="V37" s="5"/>
    </row>
    <row r="38" spans="1:22" ht="15.6" x14ac:dyDescent="0.3">
      <c r="A38" s="284"/>
      <c r="B38" s="310" t="s">
        <v>137</v>
      </c>
      <c r="C38" s="311"/>
      <c r="D38" s="312">
        <v>0.45285449999999999</v>
      </c>
      <c r="E38" s="313"/>
      <c r="F38" s="312">
        <v>0.45285579999999998</v>
      </c>
      <c r="G38" s="314"/>
      <c r="H38" s="312">
        <v>0.45285579999999998</v>
      </c>
      <c r="I38" s="314"/>
      <c r="J38" s="312">
        <v>1</v>
      </c>
      <c r="K38" s="314"/>
      <c r="L38" s="312">
        <v>1</v>
      </c>
      <c r="M38" s="314"/>
      <c r="N38" s="312">
        <v>1</v>
      </c>
      <c r="O38" s="314"/>
      <c r="P38" s="314"/>
      <c r="Q38" s="318"/>
      <c r="R38" s="319"/>
      <c r="S38" s="316"/>
      <c r="T38" s="318"/>
      <c r="U38" s="317"/>
      <c r="V38" s="5"/>
    </row>
    <row r="39" spans="1:22" ht="15.6" x14ac:dyDescent="0.3">
      <c r="A39" s="284"/>
      <c r="B39" s="285" t="s">
        <v>11</v>
      </c>
      <c r="C39" s="285"/>
      <c r="D39" s="293" t="s">
        <v>275</v>
      </c>
      <c r="E39" s="285"/>
      <c r="F39" s="293" t="s">
        <v>232</v>
      </c>
      <c r="G39" s="293"/>
      <c r="H39" s="293" t="s">
        <v>232</v>
      </c>
      <c r="I39" s="293"/>
      <c r="J39" s="293" t="s">
        <v>234</v>
      </c>
      <c r="K39" s="293"/>
      <c r="L39" s="293" t="s">
        <v>234</v>
      </c>
      <c r="M39" s="293"/>
      <c r="N39" s="293" t="s">
        <v>235</v>
      </c>
      <c r="O39" s="293"/>
      <c r="P39" s="293"/>
      <c r="Q39" s="320"/>
      <c r="R39" s="321"/>
      <c r="S39" s="287"/>
      <c r="T39" s="287"/>
      <c r="U39" s="288"/>
      <c r="V39" s="5"/>
    </row>
    <row r="40" spans="1:22" ht="15.6" x14ac:dyDescent="0.3">
      <c r="A40" s="284"/>
      <c r="B40" s="285" t="s">
        <v>12</v>
      </c>
      <c r="C40" s="285"/>
      <c r="D40" s="321">
        <v>2.5360000000000001E-3</v>
      </c>
      <c r="E40" s="285"/>
      <c r="F40" s="321">
        <v>7.9749999999999995E-3</v>
      </c>
      <c r="G40" s="320"/>
      <c r="H40" s="321">
        <v>4.4299999999999999E-3</v>
      </c>
      <c r="I40" s="320"/>
      <c r="J40" s="321">
        <v>1.0375000000000001E-2</v>
      </c>
      <c r="K40" s="320"/>
      <c r="L40" s="321">
        <v>6.8300000000000001E-3</v>
      </c>
      <c r="M40" s="320"/>
      <c r="N40" s="321">
        <v>1.103E-2</v>
      </c>
      <c r="O40" s="320"/>
      <c r="P40" s="321"/>
      <c r="Q40" s="320"/>
      <c r="R40" s="321"/>
      <c r="S40" s="287"/>
      <c r="T40" s="293"/>
      <c r="U40" s="288"/>
      <c r="V40" s="5"/>
    </row>
    <row r="41" spans="1:22" ht="15.6" x14ac:dyDescent="0.3">
      <c r="A41" s="284"/>
      <c r="B41" s="285" t="s">
        <v>13</v>
      </c>
      <c r="C41" s="285"/>
      <c r="D41" s="321">
        <v>2.5175000000000002E-3</v>
      </c>
      <c r="E41" s="285"/>
      <c r="F41" s="321">
        <v>7.6531000000000004E-3</v>
      </c>
      <c r="G41" s="320"/>
      <c r="H41" s="321">
        <v>5.6800000000000002E-3</v>
      </c>
      <c r="I41" s="320"/>
      <c r="J41" s="321">
        <v>1.0053100000000001E-2</v>
      </c>
      <c r="K41" s="320"/>
      <c r="L41" s="321">
        <v>8.0800000000000004E-3</v>
      </c>
      <c r="M41" s="320"/>
      <c r="N41" s="321">
        <v>1.2279999999999999E-2</v>
      </c>
      <c r="O41" s="320"/>
      <c r="P41" s="321"/>
      <c r="Q41" s="320"/>
      <c r="R41" s="321"/>
      <c r="S41" s="287"/>
      <c r="T41" s="320" t="s">
        <v>201</v>
      </c>
      <c r="U41" s="288"/>
      <c r="V41" s="5"/>
    </row>
    <row r="42" spans="1:22" ht="15.6" x14ac:dyDescent="0.3">
      <c r="A42" s="284"/>
      <c r="B42" s="285" t="s">
        <v>286</v>
      </c>
      <c r="C42" s="285"/>
      <c r="D42" s="293" t="s">
        <v>231</v>
      </c>
      <c r="E42" s="285"/>
      <c r="F42" s="293" t="s">
        <v>232</v>
      </c>
      <c r="G42" s="293"/>
      <c r="H42" s="293" t="s">
        <v>232</v>
      </c>
      <c r="I42" s="293"/>
      <c r="J42" s="293" t="s">
        <v>234</v>
      </c>
      <c r="K42" s="293"/>
      <c r="L42" s="293" t="s">
        <v>245</v>
      </c>
      <c r="M42" s="293"/>
      <c r="N42" s="293" t="s">
        <v>247</v>
      </c>
      <c r="O42" s="293"/>
      <c r="P42" s="293"/>
      <c r="Q42" s="320"/>
      <c r="R42" s="321"/>
      <c r="S42" s="287"/>
      <c r="T42" s="287"/>
      <c r="U42" s="288"/>
      <c r="V42" s="5"/>
    </row>
    <row r="43" spans="1:22" ht="15.6" x14ac:dyDescent="0.3">
      <c r="A43" s="284"/>
      <c r="B43" s="285" t="s">
        <v>287</v>
      </c>
      <c r="C43" s="322"/>
      <c r="D43" s="321">
        <v>6.8111999999999999E-3</v>
      </c>
      <c r="E43" s="321"/>
      <c r="F43" s="321">
        <f>+F40</f>
        <v>7.9749999999999995E-3</v>
      </c>
      <c r="G43" s="321"/>
      <c r="H43" s="321">
        <v>7.9710000000000007E-3</v>
      </c>
      <c r="I43" s="321"/>
      <c r="J43" s="321">
        <f>+J40</f>
        <v>1.0375000000000001E-2</v>
      </c>
      <c r="K43" s="321"/>
      <c r="L43" s="321">
        <v>1.0681E-2</v>
      </c>
      <c r="M43" s="321"/>
      <c r="N43" s="321">
        <v>1.5384999999999999E-2</v>
      </c>
      <c r="O43" s="320"/>
      <c r="P43" s="321"/>
      <c r="Q43" s="293"/>
      <c r="R43" s="293"/>
      <c r="S43" s="287"/>
      <c r="T43" s="320">
        <f>SUMPRODUCT(D43:N43,D35:N35)/T35</f>
        <v>8.6162030993505202E-3</v>
      </c>
      <c r="U43" s="288"/>
      <c r="V43" s="5"/>
    </row>
    <row r="44" spans="1:22" ht="15.6" x14ac:dyDescent="0.3">
      <c r="A44" s="284"/>
      <c r="B44" s="285" t="s">
        <v>288</v>
      </c>
      <c r="C44" s="322"/>
      <c r="D44" s="321">
        <v>6.4892999999999999E-3</v>
      </c>
      <c r="E44" s="321"/>
      <c r="F44" s="321">
        <f>+F41</f>
        <v>7.6531000000000004E-3</v>
      </c>
      <c r="G44" s="321"/>
      <c r="H44" s="321">
        <v>7.6490999999999998E-3</v>
      </c>
      <c r="I44" s="321"/>
      <c r="J44" s="321">
        <f>+J41</f>
        <v>1.0053100000000001E-2</v>
      </c>
      <c r="K44" s="321"/>
      <c r="L44" s="321">
        <v>1.03591E-2</v>
      </c>
      <c r="M44" s="321"/>
      <c r="N44" s="321">
        <v>1.5063099999999999E-2</v>
      </c>
      <c r="O44" s="320"/>
      <c r="P44" s="321"/>
      <c r="Q44" s="293"/>
      <c r="R44" s="293"/>
      <c r="S44" s="287"/>
      <c r="T44" s="287"/>
      <c r="U44" s="288"/>
      <c r="V44" s="5"/>
    </row>
    <row r="45" spans="1:22" ht="15.6" x14ac:dyDescent="0.3">
      <c r="A45" s="284"/>
      <c r="B45" s="285" t="s">
        <v>14</v>
      </c>
      <c r="C45" s="285"/>
      <c r="D45" s="322">
        <v>40283</v>
      </c>
      <c r="E45" s="322"/>
      <c r="F45" s="322">
        <v>40283</v>
      </c>
      <c r="G45" s="322"/>
      <c r="H45" s="322">
        <v>40283</v>
      </c>
      <c r="I45" s="322"/>
      <c r="J45" s="322">
        <v>40283</v>
      </c>
      <c r="K45" s="322"/>
      <c r="L45" s="322">
        <v>40283</v>
      </c>
      <c r="M45" s="322"/>
      <c r="N45" s="322">
        <v>40283</v>
      </c>
      <c r="O45" s="322"/>
      <c r="P45" s="322"/>
      <c r="Q45" s="293"/>
      <c r="R45" s="293"/>
      <c r="S45" s="287"/>
      <c r="T45" s="287"/>
      <c r="U45" s="288"/>
      <c r="V45" s="5"/>
    </row>
    <row r="46" spans="1:22" ht="15.6" x14ac:dyDescent="0.3">
      <c r="A46" s="284"/>
      <c r="B46" s="285" t="s">
        <v>15</v>
      </c>
      <c r="C46" s="285"/>
      <c r="D46" s="322">
        <v>40648</v>
      </c>
      <c r="E46" s="322"/>
      <c r="F46" s="322">
        <v>40648</v>
      </c>
      <c r="G46" s="322"/>
      <c r="H46" s="322">
        <v>40648</v>
      </c>
      <c r="I46" s="293"/>
      <c r="J46" s="322">
        <v>40648</v>
      </c>
      <c r="K46" s="293"/>
      <c r="L46" s="322">
        <v>40648</v>
      </c>
      <c r="M46" s="293"/>
      <c r="N46" s="322">
        <v>40648</v>
      </c>
      <c r="O46" s="293"/>
      <c r="P46" s="322"/>
      <c r="Q46" s="293"/>
      <c r="R46" s="293"/>
      <c r="S46" s="287"/>
      <c r="T46" s="287"/>
      <c r="U46" s="288"/>
      <c r="V46" s="5"/>
    </row>
    <row r="47" spans="1:22" ht="15.6" x14ac:dyDescent="0.3">
      <c r="A47" s="284"/>
      <c r="B47" s="285" t="s">
        <v>125</v>
      </c>
      <c r="C47" s="285"/>
      <c r="D47" s="293" t="s">
        <v>124</v>
      </c>
      <c r="E47" s="285"/>
      <c r="F47" s="293" t="s">
        <v>232</v>
      </c>
      <c r="G47" s="293"/>
      <c r="H47" s="293" t="s">
        <v>232</v>
      </c>
      <c r="I47" s="293"/>
      <c r="J47" s="293" t="s">
        <v>234</v>
      </c>
      <c r="K47" s="293"/>
      <c r="L47" s="293" t="s">
        <v>234</v>
      </c>
      <c r="M47" s="293"/>
      <c r="N47" s="293" t="s">
        <v>235</v>
      </c>
      <c r="O47" s="293"/>
      <c r="P47" s="293"/>
      <c r="Q47" s="324"/>
      <c r="R47" s="324"/>
      <c r="S47" s="324"/>
      <c r="T47" s="324"/>
      <c r="U47" s="288"/>
      <c r="V47" s="5"/>
    </row>
    <row r="48" spans="1:22" ht="15.6" x14ac:dyDescent="0.3">
      <c r="A48" s="284"/>
      <c r="B48" s="285" t="s">
        <v>289</v>
      </c>
      <c r="C48" s="285"/>
      <c r="D48" s="293" t="s">
        <v>208</v>
      </c>
      <c r="E48" s="285"/>
      <c r="F48" s="293" t="s">
        <v>232</v>
      </c>
      <c r="G48" s="293"/>
      <c r="H48" s="293" t="s">
        <v>232</v>
      </c>
      <c r="I48" s="293"/>
      <c r="J48" s="293" t="s">
        <v>234</v>
      </c>
      <c r="K48" s="293"/>
      <c r="L48" s="293" t="s">
        <v>245</v>
      </c>
      <c r="M48" s="293"/>
      <c r="N48" s="293" t="s">
        <v>247</v>
      </c>
      <c r="O48" s="293"/>
      <c r="P48" s="293"/>
      <c r="Q48" s="285"/>
      <c r="R48" s="285"/>
      <c r="S48" s="285"/>
      <c r="T48" s="320"/>
      <c r="U48" s="288"/>
      <c r="V48" s="5"/>
    </row>
    <row r="49" spans="1:23" ht="15.6" x14ac:dyDescent="0.3">
      <c r="A49" s="284"/>
      <c r="B49" s="285"/>
      <c r="C49" s="285"/>
      <c r="D49" s="293"/>
      <c r="E49" s="285"/>
      <c r="F49" s="293"/>
      <c r="G49" s="293"/>
      <c r="H49" s="293"/>
      <c r="I49" s="293"/>
      <c r="J49" s="293"/>
      <c r="K49" s="293"/>
      <c r="L49" s="293"/>
      <c r="M49" s="293"/>
      <c r="N49" s="293"/>
      <c r="O49" s="293"/>
      <c r="P49" s="293"/>
      <c r="Q49" s="285"/>
      <c r="R49" s="285"/>
      <c r="S49" s="285"/>
      <c r="T49" s="320" t="s">
        <v>201</v>
      </c>
      <c r="U49" s="288"/>
      <c r="V49" s="5"/>
    </row>
    <row r="50" spans="1:23" ht="15.6" x14ac:dyDescent="0.3">
      <c r="A50" s="284"/>
      <c r="B50" s="285" t="s">
        <v>176</v>
      </c>
      <c r="C50" s="285"/>
      <c r="D50" s="293"/>
      <c r="E50" s="285"/>
      <c r="F50" s="293"/>
      <c r="G50" s="293"/>
      <c r="H50" s="293"/>
      <c r="I50" s="293"/>
      <c r="J50" s="293"/>
      <c r="K50" s="293"/>
      <c r="L50" s="293"/>
      <c r="M50" s="293"/>
      <c r="N50" s="293"/>
      <c r="O50" s="293"/>
      <c r="P50" s="293"/>
      <c r="Q50" s="285"/>
      <c r="R50" s="285"/>
      <c r="S50" s="285"/>
      <c r="T50" s="320">
        <f>SUM(J34:P34)/SUM(D34:H34)</f>
        <v>0.15279804679664968</v>
      </c>
      <c r="U50" s="288"/>
      <c r="V50" s="5"/>
    </row>
    <row r="51" spans="1:23" ht="15.6" x14ac:dyDescent="0.3">
      <c r="A51" s="284"/>
      <c r="B51" s="285" t="s">
        <v>177</v>
      </c>
      <c r="C51" s="285"/>
      <c r="D51" s="285"/>
      <c r="E51" s="285"/>
      <c r="F51" s="325"/>
      <c r="G51" s="285"/>
      <c r="H51" s="285"/>
      <c r="I51" s="285"/>
      <c r="J51" s="285"/>
      <c r="K51" s="285"/>
      <c r="L51" s="285"/>
      <c r="M51" s="285"/>
      <c r="N51" s="285"/>
      <c r="O51" s="285"/>
      <c r="P51" s="285"/>
      <c r="Q51" s="285"/>
      <c r="R51" s="285"/>
      <c r="S51" s="285"/>
      <c r="T51" s="320">
        <f>SUM(J36:P36)/SUM(D36:H36)</f>
        <v>0.34321973842764308</v>
      </c>
      <c r="U51" s="288"/>
      <c r="V51" s="5"/>
    </row>
    <row r="52" spans="1:23" ht="15.6" x14ac:dyDescent="0.3">
      <c r="A52" s="284"/>
      <c r="B52" s="285" t="s">
        <v>178</v>
      </c>
      <c r="C52" s="285"/>
      <c r="D52" s="285"/>
      <c r="E52" s="285"/>
      <c r="F52" s="285"/>
      <c r="G52" s="285"/>
      <c r="H52" s="285"/>
      <c r="I52" s="285"/>
      <c r="J52" s="285"/>
      <c r="K52" s="285"/>
      <c r="L52" s="285"/>
      <c r="M52" s="285"/>
      <c r="N52" s="285"/>
      <c r="O52" s="285"/>
      <c r="P52" s="285"/>
      <c r="Q52" s="285"/>
      <c r="R52" s="293" t="s">
        <v>109</v>
      </c>
      <c r="S52" s="293" t="s">
        <v>115</v>
      </c>
      <c r="T52" s="296">
        <f>+T34/2-SUM(J34:P34)</f>
        <v>367473</v>
      </c>
      <c r="U52" s="288"/>
      <c r="V52" s="5"/>
    </row>
    <row r="53" spans="1:23" ht="15.6" x14ac:dyDescent="0.3">
      <c r="A53" s="284"/>
      <c r="B53" s="285"/>
      <c r="C53" s="285"/>
      <c r="D53" s="285"/>
      <c r="E53" s="285"/>
      <c r="F53" s="285"/>
      <c r="G53" s="285"/>
      <c r="H53" s="285"/>
      <c r="I53" s="285"/>
      <c r="J53" s="285"/>
      <c r="K53" s="285"/>
      <c r="L53" s="285"/>
      <c r="M53" s="285"/>
      <c r="N53" s="285"/>
      <c r="O53" s="285"/>
      <c r="P53" s="285"/>
      <c r="Q53" s="285"/>
      <c r="R53" s="285"/>
      <c r="S53" s="285"/>
      <c r="T53" s="326"/>
      <c r="U53" s="288"/>
      <c r="V53" s="5"/>
    </row>
    <row r="54" spans="1:23" ht="15.6" x14ac:dyDescent="0.3">
      <c r="A54" s="284"/>
      <c r="B54" s="285" t="s">
        <v>211</v>
      </c>
      <c r="C54" s="285"/>
      <c r="D54" s="285"/>
      <c r="E54" s="285"/>
      <c r="F54" s="285"/>
      <c r="G54" s="285"/>
      <c r="H54" s="285"/>
      <c r="I54" s="285"/>
      <c r="J54" s="285"/>
      <c r="K54" s="285"/>
      <c r="L54" s="285"/>
      <c r="M54" s="285"/>
      <c r="N54" s="285"/>
      <c r="O54" s="285"/>
      <c r="P54" s="285"/>
      <c r="Q54" s="285"/>
      <c r="R54" s="285"/>
      <c r="S54" s="285"/>
      <c r="T54" s="327" t="s">
        <v>212</v>
      </c>
      <c r="U54" s="288"/>
      <c r="V54" s="5"/>
    </row>
    <row r="55" spans="1:23" ht="15.6" x14ac:dyDescent="0.3">
      <c r="A55" s="284"/>
      <c r="B55" s="285" t="s">
        <v>253</v>
      </c>
      <c r="C55" s="285"/>
      <c r="D55" s="285"/>
      <c r="E55" s="285"/>
      <c r="F55" s="285"/>
      <c r="G55" s="285"/>
      <c r="H55" s="285"/>
      <c r="I55" s="285"/>
      <c r="J55" s="285"/>
      <c r="K55" s="285"/>
      <c r="L55" s="285"/>
      <c r="M55" s="285"/>
      <c r="N55" s="285"/>
      <c r="O55" s="285"/>
      <c r="P55" s="285"/>
      <c r="Q55" s="285"/>
      <c r="R55" s="293"/>
      <c r="S55" s="293"/>
      <c r="T55" s="328" t="s">
        <v>117</v>
      </c>
      <c r="U55" s="288"/>
      <c r="V55" s="5"/>
    </row>
    <row r="56" spans="1:23" ht="15.6" x14ac:dyDescent="0.3">
      <c r="A56" s="284"/>
      <c r="B56" s="292" t="s">
        <v>210</v>
      </c>
      <c r="C56" s="292"/>
      <c r="D56" s="292"/>
      <c r="E56" s="292"/>
      <c r="F56" s="292"/>
      <c r="G56" s="292"/>
      <c r="H56" s="292"/>
      <c r="I56" s="292"/>
      <c r="J56" s="292"/>
      <c r="K56" s="292"/>
      <c r="L56" s="292"/>
      <c r="M56" s="292"/>
      <c r="N56" s="292"/>
      <c r="O56" s="292"/>
      <c r="P56" s="292"/>
      <c r="Q56" s="292"/>
      <c r="R56" s="329"/>
      <c r="S56" s="329"/>
      <c r="T56" s="330">
        <v>41927</v>
      </c>
      <c r="U56" s="288"/>
      <c r="V56" s="5"/>
    </row>
    <row r="57" spans="1:23" ht="15.6" x14ac:dyDescent="0.3">
      <c r="A57" s="284"/>
      <c r="B57" s="285" t="s">
        <v>127</v>
      </c>
      <c r="C57" s="285"/>
      <c r="D57" s="285"/>
      <c r="E57" s="285"/>
      <c r="F57" s="285"/>
      <c r="G57" s="285"/>
      <c r="H57" s="331"/>
      <c r="I57" s="331"/>
      <c r="J57" s="331"/>
      <c r="K57" s="331"/>
      <c r="L57" s="331"/>
      <c r="M57" s="331"/>
      <c r="N57" s="331"/>
      <c r="O57" s="331"/>
      <c r="P57" s="285">
        <f>+T57-R57+1</f>
        <v>91</v>
      </c>
      <c r="Q57" s="331"/>
      <c r="R57" s="332">
        <v>41744</v>
      </c>
      <c r="S57" s="333"/>
      <c r="T57" s="332">
        <v>41834</v>
      </c>
      <c r="U57" s="288"/>
      <c r="V57" s="5"/>
    </row>
    <row r="58" spans="1:23" ht="15.6" x14ac:dyDescent="0.3">
      <c r="A58" s="284"/>
      <c r="B58" s="285" t="s">
        <v>128</v>
      </c>
      <c r="C58" s="285"/>
      <c r="D58" s="285"/>
      <c r="E58" s="285"/>
      <c r="F58" s="285"/>
      <c r="G58" s="285"/>
      <c r="H58" s="285"/>
      <c r="I58" s="285"/>
      <c r="J58" s="285"/>
      <c r="K58" s="285"/>
      <c r="L58" s="285"/>
      <c r="M58" s="285"/>
      <c r="N58" s="285"/>
      <c r="O58" s="285"/>
      <c r="P58" s="285">
        <f>+T58-R58+1</f>
        <v>92</v>
      </c>
      <c r="Q58" s="285"/>
      <c r="R58" s="332">
        <v>41835</v>
      </c>
      <c r="S58" s="333"/>
      <c r="T58" s="332">
        <v>41926</v>
      </c>
      <c r="U58" s="288"/>
      <c r="V58" s="5"/>
    </row>
    <row r="59" spans="1:23" ht="15.6" x14ac:dyDescent="0.3">
      <c r="A59" s="284"/>
      <c r="B59" s="285" t="s">
        <v>209</v>
      </c>
      <c r="C59" s="285"/>
      <c r="D59" s="285"/>
      <c r="E59" s="285"/>
      <c r="F59" s="285"/>
      <c r="G59" s="285"/>
      <c r="H59" s="285"/>
      <c r="I59" s="285"/>
      <c r="J59" s="285"/>
      <c r="K59" s="285"/>
      <c r="L59" s="285"/>
      <c r="M59" s="285"/>
      <c r="N59" s="285"/>
      <c r="O59" s="285"/>
      <c r="P59" s="285"/>
      <c r="Q59" s="285"/>
      <c r="R59" s="332"/>
      <c r="S59" s="333"/>
      <c r="T59" s="332" t="s">
        <v>126</v>
      </c>
      <c r="U59" s="288"/>
      <c r="V59" s="5"/>
    </row>
    <row r="60" spans="1:23" ht="15.6" x14ac:dyDescent="0.3">
      <c r="A60" s="284"/>
      <c r="B60" s="285" t="s">
        <v>249</v>
      </c>
      <c r="C60" s="285"/>
      <c r="D60" s="285"/>
      <c r="E60" s="285"/>
      <c r="F60" s="285"/>
      <c r="G60" s="285"/>
      <c r="H60" s="285"/>
      <c r="I60" s="285"/>
      <c r="J60" s="285"/>
      <c r="K60" s="285"/>
      <c r="L60" s="285"/>
      <c r="M60" s="285"/>
      <c r="N60" s="285"/>
      <c r="O60" s="285"/>
      <c r="P60" s="285"/>
      <c r="Q60" s="285"/>
      <c r="R60" s="332"/>
      <c r="S60" s="333"/>
      <c r="T60" s="332" t="s">
        <v>160</v>
      </c>
      <c r="U60" s="288"/>
      <c r="V60" s="5"/>
      <c r="W60" s="134"/>
    </row>
    <row r="61" spans="1:23" ht="15.6" x14ac:dyDescent="0.3">
      <c r="A61" s="284"/>
      <c r="B61" s="285" t="s">
        <v>16</v>
      </c>
      <c r="C61" s="285"/>
      <c r="D61" s="285"/>
      <c r="E61" s="285"/>
      <c r="F61" s="285"/>
      <c r="G61" s="285"/>
      <c r="H61" s="285"/>
      <c r="I61" s="285"/>
      <c r="J61" s="285"/>
      <c r="K61" s="285"/>
      <c r="L61" s="285"/>
      <c r="M61" s="285"/>
      <c r="N61" s="285"/>
      <c r="O61" s="285"/>
      <c r="P61" s="285"/>
      <c r="Q61" s="285"/>
      <c r="R61" s="332"/>
      <c r="S61" s="333"/>
      <c r="T61" s="332">
        <v>41913</v>
      </c>
      <c r="U61" s="288"/>
      <c r="V61" s="5"/>
    </row>
    <row r="62" spans="1:23" ht="15.6" x14ac:dyDescent="0.3">
      <c r="A62" s="175"/>
      <c r="B62" s="281"/>
      <c r="C62" s="281"/>
      <c r="D62" s="281"/>
      <c r="E62" s="281"/>
      <c r="F62" s="281"/>
      <c r="G62" s="281"/>
      <c r="H62" s="281"/>
      <c r="I62" s="281"/>
      <c r="J62" s="281"/>
      <c r="K62" s="281"/>
      <c r="L62" s="281"/>
      <c r="M62" s="281"/>
      <c r="N62" s="281"/>
      <c r="O62" s="281"/>
      <c r="P62" s="281"/>
      <c r="Q62" s="281"/>
      <c r="R62" s="282"/>
      <c r="S62" s="283"/>
      <c r="T62" s="282"/>
      <c r="U62" s="281"/>
      <c r="V62" s="5"/>
    </row>
    <row r="63" spans="1:23" ht="15.6" x14ac:dyDescent="0.3">
      <c r="A63" s="175"/>
      <c r="B63" s="231"/>
      <c r="C63" s="231"/>
      <c r="D63" s="231"/>
      <c r="E63" s="231"/>
      <c r="F63" s="231"/>
      <c r="G63" s="231"/>
      <c r="H63" s="231"/>
      <c r="I63" s="231"/>
      <c r="J63" s="231"/>
      <c r="K63" s="231"/>
      <c r="L63" s="231"/>
      <c r="M63" s="231"/>
      <c r="N63" s="231"/>
      <c r="O63" s="231"/>
      <c r="P63" s="231"/>
      <c r="Q63" s="231"/>
      <c r="R63" s="244"/>
      <c r="S63" s="245"/>
      <c r="T63" s="244"/>
      <c r="U63" s="231"/>
      <c r="V63" s="5"/>
    </row>
    <row r="64" spans="1:23" ht="18" thickBot="1" x14ac:dyDescent="0.35">
      <c r="A64" s="192"/>
      <c r="B64" s="246" t="s">
        <v>324</v>
      </c>
      <c r="C64" s="247"/>
      <c r="D64" s="247"/>
      <c r="E64" s="247"/>
      <c r="F64" s="247"/>
      <c r="G64" s="247"/>
      <c r="H64" s="247"/>
      <c r="I64" s="247"/>
      <c r="J64" s="247"/>
      <c r="K64" s="247"/>
      <c r="L64" s="247"/>
      <c r="M64" s="247"/>
      <c r="N64" s="247"/>
      <c r="O64" s="247"/>
      <c r="P64" s="247"/>
      <c r="Q64" s="247"/>
      <c r="R64" s="247"/>
      <c r="S64" s="247"/>
      <c r="T64" s="248"/>
      <c r="U64" s="249"/>
      <c r="V64" s="5"/>
    </row>
    <row r="65" spans="1:22" ht="15.6" x14ac:dyDescent="0.3">
      <c r="A65" s="222"/>
      <c r="B65" s="395" t="s">
        <v>17</v>
      </c>
      <c r="C65" s="223"/>
      <c r="D65" s="223"/>
      <c r="E65" s="223"/>
      <c r="F65" s="223"/>
      <c r="G65" s="223"/>
      <c r="H65" s="223"/>
      <c r="I65" s="223"/>
      <c r="J65" s="223"/>
      <c r="K65" s="223"/>
      <c r="L65" s="223"/>
      <c r="M65" s="223"/>
      <c r="N65" s="223"/>
      <c r="O65" s="223"/>
      <c r="P65" s="223"/>
      <c r="Q65" s="223"/>
      <c r="R65" s="223"/>
      <c r="S65" s="223"/>
      <c r="T65" s="250"/>
      <c r="U65" s="223"/>
      <c r="V65" s="5"/>
    </row>
    <row r="66" spans="1:22" ht="15.6" x14ac:dyDescent="0.3">
      <c r="A66" s="175"/>
      <c r="B66" s="183"/>
      <c r="C66" s="177"/>
      <c r="D66" s="177"/>
      <c r="E66" s="177"/>
      <c r="F66" s="177"/>
      <c r="G66" s="177"/>
      <c r="H66" s="177"/>
      <c r="I66" s="177"/>
      <c r="J66" s="177"/>
      <c r="K66" s="177"/>
      <c r="L66" s="177"/>
      <c r="M66" s="177"/>
      <c r="N66" s="177"/>
      <c r="O66" s="177"/>
      <c r="P66" s="177"/>
      <c r="Q66" s="177"/>
      <c r="R66" s="177"/>
      <c r="S66" s="177"/>
      <c r="T66" s="194"/>
      <c r="U66" s="177"/>
      <c r="V66" s="5"/>
    </row>
    <row r="67" spans="1:22" ht="46.8" x14ac:dyDescent="0.3">
      <c r="A67" s="175"/>
      <c r="B67" s="195" t="s">
        <v>18</v>
      </c>
      <c r="C67" s="196"/>
      <c r="D67" s="196"/>
      <c r="E67" s="196"/>
      <c r="F67" s="196"/>
      <c r="G67" s="196"/>
      <c r="H67" s="196"/>
      <c r="I67" s="196"/>
      <c r="J67" s="196" t="s">
        <v>97</v>
      </c>
      <c r="K67" s="196"/>
      <c r="L67" s="196" t="s">
        <v>99</v>
      </c>
      <c r="M67" s="196"/>
      <c r="N67" s="196" t="s">
        <v>101</v>
      </c>
      <c r="O67" s="196"/>
      <c r="P67" s="196" t="s">
        <v>103</v>
      </c>
      <c r="Q67" s="196"/>
      <c r="R67" s="196" t="s">
        <v>110</v>
      </c>
      <c r="S67" s="196"/>
      <c r="T67" s="197" t="s">
        <v>118</v>
      </c>
      <c r="U67" s="198"/>
      <c r="V67" s="5"/>
    </row>
    <row r="68" spans="1:22" ht="15.6" x14ac:dyDescent="0.3">
      <c r="A68" s="337"/>
      <c r="B68" s="285" t="s">
        <v>19</v>
      </c>
      <c r="C68" s="338"/>
      <c r="D68" s="338"/>
      <c r="E68" s="338"/>
      <c r="F68" s="338"/>
      <c r="G68" s="338"/>
      <c r="H68" s="338"/>
      <c r="I68" s="338"/>
      <c r="J68" s="338">
        <v>1000039</v>
      </c>
      <c r="K68" s="338"/>
      <c r="L68" s="339">
        <v>525404</v>
      </c>
      <c r="M68" s="338"/>
      <c r="N68" s="338">
        <f>6649+15+55</f>
        <v>6719</v>
      </c>
      <c r="O68" s="338"/>
      <c r="P68" s="338">
        <f>15+55</f>
        <v>70</v>
      </c>
      <c r="Q68" s="338"/>
      <c r="R68" s="338">
        <v>0</v>
      </c>
      <c r="S68" s="338"/>
      <c r="T68" s="339">
        <f>+L68-N68+P68-R68</f>
        <v>518755</v>
      </c>
      <c r="U68" s="288"/>
      <c r="V68" s="5"/>
    </row>
    <row r="69" spans="1:22" ht="15.6" x14ac:dyDescent="0.3">
      <c r="A69" s="337"/>
      <c r="B69" s="285" t="s">
        <v>20</v>
      </c>
      <c r="C69" s="338"/>
      <c r="D69" s="338"/>
      <c r="E69" s="338"/>
      <c r="F69" s="338"/>
      <c r="G69" s="338"/>
      <c r="H69" s="338"/>
      <c r="I69" s="338"/>
      <c r="J69" s="338">
        <v>10</v>
      </c>
      <c r="K69" s="338"/>
      <c r="L69" s="339">
        <v>0</v>
      </c>
      <c r="M69" s="338"/>
      <c r="N69" s="338">
        <v>0</v>
      </c>
      <c r="O69" s="338"/>
      <c r="P69" s="338">
        <v>0</v>
      </c>
      <c r="Q69" s="338"/>
      <c r="R69" s="338">
        <v>0</v>
      </c>
      <c r="S69" s="338"/>
      <c r="T69" s="339">
        <v>0</v>
      </c>
      <c r="U69" s="288"/>
      <c r="V69" s="5"/>
    </row>
    <row r="70" spans="1:22" ht="15.6" x14ac:dyDescent="0.3">
      <c r="A70" s="337"/>
      <c r="B70" s="285"/>
      <c r="C70" s="338"/>
      <c r="D70" s="338"/>
      <c r="E70" s="338"/>
      <c r="F70" s="338"/>
      <c r="G70" s="338"/>
      <c r="H70" s="338"/>
      <c r="I70" s="338"/>
      <c r="J70" s="338"/>
      <c r="K70" s="338"/>
      <c r="L70" s="339"/>
      <c r="M70" s="338"/>
      <c r="N70" s="338"/>
      <c r="O70" s="338"/>
      <c r="P70" s="338"/>
      <c r="Q70" s="338"/>
      <c r="R70" s="338"/>
      <c r="S70" s="338"/>
      <c r="T70" s="339"/>
      <c r="U70" s="288"/>
      <c r="V70" s="5"/>
    </row>
    <row r="71" spans="1:22" ht="15.6" x14ac:dyDescent="0.3">
      <c r="A71" s="337"/>
      <c r="B71" s="285" t="s">
        <v>21</v>
      </c>
      <c r="C71" s="338"/>
      <c r="D71" s="338"/>
      <c r="E71" s="338"/>
      <c r="F71" s="338"/>
      <c r="G71" s="338"/>
      <c r="H71" s="338"/>
      <c r="I71" s="338"/>
      <c r="J71" s="338">
        <f>SUM(J68:J70)</f>
        <v>1000049</v>
      </c>
      <c r="K71" s="338"/>
      <c r="L71" s="338">
        <f>L68+L69</f>
        <v>525404</v>
      </c>
      <c r="M71" s="338"/>
      <c r="N71" s="338">
        <f>SUM(N68:N70)</f>
        <v>6719</v>
      </c>
      <c r="O71" s="338"/>
      <c r="P71" s="338">
        <f>SUM(P68:P70)</f>
        <v>70</v>
      </c>
      <c r="Q71" s="338"/>
      <c r="R71" s="338">
        <f>SUM(R68:R70)</f>
        <v>0</v>
      </c>
      <c r="S71" s="338"/>
      <c r="T71" s="338">
        <f>SUM(T68:T70)</f>
        <v>518755</v>
      </c>
      <c r="U71" s="288"/>
      <c r="V71" s="5"/>
    </row>
    <row r="72" spans="1:22" ht="15.6" x14ac:dyDescent="0.3">
      <c r="A72" s="175"/>
      <c r="B72" s="334"/>
      <c r="C72" s="335"/>
      <c r="D72" s="335"/>
      <c r="E72" s="335"/>
      <c r="F72" s="335"/>
      <c r="G72" s="335"/>
      <c r="H72" s="335"/>
      <c r="I72" s="335"/>
      <c r="J72" s="335"/>
      <c r="K72" s="335"/>
      <c r="L72" s="335"/>
      <c r="M72" s="335"/>
      <c r="N72" s="335"/>
      <c r="O72" s="335"/>
      <c r="P72" s="335"/>
      <c r="Q72" s="335"/>
      <c r="R72" s="335"/>
      <c r="S72" s="335"/>
      <c r="T72" s="336"/>
      <c r="U72" s="334"/>
      <c r="V72" s="5"/>
    </row>
    <row r="73" spans="1:22" ht="15.6" x14ac:dyDescent="0.3">
      <c r="A73" s="175"/>
      <c r="B73" s="179" t="s">
        <v>22</v>
      </c>
      <c r="C73" s="199"/>
      <c r="D73" s="199"/>
      <c r="E73" s="199"/>
      <c r="F73" s="199"/>
      <c r="G73" s="199"/>
      <c r="H73" s="199"/>
      <c r="I73" s="199"/>
      <c r="J73" s="199"/>
      <c r="K73" s="199"/>
      <c r="L73" s="199"/>
      <c r="M73" s="199"/>
      <c r="N73" s="199"/>
      <c r="O73" s="199"/>
      <c r="P73" s="199"/>
      <c r="Q73" s="199"/>
      <c r="R73" s="199"/>
      <c r="S73" s="199"/>
      <c r="T73" s="200"/>
      <c r="U73" s="177"/>
      <c r="V73" s="5"/>
    </row>
    <row r="74" spans="1:22" ht="15.6" x14ac:dyDescent="0.3">
      <c r="A74" s="175"/>
      <c r="B74" s="177"/>
      <c r="C74" s="199"/>
      <c r="D74" s="199"/>
      <c r="E74" s="199"/>
      <c r="F74" s="199"/>
      <c r="G74" s="199"/>
      <c r="H74" s="199"/>
      <c r="I74" s="199"/>
      <c r="J74" s="199"/>
      <c r="K74" s="199"/>
      <c r="L74" s="199"/>
      <c r="M74" s="199"/>
      <c r="N74" s="199"/>
      <c r="O74" s="199"/>
      <c r="P74" s="199"/>
      <c r="Q74" s="199"/>
      <c r="R74" s="199"/>
      <c r="S74" s="199"/>
      <c r="T74" s="200"/>
      <c r="U74" s="177"/>
      <c r="V74" s="5"/>
    </row>
    <row r="75" spans="1:22" ht="15.6" x14ac:dyDescent="0.3">
      <c r="A75" s="284"/>
      <c r="B75" s="285" t="s">
        <v>19</v>
      </c>
      <c r="C75" s="338"/>
      <c r="D75" s="338"/>
      <c r="E75" s="338"/>
      <c r="F75" s="338"/>
      <c r="G75" s="338"/>
      <c r="H75" s="338"/>
      <c r="I75" s="338"/>
      <c r="J75" s="338"/>
      <c r="K75" s="338"/>
      <c r="L75" s="338"/>
      <c r="M75" s="338"/>
      <c r="N75" s="338"/>
      <c r="O75" s="338"/>
      <c r="P75" s="338"/>
      <c r="Q75" s="338"/>
      <c r="R75" s="338"/>
      <c r="S75" s="338"/>
      <c r="T75" s="338"/>
      <c r="U75" s="288"/>
      <c r="V75" s="5"/>
    </row>
    <row r="76" spans="1:22" ht="15.6" x14ac:dyDescent="0.3">
      <c r="A76" s="284"/>
      <c r="B76" s="285" t="s">
        <v>20</v>
      </c>
      <c r="C76" s="338"/>
      <c r="D76" s="338"/>
      <c r="E76" s="338"/>
      <c r="F76" s="338"/>
      <c r="G76" s="338"/>
      <c r="H76" s="338"/>
      <c r="I76" s="338"/>
      <c r="J76" s="338"/>
      <c r="K76" s="338"/>
      <c r="L76" s="338"/>
      <c r="M76" s="338"/>
      <c r="N76" s="338"/>
      <c r="O76" s="338"/>
      <c r="P76" s="338"/>
      <c r="Q76" s="338"/>
      <c r="R76" s="338"/>
      <c r="S76" s="338"/>
      <c r="T76" s="338"/>
      <c r="U76" s="288"/>
      <c r="V76" s="5"/>
    </row>
    <row r="77" spans="1:22" ht="15.6" x14ac:dyDescent="0.3">
      <c r="A77" s="284"/>
      <c r="B77" s="285"/>
      <c r="C77" s="338"/>
      <c r="D77" s="338"/>
      <c r="E77" s="338"/>
      <c r="F77" s="338"/>
      <c r="G77" s="338"/>
      <c r="H77" s="338"/>
      <c r="I77" s="338"/>
      <c r="J77" s="338"/>
      <c r="K77" s="338"/>
      <c r="L77" s="338"/>
      <c r="M77" s="338"/>
      <c r="N77" s="338"/>
      <c r="O77" s="338"/>
      <c r="P77" s="338"/>
      <c r="Q77" s="338"/>
      <c r="R77" s="338"/>
      <c r="S77" s="338"/>
      <c r="T77" s="338"/>
      <c r="U77" s="288"/>
      <c r="V77" s="5"/>
    </row>
    <row r="78" spans="1:22" ht="15.6" x14ac:dyDescent="0.3">
      <c r="A78" s="284"/>
      <c r="B78" s="285" t="s">
        <v>21</v>
      </c>
      <c r="C78" s="338"/>
      <c r="D78" s="338"/>
      <c r="E78" s="338"/>
      <c r="F78" s="338"/>
      <c r="G78" s="338"/>
      <c r="H78" s="338"/>
      <c r="I78" s="338"/>
      <c r="J78" s="338"/>
      <c r="K78" s="338"/>
      <c r="L78" s="338"/>
      <c r="M78" s="338"/>
      <c r="N78" s="338"/>
      <c r="O78" s="338"/>
      <c r="P78" s="338"/>
      <c r="Q78" s="338"/>
      <c r="R78" s="338"/>
      <c r="S78" s="338"/>
      <c r="T78" s="338"/>
      <c r="U78" s="288"/>
      <c r="V78" s="5"/>
    </row>
    <row r="79" spans="1:22" ht="15.6" x14ac:dyDescent="0.3">
      <c r="A79" s="284"/>
      <c r="B79" s="285"/>
      <c r="C79" s="338"/>
      <c r="D79" s="338"/>
      <c r="E79" s="338"/>
      <c r="F79" s="338"/>
      <c r="G79" s="338"/>
      <c r="H79" s="338"/>
      <c r="I79" s="338"/>
      <c r="J79" s="338"/>
      <c r="K79" s="338"/>
      <c r="L79" s="338"/>
      <c r="M79" s="338"/>
      <c r="N79" s="338"/>
      <c r="O79" s="338"/>
      <c r="P79" s="338"/>
      <c r="Q79" s="338"/>
      <c r="R79" s="338"/>
      <c r="S79" s="338"/>
      <c r="T79" s="338"/>
      <c r="U79" s="288"/>
      <c r="V79" s="5"/>
    </row>
    <row r="80" spans="1:22" ht="15.6" x14ac:dyDescent="0.3">
      <c r="A80" s="284"/>
      <c r="B80" s="285" t="s">
        <v>23</v>
      </c>
      <c r="C80" s="338"/>
      <c r="D80" s="338"/>
      <c r="E80" s="338"/>
      <c r="F80" s="338"/>
      <c r="G80" s="338"/>
      <c r="H80" s="338"/>
      <c r="I80" s="338"/>
      <c r="J80" s="338">
        <v>0</v>
      </c>
      <c r="K80" s="338"/>
      <c r="L80" s="338">
        <v>0</v>
      </c>
      <c r="M80" s="338"/>
      <c r="N80" s="338"/>
      <c r="O80" s="338"/>
      <c r="P80" s="338"/>
      <c r="Q80" s="338"/>
      <c r="R80" s="338"/>
      <c r="S80" s="338"/>
      <c r="T80" s="339">
        <v>0</v>
      </c>
      <c r="U80" s="288"/>
      <c r="V80" s="5"/>
    </row>
    <row r="81" spans="1:22" ht="15.6" x14ac:dyDescent="0.3">
      <c r="A81" s="284"/>
      <c r="B81" s="285" t="s">
        <v>123</v>
      </c>
      <c r="C81" s="338"/>
      <c r="D81" s="338"/>
      <c r="E81" s="338"/>
      <c r="F81" s="338"/>
      <c r="G81" s="338"/>
      <c r="H81" s="338"/>
      <c r="I81" s="338"/>
      <c r="J81" s="338">
        <v>0</v>
      </c>
      <c r="K81" s="338"/>
      <c r="L81" s="338">
        <v>0</v>
      </c>
      <c r="M81" s="338"/>
      <c r="N81" s="338"/>
      <c r="O81" s="338"/>
      <c r="P81" s="338"/>
      <c r="Q81" s="338"/>
      <c r="R81" s="338"/>
      <c r="S81" s="338"/>
      <c r="T81" s="338">
        <f>SUM(J81:P81)</f>
        <v>0</v>
      </c>
      <c r="U81" s="288"/>
      <c r="V81" s="5"/>
    </row>
    <row r="82" spans="1:22" ht="15.6" x14ac:dyDescent="0.3">
      <c r="A82" s="284"/>
      <c r="B82" s="285" t="s">
        <v>152</v>
      </c>
      <c r="C82" s="338"/>
      <c r="D82" s="338"/>
      <c r="E82" s="338"/>
      <c r="F82" s="338"/>
      <c r="G82" s="338"/>
      <c r="H82" s="338"/>
      <c r="I82" s="338"/>
      <c r="J82" s="338">
        <v>1</v>
      </c>
      <c r="K82" s="338"/>
      <c r="L82" s="338">
        <v>0</v>
      </c>
      <c r="M82" s="338"/>
      <c r="N82" s="338">
        <v>0</v>
      </c>
      <c r="O82" s="338"/>
      <c r="P82" s="338"/>
      <c r="Q82" s="338"/>
      <c r="R82" s="338"/>
      <c r="S82" s="338"/>
      <c r="T82" s="338">
        <f>+L82+N82</f>
        <v>0</v>
      </c>
      <c r="U82" s="288"/>
      <c r="V82" s="5"/>
    </row>
    <row r="83" spans="1:22" ht="15.6" x14ac:dyDescent="0.3">
      <c r="A83" s="284"/>
      <c r="B83" s="285" t="s">
        <v>25</v>
      </c>
      <c r="C83" s="338"/>
      <c r="D83" s="338"/>
      <c r="E83" s="338"/>
      <c r="F83" s="338"/>
      <c r="G83" s="338"/>
      <c r="H83" s="338"/>
      <c r="I83" s="338"/>
      <c r="J83" s="338">
        <v>0</v>
      </c>
      <c r="K83" s="338"/>
      <c r="L83" s="338">
        <v>0</v>
      </c>
      <c r="M83" s="338"/>
      <c r="N83" s="338"/>
      <c r="O83" s="338"/>
      <c r="P83" s="338"/>
      <c r="Q83" s="338"/>
      <c r="R83" s="338"/>
      <c r="S83" s="338"/>
      <c r="T83" s="338">
        <v>0</v>
      </c>
      <c r="U83" s="288"/>
      <c r="V83" s="5"/>
    </row>
    <row r="84" spans="1:22" ht="15.6" x14ac:dyDescent="0.3">
      <c r="A84" s="284"/>
      <c r="B84" s="285" t="s">
        <v>26</v>
      </c>
      <c r="C84" s="338"/>
      <c r="D84" s="338"/>
      <c r="E84" s="338"/>
      <c r="F84" s="338"/>
      <c r="G84" s="338"/>
      <c r="H84" s="338"/>
      <c r="I84" s="338"/>
      <c r="J84" s="338">
        <f>SUM(J71:J83)</f>
        <v>1000050</v>
      </c>
      <c r="K84" s="338"/>
      <c r="L84" s="338">
        <f>SUM(L71:L83)</f>
        <v>525404</v>
      </c>
      <c r="M84" s="338"/>
      <c r="N84" s="338"/>
      <c r="O84" s="338"/>
      <c r="P84" s="338"/>
      <c r="Q84" s="338"/>
      <c r="R84" s="338"/>
      <c r="S84" s="338"/>
      <c r="T84" s="338">
        <f>SUM(T71:T83)</f>
        <v>518755</v>
      </c>
      <c r="U84" s="288"/>
      <c r="V84" s="5"/>
    </row>
    <row r="85" spans="1:22" ht="15.6" x14ac:dyDescent="0.3">
      <c r="A85" s="175"/>
      <c r="B85" s="334"/>
      <c r="C85" s="335"/>
      <c r="D85" s="335"/>
      <c r="E85" s="335"/>
      <c r="F85" s="335"/>
      <c r="G85" s="335"/>
      <c r="H85" s="335"/>
      <c r="I85" s="335"/>
      <c r="J85" s="335"/>
      <c r="K85" s="335"/>
      <c r="L85" s="335"/>
      <c r="M85" s="335"/>
      <c r="N85" s="335"/>
      <c r="O85" s="335"/>
      <c r="P85" s="335"/>
      <c r="Q85" s="335"/>
      <c r="R85" s="335"/>
      <c r="S85" s="335"/>
      <c r="T85" s="336"/>
      <c r="U85" s="334"/>
      <c r="V85" s="5"/>
    </row>
    <row r="86" spans="1:22" ht="15.6" x14ac:dyDescent="0.3">
      <c r="A86" s="175"/>
      <c r="B86" s="177"/>
      <c r="C86" s="177"/>
      <c r="D86" s="177"/>
      <c r="E86" s="177"/>
      <c r="F86" s="177"/>
      <c r="G86" s="177"/>
      <c r="H86" s="177"/>
      <c r="I86" s="177"/>
      <c r="J86" s="177"/>
      <c r="K86" s="177"/>
      <c r="L86" s="177"/>
      <c r="M86" s="177"/>
      <c r="N86" s="177"/>
      <c r="O86" s="177"/>
      <c r="P86" s="177"/>
      <c r="Q86" s="177"/>
      <c r="R86" s="177"/>
      <c r="S86" s="177"/>
      <c r="T86" s="177"/>
      <c r="U86" s="177"/>
      <c r="V86" s="5"/>
    </row>
    <row r="87" spans="1:22" ht="15.6" x14ac:dyDescent="0.3">
      <c r="A87" s="222"/>
      <c r="B87" s="395" t="s">
        <v>27</v>
      </c>
      <c r="C87" s="395"/>
      <c r="D87" s="395"/>
      <c r="E87" s="395"/>
      <c r="F87" s="395"/>
      <c r="G87" s="395"/>
      <c r="H87" s="396"/>
      <c r="I87" s="396"/>
      <c r="J87" s="397" t="s">
        <v>98</v>
      </c>
      <c r="K87" s="396"/>
      <c r="L87" s="398">
        <f>+R194</f>
        <v>41912</v>
      </c>
      <c r="M87" s="396"/>
      <c r="N87" s="396"/>
      <c r="O87" s="396"/>
      <c r="P87" s="396"/>
      <c r="Q87" s="396"/>
      <c r="R87" s="396" t="s">
        <v>111</v>
      </c>
      <c r="S87" s="396"/>
      <c r="T87" s="396" t="s">
        <v>119</v>
      </c>
      <c r="U87" s="223"/>
      <c r="V87" s="5"/>
    </row>
    <row r="88" spans="1:22" ht="15.6" x14ac:dyDescent="0.3">
      <c r="A88" s="190"/>
      <c r="B88" s="239" t="s">
        <v>28</v>
      </c>
      <c r="C88" s="239"/>
      <c r="D88" s="239"/>
      <c r="E88" s="239"/>
      <c r="F88" s="239"/>
      <c r="G88" s="239"/>
      <c r="H88" s="239"/>
      <c r="I88" s="239"/>
      <c r="J88" s="239"/>
      <c r="K88" s="239"/>
      <c r="L88" s="239"/>
      <c r="M88" s="239"/>
      <c r="N88" s="239"/>
      <c r="O88" s="239"/>
      <c r="P88" s="239"/>
      <c r="Q88" s="239"/>
      <c r="R88" s="243">
        <v>0</v>
      </c>
      <c r="S88" s="239"/>
      <c r="T88" s="251">
        <v>0</v>
      </c>
      <c r="U88" s="239"/>
      <c r="V88" s="5"/>
    </row>
    <row r="89" spans="1:22" ht="15.6" x14ac:dyDescent="0.3">
      <c r="A89" s="284"/>
      <c r="B89" s="285" t="s">
        <v>29</v>
      </c>
      <c r="C89" s="285"/>
      <c r="D89" s="285"/>
      <c r="E89" s="285"/>
      <c r="F89" s="285"/>
      <c r="G89" s="285"/>
      <c r="H89" s="324"/>
      <c r="I89" s="341"/>
      <c r="J89" s="324"/>
      <c r="K89" s="285"/>
      <c r="L89" s="342"/>
      <c r="M89" s="285"/>
      <c r="N89" s="285"/>
      <c r="O89" s="285"/>
      <c r="P89" s="285"/>
      <c r="Q89" s="285"/>
      <c r="R89" s="338">
        <f>6719-3</f>
        <v>6716</v>
      </c>
      <c r="S89" s="285"/>
      <c r="T89" s="339"/>
      <c r="U89" s="288"/>
      <c r="V89" s="5"/>
    </row>
    <row r="90" spans="1:22" ht="15.6" x14ac:dyDescent="0.3">
      <c r="A90" s="284"/>
      <c r="B90" s="285" t="s">
        <v>225</v>
      </c>
      <c r="C90" s="285"/>
      <c r="D90" s="285"/>
      <c r="E90" s="285"/>
      <c r="F90" s="285"/>
      <c r="G90" s="285"/>
      <c r="H90" s="324"/>
      <c r="I90" s="341"/>
      <c r="J90" s="324"/>
      <c r="K90" s="285"/>
      <c r="L90" s="342"/>
      <c r="M90" s="285"/>
      <c r="N90" s="285"/>
      <c r="O90" s="285"/>
      <c r="P90" s="285"/>
      <c r="Q90" s="285"/>
      <c r="R90" s="338"/>
      <c r="S90" s="285"/>
      <c r="T90" s="339">
        <f>1736+2079-367-345</f>
        <v>3103</v>
      </c>
      <c r="U90" s="288"/>
      <c r="V90" s="5"/>
    </row>
    <row r="91" spans="1:22" ht="15.6" x14ac:dyDescent="0.3">
      <c r="A91" s="284"/>
      <c r="B91" s="285" t="s">
        <v>220</v>
      </c>
      <c r="C91" s="285"/>
      <c r="D91" s="285"/>
      <c r="E91" s="285"/>
      <c r="F91" s="285"/>
      <c r="G91" s="285"/>
      <c r="H91" s="324"/>
      <c r="I91" s="341"/>
      <c r="J91" s="324"/>
      <c r="K91" s="285"/>
      <c r="L91" s="342"/>
      <c r="M91" s="285"/>
      <c r="N91" s="285"/>
      <c r="O91" s="285"/>
      <c r="P91" s="285"/>
      <c r="Q91" s="285"/>
      <c r="R91" s="338"/>
      <c r="S91" s="285"/>
      <c r="T91" s="339">
        <f>5+41</f>
        <v>46</v>
      </c>
      <c r="U91" s="288"/>
      <c r="V91" s="5"/>
    </row>
    <row r="92" spans="1:22" ht="15.6" x14ac:dyDescent="0.3">
      <c r="A92" s="284"/>
      <c r="B92" s="285" t="s">
        <v>221</v>
      </c>
      <c r="C92" s="285"/>
      <c r="D92" s="285"/>
      <c r="E92" s="285"/>
      <c r="F92" s="285"/>
      <c r="G92" s="285"/>
      <c r="H92" s="324"/>
      <c r="I92" s="341"/>
      <c r="J92" s="324"/>
      <c r="K92" s="285"/>
      <c r="L92" s="342"/>
      <c r="M92" s="285"/>
      <c r="N92" s="285"/>
      <c r="O92" s="285"/>
      <c r="P92" s="285"/>
      <c r="Q92" s="285"/>
      <c r="R92" s="338"/>
      <c r="S92" s="285"/>
      <c r="T92" s="339">
        <v>29</v>
      </c>
      <c r="U92" s="288"/>
      <c r="V92" s="5"/>
    </row>
    <row r="93" spans="1:22" ht="15.6" x14ac:dyDescent="0.3">
      <c r="A93" s="284"/>
      <c r="B93" s="285" t="s">
        <v>261</v>
      </c>
      <c r="C93" s="285"/>
      <c r="D93" s="285"/>
      <c r="E93" s="285"/>
      <c r="F93" s="285"/>
      <c r="G93" s="285"/>
      <c r="H93" s="324"/>
      <c r="I93" s="341"/>
      <c r="J93" s="324"/>
      <c r="K93" s="285"/>
      <c r="L93" s="342"/>
      <c r="M93" s="285"/>
      <c r="N93" s="285"/>
      <c r="O93" s="285"/>
      <c r="P93" s="285"/>
      <c r="Q93" s="285"/>
      <c r="R93" s="338"/>
      <c r="S93" s="285"/>
      <c r="T93" s="339">
        <v>0</v>
      </c>
      <c r="U93" s="288"/>
      <c r="V93" s="5"/>
    </row>
    <row r="94" spans="1:22" ht="15.6" x14ac:dyDescent="0.3">
      <c r="A94" s="284"/>
      <c r="B94" s="285" t="s">
        <v>141</v>
      </c>
      <c r="C94" s="285"/>
      <c r="D94" s="285"/>
      <c r="E94" s="285"/>
      <c r="F94" s="285"/>
      <c r="G94" s="285"/>
      <c r="H94" s="285"/>
      <c r="I94" s="285"/>
      <c r="J94" s="285"/>
      <c r="K94" s="285"/>
      <c r="L94" s="285"/>
      <c r="M94" s="285"/>
      <c r="N94" s="285"/>
      <c r="O94" s="285"/>
      <c r="P94" s="285"/>
      <c r="Q94" s="285"/>
      <c r="R94" s="338"/>
      <c r="S94" s="285"/>
      <c r="T94" s="339">
        <v>0</v>
      </c>
      <c r="U94" s="288"/>
      <c r="V94" s="5"/>
    </row>
    <row r="95" spans="1:22" ht="15.6" x14ac:dyDescent="0.3">
      <c r="A95" s="284"/>
      <c r="B95" s="285" t="s">
        <v>250</v>
      </c>
      <c r="C95" s="285"/>
      <c r="D95" s="285"/>
      <c r="E95" s="285"/>
      <c r="F95" s="285"/>
      <c r="G95" s="285"/>
      <c r="H95" s="285"/>
      <c r="I95" s="285"/>
      <c r="J95" s="285"/>
      <c r="K95" s="285"/>
      <c r="L95" s="285"/>
      <c r="M95" s="285"/>
      <c r="N95" s="285"/>
      <c r="O95" s="285"/>
      <c r="P95" s="285"/>
      <c r="Q95" s="285"/>
      <c r="R95" s="338"/>
      <c r="S95" s="285"/>
      <c r="T95" s="339">
        <v>274</v>
      </c>
      <c r="U95" s="288"/>
      <c r="V95" s="5"/>
    </row>
    <row r="96" spans="1:22" ht="15.6" x14ac:dyDescent="0.3">
      <c r="A96" s="284"/>
      <c r="B96" s="285" t="s">
        <v>30</v>
      </c>
      <c r="C96" s="285"/>
      <c r="D96" s="285"/>
      <c r="E96" s="285"/>
      <c r="F96" s="285"/>
      <c r="G96" s="285"/>
      <c r="H96" s="285"/>
      <c r="I96" s="285"/>
      <c r="J96" s="285"/>
      <c r="K96" s="285"/>
      <c r="L96" s="285"/>
      <c r="M96" s="285"/>
      <c r="N96" s="285"/>
      <c r="O96" s="285"/>
      <c r="P96" s="285"/>
      <c r="Q96" s="285"/>
      <c r="R96" s="338">
        <f>SUM(R88:R95)</f>
        <v>6716</v>
      </c>
      <c r="S96" s="285"/>
      <c r="T96" s="338">
        <f>SUM(T88:T95)</f>
        <v>3452</v>
      </c>
      <c r="U96" s="288"/>
      <c r="V96" s="5"/>
    </row>
    <row r="97" spans="1:24" ht="15.6" x14ac:dyDescent="0.3">
      <c r="A97" s="284"/>
      <c r="B97" s="285" t="s">
        <v>168</v>
      </c>
      <c r="C97" s="285"/>
      <c r="D97" s="285"/>
      <c r="E97" s="285"/>
      <c r="F97" s="285"/>
      <c r="G97" s="285"/>
      <c r="H97" s="285"/>
      <c r="I97" s="285"/>
      <c r="J97" s="285"/>
      <c r="K97" s="285"/>
      <c r="L97" s="285"/>
      <c r="M97" s="285"/>
      <c r="N97" s="285"/>
      <c r="O97" s="285"/>
      <c r="P97" s="285"/>
      <c r="Q97" s="285"/>
      <c r="R97" s="338">
        <v>0</v>
      </c>
      <c r="S97" s="285"/>
      <c r="T97" s="338">
        <f>-R97</f>
        <v>0</v>
      </c>
      <c r="U97" s="288"/>
      <c r="V97" s="5"/>
    </row>
    <row r="98" spans="1:24" ht="15.6" x14ac:dyDescent="0.3">
      <c r="A98" s="284"/>
      <c r="B98" s="285" t="s">
        <v>31</v>
      </c>
      <c r="C98" s="285"/>
      <c r="D98" s="285"/>
      <c r="E98" s="285"/>
      <c r="F98" s="285"/>
      <c r="G98" s="285"/>
      <c r="H98" s="285"/>
      <c r="I98" s="285"/>
      <c r="J98" s="285"/>
      <c r="K98" s="285"/>
      <c r="L98" s="285"/>
      <c r="M98" s="285"/>
      <c r="N98" s="285"/>
      <c r="O98" s="285"/>
      <c r="P98" s="285"/>
      <c r="Q98" s="285"/>
      <c r="R98" s="338">
        <f>-T98</f>
        <v>0</v>
      </c>
      <c r="S98" s="285"/>
      <c r="T98" s="339">
        <v>0</v>
      </c>
      <c r="U98" s="288"/>
      <c r="V98" s="5"/>
    </row>
    <row r="99" spans="1:24" ht="15.6" x14ac:dyDescent="0.3">
      <c r="A99" s="284"/>
      <c r="B99" s="285" t="s">
        <v>273</v>
      </c>
      <c r="C99" s="285"/>
      <c r="D99" s="285"/>
      <c r="E99" s="285"/>
      <c r="F99" s="285"/>
      <c r="G99" s="285"/>
      <c r="H99" s="285"/>
      <c r="I99" s="285"/>
      <c r="J99" s="285"/>
      <c r="K99" s="285"/>
      <c r="L99" s="285"/>
      <c r="M99" s="285"/>
      <c r="N99" s="285"/>
      <c r="O99" s="285"/>
      <c r="P99" s="285"/>
      <c r="Q99" s="285"/>
      <c r="R99" s="338"/>
      <c r="S99" s="285"/>
      <c r="T99" s="339">
        <v>-5</v>
      </c>
      <c r="U99" s="288"/>
      <c r="V99" s="5"/>
    </row>
    <row r="100" spans="1:24" ht="15.6" x14ac:dyDescent="0.3">
      <c r="A100" s="284"/>
      <c r="B100" s="285" t="s">
        <v>32</v>
      </c>
      <c r="C100" s="285"/>
      <c r="D100" s="285"/>
      <c r="E100" s="285"/>
      <c r="F100" s="285"/>
      <c r="G100" s="285"/>
      <c r="H100" s="285"/>
      <c r="I100" s="285"/>
      <c r="J100" s="285"/>
      <c r="K100" s="285"/>
      <c r="L100" s="285"/>
      <c r="M100" s="285"/>
      <c r="N100" s="285"/>
      <c r="O100" s="285"/>
      <c r="P100" s="285"/>
      <c r="Q100" s="285"/>
      <c r="R100" s="338">
        <f>R96+R98+R97</f>
        <v>6716</v>
      </c>
      <c r="S100" s="285"/>
      <c r="T100" s="338">
        <f>T96+T98+T97+T99</f>
        <v>3447</v>
      </c>
      <c r="U100" s="288"/>
      <c r="V100" s="5"/>
    </row>
    <row r="101" spans="1:24" ht="15.6" x14ac:dyDescent="0.3">
      <c r="A101" s="284"/>
      <c r="B101" s="343" t="s">
        <v>33</v>
      </c>
      <c r="C101" s="311"/>
      <c r="D101" s="311"/>
      <c r="E101" s="311"/>
      <c r="F101" s="311"/>
      <c r="G101" s="311"/>
      <c r="H101" s="311"/>
      <c r="I101" s="311"/>
      <c r="J101" s="311"/>
      <c r="K101" s="311"/>
      <c r="L101" s="311"/>
      <c r="M101" s="311"/>
      <c r="N101" s="311"/>
      <c r="O101" s="311"/>
      <c r="P101" s="311"/>
      <c r="Q101" s="311"/>
      <c r="R101" s="344"/>
      <c r="S101" s="311"/>
      <c r="T101" s="345"/>
      <c r="U101" s="317"/>
      <c r="V101" s="5"/>
    </row>
    <row r="102" spans="1:24" ht="15.6" x14ac:dyDescent="0.3">
      <c r="A102" s="337">
        <v>1</v>
      </c>
      <c r="B102" s="285" t="s">
        <v>34</v>
      </c>
      <c r="C102" s="285"/>
      <c r="D102" s="285"/>
      <c r="E102" s="285"/>
      <c r="F102" s="285"/>
      <c r="G102" s="285"/>
      <c r="H102" s="285"/>
      <c r="I102" s="285"/>
      <c r="J102" s="285"/>
      <c r="K102" s="285"/>
      <c r="L102" s="285"/>
      <c r="M102" s="285"/>
      <c r="N102" s="285"/>
      <c r="O102" s="285"/>
      <c r="P102" s="285"/>
      <c r="Q102" s="285"/>
      <c r="R102" s="285"/>
      <c r="S102" s="285"/>
      <c r="T102" s="339">
        <v>0</v>
      </c>
      <c r="U102" s="288"/>
      <c r="V102" s="5"/>
    </row>
    <row r="103" spans="1:24" ht="15.6" x14ac:dyDescent="0.3">
      <c r="A103" s="337">
        <f>+A102+1</f>
        <v>2</v>
      </c>
      <c r="B103" s="285" t="s">
        <v>312</v>
      </c>
      <c r="C103" s="285"/>
      <c r="D103" s="285"/>
      <c r="E103" s="285"/>
      <c r="F103" s="285"/>
      <c r="G103" s="285"/>
      <c r="H103" s="285"/>
      <c r="I103" s="285"/>
      <c r="J103" s="285"/>
      <c r="K103" s="285"/>
      <c r="L103" s="285"/>
      <c r="M103" s="285"/>
      <c r="N103" s="285"/>
      <c r="O103" s="285"/>
      <c r="P103" s="285"/>
      <c r="Q103" s="285"/>
      <c r="R103" s="285"/>
      <c r="S103" s="285"/>
      <c r="T103" s="339">
        <v>-2</v>
      </c>
      <c r="U103" s="288"/>
      <c r="V103" s="5"/>
    </row>
    <row r="104" spans="1:24" ht="15.6" x14ac:dyDescent="0.3">
      <c r="A104" s="337">
        <f>+A103+1</f>
        <v>3</v>
      </c>
      <c r="B104" s="407" t="s">
        <v>314</v>
      </c>
      <c r="C104" s="285"/>
      <c r="D104" s="285"/>
      <c r="E104" s="285"/>
      <c r="F104" s="285"/>
      <c r="G104" s="285"/>
      <c r="H104" s="285"/>
      <c r="I104" s="285"/>
      <c r="J104" s="285"/>
      <c r="K104" s="285"/>
      <c r="L104" s="285"/>
      <c r="M104" s="285"/>
      <c r="N104" s="285"/>
      <c r="O104" s="285"/>
      <c r="P104" s="285"/>
      <c r="Q104" s="285"/>
      <c r="R104" s="285"/>
      <c r="S104" s="285"/>
      <c r="T104" s="339">
        <f>-199-115-7</f>
        <v>-321</v>
      </c>
      <c r="U104" s="288"/>
      <c r="V104" s="5"/>
    </row>
    <row r="105" spans="1:24" ht="15.6" x14ac:dyDescent="0.3">
      <c r="A105" s="337" t="s">
        <v>133</v>
      </c>
      <c r="B105" s="285" t="s">
        <v>122</v>
      </c>
      <c r="C105" s="285"/>
      <c r="D105" s="285"/>
      <c r="E105" s="285"/>
      <c r="F105" s="285"/>
      <c r="G105" s="285"/>
      <c r="H105" s="285"/>
      <c r="I105" s="285"/>
      <c r="J105" s="285"/>
      <c r="K105" s="285"/>
      <c r="L105" s="285"/>
      <c r="M105" s="285"/>
      <c r="N105" s="285"/>
      <c r="O105" s="285"/>
      <c r="P105" s="285"/>
      <c r="Q105" s="285"/>
      <c r="R105" s="285"/>
      <c r="S105" s="285"/>
      <c r="T105" s="339">
        <v>0</v>
      </c>
      <c r="U105" s="288"/>
      <c r="V105" s="5"/>
    </row>
    <row r="106" spans="1:24" ht="15.6" x14ac:dyDescent="0.3">
      <c r="A106" s="337" t="s">
        <v>134</v>
      </c>
      <c r="B106" s="285" t="s">
        <v>194</v>
      </c>
      <c r="C106" s="285"/>
      <c r="D106" s="285"/>
      <c r="E106" s="285"/>
      <c r="F106" s="285"/>
      <c r="G106" s="285"/>
      <c r="H106" s="285"/>
      <c r="I106" s="285"/>
      <c r="J106" s="285"/>
      <c r="K106" s="285"/>
      <c r="L106" s="285"/>
      <c r="M106" s="285"/>
      <c r="N106" s="285"/>
      <c r="O106" s="285"/>
      <c r="P106" s="285"/>
      <c r="Q106" s="285"/>
      <c r="R106" s="285"/>
      <c r="S106" s="285"/>
      <c r="T106" s="339">
        <f>-714+136</f>
        <v>-578</v>
      </c>
      <c r="U106" s="288"/>
      <c r="V106" s="5"/>
      <c r="W106" s="109"/>
    </row>
    <row r="107" spans="1:24" ht="15.6" x14ac:dyDescent="0.3">
      <c r="A107" s="337" t="s">
        <v>156</v>
      </c>
      <c r="B107" s="285" t="s">
        <v>191</v>
      </c>
      <c r="C107" s="285"/>
      <c r="D107" s="285"/>
      <c r="E107" s="285"/>
      <c r="F107" s="285"/>
      <c r="G107" s="285"/>
      <c r="H107" s="285"/>
      <c r="I107" s="285"/>
      <c r="J107" s="285"/>
      <c r="K107" s="285"/>
      <c r="L107" s="285"/>
      <c r="M107" s="285"/>
      <c r="N107" s="285"/>
      <c r="O107" s="285"/>
      <c r="P107" s="285"/>
      <c r="Q107" s="285"/>
      <c r="R107" s="285"/>
      <c r="S107" s="285"/>
      <c r="T107" s="339">
        <v>-136</v>
      </c>
      <c r="U107" s="288"/>
      <c r="V107" s="5"/>
      <c r="W107" s="109"/>
    </row>
    <row r="108" spans="1:24" ht="15.6" x14ac:dyDescent="0.3">
      <c r="A108" s="337" t="s">
        <v>214</v>
      </c>
      <c r="B108" s="285" t="s">
        <v>192</v>
      </c>
      <c r="C108" s="285"/>
      <c r="D108" s="285"/>
      <c r="E108" s="285"/>
      <c r="F108" s="285"/>
      <c r="G108" s="285"/>
      <c r="H108" s="285"/>
      <c r="I108" s="285"/>
      <c r="J108" s="285"/>
      <c r="K108" s="285"/>
      <c r="L108" s="285"/>
      <c r="M108" s="285"/>
      <c r="N108" s="285"/>
      <c r="O108" s="285"/>
      <c r="P108" s="285"/>
      <c r="Q108" s="285"/>
      <c r="R108" s="285"/>
      <c r="S108" s="285"/>
      <c r="T108" s="339">
        <v>-152</v>
      </c>
      <c r="U108" s="288"/>
      <c r="V108" s="5"/>
      <c r="W108" s="109"/>
      <c r="X108" s="109"/>
    </row>
    <row r="109" spans="1:24" ht="15.6" x14ac:dyDescent="0.3">
      <c r="A109" s="337" t="s">
        <v>215</v>
      </c>
      <c r="B109" s="285" t="s">
        <v>193</v>
      </c>
      <c r="C109" s="285"/>
      <c r="D109" s="285"/>
      <c r="E109" s="285"/>
      <c r="F109" s="285"/>
      <c r="G109" s="285"/>
      <c r="H109" s="285"/>
      <c r="I109" s="285"/>
      <c r="J109" s="285"/>
      <c r="K109" s="285"/>
      <c r="L109" s="285"/>
      <c r="M109" s="285"/>
      <c r="N109" s="285"/>
      <c r="O109" s="285"/>
      <c r="P109" s="285"/>
      <c r="Q109" s="285"/>
      <c r="R109" s="285"/>
      <c r="S109" s="285"/>
      <c r="T109" s="339">
        <v>-42</v>
      </c>
      <c r="U109" s="288"/>
      <c r="V109" s="169"/>
      <c r="W109" s="109"/>
    </row>
    <row r="110" spans="1:24" ht="15.6" x14ac:dyDescent="0.3">
      <c r="A110" s="337" t="s">
        <v>216</v>
      </c>
      <c r="B110" s="285" t="s">
        <v>204</v>
      </c>
      <c r="C110" s="285"/>
      <c r="D110" s="285"/>
      <c r="E110" s="285"/>
      <c r="F110" s="285"/>
      <c r="G110" s="285"/>
      <c r="H110" s="285"/>
      <c r="I110" s="285"/>
      <c r="J110" s="285"/>
      <c r="K110" s="285"/>
      <c r="L110" s="285"/>
      <c r="M110" s="285"/>
      <c r="N110" s="285"/>
      <c r="O110" s="285"/>
      <c r="P110" s="285"/>
      <c r="Q110" s="285"/>
      <c r="R110" s="285"/>
      <c r="S110" s="285"/>
      <c r="T110" s="339">
        <v>-233</v>
      </c>
      <c r="U110" s="288"/>
      <c r="V110" s="5"/>
      <c r="W110" s="109"/>
    </row>
    <row r="111" spans="1:24" ht="15.6" x14ac:dyDescent="0.3">
      <c r="A111" s="406">
        <v>7</v>
      </c>
      <c r="B111" s="407" t="s">
        <v>313</v>
      </c>
      <c r="C111" s="407"/>
      <c r="D111" s="407"/>
      <c r="E111" s="407"/>
      <c r="F111" s="407"/>
      <c r="G111" s="285"/>
      <c r="H111" s="285"/>
      <c r="I111" s="285"/>
      <c r="J111" s="285"/>
      <c r="K111" s="285"/>
      <c r="L111" s="285"/>
      <c r="M111" s="285"/>
      <c r="N111" s="285"/>
      <c r="O111" s="285"/>
      <c r="P111" s="285"/>
      <c r="Q111" s="285"/>
      <c r="R111" s="285"/>
      <c r="S111" s="285"/>
      <c r="T111" s="339">
        <v>0</v>
      </c>
      <c r="U111" s="288"/>
      <c r="V111" s="5"/>
      <c r="W111" s="109"/>
    </row>
    <row r="112" spans="1:24" ht="15.6" x14ac:dyDescent="0.3">
      <c r="A112" s="337">
        <f t="shared" ref="A112:A118" si="0">+A111+1</f>
        <v>8</v>
      </c>
      <c r="B112" s="285" t="s">
        <v>35</v>
      </c>
      <c r="C112" s="285"/>
      <c r="D112" s="285"/>
      <c r="E112" s="285"/>
      <c r="F112" s="285"/>
      <c r="G112" s="285"/>
      <c r="H112" s="285"/>
      <c r="I112" s="285"/>
      <c r="J112" s="285"/>
      <c r="K112" s="285"/>
      <c r="L112" s="285"/>
      <c r="M112" s="285"/>
      <c r="N112" s="285"/>
      <c r="O112" s="285"/>
      <c r="P112" s="285"/>
      <c r="Q112" s="285"/>
      <c r="R112" s="285"/>
      <c r="S112" s="285"/>
      <c r="T112" s="339">
        <v>-10</v>
      </c>
      <c r="U112" s="288"/>
      <c r="V112" s="5"/>
    </row>
    <row r="113" spans="1:22" ht="15.6" x14ac:dyDescent="0.3">
      <c r="A113" s="337">
        <f t="shared" si="0"/>
        <v>9</v>
      </c>
      <c r="B113" s="285" t="s">
        <v>46</v>
      </c>
      <c r="C113" s="285"/>
      <c r="D113" s="285"/>
      <c r="E113" s="285"/>
      <c r="F113" s="285"/>
      <c r="G113" s="285"/>
      <c r="H113" s="285"/>
      <c r="I113" s="285"/>
      <c r="J113" s="285"/>
      <c r="K113" s="285"/>
      <c r="L113" s="285"/>
      <c r="M113" s="285"/>
      <c r="N113" s="285"/>
      <c r="O113" s="285"/>
      <c r="P113" s="285"/>
      <c r="Q113" s="285"/>
      <c r="R113" s="338">
        <f>-T113</f>
        <v>3</v>
      </c>
      <c r="S113" s="285"/>
      <c r="T113" s="339">
        <v>-3</v>
      </c>
      <c r="U113" s="288"/>
      <c r="V113" s="5"/>
    </row>
    <row r="114" spans="1:22" ht="15.6" x14ac:dyDescent="0.3">
      <c r="A114" s="337">
        <f t="shared" si="0"/>
        <v>10</v>
      </c>
      <c r="B114" s="285" t="s">
        <v>131</v>
      </c>
      <c r="C114" s="285"/>
      <c r="D114" s="285"/>
      <c r="E114" s="285"/>
      <c r="F114" s="285"/>
      <c r="G114" s="285"/>
      <c r="H114" s="285"/>
      <c r="I114" s="285"/>
      <c r="J114" s="285"/>
      <c r="K114" s="285"/>
      <c r="L114" s="285"/>
      <c r="M114" s="285"/>
      <c r="N114" s="285"/>
      <c r="O114" s="285"/>
      <c r="P114" s="285"/>
      <c r="Q114" s="285"/>
      <c r="R114" s="285"/>
      <c r="S114" s="285"/>
      <c r="T114" s="339">
        <v>0</v>
      </c>
      <c r="U114" s="288"/>
      <c r="V114" s="5"/>
    </row>
    <row r="115" spans="1:22" ht="15.6" x14ac:dyDescent="0.3">
      <c r="A115" s="337">
        <f t="shared" si="0"/>
        <v>11</v>
      </c>
      <c r="B115" s="285" t="s">
        <v>36</v>
      </c>
      <c r="C115" s="285"/>
      <c r="D115" s="285"/>
      <c r="E115" s="285"/>
      <c r="F115" s="285"/>
      <c r="G115" s="285"/>
      <c r="H115" s="285"/>
      <c r="I115" s="285"/>
      <c r="J115" s="285"/>
      <c r="K115" s="285"/>
      <c r="L115" s="285"/>
      <c r="M115" s="285"/>
      <c r="N115" s="285"/>
      <c r="O115" s="285"/>
      <c r="P115" s="285"/>
      <c r="Q115" s="285"/>
      <c r="R115" s="285"/>
      <c r="S115" s="285"/>
      <c r="T115" s="339">
        <v>0</v>
      </c>
      <c r="U115" s="288"/>
      <c r="V115" s="5"/>
    </row>
    <row r="116" spans="1:22" ht="15.6" x14ac:dyDescent="0.3">
      <c r="A116" s="337">
        <f t="shared" si="0"/>
        <v>12</v>
      </c>
      <c r="B116" s="285" t="s">
        <v>37</v>
      </c>
      <c r="C116" s="285"/>
      <c r="D116" s="285"/>
      <c r="E116" s="285"/>
      <c r="F116" s="285"/>
      <c r="G116" s="285"/>
      <c r="H116" s="285"/>
      <c r="I116" s="285"/>
      <c r="J116" s="285"/>
      <c r="K116" s="285"/>
      <c r="L116" s="285"/>
      <c r="M116" s="285"/>
      <c r="N116" s="285"/>
      <c r="O116" s="285"/>
      <c r="P116" s="285"/>
      <c r="Q116" s="285"/>
      <c r="R116" s="285"/>
      <c r="S116" s="285"/>
      <c r="T116" s="339">
        <v>0</v>
      </c>
      <c r="U116" s="288"/>
      <c r="V116" s="5"/>
    </row>
    <row r="117" spans="1:22" ht="15.6" x14ac:dyDescent="0.3">
      <c r="A117" s="337">
        <f t="shared" si="0"/>
        <v>13</v>
      </c>
      <c r="B117" s="285" t="s">
        <v>155</v>
      </c>
      <c r="C117" s="285"/>
      <c r="D117" s="285"/>
      <c r="E117" s="285"/>
      <c r="F117" s="285"/>
      <c r="G117" s="285"/>
      <c r="H117" s="285"/>
      <c r="I117" s="285"/>
      <c r="J117" s="285"/>
      <c r="K117" s="285"/>
      <c r="L117" s="285"/>
      <c r="M117" s="285"/>
      <c r="N117" s="285"/>
      <c r="O117" s="285"/>
      <c r="P117" s="285"/>
      <c r="Q117" s="285"/>
      <c r="R117" s="285"/>
      <c r="S117" s="285"/>
      <c r="T117" s="339">
        <v>-199</v>
      </c>
      <c r="U117" s="288"/>
      <c r="V117" s="5"/>
    </row>
    <row r="118" spans="1:22" ht="15.6" x14ac:dyDescent="0.3">
      <c r="A118" s="337">
        <f t="shared" si="0"/>
        <v>14</v>
      </c>
      <c r="B118" s="285" t="s">
        <v>132</v>
      </c>
      <c r="C118" s="285"/>
      <c r="D118" s="285"/>
      <c r="E118" s="285"/>
      <c r="F118" s="285"/>
      <c r="G118" s="285"/>
      <c r="H118" s="285"/>
      <c r="I118" s="285"/>
      <c r="J118" s="285"/>
      <c r="K118" s="285"/>
      <c r="L118" s="285"/>
      <c r="M118" s="285"/>
      <c r="N118" s="285"/>
      <c r="O118" s="285"/>
      <c r="P118" s="285"/>
      <c r="Q118" s="285"/>
      <c r="R118" s="285"/>
      <c r="S118" s="285"/>
      <c r="T118" s="339">
        <f>-T100-SUM(T102:T117)</f>
        <v>-1771</v>
      </c>
      <c r="U118" s="288"/>
      <c r="V118" s="5"/>
    </row>
    <row r="119" spans="1:22" ht="15.6" x14ac:dyDescent="0.3">
      <c r="A119" s="284"/>
      <c r="B119" s="343" t="s">
        <v>38</v>
      </c>
      <c r="C119" s="311"/>
      <c r="D119" s="311"/>
      <c r="E119" s="311"/>
      <c r="F119" s="311"/>
      <c r="G119" s="311"/>
      <c r="H119" s="311"/>
      <c r="I119" s="311"/>
      <c r="J119" s="311"/>
      <c r="K119" s="311"/>
      <c r="L119" s="311"/>
      <c r="M119" s="311"/>
      <c r="N119" s="311"/>
      <c r="O119" s="311"/>
      <c r="P119" s="311"/>
      <c r="Q119" s="311"/>
      <c r="R119" s="311"/>
      <c r="S119" s="311"/>
      <c r="T119" s="346"/>
      <c r="U119" s="317"/>
      <c r="V119" s="5"/>
    </row>
    <row r="120" spans="1:22" ht="15.6" x14ac:dyDescent="0.3">
      <c r="A120" s="337"/>
      <c r="B120" s="285" t="s">
        <v>180</v>
      </c>
      <c r="C120" s="285"/>
      <c r="D120" s="285"/>
      <c r="E120" s="285"/>
      <c r="F120" s="285"/>
      <c r="G120" s="285"/>
      <c r="H120" s="285"/>
      <c r="I120" s="285"/>
      <c r="J120" s="285"/>
      <c r="K120" s="285"/>
      <c r="L120" s="285"/>
      <c r="M120" s="285"/>
      <c r="N120" s="285"/>
      <c r="O120" s="285"/>
      <c r="P120" s="285"/>
      <c r="Q120" s="285"/>
      <c r="R120" s="338">
        <f>-R178</f>
        <v>0</v>
      </c>
      <c r="S120" s="338"/>
      <c r="T120" s="339"/>
      <c r="U120" s="288"/>
      <c r="V120" s="5"/>
    </row>
    <row r="121" spans="1:22" ht="15.6" x14ac:dyDescent="0.3">
      <c r="A121" s="337"/>
      <c r="B121" s="285" t="s">
        <v>181</v>
      </c>
      <c r="C121" s="285"/>
      <c r="D121" s="285"/>
      <c r="E121" s="285"/>
      <c r="F121" s="285"/>
      <c r="G121" s="285"/>
      <c r="H121" s="285"/>
      <c r="I121" s="285"/>
      <c r="J121" s="285"/>
      <c r="K121" s="285"/>
      <c r="L121" s="285"/>
      <c r="M121" s="285"/>
      <c r="N121" s="285"/>
      <c r="O121" s="285"/>
      <c r="P121" s="285"/>
      <c r="Q121" s="285"/>
      <c r="R121" s="338">
        <v>0</v>
      </c>
      <c r="S121" s="338"/>
      <c r="T121" s="339"/>
      <c r="U121" s="288"/>
      <c r="V121" s="5"/>
    </row>
    <row r="122" spans="1:22" ht="15.6" x14ac:dyDescent="0.3">
      <c r="A122" s="337"/>
      <c r="B122" s="285" t="s">
        <v>39</v>
      </c>
      <c r="C122" s="285"/>
      <c r="D122" s="285"/>
      <c r="E122" s="285"/>
      <c r="F122" s="285"/>
      <c r="G122" s="285"/>
      <c r="H122" s="285"/>
      <c r="I122" s="285"/>
      <c r="J122" s="285"/>
      <c r="K122" s="285"/>
      <c r="L122" s="285"/>
      <c r="M122" s="285"/>
      <c r="N122" s="285"/>
      <c r="O122" s="285"/>
      <c r="P122" s="285"/>
      <c r="Q122" s="285"/>
      <c r="R122" s="338">
        <f>-Q178</f>
        <v>-70</v>
      </c>
      <c r="S122" s="338"/>
      <c r="T122" s="339"/>
      <c r="U122" s="288"/>
      <c r="V122" s="5"/>
    </row>
    <row r="123" spans="1:22" ht="15.6" x14ac:dyDescent="0.3">
      <c r="A123" s="337"/>
      <c r="B123" s="285" t="s">
        <v>205</v>
      </c>
      <c r="C123" s="285"/>
      <c r="D123" s="285"/>
      <c r="E123" s="285"/>
      <c r="F123" s="285"/>
      <c r="G123" s="285"/>
      <c r="H123" s="285"/>
      <c r="I123" s="285"/>
      <c r="J123" s="285"/>
      <c r="K123" s="285"/>
      <c r="L123" s="285"/>
      <c r="M123" s="285"/>
      <c r="N123" s="285"/>
      <c r="O123" s="285"/>
      <c r="P123" s="285"/>
      <c r="Q123" s="285"/>
      <c r="R123" s="338">
        <v>-4348</v>
      </c>
      <c r="S123" s="338"/>
      <c r="T123" s="339"/>
      <c r="U123" s="288"/>
      <c r="V123" s="5"/>
    </row>
    <row r="124" spans="1:22" ht="15.6" x14ac:dyDescent="0.3">
      <c r="A124" s="337"/>
      <c r="B124" s="285" t="s">
        <v>203</v>
      </c>
      <c r="C124" s="285"/>
      <c r="D124" s="285"/>
      <c r="E124" s="285"/>
      <c r="F124" s="285"/>
      <c r="G124" s="285"/>
      <c r="H124" s="285"/>
      <c r="I124" s="285"/>
      <c r="J124" s="285"/>
      <c r="K124" s="285"/>
      <c r="L124" s="285"/>
      <c r="M124" s="285"/>
      <c r="N124" s="285"/>
      <c r="O124" s="285"/>
      <c r="P124" s="285"/>
      <c r="Q124" s="285"/>
      <c r="R124" s="338">
        <v>-1146</v>
      </c>
      <c r="S124" s="338"/>
      <c r="T124" s="339"/>
      <c r="U124" s="288"/>
      <c r="V124" s="5"/>
    </row>
    <row r="125" spans="1:22" ht="15.6" x14ac:dyDescent="0.3">
      <c r="A125" s="337"/>
      <c r="B125" s="285" t="s">
        <v>202</v>
      </c>
      <c r="C125" s="285"/>
      <c r="D125" s="285"/>
      <c r="E125" s="285"/>
      <c r="F125" s="285"/>
      <c r="G125" s="285"/>
      <c r="H125" s="285"/>
      <c r="I125" s="285"/>
      <c r="J125" s="285"/>
      <c r="K125" s="285"/>
      <c r="L125" s="285"/>
      <c r="M125" s="285"/>
      <c r="N125" s="285"/>
      <c r="O125" s="285"/>
      <c r="P125" s="285"/>
      <c r="Q125" s="285"/>
      <c r="R125" s="338">
        <v>-1155</v>
      </c>
      <c r="S125" s="338"/>
      <c r="T125" s="339"/>
      <c r="U125" s="288"/>
      <c r="V125" s="5"/>
    </row>
    <row r="126" spans="1:22" ht="15.6" x14ac:dyDescent="0.3">
      <c r="A126" s="337"/>
      <c r="B126" s="285" t="s">
        <v>197</v>
      </c>
      <c r="C126" s="285"/>
      <c r="D126" s="285"/>
      <c r="E126" s="285"/>
      <c r="F126" s="285"/>
      <c r="G126" s="285"/>
      <c r="H126" s="285"/>
      <c r="I126" s="285"/>
      <c r="J126" s="285"/>
      <c r="K126" s="285"/>
      <c r="L126" s="285"/>
      <c r="M126" s="285"/>
      <c r="N126" s="285"/>
      <c r="O126" s="285"/>
      <c r="P126" s="285"/>
      <c r="Q126" s="285"/>
      <c r="R126" s="338">
        <v>0</v>
      </c>
      <c r="S126" s="338"/>
      <c r="T126" s="339"/>
      <c r="U126" s="288"/>
      <c r="V126" s="5"/>
    </row>
    <row r="127" spans="1:22" ht="15.6" x14ac:dyDescent="0.3">
      <c r="A127" s="337"/>
      <c r="B127" s="285" t="s">
        <v>196</v>
      </c>
      <c r="C127" s="285"/>
      <c r="D127" s="285"/>
      <c r="E127" s="285"/>
      <c r="F127" s="285"/>
      <c r="G127" s="285"/>
      <c r="H127" s="285"/>
      <c r="I127" s="285"/>
      <c r="J127" s="285"/>
      <c r="K127" s="285"/>
      <c r="L127" s="285"/>
      <c r="M127" s="285"/>
      <c r="N127" s="285"/>
      <c r="O127" s="285"/>
      <c r="P127" s="285"/>
      <c r="Q127" s="285"/>
      <c r="R127" s="338">
        <v>0</v>
      </c>
      <c r="S127" s="338"/>
      <c r="T127" s="339"/>
      <c r="U127" s="288"/>
      <c r="V127" s="5"/>
    </row>
    <row r="128" spans="1:22" ht="15.6" x14ac:dyDescent="0.3">
      <c r="A128" s="337"/>
      <c r="B128" s="285" t="s">
        <v>195</v>
      </c>
      <c r="C128" s="285"/>
      <c r="D128" s="285"/>
      <c r="E128" s="285"/>
      <c r="F128" s="285"/>
      <c r="G128" s="285"/>
      <c r="H128" s="285"/>
      <c r="I128" s="285"/>
      <c r="J128" s="285"/>
      <c r="K128" s="285"/>
      <c r="L128" s="285"/>
      <c r="M128" s="285"/>
      <c r="N128" s="285"/>
      <c r="O128" s="285"/>
      <c r="P128" s="285"/>
      <c r="Q128" s="285"/>
      <c r="R128" s="338">
        <v>0</v>
      </c>
      <c r="S128" s="338"/>
      <c r="T128" s="339"/>
      <c r="U128" s="288"/>
      <c r="V128" s="5"/>
    </row>
    <row r="129" spans="1:22" ht="15.6" x14ac:dyDescent="0.3">
      <c r="A129" s="337"/>
      <c r="B129" s="285" t="s">
        <v>40</v>
      </c>
      <c r="C129" s="285"/>
      <c r="D129" s="285"/>
      <c r="E129" s="285"/>
      <c r="F129" s="285"/>
      <c r="G129" s="285"/>
      <c r="H129" s="285"/>
      <c r="I129" s="285"/>
      <c r="J129" s="285"/>
      <c r="K129" s="285"/>
      <c r="L129" s="285"/>
      <c r="M129" s="285"/>
      <c r="N129" s="285"/>
      <c r="O129" s="285"/>
      <c r="P129" s="285"/>
      <c r="Q129" s="285"/>
      <c r="R129" s="338">
        <f>SUM(R120:R128)</f>
        <v>-6719</v>
      </c>
      <c r="S129" s="338"/>
      <c r="T129" s="338">
        <f>SUM(T101:T127)</f>
        <v>-3447</v>
      </c>
      <c r="U129" s="288"/>
      <c r="V129" s="5"/>
    </row>
    <row r="130" spans="1:22" ht="15.6" x14ac:dyDescent="0.3">
      <c r="A130" s="337"/>
      <c r="B130" s="285" t="s">
        <v>41</v>
      </c>
      <c r="C130" s="285"/>
      <c r="D130" s="285"/>
      <c r="E130" s="285"/>
      <c r="F130" s="285"/>
      <c r="G130" s="285"/>
      <c r="H130" s="285"/>
      <c r="I130" s="285"/>
      <c r="J130" s="285"/>
      <c r="K130" s="285"/>
      <c r="L130" s="285"/>
      <c r="M130" s="285"/>
      <c r="N130" s="285"/>
      <c r="O130" s="285"/>
      <c r="P130" s="285"/>
      <c r="Q130" s="285"/>
      <c r="R130" s="338">
        <f>R100+R129+R113</f>
        <v>0</v>
      </c>
      <c r="S130" s="338"/>
      <c r="T130" s="338">
        <f>T100+T129</f>
        <v>0</v>
      </c>
      <c r="U130" s="288"/>
      <c r="V130" s="5"/>
    </row>
    <row r="131" spans="1:22" ht="15.6" x14ac:dyDescent="0.3">
      <c r="A131" s="256"/>
      <c r="B131" s="281"/>
      <c r="C131" s="281"/>
      <c r="D131" s="281"/>
      <c r="E131" s="281"/>
      <c r="F131" s="281"/>
      <c r="G131" s="281"/>
      <c r="H131" s="281"/>
      <c r="I131" s="281"/>
      <c r="J131" s="281"/>
      <c r="K131" s="281"/>
      <c r="L131" s="281"/>
      <c r="M131" s="281"/>
      <c r="N131" s="281"/>
      <c r="O131" s="281"/>
      <c r="P131" s="281"/>
      <c r="Q131" s="281"/>
      <c r="R131" s="340"/>
      <c r="S131" s="340"/>
      <c r="T131" s="340"/>
      <c r="U131" s="281"/>
      <c r="V131" s="5"/>
    </row>
    <row r="132" spans="1:22" ht="15.6" x14ac:dyDescent="0.3">
      <c r="A132" s="256"/>
      <c r="B132" s="231"/>
      <c r="C132" s="231"/>
      <c r="D132" s="231"/>
      <c r="E132" s="231"/>
      <c r="F132" s="231"/>
      <c r="G132" s="231"/>
      <c r="H132" s="231"/>
      <c r="I132" s="231"/>
      <c r="J132" s="231"/>
      <c r="K132" s="231"/>
      <c r="L132" s="231"/>
      <c r="M132" s="231"/>
      <c r="N132" s="231"/>
      <c r="O132" s="231"/>
      <c r="P132" s="231"/>
      <c r="Q132" s="231"/>
      <c r="R132" s="231"/>
      <c r="S132" s="231"/>
      <c r="T132" s="257"/>
      <c r="U132" s="231"/>
      <c r="V132" s="5"/>
    </row>
    <row r="133" spans="1:22" ht="18" thickBot="1" x14ac:dyDescent="0.35">
      <c r="A133" s="258"/>
      <c r="B133" s="246" t="str">
        <f>B64</f>
        <v>PM11 INVESTOR REPORT QUARTER ENDING SEPTEMBER 2014</v>
      </c>
      <c r="C133" s="247"/>
      <c r="D133" s="247"/>
      <c r="E133" s="247"/>
      <c r="F133" s="247"/>
      <c r="G133" s="247"/>
      <c r="H133" s="247"/>
      <c r="I133" s="247"/>
      <c r="J133" s="247"/>
      <c r="K133" s="247"/>
      <c r="L133" s="247"/>
      <c r="M133" s="247"/>
      <c r="N133" s="247"/>
      <c r="O133" s="247"/>
      <c r="P133" s="247"/>
      <c r="Q133" s="247"/>
      <c r="R133" s="247"/>
      <c r="S133" s="247"/>
      <c r="T133" s="259"/>
      <c r="U133" s="249"/>
      <c r="V133" s="5"/>
    </row>
    <row r="134" spans="1:22" ht="15.6" x14ac:dyDescent="0.3">
      <c r="A134" s="260"/>
      <c r="B134" s="399" t="s">
        <v>42</v>
      </c>
      <c r="C134" s="261"/>
      <c r="D134" s="261"/>
      <c r="E134" s="261"/>
      <c r="F134" s="261"/>
      <c r="G134" s="261"/>
      <c r="H134" s="261"/>
      <c r="I134" s="261"/>
      <c r="J134" s="261"/>
      <c r="K134" s="261"/>
      <c r="L134" s="261"/>
      <c r="M134" s="261"/>
      <c r="N134" s="261"/>
      <c r="O134" s="261"/>
      <c r="P134" s="261"/>
      <c r="Q134" s="261"/>
      <c r="R134" s="261"/>
      <c r="S134" s="261"/>
      <c r="T134" s="262"/>
      <c r="U134" s="261"/>
      <c r="V134" s="5"/>
    </row>
    <row r="135" spans="1:22" ht="15.6" x14ac:dyDescent="0.3">
      <c r="A135" s="175"/>
      <c r="B135" s="187"/>
      <c r="C135" s="177"/>
      <c r="D135" s="177"/>
      <c r="E135" s="177"/>
      <c r="F135" s="177"/>
      <c r="G135" s="177"/>
      <c r="H135" s="177"/>
      <c r="I135" s="177"/>
      <c r="J135" s="177"/>
      <c r="K135" s="177"/>
      <c r="L135" s="177"/>
      <c r="M135" s="177"/>
      <c r="N135" s="177"/>
      <c r="O135" s="177"/>
      <c r="P135" s="177"/>
      <c r="Q135" s="177"/>
      <c r="R135" s="177"/>
      <c r="S135" s="177"/>
      <c r="T135" s="194"/>
      <c r="U135" s="177"/>
      <c r="V135" s="5"/>
    </row>
    <row r="136" spans="1:22" ht="15.6" x14ac:dyDescent="0.3">
      <c r="A136" s="175"/>
      <c r="B136" s="201" t="s">
        <v>43</v>
      </c>
      <c r="C136" s="177"/>
      <c r="D136" s="177"/>
      <c r="E136" s="177"/>
      <c r="F136" s="177"/>
      <c r="G136" s="177"/>
      <c r="H136" s="177"/>
      <c r="I136" s="177"/>
      <c r="J136" s="177"/>
      <c r="K136" s="177"/>
      <c r="L136" s="177"/>
      <c r="M136" s="177"/>
      <c r="N136" s="177"/>
      <c r="O136" s="177"/>
      <c r="P136" s="177"/>
      <c r="Q136" s="177"/>
      <c r="R136" s="177"/>
      <c r="S136" s="177"/>
      <c r="T136" s="194"/>
      <c r="U136" s="177"/>
      <c r="V136" s="5"/>
    </row>
    <row r="137" spans="1:22" ht="15.6" x14ac:dyDescent="0.3">
      <c r="A137" s="284"/>
      <c r="B137" s="285" t="s">
        <v>44</v>
      </c>
      <c r="C137" s="285"/>
      <c r="D137" s="285"/>
      <c r="E137" s="285"/>
      <c r="F137" s="285"/>
      <c r="G137" s="285"/>
      <c r="H137" s="285"/>
      <c r="I137" s="285"/>
      <c r="J137" s="285"/>
      <c r="K137" s="285"/>
      <c r="L137" s="285"/>
      <c r="M137" s="285"/>
      <c r="N137" s="285"/>
      <c r="O137" s="285"/>
      <c r="P137" s="285"/>
      <c r="Q137" s="285"/>
      <c r="R137" s="285"/>
      <c r="S137" s="285"/>
      <c r="T137" s="339">
        <f>+T34*0.019</f>
        <v>19000.95</v>
      </c>
      <c r="U137" s="288"/>
      <c r="V137" s="5"/>
    </row>
    <row r="138" spans="1:22" ht="15.6" x14ac:dyDescent="0.3">
      <c r="A138" s="284"/>
      <c r="B138" s="285" t="s">
        <v>45</v>
      </c>
      <c r="C138" s="285"/>
      <c r="D138" s="285"/>
      <c r="E138" s="285"/>
      <c r="F138" s="285"/>
      <c r="G138" s="285"/>
      <c r="H138" s="285"/>
      <c r="I138" s="285"/>
      <c r="J138" s="285"/>
      <c r="K138" s="285"/>
      <c r="L138" s="285"/>
      <c r="M138" s="285"/>
      <c r="N138" s="285"/>
      <c r="O138" s="285"/>
      <c r="P138" s="285"/>
      <c r="Q138" s="285"/>
      <c r="R138" s="285"/>
      <c r="S138" s="285"/>
      <c r="T138" s="339">
        <v>19001</v>
      </c>
      <c r="U138" s="288"/>
      <c r="V138" s="5"/>
    </row>
    <row r="139" spans="1:22" ht="15.6" x14ac:dyDescent="0.3">
      <c r="A139" s="284"/>
      <c r="B139" s="285" t="s">
        <v>142</v>
      </c>
      <c r="C139" s="285"/>
      <c r="D139" s="285"/>
      <c r="E139" s="285"/>
      <c r="F139" s="285"/>
      <c r="G139" s="285"/>
      <c r="H139" s="285"/>
      <c r="I139" s="285"/>
      <c r="J139" s="285"/>
      <c r="K139" s="285"/>
      <c r="L139" s="285"/>
      <c r="M139" s="285"/>
      <c r="N139" s="285"/>
      <c r="O139" s="285"/>
      <c r="P139" s="285"/>
      <c r="Q139" s="285"/>
      <c r="R139" s="285"/>
      <c r="S139" s="285"/>
      <c r="T139" s="339">
        <v>0</v>
      </c>
      <c r="U139" s="288"/>
      <c r="V139" s="5"/>
    </row>
    <row r="140" spans="1:22" ht="15.6" x14ac:dyDescent="0.3">
      <c r="A140" s="284"/>
      <c r="B140" s="285" t="s">
        <v>129</v>
      </c>
      <c r="C140" s="285"/>
      <c r="D140" s="285"/>
      <c r="E140" s="285"/>
      <c r="F140" s="285"/>
      <c r="G140" s="285"/>
      <c r="H140" s="285"/>
      <c r="I140" s="285"/>
      <c r="J140" s="285"/>
      <c r="K140" s="285"/>
      <c r="L140" s="285"/>
      <c r="M140" s="285"/>
      <c r="N140" s="285"/>
      <c r="O140" s="285"/>
      <c r="P140" s="285"/>
      <c r="Q140" s="285"/>
      <c r="R140" s="285"/>
      <c r="S140" s="285"/>
      <c r="T140" s="339">
        <v>0</v>
      </c>
      <c r="U140" s="288"/>
      <c r="V140" s="5"/>
    </row>
    <row r="141" spans="1:22" ht="15.6" x14ac:dyDescent="0.3">
      <c r="A141" s="284"/>
      <c r="B141" s="285" t="s">
        <v>130</v>
      </c>
      <c r="C141" s="285"/>
      <c r="D141" s="285"/>
      <c r="E141" s="285"/>
      <c r="F141" s="285"/>
      <c r="G141" s="285"/>
      <c r="H141" s="285"/>
      <c r="I141" s="285"/>
      <c r="J141" s="285"/>
      <c r="K141" s="285"/>
      <c r="L141" s="285"/>
      <c r="M141" s="285"/>
      <c r="N141" s="285"/>
      <c r="O141" s="285"/>
      <c r="P141" s="285"/>
      <c r="Q141" s="285"/>
      <c r="R141" s="285"/>
      <c r="S141" s="285"/>
      <c r="T141" s="339">
        <v>0</v>
      </c>
      <c r="U141" s="288"/>
      <c r="V141" s="5"/>
    </row>
    <row r="142" spans="1:22" ht="15.6" x14ac:dyDescent="0.3">
      <c r="A142" s="284"/>
      <c r="B142" s="285" t="s">
        <v>182</v>
      </c>
      <c r="C142" s="285"/>
      <c r="D142" s="285"/>
      <c r="E142" s="285"/>
      <c r="F142" s="285"/>
      <c r="G142" s="285"/>
      <c r="H142" s="285"/>
      <c r="I142" s="285"/>
      <c r="J142" s="285"/>
      <c r="K142" s="285"/>
      <c r="L142" s="285"/>
      <c r="M142" s="285"/>
      <c r="N142" s="285"/>
      <c r="O142" s="285"/>
      <c r="P142" s="285"/>
      <c r="Q142" s="285"/>
      <c r="R142" s="285"/>
      <c r="S142" s="285"/>
      <c r="T142" s="339">
        <v>0</v>
      </c>
      <c r="U142" s="288"/>
      <c r="V142" s="5"/>
    </row>
    <row r="143" spans="1:22" ht="15.6" x14ac:dyDescent="0.3">
      <c r="A143" s="284"/>
      <c r="B143" s="285" t="s">
        <v>46</v>
      </c>
      <c r="C143" s="285"/>
      <c r="D143" s="285"/>
      <c r="E143" s="285"/>
      <c r="F143" s="285"/>
      <c r="G143" s="285"/>
      <c r="H143" s="285"/>
      <c r="I143" s="285"/>
      <c r="J143" s="285"/>
      <c r="K143" s="285"/>
      <c r="L143" s="285"/>
      <c r="M143" s="285"/>
      <c r="N143" s="285"/>
      <c r="O143" s="285"/>
      <c r="P143" s="285"/>
      <c r="Q143" s="285"/>
      <c r="R143" s="285"/>
      <c r="S143" s="285"/>
      <c r="T143" s="339">
        <v>0</v>
      </c>
      <c r="U143" s="288"/>
      <c r="V143" s="5"/>
    </row>
    <row r="144" spans="1:22" ht="15.6" x14ac:dyDescent="0.3">
      <c r="A144" s="284"/>
      <c r="B144" s="285" t="s">
        <v>135</v>
      </c>
      <c r="C144" s="285"/>
      <c r="D144" s="285"/>
      <c r="E144" s="285"/>
      <c r="F144" s="285"/>
      <c r="G144" s="285"/>
      <c r="H144" s="285"/>
      <c r="I144" s="285"/>
      <c r="J144" s="285"/>
      <c r="K144" s="285"/>
      <c r="L144" s="285"/>
      <c r="M144" s="285"/>
      <c r="N144" s="285"/>
      <c r="O144" s="285"/>
      <c r="P144" s="285"/>
      <c r="Q144" s="285"/>
      <c r="R144" s="285"/>
      <c r="S144" s="285"/>
      <c r="T144" s="339">
        <v>0</v>
      </c>
      <c r="U144" s="288"/>
      <c r="V144" s="5"/>
    </row>
    <row r="145" spans="1:23" ht="15.6" x14ac:dyDescent="0.3">
      <c r="A145" s="284"/>
      <c r="B145" s="285" t="s">
        <v>251</v>
      </c>
      <c r="C145" s="285"/>
      <c r="D145" s="285"/>
      <c r="E145" s="285"/>
      <c r="F145" s="285"/>
      <c r="G145" s="285"/>
      <c r="H145" s="285"/>
      <c r="I145" s="285"/>
      <c r="J145" s="285"/>
      <c r="K145" s="285"/>
      <c r="L145" s="285"/>
      <c r="M145" s="285"/>
      <c r="N145" s="285"/>
      <c r="O145" s="285"/>
      <c r="P145" s="285"/>
      <c r="Q145" s="285"/>
      <c r="R145" s="285"/>
      <c r="S145" s="285"/>
      <c r="T145" s="339">
        <v>0</v>
      </c>
      <c r="U145" s="288"/>
      <c r="V145" s="5"/>
      <c r="W145" s="109"/>
    </row>
    <row r="146" spans="1:23" ht="15.6" x14ac:dyDescent="0.3">
      <c r="A146" s="284"/>
      <c r="B146" s="285" t="s">
        <v>47</v>
      </c>
      <c r="C146" s="285"/>
      <c r="D146" s="285"/>
      <c r="E146" s="285"/>
      <c r="F146" s="285"/>
      <c r="G146" s="285"/>
      <c r="H146" s="285"/>
      <c r="I146" s="285"/>
      <c r="J146" s="285"/>
      <c r="K146" s="285"/>
      <c r="L146" s="285"/>
      <c r="M146" s="285"/>
      <c r="N146" s="285"/>
      <c r="O146" s="285"/>
      <c r="P146" s="285"/>
      <c r="Q146" s="285"/>
      <c r="R146" s="285"/>
      <c r="S146" s="285"/>
      <c r="T146" s="339">
        <f>SUM(T138:T145)</f>
        <v>19001</v>
      </c>
      <c r="U146" s="288"/>
      <c r="V146" s="5"/>
    </row>
    <row r="147" spans="1:23" ht="15.6" x14ac:dyDescent="0.3">
      <c r="A147" s="284"/>
      <c r="B147" s="311"/>
      <c r="C147" s="311"/>
      <c r="D147" s="311"/>
      <c r="E147" s="311"/>
      <c r="F147" s="311"/>
      <c r="G147" s="311"/>
      <c r="H147" s="311"/>
      <c r="I147" s="311"/>
      <c r="J147" s="311"/>
      <c r="K147" s="311"/>
      <c r="L147" s="311"/>
      <c r="M147" s="311"/>
      <c r="N147" s="311"/>
      <c r="O147" s="311"/>
      <c r="P147" s="311"/>
      <c r="Q147" s="311"/>
      <c r="R147" s="311"/>
      <c r="S147" s="311"/>
      <c r="T147" s="345"/>
      <c r="U147" s="317"/>
      <c r="V147" s="5"/>
    </row>
    <row r="148" spans="1:23" ht="15.6" x14ac:dyDescent="0.3">
      <c r="A148" s="284"/>
      <c r="B148" s="343" t="s">
        <v>262</v>
      </c>
      <c r="C148" s="311"/>
      <c r="D148" s="311"/>
      <c r="E148" s="311"/>
      <c r="F148" s="311"/>
      <c r="G148" s="311"/>
      <c r="H148" s="311"/>
      <c r="I148" s="311"/>
      <c r="J148" s="311"/>
      <c r="K148" s="311"/>
      <c r="L148" s="311"/>
      <c r="M148" s="311"/>
      <c r="N148" s="311"/>
      <c r="O148" s="311"/>
      <c r="P148" s="311"/>
      <c r="Q148" s="311"/>
      <c r="R148" s="311"/>
      <c r="S148" s="311"/>
      <c r="T148" s="345"/>
      <c r="U148" s="317"/>
      <c r="V148" s="5"/>
    </row>
    <row r="149" spans="1:23" ht="15.6" x14ac:dyDescent="0.3">
      <c r="A149" s="284"/>
      <c r="B149" s="285" t="s">
        <v>263</v>
      </c>
      <c r="C149" s="285"/>
      <c r="D149" s="285"/>
      <c r="E149" s="285"/>
      <c r="F149" s="285"/>
      <c r="G149" s="285"/>
      <c r="H149" s="285"/>
      <c r="I149" s="285"/>
      <c r="J149" s="285"/>
      <c r="K149" s="285"/>
      <c r="L149" s="285"/>
      <c r="M149" s="285"/>
      <c r="N149" s="285"/>
      <c r="O149" s="285"/>
      <c r="P149" s="285"/>
      <c r="Q149" s="285"/>
      <c r="R149" s="285"/>
      <c r="S149" s="285"/>
      <c r="T149" s="339">
        <v>0</v>
      </c>
      <c r="U149" s="288"/>
      <c r="V149" s="5"/>
    </row>
    <row r="150" spans="1:23" ht="15.6" x14ac:dyDescent="0.3">
      <c r="A150" s="284"/>
      <c r="B150" s="285" t="s">
        <v>179</v>
      </c>
      <c r="C150" s="285"/>
      <c r="D150" s="285"/>
      <c r="E150" s="285"/>
      <c r="F150" s="285"/>
      <c r="G150" s="285"/>
      <c r="H150" s="285"/>
      <c r="I150" s="285"/>
      <c r="J150" s="285"/>
      <c r="K150" s="285"/>
      <c r="L150" s="285"/>
      <c r="M150" s="285"/>
      <c r="N150" s="285"/>
      <c r="O150" s="285"/>
      <c r="P150" s="285"/>
      <c r="Q150" s="285"/>
      <c r="R150" s="285"/>
      <c r="S150" s="285"/>
      <c r="T150" s="339">
        <v>0</v>
      </c>
      <c r="U150" s="288"/>
      <c r="V150" s="5"/>
    </row>
    <row r="151" spans="1:23" ht="15.6" x14ac:dyDescent="0.3">
      <c r="A151" s="284"/>
      <c r="B151" s="285" t="s">
        <v>264</v>
      </c>
      <c r="C151" s="285"/>
      <c r="D151" s="285"/>
      <c r="E151" s="285"/>
      <c r="F151" s="285"/>
      <c r="G151" s="285"/>
      <c r="H151" s="285"/>
      <c r="I151" s="285"/>
      <c r="J151" s="285"/>
      <c r="K151" s="285"/>
      <c r="L151" s="285"/>
      <c r="M151" s="285"/>
      <c r="N151" s="285"/>
      <c r="O151" s="285"/>
      <c r="P151" s="285"/>
      <c r="Q151" s="285"/>
      <c r="R151" s="285"/>
      <c r="S151" s="285"/>
      <c r="T151" s="339">
        <v>0</v>
      </c>
      <c r="U151" s="288"/>
      <c r="V151" s="5"/>
    </row>
    <row r="152" spans="1:23" ht="15.6" x14ac:dyDescent="0.3">
      <c r="A152" s="284"/>
      <c r="B152" s="285"/>
      <c r="C152" s="285"/>
      <c r="D152" s="285"/>
      <c r="E152" s="285"/>
      <c r="F152" s="285"/>
      <c r="G152" s="285"/>
      <c r="H152" s="285"/>
      <c r="I152" s="285"/>
      <c r="J152" s="285"/>
      <c r="K152" s="285"/>
      <c r="L152" s="285"/>
      <c r="M152" s="285"/>
      <c r="N152" s="285"/>
      <c r="O152" s="285"/>
      <c r="P152" s="285"/>
      <c r="Q152" s="285"/>
      <c r="R152" s="285"/>
      <c r="S152" s="285"/>
      <c r="T152" s="339"/>
      <c r="U152" s="288"/>
      <c r="V152" s="5"/>
    </row>
    <row r="153" spans="1:23" ht="15.6" x14ac:dyDescent="0.3">
      <c r="A153" s="175"/>
      <c r="B153" s="334"/>
      <c r="C153" s="334"/>
      <c r="D153" s="334"/>
      <c r="E153" s="334"/>
      <c r="F153" s="334"/>
      <c r="G153" s="334"/>
      <c r="H153" s="334"/>
      <c r="I153" s="334"/>
      <c r="J153" s="334"/>
      <c r="K153" s="334"/>
      <c r="L153" s="334"/>
      <c r="M153" s="334"/>
      <c r="N153" s="334"/>
      <c r="O153" s="334"/>
      <c r="P153" s="334"/>
      <c r="Q153" s="334"/>
      <c r="R153" s="334"/>
      <c r="S153" s="334"/>
      <c r="T153" s="347"/>
      <c r="U153" s="334"/>
      <c r="V153" s="5"/>
    </row>
    <row r="154" spans="1:23" ht="15.6" x14ac:dyDescent="0.3">
      <c r="A154" s="175"/>
      <c r="B154" s="201" t="s">
        <v>24</v>
      </c>
      <c r="C154" s="177"/>
      <c r="D154" s="177"/>
      <c r="E154" s="177"/>
      <c r="F154" s="177"/>
      <c r="G154" s="177"/>
      <c r="H154" s="177"/>
      <c r="I154" s="177"/>
      <c r="J154" s="177"/>
      <c r="K154" s="177"/>
      <c r="L154" s="177"/>
      <c r="M154" s="177"/>
      <c r="N154" s="177"/>
      <c r="O154" s="177"/>
      <c r="P154" s="177"/>
      <c r="Q154" s="177"/>
      <c r="R154" s="177"/>
      <c r="S154" s="177"/>
      <c r="T154" s="194"/>
      <c r="U154" s="177"/>
      <c r="V154" s="5"/>
    </row>
    <row r="155" spans="1:23" ht="15.6" x14ac:dyDescent="0.3">
      <c r="A155" s="284"/>
      <c r="B155" s="285" t="s">
        <v>48</v>
      </c>
      <c r="C155" s="285"/>
      <c r="D155" s="285"/>
      <c r="E155" s="285"/>
      <c r="F155" s="285"/>
      <c r="G155" s="285"/>
      <c r="H155" s="285"/>
      <c r="I155" s="285"/>
      <c r="J155" s="285"/>
      <c r="K155" s="285"/>
      <c r="L155" s="285"/>
      <c r="M155" s="285"/>
      <c r="N155" s="285"/>
      <c r="O155" s="285"/>
      <c r="P155" s="285"/>
      <c r="Q155" s="285"/>
      <c r="R155" s="285"/>
      <c r="S155" s="285"/>
      <c r="T155" s="348" t="s">
        <v>124</v>
      </c>
      <c r="U155" s="288"/>
      <c r="V155" s="5"/>
    </row>
    <row r="156" spans="1:23" ht="15.6" x14ac:dyDescent="0.3">
      <c r="A156" s="284"/>
      <c r="B156" s="285" t="s">
        <v>49</v>
      </c>
      <c r="C156" s="287"/>
      <c r="D156" s="287"/>
      <c r="E156" s="287"/>
      <c r="F156" s="287"/>
      <c r="G156" s="287"/>
      <c r="H156" s="287"/>
      <c r="I156" s="287"/>
      <c r="J156" s="287"/>
      <c r="K156" s="287"/>
      <c r="L156" s="287"/>
      <c r="M156" s="287"/>
      <c r="N156" s="287"/>
      <c r="O156" s="287"/>
      <c r="P156" s="287"/>
      <c r="Q156" s="287"/>
      <c r="R156" s="287"/>
      <c r="S156" s="287"/>
      <c r="T156" s="348" t="s">
        <v>124</v>
      </c>
      <c r="U156" s="288"/>
      <c r="V156" s="5"/>
    </row>
    <row r="157" spans="1:23" ht="15.6" x14ac:dyDescent="0.3">
      <c r="A157" s="284"/>
      <c r="B157" s="285" t="s">
        <v>50</v>
      </c>
      <c r="C157" s="285"/>
      <c r="D157" s="285"/>
      <c r="E157" s="285"/>
      <c r="F157" s="285"/>
      <c r="G157" s="285"/>
      <c r="H157" s="285"/>
      <c r="I157" s="285"/>
      <c r="J157" s="285"/>
      <c r="K157" s="285"/>
      <c r="L157" s="285"/>
      <c r="M157" s="285"/>
      <c r="N157" s="285"/>
      <c r="O157" s="285"/>
      <c r="P157" s="285"/>
      <c r="Q157" s="285"/>
      <c r="R157" s="285"/>
      <c r="S157" s="285"/>
      <c r="T157" s="348" t="s">
        <v>124</v>
      </c>
      <c r="U157" s="288"/>
      <c r="V157" s="5"/>
    </row>
    <row r="158" spans="1:23" ht="15.6" x14ac:dyDescent="0.3">
      <c r="A158" s="284"/>
      <c r="B158" s="285" t="s">
        <v>51</v>
      </c>
      <c r="C158" s="285"/>
      <c r="D158" s="285"/>
      <c r="E158" s="285"/>
      <c r="F158" s="285"/>
      <c r="G158" s="285"/>
      <c r="H158" s="285"/>
      <c r="I158" s="285"/>
      <c r="J158" s="285"/>
      <c r="K158" s="285"/>
      <c r="L158" s="285"/>
      <c r="M158" s="285"/>
      <c r="N158" s="285"/>
      <c r="O158" s="285"/>
      <c r="P158" s="285"/>
      <c r="Q158" s="285"/>
      <c r="R158" s="285"/>
      <c r="S158" s="285"/>
      <c r="T158" s="348" t="s">
        <v>124</v>
      </c>
      <c r="U158" s="288"/>
      <c r="V158" s="5"/>
    </row>
    <row r="159" spans="1:23" ht="15.6" x14ac:dyDescent="0.3">
      <c r="A159" s="175"/>
      <c r="B159" s="334"/>
      <c r="C159" s="334"/>
      <c r="D159" s="334"/>
      <c r="E159" s="334"/>
      <c r="F159" s="334"/>
      <c r="G159" s="334"/>
      <c r="H159" s="334"/>
      <c r="I159" s="334"/>
      <c r="J159" s="334"/>
      <c r="K159" s="334"/>
      <c r="L159" s="334"/>
      <c r="M159" s="334"/>
      <c r="N159" s="334"/>
      <c r="O159" s="334"/>
      <c r="P159" s="334"/>
      <c r="Q159" s="334"/>
      <c r="R159" s="334"/>
      <c r="S159" s="334"/>
      <c r="T159" s="347"/>
      <c r="U159" s="334"/>
      <c r="V159" s="5"/>
    </row>
    <row r="160" spans="1:23" ht="15.6" x14ac:dyDescent="0.3">
      <c r="A160" s="175"/>
      <c r="B160" s="201" t="s">
        <v>52</v>
      </c>
      <c r="C160" s="177"/>
      <c r="D160" s="177"/>
      <c r="E160" s="177"/>
      <c r="F160" s="177"/>
      <c r="G160" s="177"/>
      <c r="H160" s="177"/>
      <c r="I160" s="177"/>
      <c r="J160" s="177"/>
      <c r="K160" s="177"/>
      <c r="L160" s="177"/>
      <c r="M160" s="177"/>
      <c r="N160" s="177"/>
      <c r="O160" s="177"/>
      <c r="P160" s="177"/>
      <c r="Q160" s="177"/>
      <c r="R160" s="177"/>
      <c r="S160" s="177"/>
      <c r="T160" s="202"/>
      <c r="U160" s="177"/>
      <c r="V160" s="5"/>
    </row>
    <row r="161" spans="1:22" ht="15.6" x14ac:dyDescent="0.3">
      <c r="A161" s="284"/>
      <c r="B161" s="285" t="s">
        <v>53</v>
      </c>
      <c r="C161" s="285"/>
      <c r="D161" s="285"/>
      <c r="E161" s="285"/>
      <c r="F161" s="285"/>
      <c r="G161" s="285"/>
      <c r="H161" s="285"/>
      <c r="I161" s="285"/>
      <c r="J161" s="285"/>
      <c r="K161" s="285"/>
      <c r="L161" s="285"/>
      <c r="M161" s="285"/>
      <c r="N161" s="285"/>
      <c r="O161" s="285"/>
      <c r="P161" s="285"/>
      <c r="Q161" s="285"/>
      <c r="R161" s="285"/>
      <c r="S161" s="285"/>
      <c r="T161" s="339">
        <v>0</v>
      </c>
      <c r="U161" s="288"/>
      <c r="V161" s="5"/>
    </row>
    <row r="162" spans="1:22" ht="15.6" x14ac:dyDescent="0.3">
      <c r="A162" s="284"/>
      <c r="B162" s="285" t="s">
        <v>54</v>
      </c>
      <c r="C162" s="285"/>
      <c r="D162" s="285"/>
      <c r="E162" s="285"/>
      <c r="F162" s="285"/>
      <c r="G162" s="285"/>
      <c r="H162" s="285"/>
      <c r="I162" s="285"/>
      <c r="J162" s="285"/>
      <c r="K162" s="285"/>
      <c r="L162" s="285"/>
      <c r="M162" s="285"/>
      <c r="N162" s="285"/>
      <c r="O162" s="285"/>
      <c r="P162" s="285"/>
      <c r="Q162" s="285"/>
      <c r="R162" s="285"/>
      <c r="S162" s="285"/>
      <c r="T162" s="339">
        <f>R113</f>
        <v>3</v>
      </c>
      <c r="U162" s="288"/>
      <c r="V162" s="5"/>
    </row>
    <row r="163" spans="1:22" ht="15.6" x14ac:dyDescent="0.3">
      <c r="A163" s="284"/>
      <c r="B163" s="285" t="s">
        <v>55</v>
      </c>
      <c r="C163" s="285"/>
      <c r="D163" s="285"/>
      <c r="E163" s="285"/>
      <c r="F163" s="285"/>
      <c r="G163" s="285"/>
      <c r="H163" s="285"/>
      <c r="I163" s="285"/>
      <c r="J163" s="285"/>
      <c r="K163" s="285"/>
      <c r="L163" s="285"/>
      <c r="M163" s="285"/>
      <c r="N163" s="285"/>
      <c r="O163" s="285"/>
      <c r="P163" s="285"/>
      <c r="Q163" s="285"/>
      <c r="R163" s="285"/>
      <c r="S163" s="285"/>
      <c r="T163" s="339">
        <f>T162+T161</f>
        <v>3</v>
      </c>
      <c r="U163" s="288"/>
      <c r="V163" s="5"/>
    </row>
    <row r="164" spans="1:22" ht="15.6" x14ac:dyDescent="0.3">
      <c r="A164" s="284"/>
      <c r="B164" s="285" t="s">
        <v>301</v>
      </c>
      <c r="C164" s="285"/>
      <c r="D164" s="285"/>
      <c r="E164" s="285"/>
      <c r="F164" s="285"/>
      <c r="G164" s="285"/>
      <c r="H164" s="285"/>
      <c r="I164" s="285"/>
      <c r="J164" s="285"/>
      <c r="K164" s="285"/>
      <c r="L164" s="285"/>
      <c r="M164" s="285"/>
      <c r="N164" s="285"/>
      <c r="O164" s="285"/>
      <c r="P164" s="285"/>
      <c r="Q164" s="285"/>
      <c r="R164" s="285"/>
      <c r="S164" s="285"/>
      <c r="T164" s="339">
        <f>T113</f>
        <v>-3</v>
      </c>
      <c r="U164" s="288"/>
      <c r="V164" s="5"/>
    </row>
    <row r="165" spans="1:22" ht="15.6" x14ac:dyDescent="0.3">
      <c r="A165" s="284"/>
      <c r="B165" s="285" t="s">
        <v>56</v>
      </c>
      <c r="C165" s="285"/>
      <c r="D165" s="285"/>
      <c r="E165" s="285"/>
      <c r="F165" s="285"/>
      <c r="G165" s="285"/>
      <c r="H165" s="285"/>
      <c r="I165" s="285"/>
      <c r="J165" s="285"/>
      <c r="K165" s="285"/>
      <c r="L165" s="285"/>
      <c r="M165" s="285"/>
      <c r="N165" s="285"/>
      <c r="O165" s="285"/>
      <c r="P165" s="285"/>
      <c r="Q165" s="285"/>
      <c r="R165" s="285"/>
      <c r="S165" s="285"/>
      <c r="T165" s="339">
        <f>T163+T164</f>
        <v>0</v>
      </c>
      <c r="U165" s="288"/>
      <c r="V165" s="5"/>
    </row>
    <row r="166" spans="1:22" ht="15.6" x14ac:dyDescent="0.3">
      <c r="A166" s="284"/>
      <c r="B166" s="285" t="s">
        <v>273</v>
      </c>
      <c r="C166" s="285"/>
      <c r="D166" s="285"/>
      <c r="E166" s="285"/>
      <c r="F166" s="285"/>
      <c r="G166" s="285"/>
      <c r="H166" s="285"/>
      <c r="I166" s="285"/>
      <c r="J166" s="285"/>
      <c r="K166" s="285"/>
      <c r="L166" s="285"/>
      <c r="M166" s="285"/>
      <c r="N166" s="285"/>
      <c r="O166" s="285"/>
      <c r="P166" s="285"/>
      <c r="Q166" s="285"/>
      <c r="R166" s="285"/>
      <c r="S166" s="285"/>
      <c r="T166" s="339">
        <f>-T99</f>
        <v>5</v>
      </c>
      <c r="U166" s="288"/>
      <c r="V166" s="5"/>
    </row>
    <row r="167" spans="1:22" ht="16.2" thickBot="1" x14ac:dyDescent="0.35">
      <c r="A167" s="175"/>
      <c r="B167" s="334"/>
      <c r="C167" s="334"/>
      <c r="D167" s="334"/>
      <c r="E167" s="334"/>
      <c r="F167" s="334"/>
      <c r="G167" s="334"/>
      <c r="H167" s="334"/>
      <c r="I167" s="334"/>
      <c r="J167" s="334"/>
      <c r="K167" s="334"/>
      <c r="L167" s="334"/>
      <c r="M167" s="334"/>
      <c r="N167" s="334"/>
      <c r="O167" s="334"/>
      <c r="P167" s="334"/>
      <c r="Q167" s="334"/>
      <c r="R167" s="334"/>
      <c r="S167" s="334"/>
      <c r="T167" s="347"/>
      <c r="U167" s="334"/>
      <c r="V167" s="5"/>
    </row>
    <row r="168" spans="1:22" ht="15.6" x14ac:dyDescent="0.3">
      <c r="A168" s="173"/>
      <c r="B168" s="174"/>
      <c r="C168" s="174"/>
      <c r="D168" s="174"/>
      <c r="E168" s="174"/>
      <c r="F168" s="174"/>
      <c r="G168" s="174"/>
      <c r="H168" s="174"/>
      <c r="I168" s="174"/>
      <c r="J168" s="174"/>
      <c r="K168" s="174"/>
      <c r="L168" s="174"/>
      <c r="M168" s="174"/>
      <c r="N168" s="174"/>
      <c r="O168" s="174"/>
      <c r="P168" s="174"/>
      <c r="Q168" s="174"/>
      <c r="R168" s="174"/>
      <c r="S168" s="174"/>
      <c r="T168" s="193"/>
      <c r="U168" s="174"/>
      <c r="V168" s="5"/>
    </row>
    <row r="169" spans="1:22" ht="15.6" x14ac:dyDescent="0.3">
      <c r="A169" s="175"/>
      <c r="B169" s="201" t="s">
        <v>57</v>
      </c>
      <c r="C169" s="177"/>
      <c r="D169" s="177"/>
      <c r="E169" s="177"/>
      <c r="F169" s="177"/>
      <c r="G169" s="177"/>
      <c r="H169" s="177"/>
      <c r="I169" s="177"/>
      <c r="J169" s="177"/>
      <c r="K169" s="177"/>
      <c r="L169" s="177"/>
      <c r="M169" s="177"/>
      <c r="N169" s="177"/>
      <c r="O169" s="177"/>
      <c r="P169" s="177"/>
      <c r="Q169" s="177"/>
      <c r="R169" s="177"/>
      <c r="S169" s="177"/>
      <c r="T169" s="194"/>
      <c r="U169" s="177"/>
      <c r="V169" s="5"/>
    </row>
    <row r="170" spans="1:22" ht="15.6" x14ac:dyDescent="0.3">
      <c r="A170" s="175"/>
      <c r="B170" s="187"/>
      <c r="C170" s="177"/>
      <c r="D170" s="177"/>
      <c r="E170" s="177"/>
      <c r="F170" s="177"/>
      <c r="G170" s="177"/>
      <c r="H170" s="177"/>
      <c r="I170" s="177"/>
      <c r="J170" s="177"/>
      <c r="K170" s="177"/>
      <c r="L170" s="177"/>
      <c r="M170" s="177"/>
      <c r="N170" s="177"/>
      <c r="O170" s="177"/>
      <c r="P170" s="177"/>
      <c r="Q170" s="177"/>
      <c r="R170" s="177"/>
      <c r="S170" s="177"/>
      <c r="T170" s="194"/>
      <c r="U170" s="177"/>
      <c r="V170" s="5"/>
    </row>
    <row r="171" spans="1:22" ht="15.6" x14ac:dyDescent="0.3">
      <c r="A171" s="284"/>
      <c r="B171" s="285" t="s">
        <v>58</v>
      </c>
      <c r="C171" s="285"/>
      <c r="D171" s="285"/>
      <c r="E171" s="285"/>
      <c r="F171" s="285"/>
      <c r="G171" s="285"/>
      <c r="H171" s="285"/>
      <c r="I171" s="285"/>
      <c r="J171" s="285"/>
      <c r="K171" s="285"/>
      <c r="L171" s="285"/>
      <c r="M171" s="285"/>
      <c r="N171" s="285"/>
      <c r="O171" s="285"/>
      <c r="P171" s="285"/>
      <c r="Q171" s="285"/>
      <c r="R171" s="285"/>
      <c r="S171" s="285"/>
      <c r="T171" s="339">
        <f>T71</f>
        <v>518755</v>
      </c>
      <c r="U171" s="288"/>
      <c r="V171" s="5"/>
    </row>
    <row r="172" spans="1:22" ht="15.6" x14ac:dyDescent="0.3">
      <c r="A172" s="284"/>
      <c r="B172" s="285" t="s">
        <v>59</v>
      </c>
      <c r="C172" s="285"/>
      <c r="D172" s="285"/>
      <c r="E172" s="285"/>
      <c r="F172" s="285"/>
      <c r="G172" s="285"/>
      <c r="H172" s="285"/>
      <c r="I172" s="285"/>
      <c r="J172" s="285"/>
      <c r="K172" s="285"/>
      <c r="L172" s="285"/>
      <c r="M172" s="285"/>
      <c r="N172" s="285"/>
      <c r="O172" s="285"/>
      <c r="P172" s="285"/>
      <c r="Q172" s="285"/>
      <c r="R172" s="285"/>
      <c r="S172" s="285"/>
      <c r="T172" s="339">
        <f>T84</f>
        <v>518755</v>
      </c>
      <c r="U172" s="288"/>
      <c r="V172" s="5"/>
    </row>
    <row r="173" spans="1:22" ht="16.2" thickBot="1" x14ac:dyDescent="0.35">
      <c r="A173" s="175"/>
      <c r="B173" s="334"/>
      <c r="C173" s="334"/>
      <c r="D173" s="334"/>
      <c r="E173" s="334"/>
      <c r="F173" s="334"/>
      <c r="G173" s="334"/>
      <c r="H173" s="334"/>
      <c r="I173" s="334"/>
      <c r="J173" s="334"/>
      <c r="K173" s="334"/>
      <c r="L173" s="334"/>
      <c r="M173" s="334"/>
      <c r="N173" s="334"/>
      <c r="O173" s="334"/>
      <c r="P173" s="334"/>
      <c r="Q173" s="334"/>
      <c r="R173" s="334"/>
      <c r="S173" s="334"/>
      <c r="T173" s="347"/>
      <c r="U173" s="334"/>
      <c r="V173" s="5"/>
    </row>
    <row r="174" spans="1:22" ht="15.6" x14ac:dyDescent="0.3">
      <c r="A174" s="173"/>
      <c r="B174" s="174"/>
      <c r="C174" s="174"/>
      <c r="D174" s="174"/>
      <c r="E174" s="174"/>
      <c r="F174" s="174"/>
      <c r="G174" s="174"/>
      <c r="H174" s="174"/>
      <c r="I174" s="174"/>
      <c r="J174" s="174"/>
      <c r="K174" s="174"/>
      <c r="L174" s="174"/>
      <c r="M174" s="174"/>
      <c r="N174" s="174"/>
      <c r="O174" s="174"/>
      <c r="P174" s="174"/>
      <c r="Q174" s="174"/>
      <c r="R174" s="174"/>
      <c r="S174" s="174"/>
      <c r="T174" s="193"/>
      <c r="U174" s="174"/>
      <c r="V174" s="5"/>
    </row>
    <row r="175" spans="1:22" ht="15.6" x14ac:dyDescent="0.3">
      <c r="A175" s="175"/>
      <c r="B175" s="201" t="s">
        <v>60</v>
      </c>
      <c r="C175" s="198"/>
      <c r="D175" s="198"/>
      <c r="E175" s="198"/>
      <c r="F175" s="198"/>
      <c r="G175" s="198"/>
      <c r="H175" s="203"/>
      <c r="I175" s="203"/>
      <c r="J175" s="203"/>
      <c r="K175" s="203"/>
      <c r="L175" s="203"/>
      <c r="M175" s="203"/>
      <c r="N175" s="203"/>
      <c r="O175" s="203"/>
      <c r="P175" s="203"/>
      <c r="Q175" s="203" t="s">
        <v>104</v>
      </c>
      <c r="R175" s="203" t="s">
        <v>183</v>
      </c>
      <c r="S175" s="179"/>
      <c r="T175" s="204" t="s">
        <v>120</v>
      </c>
      <c r="U175" s="205"/>
      <c r="V175" s="5"/>
    </row>
    <row r="176" spans="1:22" ht="15.6" x14ac:dyDescent="0.3">
      <c r="A176" s="284"/>
      <c r="B176" s="285" t="s">
        <v>61</v>
      </c>
      <c r="C176" s="285"/>
      <c r="D176" s="285"/>
      <c r="E176" s="285"/>
      <c r="F176" s="285"/>
      <c r="G176" s="285"/>
      <c r="H176" s="285"/>
      <c r="I176" s="285"/>
      <c r="J176" s="285"/>
      <c r="K176" s="285"/>
      <c r="L176" s="285"/>
      <c r="M176" s="285"/>
      <c r="N176" s="285"/>
      <c r="O176" s="285"/>
      <c r="P176" s="285"/>
      <c r="Q176" s="339">
        <v>160008</v>
      </c>
      <c r="R176" s="324"/>
      <c r="S176" s="285"/>
      <c r="T176" s="339"/>
      <c r="U176" s="288"/>
      <c r="V176" s="5"/>
    </row>
    <row r="177" spans="1:22" ht="15.6" x14ac:dyDescent="0.3">
      <c r="A177" s="284"/>
      <c r="B177" s="285" t="s">
        <v>62</v>
      </c>
      <c r="C177" s="285"/>
      <c r="D177" s="285"/>
      <c r="E177" s="285"/>
      <c r="F177" s="285"/>
      <c r="G177" s="285"/>
      <c r="H177" s="285"/>
      <c r="I177" s="285"/>
      <c r="J177" s="285"/>
      <c r="K177" s="285"/>
      <c r="L177" s="285"/>
      <c r="M177" s="285"/>
      <c r="N177" s="285"/>
      <c r="O177" s="285"/>
      <c r="P177" s="285"/>
      <c r="Q177" s="339">
        <f>+'June 14'!Q179</f>
        <v>38040</v>
      </c>
      <c r="R177" s="339">
        <f>+'June 14'!R179</f>
        <v>3447</v>
      </c>
      <c r="S177" s="285"/>
      <c r="T177" s="339">
        <f>Q177+R177</f>
        <v>41487</v>
      </c>
      <c r="U177" s="288"/>
      <c r="V177" s="5"/>
    </row>
    <row r="178" spans="1:22" ht="15.6" x14ac:dyDescent="0.3">
      <c r="A178" s="284"/>
      <c r="B178" s="285" t="s">
        <v>63</v>
      </c>
      <c r="C178" s="285"/>
      <c r="D178" s="285"/>
      <c r="E178" s="285"/>
      <c r="F178" s="285"/>
      <c r="G178" s="285"/>
      <c r="H178" s="285"/>
      <c r="I178" s="285"/>
      <c r="J178" s="285"/>
      <c r="K178" s="285"/>
      <c r="L178" s="285"/>
      <c r="M178" s="285"/>
      <c r="N178" s="285"/>
      <c r="O178" s="285"/>
      <c r="P178" s="285"/>
      <c r="Q178" s="338">
        <f>55+15</f>
        <v>70</v>
      </c>
      <c r="R178" s="338">
        <v>0</v>
      </c>
      <c r="S178" s="285"/>
      <c r="T178" s="339">
        <f>Q178+R178</f>
        <v>70</v>
      </c>
      <c r="U178" s="288"/>
      <c r="V178" s="5"/>
    </row>
    <row r="179" spans="1:22" ht="15.6" x14ac:dyDescent="0.3">
      <c r="A179" s="284"/>
      <c r="B179" s="285" t="s">
        <v>64</v>
      </c>
      <c r="C179" s="285"/>
      <c r="D179" s="285"/>
      <c r="E179" s="285"/>
      <c r="F179" s="285"/>
      <c r="G179" s="285"/>
      <c r="H179" s="285"/>
      <c r="I179" s="285"/>
      <c r="J179" s="285"/>
      <c r="K179" s="285"/>
      <c r="L179" s="285"/>
      <c r="M179" s="285"/>
      <c r="N179" s="285"/>
      <c r="O179" s="285"/>
      <c r="P179" s="285"/>
      <c r="Q179" s="339">
        <f>Q177+Q178</f>
        <v>38110</v>
      </c>
      <c r="R179" s="339">
        <f>R178+R177</f>
        <v>3447</v>
      </c>
      <c r="S179" s="285"/>
      <c r="T179" s="339">
        <f>Q179+R179</f>
        <v>41557</v>
      </c>
      <c r="U179" s="288"/>
      <c r="V179" s="5"/>
    </row>
    <row r="180" spans="1:22" ht="15.6" x14ac:dyDescent="0.3">
      <c r="A180" s="284"/>
      <c r="B180" s="285" t="s">
        <v>65</v>
      </c>
      <c r="C180" s="285"/>
      <c r="D180" s="285"/>
      <c r="E180" s="285"/>
      <c r="F180" s="285"/>
      <c r="G180" s="285"/>
      <c r="H180" s="285"/>
      <c r="I180" s="285"/>
      <c r="J180" s="285"/>
      <c r="K180" s="285"/>
      <c r="L180" s="285"/>
      <c r="M180" s="285"/>
      <c r="N180" s="285"/>
      <c r="O180" s="285"/>
      <c r="P180" s="285"/>
      <c r="Q180" s="339">
        <f>Q176-Q179-R179</f>
        <v>118451</v>
      </c>
      <c r="R180" s="324"/>
      <c r="S180" s="285"/>
      <c r="T180" s="339"/>
      <c r="U180" s="288"/>
      <c r="V180" s="5"/>
    </row>
    <row r="181" spans="1:22" ht="16.2" thickBot="1" x14ac:dyDescent="0.35">
      <c r="A181" s="175"/>
      <c r="B181" s="334"/>
      <c r="C181" s="334"/>
      <c r="D181" s="334"/>
      <c r="E181" s="334"/>
      <c r="F181" s="334"/>
      <c r="G181" s="334"/>
      <c r="H181" s="334"/>
      <c r="I181" s="334"/>
      <c r="J181" s="334"/>
      <c r="K181" s="334"/>
      <c r="L181" s="334"/>
      <c r="M181" s="334"/>
      <c r="N181" s="334"/>
      <c r="O181" s="334"/>
      <c r="P181" s="334"/>
      <c r="Q181" s="334"/>
      <c r="R181" s="334"/>
      <c r="S181" s="334"/>
      <c r="T181" s="347"/>
      <c r="U181" s="334"/>
      <c r="V181" s="5"/>
    </row>
    <row r="182" spans="1:22" ht="15.6" x14ac:dyDescent="0.3">
      <c r="A182" s="173"/>
      <c r="B182" s="174"/>
      <c r="C182" s="174"/>
      <c r="D182" s="174"/>
      <c r="E182" s="174"/>
      <c r="F182" s="174"/>
      <c r="G182" s="174"/>
      <c r="H182" s="174"/>
      <c r="I182" s="174"/>
      <c r="J182" s="174"/>
      <c r="K182" s="174"/>
      <c r="L182" s="174"/>
      <c r="M182" s="174"/>
      <c r="N182" s="174"/>
      <c r="O182" s="174"/>
      <c r="P182" s="174"/>
      <c r="Q182" s="174"/>
      <c r="R182" s="174"/>
      <c r="S182" s="174"/>
      <c r="T182" s="193"/>
      <c r="U182" s="174"/>
      <c r="V182" s="5"/>
    </row>
    <row r="183" spans="1:22" ht="15.6" x14ac:dyDescent="0.3">
      <c r="A183" s="175"/>
      <c r="B183" s="201" t="s">
        <v>66</v>
      </c>
      <c r="C183" s="177"/>
      <c r="D183" s="177"/>
      <c r="E183" s="177"/>
      <c r="F183" s="177"/>
      <c r="G183" s="177"/>
      <c r="H183" s="177"/>
      <c r="I183" s="177"/>
      <c r="J183" s="177"/>
      <c r="K183" s="177"/>
      <c r="L183" s="177"/>
      <c r="M183" s="177"/>
      <c r="N183" s="177"/>
      <c r="O183" s="177"/>
      <c r="P183" s="177"/>
      <c r="Q183" s="177"/>
      <c r="R183" s="177"/>
      <c r="S183" s="177"/>
      <c r="T183" s="206"/>
      <c r="U183" s="177"/>
      <c r="V183" s="5"/>
    </row>
    <row r="184" spans="1:22" ht="15.6" x14ac:dyDescent="0.3">
      <c r="A184" s="284"/>
      <c r="B184" s="285" t="s">
        <v>67</v>
      </c>
      <c r="C184" s="285"/>
      <c r="D184" s="285"/>
      <c r="E184" s="285"/>
      <c r="F184" s="285"/>
      <c r="G184" s="285"/>
      <c r="H184" s="285"/>
      <c r="I184" s="285"/>
      <c r="J184" s="285"/>
      <c r="K184" s="285"/>
      <c r="L184" s="285"/>
      <c r="M184" s="285"/>
      <c r="N184" s="285"/>
      <c r="O184" s="285"/>
      <c r="P184" s="285"/>
      <c r="Q184" s="285"/>
      <c r="R184" s="285"/>
      <c r="S184" s="285"/>
      <c r="T184" s="348">
        <f>(T100+T102+T103+T104+T105)/-(T106+T107)</f>
        <v>4.3753501400560229</v>
      </c>
      <c r="U184" s="288" t="s">
        <v>121</v>
      </c>
      <c r="V184" s="5"/>
    </row>
    <row r="185" spans="1:22" ht="15.6" x14ac:dyDescent="0.3">
      <c r="A185" s="284"/>
      <c r="B185" s="285" t="s">
        <v>68</v>
      </c>
      <c r="C185" s="285"/>
      <c r="D185" s="285"/>
      <c r="E185" s="285"/>
      <c r="F185" s="285"/>
      <c r="G185" s="285"/>
      <c r="H185" s="285"/>
      <c r="I185" s="285"/>
      <c r="J185" s="285"/>
      <c r="K185" s="285"/>
      <c r="L185" s="285"/>
      <c r="M185" s="285"/>
      <c r="N185" s="285"/>
      <c r="O185" s="285"/>
      <c r="P185" s="285"/>
      <c r="Q185" s="285"/>
      <c r="R185" s="285"/>
      <c r="S185" s="285"/>
      <c r="T185" s="349">
        <v>1.77</v>
      </c>
      <c r="U185" s="288" t="s">
        <v>121</v>
      </c>
      <c r="V185" s="5"/>
    </row>
    <row r="186" spans="1:22" ht="15.6" x14ac:dyDescent="0.3">
      <c r="A186" s="284"/>
      <c r="B186" s="285" t="s">
        <v>69</v>
      </c>
      <c r="C186" s="285"/>
      <c r="D186" s="285"/>
      <c r="E186" s="285"/>
      <c r="F186" s="285"/>
      <c r="G186" s="285"/>
      <c r="H186" s="285"/>
      <c r="I186" s="285"/>
      <c r="J186" s="285"/>
      <c r="K186" s="285"/>
      <c r="L186" s="285"/>
      <c r="M186" s="285"/>
      <c r="N186" s="285"/>
      <c r="O186" s="285"/>
      <c r="P186" s="285"/>
      <c r="Q186" s="285"/>
      <c r="R186" s="285"/>
      <c r="S186" s="285"/>
      <c r="T186" s="348">
        <f>(T100+T102+T103+T104+T105+T106+T107)/-(T108+T109)</f>
        <v>12.422680412371134</v>
      </c>
      <c r="U186" s="288" t="s">
        <v>121</v>
      </c>
      <c r="V186" s="5"/>
    </row>
    <row r="187" spans="1:22" ht="15.6" x14ac:dyDescent="0.3">
      <c r="A187" s="284"/>
      <c r="B187" s="285" t="s">
        <v>70</v>
      </c>
      <c r="C187" s="285"/>
      <c r="D187" s="285"/>
      <c r="E187" s="285"/>
      <c r="F187" s="285"/>
      <c r="G187" s="285"/>
      <c r="H187" s="285"/>
      <c r="I187" s="285"/>
      <c r="J187" s="285"/>
      <c r="K187" s="285"/>
      <c r="L187" s="285"/>
      <c r="M187" s="285"/>
      <c r="N187" s="285"/>
      <c r="O187" s="285"/>
      <c r="P187" s="285"/>
      <c r="Q187" s="285"/>
      <c r="R187" s="285"/>
      <c r="S187" s="285"/>
      <c r="T187" s="349">
        <v>6.33</v>
      </c>
      <c r="U187" s="288" t="s">
        <v>121</v>
      </c>
      <c r="V187" s="5"/>
    </row>
    <row r="188" spans="1:22" ht="15.6" x14ac:dyDescent="0.3">
      <c r="A188" s="284"/>
      <c r="B188" s="285" t="s">
        <v>206</v>
      </c>
      <c r="C188" s="285"/>
      <c r="D188" s="285"/>
      <c r="E188" s="285"/>
      <c r="F188" s="285"/>
      <c r="G188" s="285"/>
      <c r="H188" s="285"/>
      <c r="I188" s="285"/>
      <c r="J188" s="285"/>
      <c r="K188" s="285"/>
      <c r="L188" s="285"/>
      <c r="M188" s="285"/>
      <c r="N188" s="285"/>
      <c r="O188" s="285"/>
      <c r="P188" s="285"/>
      <c r="Q188" s="285"/>
      <c r="R188" s="285"/>
      <c r="S188" s="285"/>
      <c r="T188" s="348">
        <f>(T100+T102+T103+T104+T105+T106+T107+T108+T109)/-(T110)</f>
        <v>9.5107296137339059</v>
      </c>
      <c r="U188" s="288" t="s">
        <v>121</v>
      </c>
      <c r="V188" s="5"/>
    </row>
    <row r="189" spans="1:22" ht="15.6" x14ac:dyDescent="0.3">
      <c r="A189" s="284"/>
      <c r="B189" s="285" t="s">
        <v>207</v>
      </c>
      <c r="C189" s="285"/>
      <c r="D189" s="285"/>
      <c r="E189" s="285"/>
      <c r="F189" s="285"/>
      <c r="G189" s="285"/>
      <c r="H189" s="285"/>
      <c r="I189" s="285"/>
      <c r="J189" s="285"/>
      <c r="K189" s="285"/>
      <c r="L189" s="285"/>
      <c r="M189" s="285"/>
      <c r="N189" s="285"/>
      <c r="O189" s="285"/>
      <c r="P189" s="285"/>
      <c r="Q189" s="285"/>
      <c r="R189" s="285"/>
      <c r="S189" s="285"/>
      <c r="T189" s="349">
        <v>5.73</v>
      </c>
      <c r="U189" s="288" t="s">
        <v>121</v>
      </c>
      <c r="V189" s="5"/>
    </row>
    <row r="190" spans="1:22" ht="15.6" x14ac:dyDescent="0.3">
      <c r="A190" s="284"/>
      <c r="B190" s="311"/>
      <c r="C190" s="311"/>
      <c r="D190" s="311"/>
      <c r="E190" s="311"/>
      <c r="F190" s="311"/>
      <c r="G190" s="311"/>
      <c r="H190" s="311"/>
      <c r="I190" s="311"/>
      <c r="J190" s="311"/>
      <c r="K190" s="311"/>
      <c r="L190" s="311"/>
      <c r="M190" s="311"/>
      <c r="N190" s="311"/>
      <c r="O190" s="311"/>
      <c r="P190" s="311"/>
      <c r="Q190" s="311"/>
      <c r="R190" s="311"/>
      <c r="S190" s="311"/>
      <c r="T190" s="311"/>
      <c r="U190" s="317"/>
      <c r="V190" s="5"/>
    </row>
    <row r="191" spans="1:22" ht="15.6" x14ac:dyDescent="0.3">
      <c r="A191" s="175"/>
      <c r="B191" s="334"/>
      <c r="C191" s="334"/>
      <c r="D191" s="334"/>
      <c r="E191" s="334"/>
      <c r="F191" s="334"/>
      <c r="G191" s="334"/>
      <c r="H191" s="334"/>
      <c r="I191" s="334"/>
      <c r="J191" s="334"/>
      <c r="K191" s="334"/>
      <c r="L191" s="334"/>
      <c r="M191" s="334"/>
      <c r="N191" s="334"/>
      <c r="O191" s="334"/>
      <c r="P191" s="334"/>
      <c r="Q191" s="334"/>
      <c r="R191" s="334"/>
      <c r="S191" s="334"/>
      <c r="T191" s="334"/>
      <c r="U191" s="334"/>
      <c r="V191" s="5"/>
    </row>
    <row r="192" spans="1:22" ht="15.6" x14ac:dyDescent="0.3">
      <c r="A192" s="175"/>
      <c r="B192" s="177"/>
      <c r="C192" s="177"/>
      <c r="D192" s="177"/>
      <c r="E192" s="177"/>
      <c r="F192" s="177"/>
      <c r="G192" s="177"/>
      <c r="H192" s="177"/>
      <c r="I192" s="177"/>
      <c r="J192" s="177"/>
      <c r="K192" s="177"/>
      <c r="L192" s="177"/>
      <c r="M192" s="177"/>
      <c r="N192" s="177"/>
      <c r="O192" s="177"/>
      <c r="P192" s="177"/>
      <c r="Q192" s="177"/>
      <c r="R192" s="177"/>
      <c r="S192" s="177"/>
      <c r="T192" s="177"/>
      <c r="U192" s="177"/>
      <c r="V192" s="5"/>
    </row>
    <row r="193" spans="1:22" ht="18" thickBot="1" x14ac:dyDescent="0.35">
      <c r="A193" s="192"/>
      <c r="B193" s="246" t="str">
        <f>B133</f>
        <v>PM11 INVESTOR REPORT QUARTER ENDING SEPTEMBER 2014</v>
      </c>
      <c r="C193" s="207"/>
      <c r="D193" s="207"/>
      <c r="E193" s="207"/>
      <c r="F193" s="207"/>
      <c r="G193" s="207"/>
      <c r="H193" s="207"/>
      <c r="I193" s="207"/>
      <c r="J193" s="207"/>
      <c r="K193" s="207"/>
      <c r="L193" s="207"/>
      <c r="M193" s="207"/>
      <c r="N193" s="207"/>
      <c r="O193" s="207"/>
      <c r="P193" s="207"/>
      <c r="Q193" s="207"/>
      <c r="R193" s="207"/>
      <c r="S193" s="207"/>
      <c r="T193" s="207"/>
      <c r="U193" s="208"/>
      <c r="V193" s="5"/>
    </row>
    <row r="194" spans="1:22" ht="15.6" x14ac:dyDescent="0.3">
      <c r="A194" s="260"/>
      <c r="B194" s="399" t="s">
        <v>71</v>
      </c>
      <c r="C194" s="400"/>
      <c r="D194" s="400"/>
      <c r="E194" s="400"/>
      <c r="F194" s="400"/>
      <c r="G194" s="401"/>
      <c r="H194" s="401"/>
      <c r="I194" s="401"/>
      <c r="J194" s="401"/>
      <c r="K194" s="401"/>
      <c r="L194" s="401"/>
      <c r="M194" s="401"/>
      <c r="N194" s="401"/>
      <c r="O194" s="401"/>
      <c r="P194" s="401"/>
      <c r="Q194" s="401"/>
      <c r="R194" s="401">
        <v>41912</v>
      </c>
      <c r="S194" s="261"/>
      <c r="T194" s="261"/>
      <c r="U194" s="261"/>
      <c r="V194" s="5"/>
    </row>
    <row r="195" spans="1:22" ht="15.6" x14ac:dyDescent="0.3">
      <c r="A195" s="209"/>
      <c r="B195" s="210"/>
      <c r="C195" s="211"/>
      <c r="D195" s="211"/>
      <c r="E195" s="211"/>
      <c r="F195" s="211"/>
      <c r="G195" s="212"/>
      <c r="H195" s="212"/>
      <c r="I195" s="212"/>
      <c r="J195" s="212"/>
      <c r="K195" s="212"/>
      <c r="L195" s="212"/>
      <c r="M195" s="212"/>
      <c r="N195" s="212"/>
      <c r="O195" s="212"/>
      <c r="P195" s="212"/>
      <c r="Q195" s="212"/>
      <c r="R195" s="212"/>
      <c r="S195" s="177"/>
      <c r="T195" s="177"/>
      <c r="U195" s="177"/>
      <c r="V195" s="5"/>
    </row>
    <row r="196" spans="1:22" ht="15.6" x14ac:dyDescent="0.3">
      <c r="A196" s="352"/>
      <c r="B196" s="285" t="s">
        <v>72</v>
      </c>
      <c r="C196" s="353"/>
      <c r="D196" s="353"/>
      <c r="E196" s="353"/>
      <c r="F196" s="353"/>
      <c r="G196" s="329"/>
      <c r="H196" s="329"/>
      <c r="I196" s="329"/>
      <c r="J196" s="329"/>
      <c r="K196" s="329"/>
      <c r="L196" s="329"/>
      <c r="M196" s="329"/>
      <c r="N196" s="329"/>
      <c r="O196" s="329"/>
      <c r="P196" s="329"/>
      <c r="Q196" s="329"/>
      <c r="R196" s="320">
        <v>5.1569999999999998E-2</v>
      </c>
      <c r="S196" s="285"/>
      <c r="T196" s="285"/>
      <c r="U196" s="317"/>
      <c r="V196" s="5"/>
    </row>
    <row r="197" spans="1:22" ht="15.6" x14ac:dyDescent="0.3">
      <c r="A197" s="352"/>
      <c r="B197" s="285" t="s">
        <v>157</v>
      </c>
      <c r="C197" s="353"/>
      <c r="D197" s="353"/>
      <c r="E197" s="353"/>
      <c r="F197" s="353"/>
      <c r="G197" s="329"/>
      <c r="H197" s="329"/>
      <c r="I197" s="329"/>
      <c r="J197" s="329"/>
      <c r="K197" s="329"/>
      <c r="L197" s="329"/>
      <c r="M197" s="329"/>
      <c r="N197" s="329"/>
      <c r="O197" s="329"/>
      <c r="P197" s="329"/>
      <c r="Q197" s="329"/>
      <c r="R197" s="320">
        <v>4.6899999999999997E-2</v>
      </c>
      <c r="S197" s="285"/>
      <c r="T197" s="285"/>
      <c r="U197" s="317"/>
      <c r="V197" s="5"/>
    </row>
    <row r="198" spans="1:22" ht="15.6" x14ac:dyDescent="0.3">
      <c r="A198" s="352"/>
      <c r="B198" s="285" t="s">
        <v>73</v>
      </c>
      <c r="C198" s="353"/>
      <c r="D198" s="353"/>
      <c r="E198" s="353"/>
      <c r="F198" s="353"/>
      <c r="G198" s="329"/>
      <c r="H198" s="329"/>
      <c r="I198" s="329"/>
      <c r="J198" s="329"/>
      <c r="K198" s="329"/>
      <c r="L198" s="329"/>
      <c r="M198" s="329"/>
      <c r="N198" s="329"/>
      <c r="O198" s="329"/>
      <c r="P198" s="329"/>
      <c r="Q198" s="329"/>
      <c r="R198" s="320">
        <f>R196-R197</f>
        <v>4.6700000000000005E-3</v>
      </c>
      <c r="S198" s="285"/>
      <c r="T198" s="285"/>
      <c r="U198" s="317"/>
      <c r="V198" s="5"/>
    </row>
    <row r="199" spans="1:22" ht="15.6" x14ac:dyDescent="0.3">
      <c r="A199" s="352"/>
      <c r="B199" s="285" t="s">
        <v>74</v>
      </c>
      <c r="C199" s="353"/>
      <c r="D199" s="353"/>
      <c r="E199" s="353"/>
      <c r="F199" s="353"/>
      <c r="G199" s="329"/>
      <c r="H199" s="329"/>
      <c r="I199" s="329"/>
      <c r="J199" s="329"/>
      <c r="K199" s="329"/>
      <c r="L199" s="329"/>
      <c r="M199" s="329"/>
      <c r="N199" s="329"/>
      <c r="O199" s="329"/>
      <c r="P199" s="329"/>
      <c r="Q199" s="329"/>
      <c r="R199" s="320">
        <v>2.3029999999999998E-2</v>
      </c>
      <c r="S199" s="285"/>
      <c r="T199" s="285"/>
      <c r="U199" s="317"/>
      <c r="V199" s="5"/>
    </row>
    <row r="200" spans="1:22" ht="15.6" x14ac:dyDescent="0.3">
      <c r="A200" s="352"/>
      <c r="B200" s="285" t="s">
        <v>257</v>
      </c>
      <c r="C200" s="353"/>
      <c r="D200" s="353"/>
      <c r="E200" s="353"/>
      <c r="F200" s="353"/>
      <c r="G200" s="329"/>
      <c r="H200" s="329"/>
      <c r="I200" s="329"/>
      <c r="J200" s="329"/>
      <c r="K200" s="329"/>
      <c r="L200" s="329"/>
      <c r="M200" s="329"/>
      <c r="N200" s="329"/>
      <c r="O200" s="329"/>
      <c r="P200" s="329"/>
      <c r="Q200" s="329"/>
      <c r="R200" s="320">
        <f>T43</f>
        <v>8.6162030993505202E-3</v>
      </c>
      <c r="S200" s="285"/>
      <c r="T200" s="285"/>
      <c r="U200" s="317"/>
      <c r="V200" s="5"/>
    </row>
    <row r="201" spans="1:22" ht="15.6" x14ac:dyDescent="0.3">
      <c r="A201" s="352"/>
      <c r="B201" s="285" t="s">
        <v>75</v>
      </c>
      <c r="C201" s="353"/>
      <c r="D201" s="353"/>
      <c r="E201" s="353"/>
      <c r="F201" s="353"/>
      <c r="G201" s="329"/>
      <c r="H201" s="329"/>
      <c r="I201" s="329"/>
      <c r="J201" s="329"/>
      <c r="K201" s="329"/>
      <c r="L201" s="329"/>
      <c r="M201" s="329"/>
      <c r="N201" s="329"/>
      <c r="O201" s="329"/>
      <c r="P201" s="329"/>
      <c r="Q201" s="329"/>
      <c r="R201" s="320">
        <f>R199-R200</f>
        <v>1.4413796900649478E-2</v>
      </c>
      <c r="S201" s="285"/>
      <c r="T201" s="285"/>
      <c r="U201" s="317"/>
      <c r="V201" s="5"/>
    </row>
    <row r="202" spans="1:22" ht="15.6" x14ac:dyDescent="0.3">
      <c r="A202" s="352"/>
      <c r="B202" s="285" t="s">
        <v>260</v>
      </c>
      <c r="C202" s="353"/>
      <c r="D202" s="353"/>
      <c r="E202" s="353"/>
      <c r="F202" s="353"/>
      <c r="G202" s="329"/>
      <c r="H202" s="329"/>
      <c r="I202" s="329"/>
      <c r="J202" s="329"/>
      <c r="K202" s="329"/>
      <c r="L202" s="329"/>
      <c r="M202" s="329"/>
      <c r="N202" s="329"/>
      <c r="O202" s="329"/>
      <c r="P202" s="329"/>
      <c r="Q202" s="329"/>
      <c r="R202" s="320">
        <f>+T100/L71</f>
        <v>6.5606656972539224E-3</v>
      </c>
      <c r="S202" s="285"/>
      <c r="T202" s="285"/>
      <c r="U202" s="317"/>
      <c r="V202" s="5"/>
    </row>
    <row r="203" spans="1:22" ht="15.6" x14ac:dyDescent="0.3">
      <c r="A203" s="352"/>
      <c r="B203" s="285" t="s">
        <v>217</v>
      </c>
      <c r="C203" s="353"/>
      <c r="D203" s="353"/>
      <c r="E203" s="353"/>
      <c r="F203" s="353"/>
      <c r="G203" s="329"/>
      <c r="H203" s="329"/>
      <c r="I203" s="329"/>
      <c r="J203" s="329"/>
      <c r="K203" s="329"/>
      <c r="L203" s="329"/>
      <c r="M203" s="329"/>
      <c r="N203" s="329"/>
      <c r="O203" s="329"/>
      <c r="P203" s="329"/>
      <c r="Q203" s="329"/>
      <c r="R203" s="354">
        <v>15250</v>
      </c>
      <c r="S203" s="285"/>
      <c r="T203" s="285"/>
      <c r="U203" s="317"/>
      <c r="V203" s="5"/>
    </row>
    <row r="204" spans="1:22" ht="15.6" x14ac:dyDescent="0.3">
      <c r="A204" s="352"/>
      <c r="B204" s="285" t="s">
        <v>218</v>
      </c>
      <c r="C204" s="353"/>
      <c r="D204" s="353"/>
      <c r="E204" s="353"/>
      <c r="F204" s="353"/>
      <c r="G204" s="329"/>
      <c r="H204" s="329"/>
      <c r="I204" s="329"/>
      <c r="J204" s="329"/>
      <c r="K204" s="329"/>
      <c r="L204" s="329"/>
      <c r="M204" s="329"/>
      <c r="N204" s="329"/>
      <c r="O204" s="329"/>
      <c r="P204" s="329"/>
      <c r="Q204" s="329"/>
      <c r="R204" s="354">
        <v>15250</v>
      </c>
      <c r="S204" s="285"/>
      <c r="T204" s="285"/>
      <c r="U204" s="317"/>
      <c r="V204" s="5"/>
    </row>
    <row r="205" spans="1:22" ht="15.6" x14ac:dyDescent="0.3">
      <c r="A205" s="352"/>
      <c r="B205" s="285" t="s">
        <v>219</v>
      </c>
      <c r="C205" s="353"/>
      <c r="D205" s="353"/>
      <c r="E205" s="353"/>
      <c r="F205" s="353"/>
      <c r="G205" s="329"/>
      <c r="H205" s="329"/>
      <c r="I205" s="329"/>
      <c r="J205" s="329"/>
      <c r="K205" s="329"/>
      <c r="L205" s="329"/>
      <c r="M205" s="329"/>
      <c r="N205" s="329"/>
      <c r="O205" s="329"/>
      <c r="P205" s="329"/>
      <c r="Q205" s="329"/>
      <c r="R205" s="354">
        <v>15250</v>
      </c>
      <c r="S205" s="285"/>
      <c r="T205" s="285"/>
      <c r="U205" s="317"/>
      <c r="V205" s="5"/>
    </row>
    <row r="206" spans="1:22" ht="15.6" x14ac:dyDescent="0.3">
      <c r="A206" s="352"/>
      <c r="B206" s="285" t="s">
        <v>76</v>
      </c>
      <c r="C206" s="353"/>
      <c r="D206" s="353"/>
      <c r="E206" s="353"/>
      <c r="F206" s="353"/>
      <c r="G206" s="329"/>
      <c r="H206" s="329"/>
      <c r="I206" s="329"/>
      <c r="J206" s="329"/>
      <c r="K206" s="329"/>
      <c r="L206" s="329"/>
      <c r="M206" s="329"/>
      <c r="N206" s="329"/>
      <c r="O206" s="329"/>
      <c r="P206" s="329"/>
      <c r="Q206" s="329"/>
      <c r="R206" s="326">
        <v>21.18</v>
      </c>
      <c r="S206" s="285" t="s">
        <v>116</v>
      </c>
      <c r="T206" s="285"/>
      <c r="U206" s="317"/>
      <c r="V206" s="5"/>
    </row>
    <row r="207" spans="1:22" ht="15.6" x14ac:dyDescent="0.3">
      <c r="A207" s="352"/>
      <c r="B207" s="285" t="s">
        <v>77</v>
      </c>
      <c r="C207" s="353"/>
      <c r="D207" s="353"/>
      <c r="E207" s="353"/>
      <c r="F207" s="353"/>
      <c r="G207" s="329"/>
      <c r="H207" s="329"/>
      <c r="I207" s="329"/>
      <c r="J207" s="329"/>
      <c r="K207" s="329"/>
      <c r="L207" s="329"/>
      <c r="M207" s="329"/>
      <c r="N207" s="329"/>
      <c r="O207" s="329"/>
      <c r="P207" s="329"/>
      <c r="Q207" s="329"/>
      <c r="R207" s="326">
        <v>12.94</v>
      </c>
      <c r="S207" s="285" t="s">
        <v>116</v>
      </c>
      <c r="T207" s="285"/>
      <c r="U207" s="317"/>
      <c r="V207" s="5"/>
    </row>
    <row r="208" spans="1:22" ht="15.6" x14ac:dyDescent="0.3">
      <c r="A208" s="352"/>
      <c r="B208" s="285" t="s">
        <v>78</v>
      </c>
      <c r="C208" s="353"/>
      <c r="D208" s="353"/>
      <c r="E208" s="353"/>
      <c r="F208" s="353"/>
      <c r="G208" s="329"/>
      <c r="H208" s="329"/>
      <c r="I208" s="329"/>
      <c r="J208" s="329"/>
      <c r="K208" s="329"/>
      <c r="L208" s="329"/>
      <c r="M208" s="329"/>
      <c r="N208" s="329"/>
      <c r="O208" s="329"/>
      <c r="P208" s="329"/>
      <c r="Q208" s="329"/>
      <c r="R208" s="320">
        <f>N68/L68</f>
        <v>1.2788254371873834E-2</v>
      </c>
      <c r="S208" s="285"/>
      <c r="T208" s="285"/>
      <c r="U208" s="317"/>
      <c r="V208" s="5"/>
    </row>
    <row r="209" spans="1:22" ht="15.6" x14ac:dyDescent="0.3">
      <c r="A209" s="352"/>
      <c r="B209" s="285" t="s">
        <v>79</v>
      </c>
      <c r="C209" s="353"/>
      <c r="D209" s="353"/>
      <c r="E209" s="353"/>
      <c r="F209" s="353"/>
      <c r="G209" s="329"/>
      <c r="H209" s="329"/>
      <c r="I209" s="329"/>
      <c r="J209" s="329"/>
      <c r="K209" s="329"/>
      <c r="L209" s="329"/>
      <c r="M209" s="329"/>
      <c r="N209" s="329"/>
      <c r="O209" s="329"/>
      <c r="P209" s="329"/>
      <c r="Q209" s="329"/>
      <c r="R209" s="320">
        <v>7.9600000000000004E-2</v>
      </c>
      <c r="S209" s="285"/>
      <c r="T209" s="285"/>
      <c r="U209" s="317"/>
      <c r="V209" s="5"/>
    </row>
    <row r="210" spans="1:22" ht="15.6" x14ac:dyDescent="0.3">
      <c r="A210" s="209"/>
      <c r="B210" s="350"/>
      <c r="C210" s="350"/>
      <c r="D210" s="350"/>
      <c r="E210" s="350"/>
      <c r="F210" s="350"/>
      <c r="G210" s="334"/>
      <c r="H210" s="334"/>
      <c r="I210" s="334"/>
      <c r="J210" s="334"/>
      <c r="K210" s="334"/>
      <c r="L210" s="334"/>
      <c r="M210" s="334"/>
      <c r="N210" s="334"/>
      <c r="O210" s="334"/>
      <c r="P210" s="334"/>
      <c r="Q210" s="334"/>
      <c r="R210" s="347"/>
      <c r="S210" s="334"/>
      <c r="T210" s="351"/>
      <c r="U210" s="334"/>
      <c r="V210" s="5"/>
    </row>
    <row r="211" spans="1:22" ht="15.6" x14ac:dyDescent="0.3">
      <c r="A211" s="266"/>
      <c r="B211" s="395" t="s">
        <v>80</v>
      </c>
      <c r="C211" s="396"/>
      <c r="D211" s="396"/>
      <c r="E211" s="396"/>
      <c r="F211" s="402"/>
      <c r="G211" s="396"/>
      <c r="H211" s="396"/>
      <c r="I211" s="396"/>
      <c r="J211" s="396"/>
      <c r="K211" s="396"/>
      <c r="L211" s="396"/>
      <c r="M211" s="396"/>
      <c r="N211" s="396"/>
      <c r="O211" s="396"/>
      <c r="P211" s="396"/>
      <c r="Q211" s="396" t="s">
        <v>105</v>
      </c>
      <c r="R211" s="402" t="s">
        <v>112</v>
      </c>
      <c r="S211" s="223"/>
      <c r="T211" s="223"/>
      <c r="U211" s="223"/>
      <c r="V211" s="5"/>
    </row>
    <row r="212" spans="1:22" ht="15.6" x14ac:dyDescent="0.3">
      <c r="A212" s="214"/>
      <c r="B212" s="239" t="s">
        <v>81</v>
      </c>
      <c r="C212" s="243"/>
      <c r="D212" s="243"/>
      <c r="E212" s="243"/>
      <c r="F212" s="239"/>
      <c r="G212" s="239"/>
      <c r="H212" s="242"/>
      <c r="I212" s="242"/>
      <c r="J212" s="242"/>
      <c r="K212" s="242"/>
      <c r="L212" s="242"/>
      <c r="M212" s="242"/>
      <c r="N212" s="242"/>
      <c r="O212" s="242"/>
      <c r="P212" s="242"/>
      <c r="Q212" s="242">
        <v>2</v>
      </c>
      <c r="R212" s="272">
        <v>461</v>
      </c>
      <c r="S212" s="239"/>
      <c r="T212" s="273"/>
      <c r="U212" s="215"/>
      <c r="V212" s="5"/>
    </row>
    <row r="213" spans="1:22" ht="15.6" x14ac:dyDescent="0.3">
      <c r="A213" s="360"/>
      <c r="B213" s="285" t="s">
        <v>151</v>
      </c>
      <c r="C213" s="338"/>
      <c r="D213" s="338"/>
      <c r="E213" s="338"/>
      <c r="F213" s="285"/>
      <c r="G213" s="285"/>
      <c r="H213" s="293"/>
      <c r="I213" s="293"/>
      <c r="J213" s="293"/>
      <c r="K213" s="293"/>
      <c r="L213" s="293"/>
      <c r="M213" s="293"/>
      <c r="N213" s="293"/>
      <c r="O213" s="293"/>
      <c r="P213" s="293"/>
      <c r="Q213" s="361">
        <f>+P265</f>
        <v>86</v>
      </c>
      <c r="R213" s="362">
        <f>+R265</f>
        <v>13257</v>
      </c>
      <c r="S213" s="285"/>
      <c r="T213" s="363"/>
      <c r="U213" s="364"/>
      <c r="V213" s="5"/>
    </row>
    <row r="214" spans="1:22" ht="15.6" x14ac:dyDescent="0.3">
      <c r="A214" s="360"/>
      <c r="B214" s="285" t="s">
        <v>82</v>
      </c>
      <c r="C214" s="338"/>
      <c r="D214" s="338"/>
      <c r="E214" s="338"/>
      <c r="F214" s="285"/>
      <c r="G214" s="285"/>
      <c r="H214" s="293"/>
      <c r="I214" s="293"/>
      <c r="J214" s="293"/>
      <c r="K214" s="293"/>
      <c r="L214" s="293"/>
      <c r="M214" s="293"/>
      <c r="N214" s="293"/>
      <c r="O214" s="293"/>
      <c r="P214" s="293"/>
      <c r="Q214" s="361">
        <f>+P277</f>
        <v>0</v>
      </c>
      <c r="R214" s="362">
        <f>+R277</f>
        <v>0</v>
      </c>
      <c r="S214" s="285"/>
      <c r="T214" s="363"/>
      <c r="U214" s="364"/>
      <c r="V214" s="5"/>
    </row>
    <row r="215" spans="1:22" ht="15.6" x14ac:dyDescent="0.3">
      <c r="A215" s="360"/>
      <c r="B215" s="310" t="s">
        <v>83</v>
      </c>
      <c r="C215" s="365"/>
      <c r="D215" s="365"/>
      <c r="E215" s="365"/>
      <c r="F215" s="311"/>
      <c r="G215" s="311"/>
      <c r="H215" s="311"/>
      <c r="I215" s="311"/>
      <c r="J215" s="311"/>
      <c r="K215" s="311"/>
      <c r="L215" s="311"/>
      <c r="M215" s="311"/>
      <c r="N215" s="311"/>
      <c r="O215" s="311"/>
      <c r="P215" s="311"/>
      <c r="Q215" s="285"/>
      <c r="R215" s="362">
        <v>0</v>
      </c>
      <c r="S215" s="311"/>
      <c r="T215" s="366"/>
      <c r="U215" s="364"/>
      <c r="V215" s="5"/>
    </row>
    <row r="216" spans="1:22" ht="15.6" x14ac:dyDescent="0.3">
      <c r="A216" s="360"/>
      <c r="B216" s="310" t="s">
        <v>84</v>
      </c>
      <c r="C216" s="365"/>
      <c r="D216" s="365"/>
      <c r="E216" s="365"/>
      <c r="F216" s="311"/>
      <c r="G216" s="311"/>
      <c r="H216" s="311"/>
      <c r="I216" s="311"/>
      <c r="J216" s="311"/>
      <c r="K216" s="311"/>
      <c r="L216" s="311"/>
      <c r="M216" s="311"/>
      <c r="N216" s="311"/>
      <c r="O216" s="311"/>
      <c r="P216" s="311"/>
      <c r="Q216" s="285"/>
      <c r="R216" s="367" t="s">
        <v>113</v>
      </c>
      <c r="S216" s="311"/>
      <c r="T216" s="366"/>
      <c r="U216" s="364"/>
      <c r="V216" s="5"/>
    </row>
    <row r="217" spans="1:22" ht="15.6" x14ac:dyDescent="0.3">
      <c r="A217" s="368"/>
      <c r="B217" s="310" t="s">
        <v>85</v>
      </c>
      <c r="C217" s="369"/>
      <c r="D217" s="369"/>
      <c r="E217" s="369"/>
      <c r="F217" s="369"/>
      <c r="G217" s="311"/>
      <c r="H217" s="311"/>
      <c r="I217" s="311"/>
      <c r="J217" s="311"/>
      <c r="K217" s="311"/>
      <c r="L217" s="311"/>
      <c r="M217" s="311"/>
      <c r="N217" s="311"/>
      <c r="O217" s="311"/>
      <c r="P217" s="311"/>
      <c r="Q217" s="285"/>
      <c r="R217" s="362"/>
      <c r="S217" s="311"/>
      <c r="T217" s="366"/>
      <c r="U217" s="370"/>
      <c r="V217" s="5"/>
    </row>
    <row r="218" spans="1:22" ht="15.6" x14ac:dyDescent="0.3">
      <c r="A218" s="368"/>
      <c r="B218" s="285" t="s">
        <v>86</v>
      </c>
      <c r="C218" s="285"/>
      <c r="D218" s="285"/>
      <c r="E218" s="285"/>
      <c r="F218" s="285"/>
      <c r="G218" s="285"/>
      <c r="H218" s="285"/>
      <c r="I218" s="285"/>
      <c r="J218" s="285"/>
      <c r="K218" s="285"/>
      <c r="L218" s="285"/>
      <c r="M218" s="285"/>
      <c r="N218" s="285"/>
      <c r="O218" s="285"/>
      <c r="P218" s="285"/>
      <c r="Q218" s="293"/>
      <c r="R218" s="362">
        <f>T162</f>
        <v>3</v>
      </c>
      <c r="S218" s="285"/>
      <c r="T218" s="363"/>
      <c r="U218" s="370"/>
      <c r="V218" s="5"/>
    </row>
    <row r="219" spans="1:22" ht="15.6" x14ac:dyDescent="0.3">
      <c r="A219" s="360"/>
      <c r="B219" s="285" t="s">
        <v>87</v>
      </c>
      <c r="C219" s="338"/>
      <c r="D219" s="338"/>
      <c r="E219" s="338"/>
      <c r="F219" s="338"/>
      <c r="G219" s="285"/>
      <c r="H219" s="285"/>
      <c r="I219" s="285"/>
      <c r="J219" s="285"/>
      <c r="K219" s="285"/>
      <c r="L219" s="285"/>
      <c r="M219" s="285"/>
      <c r="N219" s="285"/>
      <c r="O219" s="285"/>
      <c r="P219" s="285"/>
      <c r="Q219" s="293"/>
      <c r="R219" s="362">
        <f>'June 14'!R219+R218</f>
        <v>4856</v>
      </c>
      <c r="S219" s="285"/>
      <c r="T219" s="363"/>
      <c r="U219" s="370"/>
      <c r="V219" s="5"/>
    </row>
    <row r="220" spans="1:22" ht="15.6" x14ac:dyDescent="0.3">
      <c r="A220" s="368"/>
      <c r="B220" s="310" t="s">
        <v>282</v>
      </c>
      <c r="C220" s="369"/>
      <c r="D220" s="369"/>
      <c r="E220" s="369"/>
      <c r="F220" s="369"/>
      <c r="G220" s="311"/>
      <c r="H220" s="311"/>
      <c r="I220" s="311"/>
      <c r="J220" s="311"/>
      <c r="K220" s="311"/>
      <c r="L220" s="311"/>
      <c r="M220" s="311"/>
      <c r="N220" s="311"/>
      <c r="O220" s="311"/>
      <c r="P220" s="311"/>
      <c r="Q220" s="293"/>
      <c r="R220" s="362"/>
      <c r="S220" s="311"/>
      <c r="T220" s="366"/>
      <c r="U220" s="370"/>
      <c r="V220" s="5"/>
    </row>
    <row r="221" spans="1:22" ht="15.6" x14ac:dyDescent="0.3">
      <c r="A221" s="368"/>
      <c r="B221" s="285" t="s">
        <v>280</v>
      </c>
      <c r="C221" s="369"/>
      <c r="D221" s="369"/>
      <c r="E221" s="369"/>
      <c r="F221" s="369"/>
      <c r="G221" s="311"/>
      <c r="H221" s="311"/>
      <c r="I221" s="311"/>
      <c r="J221" s="311"/>
      <c r="K221" s="311"/>
      <c r="L221" s="311"/>
      <c r="M221" s="311"/>
      <c r="N221" s="311"/>
      <c r="O221" s="311"/>
      <c r="P221" s="311"/>
      <c r="Q221" s="293">
        <v>0</v>
      </c>
      <c r="R221" s="362">
        <v>0</v>
      </c>
      <c r="S221" s="311"/>
      <c r="T221" s="366"/>
      <c r="U221" s="370"/>
      <c r="V221" s="5"/>
    </row>
    <row r="222" spans="1:22" ht="15.6" x14ac:dyDescent="0.3">
      <c r="A222" s="360"/>
      <c r="B222" s="285" t="s">
        <v>89</v>
      </c>
      <c r="C222" s="373"/>
      <c r="D222" s="373"/>
      <c r="E222" s="373"/>
      <c r="F222" s="374"/>
      <c r="G222" s="311"/>
      <c r="H222" s="311"/>
      <c r="I222" s="311"/>
      <c r="J222" s="311"/>
      <c r="K222" s="311"/>
      <c r="L222" s="311"/>
      <c r="M222" s="311"/>
      <c r="N222" s="311"/>
      <c r="O222" s="311"/>
      <c r="P222" s="311"/>
      <c r="Q222" s="285"/>
      <c r="R222" s="367">
        <v>0</v>
      </c>
      <c r="S222" s="311"/>
      <c r="T222" s="366"/>
      <c r="U222" s="370"/>
      <c r="V222" s="5"/>
    </row>
    <row r="223" spans="1:22" ht="15.6" x14ac:dyDescent="0.3">
      <c r="A223" s="360"/>
      <c r="B223" s="285" t="s">
        <v>90</v>
      </c>
      <c r="C223" s="373"/>
      <c r="D223" s="373"/>
      <c r="E223" s="373"/>
      <c r="F223" s="374"/>
      <c r="G223" s="311"/>
      <c r="H223" s="311"/>
      <c r="I223" s="311"/>
      <c r="J223" s="311"/>
      <c r="K223" s="311"/>
      <c r="L223" s="311"/>
      <c r="M223" s="311"/>
      <c r="N223" s="311"/>
      <c r="O223" s="311"/>
      <c r="P223" s="311"/>
      <c r="Q223" s="285"/>
      <c r="R223" s="367">
        <v>0</v>
      </c>
      <c r="S223" s="311"/>
      <c r="T223" s="366"/>
      <c r="U223" s="370"/>
      <c r="V223" s="5"/>
    </row>
    <row r="224" spans="1:22" ht="15.6" x14ac:dyDescent="0.3">
      <c r="A224" s="360"/>
      <c r="B224" s="310" t="s">
        <v>226</v>
      </c>
      <c r="C224" s="373"/>
      <c r="D224" s="373"/>
      <c r="E224" s="373"/>
      <c r="F224" s="374"/>
      <c r="G224" s="311"/>
      <c r="H224" s="311"/>
      <c r="I224" s="311"/>
      <c r="J224" s="311"/>
      <c r="K224" s="311"/>
      <c r="L224" s="311"/>
      <c r="M224" s="311"/>
      <c r="N224" s="311"/>
      <c r="O224" s="311"/>
      <c r="P224" s="311"/>
      <c r="Q224" s="293"/>
      <c r="R224" s="375"/>
      <c r="S224" s="311"/>
      <c r="T224" s="366"/>
      <c r="U224" s="370"/>
      <c r="V224" s="5"/>
    </row>
    <row r="225" spans="1:23" ht="15.6" x14ac:dyDescent="0.3">
      <c r="A225" s="360"/>
      <c r="B225" s="285" t="s">
        <v>280</v>
      </c>
      <c r="C225" s="373"/>
      <c r="D225" s="373"/>
      <c r="E225" s="373"/>
      <c r="F225" s="374"/>
      <c r="G225" s="311"/>
      <c r="H225" s="311"/>
      <c r="I225" s="311"/>
      <c r="J225" s="311"/>
      <c r="K225" s="311"/>
      <c r="L225" s="311"/>
      <c r="M225" s="311"/>
      <c r="N225" s="311"/>
      <c r="O225" s="311"/>
      <c r="P225" s="311"/>
      <c r="Q225" s="293">
        <v>3</v>
      </c>
      <c r="R225" s="362">
        <v>303</v>
      </c>
      <c r="S225" s="311"/>
      <c r="T225" s="366"/>
      <c r="U225" s="370"/>
      <c r="V225" s="5"/>
    </row>
    <row r="226" spans="1:23" ht="15.6" x14ac:dyDescent="0.3">
      <c r="A226" s="360"/>
      <c r="B226" s="285" t="s">
        <v>227</v>
      </c>
      <c r="C226" s="373"/>
      <c r="D226" s="373"/>
      <c r="E226" s="373"/>
      <c r="F226" s="374"/>
      <c r="G226" s="311"/>
      <c r="H226" s="311"/>
      <c r="I226" s="311"/>
      <c r="J226" s="311"/>
      <c r="K226" s="311"/>
      <c r="L226" s="311"/>
      <c r="M226" s="311"/>
      <c r="N226" s="311"/>
      <c r="O226" s="311"/>
      <c r="P226" s="311"/>
      <c r="Q226" s="293"/>
      <c r="R226" s="367">
        <v>4.7300000000000004</v>
      </c>
      <c r="S226" s="311"/>
      <c r="T226" s="366"/>
      <c r="U226" s="370"/>
      <c r="V226" s="5"/>
    </row>
    <row r="227" spans="1:23" ht="15.6" x14ac:dyDescent="0.3">
      <c r="A227" s="360"/>
      <c r="B227" s="369"/>
      <c r="C227" s="373"/>
      <c r="D227" s="373"/>
      <c r="E227" s="373"/>
      <c r="F227" s="374"/>
      <c r="G227" s="311"/>
      <c r="H227" s="311"/>
      <c r="I227" s="311"/>
      <c r="J227" s="311"/>
      <c r="K227" s="311"/>
      <c r="L227" s="311"/>
      <c r="M227" s="311"/>
      <c r="N227" s="311"/>
      <c r="O227" s="311"/>
      <c r="P227" s="311"/>
      <c r="Q227" s="311"/>
      <c r="R227" s="376"/>
      <c r="S227" s="311"/>
      <c r="T227" s="366"/>
      <c r="U227" s="370"/>
      <c r="V227" s="5"/>
    </row>
    <row r="228" spans="1:23" ht="15.6" x14ac:dyDescent="0.3">
      <c r="A228" s="360"/>
      <c r="B228" s="369"/>
      <c r="C228" s="373"/>
      <c r="D228" s="373"/>
      <c r="E228" s="373"/>
      <c r="F228" s="374"/>
      <c r="G228" s="311"/>
      <c r="H228" s="311"/>
      <c r="I228" s="311"/>
      <c r="J228" s="311"/>
      <c r="K228" s="311"/>
      <c r="L228" s="311"/>
      <c r="M228" s="311"/>
      <c r="N228" s="311"/>
      <c r="O228" s="311"/>
      <c r="P228" s="311"/>
      <c r="Q228" s="311"/>
      <c r="R228" s="376"/>
      <c r="S228" s="311"/>
      <c r="T228" s="366"/>
      <c r="U228" s="370"/>
      <c r="V228" s="5"/>
    </row>
    <row r="229" spans="1:23" ht="17.399999999999999" x14ac:dyDescent="0.3">
      <c r="A229" s="360"/>
      <c r="B229" s="377" t="s">
        <v>175</v>
      </c>
      <c r="C229" s="373"/>
      <c r="D229" s="373"/>
      <c r="E229" s="373"/>
      <c r="F229" s="374"/>
      <c r="G229" s="311"/>
      <c r="H229" s="311"/>
      <c r="I229" s="311"/>
      <c r="J229" s="311"/>
      <c r="K229" s="311"/>
      <c r="L229" s="311"/>
      <c r="M229" s="311"/>
      <c r="N229" s="378" t="s">
        <v>174</v>
      </c>
      <c r="O229" s="311"/>
      <c r="P229" s="311"/>
      <c r="Q229" s="311"/>
      <c r="R229" s="376"/>
      <c r="S229" s="311"/>
      <c r="T229" s="366"/>
      <c r="U229" s="370"/>
      <c r="V229" s="5"/>
    </row>
    <row r="230" spans="1:23" ht="15.6" x14ac:dyDescent="0.3">
      <c r="A230" s="355"/>
      <c r="B230" s="350"/>
      <c r="C230" s="356"/>
      <c r="D230" s="356"/>
      <c r="E230" s="356"/>
      <c r="F230" s="357"/>
      <c r="G230" s="334"/>
      <c r="H230" s="334"/>
      <c r="I230" s="334"/>
      <c r="J230" s="334"/>
      <c r="K230" s="334"/>
      <c r="L230" s="334"/>
      <c r="M230" s="334"/>
      <c r="N230" s="334"/>
      <c r="O230" s="334"/>
      <c r="P230" s="334"/>
      <c r="Q230" s="334"/>
      <c r="R230" s="358"/>
      <c r="S230" s="334"/>
      <c r="T230" s="351"/>
      <c r="U230" s="359"/>
      <c r="V230" s="5"/>
    </row>
    <row r="231" spans="1:23" ht="15.6" x14ac:dyDescent="0.3">
      <c r="A231" s="222"/>
      <c r="B231" s="395" t="s">
        <v>295</v>
      </c>
      <c r="C231" s="396"/>
      <c r="D231" s="396"/>
      <c r="E231" s="396"/>
      <c r="F231" s="402"/>
      <c r="G231" s="396"/>
      <c r="H231" s="396"/>
      <c r="I231" s="396"/>
      <c r="J231" s="396"/>
      <c r="K231" s="396"/>
      <c r="L231" s="396"/>
      <c r="M231" s="396"/>
      <c r="N231" s="396"/>
      <c r="O231" s="396"/>
      <c r="P231" s="402" t="s">
        <v>105</v>
      </c>
      <c r="Q231" s="396" t="s">
        <v>106</v>
      </c>
      <c r="R231" s="402" t="s">
        <v>114</v>
      </c>
      <c r="S231" s="396" t="s">
        <v>106</v>
      </c>
      <c r="T231" s="223"/>
      <c r="U231" s="395"/>
      <c r="V231" s="5"/>
    </row>
    <row r="232" spans="1:23" ht="15.6" x14ac:dyDescent="0.3">
      <c r="A232" s="190"/>
      <c r="B232" s="243" t="s">
        <v>91</v>
      </c>
      <c r="C232" s="217"/>
      <c r="D232" s="217"/>
      <c r="E232" s="217"/>
      <c r="F232" s="191"/>
      <c r="G232" s="217"/>
      <c r="H232" s="217"/>
      <c r="I232" s="217"/>
      <c r="J232" s="217"/>
      <c r="K232" s="217"/>
      <c r="L232" s="217"/>
      <c r="M232" s="217"/>
      <c r="N232" s="217"/>
      <c r="O232" s="217"/>
      <c r="P232" s="338">
        <f t="shared" ref="P232:P239" si="1">+P244+P256+P268</f>
        <v>3968</v>
      </c>
      <c r="Q232" s="384">
        <f t="shared" ref="Q232:Q239" si="2">P232/$P$241</f>
        <v>0.99723548630309122</v>
      </c>
      <c r="R232" s="339">
        <f t="shared" ref="R232:R239" si="3">+R244+R256+R268</f>
        <v>517082</v>
      </c>
      <c r="S232" s="384">
        <f t="shared" ref="S232:S239" si="4">R232/$R$241</f>
        <v>0.99677497084365452</v>
      </c>
      <c r="T232" s="213"/>
      <c r="U232" s="216"/>
      <c r="V232" s="5"/>
    </row>
    <row r="233" spans="1:23" ht="15.6" x14ac:dyDescent="0.3">
      <c r="A233" s="284"/>
      <c r="B233" s="338" t="s">
        <v>92</v>
      </c>
      <c r="C233" s="382"/>
      <c r="D233" s="382"/>
      <c r="E233" s="382"/>
      <c r="F233" s="311"/>
      <c r="G233" s="383"/>
      <c r="H233" s="382"/>
      <c r="I233" s="382"/>
      <c r="J233" s="382"/>
      <c r="K233" s="382"/>
      <c r="L233" s="382"/>
      <c r="M233" s="382"/>
      <c r="N233" s="382"/>
      <c r="O233" s="382"/>
      <c r="P233" s="338">
        <f t="shared" si="1"/>
        <v>3</v>
      </c>
      <c r="Q233" s="384">
        <f t="shared" si="2"/>
        <v>7.5395828097511936E-4</v>
      </c>
      <c r="R233" s="339">
        <f t="shared" si="3"/>
        <v>288</v>
      </c>
      <c r="S233" s="384">
        <f t="shared" si="4"/>
        <v>5.5517537180364525E-4</v>
      </c>
      <c r="T233" s="366"/>
      <c r="U233" s="370"/>
      <c r="V233" s="5"/>
      <c r="W233" s="109"/>
    </row>
    <row r="234" spans="1:23" ht="15.6" x14ac:dyDescent="0.3">
      <c r="A234" s="284"/>
      <c r="B234" s="338" t="s">
        <v>93</v>
      </c>
      <c r="C234" s="382"/>
      <c r="D234" s="382"/>
      <c r="E234" s="382"/>
      <c r="F234" s="311"/>
      <c r="G234" s="383"/>
      <c r="H234" s="382"/>
      <c r="I234" s="382"/>
      <c r="J234" s="382"/>
      <c r="K234" s="382"/>
      <c r="L234" s="382"/>
      <c r="M234" s="382"/>
      <c r="N234" s="382"/>
      <c r="O234" s="382"/>
      <c r="P234" s="338">
        <f t="shared" si="1"/>
        <v>2</v>
      </c>
      <c r="Q234" s="384">
        <f t="shared" si="2"/>
        <v>5.0263885398341287E-4</v>
      </c>
      <c r="R234" s="339">
        <f t="shared" si="3"/>
        <v>274</v>
      </c>
      <c r="S234" s="384">
        <f t="shared" si="4"/>
        <v>5.2818768011874588E-4</v>
      </c>
      <c r="T234" s="366"/>
      <c r="U234" s="370"/>
      <c r="V234" s="5"/>
    </row>
    <row r="235" spans="1:23" ht="15.6" x14ac:dyDescent="0.3">
      <c r="A235" s="284"/>
      <c r="B235" s="338" t="s">
        <v>163</v>
      </c>
      <c r="C235" s="382"/>
      <c r="D235" s="382"/>
      <c r="E235" s="382"/>
      <c r="F235" s="311"/>
      <c r="G235" s="383"/>
      <c r="H235" s="382"/>
      <c r="I235" s="382"/>
      <c r="J235" s="382"/>
      <c r="K235" s="382"/>
      <c r="L235" s="382"/>
      <c r="M235" s="382"/>
      <c r="N235" s="382"/>
      <c r="O235" s="382"/>
      <c r="P235" s="338">
        <f t="shared" si="1"/>
        <v>0</v>
      </c>
      <c r="Q235" s="384">
        <f t="shared" si="2"/>
        <v>0</v>
      </c>
      <c r="R235" s="339">
        <f t="shared" si="3"/>
        <v>0</v>
      </c>
      <c r="S235" s="384">
        <f t="shared" si="4"/>
        <v>0</v>
      </c>
      <c r="T235" s="366"/>
      <c r="U235" s="370"/>
      <c r="V235" s="5"/>
      <c r="W235" s="109"/>
    </row>
    <row r="236" spans="1:23" ht="15.6" x14ac:dyDescent="0.3">
      <c r="A236" s="284"/>
      <c r="B236" s="338" t="s">
        <v>164</v>
      </c>
      <c r="C236" s="382"/>
      <c r="D236" s="382"/>
      <c r="E236" s="382"/>
      <c r="F236" s="311"/>
      <c r="G236" s="383"/>
      <c r="H236" s="382"/>
      <c r="I236" s="382"/>
      <c r="J236" s="382"/>
      <c r="K236" s="382"/>
      <c r="L236" s="382"/>
      <c r="M236" s="382"/>
      <c r="N236" s="382"/>
      <c r="O236" s="382"/>
      <c r="P236" s="338">
        <f t="shared" si="1"/>
        <v>0</v>
      </c>
      <c r="Q236" s="384">
        <f t="shared" si="2"/>
        <v>0</v>
      </c>
      <c r="R236" s="339">
        <f t="shared" si="3"/>
        <v>0</v>
      </c>
      <c r="S236" s="384">
        <f t="shared" si="4"/>
        <v>0</v>
      </c>
      <c r="T236" s="366"/>
      <c r="U236" s="370"/>
      <c r="V236" s="5"/>
    </row>
    <row r="237" spans="1:23" ht="15.6" x14ac:dyDescent="0.3">
      <c r="A237" s="284"/>
      <c r="B237" s="338" t="s">
        <v>165</v>
      </c>
      <c r="C237" s="382"/>
      <c r="D237" s="382"/>
      <c r="E237" s="382"/>
      <c r="F237" s="311"/>
      <c r="G237" s="383"/>
      <c r="H237" s="382"/>
      <c r="I237" s="382"/>
      <c r="J237" s="382"/>
      <c r="K237" s="382"/>
      <c r="L237" s="382"/>
      <c r="M237" s="382"/>
      <c r="N237" s="382"/>
      <c r="O237" s="382"/>
      <c r="P237" s="338">
        <f t="shared" si="1"/>
        <v>1</v>
      </c>
      <c r="Q237" s="384">
        <f t="shared" si="2"/>
        <v>2.5131942699170643E-4</v>
      </c>
      <c r="R237" s="339">
        <f t="shared" si="3"/>
        <v>93</v>
      </c>
      <c r="S237" s="384">
        <f t="shared" si="4"/>
        <v>1.7927538047826045E-4</v>
      </c>
      <c r="T237" s="366"/>
      <c r="U237" s="370"/>
      <c r="V237" s="5"/>
      <c r="W237" s="109"/>
    </row>
    <row r="238" spans="1:23" ht="15.6" x14ac:dyDescent="0.3">
      <c r="A238" s="284"/>
      <c r="B238" s="338" t="s">
        <v>166</v>
      </c>
      <c r="C238" s="382"/>
      <c r="D238" s="382"/>
      <c r="E238" s="382"/>
      <c r="F238" s="311"/>
      <c r="G238" s="383"/>
      <c r="H238" s="382"/>
      <c r="I238" s="382"/>
      <c r="J238" s="382"/>
      <c r="K238" s="382"/>
      <c r="L238" s="382"/>
      <c r="M238" s="382"/>
      <c r="N238" s="382"/>
      <c r="O238" s="382"/>
      <c r="P238" s="338">
        <f t="shared" si="1"/>
        <v>1</v>
      </c>
      <c r="Q238" s="384">
        <f t="shared" si="2"/>
        <v>2.5131942699170643E-4</v>
      </c>
      <c r="R238" s="339">
        <f t="shared" si="3"/>
        <v>299</v>
      </c>
      <c r="S238" s="384">
        <f t="shared" si="4"/>
        <v>5.7637998669892343E-4</v>
      </c>
      <c r="T238" s="366"/>
      <c r="U238" s="370"/>
      <c r="V238" s="5"/>
    </row>
    <row r="239" spans="1:23" ht="15.6" x14ac:dyDescent="0.3">
      <c r="A239" s="284"/>
      <c r="B239" s="338" t="s">
        <v>167</v>
      </c>
      <c r="C239" s="382"/>
      <c r="D239" s="382"/>
      <c r="E239" s="382"/>
      <c r="F239" s="311"/>
      <c r="G239" s="383"/>
      <c r="H239" s="382"/>
      <c r="I239" s="382"/>
      <c r="J239" s="382"/>
      <c r="K239" s="382"/>
      <c r="L239" s="382"/>
      <c r="M239" s="382"/>
      <c r="N239" s="382"/>
      <c r="O239" s="382"/>
      <c r="P239" s="338">
        <f t="shared" si="1"/>
        <v>4</v>
      </c>
      <c r="Q239" s="384">
        <f t="shared" si="2"/>
        <v>1.0052777079668257E-3</v>
      </c>
      <c r="R239" s="339">
        <f t="shared" si="3"/>
        <v>719</v>
      </c>
      <c r="S239" s="384">
        <f t="shared" si="4"/>
        <v>1.3860107372459061E-3</v>
      </c>
      <c r="T239" s="366"/>
      <c r="U239" s="370"/>
      <c r="V239" s="5"/>
      <c r="W239" s="109"/>
    </row>
    <row r="240" spans="1:23" ht="15.6" x14ac:dyDescent="0.3">
      <c r="A240" s="284"/>
      <c r="B240" s="338"/>
      <c r="C240" s="382"/>
      <c r="D240" s="382"/>
      <c r="E240" s="382"/>
      <c r="F240" s="311"/>
      <c r="G240" s="383"/>
      <c r="H240" s="382"/>
      <c r="I240" s="382"/>
      <c r="J240" s="382"/>
      <c r="K240" s="382"/>
      <c r="L240" s="382"/>
      <c r="M240" s="382"/>
      <c r="N240" s="382"/>
      <c r="O240" s="382"/>
      <c r="P240" s="338"/>
      <c r="Q240" s="384"/>
      <c r="R240" s="339"/>
      <c r="S240" s="384"/>
      <c r="T240" s="366"/>
      <c r="U240" s="370"/>
      <c r="V240" s="5"/>
    </row>
    <row r="241" spans="1:23" ht="15.6" x14ac:dyDescent="0.3">
      <c r="A241" s="284"/>
      <c r="B241" s="285" t="s">
        <v>120</v>
      </c>
      <c r="C241" s="311"/>
      <c r="D241" s="311"/>
      <c r="E241" s="311"/>
      <c r="F241" s="311"/>
      <c r="G241" s="311"/>
      <c r="H241" s="385"/>
      <c r="I241" s="385"/>
      <c r="J241" s="385"/>
      <c r="K241" s="385"/>
      <c r="L241" s="385"/>
      <c r="M241" s="385"/>
      <c r="N241" s="385"/>
      <c r="O241" s="385"/>
      <c r="P241" s="338">
        <f>SUM(P232:P240)</f>
        <v>3979</v>
      </c>
      <c r="Q241" s="384">
        <f>SUM(Q232:Q240)</f>
        <v>1</v>
      </c>
      <c r="R241" s="339">
        <f>SUM(R232:R240)</f>
        <v>518755</v>
      </c>
      <c r="S241" s="384">
        <f>SUM(S232:S240)</f>
        <v>0.99999999999999989</v>
      </c>
      <c r="T241" s="311"/>
      <c r="U241" s="317"/>
      <c r="V241" s="5"/>
    </row>
    <row r="242" spans="1:23" ht="15.6" x14ac:dyDescent="0.3">
      <c r="A242" s="355"/>
      <c r="B242" s="350"/>
      <c r="C242" s="356"/>
      <c r="D242" s="356"/>
      <c r="E242" s="356"/>
      <c r="F242" s="357"/>
      <c r="G242" s="334"/>
      <c r="H242" s="334"/>
      <c r="I242" s="334"/>
      <c r="J242" s="334"/>
      <c r="K242" s="334"/>
      <c r="L242" s="334"/>
      <c r="M242" s="334"/>
      <c r="N242" s="334"/>
      <c r="O242" s="334"/>
      <c r="P242" s="334"/>
      <c r="Q242" s="334"/>
      <c r="R242" s="358"/>
      <c r="S242" s="334"/>
      <c r="T242" s="351"/>
      <c r="U242" s="359"/>
      <c r="V242" s="5"/>
    </row>
    <row r="243" spans="1:23" ht="15.6" x14ac:dyDescent="0.3">
      <c r="A243" s="222"/>
      <c r="B243" s="395" t="s">
        <v>169</v>
      </c>
      <c r="C243" s="396"/>
      <c r="D243" s="396"/>
      <c r="E243" s="396"/>
      <c r="F243" s="402"/>
      <c r="G243" s="396"/>
      <c r="H243" s="396"/>
      <c r="I243" s="396"/>
      <c r="J243" s="396"/>
      <c r="K243" s="396"/>
      <c r="L243" s="396"/>
      <c r="M243" s="396"/>
      <c r="N243" s="396"/>
      <c r="O243" s="396"/>
      <c r="P243" s="402" t="s">
        <v>105</v>
      </c>
      <c r="Q243" s="396" t="s">
        <v>106</v>
      </c>
      <c r="R243" s="402" t="s">
        <v>114</v>
      </c>
      <c r="S243" s="396" t="s">
        <v>106</v>
      </c>
      <c r="T243" s="223"/>
      <c r="U243" s="395"/>
      <c r="V243" s="5"/>
    </row>
    <row r="244" spans="1:23" ht="15.6" x14ac:dyDescent="0.3">
      <c r="A244" s="190"/>
      <c r="B244" s="243" t="s">
        <v>91</v>
      </c>
      <c r="C244" s="217"/>
      <c r="D244" s="217"/>
      <c r="E244" s="217"/>
      <c r="F244" s="191"/>
      <c r="G244" s="217"/>
      <c r="H244" s="217"/>
      <c r="I244" s="217"/>
      <c r="J244" s="217"/>
      <c r="K244" s="217"/>
      <c r="L244" s="217"/>
      <c r="M244" s="217"/>
      <c r="N244" s="217"/>
      <c r="O244" s="217"/>
      <c r="P244" s="243">
        <v>3888</v>
      </c>
      <c r="Q244" s="274">
        <f t="shared" ref="Q244:Q251" si="5">P244/$P$253</f>
        <v>0.9987156434626252</v>
      </c>
      <c r="R244" s="251">
        <v>504783</v>
      </c>
      <c r="S244" s="274">
        <f t="shared" ref="S244:S251" si="6">R244/$R$253</f>
        <v>0.99858555325639276</v>
      </c>
      <c r="T244" s="213"/>
      <c r="U244" s="216"/>
      <c r="V244" s="5"/>
    </row>
    <row r="245" spans="1:23" ht="15.6" x14ac:dyDescent="0.3">
      <c r="A245" s="284"/>
      <c r="B245" s="338" t="s">
        <v>92</v>
      </c>
      <c r="C245" s="382"/>
      <c r="D245" s="382"/>
      <c r="E245" s="382"/>
      <c r="F245" s="311"/>
      <c r="G245" s="383"/>
      <c r="H245" s="382"/>
      <c r="I245" s="382"/>
      <c r="J245" s="382"/>
      <c r="K245" s="382"/>
      <c r="L245" s="382"/>
      <c r="M245" s="382"/>
      <c r="N245" s="382"/>
      <c r="O245" s="382"/>
      <c r="P245" s="338">
        <v>3</v>
      </c>
      <c r="Q245" s="384">
        <f t="shared" si="5"/>
        <v>7.7061392242486519E-4</v>
      </c>
      <c r="R245" s="339">
        <v>288</v>
      </c>
      <c r="S245" s="384">
        <f t="shared" si="6"/>
        <v>5.6973519183063041E-4</v>
      </c>
      <c r="T245" s="366"/>
      <c r="U245" s="370"/>
      <c r="V245" s="5"/>
      <c r="W245" s="109"/>
    </row>
    <row r="246" spans="1:23" ht="15.6" x14ac:dyDescent="0.3">
      <c r="A246" s="284"/>
      <c r="B246" s="338" t="s">
        <v>93</v>
      </c>
      <c r="C246" s="382"/>
      <c r="D246" s="382"/>
      <c r="E246" s="382"/>
      <c r="F246" s="311"/>
      <c r="G246" s="383"/>
      <c r="H246" s="382"/>
      <c r="I246" s="382"/>
      <c r="J246" s="382"/>
      <c r="K246" s="382"/>
      <c r="L246" s="382"/>
      <c r="M246" s="382"/>
      <c r="N246" s="382"/>
      <c r="O246" s="382"/>
      <c r="P246" s="338">
        <v>1</v>
      </c>
      <c r="Q246" s="384">
        <f t="shared" si="5"/>
        <v>2.5687130747495504E-4</v>
      </c>
      <c r="R246" s="339">
        <v>128</v>
      </c>
      <c r="S246" s="384">
        <f t="shared" si="6"/>
        <v>2.5321564081361348E-4</v>
      </c>
      <c r="T246" s="366"/>
      <c r="U246" s="370"/>
      <c r="V246" s="5"/>
    </row>
    <row r="247" spans="1:23" ht="15.6" x14ac:dyDescent="0.3">
      <c r="A247" s="284"/>
      <c r="B247" s="338" t="s">
        <v>163</v>
      </c>
      <c r="C247" s="382"/>
      <c r="D247" s="382"/>
      <c r="E247" s="382"/>
      <c r="F247" s="311"/>
      <c r="G247" s="383"/>
      <c r="H247" s="382"/>
      <c r="I247" s="382"/>
      <c r="J247" s="382"/>
      <c r="K247" s="382"/>
      <c r="L247" s="382"/>
      <c r="M247" s="382"/>
      <c r="N247" s="382"/>
      <c r="O247" s="382"/>
      <c r="P247" s="338">
        <v>0</v>
      </c>
      <c r="Q247" s="384">
        <f t="shared" si="5"/>
        <v>0</v>
      </c>
      <c r="R247" s="339">
        <v>0</v>
      </c>
      <c r="S247" s="384">
        <f t="shared" si="6"/>
        <v>0</v>
      </c>
      <c r="T247" s="366"/>
      <c r="U247" s="370"/>
      <c r="V247" s="5"/>
      <c r="W247" s="109"/>
    </row>
    <row r="248" spans="1:23" ht="15.6" x14ac:dyDescent="0.3">
      <c r="A248" s="284"/>
      <c r="B248" s="338" t="s">
        <v>164</v>
      </c>
      <c r="C248" s="382"/>
      <c r="D248" s="382"/>
      <c r="E248" s="382"/>
      <c r="F248" s="311"/>
      <c r="G248" s="383"/>
      <c r="H248" s="382"/>
      <c r="I248" s="382"/>
      <c r="J248" s="382"/>
      <c r="K248" s="382"/>
      <c r="L248" s="382"/>
      <c r="M248" s="382"/>
      <c r="N248" s="382"/>
      <c r="O248" s="382"/>
      <c r="P248" s="338">
        <v>0</v>
      </c>
      <c r="Q248" s="384">
        <f t="shared" si="5"/>
        <v>0</v>
      </c>
      <c r="R248" s="339">
        <v>0</v>
      </c>
      <c r="S248" s="384">
        <f t="shared" si="6"/>
        <v>0</v>
      </c>
      <c r="T248" s="366"/>
      <c r="U248" s="370"/>
      <c r="V248" s="5"/>
    </row>
    <row r="249" spans="1:23" ht="15.6" x14ac:dyDescent="0.3">
      <c r="A249" s="284"/>
      <c r="B249" s="338" t="s">
        <v>165</v>
      </c>
      <c r="C249" s="382"/>
      <c r="D249" s="382"/>
      <c r="E249" s="382"/>
      <c r="F249" s="311"/>
      <c r="G249" s="383"/>
      <c r="H249" s="382"/>
      <c r="I249" s="382"/>
      <c r="J249" s="382"/>
      <c r="K249" s="382"/>
      <c r="L249" s="382"/>
      <c r="M249" s="382"/>
      <c r="N249" s="382"/>
      <c r="O249" s="382"/>
      <c r="P249" s="338">
        <v>0</v>
      </c>
      <c r="Q249" s="384">
        <f t="shared" si="5"/>
        <v>0</v>
      </c>
      <c r="R249" s="339">
        <v>0</v>
      </c>
      <c r="S249" s="384">
        <f t="shared" si="6"/>
        <v>0</v>
      </c>
      <c r="T249" s="366"/>
      <c r="U249" s="370"/>
      <c r="V249" s="5"/>
      <c r="W249" s="109"/>
    </row>
    <row r="250" spans="1:23" ht="15.6" x14ac:dyDescent="0.3">
      <c r="A250" s="284"/>
      <c r="B250" s="338" t="s">
        <v>166</v>
      </c>
      <c r="C250" s="382"/>
      <c r="D250" s="382"/>
      <c r="E250" s="382"/>
      <c r="F250" s="311"/>
      <c r="G250" s="383"/>
      <c r="H250" s="382"/>
      <c r="I250" s="382"/>
      <c r="J250" s="382"/>
      <c r="K250" s="382"/>
      <c r="L250" s="382"/>
      <c r="M250" s="382"/>
      <c r="N250" s="382"/>
      <c r="O250" s="382"/>
      <c r="P250" s="338">
        <v>1</v>
      </c>
      <c r="Q250" s="384">
        <f t="shared" si="5"/>
        <v>2.5687130747495504E-4</v>
      </c>
      <c r="R250" s="339">
        <v>299</v>
      </c>
      <c r="S250" s="384">
        <f t="shared" si="6"/>
        <v>5.9149591096305026E-4</v>
      </c>
      <c r="T250" s="366"/>
      <c r="U250" s="370"/>
      <c r="V250" s="5"/>
    </row>
    <row r="251" spans="1:23" ht="15.6" x14ac:dyDescent="0.3">
      <c r="A251" s="284"/>
      <c r="B251" s="338" t="s">
        <v>167</v>
      </c>
      <c r="C251" s="382"/>
      <c r="D251" s="382"/>
      <c r="E251" s="382"/>
      <c r="F251" s="311"/>
      <c r="G251" s="383"/>
      <c r="H251" s="382"/>
      <c r="I251" s="382"/>
      <c r="J251" s="382"/>
      <c r="K251" s="382"/>
      <c r="L251" s="382"/>
      <c r="M251" s="382"/>
      <c r="N251" s="382"/>
      <c r="O251" s="382"/>
      <c r="P251" s="338">
        <v>0</v>
      </c>
      <c r="Q251" s="384">
        <f t="shared" si="5"/>
        <v>0</v>
      </c>
      <c r="R251" s="339">
        <v>0</v>
      </c>
      <c r="S251" s="384">
        <f t="shared" si="6"/>
        <v>0</v>
      </c>
      <c r="T251" s="366"/>
      <c r="U251" s="370"/>
      <c r="V251" s="5"/>
      <c r="W251" s="109"/>
    </row>
    <row r="252" spans="1:23" ht="15.6" x14ac:dyDescent="0.3">
      <c r="A252" s="284"/>
      <c r="B252" s="338"/>
      <c r="C252" s="382"/>
      <c r="D252" s="382"/>
      <c r="E252" s="382"/>
      <c r="F252" s="311"/>
      <c r="G252" s="383"/>
      <c r="H252" s="382"/>
      <c r="I252" s="382"/>
      <c r="J252" s="382"/>
      <c r="K252" s="382"/>
      <c r="L252" s="382"/>
      <c r="M252" s="382"/>
      <c r="N252" s="382"/>
      <c r="O252" s="382"/>
      <c r="P252" s="338"/>
      <c r="Q252" s="384"/>
      <c r="R252" s="339"/>
      <c r="S252" s="384"/>
      <c r="T252" s="366"/>
      <c r="U252" s="370"/>
      <c r="V252" s="5"/>
    </row>
    <row r="253" spans="1:23" ht="15.6" x14ac:dyDescent="0.3">
      <c r="A253" s="284"/>
      <c r="B253" s="285" t="s">
        <v>120</v>
      </c>
      <c r="C253" s="311"/>
      <c r="D253" s="311"/>
      <c r="E253" s="311"/>
      <c r="F253" s="311"/>
      <c r="G253" s="311"/>
      <c r="H253" s="385"/>
      <c r="I253" s="385"/>
      <c r="J253" s="385"/>
      <c r="K253" s="385"/>
      <c r="L253" s="385"/>
      <c r="M253" s="385"/>
      <c r="N253" s="385"/>
      <c r="O253" s="385"/>
      <c r="P253" s="338">
        <f>SUM(P244:P252)</f>
        <v>3893</v>
      </c>
      <c r="Q253" s="384">
        <f>SUM(Q244:Q252)</f>
        <v>1</v>
      </c>
      <c r="R253" s="339">
        <f>SUM(R244:R252)</f>
        <v>505498</v>
      </c>
      <c r="S253" s="384">
        <f>SUM(S244:S252)</f>
        <v>1</v>
      </c>
      <c r="T253" s="311"/>
      <c r="U253" s="317"/>
      <c r="V253" s="5"/>
    </row>
    <row r="254" spans="1:23" ht="15.6" x14ac:dyDescent="0.3">
      <c r="A254" s="175"/>
      <c r="B254" s="334"/>
      <c r="C254" s="334"/>
      <c r="D254" s="334"/>
      <c r="E254" s="334"/>
      <c r="F254" s="334"/>
      <c r="G254" s="334"/>
      <c r="H254" s="379"/>
      <c r="I254" s="379"/>
      <c r="J254" s="379"/>
      <c r="K254" s="379"/>
      <c r="L254" s="379"/>
      <c r="M254" s="379"/>
      <c r="N254" s="379"/>
      <c r="O254" s="379"/>
      <c r="P254" s="335"/>
      <c r="Q254" s="380"/>
      <c r="R254" s="381"/>
      <c r="S254" s="380"/>
      <c r="T254" s="334"/>
      <c r="U254" s="334"/>
      <c r="V254" s="5"/>
    </row>
    <row r="255" spans="1:23" ht="15.6" x14ac:dyDescent="0.3">
      <c r="A255" s="268"/>
      <c r="B255" s="395" t="s">
        <v>267</v>
      </c>
      <c r="C255" s="396"/>
      <c r="D255" s="396"/>
      <c r="E255" s="396"/>
      <c r="F255" s="402"/>
      <c r="G255" s="396"/>
      <c r="H255" s="396"/>
      <c r="I255" s="396"/>
      <c r="J255" s="396"/>
      <c r="K255" s="396"/>
      <c r="L255" s="396"/>
      <c r="M255" s="396"/>
      <c r="N255" s="396"/>
      <c r="O255" s="396"/>
      <c r="P255" s="402" t="s">
        <v>105</v>
      </c>
      <c r="Q255" s="396" t="s">
        <v>106</v>
      </c>
      <c r="R255" s="402" t="s">
        <v>114</v>
      </c>
      <c r="S255" s="396" t="s">
        <v>106</v>
      </c>
      <c r="T255" s="269"/>
      <c r="U255" s="270"/>
      <c r="V255" s="5"/>
    </row>
    <row r="256" spans="1:23" ht="15.6" x14ac:dyDescent="0.3">
      <c r="A256" s="190"/>
      <c r="B256" s="243" t="s">
        <v>91</v>
      </c>
      <c r="C256" s="217"/>
      <c r="D256" s="217"/>
      <c r="E256" s="217"/>
      <c r="F256" s="191"/>
      <c r="G256" s="217"/>
      <c r="H256" s="217"/>
      <c r="I256" s="217"/>
      <c r="J256" s="217"/>
      <c r="K256" s="217"/>
      <c r="L256" s="217"/>
      <c r="M256" s="217"/>
      <c r="N256" s="217"/>
      <c r="O256" s="217"/>
      <c r="P256" s="243">
        <v>80</v>
      </c>
      <c r="Q256" s="274">
        <f t="shared" ref="Q256:Q263" si="7">P256/$P$265</f>
        <v>0.93023255813953487</v>
      </c>
      <c r="R256" s="251">
        <v>12299</v>
      </c>
      <c r="S256" s="274">
        <f>R256/$R$265</f>
        <v>0.92773629026174853</v>
      </c>
      <c r="T256" s="191"/>
      <c r="U256" s="191"/>
      <c r="V256" s="5"/>
    </row>
    <row r="257" spans="1:22" ht="15.6" x14ac:dyDescent="0.3">
      <c r="A257" s="284"/>
      <c r="B257" s="338" t="s">
        <v>92</v>
      </c>
      <c r="C257" s="382"/>
      <c r="D257" s="382"/>
      <c r="E257" s="382"/>
      <c r="F257" s="311"/>
      <c r="G257" s="383"/>
      <c r="H257" s="382"/>
      <c r="I257" s="382"/>
      <c r="J257" s="382"/>
      <c r="K257" s="382"/>
      <c r="L257" s="382"/>
      <c r="M257" s="382"/>
      <c r="N257" s="382"/>
      <c r="O257" s="382"/>
      <c r="P257" s="338">
        <v>0</v>
      </c>
      <c r="Q257" s="384">
        <f t="shared" si="7"/>
        <v>0</v>
      </c>
      <c r="R257" s="339">
        <v>0</v>
      </c>
      <c r="S257" s="384">
        <f t="shared" ref="S257:S263" si="8">R257/$R$265</f>
        <v>0</v>
      </c>
      <c r="T257" s="311"/>
      <c r="U257" s="317"/>
      <c r="V257" s="5"/>
    </row>
    <row r="258" spans="1:22" ht="15.6" x14ac:dyDescent="0.3">
      <c r="A258" s="284"/>
      <c r="B258" s="338" t="s">
        <v>93</v>
      </c>
      <c r="C258" s="382"/>
      <c r="D258" s="382"/>
      <c r="E258" s="382"/>
      <c r="F258" s="311"/>
      <c r="G258" s="383"/>
      <c r="H258" s="382"/>
      <c r="I258" s="382"/>
      <c r="J258" s="382"/>
      <c r="K258" s="382"/>
      <c r="L258" s="382"/>
      <c r="M258" s="382"/>
      <c r="N258" s="382"/>
      <c r="O258" s="382"/>
      <c r="P258" s="338">
        <v>1</v>
      </c>
      <c r="Q258" s="384">
        <f t="shared" si="7"/>
        <v>1.1627906976744186E-2</v>
      </c>
      <c r="R258" s="339">
        <v>146</v>
      </c>
      <c r="S258" s="384">
        <f t="shared" si="8"/>
        <v>1.1013049709587388E-2</v>
      </c>
      <c r="T258" s="311"/>
      <c r="U258" s="317"/>
      <c r="V258" s="5"/>
    </row>
    <row r="259" spans="1:22" ht="15.6" x14ac:dyDescent="0.3">
      <c r="A259" s="284"/>
      <c r="B259" s="338" t="s">
        <v>163</v>
      </c>
      <c r="C259" s="382"/>
      <c r="D259" s="382"/>
      <c r="E259" s="382"/>
      <c r="F259" s="311"/>
      <c r="G259" s="383"/>
      <c r="H259" s="382"/>
      <c r="I259" s="382"/>
      <c r="J259" s="382"/>
      <c r="K259" s="382"/>
      <c r="L259" s="382"/>
      <c r="M259" s="382"/>
      <c r="N259" s="382"/>
      <c r="O259" s="382"/>
      <c r="P259" s="338">
        <v>0</v>
      </c>
      <c r="Q259" s="384">
        <f t="shared" si="7"/>
        <v>0</v>
      </c>
      <c r="R259" s="339">
        <v>0</v>
      </c>
      <c r="S259" s="384">
        <f t="shared" si="8"/>
        <v>0</v>
      </c>
      <c r="T259" s="311"/>
      <c r="U259" s="317"/>
      <c r="V259" s="5"/>
    </row>
    <row r="260" spans="1:22" ht="15.6" x14ac:dyDescent="0.3">
      <c r="A260" s="284"/>
      <c r="B260" s="338" t="s">
        <v>164</v>
      </c>
      <c r="C260" s="382"/>
      <c r="D260" s="382"/>
      <c r="E260" s="382"/>
      <c r="F260" s="311"/>
      <c r="G260" s="383"/>
      <c r="H260" s="382"/>
      <c r="I260" s="382"/>
      <c r="J260" s="382"/>
      <c r="K260" s="382"/>
      <c r="L260" s="382"/>
      <c r="M260" s="382"/>
      <c r="N260" s="382"/>
      <c r="O260" s="382"/>
      <c r="P260" s="338">
        <v>0</v>
      </c>
      <c r="Q260" s="384">
        <f t="shared" si="7"/>
        <v>0</v>
      </c>
      <c r="R260" s="339">
        <v>0</v>
      </c>
      <c r="S260" s="384">
        <f t="shared" si="8"/>
        <v>0</v>
      </c>
      <c r="T260" s="311"/>
      <c r="U260" s="317"/>
      <c r="V260" s="5"/>
    </row>
    <row r="261" spans="1:22" ht="15.6" x14ac:dyDescent="0.3">
      <c r="A261" s="284"/>
      <c r="B261" s="338" t="s">
        <v>165</v>
      </c>
      <c r="C261" s="382"/>
      <c r="D261" s="382"/>
      <c r="E261" s="382"/>
      <c r="F261" s="311"/>
      <c r="G261" s="383"/>
      <c r="H261" s="382"/>
      <c r="I261" s="382"/>
      <c r="J261" s="382"/>
      <c r="K261" s="382"/>
      <c r="L261" s="382"/>
      <c r="M261" s="382"/>
      <c r="N261" s="382"/>
      <c r="O261" s="382"/>
      <c r="P261" s="338">
        <v>1</v>
      </c>
      <c r="Q261" s="384">
        <f t="shared" si="7"/>
        <v>1.1627906976744186E-2</v>
      </c>
      <c r="R261" s="339">
        <v>93</v>
      </c>
      <c r="S261" s="384">
        <f t="shared" si="8"/>
        <v>7.0151618013125144E-3</v>
      </c>
      <c r="T261" s="311"/>
      <c r="U261" s="317"/>
      <c r="V261" s="5"/>
    </row>
    <row r="262" spans="1:22" ht="15.6" x14ac:dyDescent="0.3">
      <c r="A262" s="284"/>
      <c r="B262" s="338" t="s">
        <v>166</v>
      </c>
      <c r="C262" s="382"/>
      <c r="D262" s="382"/>
      <c r="E262" s="382"/>
      <c r="F262" s="311"/>
      <c r="G262" s="383"/>
      <c r="H262" s="382"/>
      <c r="I262" s="382"/>
      <c r="J262" s="382"/>
      <c r="K262" s="382"/>
      <c r="L262" s="382"/>
      <c r="M262" s="382"/>
      <c r="N262" s="382"/>
      <c r="O262" s="382"/>
      <c r="P262" s="338">
        <v>0</v>
      </c>
      <c r="Q262" s="384">
        <f t="shared" si="7"/>
        <v>0</v>
      </c>
      <c r="R262" s="339">
        <v>0</v>
      </c>
      <c r="S262" s="384">
        <f t="shared" si="8"/>
        <v>0</v>
      </c>
      <c r="T262" s="311"/>
      <c r="U262" s="317"/>
      <c r="V262" s="5"/>
    </row>
    <row r="263" spans="1:22" ht="15.6" x14ac:dyDescent="0.3">
      <c r="A263" s="284"/>
      <c r="B263" s="338" t="s">
        <v>167</v>
      </c>
      <c r="C263" s="382"/>
      <c r="D263" s="382"/>
      <c r="E263" s="382"/>
      <c r="F263" s="311"/>
      <c r="G263" s="383"/>
      <c r="H263" s="382"/>
      <c r="I263" s="382"/>
      <c r="J263" s="382"/>
      <c r="K263" s="382"/>
      <c r="L263" s="382"/>
      <c r="M263" s="382"/>
      <c r="N263" s="382"/>
      <c r="O263" s="382"/>
      <c r="P263" s="338">
        <v>4</v>
      </c>
      <c r="Q263" s="384">
        <f t="shared" si="7"/>
        <v>4.6511627906976744E-2</v>
      </c>
      <c r="R263" s="339">
        <v>719</v>
      </c>
      <c r="S263" s="384">
        <f t="shared" si="8"/>
        <v>5.4235498227351589E-2</v>
      </c>
      <c r="T263" s="311"/>
      <c r="U263" s="317"/>
      <c r="V263" s="5"/>
    </row>
    <row r="264" spans="1:22" ht="15.6" x14ac:dyDescent="0.3">
      <c r="A264" s="284"/>
      <c r="B264" s="338"/>
      <c r="C264" s="382"/>
      <c r="D264" s="382"/>
      <c r="E264" s="382"/>
      <c r="F264" s="311"/>
      <c r="G264" s="383"/>
      <c r="H264" s="382"/>
      <c r="I264" s="382"/>
      <c r="J264" s="382"/>
      <c r="K264" s="382"/>
      <c r="L264" s="382"/>
      <c r="M264" s="382"/>
      <c r="N264" s="382"/>
      <c r="O264" s="382"/>
      <c r="P264" s="338"/>
      <c r="Q264" s="384"/>
      <c r="R264" s="339"/>
      <c r="S264" s="384"/>
      <c r="T264" s="311"/>
      <c r="U264" s="317"/>
      <c r="V264" s="5"/>
    </row>
    <row r="265" spans="1:22" ht="15.6" x14ac:dyDescent="0.3">
      <c r="A265" s="284"/>
      <c r="B265" s="285" t="s">
        <v>120</v>
      </c>
      <c r="C265" s="311"/>
      <c r="D265" s="311"/>
      <c r="E265" s="311"/>
      <c r="F265" s="311"/>
      <c r="G265" s="311"/>
      <c r="H265" s="385"/>
      <c r="I265" s="385"/>
      <c r="J265" s="385"/>
      <c r="K265" s="385"/>
      <c r="L265" s="385"/>
      <c r="M265" s="385"/>
      <c r="N265" s="385"/>
      <c r="O265" s="385"/>
      <c r="P265" s="338">
        <f>SUM(P256:P264)</f>
        <v>86</v>
      </c>
      <c r="Q265" s="384">
        <f>SUM(Q256:Q264)</f>
        <v>1</v>
      </c>
      <c r="R265" s="339">
        <f>SUM(R256:R264)</f>
        <v>13257</v>
      </c>
      <c r="S265" s="384">
        <f>SUM(S256:S264)</f>
        <v>1</v>
      </c>
      <c r="T265" s="311"/>
      <c r="U265" s="317"/>
      <c r="V265" s="5"/>
    </row>
    <row r="266" spans="1:22" ht="15.6" x14ac:dyDescent="0.3">
      <c r="A266" s="175"/>
      <c r="B266" s="334"/>
      <c r="C266" s="334"/>
      <c r="D266" s="334"/>
      <c r="E266" s="334"/>
      <c r="F266" s="334"/>
      <c r="G266" s="334"/>
      <c r="H266" s="379"/>
      <c r="I266" s="379"/>
      <c r="J266" s="379"/>
      <c r="K266" s="379"/>
      <c r="L266" s="379"/>
      <c r="M266" s="379"/>
      <c r="N266" s="379"/>
      <c r="O266" s="379"/>
      <c r="P266" s="335"/>
      <c r="Q266" s="380"/>
      <c r="R266" s="381"/>
      <c r="S266" s="380"/>
      <c r="T266" s="334"/>
      <c r="U266" s="334"/>
      <c r="V266" s="5"/>
    </row>
    <row r="267" spans="1:22" ht="15.6" x14ac:dyDescent="0.3">
      <c r="A267" s="268"/>
      <c r="B267" s="395" t="s">
        <v>170</v>
      </c>
      <c r="C267" s="269"/>
      <c r="D267" s="269"/>
      <c r="E267" s="269"/>
      <c r="F267" s="269"/>
      <c r="G267" s="269"/>
      <c r="H267" s="271"/>
      <c r="I267" s="271"/>
      <c r="J267" s="271"/>
      <c r="K267" s="271"/>
      <c r="L267" s="271"/>
      <c r="M267" s="271"/>
      <c r="N267" s="271"/>
      <c r="O267" s="271"/>
      <c r="P267" s="402" t="s">
        <v>105</v>
      </c>
      <c r="Q267" s="396" t="s">
        <v>106</v>
      </c>
      <c r="R267" s="402" t="s">
        <v>114</v>
      </c>
      <c r="S267" s="396" t="s">
        <v>106</v>
      </c>
      <c r="T267" s="269"/>
      <c r="U267" s="270"/>
      <c r="V267" s="5"/>
    </row>
    <row r="268" spans="1:22" ht="15.6" x14ac:dyDescent="0.3">
      <c r="A268" s="190"/>
      <c r="B268" s="243" t="s">
        <v>91</v>
      </c>
      <c r="C268" s="239"/>
      <c r="D268" s="239"/>
      <c r="E268" s="239"/>
      <c r="F268" s="239"/>
      <c r="G268" s="239"/>
      <c r="H268" s="275"/>
      <c r="I268" s="275"/>
      <c r="J268" s="275"/>
      <c r="K268" s="275"/>
      <c r="L268" s="218"/>
      <c r="M268" s="218"/>
      <c r="N268" s="218"/>
      <c r="O268" s="218"/>
      <c r="P268" s="243">
        <v>0</v>
      </c>
      <c r="Q268" s="274">
        <v>0</v>
      </c>
      <c r="R268" s="251">
        <v>0</v>
      </c>
      <c r="S268" s="274">
        <v>0</v>
      </c>
      <c r="T268" s="239"/>
      <c r="U268" s="191"/>
      <c r="V268" s="5"/>
    </row>
    <row r="269" spans="1:22" ht="15.6" x14ac:dyDescent="0.3">
      <c r="A269" s="284"/>
      <c r="B269" s="338" t="s">
        <v>92</v>
      </c>
      <c r="C269" s="285"/>
      <c r="D269" s="285"/>
      <c r="E269" s="285"/>
      <c r="F269" s="285"/>
      <c r="G269" s="285"/>
      <c r="H269" s="387"/>
      <c r="I269" s="387"/>
      <c r="J269" s="387"/>
      <c r="K269" s="387"/>
      <c r="L269" s="385"/>
      <c r="M269" s="385"/>
      <c r="N269" s="385"/>
      <c r="O269" s="385"/>
      <c r="P269" s="338">
        <v>0</v>
      </c>
      <c r="Q269" s="384">
        <v>0</v>
      </c>
      <c r="R269" s="339">
        <v>0</v>
      </c>
      <c r="S269" s="384">
        <v>0</v>
      </c>
      <c r="T269" s="285"/>
      <c r="U269" s="317"/>
      <c r="V269" s="5"/>
    </row>
    <row r="270" spans="1:22" ht="15.6" x14ac:dyDescent="0.3">
      <c r="A270" s="284"/>
      <c r="B270" s="338" t="s">
        <v>93</v>
      </c>
      <c r="C270" s="285"/>
      <c r="D270" s="285"/>
      <c r="E270" s="285"/>
      <c r="F270" s="285"/>
      <c r="G270" s="285"/>
      <c r="H270" s="387"/>
      <c r="I270" s="387"/>
      <c r="J270" s="387"/>
      <c r="K270" s="387"/>
      <c r="L270" s="385"/>
      <c r="M270" s="385"/>
      <c r="N270" s="385"/>
      <c r="O270" s="385"/>
      <c r="P270" s="338">
        <v>0</v>
      </c>
      <c r="Q270" s="384">
        <v>0</v>
      </c>
      <c r="R270" s="339">
        <v>0</v>
      </c>
      <c r="S270" s="384">
        <v>0</v>
      </c>
      <c r="T270" s="285"/>
      <c r="U270" s="317"/>
      <c r="V270" s="5"/>
    </row>
    <row r="271" spans="1:22" ht="15.6" x14ac:dyDescent="0.3">
      <c r="A271" s="284"/>
      <c r="B271" s="338" t="s">
        <v>163</v>
      </c>
      <c r="C271" s="285"/>
      <c r="D271" s="285"/>
      <c r="E271" s="285"/>
      <c r="F271" s="285"/>
      <c r="G271" s="285"/>
      <c r="H271" s="387"/>
      <c r="I271" s="387"/>
      <c r="J271" s="387"/>
      <c r="K271" s="387"/>
      <c r="L271" s="385"/>
      <c r="M271" s="385"/>
      <c r="N271" s="385"/>
      <c r="O271" s="385"/>
      <c r="P271" s="338">
        <v>0</v>
      </c>
      <c r="Q271" s="384">
        <v>0</v>
      </c>
      <c r="R271" s="339">
        <v>0</v>
      </c>
      <c r="S271" s="384">
        <v>0</v>
      </c>
      <c r="T271" s="285"/>
      <c r="U271" s="317"/>
      <c r="V271" s="5"/>
    </row>
    <row r="272" spans="1:22" ht="15.6" x14ac:dyDescent="0.3">
      <c r="A272" s="284"/>
      <c r="B272" s="338" t="s">
        <v>164</v>
      </c>
      <c r="C272" s="285"/>
      <c r="D272" s="285"/>
      <c r="E272" s="285"/>
      <c r="F272" s="285"/>
      <c r="G272" s="285"/>
      <c r="H272" s="387"/>
      <c r="I272" s="387"/>
      <c r="J272" s="387"/>
      <c r="K272" s="387"/>
      <c r="L272" s="385"/>
      <c r="M272" s="385"/>
      <c r="N272" s="385"/>
      <c r="O272" s="385"/>
      <c r="P272" s="338">
        <v>0</v>
      </c>
      <c r="Q272" s="384">
        <v>0</v>
      </c>
      <c r="R272" s="339">
        <v>0</v>
      </c>
      <c r="S272" s="384">
        <v>0</v>
      </c>
      <c r="T272" s="285"/>
      <c r="U272" s="317"/>
      <c r="V272" s="5"/>
    </row>
    <row r="273" spans="1:22" ht="15.6" x14ac:dyDescent="0.3">
      <c r="A273" s="284"/>
      <c r="B273" s="338" t="s">
        <v>165</v>
      </c>
      <c r="C273" s="285"/>
      <c r="D273" s="285"/>
      <c r="E273" s="285"/>
      <c r="F273" s="285"/>
      <c r="G273" s="285"/>
      <c r="H273" s="387"/>
      <c r="I273" s="387"/>
      <c r="J273" s="387"/>
      <c r="K273" s="387"/>
      <c r="L273" s="385"/>
      <c r="M273" s="385"/>
      <c r="N273" s="385"/>
      <c r="O273" s="385"/>
      <c r="P273" s="338">
        <v>0</v>
      </c>
      <c r="Q273" s="384">
        <v>0</v>
      </c>
      <c r="R273" s="339">
        <v>0</v>
      </c>
      <c r="S273" s="384">
        <v>0</v>
      </c>
      <c r="T273" s="285"/>
      <c r="U273" s="317"/>
      <c r="V273" s="5"/>
    </row>
    <row r="274" spans="1:22" ht="15.6" x14ac:dyDescent="0.3">
      <c r="A274" s="284"/>
      <c r="B274" s="338" t="s">
        <v>166</v>
      </c>
      <c r="C274" s="285"/>
      <c r="D274" s="285"/>
      <c r="E274" s="285"/>
      <c r="F274" s="285"/>
      <c r="G274" s="285"/>
      <c r="H274" s="387"/>
      <c r="I274" s="387"/>
      <c r="J274" s="387"/>
      <c r="K274" s="387"/>
      <c r="L274" s="385"/>
      <c r="M274" s="385"/>
      <c r="N274" s="385"/>
      <c r="O274" s="385"/>
      <c r="P274" s="338">
        <v>0</v>
      </c>
      <c r="Q274" s="384">
        <v>0</v>
      </c>
      <c r="R274" s="339">
        <v>0</v>
      </c>
      <c r="S274" s="384">
        <v>0</v>
      </c>
      <c r="T274" s="285"/>
      <c r="U274" s="317"/>
      <c r="V274" s="5"/>
    </row>
    <row r="275" spans="1:22" ht="15.6" x14ac:dyDescent="0.3">
      <c r="A275" s="284"/>
      <c r="B275" s="338" t="s">
        <v>167</v>
      </c>
      <c r="C275" s="285"/>
      <c r="D275" s="285"/>
      <c r="E275" s="285"/>
      <c r="F275" s="285"/>
      <c r="G275" s="285"/>
      <c r="H275" s="387"/>
      <c r="I275" s="387"/>
      <c r="J275" s="387"/>
      <c r="K275" s="387"/>
      <c r="L275" s="385"/>
      <c r="M275" s="385"/>
      <c r="N275" s="385"/>
      <c r="O275" s="385"/>
      <c r="P275" s="338">
        <v>0</v>
      </c>
      <c r="Q275" s="384">
        <v>0</v>
      </c>
      <c r="R275" s="339">
        <v>0</v>
      </c>
      <c r="S275" s="384">
        <v>0</v>
      </c>
      <c r="T275" s="285"/>
      <c r="U275" s="317"/>
      <c r="V275" s="5"/>
    </row>
    <row r="276" spans="1:22" ht="15.6" x14ac:dyDescent="0.3">
      <c r="A276" s="284"/>
      <c r="B276" s="338"/>
      <c r="C276" s="285"/>
      <c r="D276" s="285"/>
      <c r="E276" s="285"/>
      <c r="F276" s="285"/>
      <c r="G276" s="285"/>
      <c r="H276" s="387"/>
      <c r="I276" s="387"/>
      <c r="J276" s="387"/>
      <c r="K276" s="387"/>
      <c r="L276" s="385"/>
      <c r="M276" s="385"/>
      <c r="N276" s="385"/>
      <c r="O276" s="385"/>
      <c r="P276" s="338"/>
      <c r="Q276" s="384"/>
      <c r="R276" s="339"/>
      <c r="S276" s="384"/>
      <c r="T276" s="285"/>
      <c r="U276" s="317"/>
      <c r="V276" s="5"/>
    </row>
    <row r="277" spans="1:22" ht="15.6" x14ac:dyDescent="0.3">
      <c r="A277" s="284"/>
      <c r="B277" s="285" t="s">
        <v>120</v>
      </c>
      <c r="C277" s="285"/>
      <c r="D277" s="285"/>
      <c r="E277" s="285"/>
      <c r="F277" s="285"/>
      <c r="G277" s="285"/>
      <c r="H277" s="387"/>
      <c r="I277" s="387"/>
      <c r="J277" s="387"/>
      <c r="K277" s="387"/>
      <c r="L277" s="385"/>
      <c r="M277" s="385"/>
      <c r="N277" s="385"/>
      <c r="O277" s="385"/>
      <c r="P277" s="338">
        <f>SUM(P268:P275)</f>
        <v>0</v>
      </c>
      <c r="Q277" s="384">
        <f>SUM(Q268:Q276)</f>
        <v>0</v>
      </c>
      <c r="R277" s="339">
        <f>SUM(R268:R275)</f>
        <v>0</v>
      </c>
      <c r="S277" s="384">
        <f>SUM(S268:S276)</f>
        <v>0</v>
      </c>
      <c r="T277" s="285"/>
      <c r="U277" s="317"/>
      <c r="V277" s="5"/>
    </row>
    <row r="278" spans="1:22" ht="15.6" x14ac:dyDescent="0.3">
      <c r="A278" s="284"/>
      <c r="B278" s="285"/>
      <c r="C278" s="285"/>
      <c r="D278" s="285"/>
      <c r="E278" s="285"/>
      <c r="F278" s="285"/>
      <c r="G278" s="285"/>
      <c r="H278" s="387"/>
      <c r="I278" s="387"/>
      <c r="J278" s="387"/>
      <c r="K278" s="387"/>
      <c r="L278" s="385"/>
      <c r="M278" s="385"/>
      <c r="N278" s="385"/>
      <c r="O278" s="385"/>
      <c r="P278" s="344"/>
      <c r="Q278" s="388"/>
      <c r="R278" s="345"/>
      <c r="S278" s="388"/>
      <c r="T278" s="311"/>
      <c r="U278" s="317"/>
      <c r="V278" s="5"/>
    </row>
    <row r="279" spans="1:22" ht="15.6" x14ac:dyDescent="0.3">
      <c r="A279" s="284"/>
      <c r="B279" s="292" t="s">
        <v>171</v>
      </c>
      <c r="C279" s="285"/>
      <c r="D279" s="285"/>
      <c r="E279" s="285"/>
      <c r="F279" s="285"/>
      <c r="G279" s="285"/>
      <c r="H279" s="387"/>
      <c r="I279" s="387"/>
      <c r="J279" s="387"/>
      <c r="K279" s="387"/>
      <c r="L279" s="385"/>
      <c r="M279" s="385"/>
      <c r="N279" s="385"/>
      <c r="O279" s="385"/>
      <c r="P279" s="403">
        <f>P277+P265+P253</f>
        <v>3979</v>
      </c>
      <c r="Q279" s="384"/>
      <c r="R279" s="404">
        <f>+R277+R265+R253</f>
        <v>518755</v>
      </c>
      <c r="S279" s="384"/>
      <c r="T279" s="311"/>
      <c r="U279" s="317"/>
      <c r="V279" s="5"/>
    </row>
    <row r="280" spans="1:22" ht="15.6" x14ac:dyDescent="0.3">
      <c r="A280" s="175"/>
      <c r="B280" s="281"/>
      <c r="C280" s="281"/>
      <c r="D280" s="281"/>
      <c r="E280" s="281"/>
      <c r="F280" s="281"/>
      <c r="G280" s="281"/>
      <c r="H280" s="386"/>
      <c r="I280" s="386"/>
      <c r="J280" s="386"/>
      <c r="K280" s="386"/>
      <c r="L280" s="379"/>
      <c r="M280" s="379"/>
      <c r="N280" s="379"/>
      <c r="O280" s="379"/>
      <c r="P280" s="379"/>
      <c r="Q280" s="379"/>
      <c r="R280" s="381"/>
      <c r="S280" s="379"/>
      <c r="T280" s="334"/>
      <c r="U280" s="334"/>
      <c r="V280" s="5"/>
    </row>
    <row r="281" spans="1:22" ht="15.6" x14ac:dyDescent="0.3">
      <c r="A281" s="175"/>
      <c r="B281" s="231"/>
      <c r="C281" s="231"/>
      <c r="D281" s="231"/>
      <c r="E281" s="231"/>
      <c r="F281" s="231"/>
      <c r="G281" s="231"/>
      <c r="H281" s="276"/>
      <c r="I281" s="276"/>
      <c r="J281" s="276"/>
      <c r="K281" s="276"/>
      <c r="L281" s="219"/>
      <c r="M281" s="219"/>
      <c r="N281" s="219"/>
      <c r="O281" s="219"/>
      <c r="P281" s="219"/>
      <c r="Q281" s="219"/>
      <c r="R281" s="220"/>
      <c r="S281" s="219"/>
      <c r="T281" s="177"/>
      <c r="U281" s="177"/>
      <c r="V281" s="5"/>
    </row>
    <row r="282" spans="1:22" ht="15.6" x14ac:dyDescent="0.3">
      <c r="A282" s="221"/>
      <c r="B282" s="230" t="s">
        <v>94</v>
      </c>
      <c r="C282" s="231"/>
      <c r="D282" s="231"/>
      <c r="E282" s="231"/>
      <c r="F282" s="236" t="s">
        <v>100</v>
      </c>
      <c r="G282" s="231"/>
      <c r="H282" s="230" t="s">
        <v>102</v>
      </c>
      <c r="I282" s="277"/>
      <c r="J282" s="277"/>
      <c r="K282" s="277"/>
      <c r="L282" s="188"/>
      <c r="M282" s="188"/>
      <c r="N282" s="188"/>
      <c r="O282" s="188"/>
      <c r="P282" s="188"/>
      <c r="Q282" s="188"/>
      <c r="R282" s="188"/>
      <c r="S282" s="188"/>
      <c r="T282" s="188"/>
      <c r="U282" s="188"/>
      <c r="V282" s="5"/>
    </row>
    <row r="283" spans="1:22" ht="15.6" x14ac:dyDescent="0.3">
      <c r="A283" s="221"/>
      <c r="B283" s="230" t="s">
        <v>316</v>
      </c>
      <c r="C283" s="230"/>
      <c r="D283" s="230"/>
      <c r="E283" s="230"/>
      <c r="F283" s="278" t="s">
        <v>154</v>
      </c>
      <c r="G283" s="230"/>
      <c r="H283" s="230" t="s">
        <v>158</v>
      </c>
      <c r="I283" s="277"/>
      <c r="J283" s="277"/>
      <c r="K283" s="277"/>
      <c r="L283" s="188"/>
      <c r="M283" s="188"/>
      <c r="N283" s="188"/>
      <c r="O283" s="188"/>
      <c r="P283" s="188"/>
      <c r="Q283" s="188"/>
      <c r="R283" s="188"/>
      <c r="S283" s="188"/>
      <c r="T283" s="188"/>
      <c r="U283" s="188"/>
      <c r="V283" s="5"/>
    </row>
    <row r="284" spans="1:22" ht="15.6" x14ac:dyDescent="0.3">
      <c r="A284" s="221"/>
      <c r="B284" s="230" t="s">
        <v>317</v>
      </c>
      <c r="C284" s="230"/>
      <c r="D284" s="230"/>
      <c r="E284" s="230"/>
      <c r="F284" s="278" t="s">
        <v>269</v>
      </c>
      <c r="G284" s="230"/>
      <c r="H284" s="230" t="s">
        <v>270</v>
      </c>
      <c r="I284" s="277"/>
      <c r="J284" s="277"/>
      <c r="K284" s="277"/>
      <c r="L284" s="188"/>
      <c r="M284" s="188"/>
      <c r="N284" s="188"/>
      <c r="O284" s="188"/>
      <c r="P284" s="188"/>
      <c r="Q284" s="188"/>
      <c r="R284" s="188"/>
      <c r="S284" s="188"/>
      <c r="T284" s="188"/>
      <c r="U284" s="188"/>
      <c r="V284" s="5"/>
    </row>
    <row r="285" spans="1:22" ht="15.6" x14ac:dyDescent="0.3">
      <c r="A285" s="221"/>
      <c r="B285" s="230" t="s">
        <v>318</v>
      </c>
      <c r="C285" s="230"/>
      <c r="D285" s="230"/>
      <c r="E285" s="230"/>
      <c r="F285" s="278" t="s">
        <v>153</v>
      </c>
      <c r="G285" s="230"/>
      <c r="H285" s="230" t="s">
        <v>159</v>
      </c>
      <c r="I285" s="277"/>
      <c r="J285" s="277"/>
      <c r="K285" s="277"/>
      <c r="L285" s="188"/>
      <c r="M285" s="188"/>
      <c r="N285" s="188"/>
      <c r="O285" s="188"/>
      <c r="P285" s="188"/>
      <c r="Q285" s="188"/>
      <c r="R285" s="188"/>
      <c r="S285" s="188"/>
      <c r="T285" s="188"/>
      <c r="U285" s="188"/>
      <c r="V285" s="5"/>
    </row>
    <row r="286" spans="1:22" ht="15.6" x14ac:dyDescent="0.3">
      <c r="A286" s="221"/>
      <c r="B286" s="230"/>
      <c r="C286" s="230"/>
      <c r="D286" s="230"/>
      <c r="E286" s="230"/>
      <c r="F286" s="230"/>
      <c r="G286" s="279"/>
      <c r="H286" s="277"/>
      <c r="I286" s="277"/>
      <c r="J286" s="277"/>
      <c r="K286" s="277"/>
      <c r="L286" s="188"/>
      <c r="M286" s="188"/>
      <c r="N286" s="188"/>
      <c r="O286" s="188"/>
      <c r="P286" s="188"/>
      <c r="Q286" s="188"/>
      <c r="R286" s="188"/>
      <c r="S286" s="188"/>
      <c r="T286" s="188"/>
      <c r="U286" s="188"/>
      <c r="V286" s="5"/>
    </row>
    <row r="287" spans="1:22" ht="15.6" x14ac:dyDescent="0.3">
      <c r="A287" s="221"/>
      <c r="B287" s="230"/>
      <c r="C287" s="230"/>
      <c r="D287" s="230"/>
      <c r="E287" s="230"/>
      <c r="F287" s="230"/>
      <c r="G287" s="279"/>
      <c r="H287" s="277"/>
      <c r="I287" s="277"/>
      <c r="J287" s="277"/>
      <c r="K287" s="277"/>
      <c r="L287" s="188"/>
      <c r="M287" s="188"/>
      <c r="N287" s="188"/>
      <c r="O287" s="188"/>
      <c r="P287" s="188"/>
      <c r="Q287" s="188"/>
      <c r="R287" s="188"/>
      <c r="S287" s="188"/>
      <c r="T287" s="188"/>
      <c r="U287" s="188"/>
      <c r="V287" s="5"/>
    </row>
    <row r="288" spans="1:22" ht="18" thickBot="1" x14ac:dyDescent="0.35">
      <c r="A288" s="221"/>
      <c r="B288" s="280" t="str">
        <f>B193</f>
        <v>PM11 INVESTOR REPORT QUARTER ENDING SEPTEMBER 2014</v>
      </c>
      <c r="C288" s="230"/>
      <c r="D288" s="230"/>
      <c r="E288" s="230"/>
      <c r="F288" s="230"/>
      <c r="G288" s="279"/>
      <c r="H288" s="277"/>
      <c r="I288" s="277"/>
      <c r="J288" s="277"/>
      <c r="K288" s="277"/>
      <c r="L288" s="188"/>
      <c r="M288" s="188"/>
      <c r="N288" s="188"/>
      <c r="O288" s="188"/>
      <c r="P288" s="188"/>
      <c r="Q288" s="188"/>
      <c r="R288" s="188"/>
      <c r="S288" s="188"/>
      <c r="T288" s="188"/>
      <c r="U288" s="188"/>
      <c r="V288" s="5"/>
    </row>
    <row r="289" spans="1:21" x14ac:dyDescent="0.25">
      <c r="A289" s="100"/>
      <c r="B289" s="100"/>
      <c r="C289" s="100"/>
      <c r="D289" s="100"/>
      <c r="E289" s="100"/>
      <c r="F289" s="100"/>
      <c r="G289" s="100"/>
      <c r="H289" s="100"/>
      <c r="I289" s="100"/>
      <c r="J289" s="100"/>
      <c r="K289" s="100"/>
      <c r="L289" s="100"/>
      <c r="M289" s="100"/>
      <c r="N289" s="100"/>
      <c r="O289" s="100"/>
      <c r="P289" s="100"/>
      <c r="Q289" s="100"/>
      <c r="R289" s="100"/>
      <c r="S289" s="100"/>
      <c r="T289" s="100"/>
      <c r="U289" s="100"/>
    </row>
  </sheetData>
  <hyperlinks>
    <hyperlink ref="N229" r:id="rId1" xr:uid="{00000000-0004-0000-2100-000000000000}"/>
    <hyperlink ref="J9" r:id="rId2" xr:uid="{00000000-0004-0000-21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4" max="20" man="1"/>
    <brk id="133" max="20" man="1"/>
    <brk id="193" max="20" man="1"/>
  </rowBreaks>
  <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89CB31"/>
  </sheetPr>
  <dimension ref="A1:X289"/>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08984375" style="1" customWidth="1"/>
    <col min="10" max="10" width="17.81640625" style="1" customWidth="1"/>
    <col min="11" max="11" width="2.1796875" style="1" customWidth="1"/>
    <col min="12" max="12" width="14.81640625" style="1" customWidth="1"/>
    <col min="13" max="13" width="2.1796875" style="1" customWidth="1"/>
    <col min="14" max="14" width="15.54296875" style="1" customWidth="1"/>
    <col min="15" max="15" width="2.08984375" style="1" customWidth="1"/>
    <col min="16" max="16" width="15.54296875" style="1" customWidth="1"/>
    <col min="17" max="18" width="12.81640625" style="1" customWidth="1"/>
    <col min="19" max="19" width="7.81640625" style="1" customWidth="1"/>
    <col min="20" max="20" width="14.81640625" style="1" customWidth="1"/>
    <col min="21" max="21" width="11.81640625" style="1" customWidth="1"/>
    <col min="22" max="16384" width="9.81640625" style="1"/>
  </cols>
  <sheetData>
    <row r="1" spans="1:22" ht="20.399999999999999" x14ac:dyDescent="0.35">
      <c r="A1" s="173"/>
      <c r="B1" s="228" t="s">
        <v>228</v>
      </c>
      <c r="C1" s="174"/>
      <c r="D1" s="174"/>
      <c r="E1" s="174"/>
      <c r="F1" s="174"/>
      <c r="G1" s="174"/>
      <c r="H1" s="174"/>
      <c r="I1" s="174"/>
      <c r="J1" s="174"/>
      <c r="K1" s="174"/>
      <c r="L1" s="174"/>
      <c r="M1" s="174"/>
      <c r="N1" s="174"/>
      <c r="O1" s="174"/>
      <c r="P1" s="174"/>
      <c r="Q1" s="174"/>
      <c r="R1" s="174"/>
      <c r="S1" s="174"/>
      <c r="T1" s="174"/>
      <c r="U1" s="174"/>
      <c r="V1" s="5"/>
    </row>
    <row r="2" spans="1:22" ht="15.6" x14ac:dyDescent="0.3">
      <c r="A2" s="175"/>
      <c r="B2" s="176"/>
      <c r="C2" s="177"/>
      <c r="D2" s="177"/>
      <c r="E2" s="177"/>
      <c r="F2" s="177"/>
      <c r="G2" s="177"/>
      <c r="H2" s="177"/>
      <c r="I2" s="177"/>
      <c r="J2" s="177"/>
      <c r="K2" s="177"/>
      <c r="L2" s="177"/>
      <c r="M2" s="177"/>
      <c r="N2" s="177"/>
      <c r="O2" s="177"/>
      <c r="P2" s="177"/>
      <c r="Q2" s="177"/>
      <c r="R2" s="177"/>
      <c r="S2" s="177"/>
      <c r="T2" s="177"/>
      <c r="U2" s="177"/>
      <c r="V2" s="5"/>
    </row>
    <row r="3" spans="1:22" ht="15.6" x14ac:dyDescent="0.3">
      <c r="A3" s="178"/>
      <c r="B3" s="179" t="s">
        <v>229</v>
      </c>
      <c r="C3" s="177"/>
      <c r="D3" s="177"/>
      <c r="E3" s="177"/>
      <c r="F3" s="177"/>
      <c r="G3" s="177"/>
      <c r="H3" s="177"/>
      <c r="I3" s="177"/>
      <c r="J3" s="177"/>
      <c r="K3" s="177"/>
      <c r="L3" s="177"/>
      <c r="M3" s="177"/>
      <c r="N3" s="177"/>
      <c r="O3" s="177"/>
      <c r="P3" s="177"/>
      <c r="Q3" s="177"/>
      <c r="R3" s="177"/>
      <c r="S3" s="177"/>
      <c r="T3" s="177"/>
      <c r="U3" s="177"/>
      <c r="V3" s="5"/>
    </row>
    <row r="4" spans="1:22" ht="15.6" x14ac:dyDescent="0.3">
      <c r="A4" s="175"/>
      <c r="B4" s="176"/>
      <c r="C4" s="177"/>
      <c r="D4" s="177"/>
      <c r="E4" s="177"/>
      <c r="F4" s="177"/>
      <c r="G4" s="177"/>
      <c r="H4" s="177"/>
      <c r="I4" s="177"/>
      <c r="J4" s="177"/>
      <c r="K4" s="177"/>
      <c r="L4" s="177"/>
      <c r="M4" s="177"/>
      <c r="N4" s="177"/>
      <c r="O4" s="177"/>
      <c r="P4" s="177"/>
      <c r="Q4" s="177"/>
      <c r="R4" s="177"/>
      <c r="S4" s="177"/>
      <c r="T4" s="177"/>
      <c r="U4" s="177"/>
      <c r="V4" s="5"/>
    </row>
    <row r="5" spans="1:22" ht="15.6" x14ac:dyDescent="0.3">
      <c r="A5" s="175"/>
      <c r="B5" s="229" t="s">
        <v>143</v>
      </c>
      <c r="C5" s="177"/>
      <c r="D5" s="177"/>
      <c r="E5" s="177"/>
      <c r="F5" s="177"/>
      <c r="G5" s="177"/>
      <c r="H5" s="177"/>
      <c r="I5" s="177"/>
      <c r="J5" s="177"/>
      <c r="K5" s="177"/>
      <c r="L5" s="177"/>
      <c r="M5" s="177"/>
      <c r="N5" s="177"/>
      <c r="O5" s="177"/>
      <c r="P5" s="177"/>
      <c r="Q5" s="177"/>
      <c r="R5" s="177"/>
      <c r="S5" s="177"/>
      <c r="T5" s="177"/>
      <c r="U5" s="177"/>
      <c r="V5" s="5"/>
    </row>
    <row r="6" spans="1:22" ht="15.6" x14ac:dyDescent="0.3">
      <c r="A6" s="175"/>
      <c r="B6" s="229" t="s">
        <v>145</v>
      </c>
      <c r="C6" s="177"/>
      <c r="D6" s="177"/>
      <c r="E6" s="177"/>
      <c r="F6" s="177"/>
      <c r="G6" s="177"/>
      <c r="H6" s="177"/>
      <c r="I6" s="177"/>
      <c r="J6" s="177"/>
      <c r="K6" s="177"/>
      <c r="L6" s="177"/>
      <c r="M6" s="177"/>
      <c r="N6" s="177"/>
      <c r="O6" s="177"/>
      <c r="P6" s="177"/>
      <c r="Q6" s="177"/>
      <c r="R6" s="177"/>
      <c r="S6" s="177"/>
      <c r="T6" s="177"/>
      <c r="U6" s="177"/>
      <c r="V6" s="5"/>
    </row>
    <row r="7" spans="1:22" ht="15.6" x14ac:dyDescent="0.3">
      <c r="A7" s="175"/>
      <c r="B7" s="229" t="s">
        <v>144</v>
      </c>
      <c r="C7" s="177"/>
      <c r="D7" s="177"/>
      <c r="E7" s="177"/>
      <c r="F7" s="177"/>
      <c r="G7" s="177"/>
      <c r="H7" s="177"/>
      <c r="I7" s="177"/>
      <c r="J7" s="177"/>
      <c r="K7" s="177"/>
      <c r="L7" s="177"/>
      <c r="M7" s="177"/>
      <c r="N7" s="177"/>
      <c r="O7" s="177"/>
      <c r="P7" s="177"/>
      <c r="Q7" s="177"/>
      <c r="R7" s="177"/>
      <c r="S7" s="177"/>
      <c r="T7" s="177"/>
      <c r="U7" s="177"/>
      <c r="V7" s="5"/>
    </row>
    <row r="8" spans="1:22" ht="15.6" x14ac:dyDescent="0.3">
      <c r="A8" s="175"/>
      <c r="B8" s="180"/>
      <c r="C8" s="177"/>
      <c r="D8" s="177"/>
      <c r="E8" s="177"/>
      <c r="F8" s="177"/>
      <c r="G8" s="177"/>
      <c r="H8" s="177"/>
      <c r="I8" s="177"/>
      <c r="J8" s="177"/>
      <c r="K8" s="177"/>
      <c r="L8" s="177"/>
      <c r="M8" s="177"/>
      <c r="N8" s="177"/>
      <c r="O8" s="177"/>
      <c r="P8" s="177"/>
      <c r="Q8" s="177"/>
      <c r="R8" s="177"/>
      <c r="S8" s="177"/>
      <c r="T8" s="177"/>
      <c r="U8" s="177"/>
      <c r="V8" s="5"/>
    </row>
    <row r="9" spans="1:22" ht="17.399999999999999" x14ac:dyDescent="0.3">
      <c r="A9" s="175"/>
      <c r="B9" s="181" t="s">
        <v>173</v>
      </c>
      <c r="C9" s="177"/>
      <c r="D9" s="177"/>
      <c r="E9" s="177"/>
      <c r="F9" s="177"/>
      <c r="G9" s="177"/>
      <c r="H9" s="177"/>
      <c r="I9" s="177"/>
      <c r="J9" s="182" t="s">
        <v>174</v>
      </c>
      <c r="K9" s="177"/>
      <c r="L9" s="182"/>
      <c r="M9" s="177"/>
      <c r="N9" s="177"/>
      <c r="O9" s="177"/>
      <c r="P9" s="177"/>
      <c r="Q9" s="177"/>
      <c r="R9" s="177"/>
      <c r="S9" s="177"/>
      <c r="T9" s="177"/>
      <c r="U9" s="177"/>
      <c r="V9" s="5"/>
    </row>
    <row r="10" spans="1:22" ht="15.6" x14ac:dyDescent="0.3">
      <c r="A10" s="175"/>
      <c r="B10" s="180"/>
      <c r="C10" s="183"/>
      <c r="D10" s="183"/>
      <c r="E10" s="183"/>
      <c r="F10" s="177"/>
      <c r="G10" s="177"/>
      <c r="H10" s="177"/>
      <c r="I10" s="177"/>
      <c r="J10" s="177"/>
      <c r="K10" s="177"/>
      <c r="L10" s="177"/>
      <c r="M10" s="177"/>
      <c r="N10" s="177"/>
      <c r="O10" s="177"/>
      <c r="P10" s="177"/>
      <c r="Q10" s="177"/>
      <c r="R10" s="177"/>
      <c r="S10" s="177"/>
      <c r="T10" s="177"/>
      <c r="U10" s="177"/>
      <c r="V10" s="5"/>
    </row>
    <row r="11" spans="1:22" ht="15.6" x14ac:dyDescent="0.3">
      <c r="A11" s="175"/>
      <c r="B11" s="230" t="s">
        <v>0</v>
      </c>
      <c r="C11" s="177"/>
      <c r="D11" s="177"/>
      <c r="E11" s="177"/>
      <c r="F11" s="177"/>
      <c r="G11" s="177"/>
      <c r="H11" s="177"/>
      <c r="I11" s="177"/>
      <c r="J11" s="177"/>
      <c r="K11" s="177"/>
      <c r="L11" s="177"/>
      <c r="M11" s="177"/>
      <c r="N11" s="177"/>
      <c r="O11" s="177"/>
      <c r="P11" s="177"/>
      <c r="Q11" s="177"/>
      <c r="R11" s="177"/>
      <c r="S11" s="177"/>
      <c r="T11" s="177"/>
      <c r="U11" s="177"/>
      <c r="V11" s="5"/>
    </row>
    <row r="12" spans="1:22" ht="16.2" thickBot="1" x14ac:dyDescent="0.35">
      <c r="A12" s="175"/>
      <c r="B12" s="183"/>
      <c r="C12" s="177"/>
      <c r="D12" s="177"/>
      <c r="E12" s="177"/>
      <c r="F12" s="177"/>
      <c r="G12" s="177"/>
      <c r="H12" s="177"/>
      <c r="I12" s="177"/>
      <c r="J12" s="177"/>
      <c r="K12" s="177"/>
      <c r="L12" s="177"/>
      <c r="M12" s="177"/>
      <c r="N12" s="177"/>
      <c r="O12" s="177"/>
      <c r="P12" s="177"/>
      <c r="Q12" s="177"/>
      <c r="R12" s="177"/>
      <c r="S12" s="177"/>
      <c r="T12" s="177"/>
      <c r="U12" s="177"/>
      <c r="V12" s="5"/>
    </row>
    <row r="13" spans="1:22" ht="15.6" x14ac:dyDescent="0.3">
      <c r="A13" s="173"/>
      <c r="B13" s="174"/>
      <c r="C13" s="174"/>
      <c r="D13" s="174"/>
      <c r="E13" s="174"/>
      <c r="F13" s="174"/>
      <c r="G13" s="174"/>
      <c r="H13" s="174"/>
      <c r="I13" s="174"/>
      <c r="J13" s="174"/>
      <c r="K13" s="174"/>
      <c r="L13" s="174"/>
      <c r="M13" s="174"/>
      <c r="N13" s="174"/>
      <c r="O13" s="174"/>
      <c r="P13" s="174"/>
      <c r="Q13" s="174"/>
      <c r="R13" s="174"/>
      <c r="S13" s="174"/>
      <c r="T13" s="174"/>
      <c r="U13" s="174"/>
      <c r="V13" s="5"/>
    </row>
    <row r="14" spans="1:22" ht="15.6" x14ac:dyDescent="0.3">
      <c r="A14" s="175"/>
      <c r="B14" s="230" t="s">
        <v>1</v>
      </c>
      <c r="C14" s="184"/>
      <c r="D14" s="184"/>
      <c r="E14" s="184"/>
      <c r="F14" s="184"/>
      <c r="G14" s="184"/>
      <c r="H14" s="184"/>
      <c r="I14" s="184"/>
      <c r="J14" s="184"/>
      <c r="K14" s="184"/>
      <c r="L14" s="184"/>
      <c r="M14" s="184"/>
      <c r="N14" s="184"/>
      <c r="O14" s="184"/>
      <c r="P14" s="231"/>
      <c r="Q14" s="231"/>
      <c r="R14" s="231"/>
      <c r="S14" s="231"/>
      <c r="T14" s="233" t="s">
        <v>230</v>
      </c>
      <c r="U14" s="184"/>
      <c r="V14" s="5"/>
    </row>
    <row r="15" spans="1:22" ht="15.6" x14ac:dyDescent="0.3">
      <c r="A15" s="175"/>
      <c r="B15" s="230" t="s">
        <v>2</v>
      </c>
      <c r="C15" s="184"/>
      <c r="D15" s="184"/>
      <c r="E15" s="184"/>
      <c r="F15" s="184"/>
      <c r="G15" s="184"/>
      <c r="H15" s="185"/>
      <c r="I15" s="185"/>
      <c r="J15" s="185"/>
      <c r="K15" s="185"/>
      <c r="L15" s="185"/>
      <c r="M15" s="185"/>
      <c r="N15" s="185"/>
      <c r="O15" s="185"/>
      <c r="P15" s="234" t="s">
        <v>107</v>
      </c>
      <c r="Q15" s="235">
        <v>0.40749999999999997</v>
      </c>
      <c r="R15" s="236" t="s">
        <v>146</v>
      </c>
      <c r="S15" s="235">
        <v>0.59250000000000003</v>
      </c>
      <c r="T15" s="233"/>
      <c r="U15" s="184"/>
      <c r="V15" s="5"/>
    </row>
    <row r="16" spans="1:22" ht="15.6" x14ac:dyDescent="0.3">
      <c r="A16" s="175"/>
      <c r="B16" s="230" t="s">
        <v>3</v>
      </c>
      <c r="C16" s="184"/>
      <c r="D16" s="184"/>
      <c r="E16" s="184"/>
      <c r="F16" s="184"/>
      <c r="G16" s="184"/>
      <c r="H16" s="185"/>
      <c r="I16" s="185"/>
      <c r="J16" s="185"/>
      <c r="K16" s="185"/>
      <c r="L16" s="185"/>
      <c r="M16" s="185"/>
      <c r="N16" s="185"/>
      <c r="O16" s="185"/>
      <c r="P16" s="234" t="s">
        <v>107</v>
      </c>
      <c r="Q16" s="235">
        <v>0.46260000000000001</v>
      </c>
      <c r="R16" s="236" t="s">
        <v>146</v>
      </c>
      <c r="S16" s="235">
        <v>0.53739999999999999</v>
      </c>
      <c r="T16" s="233"/>
      <c r="U16" s="184"/>
      <c r="V16" s="5"/>
    </row>
    <row r="17" spans="1:22" ht="15.6" x14ac:dyDescent="0.3">
      <c r="A17" s="175"/>
      <c r="B17" s="230" t="s">
        <v>4</v>
      </c>
      <c r="C17" s="184"/>
      <c r="D17" s="184"/>
      <c r="E17" s="184"/>
      <c r="F17" s="184"/>
      <c r="G17" s="184"/>
      <c r="H17" s="184"/>
      <c r="I17" s="184"/>
      <c r="J17" s="184"/>
      <c r="K17" s="184"/>
      <c r="L17" s="184"/>
      <c r="M17" s="184"/>
      <c r="N17" s="184"/>
      <c r="O17" s="184"/>
      <c r="P17" s="231"/>
      <c r="Q17" s="231"/>
      <c r="R17" s="231"/>
      <c r="S17" s="231"/>
      <c r="T17" s="237">
        <v>38799</v>
      </c>
      <c r="U17" s="184"/>
      <c r="V17" s="5"/>
    </row>
    <row r="18" spans="1:22" ht="15.6" x14ac:dyDescent="0.3">
      <c r="A18" s="175"/>
      <c r="B18" s="230" t="s">
        <v>5</v>
      </c>
      <c r="C18" s="184"/>
      <c r="D18" s="184"/>
      <c r="E18" s="184"/>
      <c r="F18" s="184"/>
      <c r="G18" s="184"/>
      <c r="H18" s="184"/>
      <c r="I18" s="184"/>
      <c r="J18" s="184"/>
      <c r="K18" s="184"/>
      <c r="L18" s="184"/>
      <c r="M18" s="184"/>
      <c r="N18" s="184"/>
      <c r="O18" s="184"/>
      <c r="P18" s="231"/>
      <c r="Q18" s="231"/>
      <c r="R18" s="231"/>
      <c r="S18" s="231"/>
      <c r="T18" s="237">
        <v>42026</v>
      </c>
      <c r="U18" s="184"/>
      <c r="V18" s="5"/>
    </row>
    <row r="19" spans="1:22" ht="15.6" x14ac:dyDescent="0.3">
      <c r="A19" s="175"/>
      <c r="B19" s="177"/>
      <c r="C19" s="177"/>
      <c r="D19" s="177"/>
      <c r="E19" s="177"/>
      <c r="F19" s="177"/>
      <c r="G19" s="177"/>
      <c r="H19" s="177"/>
      <c r="I19" s="177"/>
      <c r="J19" s="177"/>
      <c r="K19" s="177"/>
      <c r="L19" s="177"/>
      <c r="M19" s="177"/>
      <c r="N19" s="177"/>
      <c r="O19" s="177"/>
      <c r="P19" s="177"/>
      <c r="Q19" s="177"/>
      <c r="R19" s="177"/>
      <c r="S19" s="177"/>
      <c r="T19" s="186"/>
      <c r="U19" s="177"/>
      <c r="V19" s="5"/>
    </row>
    <row r="20" spans="1:22" ht="15.6" x14ac:dyDescent="0.3">
      <c r="A20" s="175"/>
      <c r="B20" s="232" t="s">
        <v>6</v>
      </c>
      <c r="C20" s="177"/>
      <c r="D20" s="177"/>
      <c r="E20" s="177"/>
      <c r="F20" s="177"/>
      <c r="G20" s="177"/>
      <c r="H20" s="177"/>
      <c r="I20" s="177"/>
      <c r="J20" s="177"/>
      <c r="K20" s="177"/>
      <c r="L20" s="177"/>
      <c r="M20" s="177"/>
      <c r="N20" s="177"/>
      <c r="O20" s="177"/>
      <c r="P20" s="177"/>
      <c r="Q20" s="177"/>
      <c r="R20" s="238" t="s">
        <v>108</v>
      </c>
      <c r="S20" s="177"/>
      <c r="T20" s="188"/>
      <c r="U20" s="177"/>
      <c r="V20" s="5"/>
    </row>
    <row r="21" spans="1:22" ht="15.6" x14ac:dyDescent="0.3">
      <c r="A21" s="175"/>
      <c r="B21" s="177"/>
      <c r="C21" s="177"/>
      <c r="D21" s="177"/>
      <c r="E21" s="177"/>
      <c r="F21" s="177"/>
      <c r="G21" s="177"/>
      <c r="H21" s="177"/>
      <c r="I21" s="177"/>
      <c r="J21" s="177"/>
      <c r="K21" s="177"/>
      <c r="L21" s="177"/>
      <c r="M21" s="177"/>
      <c r="N21" s="177"/>
      <c r="O21" s="177"/>
      <c r="P21" s="177"/>
      <c r="Q21" s="177"/>
      <c r="R21" s="177"/>
      <c r="S21" s="177"/>
      <c r="T21" s="189"/>
      <c r="U21" s="177"/>
      <c r="V21" s="5"/>
    </row>
    <row r="22" spans="1:22" ht="15.6" x14ac:dyDescent="0.3">
      <c r="A22" s="222"/>
      <c r="B22" s="223"/>
      <c r="C22" s="224"/>
      <c r="D22" s="224" t="s">
        <v>184</v>
      </c>
      <c r="E22" s="224"/>
      <c r="F22" s="224" t="s">
        <v>185</v>
      </c>
      <c r="G22" s="224"/>
      <c r="H22" s="224" t="s">
        <v>186</v>
      </c>
      <c r="I22" s="224"/>
      <c r="J22" s="224" t="s">
        <v>187</v>
      </c>
      <c r="K22" s="224"/>
      <c r="L22" s="224" t="s">
        <v>188</v>
      </c>
      <c r="M22" s="224"/>
      <c r="N22" s="224" t="s">
        <v>189</v>
      </c>
      <c r="O22" s="224"/>
      <c r="P22" s="224"/>
      <c r="Q22" s="226"/>
      <c r="R22" s="226"/>
      <c r="S22" s="227"/>
      <c r="T22" s="227"/>
      <c r="U22" s="223"/>
      <c r="V22" s="5"/>
    </row>
    <row r="23" spans="1:22" ht="15.6" x14ac:dyDescent="0.3">
      <c r="A23" s="190"/>
      <c r="B23" s="239" t="s">
        <v>7</v>
      </c>
      <c r="C23" s="240"/>
      <c r="D23" s="240" t="s">
        <v>222</v>
      </c>
      <c r="E23" s="240"/>
      <c r="F23" s="240" t="s">
        <v>147</v>
      </c>
      <c r="G23" s="240"/>
      <c r="H23" s="240" t="s">
        <v>147</v>
      </c>
      <c r="I23" s="240"/>
      <c r="J23" s="240" t="s">
        <v>190</v>
      </c>
      <c r="K23" s="240"/>
      <c r="L23" s="240" t="s">
        <v>190</v>
      </c>
      <c r="M23" s="240"/>
      <c r="N23" s="240" t="s">
        <v>148</v>
      </c>
      <c r="O23" s="240"/>
      <c r="P23" s="240"/>
      <c r="Q23" s="240"/>
      <c r="R23" s="240"/>
      <c r="S23" s="241"/>
      <c r="T23" s="241"/>
      <c r="U23" s="239"/>
      <c r="V23" s="5"/>
    </row>
    <row r="24" spans="1:22" ht="15.6" x14ac:dyDescent="0.3">
      <c r="A24" s="284"/>
      <c r="B24" s="285" t="s">
        <v>8</v>
      </c>
      <c r="C24" s="286"/>
      <c r="D24" s="286" t="s">
        <v>223</v>
      </c>
      <c r="E24" s="286"/>
      <c r="F24" s="286" t="s">
        <v>149</v>
      </c>
      <c r="G24" s="286"/>
      <c r="H24" s="286" t="s">
        <v>149</v>
      </c>
      <c r="I24" s="286"/>
      <c r="J24" s="286" t="s">
        <v>172</v>
      </c>
      <c r="K24" s="286"/>
      <c r="L24" s="286" t="s">
        <v>172</v>
      </c>
      <c r="M24" s="286"/>
      <c r="N24" s="286" t="s">
        <v>150</v>
      </c>
      <c r="O24" s="286"/>
      <c r="P24" s="286"/>
      <c r="Q24" s="286"/>
      <c r="R24" s="286"/>
      <c r="S24" s="287"/>
      <c r="T24" s="287"/>
      <c r="U24" s="288"/>
      <c r="V24" s="5"/>
    </row>
    <row r="25" spans="1:22" ht="15.6" x14ac:dyDescent="0.3">
      <c r="A25" s="289"/>
      <c r="B25" s="285" t="s">
        <v>198</v>
      </c>
      <c r="C25" s="394"/>
      <c r="D25" s="286" t="s">
        <v>224</v>
      </c>
      <c r="E25" s="286"/>
      <c r="F25" s="286" t="s">
        <v>149</v>
      </c>
      <c r="G25" s="286"/>
      <c r="H25" s="286" t="s">
        <v>149</v>
      </c>
      <c r="I25" s="286"/>
      <c r="J25" s="286" t="s">
        <v>172</v>
      </c>
      <c r="K25" s="286"/>
      <c r="L25" s="286" t="s">
        <v>172</v>
      </c>
      <c r="M25" s="286"/>
      <c r="N25" s="286" t="s">
        <v>150</v>
      </c>
      <c r="O25" s="286"/>
      <c r="P25" s="286"/>
      <c r="Q25" s="394"/>
      <c r="R25" s="286"/>
      <c r="S25" s="287"/>
      <c r="T25" s="287"/>
      <c r="U25" s="288"/>
      <c r="V25" s="5"/>
    </row>
    <row r="26" spans="1:22" ht="15.6" x14ac:dyDescent="0.3">
      <c r="A26" s="289"/>
      <c r="B26" s="292" t="s">
        <v>9</v>
      </c>
      <c r="C26" s="394"/>
      <c r="D26" s="394" t="s">
        <v>326</v>
      </c>
      <c r="E26" s="394"/>
      <c r="F26" s="394" t="s">
        <v>327</v>
      </c>
      <c r="G26" s="394"/>
      <c r="H26" s="394" t="s">
        <v>327</v>
      </c>
      <c r="I26" s="394"/>
      <c r="J26" s="394" t="s">
        <v>328</v>
      </c>
      <c r="K26" s="394"/>
      <c r="L26" s="394" t="s">
        <v>328</v>
      </c>
      <c r="M26" s="394"/>
      <c r="N26" s="394" t="s">
        <v>329</v>
      </c>
      <c r="O26" s="394"/>
      <c r="P26" s="394"/>
      <c r="Q26" s="394"/>
      <c r="R26" s="286"/>
      <c r="S26" s="287"/>
      <c r="T26" s="287"/>
      <c r="U26" s="288"/>
      <c r="V26" s="5"/>
    </row>
    <row r="27" spans="1:22" ht="15.6" x14ac:dyDescent="0.3">
      <c r="A27" s="284"/>
      <c r="B27" s="292" t="s">
        <v>199</v>
      </c>
      <c r="C27" s="286"/>
      <c r="D27" s="394" t="s">
        <v>307</v>
      </c>
      <c r="E27" s="394"/>
      <c r="F27" s="394" t="s">
        <v>172</v>
      </c>
      <c r="G27" s="394"/>
      <c r="H27" s="394" t="s">
        <v>172</v>
      </c>
      <c r="I27" s="394"/>
      <c r="J27" s="394" t="s">
        <v>150</v>
      </c>
      <c r="K27" s="394"/>
      <c r="L27" s="394" t="s">
        <v>150</v>
      </c>
      <c r="M27" s="394"/>
      <c r="N27" s="394" t="s">
        <v>308</v>
      </c>
      <c r="O27" s="394"/>
      <c r="P27" s="394"/>
      <c r="Q27" s="286"/>
      <c r="R27" s="293"/>
      <c r="S27" s="287"/>
      <c r="T27" s="287"/>
      <c r="U27" s="288"/>
      <c r="V27" s="5"/>
    </row>
    <row r="28" spans="1:22" ht="15.6" x14ac:dyDescent="0.3">
      <c r="A28" s="284"/>
      <c r="B28" s="292" t="s">
        <v>200</v>
      </c>
      <c r="C28" s="286"/>
      <c r="D28" s="394" t="s">
        <v>302</v>
      </c>
      <c r="E28" s="394"/>
      <c r="F28" s="394" t="s">
        <v>149</v>
      </c>
      <c r="G28" s="394"/>
      <c r="H28" s="394" t="s">
        <v>149</v>
      </c>
      <c r="I28" s="394"/>
      <c r="J28" s="394" t="s">
        <v>322</v>
      </c>
      <c r="K28" s="394"/>
      <c r="L28" s="394" t="s">
        <v>322</v>
      </c>
      <c r="M28" s="394"/>
      <c r="N28" s="394" t="s">
        <v>150</v>
      </c>
      <c r="O28" s="394"/>
      <c r="P28" s="394"/>
      <c r="Q28" s="286"/>
      <c r="R28" s="293"/>
      <c r="S28" s="287"/>
      <c r="T28" s="287"/>
      <c r="U28" s="288"/>
      <c r="V28" s="5"/>
    </row>
    <row r="29" spans="1:22" ht="15.6" x14ac:dyDescent="0.3">
      <c r="A29" s="284"/>
      <c r="B29" s="285" t="s">
        <v>10</v>
      </c>
      <c r="C29" s="295"/>
      <c r="D29" s="286" t="s">
        <v>237</v>
      </c>
      <c r="E29" s="286"/>
      <c r="F29" s="293" t="s">
        <v>238</v>
      </c>
      <c r="G29" s="286"/>
      <c r="H29" s="286" t="s">
        <v>239</v>
      </c>
      <c r="I29" s="286"/>
      <c r="J29" s="286" t="s">
        <v>240</v>
      </c>
      <c r="K29" s="286"/>
      <c r="L29" s="286" t="s">
        <v>241</v>
      </c>
      <c r="M29" s="286"/>
      <c r="N29" s="286" t="s">
        <v>242</v>
      </c>
      <c r="O29" s="286"/>
      <c r="P29" s="286"/>
      <c r="Q29" s="296"/>
      <c r="R29" s="296"/>
      <c r="S29" s="297"/>
      <c r="T29" s="296"/>
      <c r="U29" s="298"/>
      <c r="V29" s="5"/>
    </row>
    <row r="30" spans="1:22" ht="15.6" x14ac:dyDescent="0.3">
      <c r="A30" s="284"/>
      <c r="B30" s="285" t="s">
        <v>10</v>
      </c>
      <c r="C30" s="295"/>
      <c r="D30" s="286" t="s">
        <v>236</v>
      </c>
      <c r="E30" s="286"/>
      <c r="F30" s="293" t="s">
        <v>124</v>
      </c>
      <c r="G30" s="286"/>
      <c r="H30" s="286" t="s">
        <v>124</v>
      </c>
      <c r="I30" s="286"/>
      <c r="J30" s="286" t="s">
        <v>124</v>
      </c>
      <c r="K30" s="286"/>
      <c r="L30" s="286" t="s">
        <v>124</v>
      </c>
      <c r="M30" s="286"/>
      <c r="N30" s="286" t="s">
        <v>124</v>
      </c>
      <c r="O30" s="286"/>
      <c r="P30" s="286"/>
      <c r="Q30" s="296"/>
      <c r="R30" s="296"/>
      <c r="S30" s="297"/>
      <c r="T30" s="296"/>
      <c r="U30" s="298"/>
      <c r="V30" s="5"/>
    </row>
    <row r="31" spans="1:22" ht="15.6" x14ac:dyDescent="0.3">
      <c r="A31" s="289"/>
      <c r="B31" s="285" t="s">
        <v>139</v>
      </c>
      <c r="C31" s="299"/>
      <c r="D31" s="300">
        <v>985000</v>
      </c>
      <c r="E31" s="295"/>
      <c r="F31" s="296">
        <v>149500</v>
      </c>
      <c r="G31" s="296"/>
      <c r="H31" s="301">
        <v>219700</v>
      </c>
      <c r="I31" s="296"/>
      <c r="J31" s="296">
        <v>16000</v>
      </c>
      <c r="K31" s="296"/>
      <c r="L31" s="301">
        <v>82400</v>
      </c>
      <c r="M31" s="296"/>
      <c r="N31" s="301">
        <v>87500</v>
      </c>
      <c r="O31" s="296"/>
      <c r="P31" s="301"/>
      <c r="Q31" s="302"/>
      <c r="R31" s="302"/>
      <c r="S31" s="303"/>
      <c r="T31" s="302"/>
      <c r="U31" s="298"/>
      <c r="V31" s="5"/>
    </row>
    <row r="32" spans="1:22" ht="15.6" x14ac:dyDescent="0.3">
      <c r="A32" s="284"/>
      <c r="B32" s="285" t="s">
        <v>138</v>
      </c>
      <c r="C32" s="295"/>
      <c r="D32" s="300">
        <f>D38*D31</f>
        <v>438511.85450000002</v>
      </c>
      <c r="E32" s="295"/>
      <c r="F32" s="296">
        <f>F38*F31</f>
        <v>66556.054499999998</v>
      </c>
      <c r="G32" s="296"/>
      <c r="H32" s="301">
        <f>H38*H31</f>
        <v>97808.462700000004</v>
      </c>
      <c r="I32" s="296"/>
      <c r="J32" s="296">
        <f>+J31</f>
        <v>16000</v>
      </c>
      <c r="K32" s="296"/>
      <c r="L32" s="301">
        <f>+L31</f>
        <v>82400</v>
      </c>
      <c r="M32" s="296"/>
      <c r="N32" s="301">
        <f>+N31</f>
        <v>87500</v>
      </c>
      <c r="O32" s="296"/>
      <c r="P32" s="301"/>
      <c r="Q32" s="296"/>
      <c r="R32" s="296"/>
      <c r="S32" s="297"/>
      <c r="T32" s="296"/>
      <c r="U32" s="298"/>
      <c r="V32" s="5"/>
    </row>
    <row r="33" spans="1:22" ht="15.6" x14ac:dyDescent="0.3">
      <c r="A33" s="284"/>
      <c r="B33" s="292" t="s">
        <v>140</v>
      </c>
      <c r="C33" s="295"/>
      <c r="D33" s="304">
        <f>D37*D31</f>
        <v>431152.3285</v>
      </c>
      <c r="E33" s="299"/>
      <c r="F33" s="302">
        <f>F37*F31</f>
        <v>65439.050299999995</v>
      </c>
      <c r="G33" s="302"/>
      <c r="H33" s="305">
        <f>H31*H37</f>
        <v>96166.952179999993</v>
      </c>
      <c r="I33" s="302"/>
      <c r="J33" s="302">
        <f>J31*J37</f>
        <v>16000</v>
      </c>
      <c r="K33" s="302"/>
      <c r="L33" s="305">
        <f>L31*L37</f>
        <v>82400</v>
      </c>
      <c r="M33" s="302"/>
      <c r="N33" s="305">
        <f>N31*N37</f>
        <v>87500</v>
      </c>
      <c r="O33" s="302"/>
      <c r="P33" s="305"/>
      <c r="Q33" s="296"/>
      <c r="R33" s="296"/>
      <c r="S33" s="297"/>
      <c r="T33" s="296"/>
      <c r="U33" s="298"/>
      <c r="V33" s="5"/>
    </row>
    <row r="34" spans="1:22" ht="15.6" x14ac:dyDescent="0.3">
      <c r="A34" s="289"/>
      <c r="B34" s="285" t="s">
        <v>283</v>
      </c>
      <c r="C34" s="299"/>
      <c r="D34" s="296">
        <v>567282</v>
      </c>
      <c r="E34" s="295"/>
      <c r="F34" s="296">
        <v>149500</v>
      </c>
      <c r="G34" s="296"/>
      <c r="H34" s="296">
        <v>150716</v>
      </c>
      <c r="I34" s="296"/>
      <c r="J34" s="296">
        <v>16000</v>
      </c>
      <c r="K34" s="296"/>
      <c r="L34" s="296">
        <v>56527</v>
      </c>
      <c r="M34" s="296"/>
      <c r="N34" s="296">
        <v>60025</v>
      </c>
      <c r="O34" s="296"/>
      <c r="P34" s="296"/>
      <c r="Q34" s="302"/>
      <c r="R34" s="302"/>
      <c r="S34" s="303"/>
      <c r="T34" s="296">
        <f>SUM(C34:P34)</f>
        <v>1000050</v>
      </c>
      <c r="U34" s="298"/>
      <c r="V34" s="5"/>
    </row>
    <row r="35" spans="1:22" ht="15.6" x14ac:dyDescent="0.3">
      <c r="A35" s="289"/>
      <c r="B35" s="285" t="s">
        <v>284</v>
      </c>
      <c r="C35" s="299"/>
      <c r="D35" s="296">
        <f>D38*D34</f>
        <v>252548.10339540002</v>
      </c>
      <c r="E35" s="295"/>
      <c r="F35" s="296">
        <f>F38*F34</f>
        <v>66556.054499999998</v>
      </c>
      <c r="G35" s="296"/>
      <c r="H35" s="296">
        <f>H38*H34</f>
        <v>67097.406755999997</v>
      </c>
      <c r="I35" s="296"/>
      <c r="J35" s="296">
        <f>+J34</f>
        <v>16000</v>
      </c>
      <c r="K35" s="296"/>
      <c r="L35" s="296">
        <f>+L34</f>
        <v>56527</v>
      </c>
      <c r="M35" s="296"/>
      <c r="N35" s="296">
        <f>+N34</f>
        <v>60025</v>
      </c>
      <c r="O35" s="296"/>
      <c r="P35" s="296"/>
      <c r="Q35" s="296"/>
      <c r="R35" s="296"/>
      <c r="S35" s="297"/>
      <c r="T35" s="296">
        <f>SUM(C35:P35)+1</f>
        <v>518754.56465140003</v>
      </c>
      <c r="U35" s="298"/>
      <c r="V35" s="5"/>
    </row>
    <row r="36" spans="1:22" ht="15.6" x14ac:dyDescent="0.3">
      <c r="A36" s="289"/>
      <c r="B36" s="292" t="s">
        <v>285</v>
      </c>
      <c r="C36" s="299"/>
      <c r="D36" s="302">
        <f>D37*D34</f>
        <v>248309.5992042</v>
      </c>
      <c r="E36" s="299"/>
      <c r="F36" s="302">
        <f>F37*F34</f>
        <v>65439.050299999995</v>
      </c>
      <c r="G36" s="302"/>
      <c r="H36" s="302">
        <f>H37*H34</f>
        <v>65971.3170904</v>
      </c>
      <c r="I36" s="302"/>
      <c r="J36" s="302">
        <f>+J34</f>
        <v>16000</v>
      </c>
      <c r="K36" s="302"/>
      <c r="L36" s="302">
        <f>+L34</f>
        <v>56527</v>
      </c>
      <c r="M36" s="302"/>
      <c r="N36" s="302">
        <f>+N34</f>
        <v>60025</v>
      </c>
      <c r="O36" s="302"/>
      <c r="P36" s="302"/>
      <c r="Q36" s="327"/>
      <c r="R36" s="327"/>
      <c r="S36" s="297"/>
      <c r="T36" s="302">
        <f>SUM(C36:P36)+1</f>
        <v>512272.9665946</v>
      </c>
      <c r="U36" s="298"/>
      <c r="V36" s="5"/>
    </row>
    <row r="37" spans="1:22" ht="15.6" x14ac:dyDescent="0.3">
      <c r="A37" s="284"/>
      <c r="B37" s="310" t="s">
        <v>136</v>
      </c>
      <c r="C37" s="311"/>
      <c r="D37" s="312">
        <v>0.4377181</v>
      </c>
      <c r="E37" s="313"/>
      <c r="F37" s="312">
        <v>0.43771939999999998</v>
      </c>
      <c r="G37" s="314"/>
      <c r="H37" s="312">
        <v>0.43771939999999998</v>
      </c>
      <c r="I37" s="314"/>
      <c r="J37" s="312">
        <v>1</v>
      </c>
      <c r="K37" s="314"/>
      <c r="L37" s="312">
        <v>1</v>
      </c>
      <c r="M37" s="314"/>
      <c r="N37" s="312">
        <v>1</v>
      </c>
      <c r="O37" s="314"/>
      <c r="P37" s="314"/>
      <c r="Q37" s="315"/>
      <c r="R37" s="315"/>
      <c r="S37" s="316"/>
      <c r="T37" s="316"/>
      <c r="U37" s="317"/>
      <c r="V37" s="5"/>
    </row>
    <row r="38" spans="1:22" ht="15.6" x14ac:dyDescent="0.3">
      <c r="A38" s="284"/>
      <c r="B38" s="310" t="s">
        <v>137</v>
      </c>
      <c r="C38" s="311"/>
      <c r="D38" s="312">
        <v>0.44518970000000002</v>
      </c>
      <c r="E38" s="313"/>
      <c r="F38" s="312">
        <v>0.445191</v>
      </c>
      <c r="G38" s="314"/>
      <c r="H38" s="312">
        <v>0.445191</v>
      </c>
      <c r="I38" s="314"/>
      <c r="J38" s="312">
        <v>1</v>
      </c>
      <c r="K38" s="314"/>
      <c r="L38" s="312">
        <v>1</v>
      </c>
      <c r="M38" s="314"/>
      <c r="N38" s="312">
        <v>1</v>
      </c>
      <c r="O38" s="314"/>
      <c r="P38" s="314"/>
      <c r="Q38" s="318"/>
      <c r="R38" s="319"/>
      <c r="S38" s="316"/>
      <c r="T38" s="318"/>
      <c r="U38" s="317"/>
      <c r="V38" s="5"/>
    </row>
    <row r="39" spans="1:22" ht="15.6" x14ac:dyDescent="0.3">
      <c r="A39" s="284"/>
      <c r="B39" s="285" t="s">
        <v>11</v>
      </c>
      <c r="C39" s="285"/>
      <c r="D39" s="293" t="s">
        <v>275</v>
      </c>
      <c r="E39" s="285"/>
      <c r="F39" s="293" t="s">
        <v>232</v>
      </c>
      <c r="G39" s="293"/>
      <c r="H39" s="293" t="s">
        <v>232</v>
      </c>
      <c r="I39" s="293"/>
      <c r="J39" s="293" t="s">
        <v>234</v>
      </c>
      <c r="K39" s="293"/>
      <c r="L39" s="293" t="s">
        <v>234</v>
      </c>
      <c r="M39" s="293"/>
      <c r="N39" s="293" t="s">
        <v>235</v>
      </c>
      <c r="O39" s="293"/>
      <c r="P39" s="293"/>
      <c r="Q39" s="320"/>
      <c r="R39" s="321"/>
      <c r="S39" s="287"/>
      <c r="T39" s="287"/>
      <c r="U39" s="288"/>
      <c r="V39" s="5"/>
    </row>
    <row r="40" spans="1:22" ht="15.6" x14ac:dyDescent="0.3">
      <c r="A40" s="284"/>
      <c r="B40" s="285" t="s">
        <v>12</v>
      </c>
      <c r="C40" s="285"/>
      <c r="D40" s="321">
        <v>2.6080000000000001E-3</v>
      </c>
      <c r="E40" s="285"/>
      <c r="F40" s="321">
        <v>7.9962999999999996E-3</v>
      </c>
      <c r="G40" s="320"/>
      <c r="H40" s="321">
        <v>3.2200000000000002E-3</v>
      </c>
      <c r="I40" s="320"/>
      <c r="J40" s="321">
        <v>1.0396300000000001E-2</v>
      </c>
      <c r="K40" s="320"/>
      <c r="L40" s="321">
        <v>5.62E-3</v>
      </c>
      <c r="M40" s="320"/>
      <c r="N40" s="321">
        <v>9.8200000000000006E-3</v>
      </c>
      <c r="O40" s="320"/>
      <c r="P40" s="321"/>
      <c r="Q40" s="320"/>
      <c r="R40" s="321"/>
      <c r="S40" s="287"/>
      <c r="T40" s="293"/>
      <c r="U40" s="288"/>
      <c r="V40" s="5"/>
    </row>
    <row r="41" spans="1:22" ht="15.6" x14ac:dyDescent="0.3">
      <c r="A41" s="284"/>
      <c r="B41" s="285" t="s">
        <v>13</v>
      </c>
      <c r="C41" s="285"/>
      <c r="D41" s="321">
        <v>2.5360000000000001E-3</v>
      </c>
      <c r="E41" s="285"/>
      <c r="F41" s="321">
        <v>7.9749999999999995E-3</v>
      </c>
      <c r="G41" s="320"/>
      <c r="H41" s="321">
        <v>4.4299999999999999E-3</v>
      </c>
      <c r="I41" s="320"/>
      <c r="J41" s="321">
        <v>1.0375000000000001E-2</v>
      </c>
      <c r="K41" s="320"/>
      <c r="L41" s="321">
        <v>6.8300000000000001E-3</v>
      </c>
      <c r="M41" s="320"/>
      <c r="N41" s="321">
        <v>1.103E-2</v>
      </c>
      <c r="O41" s="320"/>
      <c r="P41" s="321"/>
      <c r="Q41" s="320"/>
      <c r="R41" s="321"/>
      <c r="S41" s="287"/>
      <c r="T41" s="320" t="s">
        <v>201</v>
      </c>
      <c r="U41" s="288"/>
      <c r="V41" s="5"/>
    </row>
    <row r="42" spans="1:22" ht="15.6" x14ac:dyDescent="0.3">
      <c r="A42" s="284"/>
      <c r="B42" s="285" t="s">
        <v>286</v>
      </c>
      <c r="C42" s="285"/>
      <c r="D42" s="293" t="s">
        <v>231</v>
      </c>
      <c r="E42" s="285"/>
      <c r="F42" s="293" t="s">
        <v>232</v>
      </c>
      <c r="G42" s="293"/>
      <c r="H42" s="293" t="s">
        <v>232</v>
      </c>
      <c r="I42" s="293"/>
      <c r="J42" s="293" t="s">
        <v>234</v>
      </c>
      <c r="K42" s="293"/>
      <c r="L42" s="293" t="s">
        <v>245</v>
      </c>
      <c r="M42" s="293"/>
      <c r="N42" s="293" t="s">
        <v>247</v>
      </c>
      <c r="O42" s="293"/>
      <c r="P42" s="293"/>
      <c r="Q42" s="320"/>
      <c r="R42" s="321"/>
      <c r="S42" s="287"/>
      <c r="T42" s="287"/>
      <c r="U42" s="288"/>
      <c r="V42" s="5"/>
    </row>
    <row r="43" spans="1:22" ht="15.6" x14ac:dyDescent="0.3">
      <c r="A43" s="284"/>
      <c r="B43" s="285" t="s">
        <v>287</v>
      </c>
      <c r="C43" s="322"/>
      <c r="D43" s="321">
        <v>6.8325E-3</v>
      </c>
      <c r="E43" s="321"/>
      <c r="F43" s="321">
        <f>+F40</f>
        <v>7.9962999999999996E-3</v>
      </c>
      <c r="G43" s="321"/>
      <c r="H43" s="321">
        <v>7.9923000000000008E-3</v>
      </c>
      <c r="I43" s="321"/>
      <c r="J43" s="321">
        <f>+J40</f>
        <v>1.0396300000000001E-2</v>
      </c>
      <c r="K43" s="321"/>
      <c r="L43" s="321">
        <v>1.07023E-2</v>
      </c>
      <c r="M43" s="321"/>
      <c r="N43" s="321">
        <v>1.54063E-2</v>
      </c>
      <c r="O43" s="320"/>
      <c r="P43" s="321"/>
      <c r="Q43" s="293"/>
      <c r="R43" s="293"/>
      <c r="S43" s="287"/>
      <c r="T43" s="320">
        <f>SUMPRODUCT(D43:N43,D35:N35)/T35</f>
        <v>8.6554854156911405E-3</v>
      </c>
      <c r="U43" s="288"/>
      <c r="V43" s="5"/>
    </row>
    <row r="44" spans="1:22" ht="15.6" x14ac:dyDescent="0.3">
      <c r="A44" s="284"/>
      <c r="B44" s="285" t="s">
        <v>288</v>
      </c>
      <c r="C44" s="322"/>
      <c r="D44" s="321">
        <v>6.8111999999999999E-3</v>
      </c>
      <c r="E44" s="321"/>
      <c r="F44" s="321">
        <f>+F41</f>
        <v>7.9749999999999995E-3</v>
      </c>
      <c r="G44" s="321"/>
      <c r="H44" s="321">
        <v>7.9710000000000007E-3</v>
      </c>
      <c r="I44" s="321"/>
      <c r="J44" s="321">
        <f>+J41</f>
        <v>1.0375000000000001E-2</v>
      </c>
      <c r="K44" s="321"/>
      <c r="L44" s="321">
        <v>1.0681E-2</v>
      </c>
      <c r="M44" s="321"/>
      <c r="N44" s="321">
        <v>1.5384999999999999E-2</v>
      </c>
      <c r="O44" s="320"/>
      <c r="P44" s="321"/>
      <c r="Q44" s="293"/>
      <c r="R44" s="293"/>
      <c r="S44" s="287"/>
      <c r="T44" s="287"/>
      <c r="U44" s="288"/>
      <c r="V44" s="5"/>
    </row>
    <row r="45" spans="1:22" ht="15.6" x14ac:dyDescent="0.3">
      <c r="A45" s="284"/>
      <c r="B45" s="285" t="s">
        <v>14</v>
      </c>
      <c r="C45" s="285"/>
      <c r="D45" s="322">
        <v>40283</v>
      </c>
      <c r="E45" s="322"/>
      <c r="F45" s="322">
        <v>40283</v>
      </c>
      <c r="G45" s="322"/>
      <c r="H45" s="322">
        <v>40283</v>
      </c>
      <c r="I45" s="322"/>
      <c r="J45" s="322">
        <v>40283</v>
      </c>
      <c r="K45" s="322"/>
      <c r="L45" s="322">
        <v>40283</v>
      </c>
      <c r="M45" s="322"/>
      <c r="N45" s="322">
        <v>40283</v>
      </c>
      <c r="O45" s="322"/>
      <c r="P45" s="322"/>
      <c r="Q45" s="293"/>
      <c r="R45" s="293"/>
      <c r="S45" s="287"/>
      <c r="T45" s="287"/>
      <c r="U45" s="288"/>
      <c r="V45" s="5"/>
    </row>
    <row r="46" spans="1:22" ht="15.6" x14ac:dyDescent="0.3">
      <c r="A46" s="284"/>
      <c r="B46" s="285" t="s">
        <v>15</v>
      </c>
      <c r="C46" s="285"/>
      <c r="D46" s="322">
        <v>40648</v>
      </c>
      <c r="E46" s="322"/>
      <c r="F46" s="322">
        <v>40648</v>
      </c>
      <c r="G46" s="322"/>
      <c r="H46" s="322">
        <v>40648</v>
      </c>
      <c r="I46" s="293"/>
      <c r="J46" s="322">
        <v>40648</v>
      </c>
      <c r="K46" s="293"/>
      <c r="L46" s="322">
        <v>40648</v>
      </c>
      <c r="M46" s="293"/>
      <c r="N46" s="322">
        <v>40648</v>
      </c>
      <c r="O46" s="293"/>
      <c r="P46" s="322"/>
      <c r="Q46" s="293"/>
      <c r="R46" s="293"/>
      <c r="S46" s="287"/>
      <c r="T46" s="287"/>
      <c r="U46" s="288"/>
      <c r="V46" s="5"/>
    </row>
    <row r="47" spans="1:22" ht="15.6" x14ac:dyDescent="0.3">
      <c r="A47" s="284"/>
      <c r="B47" s="285" t="s">
        <v>125</v>
      </c>
      <c r="C47" s="285"/>
      <c r="D47" s="293" t="s">
        <v>124</v>
      </c>
      <c r="E47" s="285"/>
      <c r="F47" s="293" t="s">
        <v>232</v>
      </c>
      <c r="G47" s="293"/>
      <c r="H47" s="293" t="s">
        <v>232</v>
      </c>
      <c r="I47" s="293"/>
      <c r="J47" s="293" t="s">
        <v>234</v>
      </c>
      <c r="K47" s="293"/>
      <c r="L47" s="293" t="s">
        <v>234</v>
      </c>
      <c r="M47" s="293"/>
      <c r="N47" s="293" t="s">
        <v>235</v>
      </c>
      <c r="O47" s="293"/>
      <c r="P47" s="293"/>
      <c r="Q47" s="324"/>
      <c r="R47" s="324"/>
      <c r="S47" s="324"/>
      <c r="T47" s="324"/>
      <c r="U47" s="288"/>
      <c r="V47" s="5"/>
    </row>
    <row r="48" spans="1:22" ht="15.6" x14ac:dyDescent="0.3">
      <c r="A48" s="284"/>
      <c r="B48" s="285" t="s">
        <v>289</v>
      </c>
      <c r="C48" s="285"/>
      <c r="D48" s="293" t="s">
        <v>208</v>
      </c>
      <c r="E48" s="285"/>
      <c r="F48" s="293" t="s">
        <v>232</v>
      </c>
      <c r="G48" s="293"/>
      <c r="H48" s="293" t="s">
        <v>232</v>
      </c>
      <c r="I48" s="293"/>
      <c r="J48" s="293" t="s">
        <v>234</v>
      </c>
      <c r="K48" s="293"/>
      <c r="L48" s="293" t="s">
        <v>245</v>
      </c>
      <c r="M48" s="293"/>
      <c r="N48" s="293" t="s">
        <v>247</v>
      </c>
      <c r="O48" s="293"/>
      <c r="P48" s="293"/>
      <c r="Q48" s="285"/>
      <c r="R48" s="285"/>
      <c r="S48" s="285"/>
      <c r="T48" s="320"/>
      <c r="U48" s="288"/>
      <c r="V48" s="5"/>
    </row>
    <row r="49" spans="1:23" ht="15.6" x14ac:dyDescent="0.3">
      <c r="A49" s="284"/>
      <c r="B49" s="285"/>
      <c r="C49" s="285"/>
      <c r="D49" s="293"/>
      <c r="E49" s="285"/>
      <c r="F49" s="293"/>
      <c r="G49" s="293"/>
      <c r="H49" s="293"/>
      <c r="I49" s="293"/>
      <c r="J49" s="293"/>
      <c r="K49" s="293"/>
      <c r="L49" s="293"/>
      <c r="M49" s="293"/>
      <c r="N49" s="293"/>
      <c r="O49" s="293"/>
      <c r="P49" s="293"/>
      <c r="Q49" s="285"/>
      <c r="R49" s="285"/>
      <c r="S49" s="285"/>
      <c r="T49" s="320" t="s">
        <v>201</v>
      </c>
      <c r="U49" s="288"/>
      <c r="V49" s="5"/>
    </row>
    <row r="50" spans="1:23" ht="15.6" x14ac:dyDescent="0.3">
      <c r="A50" s="284"/>
      <c r="B50" s="285" t="s">
        <v>176</v>
      </c>
      <c r="C50" s="285"/>
      <c r="D50" s="293"/>
      <c r="E50" s="285"/>
      <c r="F50" s="293"/>
      <c r="G50" s="293"/>
      <c r="H50" s="293"/>
      <c r="I50" s="293"/>
      <c r="J50" s="293"/>
      <c r="K50" s="293"/>
      <c r="L50" s="293"/>
      <c r="M50" s="293"/>
      <c r="N50" s="293"/>
      <c r="O50" s="293"/>
      <c r="P50" s="293"/>
      <c r="Q50" s="285"/>
      <c r="R50" s="285"/>
      <c r="S50" s="285"/>
      <c r="T50" s="320">
        <f>SUM(J34:P34)/SUM(D34:H34)</f>
        <v>0.15279804679664968</v>
      </c>
      <c r="U50" s="288"/>
      <c r="V50" s="5"/>
    </row>
    <row r="51" spans="1:23" ht="15.6" x14ac:dyDescent="0.3">
      <c r="A51" s="284"/>
      <c r="B51" s="285" t="s">
        <v>177</v>
      </c>
      <c r="C51" s="285"/>
      <c r="D51" s="285"/>
      <c r="E51" s="285"/>
      <c r="F51" s="325"/>
      <c r="G51" s="285"/>
      <c r="H51" s="285"/>
      <c r="I51" s="285"/>
      <c r="J51" s="285"/>
      <c r="K51" s="285"/>
      <c r="L51" s="285"/>
      <c r="M51" s="285"/>
      <c r="N51" s="285"/>
      <c r="O51" s="285"/>
      <c r="P51" s="285"/>
      <c r="Q51" s="285"/>
      <c r="R51" s="285"/>
      <c r="S51" s="285"/>
      <c r="T51" s="320">
        <f>SUM(J36:P36)/SUM(D36:H36)</f>
        <v>0.34907829890735331</v>
      </c>
      <c r="U51" s="288"/>
      <c r="V51" s="5"/>
    </row>
    <row r="52" spans="1:23" ht="15.6" x14ac:dyDescent="0.3">
      <c r="A52" s="284"/>
      <c r="B52" s="285" t="s">
        <v>178</v>
      </c>
      <c r="C52" s="285"/>
      <c r="D52" s="285"/>
      <c r="E52" s="285"/>
      <c r="F52" s="285"/>
      <c r="G52" s="285"/>
      <c r="H52" s="285"/>
      <c r="I52" s="285"/>
      <c r="J52" s="285"/>
      <c r="K52" s="285"/>
      <c r="L52" s="285"/>
      <c r="M52" s="285"/>
      <c r="N52" s="285"/>
      <c r="O52" s="285"/>
      <c r="P52" s="285"/>
      <c r="Q52" s="285"/>
      <c r="R52" s="293" t="s">
        <v>109</v>
      </c>
      <c r="S52" s="293" t="s">
        <v>115</v>
      </c>
      <c r="T52" s="296">
        <f>+T34/2-SUM(J34:P34)</f>
        <v>367473</v>
      </c>
      <c r="U52" s="288"/>
      <c r="V52" s="5"/>
    </row>
    <row r="53" spans="1:23" ht="15.6" x14ac:dyDescent="0.3">
      <c r="A53" s="284"/>
      <c r="B53" s="285"/>
      <c r="C53" s="285"/>
      <c r="D53" s="285"/>
      <c r="E53" s="285"/>
      <c r="F53" s="285"/>
      <c r="G53" s="285"/>
      <c r="H53" s="285"/>
      <c r="I53" s="285"/>
      <c r="J53" s="285"/>
      <c r="K53" s="285"/>
      <c r="L53" s="285"/>
      <c r="M53" s="285"/>
      <c r="N53" s="285"/>
      <c r="O53" s="285"/>
      <c r="P53" s="285"/>
      <c r="Q53" s="285"/>
      <c r="R53" s="285"/>
      <c r="S53" s="285"/>
      <c r="T53" s="326"/>
      <c r="U53" s="288"/>
      <c r="V53" s="5"/>
    </row>
    <row r="54" spans="1:23" ht="15.6" x14ac:dyDescent="0.3">
      <c r="A54" s="284"/>
      <c r="B54" s="285" t="s">
        <v>211</v>
      </c>
      <c r="C54" s="285"/>
      <c r="D54" s="285"/>
      <c r="E54" s="285"/>
      <c r="F54" s="285"/>
      <c r="G54" s="285"/>
      <c r="H54" s="285"/>
      <c r="I54" s="285"/>
      <c r="J54" s="285"/>
      <c r="K54" s="285"/>
      <c r="L54" s="285"/>
      <c r="M54" s="285"/>
      <c r="N54" s="285"/>
      <c r="O54" s="285"/>
      <c r="P54" s="285"/>
      <c r="Q54" s="285"/>
      <c r="R54" s="285"/>
      <c r="S54" s="285"/>
      <c r="T54" s="327" t="s">
        <v>212</v>
      </c>
      <c r="U54" s="288"/>
      <c r="V54" s="5"/>
    </row>
    <row r="55" spans="1:23" ht="15.6" x14ac:dyDescent="0.3">
      <c r="A55" s="284"/>
      <c r="B55" s="285" t="s">
        <v>253</v>
      </c>
      <c r="C55" s="285"/>
      <c r="D55" s="285"/>
      <c r="E55" s="285"/>
      <c r="F55" s="285"/>
      <c r="G55" s="285"/>
      <c r="H55" s="285"/>
      <c r="I55" s="285"/>
      <c r="J55" s="285"/>
      <c r="K55" s="285"/>
      <c r="L55" s="285"/>
      <c r="M55" s="285"/>
      <c r="N55" s="285"/>
      <c r="O55" s="285"/>
      <c r="P55" s="285"/>
      <c r="Q55" s="285"/>
      <c r="R55" s="293"/>
      <c r="S55" s="293"/>
      <c r="T55" s="328" t="s">
        <v>117</v>
      </c>
      <c r="U55" s="288"/>
      <c r="V55" s="5"/>
    </row>
    <row r="56" spans="1:23" ht="15.6" x14ac:dyDescent="0.3">
      <c r="A56" s="284"/>
      <c r="B56" s="292" t="s">
        <v>210</v>
      </c>
      <c r="C56" s="292"/>
      <c r="D56" s="292"/>
      <c r="E56" s="292"/>
      <c r="F56" s="292"/>
      <c r="G56" s="292"/>
      <c r="H56" s="292"/>
      <c r="I56" s="292"/>
      <c r="J56" s="292"/>
      <c r="K56" s="292"/>
      <c r="L56" s="292"/>
      <c r="M56" s="292"/>
      <c r="N56" s="292"/>
      <c r="O56" s="292"/>
      <c r="P56" s="292"/>
      <c r="Q56" s="292"/>
      <c r="R56" s="329"/>
      <c r="S56" s="329"/>
      <c r="T56" s="330">
        <v>42019</v>
      </c>
      <c r="U56" s="288"/>
      <c r="V56" s="5"/>
    </row>
    <row r="57" spans="1:23" ht="15.6" x14ac:dyDescent="0.3">
      <c r="A57" s="284"/>
      <c r="B57" s="285" t="s">
        <v>127</v>
      </c>
      <c r="C57" s="285"/>
      <c r="D57" s="285"/>
      <c r="E57" s="285"/>
      <c r="F57" s="285"/>
      <c r="G57" s="285"/>
      <c r="H57" s="331"/>
      <c r="I57" s="331"/>
      <c r="J57" s="331"/>
      <c r="K57" s="331"/>
      <c r="L57" s="331"/>
      <c r="M57" s="331"/>
      <c r="N57" s="331"/>
      <c r="O57" s="331"/>
      <c r="P57" s="285">
        <f>+T57-R57+1</f>
        <v>92</v>
      </c>
      <c r="Q57" s="331"/>
      <c r="R57" s="332">
        <v>41835</v>
      </c>
      <c r="S57" s="333"/>
      <c r="T57" s="332">
        <v>41926</v>
      </c>
      <c r="U57" s="288"/>
      <c r="V57" s="5"/>
    </row>
    <row r="58" spans="1:23" ht="15.6" x14ac:dyDescent="0.3">
      <c r="A58" s="284"/>
      <c r="B58" s="285" t="s">
        <v>128</v>
      </c>
      <c r="C58" s="285"/>
      <c r="D58" s="285"/>
      <c r="E58" s="285"/>
      <c r="F58" s="285"/>
      <c r="G58" s="285"/>
      <c r="H58" s="285"/>
      <c r="I58" s="285"/>
      <c r="J58" s="285"/>
      <c r="K58" s="285"/>
      <c r="L58" s="285"/>
      <c r="M58" s="285"/>
      <c r="N58" s="285"/>
      <c r="O58" s="285"/>
      <c r="P58" s="285">
        <f>+T58-R58+1</f>
        <v>92</v>
      </c>
      <c r="Q58" s="285"/>
      <c r="R58" s="332">
        <v>41927</v>
      </c>
      <c r="S58" s="333"/>
      <c r="T58" s="332">
        <v>42018</v>
      </c>
      <c r="U58" s="288"/>
      <c r="V58" s="5"/>
    </row>
    <row r="59" spans="1:23" ht="15.6" x14ac:dyDescent="0.3">
      <c r="A59" s="284"/>
      <c r="B59" s="285" t="s">
        <v>209</v>
      </c>
      <c r="C59" s="285"/>
      <c r="D59" s="285"/>
      <c r="E59" s="285"/>
      <c r="F59" s="285"/>
      <c r="G59" s="285"/>
      <c r="H59" s="285"/>
      <c r="I59" s="285"/>
      <c r="J59" s="285"/>
      <c r="K59" s="285"/>
      <c r="L59" s="285"/>
      <c r="M59" s="285"/>
      <c r="N59" s="285"/>
      <c r="O59" s="285"/>
      <c r="P59" s="285"/>
      <c r="Q59" s="285"/>
      <c r="R59" s="332"/>
      <c r="S59" s="333"/>
      <c r="T59" s="332" t="s">
        <v>126</v>
      </c>
      <c r="U59" s="288"/>
      <c r="V59" s="5"/>
    </row>
    <row r="60" spans="1:23" ht="15.6" x14ac:dyDescent="0.3">
      <c r="A60" s="284"/>
      <c r="B60" s="285" t="s">
        <v>249</v>
      </c>
      <c r="C60" s="285"/>
      <c r="D60" s="285"/>
      <c r="E60" s="285"/>
      <c r="F60" s="285"/>
      <c r="G60" s="285"/>
      <c r="H60" s="285"/>
      <c r="I60" s="285"/>
      <c r="J60" s="285"/>
      <c r="K60" s="285"/>
      <c r="L60" s="285"/>
      <c r="M60" s="285"/>
      <c r="N60" s="285"/>
      <c r="O60" s="285"/>
      <c r="P60" s="285"/>
      <c r="Q60" s="285"/>
      <c r="R60" s="332"/>
      <c r="S60" s="333"/>
      <c r="T60" s="332" t="s">
        <v>160</v>
      </c>
      <c r="U60" s="288"/>
      <c r="V60" s="5"/>
      <c r="W60" s="134"/>
    </row>
    <row r="61" spans="1:23" ht="15.6" x14ac:dyDescent="0.3">
      <c r="A61" s="284"/>
      <c r="B61" s="285" t="s">
        <v>16</v>
      </c>
      <c r="C61" s="285"/>
      <c r="D61" s="285"/>
      <c r="E61" s="285"/>
      <c r="F61" s="285"/>
      <c r="G61" s="285"/>
      <c r="H61" s="285"/>
      <c r="I61" s="285"/>
      <c r="J61" s="285"/>
      <c r="K61" s="285"/>
      <c r="L61" s="285"/>
      <c r="M61" s="285"/>
      <c r="N61" s="285"/>
      <c r="O61" s="285"/>
      <c r="P61" s="285"/>
      <c r="Q61" s="285"/>
      <c r="R61" s="332"/>
      <c r="S61" s="333"/>
      <c r="T61" s="332">
        <v>42006</v>
      </c>
      <c r="U61" s="288"/>
      <c r="V61" s="5"/>
    </row>
    <row r="62" spans="1:23" ht="15.6" x14ac:dyDescent="0.3">
      <c r="A62" s="175"/>
      <c r="B62" s="281"/>
      <c r="C62" s="281"/>
      <c r="D62" s="281"/>
      <c r="E62" s="281"/>
      <c r="F62" s="281"/>
      <c r="G62" s="281"/>
      <c r="H62" s="281"/>
      <c r="I62" s="281"/>
      <c r="J62" s="281"/>
      <c r="K62" s="281"/>
      <c r="L62" s="281"/>
      <c r="M62" s="281"/>
      <c r="N62" s="281"/>
      <c r="O62" s="281"/>
      <c r="P62" s="281"/>
      <c r="Q62" s="281"/>
      <c r="R62" s="282"/>
      <c r="S62" s="283"/>
      <c r="T62" s="282"/>
      <c r="U62" s="281"/>
      <c r="V62" s="5"/>
    </row>
    <row r="63" spans="1:23" ht="15.6" x14ac:dyDescent="0.3">
      <c r="A63" s="175"/>
      <c r="B63" s="231"/>
      <c r="C63" s="231"/>
      <c r="D63" s="231"/>
      <c r="E63" s="231"/>
      <c r="F63" s="231"/>
      <c r="G63" s="231"/>
      <c r="H63" s="231"/>
      <c r="I63" s="231"/>
      <c r="J63" s="231"/>
      <c r="K63" s="231"/>
      <c r="L63" s="231"/>
      <c r="M63" s="231"/>
      <c r="N63" s="231"/>
      <c r="O63" s="231"/>
      <c r="P63" s="231"/>
      <c r="Q63" s="231"/>
      <c r="R63" s="244"/>
      <c r="S63" s="245"/>
      <c r="T63" s="244"/>
      <c r="U63" s="231"/>
      <c r="V63" s="5"/>
    </row>
    <row r="64" spans="1:23" ht="18" thickBot="1" x14ac:dyDescent="0.35">
      <c r="A64" s="192"/>
      <c r="B64" s="246" t="s">
        <v>325</v>
      </c>
      <c r="C64" s="247"/>
      <c r="D64" s="247"/>
      <c r="E64" s="247"/>
      <c r="F64" s="247"/>
      <c r="G64" s="247"/>
      <c r="H64" s="247"/>
      <c r="I64" s="247"/>
      <c r="J64" s="247"/>
      <c r="K64" s="247"/>
      <c r="L64" s="247"/>
      <c r="M64" s="247"/>
      <c r="N64" s="247"/>
      <c r="O64" s="247"/>
      <c r="P64" s="247"/>
      <c r="Q64" s="247"/>
      <c r="R64" s="247"/>
      <c r="S64" s="247"/>
      <c r="T64" s="248"/>
      <c r="U64" s="249"/>
      <c r="V64" s="5"/>
    </row>
    <row r="65" spans="1:22" ht="15.6" x14ac:dyDescent="0.3">
      <c r="A65" s="222"/>
      <c r="B65" s="395" t="s">
        <v>17</v>
      </c>
      <c r="C65" s="223"/>
      <c r="D65" s="223"/>
      <c r="E65" s="223"/>
      <c r="F65" s="223"/>
      <c r="G65" s="223"/>
      <c r="H65" s="223"/>
      <c r="I65" s="223"/>
      <c r="J65" s="223"/>
      <c r="K65" s="223"/>
      <c r="L65" s="223"/>
      <c r="M65" s="223"/>
      <c r="N65" s="223"/>
      <c r="O65" s="223"/>
      <c r="P65" s="223"/>
      <c r="Q65" s="223"/>
      <c r="R65" s="223"/>
      <c r="S65" s="223"/>
      <c r="T65" s="250"/>
      <c r="U65" s="223"/>
      <c r="V65" s="5"/>
    </row>
    <row r="66" spans="1:22" ht="15.6" x14ac:dyDescent="0.3">
      <c r="A66" s="175"/>
      <c r="B66" s="183"/>
      <c r="C66" s="177"/>
      <c r="D66" s="177"/>
      <c r="E66" s="177"/>
      <c r="F66" s="177"/>
      <c r="G66" s="177"/>
      <c r="H66" s="177"/>
      <c r="I66" s="177"/>
      <c r="J66" s="177"/>
      <c r="K66" s="177"/>
      <c r="L66" s="177"/>
      <c r="M66" s="177"/>
      <c r="N66" s="177"/>
      <c r="O66" s="177"/>
      <c r="P66" s="177"/>
      <c r="Q66" s="177"/>
      <c r="R66" s="177"/>
      <c r="S66" s="177"/>
      <c r="T66" s="194"/>
      <c r="U66" s="177"/>
      <c r="V66" s="5"/>
    </row>
    <row r="67" spans="1:22" ht="46.8" x14ac:dyDescent="0.3">
      <c r="A67" s="175"/>
      <c r="B67" s="195" t="s">
        <v>18</v>
      </c>
      <c r="C67" s="196"/>
      <c r="D67" s="196"/>
      <c r="E67" s="196"/>
      <c r="F67" s="196"/>
      <c r="G67" s="196"/>
      <c r="H67" s="196"/>
      <c r="I67" s="196"/>
      <c r="J67" s="196" t="s">
        <v>97</v>
      </c>
      <c r="K67" s="196"/>
      <c r="L67" s="196" t="s">
        <v>99</v>
      </c>
      <c r="M67" s="196"/>
      <c r="N67" s="196" t="s">
        <v>101</v>
      </c>
      <c r="O67" s="196"/>
      <c r="P67" s="196" t="s">
        <v>103</v>
      </c>
      <c r="Q67" s="196"/>
      <c r="R67" s="196" t="s">
        <v>110</v>
      </c>
      <c r="S67" s="196"/>
      <c r="T67" s="197" t="s">
        <v>118</v>
      </c>
      <c r="U67" s="198"/>
      <c r="V67" s="5"/>
    </row>
    <row r="68" spans="1:22" ht="15.6" x14ac:dyDescent="0.3">
      <c r="A68" s="337"/>
      <c r="B68" s="285" t="s">
        <v>19</v>
      </c>
      <c r="C68" s="338"/>
      <c r="D68" s="338"/>
      <c r="E68" s="338"/>
      <c r="F68" s="338"/>
      <c r="G68" s="338"/>
      <c r="H68" s="338"/>
      <c r="I68" s="338"/>
      <c r="J68" s="338">
        <v>1000039</v>
      </c>
      <c r="K68" s="338"/>
      <c r="L68" s="339">
        <v>518755</v>
      </c>
      <c r="M68" s="338"/>
      <c r="N68" s="338">
        <f>6482+68+48</f>
        <v>6598</v>
      </c>
      <c r="O68" s="338"/>
      <c r="P68" s="338">
        <f>68+48</f>
        <v>116</v>
      </c>
      <c r="Q68" s="338"/>
      <c r="R68" s="338">
        <v>0</v>
      </c>
      <c r="S68" s="338"/>
      <c r="T68" s="339">
        <f>+L68-N68+P68-R68</f>
        <v>512273</v>
      </c>
      <c r="U68" s="288"/>
      <c r="V68" s="5"/>
    </row>
    <row r="69" spans="1:22" ht="15.6" x14ac:dyDescent="0.3">
      <c r="A69" s="337"/>
      <c r="B69" s="285" t="s">
        <v>20</v>
      </c>
      <c r="C69" s="338"/>
      <c r="D69" s="338"/>
      <c r="E69" s="338"/>
      <c r="F69" s="338"/>
      <c r="G69" s="338"/>
      <c r="H69" s="338"/>
      <c r="I69" s="338"/>
      <c r="J69" s="338">
        <v>10</v>
      </c>
      <c r="K69" s="338"/>
      <c r="L69" s="339">
        <v>0</v>
      </c>
      <c r="M69" s="338"/>
      <c r="N69" s="338">
        <v>0</v>
      </c>
      <c r="O69" s="338"/>
      <c r="P69" s="338">
        <v>0</v>
      </c>
      <c r="Q69" s="338"/>
      <c r="R69" s="338">
        <v>0</v>
      </c>
      <c r="S69" s="338"/>
      <c r="T69" s="339">
        <v>0</v>
      </c>
      <c r="U69" s="288"/>
      <c r="V69" s="5"/>
    </row>
    <row r="70" spans="1:22" ht="15.6" x14ac:dyDescent="0.3">
      <c r="A70" s="337"/>
      <c r="B70" s="285"/>
      <c r="C70" s="338"/>
      <c r="D70" s="338"/>
      <c r="E70" s="338"/>
      <c r="F70" s="338"/>
      <c r="G70" s="338"/>
      <c r="H70" s="338"/>
      <c r="I70" s="338"/>
      <c r="J70" s="338"/>
      <c r="K70" s="338"/>
      <c r="L70" s="339"/>
      <c r="M70" s="338"/>
      <c r="N70" s="338"/>
      <c r="O70" s="338"/>
      <c r="P70" s="338"/>
      <c r="Q70" s="338"/>
      <c r="R70" s="338"/>
      <c r="S70" s="338"/>
      <c r="T70" s="339"/>
      <c r="U70" s="288"/>
      <c r="V70" s="5"/>
    </row>
    <row r="71" spans="1:22" ht="15.6" x14ac:dyDescent="0.3">
      <c r="A71" s="337"/>
      <c r="B71" s="285" t="s">
        <v>21</v>
      </c>
      <c r="C71" s="338"/>
      <c r="D71" s="338"/>
      <c r="E71" s="338"/>
      <c r="F71" s="338"/>
      <c r="G71" s="338"/>
      <c r="H71" s="338"/>
      <c r="I71" s="338"/>
      <c r="J71" s="338">
        <f>SUM(J68:J70)</f>
        <v>1000049</v>
      </c>
      <c r="K71" s="338"/>
      <c r="L71" s="338">
        <f>L68+L69</f>
        <v>518755</v>
      </c>
      <c r="M71" s="338"/>
      <c r="N71" s="338">
        <f>SUM(N68:N70)</f>
        <v>6598</v>
      </c>
      <c r="O71" s="338"/>
      <c r="P71" s="338">
        <f>SUM(P68:P70)</f>
        <v>116</v>
      </c>
      <c r="Q71" s="338"/>
      <c r="R71" s="338">
        <f>SUM(R68:R70)</f>
        <v>0</v>
      </c>
      <c r="S71" s="338"/>
      <c r="T71" s="338">
        <f>SUM(T68:T70)</f>
        <v>512273</v>
      </c>
      <c r="U71" s="288"/>
      <c r="V71" s="5"/>
    </row>
    <row r="72" spans="1:22" ht="15.6" x14ac:dyDescent="0.3">
      <c r="A72" s="175"/>
      <c r="B72" s="334"/>
      <c r="C72" s="335"/>
      <c r="D72" s="335"/>
      <c r="E72" s="335"/>
      <c r="F72" s="335"/>
      <c r="G72" s="335"/>
      <c r="H72" s="335"/>
      <c r="I72" s="335"/>
      <c r="J72" s="335"/>
      <c r="K72" s="335"/>
      <c r="L72" s="335"/>
      <c r="M72" s="335"/>
      <c r="N72" s="335"/>
      <c r="O72" s="335"/>
      <c r="P72" s="335"/>
      <c r="Q72" s="335"/>
      <c r="R72" s="335"/>
      <c r="S72" s="335"/>
      <c r="T72" s="336"/>
      <c r="U72" s="334"/>
      <c r="V72" s="5"/>
    </row>
    <row r="73" spans="1:22" ht="15.6" x14ac:dyDescent="0.3">
      <c r="A73" s="175"/>
      <c r="B73" s="179" t="s">
        <v>22</v>
      </c>
      <c r="C73" s="199"/>
      <c r="D73" s="199"/>
      <c r="E73" s="199"/>
      <c r="F73" s="199"/>
      <c r="G73" s="199"/>
      <c r="H73" s="199"/>
      <c r="I73" s="199"/>
      <c r="J73" s="199"/>
      <c r="K73" s="199"/>
      <c r="L73" s="199"/>
      <c r="M73" s="199"/>
      <c r="N73" s="199"/>
      <c r="O73" s="199"/>
      <c r="P73" s="199"/>
      <c r="Q73" s="199"/>
      <c r="R73" s="199"/>
      <c r="S73" s="199"/>
      <c r="T73" s="200"/>
      <c r="U73" s="177"/>
      <c r="V73" s="5"/>
    </row>
    <row r="74" spans="1:22" ht="15.6" x14ac:dyDescent="0.3">
      <c r="A74" s="175"/>
      <c r="B74" s="177"/>
      <c r="C74" s="199"/>
      <c r="D74" s="199"/>
      <c r="E74" s="199"/>
      <c r="F74" s="199"/>
      <c r="G74" s="199"/>
      <c r="H74" s="199"/>
      <c r="I74" s="199"/>
      <c r="J74" s="199"/>
      <c r="K74" s="199"/>
      <c r="L74" s="199"/>
      <c r="M74" s="199"/>
      <c r="N74" s="199"/>
      <c r="O74" s="199"/>
      <c r="P74" s="199"/>
      <c r="Q74" s="199"/>
      <c r="R74" s="199"/>
      <c r="S74" s="199"/>
      <c r="T74" s="200"/>
      <c r="U74" s="177"/>
      <c r="V74" s="5"/>
    </row>
    <row r="75" spans="1:22" ht="15.6" x14ac:dyDescent="0.3">
      <c r="A75" s="284"/>
      <c r="B75" s="285" t="s">
        <v>19</v>
      </c>
      <c r="C75" s="338"/>
      <c r="D75" s="338"/>
      <c r="E75" s="338"/>
      <c r="F75" s="338"/>
      <c r="G75" s="338"/>
      <c r="H75" s="338"/>
      <c r="I75" s="338"/>
      <c r="J75" s="338"/>
      <c r="K75" s="338"/>
      <c r="L75" s="338"/>
      <c r="M75" s="338"/>
      <c r="N75" s="338"/>
      <c r="O75" s="338"/>
      <c r="P75" s="338"/>
      <c r="Q75" s="338"/>
      <c r="R75" s="338"/>
      <c r="S75" s="338"/>
      <c r="T75" s="338"/>
      <c r="U75" s="288"/>
      <c r="V75" s="5"/>
    </row>
    <row r="76" spans="1:22" ht="15.6" x14ac:dyDescent="0.3">
      <c r="A76" s="284"/>
      <c r="B76" s="285" t="s">
        <v>20</v>
      </c>
      <c r="C76" s="338"/>
      <c r="D76" s="338"/>
      <c r="E76" s="338"/>
      <c r="F76" s="338"/>
      <c r="G76" s="338"/>
      <c r="H76" s="338"/>
      <c r="I76" s="338"/>
      <c r="J76" s="338"/>
      <c r="K76" s="338"/>
      <c r="L76" s="338"/>
      <c r="M76" s="338"/>
      <c r="N76" s="338"/>
      <c r="O76" s="338"/>
      <c r="P76" s="338"/>
      <c r="Q76" s="338"/>
      <c r="R76" s="338"/>
      <c r="S76" s="338"/>
      <c r="T76" s="338"/>
      <c r="U76" s="288"/>
      <c r="V76" s="5"/>
    </row>
    <row r="77" spans="1:22" ht="15.6" x14ac:dyDescent="0.3">
      <c r="A77" s="284"/>
      <c r="B77" s="285"/>
      <c r="C77" s="338"/>
      <c r="D77" s="338"/>
      <c r="E77" s="338"/>
      <c r="F77" s="338"/>
      <c r="G77" s="338"/>
      <c r="H77" s="338"/>
      <c r="I77" s="338"/>
      <c r="J77" s="338"/>
      <c r="K77" s="338"/>
      <c r="L77" s="338"/>
      <c r="M77" s="338"/>
      <c r="N77" s="338"/>
      <c r="O77" s="338"/>
      <c r="P77" s="338"/>
      <c r="Q77" s="338"/>
      <c r="R77" s="338"/>
      <c r="S77" s="338"/>
      <c r="T77" s="338"/>
      <c r="U77" s="288"/>
      <c r="V77" s="5"/>
    </row>
    <row r="78" spans="1:22" ht="15.6" x14ac:dyDescent="0.3">
      <c r="A78" s="284"/>
      <c r="B78" s="285" t="s">
        <v>21</v>
      </c>
      <c r="C78" s="338"/>
      <c r="D78" s="338"/>
      <c r="E78" s="338"/>
      <c r="F78" s="338"/>
      <c r="G78" s="338"/>
      <c r="H78" s="338"/>
      <c r="I78" s="338"/>
      <c r="J78" s="338"/>
      <c r="K78" s="338"/>
      <c r="L78" s="338"/>
      <c r="M78" s="338"/>
      <c r="N78" s="338"/>
      <c r="O78" s="338"/>
      <c r="P78" s="338"/>
      <c r="Q78" s="338"/>
      <c r="R78" s="338"/>
      <c r="S78" s="338"/>
      <c r="T78" s="338"/>
      <c r="U78" s="288"/>
      <c r="V78" s="5"/>
    </row>
    <row r="79" spans="1:22" ht="15.6" x14ac:dyDescent="0.3">
      <c r="A79" s="284"/>
      <c r="B79" s="285"/>
      <c r="C79" s="338"/>
      <c r="D79" s="338"/>
      <c r="E79" s="338"/>
      <c r="F79" s="338"/>
      <c r="G79" s="338"/>
      <c r="H79" s="338"/>
      <c r="I79" s="338"/>
      <c r="J79" s="338"/>
      <c r="K79" s="338"/>
      <c r="L79" s="338"/>
      <c r="M79" s="338"/>
      <c r="N79" s="338"/>
      <c r="O79" s="338"/>
      <c r="P79" s="338"/>
      <c r="Q79" s="338"/>
      <c r="R79" s="338"/>
      <c r="S79" s="338"/>
      <c r="T79" s="338"/>
      <c r="U79" s="288"/>
      <c r="V79" s="5"/>
    </row>
    <row r="80" spans="1:22" ht="15.6" x14ac:dyDescent="0.3">
      <c r="A80" s="284"/>
      <c r="B80" s="285" t="s">
        <v>23</v>
      </c>
      <c r="C80" s="338"/>
      <c r="D80" s="338"/>
      <c r="E80" s="338"/>
      <c r="F80" s="338"/>
      <c r="G80" s="338"/>
      <c r="H80" s="338"/>
      <c r="I80" s="338"/>
      <c r="J80" s="338">
        <v>0</v>
      </c>
      <c r="K80" s="338"/>
      <c r="L80" s="338">
        <v>0</v>
      </c>
      <c r="M80" s="338"/>
      <c r="N80" s="338"/>
      <c r="O80" s="338"/>
      <c r="P80" s="338"/>
      <c r="Q80" s="338"/>
      <c r="R80" s="338"/>
      <c r="S80" s="338"/>
      <c r="T80" s="339">
        <v>0</v>
      </c>
      <c r="U80" s="288"/>
      <c r="V80" s="5"/>
    </row>
    <row r="81" spans="1:22" ht="15.6" x14ac:dyDescent="0.3">
      <c r="A81" s="284"/>
      <c r="B81" s="285" t="s">
        <v>123</v>
      </c>
      <c r="C81" s="338"/>
      <c r="D81" s="338"/>
      <c r="E81" s="338"/>
      <c r="F81" s="338"/>
      <c r="G81" s="338"/>
      <c r="H81" s="338"/>
      <c r="I81" s="338"/>
      <c r="J81" s="338">
        <v>0</v>
      </c>
      <c r="K81" s="338"/>
      <c r="L81" s="338">
        <v>0</v>
      </c>
      <c r="M81" s="338"/>
      <c r="N81" s="338"/>
      <c r="O81" s="338"/>
      <c r="P81" s="338"/>
      <c r="Q81" s="338"/>
      <c r="R81" s="338"/>
      <c r="S81" s="338"/>
      <c r="T81" s="338">
        <f>SUM(J81:P81)</f>
        <v>0</v>
      </c>
      <c r="U81" s="288"/>
      <c r="V81" s="5"/>
    </row>
    <row r="82" spans="1:22" ht="15.6" x14ac:dyDescent="0.3">
      <c r="A82" s="284"/>
      <c r="B82" s="285" t="s">
        <v>152</v>
      </c>
      <c r="C82" s="338"/>
      <c r="D82" s="338"/>
      <c r="E82" s="338"/>
      <c r="F82" s="338"/>
      <c r="G82" s="338"/>
      <c r="H82" s="338"/>
      <c r="I82" s="338"/>
      <c r="J82" s="338">
        <v>1</v>
      </c>
      <c r="K82" s="338"/>
      <c r="L82" s="338">
        <v>0</v>
      </c>
      <c r="M82" s="338"/>
      <c r="N82" s="338">
        <v>0</v>
      </c>
      <c r="O82" s="338"/>
      <c r="P82" s="338"/>
      <c r="Q82" s="338"/>
      <c r="R82" s="338"/>
      <c r="S82" s="338"/>
      <c r="T82" s="338">
        <f>+L82+N82</f>
        <v>0</v>
      </c>
      <c r="U82" s="288"/>
      <c r="V82" s="5"/>
    </row>
    <row r="83" spans="1:22" ht="15.6" x14ac:dyDescent="0.3">
      <c r="A83" s="284"/>
      <c r="B83" s="285" t="s">
        <v>25</v>
      </c>
      <c r="C83" s="338"/>
      <c r="D83" s="338"/>
      <c r="E83" s="338"/>
      <c r="F83" s="338"/>
      <c r="G83" s="338"/>
      <c r="H83" s="338"/>
      <c r="I83" s="338"/>
      <c r="J83" s="338">
        <v>0</v>
      </c>
      <c r="K83" s="338"/>
      <c r="L83" s="338">
        <v>0</v>
      </c>
      <c r="M83" s="338"/>
      <c r="N83" s="338"/>
      <c r="O83" s="338"/>
      <c r="P83" s="338"/>
      <c r="Q83" s="338"/>
      <c r="R83" s="338"/>
      <c r="S83" s="338"/>
      <c r="T83" s="338">
        <v>0</v>
      </c>
      <c r="U83" s="288"/>
      <c r="V83" s="5"/>
    </row>
    <row r="84" spans="1:22" ht="15.6" x14ac:dyDescent="0.3">
      <c r="A84" s="284"/>
      <c r="B84" s="285" t="s">
        <v>26</v>
      </c>
      <c r="C84" s="338"/>
      <c r="D84" s="338"/>
      <c r="E84" s="338"/>
      <c r="F84" s="338"/>
      <c r="G84" s="338"/>
      <c r="H84" s="338"/>
      <c r="I84" s="338"/>
      <c r="J84" s="338">
        <f>SUM(J71:J83)</f>
        <v>1000050</v>
      </c>
      <c r="K84" s="338"/>
      <c r="L84" s="338">
        <f>SUM(L71:L83)</f>
        <v>518755</v>
      </c>
      <c r="M84" s="338"/>
      <c r="N84" s="338"/>
      <c r="O84" s="338"/>
      <c r="P84" s="338"/>
      <c r="Q84" s="338"/>
      <c r="R84" s="338"/>
      <c r="S84" s="338"/>
      <c r="T84" s="338">
        <f>SUM(T71:T83)</f>
        <v>512273</v>
      </c>
      <c r="U84" s="288"/>
      <c r="V84" s="5"/>
    </row>
    <row r="85" spans="1:22" ht="15.6" x14ac:dyDescent="0.3">
      <c r="A85" s="175"/>
      <c r="B85" s="334"/>
      <c r="C85" s="335"/>
      <c r="D85" s="335"/>
      <c r="E85" s="335"/>
      <c r="F85" s="335"/>
      <c r="G85" s="335"/>
      <c r="H85" s="335"/>
      <c r="I85" s="335"/>
      <c r="J85" s="335"/>
      <c r="K85" s="335"/>
      <c r="L85" s="335"/>
      <c r="M85" s="335"/>
      <c r="N85" s="335"/>
      <c r="O85" s="335"/>
      <c r="P85" s="335"/>
      <c r="Q85" s="335"/>
      <c r="R85" s="335"/>
      <c r="S85" s="335"/>
      <c r="T85" s="336"/>
      <c r="U85" s="334"/>
      <c r="V85" s="5"/>
    </row>
    <row r="86" spans="1:22" ht="15.6" x14ac:dyDescent="0.3">
      <c r="A86" s="175"/>
      <c r="B86" s="177"/>
      <c r="C86" s="177"/>
      <c r="D86" s="177"/>
      <c r="E86" s="177"/>
      <c r="F86" s="177"/>
      <c r="G86" s="177"/>
      <c r="H86" s="177"/>
      <c r="I86" s="177"/>
      <c r="J86" s="177"/>
      <c r="K86" s="177"/>
      <c r="L86" s="177"/>
      <c r="M86" s="177"/>
      <c r="N86" s="177"/>
      <c r="O86" s="177"/>
      <c r="P86" s="177"/>
      <c r="Q86" s="177"/>
      <c r="R86" s="177"/>
      <c r="S86" s="177"/>
      <c r="T86" s="177"/>
      <c r="U86" s="177"/>
      <c r="V86" s="5"/>
    </row>
    <row r="87" spans="1:22" ht="15.6" x14ac:dyDescent="0.3">
      <c r="A87" s="222"/>
      <c r="B87" s="395" t="s">
        <v>27</v>
      </c>
      <c r="C87" s="395"/>
      <c r="D87" s="395"/>
      <c r="E87" s="395"/>
      <c r="F87" s="395"/>
      <c r="G87" s="395"/>
      <c r="H87" s="396"/>
      <c r="I87" s="396"/>
      <c r="J87" s="397" t="s">
        <v>98</v>
      </c>
      <c r="K87" s="396"/>
      <c r="L87" s="398">
        <f>+R194</f>
        <v>42004</v>
      </c>
      <c r="M87" s="396"/>
      <c r="N87" s="396"/>
      <c r="O87" s="396"/>
      <c r="P87" s="396"/>
      <c r="Q87" s="396"/>
      <c r="R87" s="396" t="s">
        <v>111</v>
      </c>
      <c r="S87" s="396"/>
      <c r="T87" s="396" t="s">
        <v>119</v>
      </c>
      <c r="U87" s="223"/>
      <c r="V87" s="5"/>
    </row>
    <row r="88" spans="1:22" ht="15.6" x14ac:dyDescent="0.3">
      <c r="A88" s="190"/>
      <c r="B88" s="239" t="s">
        <v>28</v>
      </c>
      <c r="C88" s="239"/>
      <c r="D88" s="239"/>
      <c r="E88" s="239"/>
      <c r="F88" s="239"/>
      <c r="G88" s="239"/>
      <c r="H88" s="239"/>
      <c r="I88" s="239"/>
      <c r="J88" s="239"/>
      <c r="K88" s="239"/>
      <c r="L88" s="239"/>
      <c r="M88" s="239"/>
      <c r="N88" s="239"/>
      <c r="O88" s="239"/>
      <c r="P88" s="239"/>
      <c r="Q88" s="239"/>
      <c r="R88" s="243">
        <v>0</v>
      </c>
      <c r="S88" s="239"/>
      <c r="T88" s="251">
        <v>0</v>
      </c>
      <c r="U88" s="239"/>
      <c r="V88" s="5"/>
    </row>
    <row r="89" spans="1:22" ht="15.6" x14ac:dyDescent="0.3">
      <c r="A89" s="284"/>
      <c r="B89" s="285" t="s">
        <v>29</v>
      </c>
      <c r="C89" s="285"/>
      <c r="D89" s="285"/>
      <c r="E89" s="285"/>
      <c r="F89" s="285"/>
      <c r="G89" s="285"/>
      <c r="H89" s="324"/>
      <c r="I89" s="341"/>
      <c r="J89" s="324"/>
      <c r="K89" s="285"/>
      <c r="L89" s="342"/>
      <c r="M89" s="285"/>
      <c r="N89" s="285"/>
      <c r="O89" s="285"/>
      <c r="P89" s="285"/>
      <c r="Q89" s="285"/>
      <c r="R89" s="338">
        <f>6598-385</f>
        <v>6213</v>
      </c>
      <c r="S89" s="285"/>
      <c r="T89" s="339"/>
      <c r="U89" s="288"/>
      <c r="V89" s="5"/>
    </row>
    <row r="90" spans="1:22" ht="15.6" x14ac:dyDescent="0.3">
      <c r="A90" s="284"/>
      <c r="B90" s="285" t="s">
        <v>225</v>
      </c>
      <c r="C90" s="285"/>
      <c r="D90" s="285"/>
      <c r="E90" s="285"/>
      <c r="F90" s="285"/>
      <c r="G90" s="285"/>
      <c r="H90" s="324"/>
      <c r="I90" s="341"/>
      <c r="J90" s="324"/>
      <c r="K90" s="285"/>
      <c r="L90" s="342"/>
      <c r="M90" s="285"/>
      <c r="N90" s="285"/>
      <c r="O90" s="285"/>
      <c r="P90" s="285"/>
      <c r="Q90" s="285"/>
      <c r="R90" s="338"/>
      <c r="S90" s="285"/>
      <c r="T90" s="339">
        <f>1936+1947-546-367</f>
        <v>2970</v>
      </c>
      <c r="U90" s="288"/>
      <c r="V90" s="5"/>
    </row>
    <row r="91" spans="1:22" ht="15.6" x14ac:dyDescent="0.3">
      <c r="A91" s="284"/>
      <c r="B91" s="285" t="s">
        <v>220</v>
      </c>
      <c r="C91" s="285"/>
      <c r="D91" s="285"/>
      <c r="E91" s="285"/>
      <c r="F91" s="285"/>
      <c r="G91" s="285"/>
      <c r="H91" s="324"/>
      <c r="I91" s="341"/>
      <c r="J91" s="324"/>
      <c r="K91" s="285"/>
      <c r="L91" s="342"/>
      <c r="M91" s="285"/>
      <c r="N91" s="285"/>
      <c r="O91" s="285"/>
      <c r="P91" s="285"/>
      <c r="Q91" s="285"/>
      <c r="R91" s="338"/>
      <c r="S91" s="285"/>
      <c r="T91" s="339">
        <f>69+225</f>
        <v>294</v>
      </c>
      <c r="U91" s="288"/>
      <c r="V91" s="5"/>
    </row>
    <row r="92" spans="1:22" ht="15.6" x14ac:dyDescent="0.3">
      <c r="A92" s="284"/>
      <c r="B92" s="285" t="s">
        <v>221</v>
      </c>
      <c r="C92" s="285"/>
      <c r="D92" s="285"/>
      <c r="E92" s="285"/>
      <c r="F92" s="285"/>
      <c r="G92" s="285"/>
      <c r="H92" s="324"/>
      <c r="I92" s="341"/>
      <c r="J92" s="324"/>
      <c r="K92" s="285"/>
      <c r="L92" s="342"/>
      <c r="M92" s="285"/>
      <c r="N92" s="285"/>
      <c r="O92" s="285"/>
      <c r="P92" s="285"/>
      <c r="Q92" s="285"/>
      <c r="R92" s="338"/>
      <c r="S92" s="285"/>
      <c r="T92" s="339">
        <v>29</v>
      </c>
      <c r="U92" s="288"/>
      <c r="V92" s="5"/>
    </row>
    <row r="93" spans="1:22" ht="15.6" x14ac:dyDescent="0.3">
      <c r="A93" s="284"/>
      <c r="B93" s="285" t="s">
        <v>261</v>
      </c>
      <c r="C93" s="285"/>
      <c r="D93" s="285"/>
      <c r="E93" s="285"/>
      <c r="F93" s="285"/>
      <c r="G93" s="285"/>
      <c r="H93" s="324"/>
      <c r="I93" s="341"/>
      <c r="J93" s="324"/>
      <c r="K93" s="285"/>
      <c r="L93" s="342"/>
      <c r="M93" s="285"/>
      <c r="N93" s="285"/>
      <c r="O93" s="285"/>
      <c r="P93" s="285"/>
      <c r="Q93" s="285"/>
      <c r="R93" s="338"/>
      <c r="S93" s="285"/>
      <c r="T93" s="339">
        <v>0</v>
      </c>
      <c r="U93" s="288"/>
      <c r="V93" s="5"/>
    </row>
    <row r="94" spans="1:22" ht="15.6" x14ac:dyDescent="0.3">
      <c r="A94" s="284"/>
      <c r="B94" s="285" t="s">
        <v>141</v>
      </c>
      <c r="C94" s="285"/>
      <c r="D94" s="285"/>
      <c r="E94" s="285"/>
      <c r="F94" s="285"/>
      <c r="G94" s="285"/>
      <c r="H94" s="285"/>
      <c r="I94" s="285"/>
      <c r="J94" s="285"/>
      <c r="K94" s="285"/>
      <c r="L94" s="285"/>
      <c r="M94" s="285"/>
      <c r="N94" s="285"/>
      <c r="O94" s="285"/>
      <c r="P94" s="285"/>
      <c r="Q94" s="285"/>
      <c r="R94" s="338"/>
      <c r="S94" s="285"/>
      <c r="T94" s="339">
        <v>0</v>
      </c>
      <c r="U94" s="288"/>
      <c r="V94" s="5"/>
    </row>
    <row r="95" spans="1:22" ht="15.6" x14ac:dyDescent="0.3">
      <c r="A95" s="284"/>
      <c r="B95" s="285" t="s">
        <v>250</v>
      </c>
      <c r="C95" s="285"/>
      <c r="D95" s="285"/>
      <c r="E95" s="285"/>
      <c r="F95" s="285"/>
      <c r="G95" s="285"/>
      <c r="H95" s="285"/>
      <c r="I95" s="285"/>
      <c r="J95" s="285"/>
      <c r="K95" s="285"/>
      <c r="L95" s="285"/>
      <c r="M95" s="285"/>
      <c r="N95" s="285"/>
      <c r="O95" s="285"/>
      <c r="P95" s="285"/>
      <c r="Q95" s="285"/>
      <c r="R95" s="338"/>
      <c r="S95" s="285"/>
      <c r="T95" s="339">
        <v>7</v>
      </c>
      <c r="U95" s="288"/>
      <c r="V95" s="5"/>
    </row>
    <row r="96" spans="1:22" ht="15.6" x14ac:dyDescent="0.3">
      <c r="A96" s="284"/>
      <c r="B96" s="285" t="s">
        <v>30</v>
      </c>
      <c r="C96" s="285"/>
      <c r="D96" s="285"/>
      <c r="E96" s="285"/>
      <c r="F96" s="285"/>
      <c r="G96" s="285"/>
      <c r="H96" s="285"/>
      <c r="I96" s="285"/>
      <c r="J96" s="285"/>
      <c r="K96" s="285"/>
      <c r="L96" s="285"/>
      <c r="M96" s="285"/>
      <c r="N96" s="285"/>
      <c r="O96" s="285"/>
      <c r="P96" s="285"/>
      <c r="Q96" s="285"/>
      <c r="R96" s="338">
        <f>SUM(R88:R95)</f>
        <v>6213</v>
      </c>
      <c r="S96" s="285"/>
      <c r="T96" s="338">
        <f>SUM(T88:T95)</f>
        <v>3300</v>
      </c>
      <c r="U96" s="288"/>
      <c r="V96" s="5"/>
    </row>
    <row r="97" spans="1:24" ht="15.6" x14ac:dyDescent="0.3">
      <c r="A97" s="284"/>
      <c r="B97" s="285" t="s">
        <v>168</v>
      </c>
      <c r="C97" s="285"/>
      <c r="D97" s="285"/>
      <c r="E97" s="285"/>
      <c r="F97" s="285"/>
      <c r="G97" s="285"/>
      <c r="H97" s="285"/>
      <c r="I97" s="285"/>
      <c r="J97" s="285"/>
      <c r="K97" s="285"/>
      <c r="L97" s="285"/>
      <c r="M97" s="285"/>
      <c r="N97" s="285"/>
      <c r="O97" s="285"/>
      <c r="P97" s="285"/>
      <c r="Q97" s="285"/>
      <c r="R97" s="338">
        <v>0</v>
      </c>
      <c r="S97" s="285"/>
      <c r="T97" s="338">
        <f>-R97</f>
        <v>0</v>
      </c>
      <c r="U97" s="288"/>
      <c r="V97" s="5"/>
    </row>
    <row r="98" spans="1:24" ht="15.6" x14ac:dyDescent="0.3">
      <c r="A98" s="284"/>
      <c r="B98" s="285" t="s">
        <v>31</v>
      </c>
      <c r="C98" s="285"/>
      <c r="D98" s="285"/>
      <c r="E98" s="285"/>
      <c r="F98" s="285"/>
      <c r="G98" s="285"/>
      <c r="H98" s="285"/>
      <c r="I98" s="285"/>
      <c r="J98" s="285"/>
      <c r="K98" s="285"/>
      <c r="L98" s="285"/>
      <c r="M98" s="285"/>
      <c r="N98" s="285"/>
      <c r="O98" s="285"/>
      <c r="P98" s="285"/>
      <c r="Q98" s="285"/>
      <c r="R98" s="338">
        <f>-T98</f>
        <v>0</v>
      </c>
      <c r="S98" s="285"/>
      <c r="T98" s="339">
        <v>0</v>
      </c>
      <c r="U98" s="288"/>
      <c r="V98" s="5"/>
    </row>
    <row r="99" spans="1:24" ht="15.6" x14ac:dyDescent="0.3">
      <c r="A99" s="284"/>
      <c r="B99" s="285" t="s">
        <v>273</v>
      </c>
      <c r="C99" s="285"/>
      <c r="D99" s="285"/>
      <c r="E99" s="285"/>
      <c r="F99" s="285"/>
      <c r="G99" s="285"/>
      <c r="H99" s="285"/>
      <c r="I99" s="285"/>
      <c r="J99" s="285"/>
      <c r="K99" s="285"/>
      <c r="L99" s="285"/>
      <c r="M99" s="285"/>
      <c r="N99" s="285"/>
      <c r="O99" s="285"/>
      <c r="P99" s="285"/>
      <c r="Q99" s="285"/>
      <c r="R99" s="338"/>
      <c r="S99" s="285"/>
      <c r="T99" s="339">
        <v>137</v>
      </c>
      <c r="U99" s="288"/>
      <c r="V99" s="5"/>
    </row>
    <row r="100" spans="1:24" ht="15.6" x14ac:dyDescent="0.3">
      <c r="A100" s="284"/>
      <c r="B100" s="285" t="s">
        <v>32</v>
      </c>
      <c r="C100" s="285"/>
      <c r="D100" s="285"/>
      <c r="E100" s="285"/>
      <c r="F100" s="285"/>
      <c r="G100" s="285"/>
      <c r="H100" s="285"/>
      <c r="I100" s="285"/>
      <c r="J100" s="285"/>
      <c r="K100" s="285"/>
      <c r="L100" s="285"/>
      <c r="M100" s="285"/>
      <c r="N100" s="285"/>
      <c r="O100" s="285"/>
      <c r="P100" s="285"/>
      <c r="Q100" s="285"/>
      <c r="R100" s="338">
        <f>R96+R98+R97</f>
        <v>6213</v>
      </c>
      <c r="S100" s="285"/>
      <c r="T100" s="338">
        <f>T96+T98+T97+T99</f>
        <v>3437</v>
      </c>
      <c r="U100" s="288"/>
      <c r="V100" s="5"/>
    </row>
    <row r="101" spans="1:24" ht="15.6" x14ac:dyDescent="0.3">
      <c r="A101" s="284"/>
      <c r="B101" s="343" t="s">
        <v>33</v>
      </c>
      <c r="C101" s="311"/>
      <c r="D101" s="311"/>
      <c r="E101" s="311"/>
      <c r="F101" s="311"/>
      <c r="G101" s="311"/>
      <c r="H101" s="311"/>
      <c r="I101" s="311"/>
      <c r="J101" s="311"/>
      <c r="K101" s="311"/>
      <c r="L101" s="311"/>
      <c r="M101" s="311"/>
      <c r="N101" s="311"/>
      <c r="O101" s="311"/>
      <c r="P101" s="311"/>
      <c r="Q101" s="311"/>
      <c r="R101" s="344"/>
      <c r="S101" s="311"/>
      <c r="T101" s="345"/>
      <c r="U101" s="317"/>
      <c r="V101" s="5"/>
    </row>
    <row r="102" spans="1:24" ht="15.6" x14ac:dyDescent="0.3">
      <c r="A102" s="337">
        <v>1</v>
      </c>
      <c r="B102" s="285" t="s">
        <v>34</v>
      </c>
      <c r="C102" s="285"/>
      <c r="D102" s="285"/>
      <c r="E102" s="285"/>
      <c r="F102" s="285"/>
      <c r="G102" s="285"/>
      <c r="H102" s="285"/>
      <c r="I102" s="285"/>
      <c r="J102" s="285"/>
      <c r="K102" s="285"/>
      <c r="L102" s="285"/>
      <c r="M102" s="285"/>
      <c r="N102" s="285"/>
      <c r="O102" s="285"/>
      <c r="P102" s="285"/>
      <c r="Q102" s="285"/>
      <c r="R102" s="285"/>
      <c r="S102" s="285"/>
      <c r="T102" s="339">
        <v>0</v>
      </c>
      <c r="U102" s="288"/>
      <c r="V102" s="5"/>
    </row>
    <row r="103" spans="1:24" ht="15.6" x14ac:dyDescent="0.3">
      <c r="A103" s="337">
        <f>+A102+1</f>
        <v>2</v>
      </c>
      <c r="B103" s="285" t="s">
        <v>312</v>
      </c>
      <c r="C103" s="285"/>
      <c r="D103" s="285"/>
      <c r="E103" s="285"/>
      <c r="F103" s="285"/>
      <c r="G103" s="285"/>
      <c r="H103" s="285"/>
      <c r="I103" s="285"/>
      <c r="J103" s="285"/>
      <c r="K103" s="285"/>
      <c r="L103" s="285"/>
      <c r="M103" s="285"/>
      <c r="N103" s="285"/>
      <c r="O103" s="285"/>
      <c r="P103" s="285"/>
      <c r="Q103" s="285"/>
      <c r="R103" s="285"/>
      <c r="S103" s="285"/>
      <c r="T103" s="339">
        <v>-2</v>
      </c>
      <c r="U103" s="288"/>
      <c r="V103" s="5"/>
    </row>
    <row r="104" spans="1:24" ht="15.6" x14ac:dyDescent="0.3">
      <c r="A104" s="337">
        <f>+A103+1</f>
        <v>3</v>
      </c>
      <c r="B104" s="407" t="s">
        <v>314</v>
      </c>
      <c r="C104" s="285"/>
      <c r="D104" s="285"/>
      <c r="E104" s="285"/>
      <c r="F104" s="285"/>
      <c r="G104" s="285"/>
      <c r="H104" s="285"/>
      <c r="I104" s="285"/>
      <c r="J104" s="285"/>
      <c r="K104" s="285"/>
      <c r="L104" s="285"/>
      <c r="M104" s="285"/>
      <c r="N104" s="285"/>
      <c r="O104" s="285"/>
      <c r="P104" s="285"/>
      <c r="Q104" s="285"/>
      <c r="R104" s="285"/>
      <c r="S104" s="285"/>
      <c r="T104" s="339">
        <f>-198-178-7</f>
        <v>-383</v>
      </c>
      <c r="U104" s="288"/>
      <c r="V104" s="5"/>
    </row>
    <row r="105" spans="1:24" ht="15.6" x14ac:dyDescent="0.3">
      <c r="A105" s="337" t="s">
        <v>133</v>
      </c>
      <c r="B105" s="285" t="s">
        <v>122</v>
      </c>
      <c r="C105" s="285"/>
      <c r="D105" s="285"/>
      <c r="E105" s="285"/>
      <c r="F105" s="285"/>
      <c r="G105" s="285"/>
      <c r="H105" s="285"/>
      <c r="I105" s="285"/>
      <c r="J105" s="285"/>
      <c r="K105" s="285"/>
      <c r="L105" s="285"/>
      <c r="M105" s="285"/>
      <c r="N105" s="285"/>
      <c r="O105" s="285"/>
      <c r="P105" s="285"/>
      <c r="Q105" s="285"/>
      <c r="R105" s="285"/>
      <c r="S105" s="285"/>
      <c r="T105" s="339">
        <v>0</v>
      </c>
      <c r="U105" s="288"/>
      <c r="V105" s="5"/>
    </row>
    <row r="106" spans="1:24" ht="15.6" x14ac:dyDescent="0.3">
      <c r="A106" s="337" t="s">
        <v>134</v>
      </c>
      <c r="B106" s="285" t="s">
        <v>194</v>
      </c>
      <c r="C106" s="285"/>
      <c r="D106" s="285"/>
      <c r="E106" s="285"/>
      <c r="F106" s="285"/>
      <c r="G106" s="285"/>
      <c r="H106" s="285"/>
      <c r="I106" s="285"/>
      <c r="J106" s="285"/>
      <c r="K106" s="285"/>
      <c r="L106" s="285"/>
      <c r="M106" s="285"/>
      <c r="N106" s="285"/>
      <c r="O106" s="285"/>
      <c r="P106" s="285"/>
      <c r="Q106" s="285"/>
      <c r="R106" s="285"/>
      <c r="S106" s="285"/>
      <c r="T106" s="339">
        <f>-704+134</f>
        <v>-570</v>
      </c>
      <c r="U106" s="288"/>
      <c r="V106" s="5"/>
      <c r="W106" s="109"/>
    </row>
    <row r="107" spans="1:24" ht="15.6" x14ac:dyDescent="0.3">
      <c r="A107" s="337" t="s">
        <v>156</v>
      </c>
      <c r="B107" s="285" t="s">
        <v>191</v>
      </c>
      <c r="C107" s="285"/>
      <c r="D107" s="285"/>
      <c r="E107" s="285"/>
      <c r="F107" s="285"/>
      <c r="G107" s="285"/>
      <c r="H107" s="285"/>
      <c r="I107" s="285"/>
      <c r="J107" s="285"/>
      <c r="K107" s="285"/>
      <c r="L107" s="285"/>
      <c r="M107" s="285"/>
      <c r="N107" s="285"/>
      <c r="O107" s="285"/>
      <c r="P107" s="285"/>
      <c r="Q107" s="285"/>
      <c r="R107" s="285"/>
      <c r="S107" s="285"/>
      <c r="T107" s="339">
        <v>-134</v>
      </c>
      <c r="U107" s="288"/>
      <c r="V107" s="5"/>
      <c r="W107" s="109"/>
    </row>
    <row r="108" spans="1:24" ht="15.6" x14ac:dyDescent="0.3">
      <c r="A108" s="337" t="s">
        <v>214</v>
      </c>
      <c r="B108" s="285" t="s">
        <v>192</v>
      </c>
      <c r="C108" s="285"/>
      <c r="D108" s="285"/>
      <c r="E108" s="285"/>
      <c r="F108" s="285"/>
      <c r="G108" s="285"/>
      <c r="H108" s="285"/>
      <c r="I108" s="285"/>
      <c r="J108" s="285"/>
      <c r="K108" s="285"/>
      <c r="L108" s="285"/>
      <c r="M108" s="285"/>
      <c r="N108" s="285"/>
      <c r="O108" s="285"/>
      <c r="P108" s="285"/>
      <c r="Q108" s="285"/>
      <c r="R108" s="285"/>
      <c r="S108" s="285"/>
      <c r="T108" s="339">
        <v>-152</v>
      </c>
      <c r="U108" s="288"/>
      <c r="V108" s="5"/>
      <c r="W108" s="109"/>
      <c r="X108" s="109"/>
    </row>
    <row r="109" spans="1:24" ht="15.6" x14ac:dyDescent="0.3">
      <c r="A109" s="337" t="s">
        <v>215</v>
      </c>
      <c r="B109" s="285" t="s">
        <v>193</v>
      </c>
      <c r="C109" s="285"/>
      <c r="D109" s="285"/>
      <c r="E109" s="285"/>
      <c r="F109" s="285"/>
      <c r="G109" s="285"/>
      <c r="H109" s="285"/>
      <c r="I109" s="285"/>
      <c r="J109" s="285"/>
      <c r="K109" s="285"/>
      <c r="L109" s="285"/>
      <c r="M109" s="285"/>
      <c r="N109" s="285"/>
      <c r="O109" s="285"/>
      <c r="P109" s="285"/>
      <c r="Q109" s="285"/>
      <c r="R109" s="285"/>
      <c r="S109" s="285"/>
      <c r="T109" s="339">
        <v>-42</v>
      </c>
      <c r="U109" s="288"/>
      <c r="V109" s="169"/>
      <c r="W109" s="109"/>
    </row>
    <row r="110" spans="1:24" ht="15.6" x14ac:dyDescent="0.3">
      <c r="A110" s="337" t="s">
        <v>216</v>
      </c>
      <c r="B110" s="285" t="s">
        <v>204</v>
      </c>
      <c r="C110" s="285"/>
      <c r="D110" s="285"/>
      <c r="E110" s="285"/>
      <c r="F110" s="285"/>
      <c r="G110" s="285"/>
      <c r="H110" s="285"/>
      <c r="I110" s="285"/>
      <c r="J110" s="285"/>
      <c r="K110" s="285"/>
      <c r="L110" s="285"/>
      <c r="M110" s="285"/>
      <c r="N110" s="285"/>
      <c r="O110" s="285"/>
      <c r="P110" s="285"/>
      <c r="Q110" s="285"/>
      <c r="R110" s="285"/>
      <c r="S110" s="285"/>
      <c r="T110" s="339">
        <v>-233</v>
      </c>
      <c r="U110" s="288"/>
      <c r="V110" s="5"/>
      <c r="W110" s="109"/>
    </row>
    <row r="111" spans="1:24" ht="15.6" x14ac:dyDescent="0.3">
      <c r="A111" s="406">
        <v>7</v>
      </c>
      <c r="B111" s="407" t="s">
        <v>313</v>
      </c>
      <c r="C111" s="407"/>
      <c r="D111" s="407"/>
      <c r="E111" s="407"/>
      <c r="F111" s="407"/>
      <c r="G111" s="285"/>
      <c r="H111" s="285"/>
      <c r="I111" s="285"/>
      <c r="J111" s="285"/>
      <c r="K111" s="285"/>
      <c r="L111" s="285"/>
      <c r="M111" s="285"/>
      <c r="N111" s="285"/>
      <c r="O111" s="285"/>
      <c r="P111" s="285"/>
      <c r="Q111" s="285"/>
      <c r="R111" s="285"/>
      <c r="S111" s="285"/>
      <c r="T111" s="339">
        <v>0</v>
      </c>
      <c r="U111" s="288"/>
      <c r="V111" s="5"/>
      <c r="W111" s="109"/>
    </row>
    <row r="112" spans="1:24" ht="15.6" x14ac:dyDescent="0.3">
      <c r="A112" s="337">
        <f t="shared" ref="A112:A118" si="0">+A111+1</f>
        <v>8</v>
      </c>
      <c r="B112" s="285" t="s">
        <v>35</v>
      </c>
      <c r="C112" s="285"/>
      <c r="D112" s="285"/>
      <c r="E112" s="285"/>
      <c r="F112" s="285"/>
      <c r="G112" s="285"/>
      <c r="H112" s="285"/>
      <c r="I112" s="285"/>
      <c r="J112" s="285"/>
      <c r="K112" s="285"/>
      <c r="L112" s="285"/>
      <c r="M112" s="285"/>
      <c r="N112" s="285"/>
      <c r="O112" s="285"/>
      <c r="P112" s="285"/>
      <c r="Q112" s="285"/>
      <c r="R112" s="285"/>
      <c r="S112" s="285"/>
      <c r="T112" s="339">
        <v>-10</v>
      </c>
      <c r="U112" s="288"/>
      <c r="V112" s="5"/>
    </row>
    <row r="113" spans="1:22" ht="15.6" x14ac:dyDescent="0.3">
      <c r="A113" s="337">
        <f t="shared" si="0"/>
        <v>9</v>
      </c>
      <c r="B113" s="285" t="s">
        <v>46</v>
      </c>
      <c r="C113" s="285"/>
      <c r="D113" s="285"/>
      <c r="E113" s="285"/>
      <c r="F113" s="285"/>
      <c r="G113" s="285"/>
      <c r="H113" s="285"/>
      <c r="I113" s="285"/>
      <c r="J113" s="285"/>
      <c r="K113" s="285"/>
      <c r="L113" s="285"/>
      <c r="M113" s="285"/>
      <c r="N113" s="285"/>
      <c r="O113" s="285"/>
      <c r="P113" s="285"/>
      <c r="Q113" s="285"/>
      <c r="R113" s="338">
        <f>-T113</f>
        <v>385</v>
      </c>
      <c r="S113" s="285"/>
      <c r="T113" s="339">
        <v>-385</v>
      </c>
      <c r="U113" s="288"/>
      <c r="V113" s="5"/>
    </row>
    <row r="114" spans="1:22" ht="15.6" x14ac:dyDescent="0.3">
      <c r="A114" s="337">
        <f t="shared" si="0"/>
        <v>10</v>
      </c>
      <c r="B114" s="285" t="s">
        <v>131</v>
      </c>
      <c r="C114" s="285"/>
      <c r="D114" s="285"/>
      <c r="E114" s="285"/>
      <c r="F114" s="285"/>
      <c r="G114" s="285"/>
      <c r="H114" s="285"/>
      <c r="I114" s="285"/>
      <c r="J114" s="285"/>
      <c r="K114" s="285"/>
      <c r="L114" s="285"/>
      <c r="M114" s="285"/>
      <c r="N114" s="285"/>
      <c r="O114" s="285"/>
      <c r="P114" s="285"/>
      <c r="Q114" s="285"/>
      <c r="R114" s="285"/>
      <c r="S114" s="285"/>
      <c r="T114" s="339">
        <v>0</v>
      </c>
      <c r="U114" s="288"/>
      <c r="V114" s="5"/>
    </row>
    <row r="115" spans="1:22" ht="15.6" x14ac:dyDescent="0.3">
      <c r="A115" s="337">
        <f t="shared" si="0"/>
        <v>11</v>
      </c>
      <c r="B115" s="285" t="s">
        <v>36</v>
      </c>
      <c r="C115" s="285"/>
      <c r="D115" s="285"/>
      <c r="E115" s="285"/>
      <c r="F115" s="285"/>
      <c r="G115" s="285"/>
      <c r="H115" s="285"/>
      <c r="I115" s="285"/>
      <c r="J115" s="285"/>
      <c r="K115" s="285"/>
      <c r="L115" s="285"/>
      <c r="M115" s="285"/>
      <c r="N115" s="285"/>
      <c r="O115" s="285"/>
      <c r="P115" s="285"/>
      <c r="Q115" s="285"/>
      <c r="R115" s="285"/>
      <c r="S115" s="285"/>
      <c r="T115" s="339">
        <v>0</v>
      </c>
      <c r="U115" s="288"/>
      <c r="V115" s="5"/>
    </row>
    <row r="116" spans="1:22" ht="15.6" x14ac:dyDescent="0.3">
      <c r="A116" s="337">
        <f t="shared" si="0"/>
        <v>12</v>
      </c>
      <c r="B116" s="285" t="s">
        <v>37</v>
      </c>
      <c r="C116" s="285"/>
      <c r="D116" s="285"/>
      <c r="E116" s="285"/>
      <c r="F116" s="285"/>
      <c r="G116" s="285"/>
      <c r="H116" s="285"/>
      <c r="I116" s="285"/>
      <c r="J116" s="285"/>
      <c r="K116" s="285"/>
      <c r="L116" s="285"/>
      <c r="M116" s="285"/>
      <c r="N116" s="285"/>
      <c r="O116" s="285"/>
      <c r="P116" s="285"/>
      <c r="Q116" s="285"/>
      <c r="R116" s="285"/>
      <c r="S116" s="285"/>
      <c r="T116" s="339">
        <v>0</v>
      </c>
      <c r="U116" s="288"/>
      <c r="V116" s="5"/>
    </row>
    <row r="117" spans="1:22" ht="15.6" x14ac:dyDescent="0.3">
      <c r="A117" s="337">
        <f t="shared" si="0"/>
        <v>13</v>
      </c>
      <c r="B117" s="285" t="s">
        <v>155</v>
      </c>
      <c r="C117" s="285"/>
      <c r="D117" s="285"/>
      <c r="E117" s="285"/>
      <c r="F117" s="285"/>
      <c r="G117" s="285"/>
      <c r="H117" s="285"/>
      <c r="I117" s="285"/>
      <c r="J117" s="285"/>
      <c r="K117" s="285"/>
      <c r="L117" s="285"/>
      <c r="M117" s="285"/>
      <c r="N117" s="285"/>
      <c r="O117" s="285"/>
      <c r="P117" s="285"/>
      <c r="Q117" s="285"/>
      <c r="R117" s="285"/>
      <c r="S117" s="285"/>
      <c r="T117" s="339">
        <v>-199</v>
      </c>
      <c r="U117" s="288"/>
      <c r="V117" s="5"/>
    </row>
    <row r="118" spans="1:22" ht="15.6" x14ac:dyDescent="0.3">
      <c r="A118" s="337">
        <f t="shared" si="0"/>
        <v>14</v>
      </c>
      <c r="B118" s="285" t="s">
        <v>132</v>
      </c>
      <c r="C118" s="285"/>
      <c r="D118" s="285"/>
      <c r="E118" s="285"/>
      <c r="F118" s="285"/>
      <c r="G118" s="285"/>
      <c r="H118" s="285"/>
      <c r="I118" s="285"/>
      <c r="J118" s="285"/>
      <c r="K118" s="285"/>
      <c r="L118" s="285"/>
      <c r="M118" s="285"/>
      <c r="N118" s="285"/>
      <c r="O118" s="285"/>
      <c r="P118" s="285"/>
      <c r="Q118" s="285"/>
      <c r="R118" s="285"/>
      <c r="S118" s="285"/>
      <c r="T118" s="339">
        <f>-T100-SUM(T102:T117)</f>
        <v>-1327</v>
      </c>
      <c r="U118" s="288"/>
      <c r="V118" s="5"/>
    </row>
    <row r="119" spans="1:22" ht="15.6" x14ac:dyDescent="0.3">
      <c r="A119" s="284"/>
      <c r="B119" s="343" t="s">
        <v>38</v>
      </c>
      <c r="C119" s="311"/>
      <c r="D119" s="311"/>
      <c r="E119" s="311"/>
      <c r="F119" s="311"/>
      <c r="G119" s="311"/>
      <c r="H119" s="311"/>
      <c r="I119" s="311"/>
      <c r="J119" s="311"/>
      <c r="K119" s="311"/>
      <c r="L119" s="311"/>
      <c r="M119" s="311"/>
      <c r="N119" s="311"/>
      <c r="O119" s="311"/>
      <c r="P119" s="311"/>
      <c r="Q119" s="311"/>
      <c r="R119" s="311"/>
      <c r="S119" s="311"/>
      <c r="T119" s="346"/>
      <c r="U119" s="317"/>
      <c r="V119" s="5"/>
    </row>
    <row r="120" spans="1:22" ht="15.6" x14ac:dyDescent="0.3">
      <c r="A120" s="337"/>
      <c r="B120" s="285" t="s">
        <v>180</v>
      </c>
      <c r="C120" s="285"/>
      <c r="D120" s="285"/>
      <c r="E120" s="285"/>
      <c r="F120" s="285"/>
      <c r="G120" s="285"/>
      <c r="H120" s="285"/>
      <c r="I120" s="285"/>
      <c r="J120" s="285"/>
      <c r="K120" s="285"/>
      <c r="L120" s="285"/>
      <c r="M120" s="285"/>
      <c r="N120" s="285"/>
      <c r="O120" s="285"/>
      <c r="P120" s="285"/>
      <c r="Q120" s="285"/>
      <c r="R120" s="338">
        <f>-R178</f>
        <v>0</v>
      </c>
      <c r="S120" s="338"/>
      <c r="T120" s="339"/>
      <c r="U120" s="288"/>
      <c r="V120" s="5"/>
    </row>
    <row r="121" spans="1:22" ht="15.6" x14ac:dyDescent="0.3">
      <c r="A121" s="337"/>
      <c r="B121" s="285" t="s">
        <v>181</v>
      </c>
      <c r="C121" s="285"/>
      <c r="D121" s="285"/>
      <c r="E121" s="285"/>
      <c r="F121" s="285"/>
      <c r="G121" s="285"/>
      <c r="H121" s="285"/>
      <c r="I121" s="285"/>
      <c r="J121" s="285"/>
      <c r="K121" s="285"/>
      <c r="L121" s="285"/>
      <c r="M121" s="285"/>
      <c r="N121" s="285"/>
      <c r="O121" s="285"/>
      <c r="P121" s="285"/>
      <c r="Q121" s="285"/>
      <c r="R121" s="338">
        <v>0</v>
      </c>
      <c r="S121" s="338"/>
      <c r="T121" s="339"/>
      <c r="U121" s="288"/>
      <c r="V121" s="5"/>
    </row>
    <row r="122" spans="1:22" ht="15.6" x14ac:dyDescent="0.3">
      <c r="A122" s="337"/>
      <c r="B122" s="285" t="s">
        <v>39</v>
      </c>
      <c r="C122" s="285"/>
      <c r="D122" s="285"/>
      <c r="E122" s="285"/>
      <c r="F122" s="285"/>
      <c r="G122" s="285"/>
      <c r="H122" s="285"/>
      <c r="I122" s="285"/>
      <c r="J122" s="285"/>
      <c r="K122" s="285"/>
      <c r="L122" s="285"/>
      <c r="M122" s="285"/>
      <c r="N122" s="285"/>
      <c r="O122" s="285"/>
      <c r="P122" s="285"/>
      <c r="Q122" s="285"/>
      <c r="R122" s="338">
        <f>-Q178</f>
        <v>-116</v>
      </c>
      <c r="S122" s="338"/>
      <c r="T122" s="339"/>
      <c r="U122" s="288"/>
      <c r="V122" s="5"/>
    </row>
    <row r="123" spans="1:22" ht="15.6" x14ac:dyDescent="0.3">
      <c r="A123" s="337"/>
      <c r="B123" s="285" t="s">
        <v>205</v>
      </c>
      <c r="C123" s="285"/>
      <c r="D123" s="285"/>
      <c r="E123" s="285"/>
      <c r="F123" s="285"/>
      <c r="G123" s="285"/>
      <c r="H123" s="285"/>
      <c r="I123" s="285"/>
      <c r="J123" s="285"/>
      <c r="K123" s="285"/>
      <c r="L123" s="285"/>
      <c r="M123" s="285"/>
      <c r="N123" s="285"/>
      <c r="O123" s="285"/>
      <c r="P123" s="285"/>
      <c r="Q123" s="285"/>
      <c r="R123" s="338">
        <v>-4239</v>
      </c>
      <c r="S123" s="338"/>
      <c r="T123" s="339"/>
      <c r="U123" s="288"/>
      <c r="V123" s="5"/>
    </row>
    <row r="124" spans="1:22" ht="15.6" x14ac:dyDescent="0.3">
      <c r="A124" s="337"/>
      <c r="B124" s="285" t="s">
        <v>203</v>
      </c>
      <c r="C124" s="285"/>
      <c r="D124" s="285"/>
      <c r="E124" s="285"/>
      <c r="F124" s="285"/>
      <c r="G124" s="285"/>
      <c r="H124" s="285"/>
      <c r="I124" s="285"/>
      <c r="J124" s="285"/>
      <c r="K124" s="285"/>
      <c r="L124" s="285"/>
      <c r="M124" s="285"/>
      <c r="N124" s="285"/>
      <c r="O124" s="285"/>
      <c r="P124" s="285"/>
      <c r="Q124" s="285"/>
      <c r="R124" s="338">
        <v>-1117</v>
      </c>
      <c r="S124" s="338"/>
      <c r="T124" s="339"/>
      <c r="U124" s="288"/>
      <c r="V124" s="5"/>
    </row>
    <row r="125" spans="1:22" ht="15.6" x14ac:dyDescent="0.3">
      <c r="A125" s="337"/>
      <c r="B125" s="285" t="s">
        <v>202</v>
      </c>
      <c r="C125" s="285"/>
      <c r="D125" s="285"/>
      <c r="E125" s="285"/>
      <c r="F125" s="285"/>
      <c r="G125" s="285"/>
      <c r="H125" s="285"/>
      <c r="I125" s="285"/>
      <c r="J125" s="285"/>
      <c r="K125" s="285"/>
      <c r="L125" s="285"/>
      <c r="M125" s="285"/>
      <c r="N125" s="285"/>
      <c r="O125" s="285"/>
      <c r="P125" s="285"/>
      <c r="Q125" s="285"/>
      <c r="R125" s="338">
        <v>-1126</v>
      </c>
      <c r="S125" s="338"/>
      <c r="T125" s="339"/>
      <c r="U125" s="288"/>
      <c r="V125" s="5"/>
    </row>
    <row r="126" spans="1:22" ht="15.6" x14ac:dyDescent="0.3">
      <c r="A126" s="337"/>
      <c r="B126" s="285" t="s">
        <v>197</v>
      </c>
      <c r="C126" s="285"/>
      <c r="D126" s="285"/>
      <c r="E126" s="285"/>
      <c r="F126" s="285"/>
      <c r="G126" s="285"/>
      <c r="H126" s="285"/>
      <c r="I126" s="285"/>
      <c r="J126" s="285"/>
      <c r="K126" s="285"/>
      <c r="L126" s="285"/>
      <c r="M126" s="285"/>
      <c r="N126" s="285"/>
      <c r="O126" s="285"/>
      <c r="P126" s="285"/>
      <c r="Q126" s="285"/>
      <c r="R126" s="338">
        <v>0</v>
      </c>
      <c r="S126" s="338"/>
      <c r="T126" s="339"/>
      <c r="U126" s="288"/>
      <c r="V126" s="5"/>
    </row>
    <row r="127" spans="1:22" ht="15.6" x14ac:dyDescent="0.3">
      <c r="A127" s="337"/>
      <c r="B127" s="285" t="s">
        <v>196</v>
      </c>
      <c r="C127" s="285"/>
      <c r="D127" s="285"/>
      <c r="E127" s="285"/>
      <c r="F127" s="285"/>
      <c r="G127" s="285"/>
      <c r="H127" s="285"/>
      <c r="I127" s="285"/>
      <c r="J127" s="285"/>
      <c r="K127" s="285"/>
      <c r="L127" s="285"/>
      <c r="M127" s="285"/>
      <c r="N127" s="285"/>
      <c r="O127" s="285"/>
      <c r="P127" s="285"/>
      <c r="Q127" s="285"/>
      <c r="R127" s="338">
        <v>0</v>
      </c>
      <c r="S127" s="338"/>
      <c r="T127" s="339"/>
      <c r="U127" s="288"/>
      <c r="V127" s="5"/>
    </row>
    <row r="128" spans="1:22" ht="15.6" x14ac:dyDescent="0.3">
      <c r="A128" s="337"/>
      <c r="B128" s="285" t="s">
        <v>195</v>
      </c>
      <c r="C128" s="285"/>
      <c r="D128" s="285"/>
      <c r="E128" s="285"/>
      <c r="F128" s="285"/>
      <c r="G128" s="285"/>
      <c r="H128" s="285"/>
      <c r="I128" s="285"/>
      <c r="J128" s="285"/>
      <c r="K128" s="285"/>
      <c r="L128" s="285"/>
      <c r="M128" s="285"/>
      <c r="N128" s="285"/>
      <c r="O128" s="285"/>
      <c r="P128" s="285"/>
      <c r="Q128" s="285"/>
      <c r="R128" s="338">
        <v>0</v>
      </c>
      <c r="S128" s="338"/>
      <c r="T128" s="339"/>
      <c r="U128" s="288"/>
      <c r="V128" s="5"/>
    </row>
    <row r="129" spans="1:22" ht="15.6" x14ac:dyDescent="0.3">
      <c r="A129" s="337"/>
      <c r="B129" s="285" t="s">
        <v>40</v>
      </c>
      <c r="C129" s="285"/>
      <c r="D129" s="285"/>
      <c r="E129" s="285"/>
      <c r="F129" s="285"/>
      <c r="G129" s="285"/>
      <c r="H129" s="285"/>
      <c r="I129" s="285"/>
      <c r="J129" s="285"/>
      <c r="K129" s="285"/>
      <c r="L129" s="285"/>
      <c r="M129" s="285"/>
      <c r="N129" s="285"/>
      <c r="O129" s="285"/>
      <c r="P129" s="285"/>
      <c r="Q129" s="285"/>
      <c r="R129" s="338">
        <f>SUM(R120:R128)</f>
        <v>-6598</v>
      </c>
      <c r="S129" s="338"/>
      <c r="T129" s="338">
        <f>SUM(T101:T127)</f>
        <v>-3437</v>
      </c>
      <c r="U129" s="288"/>
      <c r="V129" s="5"/>
    </row>
    <row r="130" spans="1:22" ht="15.6" x14ac:dyDescent="0.3">
      <c r="A130" s="337"/>
      <c r="B130" s="285" t="s">
        <v>41</v>
      </c>
      <c r="C130" s="285"/>
      <c r="D130" s="285"/>
      <c r="E130" s="285"/>
      <c r="F130" s="285"/>
      <c r="G130" s="285"/>
      <c r="H130" s="285"/>
      <c r="I130" s="285"/>
      <c r="J130" s="285"/>
      <c r="K130" s="285"/>
      <c r="L130" s="285"/>
      <c r="M130" s="285"/>
      <c r="N130" s="285"/>
      <c r="O130" s="285"/>
      <c r="P130" s="285"/>
      <c r="Q130" s="285"/>
      <c r="R130" s="338">
        <f>R100+R129+R113</f>
        <v>0</v>
      </c>
      <c r="S130" s="338"/>
      <c r="T130" s="338">
        <f>T100+T129</f>
        <v>0</v>
      </c>
      <c r="U130" s="288"/>
      <c r="V130" s="5"/>
    </row>
    <row r="131" spans="1:22" ht="15.6" x14ac:dyDescent="0.3">
      <c r="A131" s="256"/>
      <c r="B131" s="281"/>
      <c r="C131" s="281"/>
      <c r="D131" s="281"/>
      <c r="E131" s="281"/>
      <c r="F131" s="281"/>
      <c r="G131" s="281"/>
      <c r="H131" s="281"/>
      <c r="I131" s="281"/>
      <c r="J131" s="281"/>
      <c r="K131" s="281"/>
      <c r="L131" s="281"/>
      <c r="M131" s="281"/>
      <c r="N131" s="281"/>
      <c r="O131" s="281"/>
      <c r="P131" s="281"/>
      <c r="Q131" s="281"/>
      <c r="R131" s="340"/>
      <c r="S131" s="340"/>
      <c r="T131" s="340"/>
      <c r="U131" s="281"/>
      <c r="V131" s="5"/>
    </row>
    <row r="132" spans="1:22" ht="15.6" x14ac:dyDescent="0.3">
      <c r="A132" s="256"/>
      <c r="B132" s="231"/>
      <c r="C132" s="231"/>
      <c r="D132" s="231"/>
      <c r="E132" s="231"/>
      <c r="F132" s="231"/>
      <c r="G132" s="231"/>
      <c r="H132" s="231"/>
      <c r="I132" s="231"/>
      <c r="J132" s="231"/>
      <c r="K132" s="231"/>
      <c r="L132" s="231"/>
      <c r="M132" s="231"/>
      <c r="N132" s="231"/>
      <c r="O132" s="231"/>
      <c r="P132" s="231"/>
      <c r="Q132" s="231"/>
      <c r="R132" s="231"/>
      <c r="S132" s="231"/>
      <c r="T132" s="257"/>
      <c r="U132" s="231"/>
      <c r="V132" s="5"/>
    </row>
    <row r="133" spans="1:22" ht="18" thickBot="1" x14ac:dyDescent="0.35">
      <c r="A133" s="258"/>
      <c r="B133" s="246" t="str">
        <f>B64</f>
        <v>PM11 INVESTOR REPORT QUARTER ENDING DECEMBER 2014</v>
      </c>
      <c r="C133" s="247"/>
      <c r="D133" s="247"/>
      <c r="E133" s="247"/>
      <c r="F133" s="247"/>
      <c r="G133" s="247"/>
      <c r="H133" s="247"/>
      <c r="I133" s="247"/>
      <c r="J133" s="247"/>
      <c r="K133" s="247"/>
      <c r="L133" s="247"/>
      <c r="M133" s="247"/>
      <c r="N133" s="247"/>
      <c r="O133" s="247"/>
      <c r="P133" s="247"/>
      <c r="Q133" s="247"/>
      <c r="R133" s="247"/>
      <c r="S133" s="247"/>
      <c r="T133" s="259"/>
      <c r="U133" s="249"/>
      <c r="V133" s="5"/>
    </row>
    <row r="134" spans="1:22" ht="15.6" x14ac:dyDescent="0.3">
      <c r="A134" s="260"/>
      <c r="B134" s="399" t="s">
        <v>42</v>
      </c>
      <c r="C134" s="261"/>
      <c r="D134" s="261"/>
      <c r="E134" s="261"/>
      <c r="F134" s="261"/>
      <c r="G134" s="261"/>
      <c r="H134" s="261"/>
      <c r="I134" s="261"/>
      <c r="J134" s="261"/>
      <c r="K134" s="261"/>
      <c r="L134" s="261"/>
      <c r="M134" s="261"/>
      <c r="N134" s="261"/>
      <c r="O134" s="261"/>
      <c r="P134" s="261"/>
      <c r="Q134" s="261"/>
      <c r="R134" s="261"/>
      <c r="S134" s="261"/>
      <c r="T134" s="262"/>
      <c r="U134" s="261"/>
      <c r="V134" s="5"/>
    </row>
    <row r="135" spans="1:22" ht="15.6" x14ac:dyDescent="0.3">
      <c r="A135" s="175"/>
      <c r="B135" s="187"/>
      <c r="C135" s="177"/>
      <c r="D135" s="177"/>
      <c r="E135" s="177"/>
      <c r="F135" s="177"/>
      <c r="G135" s="177"/>
      <c r="H135" s="177"/>
      <c r="I135" s="177"/>
      <c r="J135" s="177"/>
      <c r="K135" s="177"/>
      <c r="L135" s="177"/>
      <c r="M135" s="177"/>
      <c r="N135" s="177"/>
      <c r="O135" s="177"/>
      <c r="P135" s="177"/>
      <c r="Q135" s="177"/>
      <c r="R135" s="177"/>
      <c r="S135" s="177"/>
      <c r="T135" s="194"/>
      <c r="U135" s="177"/>
      <c r="V135" s="5"/>
    </row>
    <row r="136" spans="1:22" ht="15.6" x14ac:dyDescent="0.3">
      <c r="A136" s="175"/>
      <c r="B136" s="201" t="s">
        <v>43</v>
      </c>
      <c r="C136" s="177"/>
      <c r="D136" s="177"/>
      <c r="E136" s="177"/>
      <c r="F136" s="177"/>
      <c r="G136" s="177"/>
      <c r="H136" s="177"/>
      <c r="I136" s="177"/>
      <c r="J136" s="177"/>
      <c r="K136" s="177"/>
      <c r="L136" s="177"/>
      <c r="M136" s="177"/>
      <c r="N136" s="177"/>
      <c r="O136" s="177"/>
      <c r="P136" s="177"/>
      <c r="Q136" s="177"/>
      <c r="R136" s="177"/>
      <c r="S136" s="177"/>
      <c r="T136" s="194"/>
      <c r="U136" s="177"/>
      <c r="V136" s="5"/>
    </row>
    <row r="137" spans="1:22" ht="15.6" x14ac:dyDescent="0.3">
      <c r="A137" s="284"/>
      <c r="B137" s="285" t="s">
        <v>44</v>
      </c>
      <c r="C137" s="285"/>
      <c r="D137" s="285"/>
      <c r="E137" s="285"/>
      <c r="F137" s="285"/>
      <c r="G137" s="285"/>
      <c r="H137" s="285"/>
      <c r="I137" s="285"/>
      <c r="J137" s="285"/>
      <c r="K137" s="285"/>
      <c r="L137" s="285"/>
      <c r="M137" s="285"/>
      <c r="N137" s="285"/>
      <c r="O137" s="285"/>
      <c r="P137" s="285"/>
      <c r="Q137" s="285"/>
      <c r="R137" s="285"/>
      <c r="S137" s="285"/>
      <c r="T137" s="339">
        <f>+T34*0.019</f>
        <v>19000.95</v>
      </c>
      <c r="U137" s="288"/>
      <c r="V137" s="5"/>
    </row>
    <row r="138" spans="1:22" ht="15.6" x14ac:dyDescent="0.3">
      <c r="A138" s="284"/>
      <c r="B138" s="285" t="s">
        <v>45</v>
      </c>
      <c r="C138" s="285"/>
      <c r="D138" s="285"/>
      <c r="E138" s="285"/>
      <c r="F138" s="285"/>
      <c r="G138" s="285"/>
      <c r="H138" s="285"/>
      <c r="I138" s="285"/>
      <c r="J138" s="285"/>
      <c r="K138" s="285"/>
      <c r="L138" s="285"/>
      <c r="M138" s="285"/>
      <c r="N138" s="285"/>
      <c r="O138" s="285"/>
      <c r="P138" s="285"/>
      <c r="Q138" s="285"/>
      <c r="R138" s="285"/>
      <c r="S138" s="285"/>
      <c r="T138" s="339">
        <v>19001</v>
      </c>
      <c r="U138" s="288"/>
      <c r="V138" s="5"/>
    </row>
    <row r="139" spans="1:22" ht="15.6" x14ac:dyDescent="0.3">
      <c r="A139" s="284"/>
      <c r="B139" s="285" t="s">
        <v>142</v>
      </c>
      <c r="C139" s="285"/>
      <c r="D139" s="285"/>
      <c r="E139" s="285"/>
      <c r="F139" s="285"/>
      <c r="G139" s="285"/>
      <c r="H139" s="285"/>
      <c r="I139" s="285"/>
      <c r="J139" s="285"/>
      <c r="K139" s="285"/>
      <c r="L139" s="285"/>
      <c r="M139" s="285"/>
      <c r="N139" s="285"/>
      <c r="O139" s="285"/>
      <c r="P139" s="285"/>
      <c r="Q139" s="285"/>
      <c r="R139" s="285"/>
      <c r="S139" s="285"/>
      <c r="T139" s="339">
        <v>0</v>
      </c>
      <c r="U139" s="288"/>
      <c r="V139" s="5"/>
    </row>
    <row r="140" spans="1:22" ht="15.6" x14ac:dyDescent="0.3">
      <c r="A140" s="284"/>
      <c r="B140" s="285" t="s">
        <v>129</v>
      </c>
      <c r="C140" s="285"/>
      <c r="D140" s="285"/>
      <c r="E140" s="285"/>
      <c r="F140" s="285"/>
      <c r="G140" s="285"/>
      <c r="H140" s="285"/>
      <c r="I140" s="285"/>
      <c r="J140" s="285"/>
      <c r="K140" s="285"/>
      <c r="L140" s="285"/>
      <c r="M140" s="285"/>
      <c r="N140" s="285"/>
      <c r="O140" s="285"/>
      <c r="P140" s="285"/>
      <c r="Q140" s="285"/>
      <c r="R140" s="285"/>
      <c r="S140" s="285"/>
      <c r="T140" s="339">
        <v>0</v>
      </c>
      <c r="U140" s="288"/>
      <c r="V140" s="5"/>
    </row>
    <row r="141" spans="1:22" ht="15.6" x14ac:dyDescent="0.3">
      <c r="A141" s="284"/>
      <c r="B141" s="285" t="s">
        <v>130</v>
      </c>
      <c r="C141" s="285"/>
      <c r="D141" s="285"/>
      <c r="E141" s="285"/>
      <c r="F141" s="285"/>
      <c r="G141" s="285"/>
      <c r="H141" s="285"/>
      <c r="I141" s="285"/>
      <c r="J141" s="285"/>
      <c r="K141" s="285"/>
      <c r="L141" s="285"/>
      <c r="M141" s="285"/>
      <c r="N141" s="285"/>
      <c r="O141" s="285"/>
      <c r="P141" s="285"/>
      <c r="Q141" s="285"/>
      <c r="R141" s="285"/>
      <c r="S141" s="285"/>
      <c r="T141" s="339">
        <v>0</v>
      </c>
      <c r="U141" s="288"/>
      <c r="V141" s="5"/>
    </row>
    <row r="142" spans="1:22" ht="15.6" x14ac:dyDescent="0.3">
      <c r="A142" s="284"/>
      <c r="B142" s="285" t="s">
        <v>182</v>
      </c>
      <c r="C142" s="285"/>
      <c r="D142" s="285"/>
      <c r="E142" s="285"/>
      <c r="F142" s="285"/>
      <c r="G142" s="285"/>
      <c r="H142" s="285"/>
      <c r="I142" s="285"/>
      <c r="J142" s="285"/>
      <c r="K142" s="285"/>
      <c r="L142" s="285"/>
      <c r="M142" s="285"/>
      <c r="N142" s="285"/>
      <c r="O142" s="285"/>
      <c r="P142" s="285"/>
      <c r="Q142" s="285"/>
      <c r="R142" s="285"/>
      <c r="S142" s="285"/>
      <c r="T142" s="339">
        <v>0</v>
      </c>
      <c r="U142" s="288"/>
      <c r="V142" s="5"/>
    </row>
    <row r="143" spans="1:22" ht="15.6" x14ac:dyDescent="0.3">
      <c r="A143" s="284"/>
      <c r="B143" s="285" t="s">
        <v>46</v>
      </c>
      <c r="C143" s="285"/>
      <c r="D143" s="285"/>
      <c r="E143" s="285"/>
      <c r="F143" s="285"/>
      <c r="G143" s="285"/>
      <c r="H143" s="285"/>
      <c r="I143" s="285"/>
      <c r="J143" s="285"/>
      <c r="K143" s="285"/>
      <c r="L143" s="285"/>
      <c r="M143" s="285"/>
      <c r="N143" s="285"/>
      <c r="O143" s="285"/>
      <c r="P143" s="285"/>
      <c r="Q143" s="285"/>
      <c r="R143" s="285"/>
      <c r="S143" s="285"/>
      <c r="T143" s="339">
        <v>0</v>
      </c>
      <c r="U143" s="288"/>
      <c r="V143" s="5"/>
    </row>
    <row r="144" spans="1:22" ht="15.6" x14ac:dyDescent="0.3">
      <c r="A144" s="284"/>
      <c r="B144" s="285" t="s">
        <v>135</v>
      </c>
      <c r="C144" s="285"/>
      <c r="D144" s="285"/>
      <c r="E144" s="285"/>
      <c r="F144" s="285"/>
      <c r="G144" s="285"/>
      <c r="H144" s="285"/>
      <c r="I144" s="285"/>
      <c r="J144" s="285"/>
      <c r="K144" s="285"/>
      <c r="L144" s="285"/>
      <c r="M144" s="285"/>
      <c r="N144" s="285"/>
      <c r="O144" s="285"/>
      <c r="P144" s="285"/>
      <c r="Q144" s="285"/>
      <c r="R144" s="285"/>
      <c r="S144" s="285"/>
      <c r="T144" s="339">
        <v>0</v>
      </c>
      <c r="U144" s="288"/>
      <c r="V144" s="5"/>
    </row>
    <row r="145" spans="1:23" ht="15.6" x14ac:dyDescent="0.3">
      <c r="A145" s="284"/>
      <c r="B145" s="285" t="s">
        <v>251</v>
      </c>
      <c r="C145" s="285"/>
      <c r="D145" s="285"/>
      <c r="E145" s="285"/>
      <c r="F145" s="285"/>
      <c r="G145" s="285"/>
      <c r="H145" s="285"/>
      <c r="I145" s="285"/>
      <c r="J145" s="285"/>
      <c r="K145" s="285"/>
      <c r="L145" s="285"/>
      <c r="M145" s="285"/>
      <c r="N145" s="285"/>
      <c r="O145" s="285"/>
      <c r="P145" s="285"/>
      <c r="Q145" s="285"/>
      <c r="R145" s="285"/>
      <c r="S145" s="285"/>
      <c r="T145" s="339">
        <v>0</v>
      </c>
      <c r="U145" s="288"/>
      <c r="V145" s="5"/>
      <c r="W145" s="109"/>
    </row>
    <row r="146" spans="1:23" ht="15.6" x14ac:dyDescent="0.3">
      <c r="A146" s="284"/>
      <c r="B146" s="285" t="s">
        <v>47</v>
      </c>
      <c r="C146" s="285"/>
      <c r="D146" s="285"/>
      <c r="E146" s="285"/>
      <c r="F146" s="285"/>
      <c r="G146" s="285"/>
      <c r="H146" s="285"/>
      <c r="I146" s="285"/>
      <c r="J146" s="285"/>
      <c r="K146" s="285"/>
      <c r="L146" s="285"/>
      <c r="M146" s="285"/>
      <c r="N146" s="285"/>
      <c r="O146" s="285"/>
      <c r="P146" s="285"/>
      <c r="Q146" s="285"/>
      <c r="R146" s="285"/>
      <c r="S146" s="285"/>
      <c r="T146" s="339">
        <f>SUM(T138:T145)</f>
        <v>19001</v>
      </c>
      <c r="U146" s="288"/>
      <c r="V146" s="5"/>
    </row>
    <row r="147" spans="1:23" ht="15.6" x14ac:dyDescent="0.3">
      <c r="A147" s="284"/>
      <c r="B147" s="311"/>
      <c r="C147" s="311"/>
      <c r="D147" s="311"/>
      <c r="E147" s="311"/>
      <c r="F147" s="311"/>
      <c r="G147" s="311"/>
      <c r="H147" s="311"/>
      <c r="I147" s="311"/>
      <c r="J147" s="311"/>
      <c r="K147" s="311"/>
      <c r="L147" s="311"/>
      <c r="M147" s="311"/>
      <c r="N147" s="311"/>
      <c r="O147" s="311"/>
      <c r="P147" s="311"/>
      <c r="Q147" s="311"/>
      <c r="R147" s="311"/>
      <c r="S147" s="311"/>
      <c r="T147" s="345"/>
      <c r="U147" s="317"/>
      <c r="V147" s="5"/>
    </row>
    <row r="148" spans="1:23" ht="15.6" x14ac:dyDescent="0.3">
      <c r="A148" s="284"/>
      <c r="B148" s="343" t="s">
        <v>262</v>
      </c>
      <c r="C148" s="311"/>
      <c r="D148" s="311"/>
      <c r="E148" s="311"/>
      <c r="F148" s="311"/>
      <c r="G148" s="311"/>
      <c r="H148" s="311"/>
      <c r="I148" s="311"/>
      <c r="J148" s="311"/>
      <c r="K148" s="311"/>
      <c r="L148" s="311"/>
      <c r="M148" s="311"/>
      <c r="N148" s="311"/>
      <c r="O148" s="311"/>
      <c r="P148" s="311"/>
      <c r="Q148" s="311"/>
      <c r="R148" s="311"/>
      <c r="S148" s="311"/>
      <c r="T148" s="345"/>
      <c r="U148" s="317"/>
      <c r="V148" s="5"/>
    </row>
    <row r="149" spans="1:23" ht="15.6" x14ac:dyDescent="0.3">
      <c r="A149" s="284"/>
      <c r="B149" s="285" t="s">
        <v>263</v>
      </c>
      <c r="C149" s="285"/>
      <c r="D149" s="285"/>
      <c r="E149" s="285"/>
      <c r="F149" s="285"/>
      <c r="G149" s="285"/>
      <c r="H149" s="285"/>
      <c r="I149" s="285"/>
      <c r="J149" s="285"/>
      <c r="K149" s="285"/>
      <c r="L149" s="285"/>
      <c r="M149" s="285"/>
      <c r="N149" s="285"/>
      <c r="O149" s="285"/>
      <c r="P149" s="285"/>
      <c r="Q149" s="285"/>
      <c r="R149" s="285"/>
      <c r="S149" s="285"/>
      <c r="T149" s="339">
        <v>0</v>
      </c>
      <c r="U149" s="288"/>
      <c r="V149" s="5"/>
    </row>
    <row r="150" spans="1:23" ht="15.6" x14ac:dyDescent="0.3">
      <c r="A150" s="284"/>
      <c r="B150" s="285" t="s">
        <v>179</v>
      </c>
      <c r="C150" s="285"/>
      <c r="D150" s="285"/>
      <c r="E150" s="285"/>
      <c r="F150" s="285"/>
      <c r="G150" s="285"/>
      <c r="H150" s="285"/>
      <c r="I150" s="285"/>
      <c r="J150" s="285"/>
      <c r="K150" s="285"/>
      <c r="L150" s="285"/>
      <c r="M150" s="285"/>
      <c r="N150" s="285"/>
      <c r="O150" s="285"/>
      <c r="P150" s="285"/>
      <c r="Q150" s="285"/>
      <c r="R150" s="285"/>
      <c r="S150" s="285"/>
      <c r="T150" s="339">
        <v>0</v>
      </c>
      <c r="U150" s="288"/>
      <c r="V150" s="5"/>
    </row>
    <row r="151" spans="1:23" ht="15.6" x14ac:dyDescent="0.3">
      <c r="A151" s="284"/>
      <c r="B151" s="285" t="s">
        <v>264</v>
      </c>
      <c r="C151" s="285"/>
      <c r="D151" s="285"/>
      <c r="E151" s="285"/>
      <c r="F151" s="285"/>
      <c r="G151" s="285"/>
      <c r="H151" s="285"/>
      <c r="I151" s="285"/>
      <c r="J151" s="285"/>
      <c r="K151" s="285"/>
      <c r="L151" s="285"/>
      <c r="M151" s="285"/>
      <c r="N151" s="285"/>
      <c r="O151" s="285"/>
      <c r="P151" s="285"/>
      <c r="Q151" s="285"/>
      <c r="R151" s="285"/>
      <c r="S151" s="285"/>
      <c r="T151" s="339">
        <v>0</v>
      </c>
      <c r="U151" s="288"/>
      <c r="V151" s="5"/>
    </row>
    <row r="152" spans="1:23" ht="15.6" x14ac:dyDescent="0.3">
      <c r="A152" s="284"/>
      <c r="B152" s="285"/>
      <c r="C152" s="285"/>
      <c r="D152" s="285"/>
      <c r="E152" s="285"/>
      <c r="F152" s="285"/>
      <c r="G152" s="285"/>
      <c r="H152" s="285"/>
      <c r="I152" s="285"/>
      <c r="J152" s="285"/>
      <c r="K152" s="285"/>
      <c r="L152" s="285"/>
      <c r="M152" s="285"/>
      <c r="N152" s="285"/>
      <c r="O152" s="285"/>
      <c r="P152" s="285"/>
      <c r="Q152" s="285"/>
      <c r="R152" s="285"/>
      <c r="S152" s="285"/>
      <c r="T152" s="339"/>
      <c r="U152" s="288"/>
      <c r="V152" s="5"/>
    </row>
    <row r="153" spans="1:23" ht="15.6" x14ac:dyDescent="0.3">
      <c r="A153" s="175"/>
      <c r="B153" s="334"/>
      <c r="C153" s="334"/>
      <c r="D153" s="334"/>
      <c r="E153" s="334"/>
      <c r="F153" s="334"/>
      <c r="G153" s="334"/>
      <c r="H153" s="334"/>
      <c r="I153" s="334"/>
      <c r="J153" s="334"/>
      <c r="K153" s="334"/>
      <c r="L153" s="334"/>
      <c r="M153" s="334"/>
      <c r="N153" s="334"/>
      <c r="O153" s="334"/>
      <c r="P153" s="334"/>
      <c r="Q153" s="334"/>
      <c r="R153" s="334"/>
      <c r="S153" s="334"/>
      <c r="T153" s="347"/>
      <c r="U153" s="334"/>
      <c r="V153" s="5"/>
    </row>
    <row r="154" spans="1:23" ht="15.6" x14ac:dyDescent="0.3">
      <c r="A154" s="175"/>
      <c r="B154" s="201" t="s">
        <v>24</v>
      </c>
      <c r="C154" s="177"/>
      <c r="D154" s="177"/>
      <c r="E154" s="177"/>
      <c r="F154" s="177"/>
      <c r="G154" s="177"/>
      <c r="H154" s="177"/>
      <c r="I154" s="177"/>
      <c r="J154" s="177"/>
      <c r="K154" s="177"/>
      <c r="L154" s="177"/>
      <c r="M154" s="177"/>
      <c r="N154" s="177"/>
      <c r="O154" s="177"/>
      <c r="P154" s="177"/>
      <c r="Q154" s="177"/>
      <c r="R154" s="177"/>
      <c r="S154" s="177"/>
      <c r="T154" s="194"/>
      <c r="U154" s="177"/>
      <c r="V154" s="5"/>
    </row>
    <row r="155" spans="1:23" ht="15.6" x14ac:dyDescent="0.3">
      <c r="A155" s="284"/>
      <c r="B155" s="285" t="s">
        <v>48</v>
      </c>
      <c r="C155" s="285"/>
      <c r="D155" s="285"/>
      <c r="E155" s="285"/>
      <c r="F155" s="285"/>
      <c r="G155" s="285"/>
      <c r="H155" s="285"/>
      <c r="I155" s="285"/>
      <c r="J155" s="285"/>
      <c r="K155" s="285"/>
      <c r="L155" s="285"/>
      <c r="M155" s="285"/>
      <c r="N155" s="285"/>
      <c r="O155" s="285"/>
      <c r="P155" s="285"/>
      <c r="Q155" s="285"/>
      <c r="R155" s="285"/>
      <c r="S155" s="285"/>
      <c r="T155" s="348" t="s">
        <v>124</v>
      </c>
      <c r="U155" s="288"/>
      <c r="V155" s="5"/>
    </row>
    <row r="156" spans="1:23" ht="15.6" x14ac:dyDescent="0.3">
      <c r="A156" s="284"/>
      <c r="B156" s="285" t="s">
        <v>49</v>
      </c>
      <c r="C156" s="287"/>
      <c r="D156" s="287"/>
      <c r="E156" s="287"/>
      <c r="F156" s="287"/>
      <c r="G156" s="287"/>
      <c r="H156" s="287"/>
      <c r="I156" s="287"/>
      <c r="J156" s="287"/>
      <c r="K156" s="287"/>
      <c r="L156" s="287"/>
      <c r="M156" s="287"/>
      <c r="N156" s="287"/>
      <c r="O156" s="287"/>
      <c r="P156" s="287"/>
      <c r="Q156" s="287"/>
      <c r="R156" s="287"/>
      <c r="S156" s="287"/>
      <c r="T156" s="348" t="s">
        <v>124</v>
      </c>
      <c r="U156" s="288"/>
      <c r="V156" s="5"/>
    </row>
    <row r="157" spans="1:23" ht="15.6" x14ac:dyDescent="0.3">
      <c r="A157" s="284"/>
      <c r="B157" s="285" t="s">
        <v>50</v>
      </c>
      <c r="C157" s="285"/>
      <c r="D157" s="285"/>
      <c r="E157" s="285"/>
      <c r="F157" s="285"/>
      <c r="G157" s="285"/>
      <c r="H157" s="285"/>
      <c r="I157" s="285"/>
      <c r="J157" s="285"/>
      <c r="K157" s="285"/>
      <c r="L157" s="285"/>
      <c r="M157" s="285"/>
      <c r="N157" s="285"/>
      <c r="O157" s="285"/>
      <c r="P157" s="285"/>
      <c r="Q157" s="285"/>
      <c r="R157" s="285"/>
      <c r="S157" s="285"/>
      <c r="T157" s="348" t="s">
        <v>124</v>
      </c>
      <c r="U157" s="288"/>
      <c r="V157" s="5"/>
    </row>
    <row r="158" spans="1:23" ht="15.6" x14ac:dyDescent="0.3">
      <c r="A158" s="284"/>
      <c r="B158" s="285" t="s">
        <v>51</v>
      </c>
      <c r="C158" s="285"/>
      <c r="D158" s="285"/>
      <c r="E158" s="285"/>
      <c r="F158" s="285"/>
      <c r="G158" s="285"/>
      <c r="H158" s="285"/>
      <c r="I158" s="285"/>
      <c r="J158" s="285"/>
      <c r="K158" s="285"/>
      <c r="L158" s="285"/>
      <c r="M158" s="285"/>
      <c r="N158" s="285"/>
      <c r="O158" s="285"/>
      <c r="P158" s="285"/>
      <c r="Q158" s="285"/>
      <c r="R158" s="285"/>
      <c r="S158" s="285"/>
      <c r="T158" s="348" t="s">
        <v>124</v>
      </c>
      <c r="U158" s="288"/>
      <c r="V158" s="5"/>
    </row>
    <row r="159" spans="1:23" ht="15.6" x14ac:dyDescent="0.3">
      <c r="A159" s="175"/>
      <c r="B159" s="334"/>
      <c r="C159" s="334"/>
      <c r="D159" s="334"/>
      <c r="E159" s="334"/>
      <c r="F159" s="334"/>
      <c r="G159" s="334"/>
      <c r="H159" s="334"/>
      <c r="I159" s="334"/>
      <c r="J159" s="334"/>
      <c r="K159" s="334"/>
      <c r="L159" s="334"/>
      <c r="M159" s="334"/>
      <c r="N159" s="334"/>
      <c r="O159" s="334"/>
      <c r="P159" s="334"/>
      <c r="Q159" s="334"/>
      <c r="R159" s="334"/>
      <c r="S159" s="334"/>
      <c r="T159" s="347"/>
      <c r="U159" s="334"/>
      <c r="V159" s="5"/>
    </row>
    <row r="160" spans="1:23" ht="15.6" x14ac:dyDescent="0.3">
      <c r="A160" s="175"/>
      <c r="B160" s="201" t="s">
        <v>52</v>
      </c>
      <c r="C160" s="177"/>
      <c r="D160" s="177"/>
      <c r="E160" s="177"/>
      <c r="F160" s="177"/>
      <c r="G160" s="177"/>
      <c r="H160" s="177"/>
      <c r="I160" s="177"/>
      <c r="J160" s="177"/>
      <c r="K160" s="177"/>
      <c r="L160" s="177"/>
      <c r="M160" s="177"/>
      <c r="N160" s="177"/>
      <c r="O160" s="177"/>
      <c r="P160" s="177"/>
      <c r="Q160" s="177"/>
      <c r="R160" s="177"/>
      <c r="S160" s="177"/>
      <c r="T160" s="202"/>
      <c r="U160" s="177"/>
      <c r="V160" s="5"/>
    </row>
    <row r="161" spans="1:22" ht="15.6" x14ac:dyDescent="0.3">
      <c r="A161" s="284"/>
      <c r="B161" s="285" t="s">
        <v>53</v>
      </c>
      <c r="C161" s="285"/>
      <c r="D161" s="285"/>
      <c r="E161" s="285"/>
      <c r="F161" s="285"/>
      <c r="G161" s="285"/>
      <c r="H161" s="285"/>
      <c r="I161" s="285"/>
      <c r="J161" s="285"/>
      <c r="K161" s="285"/>
      <c r="L161" s="285"/>
      <c r="M161" s="285"/>
      <c r="N161" s="285"/>
      <c r="O161" s="285"/>
      <c r="P161" s="285"/>
      <c r="Q161" s="285"/>
      <c r="R161" s="285"/>
      <c r="S161" s="285"/>
      <c r="T161" s="339">
        <v>0</v>
      </c>
      <c r="U161" s="288"/>
      <c r="V161" s="5"/>
    </row>
    <row r="162" spans="1:22" ht="15.6" x14ac:dyDescent="0.3">
      <c r="A162" s="284"/>
      <c r="B162" s="285" t="s">
        <v>54</v>
      </c>
      <c r="C162" s="285"/>
      <c r="D162" s="285"/>
      <c r="E162" s="285"/>
      <c r="F162" s="285"/>
      <c r="G162" s="285"/>
      <c r="H162" s="285"/>
      <c r="I162" s="285"/>
      <c r="J162" s="285"/>
      <c r="K162" s="285"/>
      <c r="L162" s="285"/>
      <c r="M162" s="285"/>
      <c r="N162" s="285"/>
      <c r="O162" s="285"/>
      <c r="P162" s="285"/>
      <c r="Q162" s="285"/>
      <c r="R162" s="285"/>
      <c r="S162" s="285"/>
      <c r="T162" s="339">
        <f>R113</f>
        <v>385</v>
      </c>
      <c r="U162" s="288"/>
      <c r="V162" s="5"/>
    </row>
    <row r="163" spans="1:22" ht="15.6" x14ac:dyDescent="0.3">
      <c r="A163" s="284"/>
      <c r="B163" s="285" t="s">
        <v>55</v>
      </c>
      <c r="C163" s="285"/>
      <c r="D163" s="285"/>
      <c r="E163" s="285"/>
      <c r="F163" s="285"/>
      <c r="G163" s="285"/>
      <c r="H163" s="285"/>
      <c r="I163" s="285"/>
      <c r="J163" s="285"/>
      <c r="K163" s="285"/>
      <c r="L163" s="285"/>
      <c r="M163" s="285"/>
      <c r="N163" s="285"/>
      <c r="O163" s="285"/>
      <c r="P163" s="285"/>
      <c r="Q163" s="285"/>
      <c r="R163" s="285"/>
      <c r="S163" s="285"/>
      <c r="T163" s="339">
        <f>T162+T161</f>
        <v>385</v>
      </c>
      <c r="U163" s="288"/>
      <c r="V163" s="5"/>
    </row>
    <row r="164" spans="1:22" ht="15.6" x14ac:dyDescent="0.3">
      <c r="A164" s="284"/>
      <c r="B164" s="285" t="s">
        <v>301</v>
      </c>
      <c r="C164" s="285"/>
      <c r="D164" s="285"/>
      <c r="E164" s="285"/>
      <c r="F164" s="285"/>
      <c r="G164" s="285"/>
      <c r="H164" s="285"/>
      <c r="I164" s="285"/>
      <c r="J164" s="285"/>
      <c r="K164" s="285"/>
      <c r="L164" s="285"/>
      <c r="M164" s="285"/>
      <c r="N164" s="285"/>
      <c r="O164" s="285"/>
      <c r="P164" s="285"/>
      <c r="Q164" s="285"/>
      <c r="R164" s="285"/>
      <c r="S164" s="285"/>
      <c r="T164" s="339">
        <f>T113</f>
        <v>-385</v>
      </c>
      <c r="U164" s="288"/>
      <c r="V164" s="5"/>
    </row>
    <row r="165" spans="1:22" ht="15.6" x14ac:dyDescent="0.3">
      <c r="A165" s="284"/>
      <c r="B165" s="285" t="s">
        <v>56</v>
      </c>
      <c r="C165" s="285"/>
      <c r="D165" s="285"/>
      <c r="E165" s="285"/>
      <c r="F165" s="285"/>
      <c r="G165" s="285"/>
      <c r="H165" s="285"/>
      <c r="I165" s="285"/>
      <c r="J165" s="285"/>
      <c r="K165" s="285"/>
      <c r="L165" s="285"/>
      <c r="M165" s="285"/>
      <c r="N165" s="285"/>
      <c r="O165" s="285"/>
      <c r="P165" s="285"/>
      <c r="Q165" s="285"/>
      <c r="R165" s="285"/>
      <c r="S165" s="285"/>
      <c r="T165" s="339">
        <f>T163+T164</f>
        <v>0</v>
      </c>
      <c r="U165" s="288"/>
      <c r="V165" s="5"/>
    </row>
    <row r="166" spans="1:22" ht="15.6" x14ac:dyDescent="0.3">
      <c r="A166" s="284"/>
      <c r="B166" s="285" t="s">
        <v>273</v>
      </c>
      <c r="C166" s="285"/>
      <c r="D166" s="285"/>
      <c r="E166" s="285"/>
      <c r="F166" s="285"/>
      <c r="G166" s="285"/>
      <c r="H166" s="285"/>
      <c r="I166" s="285"/>
      <c r="J166" s="285"/>
      <c r="K166" s="285"/>
      <c r="L166" s="285"/>
      <c r="M166" s="285"/>
      <c r="N166" s="285"/>
      <c r="O166" s="285"/>
      <c r="P166" s="285"/>
      <c r="Q166" s="285"/>
      <c r="R166" s="285"/>
      <c r="S166" s="285"/>
      <c r="T166" s="339">
        <v>0</v>
      </c>
      <c r="U166" s="288"/>
      <c r="V166" s="5"/>
    </row>
    <row r="167" spans="1:22" ht="16.2" thickBot="1" x14ac:dyDescent="0.35">
      <c r="A167" s="175"/>
      <c r="B167" s="334"/>
      <c r="C167" s="334"/>
      <c r="D167" s="334"/>
      <c r="E167" s="334"/>
      <c r="F167" s="334"/>
      <c r="G167" s="334"/>
      <c r="H167" s="334"/>
      <c r="I167" s="334"/>
      <c r="J167" s="334"/>
      <c r="K167" s="334"/>
      <c r="L167" s="334"/>
      <c r="M167" s="334"/>
      <c r="N167" s="334"/>
      <c r="O167" s="334"/>
      <c r="P167" s="334"/>
      <c r="Q167" s="334"/>
      <c r="R167" s="334"/>
      <c r="S167" s="334"/>
      <c r="T167" s="347"/>
      <c r="U167" s="334"/>
      <c r="V167" s="5"/>
    </row>
    <row r="168" spans="1:22" ht="15.6" x14ac:dyDescent="0.3">
      <c r="A168" s="173"/>
      <c r="B168" s="174"/>
      <c r="C168" s="174"/>
      <c r="D168" s="174"/>
      <c r="E168" s="174"/>
      <c r="F168" s="174"/>
      <c r="G168" s="174"/>
      <c r="H168" s="174"/>
      <c r="I168" s="174"/>
      <c r="J168" s="174"/>
      <c r="K168" s="174"/>
      <c r="L168" s="174"/>
      <c r="M168" s="174"/>
      <c r="N168" s="174"/>
      <c r="O168" s="174"/>
      <c r="P168" s="174"/>
      <c r="Q168" s="174"/>
      <c r="R168" s="174"/>
      <c r="S168" s="174"/>
      <c r="T168" s="193"/>
      <c r="U168" s="174"/>
      <c r="V168" s="5"/>
    </row>
    <row r="169" spans="1:22" ht="15.6" x14ac:dyDescent="0.3">
      <c r="A169" s="175"/>
      <c r="B169" s="201" t="s">
        <v>57</v>
      </c>
      <c r="C169" s="177"/>
      <c r="D169" s="177"/>
      <c r="E169" s="177"/>
      <c r="F169" s="177"/>
      <c r="G169" s="177"/>
      <c r="H169" s="177"/>
      <c r="I169" s="177"/>
      <c r="J169" s="177"/>
      <c r="K169" s="177"/>
      <c r="L169" s="177"/>
      <c r="M169" s="177"/>
      <c r="N169" s="177"/>
      <c r="O169" s="177"/>
      <c r="P169" s="177"/>
      <c r="Q169" s="177"/>
      <c r="R169" s="177"/>
      <c r="S169" s="177"/>
      <c r="T169" s="194"/>
      <c r="U169" s="177"/>
      <c r="V169" s="5"/>
    </row>
    <row r="170" spans="1:22" ht="15.6" x14ac:dyDescent="0.3">
      <c r="A170" s="175"/>
      <c r="B170" s="187"/>
      <c r="C170" s="177"/>
      <c r="D170" s="177"/>
      <c r="E170" s="177"/>
      <c r="F170" s="177"/>
      <c r="G170" s="177"/>
      <c r="H170" s="177"/>
      <c r="I170" s="177"/>
      <c r="J170" s="177"/>
      <c r="K170" s="177"/>
      <c r="L170" s="177"/>
      <c r="M170" s="177"/>
      <c r="N170" s="177"/>
      <c r="O170" s="177"/>
      <c r="P170" s="177"/>
      <c r="Q170" s="177"/>
      <c r="R170" s="177"/>
      <c r="S170" s="177"/>
      <c r="T170" s="194"/>
      <c r="U170" s="177"/>
      <c r="V170" s="5"/>
    </row>
    <row r="171" spans="1:22" ht="15.6" x14ac:dyDescent="0.3">
      <c r="A171" s="284"/>
      <c r="B171" s="285" t="s">
        <v>58</v>
      </c>
      <c r="C171" s="285"/>
      <c r="D171" s="285"/>
      <c r="E171" s="285"/>
      <c r="F171" s="285"/>
      <c r="G171" s="285"/>
      <c r="H171" s="285"/>
      <c r="I171" s="285"/>
      <c r="J171" s="285"/>
      <c r="K171" s="285"/>
      <c r="L171" s="285"/>
      <c r="M171" s="285"/>
      <c r="N171" s="285"/>
      <c r="O171" s="285"/>
      <c r="P171" s="285"/>
      <c r="Q171" s="285"/>
      <c r="R171" s="285"/>
      <c r="S171" s="285"/>
      <c r="T171" s="339">
        <f>T71</f>
        <v>512273</v>
      </c>
      <c r="U171" s="288"/>
      <c r="V171" s="5"/>
    </row>
    <row r="172" spans="1:22" ht="15.6" x14ac:dyDescent="0.3">
      <c r="A172" s="284"/>
      <c r="B172" s="285" t="s">
        <v>59</v>
      </c>
      <c r="C172" s="285"/>
      <c r="D172" s="285"/>
      <c r="E172" s="285"/>
      <c r="F172" s="285"/>
      <c r="G172" s="285"/>
      <c r="H172" s="285"/>
      <c r="I172" s="285"/>
      <c r="J172" s="285"/>
      <c r="K172" s="285"/>
      <c r="L172" s="285"/>
      <c r="M172" s="285"/>
      <c r="N172" s="285"/>
      <c r="O172" s="285"/>
      <c r="P172" s="285"/>
      <c r="Q172" s="285"/>
      <c r="R172" s="285"/>
      <c r="S172" s="285"/>
      <c r="T172" s="339">
        <f>T84</f>
        <v>512273</v>
      </c>
      <c r="U172" s="288"/>
      <c r="V172" s="5"/>
    </row>
    <row r="173" spans="1:22" ht="16.2" thickBot="1" x14ac:dyDescent="0.35">
      <c r="A173" s="175"/>
      <c r="B173" s="334"/>
      <c r="C173" s="334"/>
      <c r="D173" s="334"/>
      <c r="E173" s="334"/>
      <c r="F173" s="334"/>
      <c r="G173" s="334"/>
      <c r="H173" s="334"/>
      <c r="I173" s="334"/>
      <c r="J173" s="334"/>
      <c r="K173" s="334"/>
      <c r="L173" s="334"/>
      <c r="M173" s="334"/>
      <c r="N173" s="334"/>
      <c r="O173" s="334"/>
      <c r="P173" s="334"/>
      <c r="Q173" s="334"/>
      <c r="R173" s="334"/>
      <c r="S173" s="334"/>
      <c r="T173" s="347"/>
      <c r="U173" s="334"/>
      <c r="V173" s="5"/>
    </row>
    <row r="174" spans="1:22" ht="15.6" x14ac:dyDescent="0.3">
      <c r="A174" s="173"/>
      <c r="B174" s="174"/>
      <c r="C174" s="174"/>
      <c r="D174" s="174"/>
      <c r="E174" s="174"/>
      <c r="F174" s="174"/>
      <c r="G174" s="174"/>
      <c r="H174" s="174"/>
      <c r="I174" s="174"/>
      <c r="J174" s="174"/>
      <c r="K174" s="174"/>
      <c r="L174" s="174"/>
      <c r="M174" s="174"/>
      <c r="N174" s="174"/>
      <c r="O174" s="174"/>
      <c r="P174" s="174"/>
      <c r="Q174" s="174"/>
      <c r="R174" s="174"/>
      <c r="S174" s="174"/>
      <c r="T174" s="193"/>
      <c r="U174" s="174"/>
      <c r="V174" s="5"/>
    </row>
    <row r="175" spans="1:22" ht="15.6" x14ac:dyDescent="0.3">
      <c r="A175" s="175"/>
      <c r="B175" s="201" t="s">
        <v>60</v>
      </c>
      <c r="C175" s="198"/>
      <c r="D175" s="198"/>
      <c r="E175" s="198"/>
      <c r="F175" s="198"/>
      <c r="G175" s="198"/>
      <c r="H175" s="203"/>
      <c r="I175" s="203"/>
      <c r="J175" s="203"/>
      <c r="K175" s="203"/>
      <c r="L175" s="203"/>
      <c r="M175" s="203"/>
      <c r="N175" s="203"/>
      <c r="O175" s="203"/>
      <c r="P175" s="203"/>
      <c r="Q175" s="203" t="s">
        <v>104</v>
      </c>
      <c r="R175" s="203" t="s">
        <v>183</v>
      </c>
      <c r="S175" s="179"/>
      <c r="T175" s="204" t="s">
        <v>120</v>
      </c>
      <c r="U175" s="205"/>
      <c r="V175" s="5"/>
    </row>
    <row r="176" spans="1:22" ht="15.6" x14ac:dyDescent="0.3">
      <c r="A176" s="284"/>
      <c r="B176" s="285" t="s">
        <v>61</v>
      </c>
      <c r="C176" s="285"/>
      <c r="D176" s="285"/>
      <c r="E176" s="285"/>
      <c r="F176" s="285"/>
      <c r="G176" s="285"/>
      <c r="H176" s="285"/>
      <c r="I176" s="285"/>
      <c r="J176" s="285"/>
      <c r="K176" s="285"/>
      <c r="L176" s="285"/>
      <c r="M176" s="285"/>
      <c r="N176" s="285"/>
      <c r="O176" s="285"/>
      <c r="P176" s="285"/>
      <c r="Q176" s="339">
        <v>160008</v>
      </c>
      <c r="R176" s="324"/>
      <c r="S176" s="285"/>
      <c r="T176" s="339"/>
      <c r="U176" s="288"/>
      <c r="V176" s="5"/>
    </row>
    <row r="177" spans="1:22" ht="15.6" x14ac:dyDescent="0.3">
      <c r="A177" s="284"/>
      <c r="B177" s="285" t="s">
        <v>62</v>
      </c>
      <c r="C177" s="285"/>
      <c r="D177" s="285"/>
      <c r="E177" s="285"/>
      <c r="F177" s="285"/>
      <c r="G177" s="285"/>
      <c r="H177" s="285"/>
      <c r="I177" s="285"/>
      <c r="J177" s="285"/>
      <c r="K177" s="285"/>
      <c r="L177" s="285"/>
      <c r="M177" s="285"/>
      <c r="N177" s="285"/>
      <c r="O177" s="285"/>
      <c r="P177" s="285"/>
      <c r="Q177" s="339">
        <f>+'Sept 14'!Q179</f>
        <v>38110</v>
      </c>
      <c r="R177" s="339">
        <f>+'Sept 14'!R179</f>
        <v>3447</v>
      </c>
      <c r="S177" s="285"/>
      <c r="T177" s="339">
        <f>Q177+R177</f>
        <v>41557</v>
      </c>
      <c r="U177" s="288"/>
      <c r="V177" s="5"/>
    </row>
    <row r="178" spans="1:22" ht="15.6" x14ac:dyDescent="0.3">
      <c r="A178" s="284"/>
      <c r="B178" s="285" t="s">
        <v>63</v>
      </c>
      <c r="C178" s="285"/>
      <c r="D178" s="285"/>
      <c r="E178" s="285"/>
      <c r="F178" s="285"/>
      <c r="G178" s="285"/>
      <c r="H178" s="285"/>
      <c r="I178" s="285"/>
      <c r="J178" s="285"/>
      <c r="K178" s="285"/>
      <c r="L178" s="285"/>
      <c r="M178" s="285"/>
      <c r="N178" s="285"/>
      <c r="O178" s="285"/>
      <c r="P178" s="285"/>
      <c r="Q178" s="338">
        <f>48+68</f>
        <v>116</v>
      </c>
      <c r="R178" s="338">
        <v>0</v>
      </c>
      <c r="S178" s="285"/>
      <c r="T178" s="339">
        <f>Q178+R178</f>
        <v>116</v>
      </c>
      <c r="U178" s="288"/>
      <c r="V178" s="5"/>
    </row>
    <row r="179" spans="1:22" ht="15.6" x14ac:dyDescent="0.3">
      <c r="A179" s="284"/>
      <c r="B179" s="285" t="s">
        <v>64</v>
      </c>
      <c r="C179" s="285"/>
      <c r="D179" s="285"/>
      <c r="E179" s="285"/>
      <c r="F179" s="285"/>
      <c r="G179" s="285"/>
      <c r="H179" s="285"/>
      <c r="I179" s="285"/>
      <c r="J179" s="285"/>
      <c r="K179" s="285"/>
      <c r="L179" s="285"/>
      <c r="M179" s="285"/>
      <c r="N179" s="285"/>
      <c r="O179" s="285"/>
      <c r="P179" s="285"/>
      <c r="Q179" s="339">
        <f>Q177+Q178</f>
        <v>38226</v>
      </c>
      <c r="R179" s="339">
        <f>R178+R177</f>
        <v>3447</v>
      </c>
      <c r="S179" s="285"/>
      <c r="T179" s="339">
        <f>Q179+R179</f>
        <v>41673</v>
      </c>
      <c r="U179" s="288"/>
      <c r="V179" s="5"/>
    </row>
    <row r="180" spans="1:22" ht="15.6" x14ac:dyDescent="0.3">
      <c r="A180" s="284"/>
      <c r="B180" s="285" t="s">
        <v>65</v>
      </c>
      <c r="C180" s="285"/>
      <c r="D180" s="285"/>
      <c r="E180" s="285"/>
      <c r="F180" s="285"/>
      <c r="G180" s="285"/>
      <c r="H180" s="285"/>
      <c r="I180" s="285"/>
      <c r="J180" s="285"/>
      <c r="K180" s="285"/>
      <c r="L180" s="285"/>
      <c r="M180" s="285"/>
      <c r="N180" s="285"/>
      <c r="O180" s="285"/>
      <c r="P180" s="285"/>
      <c r="Q180" s="339">
        <f>Q176-Q179-R179</f>
        <v>118335</v>
      </c>
      <c r="R180" s="324"/>
      <c r="S180" s="285"/>
      <c r="T180" s="339"/>
      <c r="U180" s="288"/>
      <c r="V180" s="5"/>
    </row>
    <row r="181" spans="1:22" ht="16.2" thickBot="1" x14ac:dyDescent="0.35">
      <c r="A181" s="175"/>
      <c r="B181" s="334"/>
      <c r="C181" s="334"/>
      <c r="D181" s="334"/>
      <c r="E181" s="334"/>
      <c r="F181" s="334"/>
      <c r="G181" s="334"/>
      <c r="H181" s="334"/>
      <c r="I181" s="334"/>
      <c r="J181" s="334"/>
      <c r="K181" s="334"/>
      <c r="L181" s="334"/>
      <c r="M181" s="334"/>
      <c r="N181" s="334"/>
      <c r="O181" s="334"/>
      <c r="P181" s="334"/>
      <c r="Q181" s="334"/>
      <c r="R181" s="334"/>
      <c r="S181" s="334"/>
      <c r="T181" s="347"/>
      <c r="U181" s="334"/>
      <c r="V181" s="5"/>
    </row>
    <row r="182" spans="1:22" ht="15.6" x14ac:dyDescent="0.3">
      <c r="A182" s="173"/>
      <c r="B182" s="174"/>
      <c r="C182" s="174"/>
      <c r="D182" s="174"/>
      <c r="E182" s="174"/>
      <c r="F182" s="174"/>
      <c r="G182" s="174"/>
      <c r="H182" s="174"/>
      <c r="I182" s="174"/>
      <c r="J182" s="174"/>
      <c r="K182" s="174"/>
      <c r="L182" s="174"/>
      <c r="M182" s="174"/>
      <c r="N182" s="174"/>
      <c r="O182" s="174"/>
      <c r="P182" s="174"/>
      <c r="Q182" s="174"/>
      <c r="R182" s="174"/>
      <c r="S182" s="174"/>
      <c r="T182" s="193"/>
      <c r="U182" s="174"/>
      <c r="V182" s="5"/>
    </row>
    <row r="183" spans="1:22" ht="15.6" x14ac:dyDescent="0.3">
      <c r="A183" s="175"/>
      <c r="B183" s="201" t="s">
        <v>66</v>
      </c>
      <c r="C183" s="177"/>
      <c r="D183" s="177"/>
      <c r="E183" s="177"/>
      <c r="F183" s="177"/>
      <c r="G183" s="177"/>
      <c r="H183" s="177"/>
      <c r="I183" s="177"/>
      <c r="J183" s="177"/>
      <c r="K183" s="177"/>
      <c r="L183" s="177"/>
      <c r="M183" s="177"/>
      <c r="N183" s="177"/>
      <c r="O183" s="177"/>
      <c r="P183" s="177"/>
      <c r="Q183" s="177"/>
      <c r="R183" s="177"/>
      <c r="S183" s="177"/>
      <c r="T183" s="206"/>
      <c r="U183" s="177"/>
      <c r="V183" s="5"/>
    </row>
    <row r="184" spans="1:22" ht="15.6" x14ac:dyDescent="0.3">
      <c r="A184" s="284"/>
      <c r="B184" s="285" t="s">
        <v>67</v>
      </c>
      <c r="C184" s="285"/>
      <c r="D184" s="285"/>
      <c r="E184" s="285"/>
      <c r="F184" s="285"/>
      <c r="G184" s="285"/>
      <c r="H184" s="285"/>
      <c r="I184" s="285"/>
      <c r="J184" s="285"/>
      <c r="K184" s="285"/>
      <c r="L184" s="285"/>
      <c r="M184" s="285"/>
      <c r="N184" s="285"/>
      <c r="O184" s="285"/>
      <c r="P184" s="285"/>
      <c r="Q184" s="285"/>
      <c r="R184" s="285"/>
      <c r="S184" s="285"/>
      <c r="T184" s="348">
        <f>(T100+T102+T103+T104+T105)/-(T106+T107)</f>
        <v>4.3352272727272725</v>
      </c>
      <c r="U184" s="288" t="s">
        <v>121</v>
      </c>
      <c r="V184" s="5"/>
    </row>
    <row r="185" spans="1:22" ht="15.6" x14ac:dyDescent="0.3">
      <c r="A185" s="284"/>
      <c r="B185" s="285" t="s">
        <v>68</v>
      </c>
      <c r="C185" s="285"/>
      <c r="D185" s="285"/>
      <c r="E185" s="285"/>
      <c r="F185" s="285"/>
      <c r="G185" s="285"/>
      <c r="H185" s="285"/>
      <c r="I185" s="285"/>
      <c r="J185" s="285"/>
      <c r="K185" s="285"/>
      <c r="L185" s="285"/>
      <c r="M185" s="285"/>
      <c r="N185" s="285"/>
      <c r="O185" s="285"/>
      <c r="P185" s="285"/>
      <c r="Q185" s="285"/>
      <c r="R185" s="285"/>
      <c r="S185" s="285"/>
      <c r="T185" s="349">
        <v>1.78</v>
      </c>
      <c r="U185" s="288" t="s">
        <v>121</v>
      </c>
      <c r="V185" s="5"/>
    </row>
    <row r="186" spans="1:22" ht="15.6" x14ac:dyDescent="0.3">
      <c r="A186" s="284"/>
      <c r="B186" s="285" t="s">
        <v>69</v>
      </c>
      <c r="C186" s="285"/>
      <c r="D186" s="285"/>
      <c r="E186" s="285"/>
      <c r="F186" s="285"/>
      <c r="G186" s="285"/>
      <c r="H186" s="285"/>
      <c r="I186" s="285"/>
      <c r="J186" s="285"/>
      <c r="K186" s="285"/>
      <c r="L186" s="285"/>
      <c r="M186" s="285"/>
      <c r="N186" s="285"/>
      <c r="O186" s="285"/>
      <c r="P186" s="285"/>
      <c r="Q186" s="285"/>
      <c r="R186" s="285"/>
      <c r="S186" s="285"/>
      <c r="T186" s="348">
        <f>(T100+T102+T103+T104+T105+T106+T107)/-(T108+T109)</f>
        <v>12.103092783505154</v>
      </c>
      <c r="U186" s="288" t="s">
        <v>121</v>
      </c>
      <c r="V186" s="5"/>
    </row>
    <row r="187" spans="1:22" ht="15.6" x14ac:dyDescent="0.3">
      <c r="A187" s="284"/>
      <c r="B187" s="285" t="s">
        <v>70</v>
      </c>
      <c r="C187" s="285"/>
      <c r="D187" s="285"/>
      <c r="E187" s="285"/>
      <c r="F187" s="285"/>
      <c r="G187" s="285"/>
      <c r="H187" s="285"/>
      <c r="I187" s="285"/>
      <c r="J187" s="285"/>
      <c r="K187" s="285"/>
      <c r="L187" s="285"/>
      <c r="M187" s="285"/>
      <c r="N187" s="285"/>
      <c r="O187" s="285"/>
      <c r="P187" s="285"/>
      <c r="Q187" s="285"/>
      <c r="R187" s="285"/>
      <c r="S187" s="285"/>
      <c r="T187" s="349">
        <v>6.39</v>
      </c>
      <c r="U187" s="288" t="s">
        <v>121</v>
      </c>
      <c r="V187" s="5"/>
    </row>
    <row r="188" spans="1:22" ht="15.6" x14ac:dyDescent="0.3">
      <c r="A188" s="284"/>
      <c r="B188" s="285" t="s">
        <v>206</v>
      </c>
      <c r="C188" s="285"/>
      <c r="D188" s="285"/>
      <c r="E188" s="285"/>
      <c r="F188" s="285"/>
      <c r="G188" s="285"/>
      <c r="H188" s="285"/>
      <c r="I188" s="285"/>
      <c r="J188" s="285"/>
      <c r="K188" s="285"/>
      <c r="L188" s="285"/>
      <c r="M188" s="285"/>
      <c r="N188" s="285"/>
      <c r="O188" s="285"/>
      <c r="P188" s="285"/>
      <c r="Q188" s="285"/>
      <c r="R188" s="285"/>
      <c r="S188" s="285"/>
      <c r="T188" s="348">
        <f>(T100+T102+T103+T104+T105+T106+T107+T108+T109)/-(T110)</f>
        <v>9.2446351931330479</v>
      </c>
      <c r="U188" s="288" t="s">
        <v>121</v>
      </c>
      <c r="V188" s="5"/>
    </row>
    <row r="189" spans="1:22" ht="15.6" x14ac:dyDescent="0.3">
      <c r="A189" s="284"/>
      <c r="B189" s="285" t="s">
        <v>207</v>
      </c>
      <c r="C189" s="285"/>
      <c r="D189" s="285"/>
      <c r="E189" s="285"/>
      <c r="F189" s="285"/>
      <c r="G189" s="285"/>
      <c r="H189" s="285"/>
      <c r="I189" s="285"/>
      <c r="J189" s="285"/>
      <c r="K189" s="285"/>
      <c r="L189" s="285"/>
      <c r="M189" s="285"/>
      <c r="N189" s="285"/>
      <c r="O189" s="285"/>
      <c r="P189" s="285"/>
      <c r="Q189" s="285"/>
      <c r="R189" s="285"/>
      <c r="S189" s="285"/>
      <c r="T189" s="349">
        <v>5.78</v>
      </c>
      <c r="U189" s="288" t="s">
        <v>121</v>
      </c>
      <c r="V189" s="5"/>
    </row>
    <row r="190" spans="1:22" ht="15.6" x14ac:dyDescent="0.3">
      <c r="A190" s="284"/>
      <c r="B190" s="311"/>
      <c r="C190" s="311"/>
      <c r="D190" s="311"/>
      <c r="E190" s="311"/>
      <c r="F190" s="311"/>
      <c r="G190" s="311"/>
      <c r="H190" s="311"/>
      <c r="I190" s="311"/>
      <c r="J190" s="311"/>
      <c r="K190" s="311"/>
      <c r="L190" s="311"/>
      <c r="M190" s="311"/>
      <c r="N190" s="311"/>
      <c r="O190" s="311"/>
      <c r="P190" s="311"/>
      <c r="Q190" s="311"/>
      <c r="R190" s="311"/>
      <c r="S190" s="311"/>
      <c r="T190" s="311"/>
      <c r="U190" s="317"/>
      <c r="V190" s="5"/>
    </row>
    <row r="191" spans="1:22" ht="15.6" x14ac:dyDescent="0.3">
      <c r="A191" s="175"/>
      <c r="B191" s="334"/>
      <c r="C191" s="334"/>
      <c r="D191" s="334"/>
      <c r="E191" s="334"/>
      <c r="F191" s="334"/>
      <c r="G191" s="334"/>
      <c r="H191" s="334"/>
      <c r="I191" s="334"/>
      <c r="J191" s="334"/>
      <c r="K191" s="334"/>
      <c r="L191" s="334"/>
      <c r="M191" s="334"/>
      <c r="N191" s="334"/>
      <c r="O191" s="334"/>
      <c r="P191" s="334"/>
      <c r="Q191" s="334"/>
      <c r="R191" s="334"/>
      <c r="S191" s="334"/>
      <c r="T191" s="334"/>
      <c r="U191" s="334"/>
      <c r="V191" s="5"/>
    </row>
    <row r="192" spans="1:22" ht="15.6" x14ac:dyDescent="0.3">
      <c r="A192" s="175"/>
      <c r="B192" s="177"/>
      <c r="C192" s="177"/>
      <c r="D192" s="177"/>
      <c r="E192" s="177"/>
      <c r="F192" s="177"/>
      <c r="G192" s="177"/>
      <c r="H192" s="177"/>
      <c r="I192" s="177"/>
      <c r="J192" s="177"/>
      <c r="K192" s="177"/>
      <c r="L192" s="177"/>
      <c r="M192" s="177"/>
      <c r="N192" s="177"/>
      <c r="O192" s="177"/>
      <c r="P192" s="177"/>
      <c r="Q192" s="177"/>
      <c r="R192" s="177"/>
      <c r="S192" s="177"/>
      <c r="T192" s="177"/>
      <c r="U192" s="177"/>
      <c r="V192" s="5"/>
    </row>
    <row r="193" spans="1:22" ht="18" thickBot="1" x14ac:dyDescent="0.35">
      <c r="A193" s="192"/>
      <c r="B193" s="246" t="str">
        <f>B133</f>
        <v>PM11 INVESTOR REPORT QUARTER ENDING DECEMBER 2014</v>
      </c>
      <c r="C193" s="207"/>
      <c r="D193" s="207"/>
      <c r="E193" s="207"/>
      <c r="F193" s="207"/>
      <c r="G193" s="207"/>
      <c r="H193" s="207"/>
      <c r="I193" s="207"/>
      <c r="J193" s="207"/>
      <c r="K193" s="207"/>
      <c r="L193" s="207"/>
      <c r="M193" s="207"/>
      <c r="N193" s="207"/>
      <c r="O193" s="207"/>
      <c r="P193" s="207"/>
      <c r="Q193" s="207"/>
      <c r="R193" s="207"/>
      <c r="S193" s="207"/>
      <c r="T193" s="207"/>
      <c r="U193" s="208"/>
      <c r="V193" s="5"/>
    </row>
    <row r="194" spans="1:22" ht="15.6" x14ac:dyDescent="0.3">
      <c r="A194" s="260"/>
      <c r="B194" s="399" t="s">
        <v>71</v>
      </c>
      <c r="C194" s="400"/>
      <c r="D194" s="400"/>
      <c r="E194" s="400"/>
      <c r="F194" s="400"/>
      <c r="G194" s="401"/>
      <c r="H194" s="401"/>
      <c r="I194" s="401"/>
      <c r="J194" s="401"/>
      <c r="K194" s="401"/>
      <c r="L194" s="401"/>
      <c r="M194" s="401"/>
      <c r="N194" s="401"/>
      <c r="O194" s="401"/>
      <c r="P194" s="401"/>
      <c r="Q194" s="401"/>
      <c r="R194" s="401">
        <v>42004</v>
      </c>
      <c r="S194" s="261"/>
      <c r="T194" s="261"/>
      <c r="U194" s="261"/>
      <c r="V194" s="5"/>
    </row>
    <row r="195" spans="1:22" ht="15.6" x14ac:dyDescent="0.3">
      <c r="A195" s="209"/>
      <c r="B195" s="210"/>
      <c r="C195" s="211"/>
      <c r="D195" s="211"/>
      <c r="E195" s="211"/>
      <c r="F195" s="211"/>
      <c r="G195" s="212"/>
      <c r="H195" s="212"/>
      <c r="I195" s="212"/>
      <c r="J195" s="212"/>
      <c r="K195" s="212"/>
      <c r="L195" s="212"/>
      <c r="M195" s="212"/>
      <c r="N195" s="212"/>
      <c r="O195" s="212"/>
      <c r="P195" s="212"/>
      <c r="Q195" s="212"/>
      <c r="R195" s="212"/>
      <c r="S195" s="177"/>
      <c r="T195" s="177"/>
      <c r="U195" s="177"/>
      <c r="V195" s="5"/>
    </row>
    <row r="196" spans="1:22" ht="15.6" x14ac:dyDescent="0.3">
      <c r="A196" s="352"/>
      <c r="B196" s="285" t="s">
        <v>72</v>
      </c>
      <c r="C196" s="353"/>
      <c r="D196" s="353"/>
      <c r="E196" s="353"/>
      <c r="F196" s="353"/>
      <c r="G196" s="329"/>
      <c r="H196" s="329"/>
      <c r="I196" s="329"/>
      <c r="J196" s="329"/>
      <c r="K196" s="329"/>
      <c r="L196" s="329"/>
      <c r="M196" s="329"/>
      <c r="N196" s="329"/>
      <c r="O196" s="329"/>
      <c r="P196" s="329"/>
      <c r="Q196" s="329"/>
      <c r="R196" s="320">
        <v>5.1569999999999998E-2</v>
      </c>
      <c r="S196" s="285"/>
      <c r="T196" s="285"/>
      <c r="U196" s="317"/>
      <c r="V196" s="5"/>
    </row>
    <row r="197" spans="1:22" ht="15.6" x14ac:dyDescent="0.3">
      <c r="A197" s="352"/>
      <c r="B197" s="285" t="s">
        <v>157</v>
      </c>
      <c r="C197" s="353"/>
      <c r="D197" s="353"/>
      <c r="E197" s="353"/>
      <c r="F197" s="353"/>
      <c r="G197" s="329"/>
      <c r="H197" s="329"/>
      <c r="I197" s="329"/>
      <c r="J197" s="329"/>
      <c r="K197" s="329"/>
      <c r="L197" s="329"/>
      <c r="M197" s="329"/>
      <c r="N197" s="329"/>
      <c r="O197" s="329"/>
      <c r="P197" s="329"/>
      <c r="Q197" s="329"/>
      <c r="R197" s="320">
        <v>4.6899999999999997E-2</v>
      </c>
      <c r="S197" s="285"/>
      <c r="T197" s="285"/>
      <c r="U197" s="317"/>
      <c r="V197" s="5"/>
    </row>
    <row r="198" spans="1:22" ht="15.6" x14ac:dyDescent="0.3">
      <c r="A198" s="352"/>
      <c r="B198" s="285" t="s">
        <v>73</v>
      </c>
      <c r="C198" s="353"/>
      <c r="D198" s="353"/>
      <c r="E198" s="353"/>
      <c r="F198" s="353"/>
      <c r="G198" s="329"/>
      <c r="H198" s="329"/>
      <c r="I198" s="329"/>
      <c r="J198" s="329"/>
      <c r="K198" s="329"/>
      <c r="L198" s="329"/>
      <c r="M198" s="329"/>
      <c r="N198" s="329"/>
      <c r="O198" s="329"/>
      <c r="P198" s="329"/>
      <c r="Q198" s="329"/>
      <c r="R198" s="320">
        <f>R196-R197</f>
        <v>4.6700000000000005E-3</v>
      </c>
      <c r="S198" s="285"/>
      <c r="T198" s="285"/>
      <c r="U198" s="317"/>
      <c r="V198" s="5"/>
    </row>
    <row r="199" spans="1:22" ht="15.6" x14ac:dyDescent="0.3">
      <c r="A199" s="352"/>
      <c r="B199" s="285" t="s">
        <v>74</v>
      </c>
      <c r="C199" s="353"/>
      <c r="D199" s="353"/>
      <c r="E199" s="353"/>
      <c r="F199" s="353"/>
      <c r="G199" s="329"/>
      <c r="H199" s="329"/>
      <c r="I199" s="329"/>
      <c r="J199" s="329"/>
      <c r="K199" s="329"/>
      <c r="L199" s="329"/>
      <c r="M199" s="329"/>
      <c r="N199" s="329"/>
      <c r="O199" s="329"/>
      <c r="P199" s="329"/>
      <c r="Q199" s="329"/>
      <c r="R199" s="320">
        <v>2.3040000000000001E-2</v>
      </c>
      <c r="S199" s="285"/>
      <c r="T199" s="285"/>
      <c r="U199" s="317"/>
      <c r="V199" s="5"/>
    </row>
    <row r="200" spans="1:22" ht="15.6" x14ac:dyDescent="0.3">
      <c r="A200" s="352"/>
      <c r="B200" s="285" t="s">
        <v>257</v>
      </c>
      <c r="C200" s="353"/>
      <c r="D200" s="353"/>
      <c r="E200" s="353"/>
      <c r="F200" s="353"/>
      <c r="G200" s="329"/>
      <c r="H200" s="329"/>
      <c r="I200" s="329"/>
      <c r="J200" s="329"/>
      <c r="K200" s="329"/>
      <c r="L200" s="329"/>
      <c r="M200" s="329"/>
      <c r="N200" s="329"/>
      <c r="O200" s="329"/>
      <c r="P200" s="329"/>
      <c r="Q200" s="329"/>
      <c r="R200" s="320">
        <f>T43</f>
        <v>8.6554854156911405E-3</v>
      </c>
      <c r="S200" s="285"/>
      <c r="T200" s="285"/>
      <c r="U200" s="317"/>
      <c r="V200" s="5"/>
    </row>
    <row r="201" spans="1:22" ht="15.6" x14ac:dyDescent="0.3">
      <c r="A201" s="352"/>
      <c r="B201" s="285" t="s">
        <v>75</v>
      </c>
      <c r="C201" s="353"/>
      <c r="D201" s="353"/>
      <c r="E201" s="353"/>
      <c r="F201" s="353"/>
      <c r="G201" s="329"/>
      <c r="H201" s="329"/>
      <c r="I201" s="329"/>
      <c r="J201" s="329"/>
      <c r="K201" s="329"/>
      <c r="L201" s="329"/>
      <c r="M201" s="329"/>
      <c r="N201" s="329"/>
      <c r="O201" s="329"/>
      <c r="P201" s="329"/>
      <c r="Q201" s="329"/>
      <c r="R201" s="320">
        <f>R199-R200</f>
        <v>1.4384514584308861E-2</v>
      </c>
      <c r="S201" s="285"/>
      <c r="T201" s="285"/>
      <c r="U201" s="317"/>
      <c r="V201" s="5"/>
    </row>
    <row r="202" spans="1:22" ht="15.6" x14ac:dyDescent="0.3">
      <c r="A202" s="352"/>
      <c r="B202" s="285" t="s">
        <v>260</v>
      </c>
      <c r="C202" s="353"/>
      <c r="D202" s="353"/>
      <c r="E202" s="353"/>
      <c r="F202" s="353"/>
      <c r="G202" s="329"/>
      <c r="H202" s="329"/>
      <c r="I202" s="329"/>
      <c r="J202" s="329"/>
      <c r="K202" s="329"/>
      <c r="L202" s="329"/>
      <c r="M202" s="329"/>
      <c r="N202" s="329"/>
      <c r="O202" s="329"/>
      <c r="P202" s="329"/>
      <c r="Q202" s="329"/>
      <c r="R202" s="320">
        <f>+T100/L71</f>
        <v>6.6254783086428081E-3</v>
      </c>
      <c r="S202" s="285"/>
      <c r="T202" s="285"/>
      <c r="U202" s="317"/>
      <c r="V202" s="5"/>
    </row>
    <row r="203" spans="1:22" ht="15.6" x14ac:dyDescent="0.3">
      <c r="A203" s="352"/>
      <c r="B203" s="285" t="s">
        <v>217</v>
      </c>
      <c r="C203" s="353"/>
      <c r="D203" s="353"/>
      <c r="E203" s="353"/>
      <c r="F203" s="353"/>
      <c r="G203" s="329"/>
      <c r="H203" s="329"/>
      <c r="I203" s="329"/>
      <c r="J203" s="329"/>
      <c r="K203" s="329"/>
      <c r="L203" s="329"/>
      <c r="M203" s="329"/>
      <c r="N203" s="329"/>
      <c r="O203" s="329"/>
      <c r="P203" s="329"/>
      <c r="Q203" s="329"/>
      <c r="R203" s="354">
        <v>15250</v>
      </c>
      <c r="S203" s="285"/>
      <c r="T203" s="285"/>
      <c r="U203" s="317"/>
      <c r="V203" s="5"/>
    </row>
    <row r="204" spans="1:22" ht="15.6" x14ac:dyDescent="0.3">
      <c r="A204" s="352"/>
      <c r="B204" s="285" t="s">
        <v>218</v>
      </c>
      <c r="C204" s="353"/>
      <c r="D204" s="353"/>
      <c r="E204" s="353"/>
      <c r="F204" s="353"/>
      <c r="G204" s="329"/>
      <c r="H204" s="329"/>
      <c r="I204" s="329"/>
      <c r="J204" s="329"/>
      <c r="K204" s="329"/>
      <c r="L204" s="329"/>
      <c r="M204" s="329"/>
      <c r="N204" s="329"/>
      <c r="O204" s="329"/>
      <c r="P204" s="329"/>
      <c r="Q204" s="329"/>
      <c r="R204" s="354">
        <v>15250</v>
      </c>
      <c r="S204" s="285"/>
      <c r="T204" s="285"/>
      <c r="U204" s="317"/>
      <c r="V204" s="5"/>
    </row>
    <row r="205" spans="1:22" ht="15.6" x14ac:dyDescent="0.3">
      <c r="A205" s="352"/>
      <c r="B205" s="285" t="s">
        <v>219</v>
      </c>
      <c r="C205" s="353"/>
      <c r="D205" s="353"/>
      <c r="E205" s="353"/>
      <c r="F205" s="353"/>
      <c r="G205" s="329"/>
      <c r="H205" s="329"/>
      <c r="I205" s="329"/>
      <c r="J205" s="329"/>
      <c r="K205" s="329"/>
      <c r="L205" s="329"/>
      <c r="M205" s="329"/>
      <c r="N205" s="329"/>
      <c r="O205" s="329"/>
      <c r="P205" s="329"/>
      <c r="Q205" s="329"/>
      <c r="R205" s="354">
        <v>15250</v>
      </c>
      <c r="S205" s="285"/>
      <c r="T205" s="285"/>
      <c r="U205" s="317"/>
      <c r="V205" s="5"/>
    </row>
    <row r="206" spans="1:22" ht="15.6" x14ac:dyDescent="0.3">
      <c r="A206" s="352"/>
      <c r="B206" s="285" t="s">
        <v>76</v>
      </c>
      <c r="C206" s="353"/>
      <c r="D206" s="353"/>
      <c r="E206" s="353"/>
      <c r="F206" s="353"/>
      <c r="G206" s="329"/>
      <c r="H206" s="329"/>
      <c r="I206" s="329"/>
      <c r="J206" s="329"/>
      <c r="K206" s="329"/>
      <c r="L206" s="329"/>
      <c r="M206" s="329"/>
      <c r="N206" s="329"/>
      <c r="O206" s="329"/>
      <c r="P206" s="329"/>
      <c r="Q206" s="329"/>
      <c r="R206" s="326">
        <v>21.18</v>
      </c>
      <c r="S206" s="285" t="s">
        <v>116</v>
      </c>
      <c r="T206" s="285"/>
      <c r="U206" s="317"/>
      <c r="V206" s="5"/>
    </row>
    <row r="207" spans="1:22" ht="15.6" x14ac:dyDescent="0.3">
      <c r="A207" s="352"/>
      <c r="B207" s="285" t="s">
        <v>77</v>
      </c>
      <c r="C207" s="353"/>
      <c r="D207" s="353"/>
      <c r="E207" s="353"/>
      <c r="F207" s="353"/>
      <c r="G207" s="329"/>
      <c r="H207" s="329"/>
      <c r="I207" s="329"/>
      <c r="J207" s="329"/>
      <c r="K207" s="329"/>
      <c r="L207" s="329"/>
      <c r="M207" s="329"/>
      <c r="N207" s="329"/>
      <c r="O207" s="329"/>
      <c r="P207" s="329"/>
      <c r="Q207" s="329"/>
      <c r="R207" s="326">
        <v>12.71</v>
      </c>
      <c r="S207" s="285" t="s">
        <v>116</v>
      </c>
      <c r="T207" s="285"/>
      <c r="U207" s="317"/>
      <c r="V207" s="5"/>
    </row>
    <row r="208" spans="1:22" ht="15.6" x14ac:dyDescent="0.3">
      <c r="A208" s="352"/>
      <c r="B208" s="285" t="s">
        <v>78</v>
      </c>
      <c r="C208" s="353"/>
      <c r="D208" s="353"/>
      <c r="E208" s="353"/>
      <c r="F208" s="353"/>
      <c r="G208" s="329"/>
      <c r="H208" s="329"/>
      <c r="I208" s="329"/>
      <c r="J208" s="329"/>
      <c r="K208" s="329"/>
      <c r="L208" s="329"/>
      <c r="M208" s="329"/>
      <c r="N208" s="329"/>
      <c r="O208" s="329"/>
      <c r="P208" s="329"/>
      <c r="Q208" s="329"/>
      <c r="R208" s="320">
        <f>N68/L68</f>
        <v>1.2718913552640456E-2</v>
      </c>
      <c r="S208" s="285"/>
      <c r="T208" s="285"/>
      <c r="U208" s="317"/>
      <c r="V208" s="5"/>
    </row>
    <row r="209" spans="1:22" ht="15.6" x14ac:dyDescent="0.3">
      <c r="A209" s="352"/>
      <c r="B209" s="285" t="s">
        <v>79</v>
      </c>
      <c r="C209" s="353"/>
      <c r="D209" s="353"/>
      <c r="E209" s="353"/>
      <c r="F209" s="353"/>
      <c r="G209" s="329"/>
      <c r="H209" s="329"/>
      <c r="I209" s="329"/>
      <c r="J209" s="329"/>
      <c r="K209" s="329"/>
      <c r="L209" s="329"/>
      <c r="M209" s="329"/>
      <c r="N209" s="329"/>
      <c r="O209" s="329"/>
      <c r="P209" s="329"/>
      <c r="Q209" s="329"/>
      <c r="R209" s="320">
        <v>7.8799999999999995E-2</v>
      </c>
      <c r="S209" s="285"/>
      <c r="T209" s="285"/>
      <c r="U209" s="317"/>
      <c r="V209" s="5"/>
    </row>
    <row r="210" spans="1:22" ht="15.6" x14ac:dyDescent="0.3">
      <c r="A210" s="209"/>
      <c r="B210" s="350"/>
      <c r="C210" s="350"/>
      <c r="D210" s="350"/>
      <c r="E210" s="350"/>
      <c r="F210" s="350"/>
      <c r="G210" s="334"/>
      <c r="H210" s="334"/>
      <c r="I210" s="334"/>
      <c r="J210" s="334"/>
      <c r="K210" s="334"/>
      <c r="L210" s="334"/>
      <c r="M210" s="334"/>
      <c r="N210" s="334"/>
      <c r="O210" s="334"/>
      <c r="P210" s="334"/>
      <c r="Q210" s="334"/>
      <c r="R210" s="347"/>
      <c r="S210" s="334"/>
      <c r="T210" s="351"/>
      <c r="U210" s="334"/>
      <c r="V210" s="5"/>
    </row>
    <row r="211" spans="1:22" ht="15.6" x14ac:dyDescent="0.3">
      <c r="A211" s="266"/>
      <c r="B211" s="395" t="s">
        <v>80</v>
      </c>
      <c r="C211" s="396"/>
      <c r="D211" s="396"/>
      <c r="E211" s="396"/>
      <c r="F211" s="402"/>
      <c r="G211" s="396"/>
      <c r="H211" s="396"/>
      <c r="I211" s="396"/>
      <c r="J211" s="396"/>
      <c r="K211" s="396"/>
      <c r="L211" s="396"/>
      <c r="M211" s="396"/>
      <c r="N211" s="396"/>
      <c r="O211" s="396"/>
      <c r="P211" s="396"/>
      <c r="Q211" s="396" t="s">
        <v>105</v>
      </c>
      <c r="R211" s="402" t="s">
        <v>112</v>
      </c>
      <c r="S211" s="223"/>
      <c r="T211" s="223"/>
      <c r="U211" s="223"/>
      <c r="V211" s="5"/>
    </row>
    <row r="212" spans="1:22" ht="15.6" x14ac:dyDescent="0.3">
      <c r="A212" s="214"/>
      <c r="B212" s="239" t="s">
        <v>81</v>
      </c>
      <c r="C212" s="243"/>
      <c r="D212" s="243"/>
      <c r="E212" s="243"/>
      <c r="F212" s="239"/>
      <c r="G212" s="239"/>
      <c r="H212" s="242"/>
      <c r="I212" s="242"/>
      <c r="J212" s="242"/>
      <c r="K212" s="242"/>
      <c r="L212" s="242"/>
      <c r="M212" s="242"/>
      <c r="N212" s="242"/>
      <c r="O212" s="242"/>
      <c r="P212" s="242"/>
      <c r="Q212" s="242">
        <v>2</v>
      </c>
      <c r="R212" s="272">
        <v>461</v>
      </c>
      <c r="S212" s="239"/>
      <c r="T212" s="273"/>
      <c r="U212" s="215"/>
      <c r="V212" s="5"/>
    </row>
    <row r="213" spans="1:22" ht="15.6" x14ac:dyDescent="0.3">
      <c r="A213" s="360"/>
      <c r="B213" s="285" t="s">
        <v>151</v>
      </c>
      <c r="C213" s="338"/>
      <c r="D213" s="338"/>
      <c r="E213" s="338"/>
      <c r="F213" s="285"/>
      <c r="G213" s="285"/>
      <c r="H213" s="293"/>
      <c r="I213" s="293"/>
      <c r="J213" s="293"/>
      <c r="K213" s="293"/>
      <c r="L213" s="293"/>
      <c r="M213" s="293"/>
      <c r="N213" s="293"/>
      <c r="O213" s="293"/>
      <c r="P213" s="293"/>
      <c r="Q213" s="361">
        <f>+P265</f>
        <v>79</v>
      </c>
      <c r="R213" s="362">
        <f>+R265</f>
        <v>11938</v>
      </c>
      <c r="S213" s="285"/>
      <c r="T213" s="363"/>
      <c r="U213" s="364"/>
      <c r="V213" s="5"/>
    </row>
    <row r="214" spans="1:22" ht="15.6" x14ac:dyDescent="0.3">
      <c r="A214" s="360"/>
      <c r="B214" s="285" t="s">
        <v>82</v>
      </c>
      <c r="C214" s="338"/>
      <c r="D214" s="338"/>
      <c r="E214" s="338"/>
      <c r="F214" s="285"/>
      <c r="G214" s="285"/>
      <c r="H214" s="293"/>
      <c r="I214" s="293"/>
      <c r="J214" s="293"/>
      <c r="K214" s="293"/>
      <c r="L214" s="293"/>
      <c r="M214" s="293"/>
      <c r="N214" s="293"/>
      <c r="O214" s="293"/>
      <c r="P214" s="293"/>
      <c r="Q214" s="361">
        <f>+P277</f>
        <v>0</v>
      </c>
      <c r="R214" s="362">
        <f>+R277</f>
        <v>0</v>
      </c>
      <c r="S214" s="285"/>
      <c r="T214" s="363"/>
      <c r="U214" s="364"/>
      <c r="V214" s="5"/>
    </row>
    <row r="215" spans="1:22" ht="15.6" x14ac:dyDescent="0.3">
      <c r="A215" s="360"/>
      <c r="B215" s="310" t="s">
        <v>83</v>
      </c>
      <c r="C215" s="365"/>
      <c r="D215" s="365"/>
      <c r="E215" s="365"/>
      <c r="F215" s="311"/>
      <c r="G215" s="311"/>
      <c r="H215" s="311"/>
      <c r="I215" s="311"/>
      <c r="J215" s="311"/>
      <c r="K215" s="311"/>
      <c r="L215" s="311"/>
      <c r="M215" s="311"/>
      <c r="N215" s="311"/>
      <c r="O215" s="311"/>
      <c r="P215" s="311"/>
      <c r="Q215" s="285"/>
      <c r="R215" s="362">
        <v>0</v>
      </c>
      <c r="S215" s="311"/>
      <c r="T215" s="366"/>
      <c r="U215" s="364"/>
      <c r="V215" s="5"/>
    </row>
    <row r="216" spans="1:22" ht="15.6" x14ac:dyDescent="0.3">
      <c r="A216" s="360"/>
      <c r="B216" s="310" t="s">
        <v>84</v>
      </c>
      <c r="C216" s="365"/>
      <c r="D216" s="365"/>
      <c r="E216" s="365"/>
      <c r="F216" s="311"/>
      <c r="G216" s="311"/>
      <c r="H216" s="311"/>
      <c r="I216" s="311"/>
      <c r="J216" s="311"/>
      <c r="K216" s="311"/>
      <c r="L216" s="311"/>
      <c r="M216" s="311"/>
      <c r="N216" s="311"/>
      <c r="O216" s="311"/>
      <c r="P216" s="311"/>
      <c r="Q216" s="285"/>
      <c r="R216" s="367" t="s">
        <v>113</v>
      </c>
      <c r="S216" s="311"/>
      <c r="T216" s="366"/>
      <c r="U216" s="364"/>
      <c r="V216" s="5"/>
    </row>
    <row r="217" spans="1:22" ht="15.6" x14ac:dyDescent="0.3">
      <c r="A217" s="368"/>
      <c r="B217" s="310" t="s">
        <v>85</v>
      </c>
      <c r="C217" s="369"/>
      <c r="D217" s="369"/>
      <c r="E217" s="369"/>
      <c r="F217" s="369"/>
      <c r="G217" s="311"/>
      <c r="H217" s="311"/>
      <c r="I217" s="311"/>
      <c r="J217" s="311"/>
      <c r="K217" s="311"/>
      <c r="L217" s="311"/>
      <c r="M217" s="311"/>
      <c r="N217" s="311"/>
      <c r="O217" s="311"/>
      <c r="P217" s="311"/>
      <c r="Q217" s="285"/>
      <c r="R217" s="362"/>
      <c r="S217" s="311"/>
      <c r="T217" s="366"/>
      <c r="U217" s="370"/>
      <c r="V217" s="5"/>
    </row>
    <row r="218" spans="1:22" ht="15.6" x14ac:dyDescent="0.3">
      <c r="A218" s="368"/>
      <c r="B218" s="285" t="s">
        <v>86</v>
      </c>
      <c r="C218" s="285"/>
      <c r="D218" s="285"/>
      <c r="E218" s="285"/>
      <c r="F218" s="285"/>
      <c r="G218" s="285"/>
      <c r="H218" s="285"/>
      <c r="I218" s="285"/>
      <c r="J218" s="285"/>
      <c r="K218" s="285"/>
      <c r="L218" s="285"/>
      <c r="M218" s="285"/>
      <c r="N218" s="285"/>
      <c r="O218" s="285"/>
      <c r="P218" s="285"/>
      <c r="Q218" s="293"/>
      <c r="R218" s="362">
        <f>T162</f>
        <v>385</v>
      </c>
      <c r="S218" s="285"/>
      <c r="T218" s="363"/>
      <c r="U218" s="370"/>
      <c r="V218" s="5"/>
    </row>
    <row r="219" spans="1:22" ht="15.6" x14ac:dyDescent="0.3">
      <c r="A219" s="360"/>
      <c r="B219" s="285" t="s">
        <v>87</v>
      </c>
      <c r="C219" s="338"/>
      <c r="D219" s="338"/>
      <c r="E219" s="338"/>
      <c r="F219" s="338"/>
      <c r="G219" s="285"/>
      <c r="H219" s="285"/>
      <c r="I219" s="285"/>
      <c r="J219" s="285"/>
      <c r="K219" s="285"/>
      <c r="L219" s="285"/>
      <c r="M219" s="285"/>
      <c r="N219" s="285"/>
      <c r="O219" s="285"/>
      <c r="P219" s="285"/>
      <c r="Q219" s="293"/>
      <c r="R219" s="362">
        <f>'Sept 14'!R219+R218</f>
        <v>5241</v>
      </c>
      <c r="S219" s="285"/>
      <c r="T219" s="363"/>
      <c r="U219" s="370"/>
      <c r="V219" s="5"/>
    </row>
    <row r="220" spans="1:22" ht="15.6" x14ac:dyDescent="0.3">
      <c r="A220" s="368"/>
      <c r="B220" s="310" t="s">
        <v>282</v>
      </c>
      <c r="C220" s="369"/>
      <c r="D220" s="369"/>
      <c r="E220" s="369"/>
      <c r="F220" s="369"/>
      <c r="G220" s="311"/>
      <c r="H220" s="311"/>
      <c r="I220" s="311"/>
      <c r="J220" s="311"/>
      <c r="K220" s="311"/>
      <c r="L220" s="311"/>
      <c r="M220" s="311"/>
      <c r="N220" s="311"/>
      <c r="O220" s="311"/>
      <c r="P220" s="311"/>
      <c r="Q220" s="293"/>
      <c r="R220" s="362"/>
      <c r="S220" s="311"/>
      <c r="T220" s="366"/>
      <c r="U220" s="370"/>
      <c r="V220" s="5"/>
    </row>
    <row r="221" spans="1:22" ht="15.6" x14ac:dyDescent="0.3">
      <c r="A221" s="368"/>
      <c r="B221" s="285" t="s">
        <v>280</v>
      </c>
      <c r="C221" s="369"/>
      <c r="D221" s="369"/>
      <c r="E221" s="369"/>
      <c r="F221" s="369"/>
      <c r="G221" s="311"/>
      <c r="H221" s="311"/>
      <c r="I221" s="311"/>
      <c r="J221" s="311"/>
      <c r="K221" s="311"/>
      <c r="L221" s="311"/>
      <c r="M221" s="311"/>
      <c r="N221" s="311"/>
      <c r="O221" s="311"/>
      <c r="P221" s="311"/>
      <c r="Q221" s="293">
        <v>0</v>
      </c>
      <c r="R221" s="362">
        <v>0</v>
      </c>
      <c r="S221" s="311"/>
      <c r="T221" s="366"/>
      <c r="U221" s="370"/>
      <c r="V221" s="5"/>
    </row>
    <row r="222" spans="1:22" ht="15.6" x14ac:dyDescent="0.3">
      <c r="A222" s="360"/>
      <c r="B222" s="285" t="s">
        <v>89</v>
      </c>
      <c r="C222" s="373"/>
      <c r="D222" s="373"/>
      <c r="E222" s="373"/>
      <c r="F222" s="374"/>
      <c r="G222" s="311"/>
      <c r="H222" s="311"/>
      <c r="I222" s="311"/>
      <c r="J222" s="311"/>
      <c r="K222" s="311"/>
      <c r="L222" s="311"/>
      <c r="M222" s="311"/>
      <c r="N222" s="311"/>
      <c r="O222" s="311"/>
      <c r="P222" s="311"/>
      <c r="Q222" s="285"/>
      <c r="R222" s="367">
        <v>0</v>
      </c>
      <c r="S222" s="311"/>
      <c r="T222" s="366"/>
      <c r="U222" s="370"/>
      <c r="V222" s="5"/>
    </row>
    <row r="223" spans="1:22" ht="15.6" x14ac:dyDescent="0.3">
      <c r="A223" s="360"/>
      <c r="B223" s="285" t="s">
        <v>90</v>
      </c>
      <c r="C223" s="373"/>
      <c r="D223" s="373"/>
      <c r="E223" s="373"/>
      <c r="F223" s="374"/>
      <c r="G223" s="311"/>
      <c r="H223" s="311"/>
      <c r="I223" s="311"/>
      <c r="J223" s="311"/>
      <c r="K223" s="311"/>
      <c r="L223" s="311"/>
      <c r="M223" s="311"/>
      <c r="N223" s="311"/>
      <c r="O223" s="311"/>
      <c r="P223" s="311"/>
      <c r="Q223" s="285"/>
      <c r="R223" s="367">
        <v>0</v>
      </c>
      <c r="S223" s="311"/>
      <c r="T223" s="366"/>
      <c r="U223" s="370"/>
      <c r="V223" s="5"/>
    </row>
    <row r="224" spans="1:22" ht="15.6" x14ac:dyDescent="0.3">
      <c r="A224" s="360"/>
      <c r="B224" s="310" t="s">
        <v>226</v>
      </c>
      <c r="C224" s="373"/>
      <c r="D224" s="373"/>
      <c r="E224" s="373"/>
      <c r="F224" s="374"/>
      <c r="G224" s="311"/>
      <c r="H224" s="311"/>
      <c r="I224" s="311"/>
      <c r="J224" s="311"/>
      <c r="K224" s="311"/>
      <c r="L224" s="311"/>
      <c r="M224" s="311"/>
      <c r="N224" s="311"/>
      <c r="O224" s="311"/>
      <c r="P224" s="311"/>
      <c r="Q224" s="293"/>
      <c r="R224" s="375"/>
      <c r="S224" s="311"/>
      <c r="T224" s="366"/>
      <c r="U224" s="370"/>
      <c r="V224" s="5"/>
    </row>
    <row r="225" spans="1:23" ht="15.6" x14ac:dyDescent="0.3">
      <c r="A225" s="360"/>
      <c r="B225" s="285" t="s">
        <v>280</v>
      </c>
      <c r="C225" s="373"/>
      <c r="D225" s="373"/>
      <c r="E225" s="373"/>
      <c r="F225" s="374"/>
      <c r="G225" s="311"/>
      <c r="H225" s="311"/>
      <c r="I225" s="311"/>
      <c r="J225" s="311"/>
      <c r="K225" s="311"/>
      <c r="L225" s="311"/>
      <c r="M225" s="311"/>
      <c r="N225" s="311"/>
      <c r="O225" s="311"/>
      <c r="P225" s="311"/>
      <c r="Q225" s="293">
        <v>7</v>
      </c>
      <c r="R225" s="362">
        <v>1318</v>
      </c>
      <c r="S225" s="311"/>
      <c r="T225" s="366"/>
      <c r="U225" s="370"/>
      <c r="V225" s="5"/>
    </row>
    <row r="226" spans="1:23" ht="15.6" x14ac:dyDescent="0.3">
      <c r="A226" s="360"/>
      <c r="B226" s="285" t="s">
        <v>227</v>
      </c>
      <c r="C226" s="373"/>
      <c r="D226" s="373"/>
      <c r="E226" s="373"/>
      <c r="F226" s="374"/>
      <c r="G226" s="311"/>
      <c r="H226" s="311"/>
      <c r="I226" s="311"/>
      <c r="J226" s="311"/>
      <c r="K226" s="311"/>
      <c r="L226" s="311"/>
      <c r="M226" s="311"/>
      <c r="N226" s="311"/>
      <c r="O226" s="311"/>
      <c r="P226" s="311"/>
      <c r="Q226" s="293"/>
      <c r="R226" s="367">
        <v>5.1100000000000003</v>
      </c>
      <c r="S226" s="311"/>
      <c r="T226" s="366"/>
      <c r="U226" s="370"/>
      <c r="V226" s="5"/>
    </row>
    <row r="227" spans="1:23" ht="15.6" x14ac:dyDescent="0.3">
      <c r="A227" s="360"/>
      <c r="B227" s="369"/>
      <c r="C227" s="373"/>
      <c r="D227" s="373"/>
      <c r="E227" s="373"/>
      <c r="F227" s="374"/>
      <c r="G227" s="311"/>
      <c r="H227" s="311"/>
      <c r="I227" s="311"/>
      <c r="J227" s="311"/>
      <c r="K227" s="311"/>
      <c r="L227" s="311"/>
      <c r="M227" s="311"/>
      <c r="N227" s="311"/>
      <c r="O227" s="311"/>
      <c r="P227" s="311"/>
      <c r="Q227" s="311"/>
      <c r="R227" s="376"/>
      <c r="S227" s="311"/>
      <c r="T227" s="366"/>
      <c r="U227" s="370"/>
      <c r="V227" s="5"/>
    </row>
    <row r="228" spans="1:23" ht="15.6" x14ac:dyDescent="0.3">
      <c r="A228" s="360"/>
      <c r="B228" s="369"/>
      <c r="C228" s="373"/>
      <c r="D228" s="373"/>
      <c r="E228" s="373"/>
      <c r="F228" s="374"/>
      <c r="G228" s="311"/>
      <c r="H228" s="311"/>
      <c r="I228" s="311"/>
      <c r="J228" s="311"/>
      <c r="K228" s="311"/>
      <c r="L228" s="311"/>
      <c r="M228" s="311"/>
      <c r="N228" s="311"/>
      <c r="O228" s="311"/>
      <c r="P228" s="311"/>
      <c r="Q228" s="311"/>
      <c r="R228" s="376"/>
      <c r="S228" s="311"/>
      <c r="T228" s="366"/>
      <c r="U228" s="370"/>
      <c r="V228" s="5"/>
    </row>
    <row r="229" spans="1:23" ht="17.399999999999999" x14ac:dyDescent="0.3">
      <c r="A229" s="360"/>
      <c r="B229" s="377" t="s">
        <v>175</v>
      </c>
      <c r="C229" s="373"/>
      <c r="D229" s="373"/>
      <c r="E229" s="373"/>
      <c r="F229" s="374"/>
      <c r="G229" s="311"/>
      <c r="H229" s="311"/>
      <c r="I229" s="311"/>
      <c r="J229" s="311"/>
      <c r="K229" s="311"/>
      <c r="L229" s="311"/>
      <c r="M229" s="311"/>
      <c r="N229" s="378" t="s">
        <v>174</v>
      </c>
      <c r="O229" s="311"/>
      <c r="P229" s="311"/>
      <c r="Q229" s="311"/>
      <c r="R229" s="376"/>
      <c r="S229" s="311"/>
      <c r="T229" s="366"/>
      <c r="U229" s="370"/>
      <c r="V229" s="5"/>
    </row>
    <row r="230" spans="1:23" ht="15.6" x14ac:dyDescent="0.3">
      <c r="A230" s="355"/>
      <c r="B230" s="350"/>
      <c r="C230" s="356"/>
      <c r="D230" s="356"/>
      <c r="E230" s="356"/>
      <c r="F230" s="357"/>
      <c r="G230" s="334"/>
      <c r="H230" s="334"/>
      <c r="I230" s="334"/>
      <c r="J230" s="334"/>
      <c r="K230" s="334"/>
      <c r="L230" s="334"/>
      <c r="M230" s="334"/>
      <c r="N230" s="334"/>
      <c r="O230" s="334"/>
      <c r="P230" s="334"/>
      <c r="Q230" s="334"/>
      <c r="R230" s="358"/>
      <c r="S230" s="334"/>
      <c r="T230" s="351"/>
      <c r="U230" s="359"/>
      <c r="V230" s="5"/>
    </row>
    <row r="231" spans="1:23" ht="15.6" x14ac:dyDescent="0.3">
      <c r="A231" s="222"/>
      <c r="B231" s="395" t="s">
        <v>295</v>
      </c>
      <c r="C231" s="396"/>
      <c r="D231" s="396"/>
      <c r="E231" s="396"/>
      <c r="F231" s="402"/>
      <c r="G231" s="396"/>
      <c r="H231" s="396"/>
      <c r="I231" s="396"/>
      <c r="J231" s="396"/>
      <c r="K231" s="396"/>
      <c r="L231" s="396"/>
      <c r="M231" s="396"/>
      <c r="N231" s="396"/>
      <c r="O231" s="396"/>
      <c r="P231" s="402" t="s">
        <v>105</v>
      </c>
      <c r="Q231" s="396" t="s">
        <v>106</v>
      </c>
      <c r="R231" s="402" t="s">
        <v>114</v>
      </c>
      <c r="S231" s="396" t="s">
        <v>106</v>
      </c>
      <c r="T231" s="223"/>
      <c r="U231" s="395"/>
      <c r="V231" s="5"/>
    </row>
    <row r="232" spans="1:23" ht="15.6" x14ac:dyDescent="0.3">
      <c r="A232" s="190"/>
      <c r="B232" s="243" t="s">
        <v>91</v>
      </c>
      <c r="C232" s="217"/>
      <c r="D232" s="217"/>
      <c r="E232" s="217"/>
      <c r="F232" s="191"/>
      <c r="G232" s="217"/>
      <c r="H232" s="217"/>
      <c r="I232" s="217"/>
      <c r="J232" s="217"/>
      <c r="K232" s="217"/>
      <c r="L232" s="217"/>
      <c r="M232" s="217"/>
      <c r="N232" s="217"/>
      <c r="O232" s="217"/>
      <c r="P232" s="338">
        <f t="shared" ref="P232:P239" si="1">+P244+P256+P268</f>
        <v>3923</v>
      </c>
      <c r="Q232" s="384">
        <f t="shared" ref="Q232:Q239" si="2">P232/$P$241</f>
        <v>0.99720386375190651</v>
      </c>
      <c r="R232" s="339">
        <f t="shared" ref="R232:R239" si="3">+R244+R256+R268</f>
        <v>510734</v>
      </c>
      <c r="S232" s="384">
        <f t="shared" ref="S232:S239" si="4">R232/$R$241</f>
        <v>0.99699574250448486</v>
      </c>
      <c r="T232" s="213"/>
      <c r="U232" s="216"/>
      <c r="V232" s="5"/>
    </row>
    <row r="233" spans="1:23" ht="15.6" x14ac:dyDescent="0.3">
      <c r="A233" s="284"/>
      <c r="B233" s="338" t="s">
        <v>92</v>
      </c>
      <c r="C233" s="382"/>
      <c r="D233" s="382"/>
      <c r="E233" s="382"/>
      <c r="F233" s="311"/>
      <c r="G233" s="383"/>
      <c r="H233" s="382"/>
      <c r="I233" s="382"/>
      <c r="J233" s="382"/>
      <c r="K233" s="382"/>
      <c r="L233" s="382"/>
      <c r="M233" s="382"/>
      <c r="N233" s="382"/>
      <c r="O233" s="382"/>
      <c r="P233" s="338">
        <f t="shared" si="1"/>
        <v>5</v>
      </c>
      <c r="Q233" s="384">
        <f t="shared" si="2"/>
        <v>1.2709710218607015E-3</v>
      </c>
      <c r="R233" s="339">
        <f t="shared" si="3"/>
        <v>541</v>
      </c>
      <c r="S233" s="384">
        <f t="shared" si="4"/>
        <v>1.0560775211654724E-3</v>
      </c>
      <c r="T233" s="366"/>
      <c r="U233" s="370"/>
      <c r="V233" s="5"/>
      <c r="W233" s="109"/>
    </row>
    <row r="234" spans="1:23" ht="15.6" x14ac:dyDescent="0.3">
      <c r="A234" s="284"/>
      <c r="B234" s="338" t="s">
        <v>93</v>
      </c>
      <c r="C234" s="382"/>
      <c r="D234" s="382"/>
      <c r="E234" s="382"/>
      <c r="F234" s="311"/>
      <c r="G234" s="383"/>
      <c r="H234" s="382"/>
      <c r="I234" s="382"/>
      <c r="J234" s="382"/>
      <c r="K234" s="382"/>
      <c r="L234" s="382"/>
      <c r="M234" s="382"/>
      <c r="N234" s="382"/>
      <c r="O234" s="382"/>
      <c r="P234" s="338">
        <f t="shared" si="1"/>
        <v>0</v>
      </c>
      <c r="Q234" s="384">
        <f t="shared" si="2"/>
        <v>0</v>
      </c>
      <c r="R234" s="339">
        <f t="shared" si="3"/>
        <v>0</v>
      </c>
      <c r="S234" s="384">
        <f t="shared" si="4"/>
        <v>0</v>
      </c>
      <c r="T234" s="366"/>
      <c r="U234" s="370"/>
      <c r="V234" s="5"/>
    </row>
    <row r="235" spans="1:23" ht="15.6" x14ac:dyDescent="0.3">
      <c r="A235" s="284"/>
      <c r="B235" s="338" t="s">
        <v>163</v>
      </c>
      <c r="C235" s="382"/>
      <c r="D235" s="382"/>
      <c r="E235" s="382"/>
      <c r="F235" s="311"/>
      <c r="G235" s="383"/>
      <c r="H235" s="382"/>
      <c r="I235" s="382"/>
      <c r="J235" s="382"/>
      <c r="K235" s="382"/>
      <c r="L235" s="382"/>
      <c r="M235" s="382"/>
      <c r="N235" s="382"/>
      <c r="O235" s="382"/>
      <c r="P235" s="338">
        <f t="shared" si="1"/>
        <v>1</v>
      </c>
      <c r="Q235" s="384">
        <f t="shared" si="2"/>
        <v>2.5419420437214032E-4</v>
      </c>
      <c r="R235" s="339">
        <f t="shared" si="3"/>
        <v>92</v>
      </c>
      <c r="S235" s="384">
        <f t="shared" si="4"/>
        <v>1.7959174112240934E-4</v>
      </c>
      <c r="T235" s="366"/>
      <c r="U235" s="370"/>
      <c r="V235" s="5"/>
      <c r="W235" s="109"/>
    </row>
    <row r="236" spans="1:23" ht="15.6" x14ac:dyDescent="0.3">
      <c r="A236" s="284"/>
      <c r="B236" s="338" t="s">
        <v>164</v>
      </c>
      <c r="C236" s="382"/>
      <c r="D236" s="382"/>
      <c r="E236" s="382"/>
      <c r="F236" s="311"/>
      <c r="G236" s="383"/>
      <c r="H236" s="382"/>
      <c r="I236" s="382"/>
      <c r="J236" s="382"/>
      <c r="K236" s="382"/>
      <c r="L236" s="382"/>
      <c r="M236" s="382"/>
      <c r="N236" s="382"/>
      <c r="O236" s="382"/>
      <c r="P236" s="338">
        <f t="shared" si="1"/>
        <v>0</v>
      </c>
      <c r="Q236" s="384">
        <f t="shared" si="2"/>
        <v>0</v>
      </c>
      <c r="R236" s="339">
        <f t="shared" si="3"/>
        <v>0</v>
      </c>
      <c r="S236" s="384">
        <f t="shared" si="4"/>
        <v>0</v>
      </c>
      <c r="T236" s="366"/>
      <c r="U236" s="370"/>
      <c r="V236" s="5"/>
    </row>
    <row r="237" spans="1:23" ht="15.6" x14ac:dyDescent="0.3">
      <c r="A237" s="284"/>
      <c r="B237" s="338" t="s">
        <v>165</v>
      </c>
      <c r="C237" s="382"/>
      <c r="D237" s="382"/>
      <c r="E237" s="382"/>
      <c r="F237" s="311"/>
      <c r="G237" s="383"/>
      <c r="H237" s="382"/>
      <c r="I237" s="382"/>
      <c r="J237" s="382"/>
      <c r="K237" s="382"/>
      <c r="L237" s="382"/>
      <c r="M237" s="382"/>
      <c r="N237" s="382"/>
      <c r="O237" s="382"/>
      <c r="P237" s="338">
        <f t="shared" si="1"/>
        <v>2</v>
      </c>
      <c r="Q237" s="384">
        <f t="shared" si="2"/>
        <v>5.0838840874428064E-4</v>
      </c>
      <c r="R237" s="339">
        <f t="shared" si="3"/>
        <v>378</v>
      </c>
      <c r="S237" s="384">
        <f t="shared" si="4"/>
        <v>7.3788780591598619E-4</v>
      </c>
      <c r="T237" s="366"/>
      <c r="U237" s="370"/>
      <c r="V237" s="5"/>
      <c r="W237" s="109"/>
    </row>
    <row r="238" spans="1:23" ht="15.6" x14ac:dyDescent="0.3">
      <c r="A238" s="284"/>
      <c r="B238" s="338" t="s">
        <v>166</v>
      </c>
      <c r="C238" s="382"/>
      <c r="D238" s="382"/>
      <c r="E238" s="382"/>
      <c r="F238" s="311"/>
      <c r="G238" s="383"/>
      <c r="H238" s="382"/>
      <c r="I238" s="382"/>
      <c r="J238" s="382"/>
      <c r="K238" s="382"/>
      <c r="L238" s="382"/>
      <c r="M238" s="382"/>
      <c r="N238" s="382"/>
      <c r="O238" s="382"/>
      <c r="P238" s="338">
        <f t="shared" si="1"/>
        <v>0</v>
      </c>
      <c r="Q238" s="384">
        <f t="shared" si="2"/>
        <v>0</v>
      </c>
      <c r="R238" s="339">
        <f t="shared" si="3"/>
        <v>0</v>
      </c>
      <c r="S238" s="384">
        <f t="shared" si="4"/>
        <v>0</v>
      </c>
      <c r="T238" s="366"/>
      <c r="U238" s="370"/>
      <c r="V238" s="5"/>
    </row>
    <row r="239" spans="1:23" ht="15.6" x14ac:dyDescent="0.3">
      <c r="A239" s="284"/>
      <c r="B239" s="338" t="s">
        <v>167</v>
      </c>
      <c r="C239" s="382"/>
      <c r="D239" s="382"/>
      <c r="E239" s="382"/>
      <c r="F239" s="311"/>
      <c r="G239" s="383"/>
      <c r="H239" s="382"/>
      <c r="I239" s="382"/>
      <c r="J239" s="382"/>
      <c r="K239" s="382"/>
      <c r="L239" s="382"/>
      <c r="M239" s="382"/>
      <c r="N239" s="382"/>
      <c r="O239" s="382"/>
      <c r="P239" s="338">
        <f t="shared" si="1"/>
        <v>3</v>
      </c>
      <c r="Q239" s="384">
        <f t="shared" si="2"/>
        <v>7.6258261311642095E-4</v>
      </c>
      <c r="R239" s="339">
        <f t="shared" si="3"/>
        <v>528</v>
      </c>
      <c r="S239" s="384">
        <f t="shared" si="4"/>
        <v>1.0307004273112188E-3</v>
      </c>
      <c r="T239" s="366"/>
      <c r="U239" s="370"/>
      <c r="V239" s="5"/>
      <c r="W239" s="109"/>
    </row>
    <row r="240" spans="1:23" ht="15.6" x14ac:dyDescent="0.3">
      <c r="A240" s="284"/>
      <c r="B240" s="338"/>
      <c r="C240" s="382"/>
      <c r="D240" s="382"/>
      <c r="E240" s="382"/>
      <c r="F240" s="311"/>
      <c r="G240" s="383"/>
      <c r="H240" s="382"/>
      <c r="I240" s="382"/>
      <c r="J240" s="382"/>
      <c r="K240" s="382"/>
      <c r="L240" s="382"/>
      <c r="M240" s="382"/>
      <c r="N240" s="382"/>
      <c r="O240" s="382"/>
      <c r="P240" s="338"/>
      <c r="Q240" s="384"/>
      <c r="R240" s="339"/>
      <c r="S240" s="384"/>
      <c r="T240" s="366"/>
      <c r="U240" s="370"/>
      <c r="V240" s="5"/>
    </row>
    <row r="241" spans="1:23" ht="15.6" x14ac:dyDescent="0.3">
      <c r="A241" s="284"/>
      <c r="B241" s="285" t="s">
        <v>120</v>
      </c>
      <c r="C241" s="311"/>
      <c r="D241" s="311"/>
      <c r="E241" s="311"/>
      <c r="F241" s="311"/>
      <c r="G241" s="311"/>
      <c r="H241" s="385"/>
      <c r="I241" s="385"/>
      <c r="J241" s="385"/>
      <c r="K241" s="385"/>
      <c r="L241" s="385"/>
      <c r="M241" s="385"/>
      <c r="N241" s="385"/>
      <c r="O241" s="385"/>
      <c r="P241" s="338">
        <f>SUM(P232:P240)</f>
        <v>3934</v>
      </c>
      <c r="Q241" s="384">
        <f>SUM(Q232:Q240)</f>
        <v>1</v>
      </c>
      <c r="R241" s="339">
        <f>SUM(R232:R240)</f>
        <v>512273</v>
      </c>
      <c r="S241" s="384">
        <f>SUM(S232:S240)</f>
        <v>0.99999999999999989</v>
      </c>
      <c r="T241" s="311"/>
      <c r="U241" s="317"/>
      <c r="V241" s="5"/>
    </row>
    <row r="242" spans="1:23" ht="15.6" x14ac:dyDescent="0.3">
      <c r="A242" s="355"/>
      <c r="B242" s="350"/>
      <c r="C242" s="356"/>
      <c r="D242" s="356"/>
      <c r="E242" s="356"/>
      <c r="F242" s="357"/>
      <c r="G242" s="334"/>
      <c r="H242" s="334"/>
      <c r="I242" s="334"/>
      <c r="J242" s="334"/>
      <c r="K242" s="334"/>
      <c r="L242" s="334"/>
      <c r="M242" s="334"/>
      <c r="N242" s="334"/>
      <c r="O242" s="334"/>
      <c r="P242" s="334"/>
      <c r="Q242" s="334"/>
      <c r="R242" s="358"/>
      <c r="S242" s="334"/>
      <c r="T242" s="351"/>
      <c r="U242" s="359"/>
      <c r="V242" s="5"/>
    </row>
    <row r="243" spans="1:23" ht="15.6" x14ac:dyDescent="0.3">
      <c r="A243" s="222"/>
      <c r="B243" s="395" t="s">
        <v>169</v>
      </c>
      <c r="C243" s="396"/>
      <c r="D243" s="396"/>
      <c r="E243" s="396"/>
      <c r="F243" s="402"/>
      <c r="G243" s="396"/>
      <c r="H243" s="396"/>
      <c r="I243" s="396"/>
      <c r="J243" s="396"/>
      <c r="K243" s="396"/>
      <c r="L243" s="396"/>
      <c r="M243" s="396"/>
      <c r="N243" s="396"/>
      <c r="O243" s="396"/>
      <c r="P243" s="402" t="s">
        <v>105</v>
      </c>
      <c r="Q243" s="396" t="s">
        <v>106</v>
      </c>
      <c r="R243" s="402" t="s">
        <v>114</v>
      </c>
      <c r="S243" s="396" t="s">
        <v>106</v>
      </c>
      <c r="T243" s="223"/>
      <c r="U243" s="395"/>
      <c r="V243" s="5"/>
    </row>
    <row r="244" spans="1:23" ht="15.6" x14ac:dyDescent="0.3">
      <c r="A244" s="190"/>
      <c r="B244" s="243" t="s">
        <v>91</v>
      </c>
      <c r="C244" s="217"/>
      <c r="D244" s="217"/>
      <c r="E244" s="217"/>
      <c r="F244" s="191"/>
      <c r="G244" s="217"/>
      <c r="H244" s="217"/>
      <c r="I244" s="217"/>
      <c r="J244" s="217"/>
      <c r="K244" s="217"/>
      <c r="L244" s="217"/>
      <c r="M244" s="217"/>
      <c r="N244" s="217"/>
      <c r="O244" s="217"/>
      <c r="P244" s="243">
        <v>3849</v>
      </c>
      <c r="Q244" s="274">
        <f t="shared" ref="Q244:Q251" si="5">P244/$P$253</f>
        <v>0.99844357976653697</v>
      </c>
      <c r="R244" s="251">
        <v>499518</v>
      </c>
      <c r="S244" s="274">
        <f t="shared" ref="S244:S251" si="6">R244/$R$253</f>
        <v>0.99836709404698853</v>
      </c>
      <c r="T244" s="213"/>
      <c r="U244" s="216"/>
      <c r="V244" s="5"/>
    </row>
    <row r="245" spans="1:23" ht="15.6" x14ac:dyDescent="0.3">
      <c r="A245" s="284"/>
      <c r="B245" s="338" t="s">
        <v>92</v>
      </c>
      <c r="C245" s="382"/>
      <c r="D245" s="382"/>
      <c r="E245" s="382"/>
      <c r="F245" s="311"/>
      <c r="G245" s="383"/>
      <c r="H245" s="382"/>
      <c r="I245" s="382"/>
      <c r="J245" s="382"/>
      <c r="K245" s="382"/>
      <c r="L245" s="382"/>
      <c r="M245" s="382"/>
      <c r="N245" s="382"/>
      <c r="O245" s="382"/>
      <c r="P245" s="338">
        <v>4</v>
      </c>
      <c r="Q245" s="384">
        <f t="shared" si="5"/>
        <v>1.0376134889753567E-3</v>
      </c>
      <c r="R245" s="339">
        <v>439</v>
      </c>
      <c r="S245" s="384">
        <f t="shared" si="6"/>
        <v>8.7741213387030692E-4</v>
      </c>
      <c r="T245" s="366"/>
      <c r="U245" s="370"/>
      <c r="V245" s="5"/>
      <c r="W245" s="109"/>
    </row>
    <row r="246" spans="1:23" ht="15.6" x14ac:dyDescent="0.3">
      <c r="A246" s="284"/>
      <c r="B246" s="338" t="s">
        <v>93</v>
      </c>
      <c r="C246" s="382"/>
      <c r="D246" s="382"/>
      <c r="E246" s="382"/>
      <c r="F246" s="311"/>
      <c r="G246" s="383"/>
      <c r="H246" s="382"/>
      <c r="I246" s="382"/>
      <c r="J246" s="382"/>
      <c r="K246" s="382"/>
      <c r="L246" s="382"/>
      <c r="M246" s="382"/>
      <c r="N246" s="382"/>
      <c r="O246" s="382"/>
      <c r="P246" s="338">
        <v>0</v>
      </c>
      <c r="Q246" s="384">
        <f t="shared" si="5"/>
        <v>0</v>
      </c>
      <c r="R246" s="339">
        <v>0</v>
      </c>
      <c r="S246" s="384">
        <f t="shared" si="6"/>
        <v>0</v>
      </c>
      <c r="T246" s="366"/>
      <c r="U246" s="370"/>
      <c r="V246" s="5"/>
    </row>
    <row r="247" spans="1:23" ht="15.6" x14ac:dyDescent="0.3">
      <c r="A247" s="284"/>
      <c r="B247" s="338" t="s">
        <v>163</v>
      </c>
      <c r="C247" s="382"/>
      <c r="D247" s="382"/>
      <c r="E247" s="382"/>
      <c r="F247" s="311"/>
      <c r="G247" s="383"/>
      <c r="H247" s="382"/>
      <c r="I247" s="382"/>
      <c r="J247" s="382"/>
      <c r="K247" s="382"/>
      <c r="L247" s="382"/>
      <c r="M247" s="382"/>
      <c r="N247" s="382"/>
      <c r="O247" s="382"/>
      <c r="P247" s="338">
        <v>0</v>
      </c>
      <c r="Q247" s="384">
        <f t="shared" si="5"/>
        <v>0</v>
      </c>
      <c r="R247" s="339">
        <v>0</v>
      </c>
      <c r="S247" s="384">
        <f t="shared" si="6"/>
        <v>0</v>
      </c>
      <c r="T247" s="366"/>
      <c r="U247" s="370"/>
      <c r="V247" s="5"/>
      <c r="W247" s="109"/>
    </row>
    <row r="248" spans="1:23" ht="15.6" x14ac:dyDescent="0.3">
      <c r="A248" s="284"/>
      <c r="B248" s="338" t="s">
        <v>164</v>
      </c>
      <c r="C248" s="382"/>
      <c r="D248" s="382"/>
      <c r="E248" s="382"/>
      <c r="F248" s="311"/>
      <c r="G248" s="383"/>
      <c r="H248" s="382"/>
      <c r="I248" s="382"/>
      <c r="J248" s="382"/>
      <c r="K248" s="382"/>
      <c r="L248" s="382"/>
      <c r="M248" s="382"/>
      <c r="N248" s="382"/>
      <c r="O248" s="382"/>
      <c r="P248" s="338">
        <v>0</v>
      </c>
      <c r="Q248" s="384">
        <f t="shared" si="5"/>
        <v>0</v>
      </c>
      <c r="R248" s="339">
        <v>0</v>
      </c>
      <c r="S248" s="384">
        <f t="shared" si="6"/>
        <v>0</v>
      </c>
      <c r="T248" s="366"/>
      <c r="U248" s="370"/>
      <c r="V248" s="5"/>
    </row>
    <row r="249" spans="1:23" ht="15.6" x14ac:dyDescent="0.3">
      <c r="A249" s="284"/>
      <c r="B249" s="338" t="s">
        <v>165</v>
      </c>
      <c r="C249" s="382"/>
      <c r="D249" s="382"/>
      <c r="E249" s="382"/>
      <c r="F249" s="311"/>
      <c r="G249" s="383"/>
      <c r="H249" s="382"/>
      <c r="I249" s="382"/>
      <c r="J249" s="382"/>
      <c r="K249" s="382"/>
      <c r="L249" s="382"/>
      <c r="M249" s="382"/>
      <c r="N249" s="382"/>
      <c r="O249" s="382"/>
      <c r="P249" s="338">
        <v>2</v>
      </c>
      <c r="Q249" s="384">
        <f t="shared" si="5"/>
        <v>5.1880674448767834E-4</v>
      </c>
      <c r="R249" s="339">
        <v>378</v>
      </c>
      <c r="S249" s="384">
        <f t="shared" si="6"/>
        <v>7.5549381914117545E-4</v>
      </c>
      <c r="T249" s="366"/>
      <c r="U249" s="370"/>
      <c r="V249" s="5"/>
      <c r="W249" s="109"/>
    </row>
    <row r="250" spans="1:23" ht="15.6" x14ac:dyDescent="0.3">
      <c r="A250" s="284"/>
      <c r="B250" s="338" t="s">
        <v>166</v>
      </c>
      <c r="C250" s="382"/>
      <c r="D250" s="382"/>
      <c r="E250" s="382"/>
      <c r="F250" s="311"/>
      <c r="G250" s="383"/>
      <c r="H250" s="382"/>
      <c r="I250" s="382"/>
      <c r="J250" s="382"/>
      <c r="K250" s="382"/>
      <c r="L250" s="382"/>
      <c r="M250" s="382"/>
      <c r="N250" s="382"/>
      <c r="O250" s="382"/>
      <c r="P250" s="338">
        <v>0</v>
      </c>
      <c r="Q250" s="384">
        <f t="shared" si="5"/>
        <v>0</v>
      </c>
      <c r="R250" s="339">
        <v>0</v>
      </c>
      <c r="S250" s="384">
        <f t="shared" si="6"/>
        <v>0</v>
      </c>
      <c r="T250" s="366"/>
      <c r="U250" s="370"/>
      <c r="V250" s="5"/>
    </row>
    <row r="251" spans="1:23" ht="15.6" x14ac:dyDescent="0.3">
      <c r="A251" s="284"/>
      <c r="B251" s="338" t="s">
        <v>167</v>
      </c>
      <c r="C251" s="382"/>
      <c r="D251" s="382"/>
      <c r="E251" s="382"/>
      <c r="F251" s="311"/>
      <c r="G251" s="383"/>
      <c r="H251" s="382"/>
      <c r="I251" s="382"/>
      <c r="J251" s="382"/>
      <c r="K251" s="382"/>
      <c r="L251" s="382"/>
      <c r="M251" s="382"/>
      <c r="N251" s="382"/>
      <c r="O251" s="382"/>
      <c r="P251" s="338">
        <v>0</v>
      </c>
      <c r="Q251" s="384">
        <f t="shared" si="5"/>
        <v>0</v>
      </c>
      <c r="R251" s="339">
        <v>0</v>
      </c>
      <c r="S251" s="384">
        <f t="shared" si="6"/>
        <v>0</v>
      </c>
      <c r="T251" s="366"/>
      <c r="U251" s="370"/>
      <c r="V251" s="5"/>
      <c r="W251" s="109"/>
    </row>
    <row r="252" spans="1:23" ht="15.6" x14ac:dyDescent="0.3">
      <c r="A252" s="284"/>
      <c r="B252" s="338"/>
      <c r="C252" s="382"/>
      <c r="D252" s="382"/>
      <c r="E252" s="382"/>
      <c r="F252" s="311"/>
      <c r="G252" s="383"/>
      <c r="H252" s="382"/>
      <c r="I252" s="382"/>
      <c r="J252" s="382"/>
      <c r="K252" s="382"/>
      <c r="L252" s="382"/>
      <c r="M252" s="382"/>
      <c r="N252" s="382"/>
      <c r="O252" s="382"/>
      <c r="P252" s="338"/>
      <c r="Q252" s="384"/>
      <c r="R252" s="339"/>
      <c r="S252" s="384"/>
      <c r="T252" s="366"/>
      <c r="U252" s="370"/>
      <c r="V252" s="5"/>
    </row>
    <row r="253" spans="1:23" ht="15.6" x14ac:dyDescent="0.3">
      <c r="A253" s="284"/>
      <c r="B253" s="285" t="s">
        <v>120</v>
      </c>
      <c r="C253" s="311"/>
      <c r="D253" s="311"/>
      <c r="E253" s="311"/>
      <c r="F253" s="311"/>
      <c r="G253" s="311"/>
      <c r="H253" s="385"/>
      <c r="I253" s="385"/>
      <c r="J253" s="385"/>
      <c r="K253" s="385"/>
      <c r="L253" s="385"/>
      <c r="M253" s="385"/>
      <c r="N253" s="385"/>
      <c r="O253" s="385"/>
      <c r="P253" s="338">
        <f>SUM(P244:P252)</f>
        <v>3855</v>
      </c>
      <c r="Q253" s="384">
        <f>SUM(Q244:Q252)</f>
        <v>1</v>
      </c>
      <c r="R253" s="339">
        <f>SUM(R244:R252)</f>
        <v>500335</v>
      </c>
      <c r="S253" s="384">
        <f>SUM(S244:S252)</f>
        <v>1</v>
      </c>
      <c r="T253" s="311"/>
      <c r="U253" s="317"/>
      <c r="V253" s="5"/>
    </row>
    <row r="254" spans="1:23" ht="15.6" x14ac:dyDescent="0.3">
      <c r="A254" s="175"/>
      <c r="B254" s="334"/>
      <c r="C254" s="334"/>
      <c r="D254" s="334"/>
      <c r="E254" s="334"/>
      <c r="F254" s="334"/>
      <c r="G254" s="334"/>
      <c r="H254" s="379"/>
      <c r="I254" s="379"/>
      <c r="J254" s="379"/>
      <c r="K254" s="379"/>
      <c r="L254" s="379"/>
      <c r="M254" s="379"/>
      <c r="N254" s="379"/>
      <c r="O254" s="379"/>
      <c r="P254" s="335"/>
      <c r="Q254" s="380"/>
      <c r="R254" s="381"/>
      <c r="S254" s="380"/>
      <c r="T254" s="334"/>
      <c r="U254" s="334"/>
      <c r="V254" s="5"/>
    </row>
    <row r="255" spans="1:23" ht="15.6" x14ac:dyDescent="0.3">
      <c r="A255" s="268"/>
      <c r="B255" s="395" t="s">
        <v>267</v>
      </c>
      <c r="C255" s="396"/>
      <c r="D255" s="396"/>
      <c r="E255" s="396"/>
      <c r="F255" s="402"/>
      <c r="G255" s="396"/>
      <c r="H255" s="396"/>
      <c r="I255" s="396"/>
      <c r="J255" s="396"/>
      <c r="K255" s="396"/>
      <c r="L255" s="396"/>
      <c r="M255" s="396"/>
      <c r="N255" s="396"/>
      <c r="O255" s="396"/>
      <c r="P255" s="402" t="s">
        <v>105</v>
      </c>
      <c r="Q255" s="396" t="s">
        <v>106</v>
      </c>
      <c r="R255" s="402" t="s">
        <v>114</v>
      </c>
      <c r="S255" s="396" t="s">
        <v>106</v>
      </c>
      <c r="T255" s="269"/>
      <c r="U255" s="270"/>
      <c r="V255" s="5"/>
    </row>
    <row r="256" spans="1:23" ht="15.6" x14ac:dyDescent="0.3">
      <c r="A256" s="190"/>
      <c r="B256" s="243" t="s">
        <v>91</v>
      </c>
      <c r="C256" s="217"/>
      <c r="D256" s="217"/>
      <c r="E256" s="217"/>
      <c r="F256" s="191"/>
      <c r="G256" s="217"/>
      <c r="H256" s="217"/>
      <c r="I256" s="217"/>
      <c r="J256" s="217"/>
      <c r="K256" s="217"/>
      <c r="L256" s="217"/>
      <c r="M256" s="217"/>
      <c r="N256" s="217"/>
      <c r="O256" s="217"/>
      <c r="P256" s="243">
        <v>74</v>
      </c>
      <c r="Q256" s="274">
        <f t="shared" ref="Q256:Q263" si="7">P256/$P$265</f>
        <v>0.93670886075949367</v>
      </c>
      <c r="R256" s="251">
        <v>11216</v>
      </c>
      <c r="S256" s="274">
        <f>R256/$R$265</f>
        <v>0.93952085776511973</v>
      </c>
      <c r="T256" s="191"/>
      <c r="U256" s="191"/>
      <c r="V256" s="5"/>
    </row>
    <row r="257" spans="1:22" ht="15.6" x14ac:dyDescent="0.3">
      <c r="A257" s="284"/>
      <c r="B257" s="338" t="s">
        <v>92</v>
      </c>
      <c r="C257" s="382"/>
      <c r="D257" s="382"/>
      <c r="E257" s="382"/>
      <c r="F257" s="311"/>
      <c r="G257" s="383"/>
      <c r="H257" s="382"/>
      <c r="I257" s="382"/>
      <c r="J257" s="382"/>
      <c r="K257" s="382"/>
      <c r="L257" s="382"/>
      <c r="M257" s="382"/>
      <c r="N257" s="382"/>
      <c r="O257" s="382"/>
      <c r="P257" s="338">
        <v>1</v>
      </c>
      <c r="Q257" s="384">
        <f t="shared" si="7"/>
        <v>1.2658227848101266E-2</v>
      </c>
      <c r="R257" s="339">
        <v>102</v>
      </c>
      <c r="S257" s="384">
        <f t="shared" ref="S257:S263" si="8">R257/$R$265</f>
        <v>8.5441447478639635E-3</v>
      </c>
      <c r="T257" s="311"/>
      <c r="U257" s="317"/>
      <c r="V257" s="5"/>
    </row>
    <row r="258" spans="1:22" ht="15.6" x14ac:dyDescent="0.3">
      <c r="A258" s="284"/>
      <c r="B258" s="338" t="s">
        <v>93</v>
      </c>
      <c r="C258" s="382"/>
      <c r="D258" s="382"/>
      <c r="E258" s="382"/>
      <c r="F258" s="311"/>
      <c r="G258" s="383"/>
      <c r="H258" s="382"/>
      <c r="I258" s="382"/>
      <c r="J258" s="382"/>
      <c r="K258" s="382"/>
      <c r="L258" s="382"/>
      <c r="M258" s="382"/>
      <c r="N258" s="382"/>
      <c r="O258" s="382"/>
      <c r="P258" s="338">
        <v>0</v>
      </c>
      <c r="Q258" s="384">
        <f t="shared" si="7"/>
        <v>0</v>
      </c>
      <c r="R258" s="339">
        <v>0</v>
      </c>
      <c r="S258" s="384">
        <f t="shared" si="8"/>
        <v>0</v>
      </c>
      <c r="T258" s="311"/>
      <c r="U258" s="317"/>
      <c r="V258" s="5"/>
    </row>
    <row r="259" spans="1:22" ht="15.6" x14ac:dyDescent="0.3">
      <c r="A259" s="284"/>
      <c r="B259" s="338" t="s">
        <v>163</v>
      </c>
      <c r="C259" s="382"/>
      <c r="D259" s="382"/>
      <c r="E259" s="382"/>
      <c r="F259" s="311"/>
      <c r="G259" s="383"/>
      <c r="H259" s="382"/>
      <c r="I259" s="382"/>
      <c r="J259" s="382"/>
      <c r="K259" s="382"/>
      <c r="L259" s="382"/>
      <c r="M259" s="382"/>
      <c r="N259" s="382"/>
      <c r="O259" s="382"/>
      <c r="P259" s="338">
        <v>1</v>
      </c>
      <c r="Q259" s="384">
        <f t="shared" si="7"/>
        <v>1.2658227848101266E-2</v>
      </c>
      <c r="R259" s="339">
        <v>92</v>
      </c>
      <c r="S259" s="384">
        <f t="shared" si="8"/>
        <v>7.7064834980733795E-3</v>
      </c>
      <c r="T259" s="311"/>
      <c r="U259" s="317"/>
      <c r="V259" s="5"/>
    </row>
    <row r="260" spans="1:22" ht="15.6" x14ac:dyDescent="0.3">
      <c r="A260" s="284"/>
      <c r="B260" s="338" t="s">
        <v>164</v>
      </c>
      <c r="C260" s="382"/>
      <c r="D260" s="382"/>
      <c r="E260" s="382"/>
      <c r="F260" s="311"/>
      <c r="G260" s="383"/>
      <c r="H260" s="382"/>
      <c r="I260" s="382"/>
      <c r="J260" s="382"/>
      <c r="K260" s="382"/>
      <c r="L260" s="382"/>
      <c r="M260" s="382"/>
      <c r="N260" s="382"/>
      <c r="O260" s="382"/>
      <c r="P260" s="338">
        <v>0</v>
      </c>
      <c r="Q260" s="384">
        <f t="shared" si="7"/>
        <v>0</v>
      </c>
      <c r="R260" s="339">
        <v>0</v>
      </c>
      <c r="S260" s="384">
        <f t="shared" si="8"/>
        <v>0</v>
      </c>
      <c r="T260" s="311"/>
      <c r="U260" s="317"/>
      <c r="V260" s="5"/>
    </row>
    <row r="261" spans="1:22" ht="15.6" x14ac:dyDescent="0.3">
      <c r="A261" s="284"/>
      <c r="B261" s="338" t="s">
        <v>165</v>
      </c>
      <c r="C261" s="382"/>
      <c r="D261" s="382"/>
      <c r="E261" s="382"/>
      <c r="F261" s="311"/>
      <c r="G261" s="383"/>
      <c r="H261" s="382"/>
      <c r="I261" s="382"/>
      <c r="J261" s="382"/>
      <c r="K261" s="382"/>
      <c r="L261" s="382"/>
      <c r="M261" s="382"/>
      <c r="N261" s="382"/>
      <c r="O261" s="382"/>
      <c r="P261" s="338">
        <v>0</v>
      </c>
      <c r="Q261" s="384">
        <f t="shared" si="7"/>
        <v>0</v>
      </c>
      <c r="R261" s="339">
        <v>0</v>
      </c>
      <c r="S261" s="384">
        <f t="shared" si="8"/>
        <v>0</v>
      </c>
      <c r="T261" s="311"/>
      <c r="U261" s="317"/>
      <c r="V261" s="5"/>
    </row>
    <row r="262" spans="1:22" ht="15.6" x14ac:dyDescent="0.3">
      <c r="A262" s="284"/>
      <c r="B262" s="338" t="s">
        <v>166</v>
      </c>
      <c r="C262" s="382"/>
      <c r="D262" s="382"/>
      <c r="E262" s="382"/>
      <c r="F262" s="311"/>
      <c r="G262" s="383"/>
      <c r="H262" s="382"/>
      <c r="I262" s="382"/>
      <c r="J262" s="382"/>
      <c r="K262" s="382"/>
      <c r="L262" s="382"/>
      <c r="M262" s="382"/>
      <c r="N262" s="382"/>
      <c r="O262" s="382"/>
      <c r="P262" s="338">
        <v>0</v>
      </c>
      <c r="Q262" s="384">
        <f t="shared" si="7"/>
        <v>0</v>
      </c>
      <c r="R262" s="339">
        <v>0</v>
      </c>
      <c r="S262" s="384">
        <f t="shared" si="8"/>
        <v>0</v>
      </c>
      <c r="T262" s="311"/>
      <c r="U262" s="317"/>
      <c r="V262" s="5"/>
    </row>
    <row r="263" spans="1:22" ht="15.6" x14ac:dyDescent="0.3">
      <c r="A263" s="284"/>
      <c r="B263" s="338" t="s">
        <v>167</v>
      </c>
      <c r="C263" s="382"/>
      <c r="D263" s="382"/>
      <c r="E263" s="382"/>
      <c r="F263" s="311"/>
      <c r="G263" s="383"/>
      <c r="H263" s="382"/>
      <c r="I263" s="382"/>
      <c r="J263" s="382"/>
      <c r="K263" s="382"/>
      <c r="L263" s="382"/>
      <c r="M263" s="382"/>
      <c r="N263" s="382"/>
      <c r="O263" s="382"/>
      <c r="P263" s="338">
        <v>3</v>
      </c>
      <c r="Q263" s="384">
        <f t="shared" si="7"/>
        <v>3.7974683544303799E-2</v>
      </c>
      <c r="R263" s="339">
        <v>528</v>
      </c>
      <c r="S263" s="384">
        <f t="shared" si="8"/>
        <v>4.4228513988942869E-2</v>
      </c>
      <c r="T263" s="311"/>
      <c r="U263" s="317"/>
      <c r="V263" s="5"/>
    </row>
    <row r="264" spans="1:22" ht="15.6" x14ac:dyDescent="0.3">
      <c r="A264" s="284"/>
      <c r="B264" s="338"/>
      <c r="C264" s="382"/>
      <c r="D264" s="382"/>
      <c r="E264" s="382"/>
      <c r="F264" s="311"/>
      <c r="G264" s="383"/>
      <c r="H264" s="382"/>
      <c r="I264" s="382"/>
      <c r="J264" s="382"/>
      <c r="K264" s="382"/>
      <c r="L264" s="382"/>
      <c r="M264" s="382"/>
      <c r="N264" s="382"/>
      <c r="O264" s="382"/>
      <c r="P264" s="338"/>
      <c r="Q264" s="384"/>
      <c r="R264" s="339"/>
      <c r="S264" s="384"/>
      <c r="T264" s="311"/>
      <c r="U264" s="317"/>
      <c r="V264" s="5"/>
    </row>
    <row r="265" spans="1:22" ht="15.6" x14ac:dyDescent="0.3">
      <c r="A265" s="284"/>
      <c r="B265" s="285" t="s">
        <v>120</v>
      </c>
      <c r="C265" s="311"/>
      <c r="D265" s="311"/>
      <c r="E265" s="311"/>
      <c r="F265" s="311"/>
      <c r="G265" s="311"/>
      <c r="H265" s="385"/>
      <c r="I265" s="385"/>
      <c r="J265" s="385"/>
      <c r="K265" s="385"/>
      <c r="L265" s="385"/>
      <c r="M265" s="385"/>
      <c r="N265" s="385"/>
      <c r="O265" s="385"/>
      <c r="P265" s="338">
        <f>SUM(P256:P264)</f>
        <v>79</v>
      </c>
      <c r="Q265" s="384">
        <f>SUM(Q256:Q264)</f>
        <v>0.99999999999999989</v>
      </c>
      <c r="R265" s="339">
        <f>SUM(R256:R264)</f>
        <v>11938</v>
      </c>
      <c r="S265" s="384">
        <f>SUM(S256:S264)</f>
        <v>0.99999999999999989</v>
      </c>
      <c r="T265" s="311"/>
      <c r="U265" s="317"/>
      <c r="V265" s="5"/>
    </row>
    <row r="266" spans="1:22" ht="15.6" x14ac:dyDescent="0.3">
      <c r="A266" s="175"/>
      <c r="B266" s="334"/>
      <c r="C266" s="334"/>
      <c r="D266" s="334"/>
      <c r="E266" s="334"/>
      <c r="F266" s="334"/>
      <c r="G266" s="334"/>
      <c r="H266" s="379"/>
      <c r="I266" s="379"/>
      <c r="J266" s="379"/>
      <c r="K266" s="379"/>
      <c r="L266" s="379"/>
      <c r="M266" s="379"/>
      <c r="N266" s="379"/>
      <c r="O266" s="379"/>
      <c r="P266" s="335"/>
      <c r="Q266" s="380"/>
      <c r="R266" s="381"/>
      <c r="S266" s="380"/>
      <c r="T266" s="334"/>
      <c r="U266" s="334"/>
      <c r="V266" s="5"/>
    </row>
    <row r="267" spans="1:22" ht="15.6" x14ac:dyDescent="0.3">
      <c r="A267" s="268"/>
      <c r="B267" s="395" t="s">
        <v>170</v>
      </c>
      <c r="C267" s="269"/>
      <c r="D267" s="269"/>
      <c r="E267" s="269"/>
      <c r="F267" s="269"/>
      <c r="G267" s="269"/>
      <c r="H267" s="271"/>
      <c r="I267" s="271"/>
      <c r="J267" s="271"/>
      <c r="K267" s="271"/>
      <c r="L267" s="271"/>
      <c r="M267" s="271"/>
      <c r="N267" s="271"/>
      <c r="O267" s="271"/>
      <c r="P267" s="402" t="s">
        <v>105</v>
      </c>
      <c r="Q267" s="396" t="s">
        <v>106</v>
      </c>
      <c r="R267" s="402" t="s">
        <v>114</v>
      </c>
      <c r="S267" s="396" t="s">
        <v>106</v>
      </c>
      <c r="T267" s="269"/>
      <c r="U267" s="270"/>
      <c r="V267" s="5"/>
    </row>
    <row r="268" spans="1:22" ht="15.6" x14ac:dyDescent="0.3">
      <c r="A268" s="190"/>
      <c r="B268" s="243" t="s">
        <v>91</v>
      </c>
      <c r="C268" s="239"/>
      <c r="D268" s="239"/>
      <c r="E268" s="239"/>
      <c r="F268" s="239"/>
      <c r="G268" s="239"/>
      <c r="H268" s="275"/>
      <c r="I268" s="275"/>
      <c r="J268" s="275"/>
      <c r="K268" s="275"/>
      <c r="L268" s="218"/>
      <c r="M268" s="218"/>
      <c r="N268" s="218"/>
      <c r="O268" s="218"/>
      <c r="P268" s="243">
        <v>0</v>
      </c>
      <c r="Q268" s="274">
        <v>0</v>
      </c>
      <c r="R268" s="251">
        <v>0</v>
      </c>
      <c r="S268" s="274">
        <v>0</v>
      </c>
      <c r="T268" s="239"/>
      <c r="U268" s="191"/>
      <c r="V268" s="5"/>
    </row>
    <row r="269" spans="1:22" ht="15.6" x14ac:dyDescent="0.3">
      <c r="A269" s="284"/>
      <c r="B269" s="338" t="s">
        <v>92</v>
      </c>
      <c r="C269" s="285"/>
      <c r="D269" s="285"/>
      <c r="E269" s="285"/>
      <c r="F269" s="285"/>
      <c r="G269" s="285"/>
      <c r="H269" s="387"/>
      <c r="I269" s="387"/>
      <c r="J269" s="387"/>
      <c r="K269" s="387"/>
      <c r="L269" s="385"/>
      <c r="M269" s="385"/>
      <c r="N269" s="385"/>
      <c r="O269" s="385"/>
      <c r="P269" s="338">
        <v>0</v>
      </c>
      <c r="Q269" s="384">
        <v>0</v>
      </c>
      <c r="R269" s="339">
        <v>0</v>
      </c>
      <c r="S269" s="384">
        <v>0</v>
      </c>
      <c r="T269" s="285"/>
      <c r="U269" s="317"/>
      <c r="V269" s="5"/>
    </row>
    <row r="270" spans="1:22" ht="15.6" x14ac:dyDescent="0.3">
      <c r="A270" s="284"/>
      <c r="B270" s="338" t="s">
        <v>93</v>
      </c>
      <c r="C270" s="285"/>
      <c r="D270" s="285"/>
      <c r="E270" s="285"/>
      <c r="F270" s="285"/>
      <c r="G270" s="285"/>
      <c r="H270" s="387"/>
      <c r="I270" s="387"/>
      <c r="J270" s="387"/>
      <c r="K270" s="387"/>
      <c r="L270" s="385"/>
      <c r="M270" s="385"/>
      <c r="N270" s="385"/>
      <c r="O270" s="385"/>
      <c r="P270" s="338">
        <v>0</v>
      </c>
      <c r="Q270" s="384">
        <v>0</v>
      </c>
      <c r="R270" s="339">
        <v>0</v>
      </c>
      <c r="S270" s="384">
        <v>0</v>
      </c>
      <c r="T270" s="285"/>
      <c r="U270" s="317"/>
      <c r="V270" s="5"/>
    </row>
    <row r="271" spans="1:22" ht="15.6" x14ac:dyDescent="0.3">
      <c r="A271" s="284"/>
      <c r="B271" s="338" t="s">
        <v>163</v>
      </c>
      <c r="C271" s="285"/>
      <c r="D271" s="285"/>
      <c r="E271" s="285"/>
      <c r="F271" s="285"/>
      <c r="G271" s="285"/>
      <c r="H271" s="387"/>
      <c r="I271" s="387"/>
      <c r="J271" s="387"/>
      <c r="K271" s="387"/>
      <c r="L271" s="385"/>
      <c r="M271" s="385"/>
      <c r="N271" s="385"/>
      <c r="O271" s="385"/>
      <c r="P271" s="338">
        <v>0</v>
      </c>
      <c r="Q271" s="384">
        <v>0</v>
      </c>
      <c r="R271" s="339">
        <v>0</v>
      </c>
      <c r="S271" s="384">
        <v>0</v>
      </c>
      <c r="T271" s="285"/>
      <c r="U271" s="317"/>
      <c r="V271" s="5"/>
    </row>
    <row r="272" spans="1:22" ht="15.6" x14ac:dyDescent="0.3">
      <c r="A272" s="284"/>
      <c r="B272" s="338" t="s">
        <v>164</v>
      </c>
      <c r="C272" s="285"/>
      <c r="D272" s="285"/>
      <c r="E272" s="285"/>
      <c r="F272" s="285"/>
      <c r="G272" s="285"/>
      <c r="H272" s="387"/>
      <c r="I272" s="387"/>
      <c r="J272" s="387"/>
      <c r="K272" s="387"/>
      <c r="L272" s="385"/>
      <c r="M272" s="385"/>
      <c r="N272" s="385"/>
      <c r="O272" s="385"/>
      <c r="P272" s="338">
        <v>0</v>
      </c>
      <c r="Q272" s="384">
        <v>0</v>
      </c>
      <c r="R272" s="339">
        <v>0</v>
      </c>
      <c r="S272" s="384">
        <v>0</v>
      </c>
      <c r="T272" s="285"/>
      <c r="U272" s="317"/>
      <c r="V272" s="5"/>
    </row>
    <row r="273" spans="1:22" ht="15.6" x14ac:dyDescent="0.3">
      <c r="A273" s="284"/>
      <c r="B273" s="338" t="s">
        <v>165</v>
      </c>
      <c r="C273" s="285"/>
      <c r="D273" s="285"/>
      <c r="E273" s="285"/>
      <c r="F273" s="285"/>
      <c r="G273" s="285"/>
      <c r="H273" s="387"/>
      <c r="I273" s="387"/>
      <c r="J273" s="387"/>
      <c r="K273" s="387"/>
      <c r="L273" s="385"/>
      <c r="M273" s="385"/>
      <c r="N273" s="385"/>
      <c r="O273" s="385"/>
      <c r="P273" s="338">
        <v>0</v>
      </c>
      <c r="Q273" s="384">
        <v>0</v>
      </c>
      <c r="R273" s="339">
        <v>0</v>
      </c>
      <c r="S273" s="384">
        <v>0</v>
      </c>
      <c r="T273" s="285"/>
      <c r="U273" s="317"/>
      <c r="V273" s="5"/>
    </row>
    <row r="274" spans="1:22" ht="15.6" x14ac:dyDescent="0.3">
      <c r="A274" s="284"/>
      <c r="B274" s="338" t="s">
        <v>166</v>
      </c>
      <c r="C274" s="285"/>
      <c r="D274" s="285"/>
      <c r="E274" s="285"/>
      <c r="F274" s="285"/>
      <c r="G274" s="285"/>
      <c r="H274" s="387"/>
      <c r="I274" s="387"/>
      <c r="J274" s="387"/>
      <c r="K274" s="387"/>
      <c r="L274" s="385"/>
      <c r="M274" s="385"/>
      <c r="N274" s="385"/>
      <c r="O274" s="385"/>
      <c r="P274" s="338">
        <v>0</v>
      </c>
      <c r="Q274" s="384">
        <v>0</v>
      </c>
      <c r="R274" s="339">
        <v>0</v>
      </c>
      <c r="S274" s="384">
        <v>0</v>
      </c>
      <c r="T274" s="285"/>
      <c r="U274" s="317"/>
      <c r="V274" s="5"/>
    </row>
    <row r="275" spans="1:22" ht="15.6" x14ac:dyDescent="0.3">
      <c r="A275" s="284"/>
      <c r="B275" s="338" t="s">
        <v>167</v>
      </c>
      <c r="C275" s="285"/>
      <c r="D275" s="285"/>
      <c r="E275" s="285"/>
      <c r="F275" s="285"/>
      <c r="G275" s="285"/>
      <c r="H275" s="387"/>
      <c r="I275" s="387"/>
      <c r="J275" s="387"/>
      <c r="K275" s="387"/>
      <c r="L275" s="385"/>
      <c r="M275" s="385"/>
      <c r="N275" s="385"/>
      <c r="O275" s="385"/>
      <c r="P275" s="338">
        <v>0</v>
      </c>
      <c r="Q275" s="384">
        <v>0</v>
      </c>
      <c r="R275" s="339">
        <v>0</v>
      </c>
      <c r="S275" s="384">
        <v>0</v>
      </c>
      <c r="T275" s="285"/>
      <c r="U275" s="317"/>
      <c r="V275" s="5"/>
    </row>
    <row r="276" spans="1:22" ht="15.6" x14ac:dyDescent="0.3">
      <c r="A276" s="284"/>
      <c r="B276" s="338"/>
      <c r="C276" s="285"/>
      <c r="D276" s="285"/>
      <c r="E276" s="285"/>
      <c r="F276" s="285"/>
      <c r="G276" s="285"/>
      <c r="H276" s="387"/>
      <c r="I276" s="387"/>
      <c r="J276" s="387"/>
      <c r="K276" s="387"/>
      <c r="L276" s="385"/>
      <c r="M276" s="385"/>
      <c r="N276" s="385"/>
      <c r="O276" s="385"/>
      <c r="P276" s="338"/>
      <c r="Q276" s="384"/>
      <c r="R276" s="339"/>
      <c r="S276" s="384"/>
      <c r="T276" s="285"/>
      <c r="U276" s="317"/>
      <c r="V276" s="5"/>
    </row>
    <row r="277" spans="1:22" ht="15.6" x14ac:dyDescent="0.3">
      <c r="A277" s="284"/>
      <c r="B277" s="285" t="s">
        <v>120</v>
      </c>
      <c r="C277" s="285"/>
      <c r="D277" s="285"/>
      <c r="E277" s="285"/>
      <c r="F277" s="285"/>
      <c r="G277" s="285"/>
      <c r="H277" s="387"/>
      <c r="I277" s="387"/>
      <c r="J277" s="387"/>
      <c r="K277" s="387"/>
      <c r="L277" s="385"/>
      <c r="M277" s="385"/>
      <c r="N277" s="385"/>
      <c r="O277" s="385"/>
      <c r="P277" s="338">
        <f>SUM(P268:P275)</f>
        <v>0</v>
      </c>
      <c r="Q277" s="384">
        <f>SUM(Q268:Q276)</f>
        <v>0</v>
      </c>
      <c r="R277" s="339">
        <f>SUM(R268:R275)</f>
        <v>0</v>
      </c>
      <c r="S277" s="384">
        <f>SUM(S268:S276)</f>
        <v>0</v>
      </c>
      <c r="T277" s="285"/>
      <c r="U277" s="317"/>
      <c r="V277" s="5"/>
    </row>
    <row r="278" spans="1:22" ht="15.6" x14ac:dyDescent="0.3">
      <c r="A278" s="284"/>
      <c r="B278" s="285"/>
      <c r="C278" s="285"/>
      <c r="D278" s="285"/>
      <c r="E278" s="285"/>
      <c r="F278" s="285"/>
      <c r="G278" s="285"/>
      <c r="H278" s="387"/>
      <c r="I278" s="387"/>
      <c r="J278" s="387"/>
      <c r="K278" s="387"/>
      <c r="L278" s="385"/>
      <c r="M278" s="385"/>
      <c r="N278" s="385"/>
      <c r="O278" s="385"/>
      <c r="P278" s="344"/>
      <c r="Q278" s="388"/>
      <c r="R278" s="345"/>
      <c r="S278" s="388"/>
      <c r="T278" s="311"/>
      <c r="U278" s="317"/>
      <c r="V278" s="5"/>
    </row>
    <row r="279" spans="1:22" ht="15.6" x14ac:dyDescent="0.3">
      <c r="A279" s="284"/>
      <c r="B279" s="292" t="s">
        <v>171</v>
      </c>
      <c r="C279" s="285"/>
      <c r="D279" s="285"/>
      <c r="E279" s="285"/>
      <c r="F279" s="285"/>
      <c r="G279" s="285"/>
      <c r="H279" s="387"/>
      <c r="I279" s="387"/>
      <c r="J279" s="387"/>
      <c r="K279" s="387"/>
      <c r="L279" s="385"/>
      <c r="M279" s="385"/>
      <c r="N279" s="385"/>
      <c r="O279" s="385"/>
      <c r="P279" s="403">
        <f>P277+P265+P253</f>
        <v>3934</v>
      </c>
      <c r="Q279" s="384"/>
      <c r="R279" s="404">
        <f>+R277+R265+R253</f>
        <v>512273</v>
      </c>
      <c r="S279" s="384"/>
      <c r="T279" s="311"/>
      <c r="U279" s="317"/>
      <c r="V279" s="5"/>
    </row>
    <row r="280" spans="1:22" ht="15.6" x14ac:dyDescent="0.3">
      <c r="A280" s="175"/>
      <c r="B280" s="281"/>
      <c r="C280" s="281"/>
      <c r="D280" s="281"/>
      <c r="E280" s="281"/>
      <c r="F280" s="281"/>
      <c r="G280" s="281"/>
      <c r="H280" s="386"/>
      <c r="I280" s="386"/>
      <c r="J280" s="386"/>
      <c r="K280" s="386"/>
      <c r="L280" s="379"/>
      <c r="M280" s="379"/>
      <c r="N280" s="379"/>
      <c r="O280" s="379"/>
      <c r="P280" s="379"/>
      <c r="Q280" s="379"/>
      <c r="R280" s="381"/>
      <c r="S280" s="379"/>
      <c r="T280" s="334"/>
      <c r="U280" s="334"/>
      <c r="V280" s="5"/>
    </row>
    <row r="281" spans="1:22" ht="15.6" x14ac:dyDescent="0.3">
      <c r="A281" s="175"/>
      <c r="B281" s="231"/>
      <c r="C281" s="231"/>
      <c r="D281" s="231"/>
      <c r="E281" s="231"/>
      <c r="F281" s="231"/>
      <c r="G281" s="231"/>
      <c r="H281" s="276"/>
      <c r="I281" s="276"/>
      <c r="J281" s="276"/>
      <c r="K281" s="276"/>
      <c r="L281" s="219"/>
      <c r="M281" s="219"/>
      <c r="N281" s="219"/>
      <c r="O281" s="219"/>
      <c r="P281" s="219"/>
      <c r="Q281" s="219"/>
      <c r="R281" s="220"/>
      <c r="S281" s="219"/>
      <c r="T281" s="177"/>
      <c r="U281" s="177"/>
      <c r="V281" s="5"/>
    </row>
    <row r="282" spans="1:22" ht="15.6" x14ac:dyDescent="0.3">
      <c r="A282" s="221"/>
      <c r="B282" s="230" t="s">
        <v>94</v>
      </c>
      <c r="C282" s="231"/>
      <c r="D282" s="231"/>
      <c r="E282" s="231"/>
      <c r="F282" s="236" t="s">
        <v>100</v>
      </c>
      <c r="G282" s="231"/>
      <c r="H282" s="230" t="s">
        <v>102</v>
      </c>
      <c r="I282" s="277"/>
      <c r="J282" s="277"/>
      <c r="K282" s="277"/>
      <c r="L282" s="188"/>
      <c r="M282" s="188"/>
      <c r="N282" s="188"/>
      <c r="O282" s="188"/>
      <c r="P282" s="188"/>
      <c r="Q282" s="188"/>
      <c r="R282" s="188"/>
      <c r="S282" s="188"/>
      <c r="T282" s="188"/>
      <c r="U282" s="188"/>
      <c r="V282" s="5"/>
    </row>
    <row r="283" spans="1:22" ht="15.6" x14ac:dyDescent="0.3">
      <c r="A283" s="221"/>
      <c r="B283" s="230" t="s">
        <v>316</v>
      </c>
      <c r="C283" s="230"/>
      <c r="D283" s="230"/>
      <c r="E283" s="230"/>
      <c r="F283" s="278" t="s">
        <v>154</v>
      </c>
      <c r="G283" s="230"/>
      <c r="H283" s="230" t="s">
        <v>158</v>
      </c>
      <c r="I283" s="277"/>
      <c r="J283" s="277"/>
      <c r="K283" s="277"/>
      <c r="L283" s="188"/>
      <c r="M283" s="188"/>
      <c r="N283" s="188"/>
      <c r="O283" s="188"/>
      <c r="P283" s="188"/>
      <c r="Q283" s="188"/>
      <c r="R283" s="188"/>
      <c r="S283" s="188"/>
      <c r="T283" s="188"/>
      <c r="U283" s="188"/>
      <c r="V283" s="5"/>
    </row>
    <row r="284" spans="1:22" ht="15.6" x14ac:dyDescent="0.3">
      <c r="A284" s="221"/>
      <c r="B284" s="230" t="s">
        <v>317</v>
      </c>
      <c r="C284" s="230"/>
      <c r="D284" s="230"/>
      <c r="E284" s="230"/>
      <c r="F284" s="278" t="s">
        <v>269</v>
      </c>
      <c r="G284" s="230"/>
      <c r="H284" s="230" t="s">
        <v>270</v>
      </c>
      <c r="I284" s="277"/>
      <c r="J284" s="277"/>
      <c r="K284" s="277"/>
      <c r="L284" s="188"/>
      <c r="M284" s="188"/>
      <c r="N284" s="188"/>
      <c r="O284" s="188"/>
      <c r="P284" s="188"/>
      <c r="Q284" s="188"/>
      <c r="R284" s="188"/>
      <c r="S284" s="188"/>
      <c r="T284" s="188"/>
      <c r="U284" s="188"/>
      <c r="V284" s="5"/>
    </row>
    <row r="285" spans="1:22" ht="15.6" x14ac:dyDescent="0.3">
      <c r="A285" s="221"/>
      <c r="B285" s="230" t="s">
        <v>318</v>
      </c>
      <c r="C285" s="230"/>
      <c r="D285" s="230"/>
      <c r="E285" s="230"/>
      <c r="F285" s="278" t="s">
        <v>153</v>
      </c>
      <c r="G285" s="230"/>
      <c r="H285" s="230" t="s">
        <v>159</v>
      </c>
      <c r="I285" s="277"/>
      <c r="J285" s="277"/>
      <c r="K285" s="277"/>
      <c r="L285" s="188"/>
      <c r="M285" s="188"/>
      <c r="N285" s="188"/>
      <c r="O285" s="188"/>
      <c r="P285" s="188"/>
      <c r="Q285" s="188"/>
      <c r="R285" s="188"/>
      <c r="S285" s="188"/>
      <c r="T285" s="188"/>
      <c r="U285" s="188"/>
      <c r="V285" s="5"/>
    </row>
    <row r="286" spans="1:22" ht="15.6" x14ac:dyDescent="0.3">
      <c r="A286" s="221"/>
      <c r="B286" s="230"/>
      <c r="C286" s="230"/>
      <c r="D286" s="230"/>
      <c r="E286" s="230"/>
      <c r="F286" s="230"/>
      <c r="G286" s="279"/>
      <c r="H286" s="277"/>
      <c r="I286" s="277"/>
      <c r="J286" s="277"/>
      <c r="K286" s="277"/>
      <c r="L286" s="188"/>
      <c r="M286" s="188"/>
      <c r="N286" s="188"/>
      <c r="O286" s="188"/>
      <c r="P286" s="188"/>
      <c r="Q286" s="188"/>
      <c r="R286" s="188"/>
      <c r="S286" s="188"/>
      <c r="T286" s="188"/>
      <c r="U286" s="188"/>
      <c r="V286" s="5"/>
    </row>
    <row r="287" spans="1:22" ht="15.6" x14ac:dyDescent="0.3">
      <c r="A287" s="221"/>
      <c r="B287" s="230"/>
      <c r="C287" s="230"/>
      <c r="D287" s="230"/>
      <c r="E287" s="230"/>
      <c r="F287" s="230"/>
      <c r="G287" s="279"/>
      <c r="H287" s="277"/>
      <c r="I287" s="277"/>
      <c r="J287" s="277"/>
      <c r="K287" s="277"/>
      <c r="L287" s="188"/>
      <c r="M287" s="188"/>
      <c r="N287" s="188"/>
      <c r="O287" s="188"/>
      <c r="P287" s="188"/>
      <c r="Q287" s="188"/>
      <c r="R287" s="188"/>
      <c r="S287" s="188"/>
      <c r="T287" s="188"/>
      <c r="U287" s="188"/>
      <c r="V287" s="5"/>
    </row>
    <row r="288" spans="1:22" ht="18" thickBot="1" x14ac:dyDescent="0.35">
      <c r="A288" s="221"/>
      <c r="B288" s="280" t="str">
        <f>B193</f>
        <v>PM11 INVESTOR REPORT QUARTER ENDING DECEMBER 2014</v>
      </c>
      <c r="C288" s="230"/>
      <c r="D288" s="230"/>
      <c r="E288" s="230"/>
      <c r="F288" s="230"/>
      <c r="G288" s="279"/>
      <c r="H288" s="277"/>
      <c r="I288" s="277"/>
      <c r="J288" s="277"/>
      <c r="K288" s="277"/>
      <c r="L288" s="188"/>
      <c r="M288" s="188"/>
      <c r="N288" s="188"/>
      <c r="O288" s="188"/>
      <c r="P288" s="188"/>
      <c r="Q288" s="188"/>
      <c r="R288" s="188"/>
      <c r="S288" s="188"/>
      <c r="T288" s="188"/>
      <c r="U288" s="188"/>
      <c r="V288" s="5"/>
    </row>
    <row r="289" spans="1:21" x14ac:dyDescent="0.25">
      <c r="A289" s="100"/>
      <c r="B289" s="100"/>
      <c r="C289" s="100"/>
      <c r="D289" s="100"/>
      <c r="E289" s="100"/>
      <c r="F289" s="100"/>
      <c r="G289" s="100"/>
      <c r="H289" s="100"/>
      <c r="I289" s="100"/>
      <c r="J289" s="100"/>
      <c r="K289" s="100"/>
      <c r="L289" s="100"/>
      <c r="M289" s="100"/>
      <c r="N289" s="100"/>
      <c r="O289" s="100"/>
      <c r="P289" s="100"/>
      <c r="Q289" s="100"/>
      <c r="R289" s="100"/>
      <c r="S289" s="100"/>
      <c r="T289" s="100"/>
      <c r="U289" s="100"/>
    </row>
  </sheetData>
  <hyperlinks>
    <hyperlink ref="N229" r:id="rId1" xr:uid="{00000000-0004-0000-2200-000000000000}"/>
    <hyperlink ref="J9" r:id="rId2" xr:uid="{00000000-0004-0000-22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4" max="20" man="1"/>
    <brk id="133" max="20" man="1"/>
    <brk id="193" max="20" man="1"/>
  </rowBreaks>
  <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2D2926"/>
  </sheetPr>
  <dimension ref="A1:X289"/>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08984375" style="1" customWidth="1"/>
    <col min="10" max="10" width="17.81640625" style="1" customWidth="1"/>
    <col min="11" max="11" width="2.1796875" style="1" customWidth="1"/>
    <col min="12" max="12" width="14.81640625" style="1" customWidth="1"/>
    <col min="13" max="13" width="2.1796875" style="1" customWidth="1"/>
    <col min="14" max="14" width="15.54296875" style="1" customWidth="1"/>
    <col min="15" max="15" width="2.08984375" style="1" customWidth="1"/>
    <col min="16" max="16" width="15.54296875" style="1" customWidth="1"/>
    <col min="17" max="18" width="12.81640625" style="1" customWidth="1"/>
    <col min="19" max="19" width="7.81640625" style="1" customWidth="1"/>
    <col min="20" max="20" width="14.81640625" style="1" customWidth="1"/>
    <col min="21" max="21" width="11.81640625" style="1" customWidth="1"/>
    <col min="22" max="16384" width="9.81640625" style="1"/>
  </cols>
  <sheetData>
    <row r="1" spans="1:22" ht="20.399999999999999" x14ac:dyDescent="0.35">
      <c r="A1" s="173"/>
      <c r="B1" s="228" t="s">
        <v>228</v>
      </c>
      <c r="C1" s="174"/>
      <c r="D1" s="174"/>
      <c r="E1" s="174"/>
      <c r="F1" s="174"/>
      <c r="G1" s="174"/>
      <c r="H1" s="174"/>
      <c r="I1" s="174"/>
      <c r="J1" s="174"/>
      <c r="K1" s="174"/>
      <c r="L1" s="174"/>
      <c r="M1" s="174"/>
      <c r="N1" s="174"/>
      <c r="O1" s="174"/>
      <c r="P1" s="174"/>
      <c r="Q1" s="174"/>
      <c r="R1" s="174"/>
      <c r="S1" s="174"/>
      <c r="T1" s="174"/>
      <c r="U1" s="174"/>
      <c r="V1" s="5"/>
    </row>
    <row r="2" spans="1:22" ht="15.6" x14ac:dyDescent="0.3">
      <c r="A2" s="175"/>
      <c r="B2" s="176"/>
      <c r="C2" s="177"/>
      <c r="D2" s="177"/>
      <c r="E2" s="177"/>
      <c r="F2" s="177"/>
      <c r="G2" s="177"/>
      <c r="H2" s="177"/>
      <c r="I2" s="177"/>
      <c r="J2" s="177"/>
      <c r="K2" s="177"/>
      <c r="L2" s="177"/>
      <c r="M2" s="177"/>
      <c r="N2" s="177"/>
      <c r="O2" s="177"/>
      <c r="P2" s="177"/>
      <c r="Q2" s="177"/>
      <c r="R2" s="177"/>
      <c r="S2" s="177"/>
      <c r="T2" s="177"/>
      <c r="U2" s="177"/>
      <c r="V2" s="5"/>
    </row>
    <row r="3" spans="1:22" ht="15.6" x14ac:dyDescent="0.3">
      <c r="A3" s="178"/>
      <c r="B3" s="179" t="s">
        <v>229</v>
      </c>
      <c r="C3" s="177"/>
      <c r="D3" s="177"/>
      <c r="E3" s="177"/>
      <c r="F3" s="177"/>
      <c r="G3" s="177"/>
      <c r="H3" s="177"/>
      <c r="I3" s="177"/>
      <c r="J3" s="177"/>
      <c r="K3" s="177"/>
      <c r="L3" s="177"/>
      <c r="M3" s="177"/>
      <c r="N3" s="177"/>
      <c r="O3" s="177"/>
      <c r="P3" s="177"/>
      <c r="Q3" s="177"/>
      <c r="R3" s="177"/>
      <c r="S3" s="177"/>
      <c r="T3" s="177"/>
      <c r="U3" s="177"/>
      <c r="V3" s="5"/>
    </row>
    <row r="4" spans="1:22" ht="15.6" x14ac:dyDescent="0.3">
      <c r="A4" s="175"/>
      <c r="B4" s="176"/>
      <c r="C4" s="177"/>
      <c r="D4" s="177"/>
      <c r="E4" s="177"/>
      <c r="F4" s="177"/>
      <c r="G4" s="177"/>
      <c r="H4" s="177"/>
      <c r="I4" s="177"/>
      <c r="J4" s="177"/>
      <c r="K4" s="177"/>
      <c r="L4" s="177"/>
      <c r="M4" s="177"/>
      <c r="N4" s="177"/>
      <c r="O4" s="177"/>
      <c r="P4" s="177"/>
      <c r="Q4" s="177"/>
      <c r="R4" s="177"/>
      <c r="S4" s="177"/>
      <c r="T4" s="177"/>
      <c r="U4" s="177"/>
      <c r="V4" s="5"/>
    </row>
    <row r="5" spans="1:22" ht="15.6" x14ac:dyDescent="0.3">
      <c r="A5" s="175"/>
      <c r="B5" s="229" t="s">
        <v>143</v>
      </c>
      <c r="C5" s="177"/>
      <c r="D5" s="177"/>
      <c r="E5" s="177"/>
      <c r="F5" s="177"/>
      <c r="G5" s="177"/>
      <c r="H5" s="177"/>
      <c r="I5" s="177"/>
      <c r="J5" s="177"/>
      <c r="K5" s="177"/>
      <c r="L5" s="177"/>
      <c r="M5" s="177"/>
      <c r="N5" s="177"/>
      <c r="O5" s="177"/>
      <c r="P5" s="177"/>
      <c r="Q5" s="177"/>
      <c r="R5" s="177"/>
      <c r="S5" s="177"/>
      <c r="T5" s="177"/>
      <c r="U5" s="177"/>
      <c r="V5" s="5"/>
    </row>
    <row r="6" spans="1:22" ht="15.6" x14ac:dyDescent="0.3">
      <c r="A6" s="175"/>
      <c r="B6" s="229" t="s">
        <v>145</v>
      </c>
      <c r="C6" s="177"/>
      <c r="D6" s="177"/>
      <c r="E6" s="177"/>
      <c r="F6" s="177"/>
      <c r="G6" s="177"/>
      <c r="H6" s="177"/>
      <c r="I6" s="177"/>
      <c r="J6" s="177"/>
      <c r="K6" s="177"/>
      <c r="L6" s="177"/>
      <c r="M6" s="177"/>
      <c r="N6" s="177"/>
      <c r="O6" s="177"/>
      <c r="P6" s="177"/>
      <c r="Q6" s="177"/>
      <c r="R6" s="177"/>
      <c r="S6" s="177"/>
      <c r="T6" s="177"/>
      <c r="U6" s="177"/>
      <c r="V6" s="5"/>
    </row>
    <row r="7" spans="1:22" ht="15.6" x14ac:dyDescent="0.3">
      <c r="A7" s="175"/>
      <c r="B7" s="229" t="s">
        <v>144</v>
      </c>
      <c r="C7" s="177"/>
      <c r="D7" s="177"/>
      <c r="E7" s="177"/>
      <c r="F7" s="177"/>
      <c r="G7" s="177"/>
      <c r="H7" s="177"/>
      <c r="I7" s="177"/>
      <c r="J7" s="177"/>
      <c r="K7" s="177"/>
      <c r="L7" s="177"/>
      <c r="M7" s="177"/>
      <c r="N7" s="177"/>
      <c r="O7" s="177"/>
      <c r="P7" s="177"/>
      <c r="Q7" s="177"/>
      <c r="R7" s="177"/>
      <c r="S7" s="177"/>
      <c r="T7" s="177"/>
      <c r="U7" s="177"/>
      <c r="V7" s="5"/>
    </row>
    <row r="8" spans="1:22" ht="15.6" x14ac:dyDescent="0.3">
      <c r="A8" s="175"/>
      <c r="B8" s="180"/>
      <c r="C8" s="177"/>
      <c r="D8" s="177"/>
      <c r="E8" s="177"/>
      <c r="F8" s="177"/>
      <c r="G8" s="177"/>
      <c r="H8" s="177"/>
      <c r="I8" s="177"/>
      <c r="J8" s="177"/>
      <c r="K8" s="177"/>
      <c r="L8" s="177"/>
      <c r="M8" s="177"/>
      <c r="N8" s="177"/>
      <c r="O8" s="177"/>
      <c r="P8" s="177"/>
      <c r="Q8" s="177"/>
      <c r="R8" s="177"/>
      <c r="S8" s="177"/>
      <c r="T8" s="177"/>
      <c r="U8" s="177"/>
      <c r="V8" s="5"/>
    </row>
    <row r="9" spans="1:22" ht="17.399999999999999" x14ac:dyDescent="0.3">
      <c r="A9" s="175"/>
      <c r="B9" s="181" t="s">
        <v>173</v>
      </c>
      <c r="C9" s="177"/>
      <c r="D9" s="177"/>
      <c r="E9" s="177"/>
      <c r="F9" s="177"/>
      <c r="G9" s="177"/>
      <c r="H9" s="177"/>
      <c r="I9" s="177"/>
      <c r="J9" s="182" t="s">
        <v>174</v>
      </c>
      <c r="K9" s="177"/>
      <c r="L9" s="182"/>
      <c r="M9" s="177"/>
      <c r="N9" s="177"/>
      <c r="O9" s="177"/>
      <c r="P9" s="177"/>
      <c r="Q9" s="177"/>
      <c r="R9" s="177"/>
      <c r="S9" s="177"/>
      <c r="T9" s="177"/>
      <c r="U9" s="177"/>
      <c r="V9" s="5"/>
    </row>
    <row r="10" spans="1:22" ht="15.6" x14ac:dyDescent="0.3">
      <c r="A10" s="175"/>
      <c r="B10" s="180"/>
      <c r="C10" s="183"/>
      <c r="D10" s="183"/>
      <c r="E10" s="183"/>
      <c r="F10" s="177"/>
      <c r="G10" s="177"/>
      <c r="H10" s="177"/>
      <c r="I10" s="177"/>
      <c r="J10" s="177"/>
      <c r="K10" s="177"/>
      <c r="L10" s="177"/>
      <c r="M10" s="177"/>
      <c r="N10" s="177"/>
      <c r="O10" s="177"/>
      <c r="P10" s="177"/>
      <c r="Q10" s="177"/>
      <c r="R10" s="177"/>
      <c r="S10" s="177"/>
      <c r="T10" s="177"/>
      <c r="U10" s="177"/>
      <c r="V10" s="5"/>
    </row>
    <row r="11" spans="1:22" ht="15.6" x14ac:dyDescent="0.3">
      <c r="A11" s="175"/>
      <c r="B11" s="230" t="s">
        <v>0</v>
      </c>
      <c r="C11" s="177"/>
      <c r="D11" s="177"/>
      <c r="E11" s="177"/>
      <c r="F11" s="177"/>
      <c r="G11" s="177"/>
      <c r="H11" s="177"/>
      <c r="I11" s="177"/>
      <c r="J11" s="177"/>
      <c r="K11" s="177"/>
      <c r="L11" s="177"/>
      <c r="M11" s="177"/>
      <c r="N11" s="177"/>
      <c r="O11" s="177"/>
      <c r="P11" s="177"/>
      <c r="Q11" s="177"/>
      <c r="R11" s="177"/>
      <c r="S11" s="177"/>
      <c r="T11" s="177"/>
      <c r="U11" s="177"/>
      <c r="V11" s="5"/>
    </row>
    <row r="12" spans="1:22" ht="16.2" thickBot="1" x14ac:dyDescent="0.35">
      <c r="A12" s="175"/>
      <c r="B12" s="183"/>
      <c r="C12" s="177"/>
      <c r="D12" s="177"/>
      <c r="E12" s="177"/>
      <c r="F12" s="177"/>
      <c r="G12" s="177"/>
      <c r="H12" s="177"/>
      <c r="I12" s="177"/>
      <c r="J12" s="177"/>
      <c r="K12" s="177"/>
      <c r="L12" s="177"/>
      <c r="M12" s="177"/>
      <c r="N12" s="177"/>
      <c r="O12" s="177"/>
      <c r="P12" s="177"/>
      <c r="Q12" s="177"/>
      <c r="R12" s="177"/>
      <c r="S12" s="177"/>
      <c r="T12" s="177"/>
      <c r="U12" s="177"/>
      <c r="V12" s="5"/>
    </row>
    <row r="13" spans="1:22" ht="15.6" x14ac:dyDescent="0.3">
      <c r="A13" s="173"/>
      <c r="B13" s="174"/>
      <c r="C13" s="174"/>
      <c r="D13" s="174"/>
      <c r="E13" s="174"/>
      <c r="F13" s="174"/>
      <c r="G13" s="174"/>
      <c r="H13" s="174"/>
      <c r="I13" s="174"/>
      <c r="J13" s="174"/>
      <c r="K13" s="174"/>
      <c r="L13" s="174"/>
      <c r="M13" s="174"/>
      <c r="N13" s="174"/>
      <c r="O13" s="174"/>
      <c r="P13" s="174"/>
      <c r="Q13" s="174"/>
      <c r="R13" s="174"/>
      <c r="S13" s="174"/>
      <c r="T13" s="174"/>
      <c r="U13" s="174"/>
      <c r="V13" s="5"/>
    </row>
    <row r="14" spans="1:22" ht="15.6" x14ac:dyDescent="0.3">
      <c r="A14" s="175"/>
      <c r="B14" s="230" t="s">
        <v>1</v>
      </c>
      <c r="C14" s="184"/>
      <c r="D14" s="184"/>
      <c r="E14" s="184"/>
      <c r="F14" s="184"/>
      <c r="G14" s="184"/>
      <c r="H14" s="184"/>
      <c r="I14" s="184"/>
      <c r="J14" s="184"/>
      <c r="K14" s="184"/>
      <c r="L14" s="184"/>
      <c r="M14" s="184"/>
      <c r="N14" s="184"/>
      <c r="O14" s="184"/>
      <c r="P14" s="231"/>
      <c r="Q14" s="231"/>
      <c r="R14" s="231"/>
      <c r="S14" s="231"/>
      <c r="T14" s="233" t="s">
        <v>230</v>
      </c>
      <c r="U14" s="184"/>
      <c r="V14" s="5"/>
    </row>
    <row r="15" spans="1:22" ht="15.6" x14ac:dyDescent="0.3">
      <c r="A15" s="175"/>
      <c r="B15" s="230" t="s">
        <v>2</v>
      </c>
      <c r="C15" s="184"/>
      <c r="D15" s="184"/>
      <c r="E15" s="184"/>
      <c r="F15" s="184"/>
      <c r="G15" s="184"/>
      <c r="H15" s="185"/>
      <c r="I15" s="185"/>
      <c r="J15" s="185"/>
      <c r="K15" s="185"/>
      <c r="L15" s="185"/>
      <c r="M15" s="185"/>
      <c r="N15" s="185"/>
      <c r="O15" s="185"/>
      <c r="P15" s="234" t="s">
        <v>107</v>
      </c>
      <c r="Q15" s="235">
        <v>0.40749999999999997</v>
      </c>
      <c r="R15" s="236" t="s">
        <v>146</v>
      </c>
      <c r="S15" s="235">
        <v>0.59250000000000003</v>
      </c>
      <c r="T15" s="233"/>
      <c r="U15" s="184"/>
      <c r="V15" s="5"/>
    </row>
    <row r="16" spans="1:22" ht="15.6" x14ac:dyDescent="0.3">
      <c r="A16" s="175"/>
      <c r="B16" s="230" t="s">
        <v>3</v>
      </c>
      <c r="C16" s="184"/>
      <c r="D16" s="184"/>
      <c r="E16" s="184"/>
      <c r="F16" s="184"/>
      <c r="G16" s="184"/>
      <c r="H16" s="185"/>
      <c r="I16" s="185"/>
      <c r="J16" s="185"/>
      <c r="K16" s="185"/>
      <c r="L16" s="185"/>
      <c r="M16" s="185"/>
      <c r="N16" s="185"/>
      <c r="O16" s="185"/>
      <c r="P16" s="234" t="s">
        <v>107</v>
      </c>
      <c r="Q16" s="235">
        <v>0.46529999999999999</v>
      </c>
      <c r="R16" s="236" t="s">
        <v>146</v>
      </c>
      <c r="S16" s="235">
        <v>0.53469999999999995</v>
      </c>
      <c r="T16" s="233"/>
      <c r="U16" s="184"/>
      <c r="V16" s="5"/>
    </row>
    <row r="17" spans="1:22" ht="15.6" x14ac:dyDescent="0.3">
      <c r="A17" s="175"/>
      <c r="B17" s="230" t="s">
        <v>4</v>
      </c>
      <c r="C17" s="184"/>
      <c r="D17" s="184"/>
      <c r="E17" s="184"/>
      <c r="F17" s="184"/>
      <c r="G17" s="184"/>
      <c r="H17" s="184"/>
      <c r="I17" s="184"/>
      <c r="J17" s="184"/>
      <c r="K17" s="184"/>
      <c r="L17" s="184"/>
      <c r="M17" s="184"/>
      <c r="N17" s="184"/>
      <c r="O17" s="184"/>
      <c r="P17" s="231"/>
      <c r="Q17" s="231"/>
      <c r="R17" s="231"/>
      <c r="S17" s="231"/>
      <c r="T17" s="237">
        <v>38799</v>
      </c>
      <c r="U17" s="184"/>
      <c r="V17" s="5"/>
    </row>
    <row r="18" spans="1:22" ht="15.6" x14ac:dyDescent="0.3">
      <c r="A18" s="175"/>
      <c r="B18" s="230" t="s">
        <v>5</v>
      </c>
      <c r="C18" s="184"/>
      <c r="D18" s="184"/>
      <c r="E18" s="184"/>
      <c r="F18" s="184"/>
      <c r="G18" s="184"/>
      <c r="H18" s="184"/>
      <c r="I18" s="184"/>
      <c r="J18" s="184"/>
      <c r="K18" s="184"/>
      <c r="L18" s="184"/>
      <c r="M18" s="184"/>
      <c r="N18" s="184"/>
      <c r="O18" s="184"/>
      <c r="P18" s="231"/>
      <c r="Q18" s="231"/>
      <c r="R18" s="231"/>
      <c r="S18" s="231"/>
      <c r="T18" s="237">
        <v>42116</v>
      </c>
      <c r="U18" s="184"/>
      <c r="V18" s="5"/>
    </row>
    <row r="19" spans="1:22" ht="15.6" x14ac:dyDescent="0.3">
      <c r="A19" s="175"/>
      <c r="B19" s="177"/>
      <c r="C19" s="177"/>
      <c r="D19" s="177"/>
      <c r="E19" s="177"/>
      <c r="F19" s="177"/>
      <c r="G19" s="177"/>
      <c r="H19" s="177"/>
      <c r="I19" s="177"/>
      <c r="J19" s="177"/>
      <c r="K19" s="177"/>
      <c r="L19" s="177"/>
      <c r="M19" s="177"/>
      <c r="N19" s="177"/>
      <c r="O19" s="177"/>
      <c r="P19" s="177"/>
      <c r="Q19" s="177"/>
      <c r="R19" s="177"/>
      <c r="S19" s="177"/>
      <c r="T19" s="186"/>
      <c r="U19" s="177"/>
      <c r="V19" s="5"/>
    </row>
    <row r="20" spans="1:22" ht="15.6" x14ac:dyDescent="0.3">
      <c r="A20" s="175"/>
      <c r="B20" s="232" t="s">
        <v>6</v>
      </c>
      <c r="C20" s="177"/>
      <c r="D20" s="177"/>
      <c r="E20" s="177"/>
      <c r="F20" s="177"/>
      <c r="G20" s="177"/>
      <c r="H20" s="177"/>
      <c r="I20" s="177"/>
      <c r="J20" s="177"/>
      <c r="K20" s="177"/>
      <c r="L20" s="177"/>
      <c r="M20" s="177"/>
      <c r="N20" s="177"/>
      <c r="O20" s="177"/>
      <c r="P20" s="177"/>
      <c r="Q20" s="177"/>
      <c r="R20" s="238" t="s">
        <v>108</v>
      </c>
      <c r="S20" s="177"/>
      <c r="T20" s="188"/>
      <c r="U20" s="177"/>
      <c r="V20" s="5"/>
    </row>
    <row r="21" spans="1:22" ht="15.6" x14ac:dyDescent="0.3">
      <c r="A21" s="175"/>
      <c r="B21" s="177"/>
      <c r="C21" s="177"/>
      <c r="D21" s="177"/>
      <c r="E21" s="177"/>
      <c r="F21" s="177"/>
      <c r="G21" s="177"/>
      <c r="H21" s="177"/>
      <c r="I21" s="177"/>
      <c r="J21" s="177"/>
      <c r="K21" s="177"/>
      <c r="L21" s="177"/>
      <c r="M21" s="177"/>
      <c r="N21" s="177"/>
      <c r="O21" s="177"/>
      <c r="P21" s="177"/>
      <c r="Q21" s="177"/>
      <c r="R21" s="177"/>
      <c r="S21" s="177"/>
      <c r="T21" s="189"/>
      <c r="U21" s="177"/>
      <c r="V21" s="5"/>
    </row>
    <row r="22" spans="1:22" ht="15.6" x14ac:dyDescent="0.3">
      <c r="A22" s="222"/>
      <c r="B22" s="223"/>
      <c r="C22" s="224"/>
      <c r="D22" s="224" t="s">
        <v>184</v>
      </c>
      <c r="E22" s="224"/>
      <c r="F22" s="224" t="s">
        <v>185</v>
      </c>
      <c r="G22" s="224"/>
      <c r="H22" s="224" t="s">
        <v>186</v>
      </c>
      <c r="I22" s="224"/>
      <c r="J22" s="224" t="s">
        <v>187</v>
      </c>
      <c r="K22" s="224"/>
      <c r="L22" s="224" t="s">
        <v>188</v>
      </c>
      <c r="M22" s="224"/>
      <c r="N22" s="224" t="s">
        <v>189</v>
      </c>
      <c r="O22" s="224"/>
      <c r="P22" s="224"/>
      <c r="Q22" s="226"/>
      <c r="R22" s="226"/>
      <c r="S22" s="227"/>
      <c r="T22" s="227"/>
      <c r="U22" s="223"/>
      <c r="V22" s="5"/>
    </row>
    <row r="23" spans="1:22" ht="15.6" x14ac:dyDescent="0.3">
      <c r="A23" s="190"/>
      <c r="B23" s="239" t="s">
        <v>7</v>
      </c>
      <c r="C23" s="240"/>
      <c r="D23" s="240" t="s">
        <v>222</v>
      </c>
      <c r="E23" s="240"/>
      <c r="F23" s="240" t="s">
        <v>147</v>
      </c>
      <c r="G23" s="240"/>
      <c r="H23" s="240" t="s">
        <v>147</v>
      </c>
      <c r="I23" s="240"/>
      <c r="J23" s="240" t="s">
        <v>190</v>
      </c>
      <c r="K23" s="240"/>
      <c r="L23" s="240" t="s">
        <v>190</v>
      </c>
      <c r="M23" s="240"/>
      <c r="N23" s="240" t="s">
        <v>148</v>
      </c>
      <c r="O23" s="240"/>
      <c r="P23" s="240"/>
      <c r="Q23" s="240"/>
      <c r="R23" s="240"/>
      <c r="S23" s="241"/>
      <c r="T23" s="241"/>
      <c r="U23" s="239"/>
      <c r="V23" s="5"/>
    </row>
    <row r="24" spans="1:22" ht="15.6" x14ac:dyDescent="0.3">
      <c r="A24" s="284"/>
      <c r="B24" s="285" t="s">
        <v>8</v>
      </c>
      <c r="C24" s="286"/>
      <c r="D24" s="286" t="s">
        <v>223</v>
      </c>
      <c r="E24" s="286"/>
      <c r="F24" s="286" t="s">
        <v>149</v>
      </c>
      <c r="G24" s="286"/>
      <c r="H24" s="286" t="s">
        <v>149</v>
      </c>
      <c r="I24" s="286"/>
      <c r="J24" s="286" t="s">
        <v>172</v>
      </c>
      <c r="K24" s="286"/>
      <c r="L24" s="286" t="s">
        <v>172</v>
      </c>
      <c r="M24" s="286"/>
      <c r="N24" s="286" t="s">
        <v>150</v>
      </c>
      <c r="O24" s="286"/>
      <c r="P24" s="286"/>
      <c r="Q24" s="286"/>
      <c r="R24" s="286"/>
      <c r="S24" s="287"/>
      <c r="T24" s="287"/>
      <c r="U24" s="288"/>
      <c r="V24" s="5"/>
    </row>
    <row r="25" spans="1:22" ht="15.6" x14ac:dyDescent="0.3">
      <c r="A25" s="289"/>
      <c r="B25" s="285" t="s">
        <v>198</v>
      </c>
      <c r="C25" s="394"/>
      <c r="D25" s="286" t="s">
        <v>224</v>
      </c>
      <c r="E25" s="286"/>
      <c r="F25" s="286" t="s">
        <v>149</v>
      </c>
      <c r="G25" s="286"/>
      <c r="H25" s="286" t="s">
        <v>149</v>
      </c>
      <c r="I25" s="286"/>
      <c r="J25" s="286" t="s">
        <v>172</v>
      </c>
      <c r="K25" s="286"/>
      <c r="L25" s="286" t="s">
        <v>172</v>
      </c>
      <c r="M25" s="286"/>
      <c r="N25" s="286" t="s">
        <v>150</v>
      </c>
      <c r="O25" s="286"/>
      <c r="P25" s="286"/>
      <c r="Q25" s="394"/>
      <c r="R25" s="286"/>
      <c r="S25" s="287"/>
      <c r="T25" s="287"/>
      <c r="U25" s="288"/>
      <c r="V25" s="5"/>
    </row>
    <row r="26" spans="1:22" ht="15.6" x14ac:dyDescent="0.3">
      <c r="A26" s="289"/>
      <c r="B26" s="292" t="s">
        <v>9</v>
      </c>
      <c r="C26" s="394"/>
      <c r="D26" s="394" t="s">
        <v>326</v>
      </c>
      <c r="E26" s="394"/>
      <c r="F26" s="394" t="s">
        <v>327</v>
      </c>
      <c r="G26" s="394"/>
      <c r="H26" s="394" t="s">
        <v>327</v>
      </c>
      <c r="I26" s="394"/>
      <c r="J26" s="394" t="s">
        <v>328</v>
      </c>
      <c r="K26" s="394"/>
      <c r="L26" s="394" t="s">
        <v>328</v>
      </c>
      <c r="M26" s="394"/>
      <c r="N26" s="394" t="s">
        <v>329</v>
      </c>
      <c r="O26" s="394"/>
      <c r="P26" s="394"/>
      <c r="Q26" s="394"/>
      <c r="R26" s="286"/>
      <c r="S26" s="287"/>
      <c r="T26" s="287"/>
      <c r="U26" s="288"/>
      <c r="V26" s="5"/>
    </row>
    <row r="27" spans="1:22" ht="15.6" x14ac:dyDescent="0.3">
      <c r="A27" s="284"/>
      <c r="B27" s="292" t="s">
        <v>199</v>
      </c>
      <c r="C27" s="286"/>
      <c r="D27" s="394" t="s">
        <v>307</v>
      </c>
      <c r="E27" s="394"/>
      <c r="F27" s="394" t="s">
        <v>172</v>
      </c>
      <c r="G27" s="394"/>
      <c r="H27" s="394" t="s">
        <v>172</v>
      </c>
      <c r="I27" s="394"/>
      <c r="J27" s="394" t="s">
        <v>150</v>
      </c>
      <c r="K27" s="394"/>
      <c r="L27" s="394" t="s">
        <v>150</v>
      </c>
      <c r="M27" s="394"/>
      <c r="N27" s="394" t="s">
        <v>308</v>
      </c>
      <c r="O27" s="394"/>
      <c r="P27" s="394"/>
      <c r="Q27" s="286"/>
      <c r="R27" s="293"/>
      <c r="S27" s="287"/>
      <c r="T27" s="287"/>
      <c r="U27" s="288"/>
      <c r="V27" s="5"/>
    </row>
    <row r="28" spans="1:22" ht="15.6" x14ac:dyDescent="0.3">
      <c r="A28" s="284"/>
      <c r="B28" s="292" t="s">
        <v>200</v>
      </c>
      <c r="C28" s="286"/>
      <c r="D28" s="394" t="s">
        <v>302</v>
      </c>
      <c r="E28" s="394"/>
      <c r="F28" s="394" t="s">
        <v>149</v>
      </c>
      <c r="G28" s="394"/>
      <c r="H28" s="394" t="s">
        <v>149</v>
      </c>
      <c r="I28" s="394"/>
      <c r="J28" s="394" t="s">
        <v>149</v>
      </c>
      <c r="K28" s="394"/>
      <c r="L28" s="394" t="s">
        <v>149</v>
      </c>
      <c r="M28" s="394"/>
      <c r="N28" s="394" t="s">
        <v>150</v>
      </c>
      <c r="O28" s="394"/>
      <c r="P28" s="394"/>
      <c r="Q28" s="286"/>
      <c r="R28" s="293"/>
      <c r="S28" s="287"/>
      <c r="T28" s="287"/>
      <c r="U28" s="288"/>
      <c r="V28" s="5"/>
    </row>
    <row r="29" spans="1:22" ht="15.6" x14ac:dyDescent="0.3">
      <c r="A29" s="284"/>
      <c r="B29" s="285" t="s">
        <v>10</v>
      </c>
      <c r="C29" s="295"/>
      <c r="D29" s="286" t="s">
        <v>237</v>
      </c>
      <c r="E29" s="286"/>
      <c r="F29" s="293" t="s">
        <v>238</v>
      </c>
      <c r="G29" s="286"/>
      <c r="H29" s="286" t="s">
        <v>239</v>
      </c>
      <c r="I29" s="286"/>
      <c r="J29" s="286" t="s">
        <v>240</v>
      </c>
      <c r="K29" s="286"/>
      <c r="L29" s="286" t="s">
        <v>241</v>
      </c>
      <c r="M29" s="286"/>
      <c r="N29" s="286" t="s">
        <v>242</v>
      </c>
      <c r="O29" s="286"/>
      <c r="P29" s="286"/>
      <c r="Q29" s="296"/>
      <c r="R29" s="296"/>
      <c r="S29" s="297"/>
      <c r="T29" s="296"/>
      <c r="U29" s="298"/>
      <c r="V29" s="5"/>
    </row>
    <row r="30" spans="1:22" ht="15.6" x14ac:dyDescent="0.3">
      <c r="A30" s="284"/>
      <c r="B30" s="285" t="s">
        <v>10</v>
      </c>
      <c r="C30" s="295"/>
      <c r="D30" s="286" t="s">
        <v>236</v>
      </c>
      <c r="E30" s="286"/>
      <c r="F30" s="293" t="s">
        <v>124</v>
      </c>
      <c r="G30" s="286"/>
      <c r="H30" s="286" t="s">
        <v>124</v>
      </c>
      <c r="I30" s="286"/>
      <c r="J30" s="286" t="s">
        <v>124</v>
      </c>
      <c r="K30" s="286"/>
      <c r="L30" s="286" t="s">
        <v>124</v>
      </c>
      <c r="M30" s="286"/>
      <c r="N30" s="286" t="s">
        <v>124</v>
      </c>
      <c r="O30" s="286"/>
      <c r="P30" s="286"/>
      <c r="Q30" s="296"/>
      <c r="R30" s="296"/>
      <c r="S30" s="297"/>
      <c r="T30" s="296"/>
      <c r="U30" s="298"/>
      <c r="V30" s="5"/>
    </row>
    <row r="31" spans="1:22" ht="15.6" x14ac:dyDescent="0.3">
      <c r="A31" s="289"/>
      <c r="B31" s="285" t="s">
        <v>139</v>
      </c>
      <c r="C31" s="299"/>
      <c r="D31" s="300">
        <v>985000</v>
      </c>
      <c r="E31" s="295"/>
      <c r="F31" s="296">
        <v>149500</v>
      </c>
      <c r="G31" s="296"/>
      <c r="H31" s="301">
        <v>219700</v>
      </c>
      <c r="I31" s="296"/>
      <c r="J31" s="296">
        <v>16000</v>
      </c>
      <c r="K31" s="296"/>
      <c r="L31" s="301">
        <v>82400</v>
      </c>
      <c r="M31" s="296"/>
      <c r="N31" s="301">
        <v>87500</v>
      </c>
      <c r="O31" s="296"/>
      <c r="P31" s="301"/>
      <c r="Q31" s="302"/>
      <c r="R31" s="302"/>
      <c r="S31" s="303"/>
      <c r="T31" s="302"/>
      <c r="U31" s="298"/>
      <c r="V31" s="5"/>
    </row>
    <row r="32" spans="1:22" ht="15.6" x14ac:dyDescent="0.3">
      <c r="A32" s="284"/>
      <c r="B32" s="285" t="s">
        <v>138</v>
      </c>
      <c r="C32" s="295"/>
      <c r="D32" s="300">
        <f>D38*D31</f>
        <v>431152.3285</v>
      </c>
      <c r="E32" s="295"/>
      <c r="F32" s="296">
        <f>F38*F31</f>
        <v>65439.050299999995</v>
      </c>
      <c r="G32" s="296"/>
      <c r="H32" s="301">
        <f>H38*H31</f>
        <v>96166.952179999993</v>
      </c>
      <c r="I32" s="296"/>
      <c r="J32" s="296">
        <f>+J31</f>
        <v>16000</v>
      </c>
      <c r="K32" s="296"/>
      <c r="L32" s="301">
        <f>+L31</f>
        <v>82400</v>
      </c>
      <c r="M32" s="296"/>
      <c r="N32" s="301">
        <f>+N31</f>
        <v>87500</v>
      </c>
      <c r="O32" s="296"/>
      <c r="P32" s="301"/>
      <c r="Q32" s="296"/>
      <c r="R32" s="296"/>
      <c r="S32" s="297"/>
      <c r="T32" s="296"/>
      <c r="U32" s="298"/>
      <c r="V32" s="5"/>
    </row>
    <row r="33" spans="1:22" ht="15.6" x14ac:dyDescent="0.3">
      <c r="A33" s="284"/>
      <c r="B33" s="292" t="s">
        <v>140</v>
      </c>
      <c r="C33" s="295"/>
      <c r="D33" s="304">
        <f>D37*D31</f>
        <v>424122.48200000002</v>
      </c>
      <c r="E33" s="299"/>
      <c r="F33" s="302">
        <f>F37*F31</f>
        <v>64372.098699999995</v>
      </c>
      <c r="G33" s="302"/>
      <c r="H33" s="305">
        <f>H31*H37</f>
        <v>94598.99721999999</v>
      </c>
      <c r="I33" s="302"/>
      <c r="J33" s="302">
        <f>J31*J37</f>
        <v>16000</v>
      </c>
      <c r="K33" s="302"/>
      <c r="L33" s="305">
        <f>L31*L37</f>
        <v>82400</v>
      </c>
      <c r="M33" s="302"/>
      <c r="N33" s="305">
        <f>N31*N37</f>
        <v>87500</v>
      </c>
      <c r="O33" s="302"/>
      <c r="P33" s="305"/>
      <c r="Q33" s="296"/>
      <c r="R33" s="296"/>
      <c r="S33" s="297"/>
      <c r="T33" s="296"/>
      <c r="U33" s="298"/>
      <c r="V33" s="5"/>
    </row>
    <row r="34" spans="1:22" ht="15.6" x14ac:dyDescent="0.3">
      <c r="A34" s="289"/>
      <c r="B34" s="285" t="s">
        <v>283</v>
      </c>
      <c r="C34" s="299"/>
      <c r="D34" s="296">
        <v>567282</v>
      </c>
      <c r="E34" s="295"/>
      <c r="F34" s="296">
        <v>149500</v>
      </c>
      <c r="G34" s="296"/>
      <c r="H34" s="296">
        <v>150716</v>
      </c>
      <c r="I34" s="296"/>
      <c r="J34" s="296">
        <v>16000</v>
      </c>
      <c r="K34" s="296"/>
      <c r="L34" s="296">
        <v>56527</v>
      </c>
      <c r="M34" s="296"/>
      <c r="N34" s="296">
        <v>60025</v>
      </c>
      <c r="O34" s="296"/>
      <c r="P34" s="296"/>
      <c r="Q34" s="302"/>
      <c r="R34" s="302"/>
      <c r="S34" s="303"/>
      <c r="T34" s="296">
        <f>SUM(C34:P34)</f>
        <v>1000050</v>
      </c>
      <c r="U34" s="298"/>
      <c r="V34" s="5"/>
    </row>
    <row r="35" spans="1:22" ht="15.6" x14ac:dyDescent="0.3">
      <c r="A35" s="289"/>
      <c r="B35" s="285" t="s">
        <v>284</v>
      </c>
      <c r="C35" s="299"/>
      <c r="D35" s="296">
        <f>D38*D34</f>
        <v>248309.5992042</v>
      </c>
      <c r="E35" s="295"/>
      <c r="F35" s="296">
        <f>F38*F34</f>
        <v>65439.050299999995</v>
      </c>
      <c r="G35" s="296"/>
      <c r="H35" s="296">
        <f>H38*H34</f>
        <v>65971.3170904</v>
      </c>
      <c r="I35" s="296"/>
      <c r="J35" s="296">
        <f>+J34</f>
        <v>16000</v>
      </c>
      <c r="K35" s="296"/>
      <c r="L35" s="296">
        <f>+L34</f>
        <v>56527</v>
      </c>
      <c r="M35" s="296"/>
      <c r="N35" s="296">
        <f>+N34</f>
        <v>60025</v>
      </c>
      <c r="O35" s="296"/>
      <c r="P35" s="296"/>
      <c r="Q35" s="296"/>
      <c r="R35" s="296"/>
      <c r="S35" s="297"/>
      <c r="T35" s="296">
        <f>SUM(C35:P35)+1</f>
        <v>512272.9665946</v>
      </c>
      <c r="U35" s="298"/>
      <c r="V35" s="5"/>
    </row>
    <row r="36" spans="1:22" ht="15.6" x14ac:dyDescent="0.3">
      <c r="A36" s="289"/>
      <c r="B36" s="292" t="s">
        <v>285</v>
      </c>
      <c r="C36" s="299"/>
      <c r="D36" s="302">
        <f>D37*D34</f>
        <v>244260.96429840001</v>
      </c>
      <c r="E36" s="299"/>
      <c r="F36" s="302">
        <f>F37*F34</f>
        <v>64372.098699999995</v>
      </c>
      <c r="G36" s="302"/>
      <c r="H36" s="302">
        <f>H37*H34</f>
        <v>64895.687141599999</v>
      </c>
      <c r="I36" s="302"/>
      <c r="J36" s="302">
        <f>+J34</f>
        <v>16000</v>
      </c>
      <c r="K36" s="302"/>
      <c r="L36" s="302">
        <f>+L34</f>
        <v>56527</v>
      </c>
      <c r="M36" s="302"/>
      <c r="N36" s="302">
        <f>+N34</f>
        <v>60025</v>
      </c>
      <c r="O36" s="302"/>
      <c r="P36" s="302"/>
      <c r="Q36" s="327"/>
      <c r="R36" s="327"/>
      <c r="S36" s="297"/>
      <c r="T36" s="302">
        <f>SUM(C36:P36)+1</f>
        <v>506081.75014000002</v>
      </c>
      <c r="U36" s="298"/>
      <c r="V36" s="5"/>
    </row>
    <row r="37" spans="1:22" ht="15.6" x14ac:dyDescent="0.3">
      <c r="A37" s="284"/>
      <c r="B37" s="310" t="s">
        <v>136</v>
      </c>
      <c r="C37" s="311"/>
      <c r="D37" s="312">
        <v>0.4305812</v>
      </c>
      <c r="E37" s="313"/>
      <c r="F37" s="312">
        <v>0.43058259999999998</v>
      </c>
      <c r="G37" s="314"/>
      <c r="H37" s="312">
        <v>0.43058259999999998</v>
      </c>
      <c r="I37" s="314"/>
      <c r="J37" s="312">
        <v>1</v>
      </c>
      <c r="K37" s="314"/>
      <c r="L37" s="312">
        <v>1</v>
      </c>
      <c r="M37" s="314"/>
      <c r="N37" s="312">
        <v>1</v>
      </c>
      <c r="O37" s="314"/>
      <c r="P37" s="314"/>
      <c r="Q37" s="315"/>
      <c r="R37" s="315"/>
      <c r="S37" s="316"/>
      <c r="T37" s="316"/>
      <c r="U37" s="317"/>
      <c r="V37" s="5"/>
    </row>
    <row r="38" spans="1:22" ht="15.6" x14ac:dyDescent="0.3">
      <c r="A38" s="284"/>
      <c r="B38" s="310" t="s">
        <v>137</v>
      </c>
      <c r="C38" s="311"/>
      <c r="D38" s="312">
        <v>0.4377181</v>
      </c>
      <c r="E38" s="313"/>
      <c r="F38" s="312">
        <v>0.43771939999999998</v>
      </c>
      <c r="G38" s="314"/>
      <c r="H38" s="312">
        <v>0.43771939999999998</v>
      </c>
      <c r="I38" s="314"/>
      <c r="J38" s="312">
        <v>1</v>
      </c>
      <c r="K38" s="314"/>
      <c r="L38" s="312">
        <v>1</v>
      </c>
      <c r="M38" s="314"/>
      <c r="N38" s="312">
        <v>1</v>
      </c>
      <c r="O38" s="314"/>
      <c r="P38" s="314"/>
      <c r="Q38" s="318"/>
      <c r="R38" s="319"/>
      <c r="S38" s="316"/>
      <c r="T38" s="318"/>
      <c r="U38" s="317"/>
      <c r="V38" s="5"/>
    </row>
    <row r="39" spans="1:22" ht="15.6" x14ac:dyDescent="0.3">
      <c r="A39" s="284"/>
      <c r="B39" s="285" t="s">
        <v>11</v>
      </c>
      <c r="C39" s="285"/>
      <c r="D39" s="293" t="s">
        <v>275</v>
      </c>
      <c r="E39" s="285"/>
      <c r="F39" s="293" t="s">
        <v>232</v>
      </c>
      <c r="G39" s="293"/>
      <c r="H39" s="293" t="s">
        <v>232</v>
      </c>
      <c r="I39" s="293"/>
      <c r="J39" s="293" t="s">
        <v>234</v>
      </c>
      <c r="K39" s="293"/>
      <c r="L39" s="293" t="s">
        <v>234</v>
      </c>
      <c r="M39" s="293"/>
      <c r="N39" s="293" t="s">
        <v>235</v>
      </c>
      <c r="O39" s="293"/>
      <c r="P39" s="293"/>
      <c r="Q39" s="320"/>
      <c r="R39" s="321"/>
      <c r="S39" s="287"/>
      <c r="T39" s="287"/>
      <c r="U39" s="288"/>
      <c r="V39" s="5"/>
    </row>
    <row r="40" spans="1:22" ht="15.6" x14ac:dyDescent="0.3">
      <c r="A40" s="284"/>
      <c r="B40" s="285" t="s">
        <v>12</v>
      </c>
      <c r="C40" s="285"/>
      <c r="D40" s="321">
        <v>2.745E-3</v>
      </c>
      <c r="E40" s="285"/>
      <c r="F40" s="321">
        <v>7.9968999999999995E-3</v>
      </c>
      <c r="G40" s="320"/>
      <c r="H40" s="321">
        <v>3.1099999999999999E-3</v>
      </c>
      <c r="I40" s="320"/>
      <c r="J40" s="321">
        <v>1.0396900000000001E-2</v>
      </c>
      <c r="K40" s="320"/>
      <c r="L40" s="321">
        <v>5.5100000000000001E-3</v>
      </c>
      <c r="M40" s="320"/>
      <c r="N40" s="321">
        <v>9.7099999999999999E-3</v>
      </c>
      <c r="O40" s="320"/>
      <c r="P40" s="321"/>
      <c r="Q40" s="320"/>
      <c r="R40" s="321"/>
      <c r="S40" s="287"/>
      <c r="T40" s="293"/>
      <c r="U40" s="288"/>
      <c r="V40" s="5"/>
    </row>
    <row r="41" spans="1:22" ht="15.6" x14ac:dyDescent="0.3">
      <c r="A41" s="284"/>
      <c r="B41" s="285" t="s">
        <v>13</v>
      </c>
      <c r="C41" s="285"/>
      <c r="D41" s="321">
        <v>2.6080000000000001E-3</v>
      </c>
      <c r="E41" s="285"/>
      <c r="F41" s="321">
        <v>7.9962999999999996E-3</v>
      </c>
      <c r="G41" s="320"/>
      <c r="H41" s="321">
        <v>3.2200000000000002E-3</v>
      </c>
      <c r="I41" s="320"/>
      <c r="J41" s="321">
        <v>1.0396300000000001E-2</v>
      </c>
      <c r="K41" s="320"/>
      <c r="L41" s="321">
        <v>5.62E-3</v>
      </c>
      <c r="M41" s="320"/>
      <c r="N41" s="321">
        <v>9.8200000000000006E-3</v>
      </c>
      <c r="O41" s="320"/>
      <c r="P41" s="321"/>
      <c r="Q41" s="320"/>
      <c r="R41" s="321"/>
      <c r="S41" s="287"/>
      <c r="T41" s="320" t="s">
        <v>201</v>
      </c>
      <c r="U41" s="288"/>
      <c r="V41" s="5"/>
    </row>
    <row r="42" spans="1:22" ht="15.6" x14ac:dyDescent="0.3">
      <c r="A42" s="284"/>
      <c r="B42" s="285" t="s">
        <v>286</v>
      </c>
      <c r="C42" s="285"/>
      <c r="D42" s="293" t="s">
        <v>231</v>
      </c>
      <c r="E42" s="285"/>
      <c r="F42" s="293" t="s">
        <v>232</v>
      </c>
      <c r="G42" s="293"/>
      <c r="H42" s="293" t="s">
        <v>232</v>
      </c>
      <c r="I42" s="293"/>
      <c r="J42" s="293" t="s">
        <v>234</v>
      </c>
      <c r="K42" s="293"/>
      <c r="L42" s="293" t="s">
        <v>245</v>
      </c>
      <c r="M42" s="293"/>
      <c r="N42" s="293" t="s">
        <v>247</v>
      </c>
      <c r="O42" s="293"/>
      <c r="P42" s="293"/>
      <c r="Q42" s="320"/>
      <c r="R42" s="321"/>
      <c r="S42" s="287"/>
      <c r="T42" s="287"/>
      <c r="U42" s="288"/>
      <c r="V42" s="5"/>
    </row>
    <row r="43" spans="1:22" ht="15.6" x14ac:dyDescent="0.3">
      <c r="A43" s="284"/>
      <c r="B43" s="285" t="s">
        <v>287</v>
      </c>
      <c r="C43" s="322"/>
      <c r="D43" s="321">
        <v>6.8330999999999999E-3</v>
      </c>
      <c r="E43" s="321"/>
      <c r="F43" s="321">
        <f>+F40</f>
        <v>7.9968999999999995E-3</v>
      </c>
      <c r="G43" s="321"/>
      <c r="H43" s="321">
        <v>7.9929000000000007E-3</v>
      </c>
      <c r="I43" s="321"/>
      <c r="J43" s="321">
        <f>+J40</f>
        <v>1.0396900000000001E-2</v>
      </c>
      <c r="K43" s="321"/>
      <c r="L43" s="321">
        <v>1.07029E-2</v>
      </c>
      <c r="M43" s="321"/>
      <c r="N43" s="321">
        <v>1.5406899999999999E-2</v>
      </c>
      <c r="O43" s="320"/>
      <c r="P43" s="321"/>
      <c r="Q43" s="293"/>
      <c r="R43" s="293"/>
      <c r="S43" s="287"/>
      <c r="T43" s="320">
        <f>SUMPRODUCT(D43:N43,D35:N35)/T35</f>
        <v>8.6740638187035399E-3</v>
      </c>
      <c r="U43" s="288"/>
      <c r="V43" s="5"/>
    </row>
    <row r="44" spans="1:22" ht="15.6" x14ac:dyDescent="0.3">
      <c r="A44" s="284"/>
      <c r="B44" s="285" t="s">
        <v>288</v>
      </c>
      <c r="C44" s="322"/>
      <c r="D44" s="321">
        <v>6.8325E-3</v>
      </c>
      <c r="E44" s="321"/>
      <c r="F44" s="321">
        <f>+F41</f>
        <v>7.9962999999999996E-3</v>
      </c>
      <c r="G44" s="321"/>
      <c r="H44" s="321">
        <v>7.9923000000000008E-3</v>
      </c>
      <c r="I44" s="321"/>
      <c r="J44" s="321">
        <f>+J41</f>
        <v>1.0396300000000001E-2</v>
      </c>
      <c r="K44" s="321"/>
      <c r="L44" s="321">
        <v>1.07023E-2</v>
      </c>
      <c r="M44" s="321"/>
      <c r="N44" s="321">
        <v>1.54063E-2</v>
      </c>
      <c r="O44" s="320"/>
      <c r="P44" s="321"/>
      <c r="Q44" s="293"/>
      <c r="R44" s="293"/>
      <c r="S44" s="287"/>
      <c r="T44" s="287"/>
      <c r="U44" s="288"/>
      <c r="V44" s="5"/>
    </row>
    <row r="45" spans="1:22" ht="15.6" x14ac:dyDescent="0.3">
      <c r="A45" s="284"/>
      <c r="B45" s="285" t="s">
        <v>14</v>
      </c>
      <c r="C45" s="285"/>
      <c r="D45" s="322">
        <v>40283</v>
      </c>
      <c r="E45" s="322"/>
      <c r="F45" s="322">
        <v>40283</v>
      </c>
      <c r="G45" s="322"/>
      <c r="H45" s="322">
        <v>40283</v>
      </c>
      <c r="I45" s="322"/>
      <c r="J45" s="322">
        <v>40283</v>
      </c>
      <c r="K45" s="322"/>
      <c r="L45" s="322">
        <v>40283</v>
      </c>
      <c r="M45" s="322"/>
      <c r="N45" s="322">
        <v>40283</v>
      </c>
      <c r="O45" s="322"/>
      <c r="P45" s="322"/>
      <c r="Q45" s="293"/>
      <c r="R45" s="293"/>
      <c r="S45" s="287"/>
      <c r="T45" s="287"/>
      <c r="U45" s="288"/>
      <c r="V45" s="5"/>
    </row>
    <row r="46" spans="1:22" ht="15.6" x14ac:dyDescent="0.3">
      <c r="A46" s="284"/>
      <c r="B46" s="285" t="s">
        <v>15</v>
      </c>
      <c r="C46" s="285"/>
      <c r="D46" s="322">
        <v>40648</v>
      </c>
      <c r="E46" s="322"/>
      <c r="F46" s="322">
        <v>40648</v>
      </c>
      <c r="G46" s="322"/>
      <c r="H46" s="322">
        <v>40648</v>
      </c>
      <c r="I46" s="293"/>
      <c r="J46" s="322">
        <v>40648</v>
      </c>
      <c r="K46" s="293"/>
      <c r="L46" s="322">
        <v>40648</v>
      </c>
      <c r="M46" s="293"/>
      <c r="N46" s="322">
        <v>40648</v>
      </c>
      <c r="O46" s="293"/>
      <c r="P46" s="322"/>
      <c r="Q46" s="293"/>
      <c r="R46" s="293"/>
      <c r="S46" s="287"/>
      <c r="T46" s="287"/>
      <c r="U46" s="288"/>
      <c r="V46" s="5"/>
    </row>
    <row r="47" spans="1:22" ht="15.6" x14ac:dyDescent="0.3">
      <c r="A47" s="284"/>
      <c r="B47" s="285" t="s">
        <v>125</v>
      </c>
      <c r="C47" s="285"/>
      <c r="D47" s="293" t="s">
        <v>124</v>
      </c>
      <c r="E47" s="285"/>
      <c r="F47" s="293" t="s">
        <v>232</v>
      </c>
      <c r="G47" s="293"/>
      <c r="H47" s="293" t="s">
        <v>232</v>
      </c>
      <c r="I47" s="293"/>
      <c r="J47" s="293" t="s">
        <v>234</v>
      </c>
      <c r="K47" s="293"/>
      <c r="L47" s="293" t="s">
        <v>234</v>
      </c>
      <c r="M47" s="293"/>
      <c r="N47" s="293" t="s">
        <v>235</v>
      </c>
      <c r="O47" s="293"/>
      <c r="P47" s="293"/>
      <c r="Q47" s="324"/>
      <c r="R47" s="324"/>
      <c r="S47" s="324"/>
      <c r="T47" s="324"/>
      <c r="U47" s="288"/>
      <c r="V47" s="5"/>
    </row>
    <row r="48" spans="1:22" ht="15.6" x14ac:dyDescent="0.3">
      <c r="A48" s="284"/>
      <c r="B48" s="285" t="s">
        <v>289</v>
      </c>
      <c r="C48" s="285"/>
      <c r="D48" s="293" t="s">
        <v>208</v>
      </c>
      <c r="E48" s="285"/>
      <c r="F48" s="293" t="s">
        <v>232</v>
      </c>
      <c r="G48" s="293"/>
      <c r="H48" s="293" t="s">
        <v>232</v>
      </c>
      <c r="I48" s="293"/>
      <c r="J48" s="293" t="s">
        <v>234</v>
      </c>
      <c r="K48" s="293"/>
      <c r="L48" s="293" t="s">
        <v>245</v>
      </c>
      <c r="M48" s="293"/>
      <c r="N48" s="293" t="s">
        <v>247</v>
      </c>
      <c r="O48" s="293"/>
      <c r="P48" s="293"/>
      <c r="Q48" s="285"/>
      <c r="R48" s="285"/>
      <c r="S48" s="285"/>
      <c r="T48" s="320"/>
      <c r="U48" s="288"/>
      <c r="V48" s="5"/>
    </row>
    <row r="49" spans="1:23" ht="15.6" x14ac:dyDescent="0.3">
      <c r="A49" s="284"/>
      <c r="B49" s="285"/>
      <c r="C49" s="285"/>
      <c r="D49" s="293"/>
      <c r="E49" s="285"/>
      <c r="F49" s="293"/>
      <c r="G49" s="293"/>
      <c r="H49" s="293"/>
      <c r="I49" s="293"/>
      <c r="J49" s="293"/>
      <c r="K49" s="293"/>
      <c r="L49" s="293"/>
      <c r="M49" s="293"/>
      <c r="N49" s="293"/>
      <c r="O49" s="293"/>
      <c r="P49" s="293"/>
      <c r="Q49" s="285"/>
      <c r="R49" s="285"/>
      <c r="S49" s="285"/>
      <c r="T49" s="320" t="s">
        <v>201</v>
      </c>
      <c r="U49" s="288"/>
      <c r="V49" s="5"/>
    </row>
    <row r="50" spans="1:23" ht="15.6" x14ac:dyDescent="0.3">
      <c r="A50" s="284"/>
      <c r="B50" s="285" t="s">
        <v>176</v>
      </c>
      <c r="C50" s="285"/>
      <c r="D50" s="293"/>
      <c r="E50" s="285"/>
      <c r="F50" s="293"/>
      <c r="G50" s="293"/>
      <c r="H50" s="293"/>
      <c r="I50" s="293"/>
      <c r="J50" s="293"/>
      <c r="K50" s="293"/>
      <c r="L50" s="293"/>
      <c r="M50" s="293"/>
      <c r="N50" s="293"/>
      <c r="O50" s="293"/>
      <c r="P50" s="293"/>
      <c r="Q50" s="285"/>
      <c r="R50" s="285"/>
      <c r="S50" s="285"/>
      <c r="T50" s="320">
        <f>SUM(J34:P34)/SUM(D34:H34)</f>
        <v>0.15279804679664968</v>
      </c>
      <c r="U50" s="288"/>
      <c r="V50" s="5"/>
    </row>
    <row r="51" spans="1:23" ht="15.6" x14ac:dyDescent="0.3">
      <c r="A51" s="284"/>
      <c r="B51" s="285" t="s">
        <v>177</v>
      </c>
      <c r="C51" s="285"/>
      <c r="D51" s="285"/>
      <c r="E51" s="285"/>
      <c r="F51" s="325"/>
      <c r="G51" s="285"/>
      <c r="H51" s="285"/>
      <c r="I51" s="285"/>
      <c r="J51" s="285"/>
      <c r="K51" s="285"/>
      <c r="L51" s="285"/>
      <c r="M51" s="285"/>
      <c r="N51" s="285"/>
      <c r="O51" s="285"/>
      <c r="P51" s="285"/>
      <c r="Q51" s="285"/>
      <c r="R51" s="285"/>
      <c r="S51" s="285"/>
      <c r="T51" s="320">
        <f>SUM(J36:P36)/SUM(D36:H36)</f>
        <v>0.35486425061074683</v>
      </c>
      <c r="U51" s="288"/>
      <c r="V51" s="5"/>
    </row>
    <row r="52" spans="1:23" ht="15.6" x14ac:dyDescent="0.3">
      <c r="A52" s="284"/>
      <c r="B52" s="285" t="s">
        <v>178</v>
      </c>
      <c r="C52" s="285"/>
      <c r="D52" s="285"/>
      <c r="E52" s="285"/>
      <c r="F52" s="285"/>
      <c r="G52" s="285"/>
      <c r="H52" s="285"/>
      <c r="I52" s="285"/>
      <c r="J52" s="285"/>
      <c r="K52" s="285"/>
      <c r="L52" s="285"/>
      <c r="M52" s="285"/>
      <c r="N52" s="285"/>
      <c r="O52" s="285"/>
      <c r="P52" s="285"/>
      <c r="Q52" s="285"/>
      <c r="R52" s="293" t="s">
        <v>109</v>
      </c>
      <c r="S52" s="293" t="s">
        <v>115</v>
      </c>
      <c r="T52" s="296">
        <f>+T34/2-SUM(J34:P34)</f>
        <v>367473</v>
      </c>
      <c r="U52" s="288"/>
      <c r="V52" s="5"/>
    </row>
    <row r="53" spans="1:23" ht="15.6" x14ac:dyDescent="0.3">
      <c r="A53" s="284"/>
      <c r="B53" s="285"/>
      <c r="C53" s="285"/>
      <c r="D53" s="285"/>
      <c r="E53" s="285"/>
      <c r="F53" s="285"/>
      <c r="G53" s="285"/>
      <c r="H53" s="285"/>
      <c r="I53" s="285"/>
      <c r="J53" s="285"/>
      <c r="K53" s="285"/>
      <c r="L53" s="285"/>
      <c r="M53" s="285"/>
      <c r="N53" s="285"/>
      <c r="O53" s="285"/>
      <c r="P53" s="285"/>
      <c r="Q53" s="285"/>
      <c r="R53" s="285"/>
      <c r="S53" s="285"/>
      <c r="T53" s="326"/>
      <c r="U53" s="288"/>
      <c r="V53" s="5"/>
    </row>
    <row r="54" spans="1:23" ht="15.6" x14ac:dyDescent="0.3">
      <c r="A54" s="284"/>
      <c r="B54" s="285" t="s">
        <v>211</v>
      </c>
      <c r="C54" s="285"/>
      <c r="D54" s="285"/>
      <c r="E54" s="285"/>
      <c r="F54" s="285"/>
      <c r="G54" s="285"/>
      <c r="H54" s="285"/>
      <c r="I54" s="285"/>
      <c r="J54" s="285"/>
      <c r="K54" s="285"/>
      <c r="L54" s="285"/>
      <c r="M54" s="285"/>
      <c r="N54" s="285"/>
      <c r="O54" s="285"/>
      <c r="P54" s="285"/>
      <c r="Q54" s="285"/>
      <c r="R54" s="285"/>
      <c r="S54" s="285"/>
      <c r="T54" s="327" t="s">
        <v>212</v>
      </c>
      <c r="U54" s="288"/>
      <c r="V54" s="5"/>
    </row>
    <row r="55" spans="1:23" ht="15.6" x14ac:dyDescent="0.3">
      <c r="A55" s="284"/>
      <c r="B55" s="285" t="s">
        <v>253</v>
      </c>
      <c r="C55" s="285"/>
      <c r="D55" s="285"/>
      <c r="E55" s="285"/>
      <c r="F55" s="285"/>
      <c r="G55" s="285"/>
      <c r="H55" s="285"/>
      <c r="I55" s="285"/>
      <c r="J55" s="285"/>
      <c r="K55" s="285"/>
      <c r="L55" s="285"/>
      <c r="M55" s="285"/>
      <c r="N55" s="285"/>
      <c r="O55" s="285"/>
      <c r="P55" s="285"/>
      <c r="Q55" s="285"/>
      <c r="R55" s="293"/>
      <c r="S55" s="293"/>
      <c r="T55" s="328" t="s">
        <v>117</v>
      </c>
      <c r="U55" s="288"/>
      <c r="V55" s="5"/>
    </row>
    <row r="56" spans="1:23" ht="15.6" x14ac:dyDescent="0.3">
      <c r="A56" s="284"/>
      <c r="B56" s="292" t="s">
        <v>210</v>
      </c>
      <c r="C56" s="292"/>
      <c r="D56" s="292"/>
      <c r="E56" s="292"/>
      <c r="F56" s="292"/>
      <c r="G56" s="292"/>
      <c r="H56" s="292"/>
      <c r="I56" s="292"/>
      <c r="J56" s="292"/>
      <c r="K56" s="292"/>
      <c r="L56" s="292"/>
      <c r="M56" s="292"/>
      <c r="N56" s="292"/>
      <c r="O56" s="292"/>
      <c r="P56" s="292"/>
      <c r="Q56" s="292"/>
      <c r="R56" s="329"/>
      <c r="S56" s="329"/>
      <c r="T56" s="330">
        <v>42109</v>
      </c>
      <c r="U56" s="288"/>
      <c r="V56" s="5"/>
    </row>
    <row r="57" spans="1:23" ht="15.6" x14ac:dyDescent="0.3">
      <c r="A57" s="284"/>
      <c r="B57" s="285" t="s">
        <v>127</v>
      </c>
      <c r="C57" s="285"/>
      <c r="D57" s="285"/>
      <c r="E57" s="285"/>
      <c r="F57" s="285"/>
      <c r="G57" s="285"/>
      <c r="H57" s="331"/>
      <c r="I57" s="331"/>
      <c r="J57" s="331"/>
      <c r="K57" s="331"/>
      <c r="L57" s="331"/>
      <c r="M57" s="331"/>
      <c r="N57" s="331"/>
      <c r="O57" s="331"/>
      <c r="P57" s="285">
        <f>+T57-R57+1</f>
        <v>92</v>
      </c>
      <c r="Q57" s="331"/>
      <c r="R57" s="332">
        <v>41927</v>
      </c>
      <c r="S57" s="333"/>
      <c r="T57" s="332">
        <v>42018</v>
      </c>
      <c r="U57" s="288"/>
      <c r="V57" s="5"/>
    </row>
    <row r="58" spans="1:23" ht="15.6" x14ac:dyDescent="0.3">
      <c r="A58" s="284"/>
      <c r="B58" s="285" t="s">
        <v>128</v>
      </c>
      <c r="C58" s="285"/>
      <c r="D58" s="285"/>
      <c r="E58" s="285"/>
      <c r="F58" s="285"/>
      <c r="G58" s="285"/>
      <c r="H58" s="285"/>
      <c r="I58" s="285"/>
      <c r="J58" s="285"/>
      <c r="K58" s="285"/>
      <c r="L58" s="285"/>
      <c r="M58" s="285"/>
      <c r="N58" s="285"/>
      <c r="O58" s="285"/>
      <c r="P58" s="285">
        <f>+T58-R58+1</f>
        <v>90</v>
      </c>
      <c r="Q58" s="285"/>
      <c r="R58" s="332">
        <v>42019</v>
      </c>
      <c r="S58" s="333"/>
      <c r="T58" s="332">
        <v>42108</v>
      </c>
      <c r="U58" s="288"/>
      <c r="V58" s="5"/>
    </row>
    <row r="59" spans="1:23" ht="15.6" x14ac:dyDescent="0.3">
      <c r="A59" s="284"/>
      <c r="B59" s="285" t="s">
        <v>209</v>
      </c>
      <c r="C59" s="285"/>
      <c r="D59" s="285"/>
      <c r="E59" s="285"/>
      <c r="F59" s="285"/>
      <c r="G59" s="285"/>
      <c r="H59" s="285"/>
      <c r="I59" s="285"/>
      <c r="J59" s="285"/>
      <c r="K59" s="285"/>
      <c r="L59" s="285"/>
      <c r="M59" s="285"/>
      <c r="N59" s="285"/>
      <c r="O59" s="285"/>
      <c r="P59" s="285"/>
      <c r="Q59" s="285"/>
      <c r="R59" s="332"/>
      <c r="S59" s="333"/>
      <c r="T59" s="332" t="s">
        <v>126</v>
      </c>
      <c r="U59" s="288"/>
      <c r="V59" s="5"/>
    </row>
    <row r="60" spans="1:23" ht="15.6" x14ac:dyDescent="0.3">
      <c r="A60" s="284"/>
      <c r="B60" s="285" t="s">
        <v>249</v>
      </c>
      <c r="C60" s="285"/>
      <c r="D60" s="285"/>
      <c r="E60" s="285"/>
      <c r="F60" s="285"/>
      <c r="G60" s="285"/>
      <c r="H60" s="285"/>
      <c r="I60" s="285"/>
      <c r="J60" s="285"/>
      <c r="K60" s="285"/>
      <c r="L60" s="285"/>
      <c r="M60" s="285"/>
      <c r="N60" s="285"/>
      <c r="O60" s="285"/>
      <c r="P60" s="285"/>
      <c r="Q60" s="285"/>
      <c r="R60" s="332"/>
      <c r="S60" s="333"/>
      <c r="T60" s="332" t="s">
        <v>160</v>
      </c>
      <c r="U60" s="288"/>
      <c r="V60" s="5"/>
      <c r="W60" s="134"/>
    </row>
    <row r="61" spans="1:23" ht="15.6" x14ac:dyDescent="0.3">
      <c r="A61" s="284"/>
      <c r="B61" s="285" t="s">
        <v>16</v>
      </c>
      <c r="C61" s="285"/>
      <c r="D61" s="285"/>
      <c r="E61" s="285"/>
      <c r="F61" s="285"/>
      <c r="G61" s="285"/>
      <c r="H61" s="285"/>
      <c r="I61" s="285"/>
      <c r="J61" s="285"/>
      <c r="K61" s="285"/>
      <c r="L61" s="285"/>
      <c r="M61" s="285"/>
      <c r="N61" s="285"/>
      <c r="O61" s="285"/>
      <c r="P61" s="285"/>
      <c r="Q61" s="285"/>
      <c r="R61" s="332"/>
      <c r="S61" s="333"/>
      <c r="T61" s="332">
        <v>42095</v>
      </c>
      <c r="U61" s="288"/>
      <c r="V61" s="5"/>
    </row>
    <row r="62" spans="1:23" ht="15.6" x14ac:dyDescent="0.3">
      <c r="A62" s="175"/>
      <c r="B62" s="281"/>
      <c r="C62" s="281"/>
      <c r="D62" s="281"/>
      <c r="E62" s="281"/>
      <c r="F62" s="281"/>
      <c r="G62" s="281"/>
      <c r="H62" s="281"/>
      <c r="I62" s="281"/>
      <c r="J62" s="281"/>
      <c r="K62" s="281"/>
      <c r="L62" s="281"/>
      <c r="M62" s="281"/>
      <c r="N62" s="281"/>
      <c r="O62" s="281"/>
      <c r="P62" s="281"/>
      <c r="Q62" s="281"/>
      <c r="R62" s="282"/>
      <c r="S62" s="283"/>
      <c r="T62" s="282"/>
      <c r="U62" s="281"/>
      <c r="V62" s="5"/>
    </row>
    <row r="63" spans="1:23" ht="15.6" x14ac:dyDescent="0.3">
      <c r="A63" s="175"/>
      <c r="B63" s="231"/>
      <c r="C63" s="231"/>
      <c r="D63" s="231"/>
      <c r="E63" s="231"/>
      <c r="F63" s="231"/>
      <c r="G63" s="231"/>
      <c r="H63" s="231"/>
      <c r="I63" s="231"/>
      <c r="J63" s="231"/>
      <c r="K63" s="231"/>
      <c r="L63" s="231"/>
      <c r="M63" s="231"/>
      <c r="N63" s="231"/>
      <c r="O63" s="231"/>
      <c r="P63" s="231"/>
      <c r="Q63" s="231"/>
      <c r="R63" s="244"/>
      <c r="S63" s="245"/>
      <c r="T63" s="244"/>
      <c r="U63" s="231"/>
      <c r="V63" s="5"/>
    </row>
    <row r="64" spans="1:23" ht="18" thickBot="1" x14ac:dyDescent="0.35">
      <c r="A64" s="192"/>
      <c r="B64" s="246" t="s">
        <v>330</v>
      </c>
      <c r="C64" s="247"/>
      <c r="D64" s="247"/>
      <c r="E64" s="247"/>
      <c r="F64" s="247"/>
      <c r="G64" s="247"/>
      <c r="H64" s="247"/>
      <c r="I64" s="247"/>
      <c r="J64" s="247"/>
      <c r="K64" s="247"/>
      <c r="L64" s="247"/>
      <c r="M64" s="247"/>
      <c r="N64" s="247"/>
      <c r="O64" s="247"/>
      <c r="P64" s="247"/>
      <c r="Q64" s="247"/>
      <c r="R64" s="247"/>
      <c r="S64" s="247"/>
      <c r="T64" s="248"/>
      <c r="U64" s="249"/>
      <c r="V64" s="5"/>
    </row>
    <row r="65" spans="1:22" ht="15.6" x14ac:dyDescent="0.3">
      <c r="A65" s="222"/>
      <c r="B65" s="395" t="s">
        <v>17</v>
      </c>
      <c r="C65" s="223"/>
      <c r="D65" s="223"/>
      <c r="E65" s="223"/>
      <c r="F65" s="223"/>
      <c r="G65" s="223"/>
      <c r="H65" s="223"/>
      <c r="I65" s="223"/>
      <c r="J65" s="223"/>
      <c r="K65" s="223"/>
      <c r="L65" s="223"/>
      <c r="M65" s="223"/>
      <c r="N65" s="223"/>
      <c r="O65" s="223"/>
      <c r="P65" s="223"/>
      <c r="Q65" s="223"/>
      <c r="R65" s="223"/>
      <c r="S65" s="223"/>
      <c r="T65" s="250"/>
      <c r="U65" s="223"/>
      <c r="V65" s="5"/>
    </row>
    <row r="66" spans="1:22" ht="15.6" x14ac:dyDescent="0.3">
      <c r="A66" s="175"/>
      <c r="B66" s="183"/>
      <c r="C66" s="177"/>
      <c r="D66" s="177"/>
      <c r="E66" s="177"/>
      <c r="F66" s="177"/>
      <c r="G66" s="177"/>
      <c r="H66" s="177"/>
      <c r="I66" s="177"/>
      <c r="J66" s="177"/>
      <c r="K66" s="177"/>
      <c r="L66" s="177"/>
      <c r="M66" s="177"/>
      <c r="N66" s="177"/>
      <c r="O66" s="177"/>
      <c r="P66" s="177"/>
      <c r="Q66" s="177"/>
      <c r="R66" s="177"/>
      <c r="S66" s="177"/>
      <c r="T66" s="194"/>
      <c r="U66" s="177"/>
      <c r="V66" s="5"/>
    </row>
    <row r="67" spans="1:22" ht="46.8" x14ac:dyDescent="0.3">
      <c r="A67" s="175"/>
      <c r="B67" s="195" t="s">
        <v>18</v>
      </c>
      <c r="C67" s="196"/>
      <c r="D67" s="196"/>
      <c r="E67" s="196"/>
      <c r="F67" s="196"/>
      <c r="G67" s="196"/>
      <c r="H67" s="196"/>
      <c r="I67" s="196"/>
      <c r="J67" s="196" t="s">
        <v>97</v>
      </c>
      <c r="K67" s="196"/>
      <c r="L67" s="196" t="s">
        <v>99</v>
      </c>
      <c r="M67" s="196"/>
      <c r="N67" s="196" t="s">
        <v>101</v>
      </c>
      <c r="O67" s="196"/>
      <c r="P67" s="196" t="s">
        <v>103</v>
      </c>
      <c r="Q67" s="196"/>
      <c r="R67" s="196" t="s">
        <v>110</v>
      </c>
      <c r="S67" s="196"/>
      <c r="T67" s="197" t="s">
        <v>118</v>
      </c>
      <c r="U67" s="198"/>
      <c r="V67" s="5"/>
    </row>
    <row r="68" spans="1:22" ht="15.6" x14ac:dyDescent="0.3">
      <c r="A68" s="337"/>
      <c r="B68" s="285" t="s">
        <v>19</v>
      </c>
      <c r="C68" s="338"/>
      <c r="D68" s="338"/>
      <c r="E68" s="338"/>
      <c r="F68" s="338"/>
      <c r="G68" s="338"/>
      <c r="H68" s="338"/>
      <c r="I68" s="338"/>
      <c r="J68" s="338">
        <v>1000039</v>
      </c>
      <c r="K68" s="338"/>
      <c r="L68" s="339">
        <v>512273</v>
      </c>
      <c r="M68" s="338"/>
      <c r="N68" s="338">
        <f>6191+37</f>
        <v>6228</v>
      </c>
      <c r="O68" s="338"/>
      <c r="P68" s="338">
        <v>37</v>
      </c>
      <c r="Q68" s="338"/>
      <c r="R68" s="338">
        <v>0</v>
      </c>
      <c r="S68" s="338"/>
      <c r="T68" s="339">
        <f>+L68-N68+P68-R68</f>
        <v>506082</v>
      </c>
      <c r="U68" s="288"/>
      <c r="V68" s="5"/>
    </row>
    <row r="69" spans="1:22" ht="15.6" x14ac:dyDescent="0.3">
      <c r="A69" s="337"/>
      <c r="B69" s="285" t="s">
        <v>20</v>
      </c>
      <c r="C69" s="338"/>
      <c r="D69" s="338"/>
      <c r="E69" s="338"/>
      <c r="F69" s="338"/>
      <c r="G69" s="338"/>
      <c r="H69" s="338"/>
      <c r="I69" s="338"/>
      <c r="J69" s="338">
        <v>10</v>
      </c>
      <c r="K69" s="338"/>
      <c r="L69" s="339">
        <v>0</v>
      </c>
      <c r="M69" s="338"/>
      <c r="N69" s="338">
        <v>0</v>
      </c>
      <c r="O69" s="338"/>
      <c r="P69" s="338">
        <v>0</v>
      </c>
      <c r="Q69" s="338"/>
      <c r="R69" s="338">
        <v>0</v>
      </c>
      <c r="S69" s="338"/>
      <c r="T69" s="339">
        <v>0</v>
      </c>
      <c r="U69" s="288"/>
      <c r="V69" s="5"/>
    </row>
    <row r="70" spans="1:22" ht="15.6" x14ac:dyDescent="0.3">
      <c r="A70" s="337"/>
      <c r="B70" s="285"/>
      <c r="C70" s="338"/>
      <c r="D70" s="338"/>
      <c r="E70" s="338"/>
      <c r="F70" s="338"/>
      <c r="G70" s="338"/>
      <c r="H70" s="338"/>
      <c r="I70" s="338"/>
      <c r="J70" s="338"/>
      <c r="K70" s="338"/>
      <c r="L70" s="339"/>
      <c r="M70" s="338"/>
      <c r="N70" s="338"/>
      <c r="O70" s="338"/>
      <c r="P70" s="338"/>
      <c r="Q70" s="338"/>
      <c r="R70" s="338"/>
      <c r="S70" s="338"/>
      <c r="T70" s="339"/>
      <c r="U70" s="288"/>
      <c r="V70" s="5"/>
    </row>
    <row r="71" spans="1:22" ht="15.6" x14ac:dyDescent="0.3">
      <c r="A71" s="337"/>
      <c r="B71" s="285" t="s">
        <v>21</v>
      </c>
      <c r="C71" s="338"/>
      <c r="D71" s="338"/>
      <c r="E71" s="338"/>
      <c r="F71" s="338"/>
      <c r="G71" s="338"/>
      <c r="H71" s="338"/>
      <c r="I71" s="338"/>
      <c r="J71" s="338">
        <f>SUM(J68:J70)</f>
        <v>1000049</v>
      </c>
      <c r="K71" s="338"/>
      <c r="L71" s="338">
        <f>L68+L69</f>
        <v>512273</v>
      </c>
      <c r="M71" s="338"/>
      <c r="N71" s="338">
        <f>SUM(N68:N70)</f>
        <v>6228</v>
      </c>
      <c r="O71" s="338"/>
      <c r="P71" s="338">
        <f>SUM(P68:P70)</f>
        <v>37</v>
      </c>
      <c r="Q71" s="338"/>
      <c r="R71" s="338">
        <f>SUM(R68:R70)</f>
        <v>0</v>
      </c>
      <c r="S71" s="338"/>
      <c r="T71" s="338">
        <f>SUM(T68:T70)</f>
        <v>506082</v>
      </c>
      <c r="U71" s="288"/>
      <c r="V71" s="5"/>
    </row>
    <row r="72" spans="1:22" ht="15.6" x14ac:dyDescent="0.3">
      <c r="A72" s="175"/>
      <c r="B72" s="334"/>
      <c r="C72" s="335"/>
      <c r="D72" s="335"/>
      <c r="E72" s="335"/>
      <c r="F72" s="335"/>
      <c r="G72" s="335"/>
      <c r="H72" s="335"/>
      <c r="I72" s="335"/>
      <c r="J72" s="335"/>
      <c r="K72" s="335"/>
      <c r="L72" s="335"/>
      <c r="M72" s="335"/>
      <c r="N72" s="335"/>
      <c r="O72" s="335"/>
      <c r="P72" s="335"/>
      <c r="Q72" s="335"/>
      <c r="R72" s="335"/>
      <c r="S72" s="335"/>
      <c r="T72" s="336"/>
      <c r="U72" s="334"/>
      <c r="V72" s="5"/>
    </row>
    <row r="73" spans="1:22" ht="15.6" x14ac:dyDescent="0.3">
      <c r="A73" s="175"/>
      <c r="B73" s="179" t="s">
        <v>22</v>
      </c>
      <c r="C73" s="199"/>
      <c r="D73" s="199"/>
      <c r="E73" s="199"/>
      <c r="F73" s="199"/>
      <c r="G73" s="199"/>
      <c r="H73" s="199"/>
      <c r="I73" s="199"/>
      <c r="J73" s="199"/>
      <c r="K73" s="199"/>
      <c r="L73" s="199"/>
      <c r="M73" s="199"/>
      <c r="N73" s="199"/>
      <c r="O73" s="199"/>
      <c r="P73" s="199"/>
      <c r="Q73" s="199"/>
      <c r="R73" s="199"/>
      <c r="S73" s="199"/>
      <c r="T73" s="200"/>
      <c r="U73" s="177"/>
      <c r="V73" s="5"/>
    </row>
    <row r="74" spans="1:22" ht="15.6" x14ac:dyDescent="0.3">
      <c r="A74" s="175"/>
      <c r="B74" s="177"/>
      <c r="C74" s="199"/>
      <c r="D74" s="199"/>
      <c r="E74" s="199"/>
      <c r="F74" s="199"/>
      <c r="G74" s="199"/>
      <c r="H74" s="199"/>
      <c r="I74" s="199"/>
      <c r="J74" s="199"/>
      <c r="K74" s="199"/>
      <c r="L74" s="199"/>
      <c r="M74" s="199"/>
      <c r="N74" s="199"/>
      <c r="O74" s="199"/>
      <c r="P74" s="199"/>
      <c r="Q74" s="199"/>
      <c r="R74" s="199"/>
      <c r="S74" s="199"/>
      <c r="T74" s="200"/>
      <c r="U74" s="177"/>
      <c r="V74" s="5"/>
    </row>
    <row r="75" spans="1:22" ht="15.6" x14ac:dyDescent="0.3">
      <c r="A75" s="284"/>
      <c r="B75" s="285" t="s">
        <v>19</v>
      </c>
      <c r="C75" s="338"/>
      <c r="D75" s="338"/>
      <c r="E75" s="338"/>
      <c r="F75" s="338"/>
      <c r="G75" s="338"/>
      <c r="H75" s="338"/>
      <c r="I75" s="338"/>
      <c r="J75" s="338"/>
      <c r="K75" s="338"/>
      <c r="L75" s="338"/>
      <c r="M75" s="338"/>
      <c r="N75" s="338"/>
      <c r="O75" s="338"/>
      <c r="P75" s="338"/>
      <c r="Q75" s="338"/>
      <c r="R75" s="338"/>
      <c r="S75" s="338"/>
      <c r="T75" s="338"/>
      <c r="U75" s="288"/>
      <c r="V75" s="5"/>
    </row>
    <row r="76" spans="1:22" ht="15.6" x14ac:dyDescent="0.3">
      <c r="A76" s="284"/>
      <c r="B76" s="285" t="s">
        <v>20</v>
      </c>
      <c r="C76" s="338"/>
      <c r="D76" s="338"/>
      <c r="E76" s="338"/>
      <c r="F76" s="338"/>
      <c r="G76" s="338"/>
      <c r="H76" s="338"/>
      <c r="I76" s="338"/>
      <c r="J76" s="338"/>
      <c r="K76" s="338"/>
      <c r="L76" s="338"/>
      <c r="M76" s="338"/>
      <c r="N76" s="338"/>
      <c r="O76" s="338"/>
      <c r="P76" s="338"/>
      <c r="Q76" s="338"/>
      <c r="R76" s="338"/>
      <c r="S76" s="338"/>
      <c r="T76" s="338"/>
      <c r="U76" s="288"/>
      <c r="V76" s="5"/>
    </row>
    <row r="77" spans="1:22" ht="15.6" x14ac:dyDescent="0.3">
      <c r="A77" s="284"/>
      <c r="B77" s="285"/>
      <c r="C77" s="338"/>
      <c r="D77" s="338"/>
      <c r="E77" s="338"/>
      <c r="F77" s="338"/>
      <c r="G77" s="338"/>
      <c r="H77" s="338"/>
      <c r="I77" s="338"/>
      <c r="J77" s="338"/>
      <c r="K77" s="338"/>
      <c r="L77" s="338"/>
      <c r="M77" s="338"/>
      <c r="N77" s="338"/>
      <c r="O77" s="338"/>
      <c r="P77" s="338"/>
      <c r="Q77" s="338"/>
      <c r="R77" s="338"/>
      <c r="S77" s="338"/>
      <c r="T77" s="338"/>
      <c r="U77" s="288"/>
      <c r="V77" s="5"/>
    </row>
    <row r="78" spans="1:22" ht="15.6" x14ac:dyDescent="0.3">
      <c r="A78" s="284"/>
      <c r="B78" s="285" t="s">
        <v>21</v>
      </c>
      <c r="C78" s="338"/>
      <c r="D78" s="338"/>
      <c r="E78" s="338"/>
      <c r="F78" s="338"/>
      <c r="G78" s="338"/>
      <c r="H78" s="338"/>
      <c r="I78" s="338"/>
      <c r="J78" s="338"/>
      <c r="K78" s="338"/>
      <c r="L78" s="338"/>
      <c r="M78" s="338"/>
      <c r="N78" s="338"/>
      <c r="O78" s="338"/>
      <c r="P78" s="338"/>
      <c r="Q78" s="338"/>
      <c r="R78" s="338"/>
      <c r="S78" s="338"/>
      <c r="T78" s="338"/>
      <c r="U78" s="288"/>
      <c r="V78" s="5"/>
    </row>
    <row r="79" spans="1:22" ht="15.6" x14ac:dyDescent="0.3">
      <c r="A79" s="284"/>
      <c r="B79" s="285"/>
      <c r="C79" s="338"/>
      <c r="D79" s="338"/>
      <c r="E79" s="338"/>
      <c r="F79" s="338"/>
      <c r="G79" s="338"/>
      <c r="H79" s="338"/>
      <c r="I79" s="338"/>
      <c r="J79" s="338"/>
      <c r="K79" s="338"/>
      <c r="L79" s="338"/>
      <c r="M79" s="338"/>
      <c r="N79" s="338"/>
      <c r="O79" s="338"/>
      <c r="P79" s="338"/>
      <c r="Q79" s="338"/>
      <c r="R79" s="338"/>
      <c r="S79" s="338"/>
      <c r="T79" s="338"/>
      <c r="U79" s="288"/>
      <c r="V79" s="5"/>
    </row>
    <row r="80" spans="1:22" ht="15.6" x14ac:dyDescent="0.3">
      <c r="A80" s="284"/>
      <c r="B80" s="285" t="s">
        <v>23</v>
      </c>
      <c r="C80" s="338"/>
      <c r="D80" s="338"/>
      <c r="E80" s="338"/>
      <c r="F80" s="338"/>
      <c r="G80" s="338"/>
      <c r="H80" s="338"/>
      <c r="I80" s="338"/>
      <c r="J80" s="338">
        <v>0</v>
      </c>
      <c r="K80" s="338"/>
      <c r="L80" s="338">
        <v>0</v>
      </c>
      <c r="M80" s="338"/>
      <c r="N80" s="338"/>
      <c r="O80" s="338"/>
      <c r="P80" s="338"/>
      <c r="Q80" s="338"/>
      <c r="R80" s="338"/>
      <c r="S80" s="338"/>
      <c r="T80" s="339">
        <v>0</v>
      </c>
      <c r="U80" s="288"/>
      <c r="V80" s="5"/>
    </row>
    <row r="81" spans="1:22" ht="15.6" x14ac:dyDescent="0.3">
      <c r="A81" s="284"/>
      <c r="B81" s="285" t="s">
        <v>123</v>
      </c>
      <c r="C81" s="338"/>
      <c r="D81" s="338"/>
      <c r="E81" s="338"/>
      <c r="F81" s="338"/>
      <c r="G81" s="338"/>
      <c r="H81" s="338"/>
      <c r="I81" s="338"/>
      <c r="J81" s="338">
        <v>0</v>
      </c>
      <c r="K81" s="338"/>
      <c r="L81" s="338">
        <v>0</v>
      </c>
      <c r="M81" s="338"/>
      <c r="N81" s="338"/>
      <c r="O81" s="338"/>
      <c r="P81" s="338"/>
      <c r="Q81" s="338"/>
      <c r="R81" s="338"/>
      <c r="S81" s="338"/>
      <c r="T81" s="338">
        <f>SUM(J81:P81)</f>
        <v>0</v>
      </c>
      <c r="U81" s="288"/>
      <c r="V81" s="5"/>
    </row>
    <row r="82" spans="1:22" ht="15.6" x14ac:dyDescent="0.3">
      <c r="A82" s="284"/>
      <c r="B82" s="285" t="s">
        <v>152</v>
      </c>
      <c r="C82" s="338"/>
      <c r="D82" s="338"/>
      <c r="E82" s="338"/>
      <c r="F82" s="338"/>
      <c r="G82" s="338"/>
      <c r="H82" s="338"/>
      <c r="I82" s="338"/>
      <c r="J82" s="338">
        <v>1</v>
      </c>
      <c r="K82" s="338"/>
      <c r="L82" s="338">
        <v>0</v>
      </c>
      <c r="M82" s="338"/>
      <c r="N82" s="338">
        <v>0</v>
      </c>
      <c r="O82" s="338"/>
      <c r="P82" s="338"/>
      <c r="Q82" s="338"/>
      <c r="R82" s="338"/>
      <c r="S82" s="338"/>
      <c r="T82" s="338">
        <f>+L82+N82</f>
        <v>0</v>
      </c>
      <c r="U82" s="288"/>
      <c r="V82" s="5"/>
    </row>
    <row r="83" spans="1:22" ht="15.6" x14ac:dyDescent="0.3">
      <c r="A83" s="284"/>
      <c r="B83" s="285" t="s">
        <v>25</v>
      </c>
      <c r="C83" s="338"/>
      <c r="D83" s="338"/>
      <c r="E83" s="338"/>
      <c r="F83" s="338"/>
      <c r="G83" s="338"/>
      <c r="H83" s="338"/>
      <c r="I83" s="338"/>
      <c r="J83" s="338">
        <v>0</v>
      </c>
      <c r="K83" s="338"/>
      <c r="L83" s="338">
        <v>0</v>
      </c>
      <c r="M83" s="338"/>
      <c r="N83" s="338"/>
      <c r="O83" s="338"/>
      <c r="P83" s="338"/>
      <c r="Q83" s="338"/>
      <c r="R83" s="338"/>
      <c r="S83" s="338"/>
      <c r="T83" s="338">
        <v>0</v>
      </c>
      <c r="U83" s="288"/>
      <c r="V83" s="5"/>
    </row>
    <row r="84" spans="1:22" ht="15.6" x14ac:dyDescent="0.3">
      <c r="A84" s="284"/>
      <c r="B84" s="285" t="s">
        <v>26</v>
      </c>
      <c r="C84" s="338"/>
      <c r="D84" s="338"/>
      <c r="E84" s="338"/>
      <c r="F84" s="338"/>
      <c r="G84" s="338"/>
      <c r="H84" s="338"/>
      <c r="I84" s="338"/>
      <c r="J84" s="338">
        <f>SUM(J71:J83)</f>
        <v>1000050</v>
      </c>
      <c r="K84" s="338"/>
      <c r="L84" s="338">
        <f>SUM(L71:L83)</f>
        <v>512273</v>
      </c>
      <c r="M84" s="338"/>
      <c r="N84" s="338"/>
      <c r="O84" s="338"/>
      <c r="P84" s="338"/>
      <c r="Q84" s="338"/>
      <c r="R84" s="338"/>
      <c r="S84" s="338"/>
      <c r="T84" s="338">
        <f>SUM(T71:T83)</f>
        <v>506082</v>
      </c>
      <c r="U84" s="288"/>
      <c r="V84" s="5"/>
    </row>
    <row r="85" spans="1:22" ht="15.6" x14ac:dyDescent="0.3">
      <c r="A85" s="175"/>
      <c r="B85" s="334"/>
      <c r="C85" s="335"/>
      <c r="D85" s="335"/>
      <c r="E85" s="335"/>
      <c r="F85" s="335"/>
      <c r="G85" s="335"/>
      <c r="H85" s="335"/>
      <c r="I85" s="335"/>
      <c r="J85" s="335"/>
      <c r="K85" s="335"/>
      <c r="L85" s="335"/>
      <c r="M85" s="335"/>
      <c r="N85" s="335"/>
      <c r="O85" s="335"/>
      <c r="P85" s="335"/>
      <c r="Q85" s="335"/>
      <c r="R85" s="335"/>
      <c r="S85" s="335"/>
      <c r="T85" s="336"/>
      <c r="U85" s="334"/>
      <c r="V85" s="5"/>
    </row>
    <row r="86" spans="1:22" ht="15.6" x14ac:dyDescent="0.3">
      <c r="A86" s="175"/>
      <c r="B86" s="177"/>
      <c r="C86" s="177"/>
      <c r="D86" s="177"/>
      <c r="E86" s="177"/>
      <c r="F86" s="177"/>
      <c r="G86" s="177"/>
      <c r="H86" s="177"/>
      <c r="I86" s="177"/>
      <c r="J86" s="177"/>
      <c r="K86" s="177"/>
      <c r="L86" s="177"/>
      <c r="M86" s="177"/>
      <c r="N86" s="177"/>
      <c r="O86" s="177"/>
      <c r="P86" s="177"/>
      <c r="Q86" s="177"/>
      <c r="R86" s="177"/>
      <c r="S86" s="177"/>
      <c r="T86" s="177"/>
      <c r="U86" s="177"/>
      <c r="V86" s="5"/>
    </row>
    <row r="87" spans="1:22" ht="15.6" x14ac:dyDescent="0.3">
      <c r="A87" s="222"/>
      <c r="B87" s="395" t="s">
        <v>27</v>
      </c>
      <c r="C87" s="395"/>
      <c r="D87" s="395"/>
      <c r="E87" s="395"/>
      <c r="F87" s="395"/>
      <c r="G87" s="395"/>
      <c r="H87" s="396"/>
      <c r="I87" s="396"/>
      <c r="J87" s="397" t="s">
        <v>98</v>
      </c>
      <c r="K87" s="396"/>
      <c r="L87" s="398">
        <f>+R194</f>
        <v>42094</v>
      </c>
      <c r="M87" s="396"/>
      <c r="N87" s="396"/>
      <c r="O87" s="396"/>
      <c r="P87" s="396"/>
      <c r="Q87" s="396"/>
      <c r="R87" s="396" t="s">
        <v>111</v>
      </c>
      <c r="S87" s="396"/>
      <c r="T87" s="396" t="s">
        <v>119</v>
      </c>
      <c r="U87" s="223"/>
      <c r="V87" s="5"/>
    </row>
    <row r="88" spans="1:22" ht="15.6" x14ac:dyDescent="0.3">
      <c r="A88" s="190"/>
      <c r="B88" s="239" t="s">
        <v>28</v>
      </c>
      <c r="C88" s="239"/>
      <c r="D88" s="239"/>
      <c r="E88" s="239"/>
      <c r="F88" s="239"/>
      <c r="G88" s="239"/>
      <c r="H88" s="239"/>
      <c r="I88" s="239"/>
      <c r="J88" s="239"/>
      <c r="K88" s="239"/>
      <c r="L88" s="239"/>
      <c r="M88" s="239"/>
      <c r="N88" s="239"/>
      <c r="O88" s="239"/>
      <c r="P88" s="239"/>
      <c r="Q88" s="239"/>
      <c r="R88" s="243">
        <v>0</v>
      </c>
      <c r="S88" s="239"/>
      <c r="T88" s="251">
        <v>0</v>
      </c>
      <c r="U88" s="239"/>
      <c r="V88" s="5"/>
    </row>
    <row r="89" spans="1:22" ht="15.6" x14ac:dyDescent="0.3">
      <c r="A89" s="284"/>
      <c r="B89" s="285" t="s">
        <v>29</v>
      </c>
      <c r="C89" s="285"/>
      <c r="D89" s="285"/>
      <c r="E89" s="285"/>
      <c r="F89" s="285"/>
      <c r="G89" s="285"/>
      <c r="H89" s="324"/>
      <c r="I89" s="341"/>
      <c r="J89" s="324"/>
      <c r="K89" s="285"/>
      <c r="L89" s="342"/>
      <c r="M89" s="285"/>
      <c r="N89" s="285"/>
      <c r="O89" s="285"/>
      <c r="P89" s="285"/>
      <c r="Q89" s="285"/>
      <c r="R89" s="338">
        <f>6228-81</f>
        <v>6147</v>
      </c>
      <c r="S89" s="285"/>
      <c r="T89" s="339"/>
      <c r="U89" s="288"/>
      <c r="V89" s="5"/>
    </row>
    <row r="90" spans="1:22" ht="15.6" x14ac:dyDescent="0.3">
      <c r="A90" s="284"/>
      <c r="B90" s="285" t="s">
        <v>225</v>
      </c>
      <c r="C90" s="285"/>
      <c r="D90" s="285"/>
      <c r="E90" s="285"/>
      <c r="F90" s="285"/>
      <c r="G90" s="285"/>
      <c r="H90" s="324"/>
      <c r="I90" s="341"/>
      <c r="J90" s="324"/>
      <c r="K90" s="285"/>
      <c r="L90" s="342"/>
      <c r="M90" s="285"/>
      <c r="N90" s="285"/>
      <c r="O90" s="285"/>
      <c r="P90" s="285"/>
      <c r="Q90" s="285"/>
      <c r="R90" s="338"/>
      <c r="S90" s="285"/>
      <c r="T90" s="339">
        <f>1765+2279-405-707</f>
        <v>2932</v>
      </c>
      <c r="U90" s="288"/>
      <c r="V90" s="5"/>
    </row>
    <row r="91" spans="1:22" ht="15.6" x14ac:dyDescent="0.3">
      <c r="A91" s="284"/>
      <c r="B91" s="285" t="s">
        <v>220</v>
      </c>
      <c r="C91" s="285"/>
      <c r="D91" s="285"/>
      <c r="E91" s="285"/>
      <c r="F91" s="285"/>
      <c r="G91" s="285"/>
      <c r="H91" s="324"/>
      <c r="I91" s="341"/>
      <c r="J91" s="324"/>
      <c r="K91" s="285"/>
      <c r="L91" s="342"/>
      <c r="M91" s="285"/>
      <c r="N91" s="285"/>
      <c r="O91" s="285"/>
      <c r="P91" s="285"/>
      <c r="Q91" s="285"/>
      <c r="R91" s="338"/>
      <c r="S91" s="285"/>
      <c r="T91" s="339">
        <f>31+116</f>
        <v>147</v>
      </c>
      <c r="U91" s="288"/>
      <c r="V91" s="5"/>
    </row>
    <row r="92" spans="1:22" ht="15.6" x14ac:dyDescent="0.3">
      <c r="A92" s="284"/>
      <c r="B92" s="285" t="s">
        <v>221</v>
      </c>
      <c r="C92" s="285"/>
      <c r="D92" s="285"/>
      <c r="E92" s="285"/>
      <c r="F92" s="285"/>
      <c r="G92" s="285"/>
      <c r="H92" s="324"/>
      <c r="I92" s="341"/>
      <c r="J92" s="324"/>
      <c r="K92" s="285"/>
      <c r="L92" s="342"/>
      <c r="M92" s="285"/>
      <c r="N92" s="285"/>
      <c r="O92" s="285"/>
      <c r="P92" s="285"/>
      <c r="Q92" s="285"/>
      <c r="R92" s="338"/>
      <c r="S92" s="285"/>
      <c r="T92" s="339">
        <v>29</v>
      </c>
      <c r="U92" s="288"/>
      <c r="V92" s="5"/>
    </row>
    <row r="93" spans="1:22" ht="15.6" x14ac:dyDescent="0.3">
      <c r="A93" s="284"/>
      <c r="B93" s="285" t="s">
        <v>261</v>
      </c>
      <c r="C93" s="285"/>
      <c r="D93" s="285"/>
      <c r="E93" s="285"/>
      <c r="F93" s="285"/>
      <c r="G93" s="285"/>
      <c r="H93" s="324"/>
      <c r="I93" s="341"/>
      <c r="J93" s="324"/>
      <c r="K93" s="285"/>
      <c r="L93" s="342"/>
      <c r="M93" s="285"/>
      <c r="N93" s="285"/>
      <c r="O93" s="285"/>
      <c r="P93" s="285"/>
      <c r="Q93" s="285"/>
      <c r="R93" s="338"/>
      <c r="S93" s="285"/>
      <c r="T93" s="339">
        <v>0</v>
      </c>
      <c r="U93" s="288"/>
      <c r="V93" s="5"/>
    </row>
    <row r="94" spans="1:22" ht="15.6" x14ac:dyDescent="0.3">
      <c r="A94" s="284"/>
      <c r="B94" s="285" t="s">
        <v>141</v>
      </c>
      <c r="C94" s="285"/>
      <c r="D94" s="285"/>
      <c r="E94" s="285"/>
      <c r="F94" s="285"/>
      <c r="G94" s="285"/>
      <c r="H94" s="285"/>
      <c r="I94" s="285"/>
      <c r="J94" s="285"/>
      <c r="K94" s="285"/>
      <c r="L94" s="285"/>
      <c r="M94" s="285"/>
      <c r="N94" s="285"/>
      <c r="O94" s="285"/>
      <c r="P94" s="285"/>
      <c r="Q94" s="285"/>
      <c r="R94" s="338"/>
      <c r="S94" s="285"/>
      <c r="T94" s="339">
        <v>0</v>
      </c>
      <c r="U94" s="288"/>
      <c r="V94" s="5"/>
    </row>
    <row r="95" spans="1:22" ht="15.6" x14ac:dyDescent="0.3">
      <c r="A95" s="284"/>
      <c r="B95" s="285" t="s">
        <v>250</v>
      </c>
      <c r="C95" s="285"/>
      <c r="D95" s="285"/>
      <c r="E95" s="285"/>
      <c r="F95" s="285"/>
      <c r="G95" s="285"/>
      <c r="H95" s="285"/>
      <c r="I95" s="285"/>
      <c r="J95" s="285"/>
      <c r="K95" s="285"/>
      <c r="L95" s="285"/>
      <c r="M95" s="285"/>
      <c r="N95" s="285"/>
      <c r="O95" s="285"/>
      <c r="P95" s="285"/>
      <c r="Q95" s="285"/>
      <c r="R95" s="338"/>
      <c r="S95" s="285"/>
      <c r="T95" s="339">
        <v>142</v>
      </c>
      <c r="U95" s="288"/>
      <c r="V95" s="5"/>
    </row>
    <row r="96" spans="1:22" ht="15.6" x14ac:dyDescent="0.3">
      <c r="A96" s="284"/>
      <c r="B96" s="285" t="s">
        <v>30</v>
      </c>
      <c r="C96" s="285"/>
      <c r="D96" s="285"/>
      <c r="E96" s="285"/>
      <c r="F96" s="285"/>
      <c r="G96" s="285"/>
      <c r="H96" s="285"/>
      <c r="I96" s="285"/>
      <c r="J96" s="285"/>
      <c r="K96" s="285"/>
      <c r="L96" s="285"/>
      <c r="M96" s="285"/>
      <c r="N96" s="285"/>
      <c r="O96" s="285"/>
      <c r="P96" s="285"/>
      <c r="Q96" s="285"/>
      <c r="R96" s="338">
        <f>SUM(R88:R95)</f>
        <v>6147</v>
      </c>
      <c r="S96" s="285"/>
      <c r="T96" s="338">
        <f>SUM(T88:T95)</f>
        <v>3250</v>
      </c>
      <c r="U96" s="288"/>
      <c r="V96" s="5"/>
    </row>
    <row r="97" spans="1:24" ht="15.6" x14ac:dyDescent="0.3">
      <c r="A97" s="284"/>
      <c r="B97" s="285" t="s">
        <v>168</v>
      </c>
      <c r="C97" s="285"/>
      <c r="D97" s="285"/>
      <c r="E97" s="285"/>
      <c r="F97" s="285"/>
      <c r="G97" s="285"/>
      <c r="H97" s="285"/>
      <c r="I97" s="285"/>
      <c r="J97" s="285"/>
      <c r="K97" s="285"/>
      <c r="L97" s="285"/>
      <c r="M97" s="285"/>
      <c r="N97" s="285"/>
      <c r="O97" s="285"/>
      <c r="P97" s="285"/>
      <c r="Q97" s="285"/>
      <c r="R97" s="338">
        <v>0</v>
      </c>
      <c r="S97" s="285"/>
      <c r="T97" s="338">
        <f>-R97</f>
        <v>0</v>
      </c>
      <c r="U97" s="288"/>
      <c r="V97" s="5"/>
    </row>
    <row r="98" spans="1:24" ht="15.6" x14ac:dyDescent="0.3">
      <c r="A98" s="284"/>
      <c r="B98" s="285" t="s">
        <v>31</v>
      </c>
      <c r="C98" s="285"/>
      <c r="D98" s="285"/>
      <c r="E98" s="285"/>
      <c r="F98" s="285"/>
      <c r="G98" s="285"/>
      <c r="H98" s="285"/>
      <c r="I98" s="285"/>
      <c r="J98" s="285"/>
      <c r="K98" s="285"/>
      <c r="L98" s="285"/>
      <c r="M98" s="285"/>
      <c r="N98" s="285"/>
      <c r="O98" s="285"/>
      <c r="P98" s="285"/>
      <c r="Q98" s="285"/>
      <c r="R98" s="338">
        <f>-T98</f>
        <v>0</v>
      </c>
      <c r="S98" s="285"/>
      <c r="T98" s="339">
        <v>0</v>
      </c>
      <c r="U98" s="288"/>
      <c r="V98" s="5"/>
    </row>
    <row r="99" spans="1:24" ht="15.6" x14ac:dyDescent="0.3">
      <c r="A99" s="284"/>
      <c r="B99" s="285" t="s">
        <v>273</v>
      </c>
      <c r="C99" s="285"/>
      <c r="D99" s="285"/>
      <c r="E99" s="285"/>
      <c r="F99" s="285"/>
      <c r="G99" s="285"/>
      <c r="H99" s="285"/>
      <c r="I99" s="285"/>
      <c r="J99" s="285"/>
      <c r="K99" s="285"/>
      <c r="L99" s="285"/>
      <c r="M99" s="285"/>
      <c r="N99" s="285"/>
      <c r="O99" s="285"/>
      <c r="P99" s="285"/>
      <c r="Q99" s="285"/>
      <c r="R99" s="338"/>
      <c r="S99" s="285"/>
      <c r="T99" s="339">
        <v>-4</v>
      </c>
      <c r="U99" s="288"/>
      <c r="V99" s="5"/>
    </row>
    <row r="100" spans="1:24" ht="15.6" x14ac:dyDescent="0.3">
      <c r="A100" s="284"/>
      <c r="B100" s="285" t="s">
        <v>32</v>
      </c>
      <c r="C100" s="285"/>
      <c r="D100" s="285"/>
      <c r="E100" s="285"/>
      <c r="F100" s="285"/>
      <c r="G100" s="285"/>
      <c r="H100" s="285"/>
      <c r="I100" s="285"/>
      <c r="J100" s="285"/>
      <c r="K100" s="285"/>
      <c r="L100" s="285"/>
      <c r="M100" s="285"/>
      <c r="N100" s="285"/>
      <c r="O100" s="285"/>
      <c r="P100" s="285"/>
      <c r="Q100" s="285"/>
      <c r="R100" s="338">
        <f>R96+R98+R97</f>
        <v>6147</v>
      </c>
      <c r="S100" s="285"/>
      <c r="T100" s="338">
        <f>T96+T98+T97+T99</f>
        <v>3246</v>
      </c>
      <c r="U100" s="288"/>
      <c r="V100" s="5"/>
    </row>
    <row r="101" spans="1:24" ht="15.6" x14ac:dyDescent="0.3">
      <c r="A101" s="284"/>
      <c r="B101" s="343" t="s">
        <v>33</v>
      </c>
      <c r="C101" s="311"/>
      <c r="D101" s="311"/>
      <c r="E101" s="311"/>
      <c r="F101" s="311"/>
      <c r="G101" s="311"/>
      <c r="H101" s="311"/>
      <c r="I101" s="311"/>
      <c r="J101" s="311"/>
      <c r="K101" s="311"/>
      <c r="L101" s="311"/>
      <c r="M101" s="311"/>
      <c r="N101" s="311"/>
      <c r="O101" s="311"/>
      <c r="P101" s="311"/>
      <c r="Q101" s="311"/>
      <c r="R101" s="344"/>
      <c r="S101" s="311"/>
      <c r="T101" s="345"/>
      <c r="U101" s="317"/>
      <c r="V101" s="5"/>
    </row>
    <row r="102" spans="1:24" ht="15.6" x14ac:dyDescent="0.3">
      <c r="A102" s="337">
        <v>1</v>
      </c>
      <c r="B102" s="285" t="s">
        <v>34</v>
      </c>
      <c r="C102" s="285"/>
      <c r="D102" s="285"/>
      <c r="E102" s="285"/>
      <c r="F102" s="285"/>
      <c r="G102" s="285"/>
      <c r="H102" s="285"/>
      <c r="I102" s="285"/>
      <c r="J102" s="285"/>
      <c r="K102" s="285"/>
      <c r="L102" s="285"/>
      <c r="M102" s="285"/>
      <c r="N102" s="285"/>
      <c r="O102" s="285"/>
      <c r="P102" s="285"/>
      <c r="Q102" s="285"/>
      <c r="R102" s="285"/>
      <c r="S102" s="285"/>
      <c r="T102" s="339">
        <v>0</v>
      </c>
      <c r="U102" s="288"/>
      <c r="V102" s="5"/>
    </row>
    <row r="103" spans="1:24" ht="15.6" x14ac:dyDescent="0.3">
      <c r="A103" s="337">
        <f>+A102+1</f>
        <v>2</v>
      </c>
      <c r="B103" s="285" t="s">
        <v>312</v>
      </c>
      <c r="C103" s="285"/>
      <c r="D103" s="285"/>
      <c r="E103" s="285"/>
      <c r="F103" s="285"/>
      <c r="G103" s="285"/>
      <c r="H103" s="285"/>
      <c r="I103" s="285"/>
      <c r="J103" s="285"/>
      <c r="K103" s="285"/>
      <c r="L103" s="285"/>
      <c r="M103" s="285"/>
      <c r="N103" s="285"/>
      <c r="O103" s="285"/>
      <c r="P103" s="285"/>
      <c r="Q103" s="285"/>
      <c r="R103" s="285"/>
      <c r="S103" s="285"/>
      <c r="T103" s="339">
        <v>-2</v>
      </c>
      <c r="U103" s="288"/>
      <c r="V103" s="5"/>
    </row>
    <row r="104" spans="1:24" ht="15.6" x14ac:dyDescent="0.3">
      <c r="A104" s="337">
        <f>+A103+1</f>
        <v>3</v>
      </c>
      <c r="B104" s="407" t="s">
        <v>314</v>
      </c>
      <c r="C104" s="285"/>
      <c r="D104" s="285"/>
      <c r="E104" s="285"/>
      <c r="F104" s="285"/>
      <c r="G104" s="285"/>
      <c r="H104" s="285"/>
      <c r="I104" s="285"/>
      <c r="J104" s="285"/>
      <c r="K104" s="285"/>
      <c r="L104" s="285"/>
      <c r="M104" s="285"/>
      <c r="N104" s="285"/>
      <c r="O104" s="285"/>
      <c r="P104" s="285"/>
      <c r="Q104" s="285"/>
      <c r="R104" s="285"/>
      <c r="S104" s="285"/>
      <c r="T104" s="339">
        <f>-192-121-7</f>
        <v>-320</v>
      </c>
      <c r="U104" s="288"/>
      <c r="V104" s="5"/>
    </row>
    <row r="105" spans="1:24" ht="15.6" x14ac:dyDescent="0.3">
      <c r="A105" s="337" t="s">
        <v>133</v>
      </c>
      <c r="B105" s="285" t="s">
        <v>122</v>
      </c>
      <c r="C105" s="285"/>
      <c r="D105" s="285"/>
      <c r="E105" s="285"/>
      <c r="F105" s="285"/>
      <c r="G105" s="285"/>
      <c r="H105" s="285"/>
      <c r="I105" s="285"/>
      <c r="J105" s="285"/>
      <c r="K105" s="285"/>
      <c r="L105" s="285"/>
      <c r="M105" s="285"/>
      <c r="N105" s="285"/>
      <c r="O105" s="285"/>
      <c r="P105" s="285"/>
      <c r="Q105" s="285"/>
      <c r="R105" s="285"/>
      <c r="S105" s="285"/>
      <c r="T105" s="339">
        <v>0</v>
      </c>
      <c r="U105" s="288"/>
      <c r="V105" s="5"/>
    </row>
    <row r="106" spans="1:24" ht="15.6" x14ac:dyDescent="0.3">
      <c r="A106" s="337" t="s">
        <v>134</v>
      </c>
      <c r="B106" s="285" t="s">
        <v>194</v>
      </c>
      <c r="C106" s="285"/>
      <c r="D106" s="285"/>
      <c r="E106" s="285"/>
      <c r="F106" s="285"/>
      <c r="G106" s="285"/>
      <c r="H106" s="285"/>
      <c r="I106" s="285"/>
      <c r="J106" s="285"/>
      <c r="K106" s="285"/>
      <c r="L106" s="285"/>
      <c r="M106" s="285"/>
      <c r="N106" s="285"/>
      <c r="O106" s="285"/>
      <c r="P106" s="285"/>
      <c r="Q106" s="285"/>
      <c r="R106" s="285"/>
      <c r="S106" s="285"/>
      <c r="T106" s="339">
        <f>-677+129</f>
        <v>-548</v>
      </c>
      <c r="U106" s="288"/>
      <c r="V106" s="5"/>
      <c r="W106" s="109"/>
    </row>
    <row r="107" spans="1:24" ht="15.6" x14ac:dyDescent="0.3">
      <c r="A107" s="337" t="s">
        <v>156</v>
      </c>
      <c r="B107" s="285" t="s">
        <v>191</v>
      </c>
      <c r="C107" s="285"/>
      <c r="D107" s="285"/>
      <c r="E107" s="285"/>
      <c r="F107" s="285"/>
      <c r="G107" s="285"/>
      <c r="H107" s="285"/>
      <c r="I107" s="285"/>
      <c r="J107" s="285"/>
      <c r="K107" s="285"/>
      <c r="L107" s="285"/>
      <c r="M107" s="285"/>
      <c r="N107" s="285"/>
      <c r="O107" s="285"/>
      <c r="P107" s="285"/>
      <c r="Q107" s="285"/>
      <c r="R107" s="285"/>
      <c r="S107" s="285"/>
      <c r="T107" s="339">
        <v>-129</v>
      </c>
      <c r="U107" s="288"/>
      <c r="V107" s="5"/>
      <c r="W107" s="109"/>
    </row>
    <row r="108" spans="1:24" ht="15.6" x14ac:dyDescent="0.3">
      <c r="A108" s="337" t="s">
        <v>214</v>
      </c>
      <c r="B108" s="285" t="s">
        <v>192</v>
      </c>
      <c r="C108" s="285"/>
      <c r="D108" s="285"/>
      <c r="E108" s="285"/>
      <c r="F108" s="285"/>
      <c r="G108" s="285"/>
      <c r="H108" s="285"/>
      <c r="I108" s="285"/>
      <c r="J108" s="285"/>
      <c r="K108" s="285"/>
      <c r="L108" s="285"/>
      <c r="M108" s="285"/>
      <c r="N108" s="285"/>
      <c r="O108" s="285"/>
      <c r="P108" s="285"/>
      <c r="Q108" s="285"/>
      <c r="R108" s="285"/>
      <c r="S108" s="285"/>
      <c r="T108" s="339">
        <v>-149</v>
      </c>
      <c r="U108" s="288"/>
      <c r="V108" s="5"/>
      <c r="W108" s="109"/>
      <c r="X108" s="109"/>
    </row>
    <row r="109" spans="1:24" ht="15.6" x14ac:dyDescent="0.3">
      <c r="A109" s="337" t="s">
        <v>215</v>
      </c>
      <c r="B109" s="285" t="s">
        <v>193</v>
      </c>
      <c r="C109" s="285"/>
      <c r="D109" s="285"/>
      <c r="E109" s="285"/>
      <c r="F109" s="285"/>
      <c r="G109" s="285"/>
      <c r="H109" s="285"/>
      <c r="I109" s="285"/>
      <c r="J109" s="285"/>
      <c r="K109" s="285"/>
      <c r="L109" s="285"/>
      <c r="M109" s="285"/>
      <c r="N109" s="285"/>
      <c r="O109" s="285"/>
      <c r="P109" s="285"/>
      <c r="Q109" s="285"/>
      <c r="R109" s="285"/>
      <c r="S109" s="285"/>
      <c r="T109" s="339">
        <v>-41</v>
      </c>
      <c r="U109" s="288"/>
      <c r="V109" s="169"/>
      <c r="W109" s="109"/>
    </row>
    <row r="110" spans="1:24" ht="15.6" x14ac:dyDescent="0.3">
      <c r="A110" s="337" t="s">
        <v>216</v>
      </c>
      <c r="B110" s="285" t="s">
        <v>204</v>
      </c>
      <c r="C110" s="285"/>
      <c r="D110" s="285"/>
      <c r="E110" s="285"/>
      <c r="F110" s="285"/>
      <c r="G110" s="285"/>
      <c r="H110" s="285"/>
      <c r="I110" s="285"/>
      <c r="J110" s="285"/>
      <c r="K110" s="285"/>
      <c r="L110" s="285"/>
      <c r="M110" s="285"/>
      <c r="N110" s="285"/>
      <c r="O110" s="285"/>
      <c r="P110" s="285"/>
      <c r="Q110" s="285"/>
      <c r="R110" s="285"/>
      <c r="S110" s="285"/>
      <c r="T110" s="339">
        <v>-228</v>
      </c>
      <c r="U110" s="288"/>
      <c r="V110" s="5"/>
      <c r="W110" s="109"/>
    </row>
    <row r="111" spans="1:24" ht="15.6" x14ac:dyDescent="0.3">
      <c r="A111" s="406">
        <v>7</v>
      </c>
      <c r="B111" s="407" t="s">
        <v>313</v>
      </c>
      <c r="C111" s="407"/>
      <c r="D111" s="407"/>
      <c r="E111" s="407"/>
      <c r="F111" s="407"/>
      <c r="G111" s="285"/>
      <c r="H111" s="285"/>
      <c r="I111" s="285"/>
      <c r="J111" s="285"/>
      <c r="K111" s="285"/>
      <c r="L111" s="285"/>
      <c r="M111" s="285"/>
      <c r="N111" s="285"/>
      <c r="O111" s="285"/>
      <c r="P111" s="285"/>
      <c r="Q111" s="285"/>
      <c r="R111" s="285"/>
      <c r="S111" s="285"/>
      <c r="T111" s="339">
        <v>0</v>
      </c>
      <c r="U111" s="288"/>
      <c r="V111" s="5"/>
      <c r="W111" s="109"/>
    </row>
    <row r="112" spans="1:24" ht="15.6" x14ac:dyDescent="0.3">
      <c r="A112" s="337">
        <f t="shared" ref="A112:A118" si="0">+A111+1</f>
        <v>8</v>
      </c>
      <c r="B112" s="285" t="s">
        <v>35</v>
      </c>
      <c r="C112" s="285"/>
      <c r="D112" s="285"/>
      <c r="E112" s="285"/>
      <c r="F112" s="285"/>
      <c r="G112" s="285"/>
      <c r="H112" s="285"/>
      <c r="I112" s="285"/>
      <c r="J112" s="285"/>
      <c r="K112" s="285"/>
      <c r="L112" s="285"/>
      <c r="M112" s="285"/>
      <c r="N112" s="285"/>
      <c r="O112" s="285"/>
      <c r="P112" s="285"/>
      <c r="Q112" s="285"/>
      <c r="R112" s="285"/>
      <c r="S112" s="285"/>
      <c r="T112" s="339">
        <v>-10</v>
      </c>
      <c r="U112" s="288"/>
      <c r="V112" s="5"/>
    </row>
    <row r="113" spans="1:22" ht="15.6" x14ac:dyDescent="0.3">
      <c r="A113" s="337">
        <f t="shared" si="0"/>
        <v>9</v>
      </c>
      <c r="B113" s="285" t="s">
        <v>46</v>
      </c>
      <c r="C113" s="285"/>
      <c r="D113" s="285"/>
      <c r="E113" s="285"/>
      <c r="F113" s="285"/>
      <c r="G113" s="285"/>
      <c r="H113" s="285"/>
      <c r="I113" s="285"/>
      <c r="J113" s="285"/>
      <c r="K113" s="285"/>
      <c r="L113" s="285"/>
      <c r="M113" s="285"/>
      <c r="N113" s="285"/>
      <c r="O113" s="285"/>
      <c r="P113" s="285"/>
      <c r="Q113" s="285"/>
      <c r="R113" s="338">
        <f>-T113</f>
        <v>81</v>
      </c>
      <c r="S113" s="285"/>
      <c r="T113" s="339">
        <v>-81</v>
      </c>
      <c r="U113" s="288"/>
      <c r="V113" s="5"/>
    </row>
    <row r="114" spans="1:22" ht="15.6" x14ac:dyDescent="0.3">
      <c r="A114" s="337">
        <f t="shared" si="0"/>
        <v>10</v>
      </c>
      <c r="B114" s="285" t="s">
        <v>131</v>
      </c>
      <c r="C114" s="285"/>
      <c r="D114" s="285"/>
      <c r="E114" s="285"/>
      <c r="F114" s="285"/>
      <c r="G114" s="285"/>
      <c r="H114" s="285"/>
      <c r="I114" s="285"/>
      <c r="J114" s="285"/>
      <c r="K114" s="285"/>
      <c r="L114" s="285"/>
      <c r="M114" s="285"/>
      <c r="N114" s="285"/>
      <c r="O114" s="285"/>
      <c r="P114" s="285"/>
      <c r="Q114" s="285"/>
      <c r="R114" s="285"/>
      <c r="S114" s="285"/>
      <c r="T114" s="339">
        <v>0</v>
      </c>
      <c r="U114" s="288"/>
      <c r="V114" s="5"/>
    </row>
    <row r="115" spans="1:22" ht="15.6" x14ac:dyDescent="0.3">
      <c r="A115" s="337">
        <f t="shared" si="0"/>
        <v>11</v>
      </c>
      <c r="B115" s="285" t="s">
        <v>36</v>
      </c>
      <c r="C115" s="285"/>
      <c r="D115" s="285"/>
      <c r="E115" s="285"/>
      <c r="F115" s="285"/>
      <c r="G115" s="285"/>
      <c r="H115" s="285"/>
      <c r="I115" s="285"/>
      <c r="J115" s="285"/>
      <c r="K115" s="285"/>
      <c r="L115" s="285"/>
      <c r="M115" s="285"/>
      <c r="N115" s="285"/>
      <c r="O115" s="285"/>
      <c r="P115" s="285"/>
      <c r="Q115" s="285"/>
      <c r="R115" s="285"/>
      <c r="S115" s="285"/>
      <c r="T115" s="339">
        <v>0</v>
      </c>
      <c r="U115" s="288"/>
      <c r="V115" s="5"/>
    </row>
    <row r="116" spans="1:22" ht="15.6" x14ac:dyDescent="0.3">
      <c r="A116" s="337">
        <f t="shared" si="0"/>
        <v>12</v>
      </c>
      <c r="B116" s="285" t="s">
        <v>37</v>
      </c>
      <c r="C116" s="285"/>
      <c r="D116" s="285"/>
      <c r="E116" s="285"/>
      <c r="F116" s="285"/>
      <c r="G116" s="285"/>
      <c r="H116" s="285"/>
      <c r="I116" s="285"/>
      <c r="J116" s="285"/>
      <c r="K116" s="285"/>
      <c r="L116" s="285"/>
      <c r="M116" s="285"/>
      <c r="N116" s="285"/>
      <c r="O116" s="285"/>
      <c r="P116" s="285"/>
      <c r="Q116" s="285"/>
      <c r="R116" s="285"/>
      <c r="S116" s="285"/>
      <c r="T116" s="339">
        <v>0</v>
      </c>
      <c r="U116" s="288"/>
      <c r="V116" s="5"/>
    </row>
    <row r="117" spans="1:22" ht="15.6" x14ac:dyDescent="0.3">
      <c r="A117" s="337">
        <f t="shared" si="0"/>
        <v>13</v>
      </c>
      <c r="B117" s="285" t="s">
        <v>155</v>
      </c>
      <c r="C117" s="285"/>
      <c r="D117" s="285"/>
      <c r="E117" s="285"/>
      <c r="F117" s="285"/>
      <c r="G117" s="285"/>
      <c r="H117" s="285"/>
      <c r="I117" s="285"/>
      <c r="J117" s="285"/>
      <c r="K117" s="285"/>
      <c r="L117" s="285"/>
      <c r="M117" s="285"/>
      <c r="N117" s="285"/>
      <c r="O117" s="285"/>
      <c r="P117" s="285"/>
      <c r="Q117" s="285"/>
      <c r="R117" s="285"/>
      <c r="S117" s="285"/>
      <c r="T117" s="339">
        <v>-192</v>
      </c>
      <c r="U117" s="288"/>
      <c r="V117" s="5"/>
    </row>
    <row r="118" spans="1:22" ht="15.6" x14ac:dyDescent="0.3">
      <c r="A118" s="337">
        <f t="shared" si="0"/>
        <v>14</v>
      </c>
      <c r="B118" s="285" t="s">
        <v>132</v>
      </c>
      <c r="C118" s="285"/>
      <c r="D118" s="285"/>
      <c r="E118" s="285"/>
      <c r="F118" s="285"/>
      <c r="G118" s="285"/>
      <c r="H118" s="285"/>
      <c r="I118" s="285"/>
      <c r="J118" s="285"/>
      <c r="K118" s="285"/>
      <c r="L118" s="285"/>
      <c r="M118" s="285"/>
      <c r="N118" s="285"/>
      <c r="O118" s="285"/>
      <c r="P118" s="285"/>
      <c r="Q118" s="285"/>
      <c r="R118" s="285"/>
      <c r="S118" s="285"/>
      <c r="T118" s="339">
        <f>-T100-SUM(T102:T117)</f>
        <v>-1546</v>
      </c>
      <c r="U118" s="288"/>
      <c r="V118" s="5"/>
    </row>
    <row r="119" spans="1:22" ht="15.6" x14ac:dyDescent="0.3">
      <c r="A119" s="284"/>
      <c r="B119" s="343" t="s">
        <v>38</v>
      </c>
      <c r="C119" s="311"/>
      <c r="D119" s="311"/>
      <c r="E119" s="311"/>
      <c r="F119" s="311"/>
      <c r="G119" s="311"/>
      <c r="H119" s="311"/>
      <c r="I119" s="311"/>
      <c r="J119" s="311"/>
      <c r="K119" s="311"/>
      <c r="L119" s="311"/>
      <c r="M119" s="311"/>
      <c r="N119" s="311"/>
      <c r="O119" s="311"/>
      <c r="P119" s="311"/>
      <c r="Q119" s="311"/>
      <c r="R119" s="311"/>
      <c r="S119" s="311"/>
      <c r="T119" s="346"/>
      <c r="U119" s="317"/>
      <c r="V119" s="5"/>
    </row>
    <row r="120" spans="1:22" ht="15.6" x14ac:dyDescent="0.3">
      <c r="A120" s="337"/>
      <c r="B120" s="285" t="s">
        <v>180</v>
      </c>
      <c r="C120" s="285"/>
      <c r="D120" s="285"/>
      <c r="E120" s="285"/>
      <c r="F120" s="285"/>
      <c r="G120" s="285"/>
      <c r="H120" s="285"/>
      <c r="I120" s="285"/>
      <c r="J120" s="285"/>
      <c r="K120" s="285"/>
      <c r="L120" s="285"/>
      <c r="M120" s="285"/>
      <c r="N120" s="285"/>
      <c r="O120" s="285"/>
      <c r="P120" s="285"/>
      <c r="Q120" s="285"/>
      <c r="R120" s="338">
        <f>-R178</f>
        <v>0</v>
      </c>
      <c r="S120" s="338"/>
      <c r="T120" s="339"/>
      <c r="U120" s="288"/>
      <c r="V120" s="5"/>
    </row>
    <row r="121" spans="1:22" ht="15.6" x14ac:dyDescent="0.3">
      <c r="A121" s="337"/>
      <c r="B121" s="285" t="s">
        <v>181</v>
      </c>
      <c r="C121" s="285"/>
      <c r="D121" s="285"/>
      <c r="E121" s="285"/>
      <c r="F121" s="285"/>
      <c r="G121" s="285"/>
      <c r="H121" s="285"/>
      <c r="I121" s="285"/>
      <c r="J121" s="285"/>
      <c r="K121" s="285"/>
      <c r="L121" s="285"/>
      <c r="M121" s="285"/>
      <c r="N121" s="285"/>
      <c r="O121" s="285"/>
      <c r="P121" s="285"/>
      <c r="Q121" s="285"/>
      <c r="R121" s="338">
        <v>0</v>
      </c>
      <c r="S121" s="338"/>
      <c r="T121" s="339"/>
      <c r="U121" s="288"/>
      <c r="V121" s="5"/>
    </row>
    <row r="122" spans="1:22" ht="15.6" x14ac:dyDescent="0.3">
      <c r="A122" s="337"/>
      <c r="B122" s="285" t="s">
        <v>39</v>
      </c>
      <c r="C122" s="285"/>
      <c r="D122" s="285"/>
      <c r="E122" s="285"/>
      <c r="F122" s="285"/>
      <c r="G122" s="285"/>
      <c r="H122" s="285"/>
      <c r="I122" s="285"/>
      <c r="J122" s="285"/>
      <c r="K122" s="285"/>
      <c r="L122" s="285"/>
      <c r="M122" s="285"/>
      <c r="N122" s="285"/>
      <c r="O122" s="285"/>
      <c r="P122" s="285"/>
      <c r="Q122" s="285"/>
      <c r="R122" s="338">
        <f>-Q178</f>
        <v>-37</v>
      </c>
      <c r="S122" s="338"/>
      <c r="T122" s="339"/>
      <c r="U122" s="288"/>
      <c r="V122" s="5"/>
    </row>
    <row r="123" spans="1:22" ht="15.6" x14ac:dyDescent="0.3">
      <c r="A123" s="337"/>
      <c r="B123" s="285" t="s">
        <v>205</v>
      </c>
      <c r="C123" s="285"/>
      <c r="D123" s="285"/>
      <c r="E123" s="285"/>
      <c r="F123" s="285"/>
      <c r="G123" s="285"/>
      <c r="H123" s="285"/>
      <c r="I123" s="285"/>
      <c r="J123" s="285"/>
      <c r="K123" s="285"/>
      <c r="L123" s="285"/>
      <c r="M123" s="285"/>
      <c r="N123" s="285"/>
      <c r="O123" s="285"/>
      <c r="P123" s="285"/>
      <c r="Q123" s="285"/>
      <c r="R123" s="338">
        <v>-4049</v>
      </c>
      <c r="S123" s="338"/>
      <c r="T123" s="339"/>
      <c r="U123" s="288"/>
      <c r="V123" s="5"/>
    </row>
    <row r="124" spans="1:22" ht="15.6" x14ac:dyDescent="0.3">
      <c r="A124" s="337"/>
      <c r="B124" s="285" t="s">
        <v>203</v>
      </c>
      <c r="C124" s="285"/>
      <c r="D124" s="285"/>
      <c r="E124" s="285"/>
      <c r="F124" s="285"/>
      <c r="G124" s="285"/>
      <c r="H124" s="285"/>
      <c r="I124" s="285"/>
      <c r="J124" s="285"/>
      <c r="K124" s="285"/>
      <c r="L124" s="285"/>
      <c r="M124" s="285"/>
      <c r="N124" s="285"/>
      <c r="O124" s="285"/>
      <c r="P124" s="285"/>
      <c r="Q124" s="285"/>
      <c r="R124" s="338">
        <v>-1067</v>
      </c>
      <c r="S124" s="338"/>
      <c r="T124" s="339"/>
      <c r="U124" s="288"/>
      <c r="V124" s="5"/>
    </row>
    <row r="125" spans="1:22" ht="15.6" x14ac:dyDescent="0.3">
      <c r="A125" s="337"/>
      <c r="B125" s="285" t="s">
        <v>202</v>
      </c>
      <c r="C125" s="285"/>
      <c r="D125" s="285"/>
      <c r="E125" s="285"/>
      <c r="F125" s="285"/>
      <c r="G125" s="285"/>
      <c r="H125" s="285"/>
      <c r="I125" s="285"/>
      <c r="J125" s="285"/>
      <c r="K125" s="285"/>
      <c r="L125" s="285"/>
      <c r="M125" s="285"/>
      <c r="N125" s="285"/>
      <c r="O125" s="285"/>
      <c r="P125" s="285"/>
      <c r="Q125" s="285"/>
      <c r="R125" s="338">
        <v>-1075</v>
      </c>
      <c r="S125" s="338"/>
      <c r="T125" s="339"/>
      <c r="U125" s="288"/>
      <c r="V125" s="5"/>
    </row>
    <row r="126" spans="1:22" ht="15.6" x14ac:dyDescent="0.3">
      <c r="A126" s="337"/>
      <c r="B126" s="285" t="s">
        <v>197</v>
      </c>
      <c r="C126" s="285"/>
      <c r="D126" s="285"/>
      <c r="E126" s="285"/>
      <c r="F126" s="285"/>
      <c r="G126" s="285"/>
      <c r="H126" s="285"/>
      <c r="I126" s="285"/>
      <c r="J126" s="285"/>
      <c r="K126" s="285"/>
      <c r="L126" s="285"/>
      <c r="M126" s="285"/>
      <c r="N126" s="285"/>
      <c r="O126" s="285"/>
      <c r="P126" s="285"/>
      <c r="Q126" s="285"/>
      <c r="R126" s="338">
        <v>0</v>
      </c>
      <c r="S126" s="338"/>
      <c r="T126" s="339"/>
      <c r="U126" s="288"/>
      <c r="V126" s="5"/>
    </row>
    <row r="127" spans="1:22" ht="15.6" x14ac:dyDescent="0.3">
      <c r="A127" s="337"/>
      <c r="B127" s="285" t="s">
        <v>196</v>
      </c>
      <c r="C127" s="285"/>
      <c r="D127" s="285"/>
      <c r="E127" s="285"/>
      <c r="F127" s="285"/>
      <c r="G127" s="285"/>
      <c r="H127" s="285"/>
      <c r="I127" s="285"/>
      <c r="J127" s="285"/>
      <c r="K127" s="285"/>
      <c r="L127" s="285"/>
      <c r="M127" s="285"/>
      <c r="N127" s="285"/>
      <c r="O127" s="285"/>
      <c r="P127" s="285"/>
      <c r="Q127" s="285"/>
      <c r="R127" s="338">
        <v>0</v>
      </c>
      <c r="S127" s="338"/>
      <c r="T127" s="339"/>
      <c r="U127" s="288"/>
      <c r="V127" s="5"/>
    </row>
    <row r="128" spans="1:22" ht="15.6" x14ac:dyDescent="0.3">
      <c r="A128" s="337"/>
      <c r="B128" s="285" t="s">
        <v>195</v>
      </c>
      <c r="C128" s="285"/>
      <c r="D128" s="285"/>
      <c r="E128" s="285"/>
      <c r="F128" s="285"/>
      <c r="G128" s="285"/>
      <c r="H128" s="285"/>
      <c r="I128" s="285"/>
      <c r="J128" s="285"/>
      <c r="K128" s="285"/>
      <c r="L128" s="285"/>
      <c r="M128" s="285"/>
      <c r="N128" s="285"/>
      <c r="O128" s="285"/>
      <c r="P128" s="285"/>
      <c r="Q128" s="285"/>
      <c r="R128" s="338">
        <v>0</v>
      </c>
      <c r="S128" s="338"/>
      <c r="T128" s="339"/>
      <c r="U128" s="288"/>
      <c r="V128" s="5"/>
    </row>
    <row r="129" spans="1:22" ht="15.6" x14ac:dyDescent="0.3">
      <c r="A129" s="337"/>
      <c r="B129" s="285" t="s">
        <v>40</v>
      </c>
      <c r="C129" s="285"/>
      <c r="D129" s="285"/>
      <c r="E129" s="285"/>
      <c r="F129" s="285"/>
      <c r="G129" s="285"/>
      <c r="H129" s="285"/>
      <c r="I129" s="285"/>
      <c r="J129" s="285"/>
      <c r="K129" s="285"/>
      <c r="L129" s="285"/>
      <c r="M129" s="285"/>
      <c r="N129" s="285"/>
      <c r="O129" s="285"/>
      <c r="P129" s="285"/>
      <c r="Q129" s="285"/>
      <c r="R129" s="338">
        <f>SUM(R120:R128)</f>
        <v>-6228</v>
      </c>
      <c r="S129" s="338"/>
      <c r="T129" s="338">
        <f>SUM(T101:T127)</f>
        <v>-3246</v>
      </c>
      <c r="U129" s="288"/>
      <c r="V129" s="5"/>
    </row>
    <row r="130" spans="1:22" ht="15.6" x14ac:dyDescent="0.3">
      <c r="A130" s="337"/>
      <c r="B130" s="285" t="s">
        <v>41</v>
      </c>
      <c r="C130" s="285"/>
      <c r="D130" s="285"/>
      <c r="E130" s="285"/>
      <c r="F130" s="285"/>
      <c r="G130" s="285"/>
      <c r="H130" s="285"/>
      <c r="I130" s="285"/>
      <c r="J130" s="285"/>
      <c r="K130" s="285"/>
      <c r="L130" s="285"/>
      <c r="M130" s="285"/>
      <c r="N130" s="285"/>
      <c r="O130" s="285"/>
      <c r="P130" s="285"/>
      <c r="Q130" s="285"/>
      <c r="R130" s="338">
        <f>R100+R129+R113</f>
        <v>0</v>
      </c>
      <c r="S130" s="338"/>
      <c r="T130" s="338">
        <f>T100+T129</f>
        <v>0</v>
      </c>
      <c r="U130" s="288"/>
      <c r="V130" s="5"/>
    </row>
    <row r="131" spans="1:22" ht="15.6" x14ac:dyDescent="0.3">
      <c r="A131" s="256"/>
      <c r="B131" s="281"/>
      <c r="C131" s="281"/>
      <c r="D131" s="281"/>
      <c r="E131" s="281"/>
      <c r="F131" s="281"/>
      <c r="G131" s="281"/>
      <c r="H131" s="281"/>
      <c r="I131" s="281"/>
      <c r="J131" s="281"/>
      <c r="K131" s="281"/>
      <c r="L131" s="281"/>
      <c r="M131" s="281"/>
      <c r="N131" s="281"/>
      <c r="O131" s="281"/>
      <c r="P131" s="281"/>
      <c r="Q131" s="281"/>
      <c r="R131" s="340"/>
      <c r="S131" s="340"/>
      <c r="T131" s="340"/>
      <c r="U131" s="281"/>
      <c r="V131" s="5"/>
    </row>
    <row r="132" spans="1:22" ht="15.6" x14ac:dyDescent="0.3">
      <c r="A132" s="256"/>
      <c r="B132" s="231"/>
      <c r="C132" s="231"/>
      <c r="D132" s="231"/>
      <c r="E132" s="231"/>
      <c r="F132" s="231"/>
      <c r="G132" s="231"/>
      <c r="H132" s="231"/>
      <c r="I132" s="231"/>
      <c r="J132" s="231"/>
      <c r="K132" s="231"/>
      <c r="L132" s="231"/>
      <c r="M132" s="231"/>
      <c r="N132" s="231"/>
      <c r="O132" s="231"/>
      <c r="P132" s="231"/>
      <c r="Q132" s="231"/>
      <c r="R132" s="231"/>
      <c r="S132" s="231"/>
      <c r="T132" s="257"/>
      <c r="U132" s="231"/>
      <c r="V132" s="5"/>
    </row>
    <row r="133" spans="1:22" ht="18" thickBot="1" x14ac:dyDescent="0.35">
      <c r="A133" s="258"/>
      <c r="B133" s="246" t="str">
        <f>B64</f>
        <v>PM11 INVESTOR REPORT QUARTER ENDING MARCH 2015</v>
      </c>
      <c r="C133" s="247"/>
      <c r="D133" s="247"/>
      <c r="E133" s="247"/>
      <c r="F133" s="247"/>
      <c r="G133" s="247"/>
      <c r="H133" s="247"/>
      <c r="I133" s="247"/>
      <c r="J133" s="247"/>
      <c r="K133" s="247"/>
      <c r="L133" s="247"/>
      <c r="M133" s="247"/>
      <c r="N133" s="247"/>
      <c r="O133" s="247"/>
      <c r="P133" s="247"/>
      <c r="Q133" s="247"/>
      <c r="R133" s="247"/>
      <c r="S133" s="247"/>
      <c r="T133" s="259"/>
      <c r="U133" s="249"/>
      <c r="V133" s="5"/>
    </row>
    <row r="134" spans="1:22" ht="15.6" x14ac:dyDescent="0.3">
      <c r="A134" s="260"/>
      <c r="B134" s="399" t="s">
        <v>42</v>
      </c>
      <c r="C134" s="261"/>
      <c r="D134" s="261"/>
      <c r="E134" s="261"/>
      <c r="F134" s="261"/>
      <c r="G134" s="261"/>
      <c r="H134" s="261"/>
      <c r="I134" s="261"/>
      <c r="J134" s="261"/>
      <c r="K134" s="261"/>
      <c r="L134" s="261"/>
      <c r="M134" s="261"/>
      <c r="N134" s="261"/>
      <c r="O134" s="261"/>
      <c r="P134" s="261"/>
      <c r="Q134" s="261"/>
      <c r="R134" s="261"/>
      <c r="S134" s="261"/>
      <c r="T134" s="262"/>
      <c r="U134" s="261"/>
      <c r="V134" s="5"/>
    </row>
    <row r="135" spans="1:22" ht="15.6" x14ac:dyDescent="0.3">
      <c r="A135" s="175"/>
      <c r="B135" s="187"/>
      <c r="C135" s="177"/>
      <c r="D135" s="177"/>
      <c r="E135" s="177"/>
      <c r="F135" s="177"/>
      <c r="G135" s="177"/>
      <c r="H135" s="177"/>
      <c r="I135" s="177"/>
      <c r="J135" s="177"/>
      <c r="K135" s="177"/>
      <c r="L135" s="177"/>
      <c r="M135" s="177"/>
      <c r="N135" s="177"/>
      <c r="O135" s="177"/>
      <c r="P135" s="177"/>
      <c r="Q135" s="177"/>
      <c r="R135" s="177"/>
      <c r="S135" s="177"/>
      <c r="T135" s="194"/>
      <c r="U135" s="177"/>
      <c r="V135" s="5"/>
    </row>
    <row r="136" spans="1:22" ht="15.6" x14ac:dyDescent="0.3">
      <c r="A136" s="175"/>
      <c r="B136" s="201" t="s">
        <v>43</v>
      </c>
      <c r="C136" s="177"/>
      <c r="D136" s="177"/>
      <c r="E136" s="177"/>
      <c r="F136" s="177"/>
      <c r="G136" s="177"/>
      <c r="H136" s="177"/>
      <c r="I136" s="177"/>
      <c r="J136" s="177"/>
      <c r="K136" s="177"/>
      <c r="L136" s="177"/>
      <c r="M136" s="177"/>
      <c r="N136" s="177"/>
      <c r="O136" s="177"/>
      <c r="P136" s="177"/>
      <c r="Q136" s="177"/>
      <c r="R136" s="177"/>
      <c r="S136" s="177"/>
      <c r="T136" s="194"/>
      <c r="U136" s="177"/>
      <c r="V136" s="5"/>
    </row>
    <row r="137" spans="1:22" ht="15.6" x14ac:dyDescent="0.3">
      <c r="A137" s="284"/>
      <c r="B137" s="285" t="s">
        <v>44</v>
      </c>
      <c r="C137" s="285"/>
      <c r="D137" s="285"/>
      <c r="E137" s="285"/>
      <c r="F137" s="285"/>
      <c r="G137" s="285"/>
      <c r="H137" s="285"/>
      <c r="I137" s="285"/>
      <c r="J137" s="285"/>
      <c r="K137" s="285"/>
      <c r="L137" s="285"/>
      <c r="M137" s="285"/>
      <c r="N137" s="285"/>
      <c r="O137" s="285"/>
      <c r="P137" s="285"/>
      <c r="Q137" s="285"/>
      <c r="R137" s="285"/>
      <c r="S137" s="285"/>
      <c r="T137" s="339">
        <f>+T34*0.019</f>
        <v>19000.95</v>
      </c>
      <c r="U137" s="288"/>
      <c r="V137" s="5"/>
    </row>
    <row r="138" spans="1:22" ht="15.6" x14ac:dyDescent="0.3">
      <c r="A138" s="284"/>
      <c r="B138" s="285" t="s">
        <v>45</v>
      </c>
      <c r="C138" s="285"/>
      <c r="D138" s="285"/>
      <c r="E138" s="285"/>
      <c r="F138" s="285"/>
      <c r="G138" s="285"/>
      <c r="H138" s="285"/>
      <c r="I138" s="285"/>
      <c r="J138" s="285"/>
      <c r="K138" s="285"/>
      <c r="L138" s="285"/>
      <c r="M138" s="285"/>
      <c r="N138" s="285"/>
      <c r="O138" s="285"/>
      <c r="P138" s="285"/>
      <c r="Q138" s="285"/>
      <c r="R138" s="285"/>
      <c r="S138" s="285"/>
      <c r="T138" s="339">
        <v>19001</v>
      </c>
      <c r="U138" s="288"/>
      <c r="V138" s="5"/>
    </row>
    <row r="139" spans="1:22" ht="15.6" x14ac:dyDescent="0.3">
      <c r="A139" s="284"/>
      <c r="B139" s="285" t="s">
        <v>142</v>
      </c>
      <c r="C139" s="285"/>
      <c r="D139" s="285"/>
      <c r="E139" s="285"/>
      <c r="F139" s="285"/>
      <c r="G139" s="285"/>
      <c r="H139" s="285"/>
      <c r="I139" s="285"/>
      <c r="J139" s="285"/>
      <c r="K139" s="285"/>
      <c r="L139" s="285"/>
      <c r="M139" s="285"/>
      <c r="N139" s="285"/>
      <c r="O139" s="285"/>
      <c r="P139" s="285"/>
      <c r="Q139" s="285"/>
      <c r="R139" s="285"/>
      <c r="S139" s="285"/>
      <c r="T139" s="339">
        <v>0</v>
      </c>
      <c r="U139" s="288"/>
      <c r="V139" s="5"/>
    </row>
    <row r="140" spans="1:22" ht="15.6" x14ac:dyDescent="0.3">
      <c r="A140" s="284"/>
      <c r="B140" s="285" t="s">
        <v>129</v>
      </c>
      <c r="C140" s="285"/>
      <c r="D140" s="285"/>
      <c r="E140" s="285"/>
      <c r="F140" s="285"/>
      <c r="G140" s="285"/>
      <c r="H140" s="285"/>
      <c r="I140" s="285"/>
      <c r="J140" s="285"/>
      <c r="K140" s="285"/>
      <c r="L140" s="285"/>
      <c r="M140" s="285"/>
      <c r="N140" s="285"/>
      <c r="O140" s="285"/>
      <c r="P140" s="285"/>
      <c r="Q140" s="285"/>
      <c r="R140" s="285"/>
      <c r="S140" s="285"/>
      <c r="T140" s="339">
        <v>0</v>
      </c>
      <c r="U140" s="288"/>
      <c r="V140" s="5"/>
    </row>
    <row r="141" spans="1:22" ht="15.6" x14ac:dyDescent="0.3">
      <c r="A141" s="284"/>
      <c r="B141" s="285" t="s">
        <v>130</v>
      </c>
      <c r="C141" s="285"/>
      <c r="D141" s="285"/>
      <c r="E141" s="285"/>
      <c r="F141" s="285"/>
      <c r="G141" s="285"/>
      <c r="H141" s="285"/>
      <c r="I141" s="285"/>
      <c r="J141" s="285"/>
      <c r="K141" s="285"/>
      <c r="L141" s="285"/>
      <c r="M141" s="285"/>
      <c r="N141" s="285"/>
      <c r="O141" s="285"/>
      <c r="P141" s="285"/>
      <c r="Q141" s="285"/>
      <c r="R141" s="285"/>
      <c r="S141" s="285"/>
      <c r="T141" s="339">
        <v>0</v>
      </c>
      <c r="U141" s="288"/>
      <c r="V141" s="5"/>
    </row>
    <row r="142" spans="1:22" ht="15.6" x14ac:dyDescent="0.3">
      <c r="A142" s="284"/>
      <c r="B142" s="285" t="s">
        <v>182</v>
      </c>
      <c r="C142" s="285"/>
      <c r="D142" s="285"/>
      <c r="E142" s="285"/>
      <c r="F142" s="285"/>
      <c r="G142" s="285"/>
      <c r="H142" s="285"/>
      <c r="I142" s="285"/>
      <c r="J142" s="285"/>
      <c r="K142" s="285"/>
      <c r="L142" s="285"/>
      <c r="M142" s="285"/>
      <c r="N142" s="285"/>
      <c r="O142" s="285"/>
      <c r="P142" s="285"/>
      <c r="Q142" s="285"/>
      <c r="R142" s="285"/>
      <c r="S142" s="285"/>
      <c r="T142" s="339">
        <v>0</v>
      </c>
      <c r="U142" s="288"/>
      <c r="V142" s="5"/>
    </row>
    <row r="143" spans="1:22" ht="15.6" x14ac:dyDescent="0.3">
      <c r="A143" s="284"/>
      <c r="B143" s="285" t="s">
        <v>46</v>
      </c>
      <c r="C143" s="285"/>
      <c r="D143" s="285"/>
      <c r="E143" s="285"/>
      <c r="F143" s="285"/>
      <c r="G143" s="285"/>
      <c r="H143" s="285"/>
      <c r="I143" s="285"/>
      <c r="J143" s="285"/>
      <c r="K143" s="285"/>
      <c r="L143" s="285"/>
      <c r="M143" s="285"/>
      <c r="N143" s="285"/>
      <c r="O143" s="285"/>
      <c r="P143" s="285"/>
      <c r="Q143" s="285"/>
      <c r="R143" s="285"/>
      <c r="S143" s="285"/>
      <c r="T143" s="339">
        <v>0</v>
      </c>
      <c r="U143" s="288"/>
      <c r="V143" s="5"/>
    </row>
    <row r="144" spans="1:22" ht="15.6" x14ac:dyDescent="0.3">
      <c r="A144" s="284"/>
      <c r="B144" s="285" t="s">
        <v>135</v>
      </c>
      <c r="C144" s="285"/>
      <c r="D144" s="285"/>
      <c r="E144" s="285"/>
      <c r="F144" s="285"/>
      <c r="G144" s="285"/>
      <c r="H144" s="285"/>
      <c r="I144" s="285"/>
      <c r="J144" s="285"/>
      <c r="K144" s="285"/>
      <c r="L144" s="285"/>
      <c r="M144" s="285"/>
      <c r="N144" s="285"/>
      <c r="O144" s="285"/>
      <c r="P144" s="285"/>
      <c r="Q144" s="285"/>
      <c r="R144" s="285"/>
      <c r="S144" s="285"/>
      <c r="T144" s="339">
        <v>0</v>
      </c>
      <c r="U144" s="288"/>
      <c r="V144" s="5"/>
    </row>
    <row r="145" spans="1:23" ht="15.6" x14ac:dyDescent="0.3">
      <c r="A145" s="284"/>
      <c r="B145" s="285" t="s">
        <v>251</v>
      </c>
      <c r="C145" s="285"/>
      <c r="D145" s="285"/>
      <c r="E145" s="285"/>
      <c r="F145" s="285"/>
      <c r="G145" s="285"/>
      <c r="H145" s="285"/>
      <c r="I145" s="285"/>
      <c r="J145" s="285"/>
      <c r="K145" s="285"/>
      <c r="L145" s="285"/>
      <c r="M145" s="285"/>
      <c r="N145" s="285"/>
      <c r="O145" s="285"/>
      <c r="P145" s="285"/>
      <c r="Q145" s="285"/>
      <c r="R145" s="285"/>
      <c r="S145" s="285"/>
      <c r="T145" s="339">
        <v>0</v>
      </c>
      <c r="U145" s="288"/>
      <c r="V145" s="5"/>
      <c r="W145" s="109"/>
    </row>
    <row r="146" spans="1:23" ht="15.6" x14ac:dyDescent="0.3">
      <c r="A146" s="284"/>
      <c r="B146" s="285" t="s">
        <v>47</v>
      </c>
      <c r="C146" s="285"/>
      <c r="D146" s="285"/>
      <c r="E146" s="285"/>
      <c r="F146" s="285"/>
      <c r="G146" s="285"/>
      <c r="H146" s="285"/>
      <c r="I146" s="285"/>
      <c r="J146" s="285"/>
      <c r="K146" s="285"/>
      <c r="L146" s="285"/>
      <c r="M146" s="285"/>
      <c r="N146" s="285"/>
      <c r="O146" s="285"/>
      <c r="P146" s="285"/>
      <c r="Q146" s="285"/>
      <c r="R146" s="285"/>
      <c r="S146" s="285"/>
      <c r="T146" s="339">
        <f>SUM(T138:T145)</f>
        <v>19001</v>
      </c>
      <c r="U146" s="288"/>
      <c r="V146" s="5"/>
    </row>
    <row r="147" spans="1:23" ht="15.6" x14ac:dyDescent="0.3">
      <c r="A147" s="284"/>
      <c r="B147" s="311"/>
      <c r="C147" s="311"/>
      <c r="D147" s="311"/>
      <c r="E147" s="311"/>
      <c r="F147" s="311"/>
      <c r="G147" s="311"/>
      <c r="H147" s="311"/>
      <c r="I147" s="311"/>
      <c r="J147" s="311"/>
      <c r="K147" s="311"/>
      <c r="L147" s="311"/>
      <c r="M147" s="311"/>
      <c r="N147" s="311"/>
      <c r="O147" s="311"/>
      <c r="P147" s="311"/>
      <c r="Q147" s="311"/>
      <c r="R147" s="311"/>
      <c r="S147" s="311"/>
      <c r="T147" s="345"/>
      <c r="U147" s="317"/>
      <c r="V147" s="5"/>
    </row>
    <row r="148" spans="1:23" ht="15.6" x14ac:dyDescent="0.3">
      <c r="A148" s="284"/>
      <c r="B148" s="343" t="s">
        <v>262</v>
      </c>
      <c r="C148" s="311"/>
      <c r="D148" s="311"/>
      <c r="E148" s="311"/>
      <c r="F148" s="311"/>
      <c r="G148" s="311"/>
      <c r="H148" s="311"/>
      <c r="I148" s="311"/>
      <c r="J148" s="311"/>
      <c r="K148" s="311"/>
      <c r="L148" s="311"/>
      <c r="M148" s="311"/>
      <c r="N148" s="311"/>
      <c r="O148" s="311"/>
      <c r="P148" s="311"/>
      <c r="Q148" s="311"/>
      <c r="R148" s="311"/>
      <c r="S148" s="311"/>
      <c r="T148" s="345"/>
      <c r="U148" s="317"/>
      <c r="V148" s="5"/>
    </row>
    <row r="149" spans="1:23" ht="15.6" x14ac:dyDescent="0.3">
      <c r="A149" s="284"/>
      <c r="B149" s="285" t="s">
        <v>263</v>
      </c>
      <c r="C149" s="285"/>
      <c r="D149" s="285"/>
      <c r="E149" s="285"/>
      <c r="F149" s="285"/>
      <c r="G149" s="285"/>
      <c r="H149" s="285"/>
      <c r="I149" s="285"/>
      <c r="J149" s="285"/>
      <c r="K149" s="285"/>
      <c r="L149" s="285"/>
      <c r="M149" s="285"/>
      <c r="N149" s="285"/>
      <c r="O149" s="285"/>
      <c r="P149" s="285"/>
      <c r="Q149" s="285"/>
      <c r="R149" s="285"/>
      <c r="S149" s="285"/>
      <c r="T149" s="339">
        <v>0</v>
      </c>
      <c r="U149" s="288"/>
      <c r="V149" s="5"/>
    </row>
    <row r="150" spans="1:23" ht="15.6" x14ac:dyDescent="0.3">
      <c r="A150" s="284"/>
      <c r="B150" s="285" t="s">
        <v>179</v>
      </c>
      <c r="C150" s="285"/>
      <c r="D150" s="285"/>
      <c r="E150" s="285"/>
      <c r="F150" s="285"/>
      <c r="G150" s="285"/>
      <c r="H150" s="285"/>
      <c r="I150" s="285"/>
      <c r="J150" s="285"/>
      <c r="K150" s="285"/>
      <c r="L150" s="285"/>
      <c r="M150" s="285"/>
      <c r="N150" s="285"/>
      <c r="O150" s="285"/>
      <c r="P150" s="285"/>
      <c r="Q150" s="285"/>
      <c r="R150" s="285"/>
      <c r="S150" s="285"/>
      <c r="T150" s="339">
        <v>0</v>
      </c>
      <c r="U150" s="288"/>
      <c r="V150" s="5"/>
    </row>
    <row r="151" spans="1:23" ht="15.6" x14ac:dyDescent="0.3">
      <c r="A151" s="284"/>
      <c r="B151" s="285" t="s">
        <v>264</v>
      </c>
      <c r="C151" s="285"/>
      <c r="D151" s="285"/>
      <c r="E151" s="285"/>
      <c r="F151" s="285"/>
      <c r="G151" s="285"/>
      <c r="H151" s="285"/>
      <c r="I151" s="285"/>
      <c r="J151" s="285"/>
      <c r="K151" s="285"/>
      <c r="L151" s="285"/>
      <c r="M151" s="285"/>
      <c r="N151" s="285"/>
      <c r="O151" s="285"/>
      <c r="P151" s="285"/>
      <c r="Q151" s="285"/>
      <c r="R151" s="285"/>
      <c r="S151" s="285"/>
      <c r="T151" s="339">
        <v>0</v>
      </c>
      <c r="U151" s="288"/>
      <c r="V151" s="5"/>
    </row>
    <row r="152" spans="1:23" ht="15.6" x14ac:dyDescent="0.3">
      <c r="A152" s="284"/>
      <c r="B152" s="285"/>
      <c r="C152" s="285"/>
      <c r="D152" s="285"/>
      <c r="E152" s="285"/>
      <c r="F152" s="285"/>
      <c r="G152" s="285"/>
      <c r="H152" s="285"/>
      <c r="I152" s="285"/>
      <c r="J152" s="285"/>
      <c r="K152" s="285"/>
      <c r="L152" s="285"/>
      <c r="M152" s="285"/>
      <c r="N152" s="285"/>
      <c r="O152" s="285"/>
      <c r="P152" s="285"/>
      <c r="Q152" s="285"/>
      <c r="R152" s="285"/>
      <c r="S152" s="285"/>
      <c r="T152" s="339"/>
      <c r="U152" s="288"/>
      <c r="V152" s="5"/>
    </row>
    <row r="153" spans="1:23" ht="15.6" x14ac:dyDescent="0.3">
      <c r="A153" s="175"/>
      <c r="B153" s="334"/>
      <c r="C153" s="334"/>
      <c r="D153" s="334"/>
      <c r="E153" s="334"/>
      <c r="F153" s="334"/>
      <c r="G153" s="334"/>
      <c r="H153" s="334"/>
      <c r="I153" s="334"/>
      <c r="J153" s="334"/>
      <c r="K153" s="334"/>
      <c r="L153" s="334"/>
      <c r="M153" s="334"/>
      <c r="N153" s="334"/>
      <c r="O153" s="334"/>
      <c r="P153" s="334"/>
      <c r="Q153" s="334"/>
      <c r="R153" s="334"/>
      <c r="S153" s="334"/>
      <c r="T153" s="347"/>
      <c r="U153" s="334"/>
      <c r="V153" s="5"/>
    </row>
    <row r="154" spans="1:23" ht="15.6" x14ac:dyDescent="0.3">
      <c r="A154" s="175"/>
      <c r="B154" s="201" t="s">
        <v>24</v>
      </c>
      <c r="C154" s="177"/>
      <c r="D154" s="177"/>
      <c r="E154" s="177"/>
      <c r="F154" s="177"/>
      <c r="G154" s="177"/>
      <c r="H154" s="177"/>
      <c r="I154" s="177"/>
      <c r="J154" s="177"/>
      <c r="K154" s="177"/>
      <c r="L154" s="177"/>
      <c r="M154" s="177"/>
      <c r="N154" s="177"/>
      <c r="O154" s="177"/>
      <c r="P154" s="177"/>
      <c r="Q154" s="177"/>
      <c r="R154" s="177"/>
      <c r="S154" s="177"/>
      <c r="T154" s="194"/>
      <c r="U154" s="177"/>
      <c r="V154" s="5"/>
    </row>
    <row r="155" spans="1:23" ht="15.6" x14ac:dyDescent="0.3">
      <c r="A155" s="284"/>
      <c r="B155" s="285" t="s">
        <v>48</v>
      </c>
      <c r="C155" s="285"/>
      <c r="D155" s="285"/>
      <c r="E155" s="285"/>
      <c r="F155" s="285"/>
      <c r="G155" s="285"/>
      <c r="H155" s="285"/>
      <c r="I155" s="285"/>
      <c r="J155" s="285"/>
      <c r="K155" s="285"/>
      <c r="L155" s="285"/>
      <c r="M155" s="285"/>
      <c r="N155" s="285"/>
      <c r="O155" s="285"/>
      <c r="P155" s="285"/>
      <c r="Q155" s="285"/>
      <c r="R155" s="285"/>
      <c r="S155" s="285"/>
      <c r="T155" s="348" t="s">
        <v>124</v>
      </c>
      <c r="U155" s="288"/>
      <c r="V155" s="5"/>
    </row>
    <row r="156" spans="1:23" ht="15.6" x14ac:dyDescent="0.3">
      <c r="A156" s="284"/>
      <c r="B156" s="285" t="s">
        <v>49</v>
      </c>
      <c r="C156" s="287"/>
      <c r="D156" s="287"/>
      <c r="E156" s="287"/>
      <c r="F156" s="287"/>
      <c r="G156" s="287"/>
      <c r="H156" s="287"/>
      <c r="I156" s="287"/>
      <c r="J156" s="287"/>
      <c r="K156" s="287"/>
      <c r="L156" s="287"/>
      <c r="M156" s="287"/>
      <c r="N156" s="287"/>
      <c r="O156" s="287"/>
      <c r="P156" s="287"/>
      <c r="Q156" s="287"/>
      <c r="R156" s="287"/>
      <c r="S156" s="287"/>
      <c r="T156" s="348" t="s">
        <v>124</v>
      </c>
      <c r="U156" s="288"/>
      <c r="V156" s="5"/>
    </row>
    <row r="157" spans="1:23" ht="15.6" x14ac:dyDescent="0.3">
      <c r="A157" s="284"/>
      <c r="B157" s="285" t="s">
        <v>50</v>
      </c>
      <c r="C157" s="285"/>
      <c r="D157" s="285"/>
      <c r="E157" s="285"/>
      <c r="F157" s="285"/>
      <c r="G157" s="285"/>
      <c r="H157" s="285"/>
      <c r="I157" s="285"/>
      <c r="J157" s="285"/>
      <c r="K157" s="285"/>
      <c r="L157" s="285"/>
      <c r="M157" s="285"/>
      <c r="N157" s="285"/>
      <c r="O157" s="285"/>
      <c r="P157" s="285"/>
      <c r="Q157" s="285"/>
      <c r="R157" s="285"/>
      <c r="S157" s="285"/>
      <c r="T157" s="348" t="s">
        <v>124</v>
      </c>
      <c r="U157" s="288"/>
      <c r="V157" s="5"/>
    </row>
    <row r="158" spans="1:23" ht="15.6" x14ac:dyDescent="0.3">
      <c r="A158" s="284"/>
      <c r="B158" s="285" t="s">
        <v>51</v>
      </c>
      <c r="C158" s="285"/>
      <c r="D158" s="285"/>
      <c r="E158" s="285"/>
      <c r="F158" s="285"/>
      <c r="G158" s="285"/>
      <c r="H158" s="285"/>
      <c r="I158" s="285"/>
      <c r="J158" s="285"/>
      <c r="K158" s="285"/>
      <c r="L158" s="285"/>
      <c r="M158" s="285"/>
      <c r="N158" s="285"/>
      <c r="O158" s="285"/>
      <c r="P158" s="285"/>
      <c r="Q158" s="285"/>
      <c r="R158" s="285"/>
      <c r="S158" s="285"/>
      <c r="T158" s="348" t="s">
        <v>124</v>
      </c>
      <c r="U158" s="288"/>
      <c r="V158" s="5"/>
    </row>
    <row r="159" spans="1:23" ht="15.6" x14ac:dyDescent="0.3">
      <c r="A159" s="175"/>
      <c r="B159" s="334"/>
      <c r="C159" s="334"/>
      <c r="D159" s="334"/>
      <c r="E159" s="334"/>
      <c r="F159" s="334"/>
      <c r="G159" s="334"/>
      <c r="H159" s="334"/>
      <c r="I159" s="334"/>
      <c r="J159" s="334"/>
      <c r="K159" s="334"/>
      <c r="L159" s="334"/>
      <c r="M159" s="334"/>
      <c r="N159" s="334"/>
      <c r="O159" s="334"/>
      <c r="P159" s="334"/>
      <c r="Q159" s="334"/>
      <c r="R159" s="334"/>
      <c r="S159" s="334"/>
      <c r="T159" s="347"/>
      <c r="U159" s="334"/>
      <c r="V159" s="5"/>
    </row>
    <row r="160" spans="1:23" ht="15.6" x14ac:dyDescent="0.3">
      <c r="A160" s="175"/>
      <c r="B160" s="201" t="s">
        <v>52</v>
      </c>
      <c r="C160" s="177"/>
      <c r="D160" s="177"/>
      <c r="E160" s="177"/>
      <c r="F160" s="177"/>
      <c r="G160" s="177"/>
      <c r="H160" s="177"/>
      <c r="I160" s="177"/>
      <c r="J160" s="177"/>
      <c r="K160" s="177"/>
      <c r="L160" s="177"/>
      <c r="M160" s="177"/>
      <c r="N160" s="177"/>
      <c r="O160" s="177"/>
      <c r="P160" s="177"/>
      <c r="Q160" s="177"/>
      <c r="R160" s="177"/>
      <c r="S160" s="177"/>
      <c r="T160" s="202"/>
      <c r="U160" s="177"/>
      <c r="V160" s="5"/>
    </row>
    <row r="161" spans="1:22" ht="15.6" x14ac:dyDescent="0.3">
      <c r="A161" s="284"/>
      <c r="B161" s="285" t="s">
        <v>53</v>
      </c>
      <c r="C161" s="285"/>
      <c r="D161" s="285"/>
      <c r="E161" s="285"/>
      <c r="F161" s="285"/>
      <c r="G161" s="285"/>
      <c r="H161" s="285"/>
      <c r="I161" s="285"/>
      <c r="J161" s="285"/>
      <c r="K161" s="285"/>
      <c r="L161" s="285"/>
      <c r="M161" s="285"/>
      <c r="N161" s="285"/>
      <c r="O161" s="285"/>
      <c r="P161" s="285"/>
      <c r="Q161" s="285"/>
      <c r="R161" s="285"/>
      <c r="S161" s="285"/>
      <c r="T161" s="339">
        <v>0</v>
      </c>
      <c r="U161" s="288"/>
      <c r="V161" s="5"/>
    </row>
    <row r="162" spans="1:22" ht="15.6" x14ac:dyDescent="0.3">
      <c r="A162" s="284"/>
      <c r="B162" s="285" t="s">
        <v>54</v>
      </c>
      <c r="C162" s="285"/>
      <c r="D162" s="285"/>
      <c r="E162" s="285"/>
      <c r="F162" s="285"/>
      <c r="G162" s="285"/>
      <c r="H162" s="285"/>
      <c r="I162" s="285"/>
      <c r="J162" s="285"/>
      <c r="K162" s="285"/>
      <c r="L162" s="285"/>
      <c r="M162" s="285"/>
      <c r="N162" s="285"/>
      <c r="O162" s="285"/>
      <c r="P162" s="285"/>
      <c r="Q162" s="285"/>
      <c r="R162" s="285"/>
      <c r="S162" s="285"/>
      <c r="T162" s="339">
        <f>R113</f>
        <v>81</v>
      </c>
      <c r="U162" s="288"/>
      <c r="V162" s="5"/>
    </row>
    <row r="163" spans="1:22" ht="15.6" x14ac:dyDescent="0.3">
      <c r="A163" s="284"/>
      <c r="B163" s="285" t="s">
        <v>55</v>
      </c>
      <c r="C163" s="285"/>
      <c r="D163" s="285"/>
      <c r="E163" s="285"/>
      <c r="F163" s="285"/>
      <c r="G163" s="285"/>
      <c r="H163" s="285"/>
      <c r="I163" s="285"/>
      <c r="J163" s="285"/>
      <c r="K163" s="285"/>
      <c r="L163" s="285"/>
      <c r="M163" s="285"/>
      <c r="N163" s="285"/>
      <c r="O163" s="285"/>
      <c r="P163" s="285"/>
      <c r="Q163" s="285"/>
      <c r="R163" s="285"/>
      <c r="S163" s="285"/>
      <c r="T163" s="339">
        <f>T162+T161</f>
        <v>81</v>
      </c>
      <c r="U163" s="288"/>
      <c r="V163" s="5"/>
    </row>
    <row r="164" spans="1:22" ht="15.6" x14ac:dyDescent="0.3">
      <c r="A164" s="284"/>
      <c r="B164" s="285" t="s">
        <v>301</v>
      </c>
      <c r="C164" s="285"/>
      <c r="D164" s="285"/>
      <c r="E164" s="285"/>
      <c r="F164" s="285"/>
      <c r="G164" s="285"/>
      <c r="H164" s="285"/>
      <c r="I164" s="285"/>
      <c r="J164" s="285"/>
      <c r="K164" s="285"/>
      <c r="L164" s="285"/>
      <c r="M164" s="285"/>
      <c r="N164" s="285"/>
      <c r="O164" s="285"/>
      <c r="P164" s="285"/>
      <c r="Q164" s="285"/>
      <c r="R164" s="285"/>
      <c r="S164" s="285"/>
      <c r="T164" s="339">
        <f>T113</f>
        <v>-81</v>
      </c>
      <c r="U164" s="288"/>
      <c r="V164" s="5"/>
    </row>
    <row r="165" spans="1:22" ht="15.6" x14ac:dyDescent="0.3">
      <c r="A165" s="284"/>
      <c r="B165" s="285" t="s">
        <v>56</v>
      </c>
      <c r="C165" s="285"/>
      <c r="D165" s="285"/>
      <c r="E165" s="285"/>
      <c r="F165" s="285"/>
      <c r="G165" s="285"/>
      <c r="H165" s="285"/>
      <c r="I165" s="285"/>
      <c r="J165" s="285"/>
      <c r="K165" s="285"/>
      <c r="L165" s="285"/>
      <c r="M165" s="285"/>
      <c r="N165" s="285"/>
      <c r="O165" s="285"/>
      <c r="P165" s="285"/>
      <c r="Q165" s="285"/>
      <c r="R165" s="285"/>
      <c r="S165" s="285"/>
      <c r="T165" s="339">
        <f>T163+T164</f>
        <v>0</v>
      </c>
      <c r="U165" s="288"/>
      <c r="V165" s="5"/>
    </row>
    <row r="166" spans="1:22" ht="15.6" x14ac:dyDescent="0.3">
      <c r="A166" s="284"/>
      <c r="B166" s="285" t="s">
        <v>273</v>
      </c>
      <c r="C166" s="285"/>
      <c r="D166" s="285"/>
      <c r="E166" s="285"/>
      <c r="F166" s="285"/>
      <c r="G166" s="285"/>
      <c r="H166" s="285"/>
      <c r="I166" s="285"/>
      <c r="J166" s="285"/>
      <c r="K166" s="285"/>
      <c r="L166" s="285"/>
      <c r="M166" s="285"/>
      <c r="N166" s="285"/>
      <c r="O166" s="285"/>
      <c r="P166" s="285"/>
      <c r="Q166" s="285"/>
      <c r="R166" s="285"/>
      <c r="S166" s="285"/>
      <c r="T166" s="339">
        <v>0</v>
      </c>
      <c r="U166" s="288"/>
      <c r="V166" s="5"/>
    </row>
    <row r="167" spans="1:22" ht="16.2" thickBot="1" x14ac:dyDescent="0.35">
      <c r="A167" s="175"/>
      <c r="B167" s="334"/>
      <c r="C167" s="334"/>
      <c r="D167" s="334"/>
      <c r="E167" s="334"/>
      <c r="F167" s="334"/>
      <c r="G167" s="334"/>
      <c r="H167" s="334"/>
      <c r="I167" s="334"/>
      <c r="J167" s="334"/>
      <c r="K167" s="334"/>
      <c r="L167" s="334"/>
      <c r="M167" s="334"/>
      <c r="N167" s="334"/>
      <c r="O167" s="334"/>
      <c r="P167" s="334"/>
      <c r="Q167" s="334"/>
      <c r="R167" s="334"/>
      <c r="S167" s="334"/>
      <c r="T167" s="347"/>
      <c r="U167" s="334"/>
      <c r="V167" s="5"/>
    </row>
    <row r="168" spans="1:22" ht="15.6" x14ac:dyDescent="0.3">
      <c r="A168" s="173"/>
      <c r="B168" s="174"/>
      <c r="C168" s="174"/>
      <c r="D168" s="174"/>
      <c r="E168" s="174"/>
      <c r="F168" s="174"/>
      <c r="G168" s="174"/>
      <c r="H168" s="174"/>
      <c r="I168" s="174"/>
      <c r="J168" s="174"/>
      <c r="K168" s="174"/>
      <c r="L168" s="174"/>
      <c r="M168" s="174"/>
      <c r="N168" s="174"/>
      <c r="O168" s="174"/>
      <c r="P168" s="174"/>
      <c r="Q168" s="174"/>
      <c r="R168" s="174"/>
      <c r="S168" s="174"/>
      <c r="T168" s="193"/>
      <c r="U168" s="174"/>
      <c r="V168" s="5"/>
    </row>
    <row r="169" spans="1:22" ht="15.6" x14ac:dyDescent="0.3">
      <c r="A169" s="175"/>
      <c r="B169" s="201" t="s">
        <v>57</v>
      </c>
      <c r="C169" s="177"/>
      <c r="D169" s="177"/>
      <c r="E169" s="177"/>
      <c r="F169" s="177"/>
      <c r="G169" s="177"/>
      <c r="H169" s="177"/>
      <c r="I169" s="177"/>
      <c r="J169" s="177"/>
      <c r="K169" s="177"/>
      <c r="L169" s="177"/>
      <c r="M169" s="177"/>
      <c r="N169" s="177"/>
      <c r="O169" s="177"/>
      <c r="P169" s="177"/>
      <c r="Q169" s="177"/>
      <c r="R169" s="177"/>
      <c r="S169" s="177"/>
      <c r="T169" s="194"/>
      <c r="U169" s="177"/>
      <c r="V169" s="5"/>
    </row>
    <row r="170" spans="1:22" ht="15.6" x14ac:dyDescent="0.3">
      <c r="A170" s="175"/>
      <c r="B170" s="187"/>
      <c r="C170" s="177"/>
      <c r="D170" s="177"/>
      <c r="E170" s="177"/>
      <c r="F170" s="177"/>
      <c r="G170" s="177"/>
      <c r="H170" s="177"/>
      <c r="I170" s="177"/>
      <c r="J170" s="177"/>
      <c r="K170" s="177"/>
      <c r="L170" s="177"/>
      <c r="M170" s="177"/>
      <c r="N170" s="177"/>
      <c r="O170" s="177"/>
      <c r="P170" s="177"/>
      <c r="Q170" s="177"/>
      <c r="R170" s="177"/>
      <c r="S170" s="177"/>
      <c r="T170" s="194"/>
      <c r="U170" s="177"/>
      <c r="V170" s="5"/>
    </row>
    <row r="171" spans="1:22" ht="15.6" x14ac:dyDescent="0.3">
      <c r="A171" s="284"/>
      <c r="B171" s="285" t="s">
        <v>58</v>
      </c>
      <c r="C171" s="285"/>
      <c r="D171" s="285"/>
      <c r="E171" s="285"/>
      <c r="F171" s="285"/>
      <c r="G171" s="285"/>
      <c r="H171" s="285"/>
      <c r="I171" s="285"/>
      <c r="J171" s="285"/>
      <c r="K171" s="285"/>
      <c r="L171" s="285"/>
      <c r="M171" s="285"/>
      <c r="N171" s="285"/>
      <c r="O171" s="285"/>
      <c r="P171" s="285"/>
      <c r="Q171" s="285"/>
      <c r="R171" s="285"/>
      <c r="S171" s="285"/>
      <c r="T171" s="339">
        <f>T71</f>
        <v>506082</v>
      </c>
      <c r="U171" s="288"/>
      <c r="V171" s="5"/>
    </row>
    <row r="172" spans="1:22" ht="15.6" x14ac:dyDescent="0.3">
      <c r="A172" s="284"/>
      <c r="B172" s="285" t="s">
        <v>59</v>
      </c>
      <c r="C172" s="285"/>
      <c r="D172" s="285"/>
      <c r="E172" s="285"/>
      <c r="F172" s="285"/>
      <c r="G172" s="285"/>
      <c r="H172" s="285"/>
      <c r="I172" s="285"/>
      <c r="J172" s="285"/>
      <c r="K172" s="285"/>
      <c r="L172" s="285"/>
      <c r="M172" s="285"/>
      <c r="N172" s="285"/>
      <c r="O172" s="285"/>
      <c r="P172" s="285"/>
      <c r="Q172" s="285"/>
      <c r="R172" s="285"/>
      <c r="S172" s="285"/>
      <c r="T172" s="339">
        <f>T84</f>
        <v>506082</v>
      </c>
      <c r="U172" s="288"/>
      <c r="V172" s="5"/>
    </row>
    <row r="173" spans="1:22" ht="16.2" thickBot="1" x14ac:dyDescent="0.35">
      <c r="A173" s="175"/>
      <c r="B173" s="334"/>
      <c r="C173" s="334"/>
      <c r="D173" s="334"/>
      <c r="E173" s="334"/>
      <c r="F173" s="334"/>
      <c r="G173" s="334"/>
      <c r="H173" s="334"/>
      <c r="I173" s="334"/>
      <c r="J173" s="334"/>
      <c r="K173" s="334"/>
      <c r="L173" s="334"/>
      <c r="M173" s="334"/>
      <c r="N173" s="334"/>
      <c r="O173" s="334"/>
      <c r="P173" s="334"/>
      <c r="Q173" s="334"/>
      <c r="R173" s="334"/>
      <c r="S173" s="334"/>
      <c r="T173" s="347"/>
      <c r="U173" s="334"/>
      <c r="V173" s="5"/>
    </row>
    <row r="174" spans="1:22" ht="15.6" x14ac:dyDescent="0.3">
      <c r="A174" s="173"/>
      <c r="B174" s="174"/>
      <c r="C174" s="174"/>
      <c r="D174" s="174"/>
      <c r="E174" s="174"/>
      <c r="F174" s="174"/>
      <c r="G174" s="174"/>
      <c r="H174" s="174"/>
      <c r="I174" s="174"/>
      <c r="J174" s="174"/>
      <c r="K174" s="174"/>
      <c r="L174" s="174"/>
      <c r="M174" s="174"/>
      <c r="N174" s="174"/>
      <c r="O174" s="174"/>
      <c r="P174" s="174"/>
      <c r="Q174" s="174"/>
      <c r="R174" s="174"/>
      <c r="S174" s="174"/>
      <c r="T174" s="193"/>
      <c r="U174" s="174"/>
      <c r="V174" s="5"/>
    </row>
    <row r="175" spans="1:22" ht="15.6" x14ac:dyDescent="0.3">
      <c r="A175" s="175"/>
      <c r="B175" s="201" t="s">
        <v>60</v>
      </c>
      <c r="C175" s="198"/>
      <c r="D175" s="198"/>
      <c r="E175" s="198"/>
      <c r="F175" s="198"/>
      <c r="G175" s="198"/>
      <c r="H175" s="203"/>
      <c r="I175" s="203"/>
      <c r="J175" s="203"/>
      <c r="K175" s="203"/>
      <c r="L175" s="203"/>
      <c r="M175" s="203"/>
      <c r="N175" s="203"/>
      <c r="O175" s="203"/>
      <c r="P175" s="203"/>
      <c r="Q175" s="203" t="s">
        <v>104</v>
      </c>
      <c r="R175" s="203" t="s">
        <v>183</v>
      </c>
      <c r="S175" s="179"/>
      <c r="T175" s="204" t="s">
        <v>120</v>
      </c>
      <c r="U175" s="205"/>
      <c r="V175" s="5"/>
    </row>
    <row r="176" spans="1:22" ht="15.6" x14ac:dyDescent="0.3">
      <c r="A176" s="284"/>
      <c r="B176" s="285" t="s">
        <v>61</v>
      </c>
      <c r="C176" s="285"/>
      <c r="D176" s="285"/>
      <c r="E176" s="285"/>
      <c r="F176" s="285"/>
      <c r="G176" s="285"/>
      <c r="H176" s="285"/>
      <c r="I176" s="285"/>
      <c r="J176" s="285"/>
      <c r="K176" s="285"/>
      <c r="L176" s="285"/>
      <c r="M176" s="285"/>
      <c r="N176" s="285"/>
      <c r="O176" s="285"/>
      <c r="P176" s="285"/>
      <c r="Q176" s="339">
        <v>160008</v>
      </c>
      <c r="R176" s="324"/>
      <c r="S176" s="285"/>
      <c r="T176" s="339"/>
      <c r="U176" s="288"/>
      <c r="V176" s="5"/>
    </row>
    <row r="177" spans="1:22" ht="15.6" x14ac:dyDescent="0.3">
      <c r="A177" s="284"/>
      <c r="B177" s="285" t="s">
        <v>62</v>
      </c>
      <c r="C177" s="285"/>
      <c r="D177" s="285"/>
      <c r="E177" s="285"/>
      <c r="F177" s="285"/>
      <c r="G177" s="285"/>
      <c r="H177" s="285"/>
      <c r="I177" s="285"/>
      <c r="J177" s="285"/>
      <c r="K177" s="285"/>
      <c r="L177" s="285"/>
      <c r="M177" s="285"/>
      <c r="N177" s="285"/>
      <c r="O177" s="285"/>
      <c r="P177" s="285"/>
      <c r="Q177" s="339">
        <f>+'Dec 14'!Q179</f>
        <v>38226</v>
      </c>
      <c r="R177" s="339">
        <f>+'Dec 14'!R179</f>
        <v>3447</v>
      </c>
      <c r="S177" s="285"/>
      <c r="T177" s="339">
        <f>Q177+R177</f>
        <v>41673</v>
      </c>
      <c r="U177" s="288"/>
      <c r="V177" s="5"/>
    </row>
    <row r="178" spans="1:22" ht="15.6" x14ac:dyDescent="0.3">
      <c r="A178" s="284"/>
      <c r="B178" s="285" t="s">
        <v>63</v>
      </c>
      <c r="C178" s="285"/>
      <c r="D178" s="285"/>
      <c r="E178" s="285"/>
      <c r="F178" s="285"/>
      <c r="G178" s="285"/>
      <c r="H178" s="285"/>
      <c r="I178" s="285"/>
      <c r="J178" s="285"/>
      <c r="K178" s="285"/>
      <c r="L178" s="285"/>
      <c r="M178" s="285"/>
      <c r="N178" s="285"/>
      <c r="O178" s="285"/>
      <c r="P178" s="285"/>
      <c r="Q178" s="338">
        <v>37</v>
      </c>
      <c r="R178" s="338">
        <v>0</v>
      </c>
      <c r="S178" s="285"/>
      <c r="T178" s="339">
        <f>Q178+R178</f>
        <v>37</v>
      </c>
      <c r="U178" s="288"/>
      <c r="V178" s="5"/>
    </row>
    <row r="179" spans="1:22" ht="15.6" x14ac:dyDescent="0.3">
      <c r="A179" s="284"/>
      <c r="B179" s="285" t="s">
        <v>64</v>
      </c>
      <c r="C179" s="285"/>
      <c r="D179" s="285"/>
      <c r="E179" s="285"/>
      <c r="F179" s="285"/>
      <c r="G179" s="285"/>
      <c r="H179" s="285"/>
      <c r="I179" s="285"/>
      <c r="J179" s="285"/>
      <c r="K179" s="285"/>
      <c r="L179" s="285"/>
      <c r="M179" s="285"/>
      <c r="N179" s="285"/>
      <c r="O179" s="285"/>
      <c r="P179" s="285"/>
      <c r="Q179" s="339">
        <f>Q177+Q178</f>
        <v>38263</v>
      </c>
      <c r="R179" s="339">
        <f>R178+R177</f>
        <v>3447</v>
      </c>
      <c r="S179" s="285"/>
      <c r="T179" s="339">
        <f>Q179+R179</f>
        <v>41710</v>
      </c>
      <c r="U179" s="288"/>
      <c r="V179" s="5"/>
    </row>
    <row r="180" spans="1:22" ht="15.6" x14ac:dyDescent="0.3">
      <c r="A180" s="284"/>
      <c r="B180" s="285" t="s">
        <v>65</v>
      </c>
      <c r="C180" s="285"/>
      <c r="D180" s="285"/>
      <c r="E180" s="285"/>
      <c r="F180" s="285"/>
      <c r="G180" s="285"/>
      <c r="H180" s="285"/>
      <c r="I180" s="285"/>
      <c r="J180" s="285"/>
      <c r="K180" s="285"/>
      <c r="L180" s="285"/>
      <c r="M180" s="285"/>
      <c r="N180" s="285"/>
      <c r="O180" s="285"/>
      <c r="P180" s="285"/>
      <c r="Q180" s="339">
        <f>Q176-Q179-R179</f>
        <v>118298</v>
      </c>
      <c r="R180" s="324"/>
      <c r="S180" s="285"/>
      <c r="T180" s="339"/>
      <c r="U180" s="288"/>
      <c r="V180" s="5"/>
    </row>
    <row r="181" spans="1:22" ht="16.2" thickBot="1" x14ac:dyDescent="0.35">
      <c r="A181" s="175"/>
      <c r="B181" s="334"/>
      <c r="C181" s="334"/>
      <c r="D181" s="334"/>
      <c r="E181" s="334"/>
      <c r="F181" s="334"/>
      <c r="G181" s="334"/>
      <c r="H181" s="334"/>
      <c r="I181" s="334"/>
      <c r="J181" s="334"/>
      <c r="K181" s="334"/>
      <c r="L181" s="334"/>
      <c r="M181" s="334"/>
      <c r="N181" s="334"/>
      <c r="O181" s="334"/>
      <c r="P181" s="334"/>
      <c r="Q181" s="334"/>
      <c r="R181" s="334"/>
      <c r="S181" s="334"/>
      <c r="T181" s="347"/>
      <c r="U181" s="334"/>
      <c r="V181" s="5"/>
    </row>
    <row r="182" spans="1:22" ht="15.6" x14ac:dyDescent="0.3">
      <c r="A182" s="173"/>
      <c r="B182" s="174"/>
      <c r="C182" s="174"/>
      <c r="D182" s="174"/>
      <c r="E182" s="174"/>
      <c r="F182" s="174"/>
      <c r="G182" s="174"/>
      <c r="H182" s="174"/>
      <c r="I182" s="174"/>
      <c r="J182" s="174"/>
      <c r="K182" s="174"/>
      <c r="L182" s="174"/>
      <c r="M182" s="174"/>
      <c r="N182" s="174"/>
      <c r="O182" s="174"/>
      <c r="P182" s="174"/>
      <c r="Q182" s="174"/>
      <c r="R182" s="174"/>
      <c r="S182" s="174"/>
      <c r="T182" s="193"/>
      <c r="U182" s="174"/>
      <c r="V182" s="5"/>
    </row>
    <row r="183" spans="1:22" ht="15.6" x14ac:dyDescent="0.3">
      <c r="A183" s="175"/>
      <c r="B183" s="201" t="s">
        <v>66</v>
      </c>
      <c r="C183" s="177"/>
      <c r="D183" s="177"/>
      <c r="E183" s="177"/>
      <c r="F183" s="177"/>
      <c r="G183" s="177"/>
      <c r="H183" s="177"/>
      <c r="I183" s="177"/>
      <c r="J183" s="177"/>
      <c r="K183" s="177"/>
      <c r="L183" s="177"/>
      <c r="M183" s="177"/>
      <c r="N183" s="177"/>
      <c r="O183" s="177"/>
      <c r="P183" s="177"/>
      <c r="Q183" s="177"/>
      <c r="R183" s="177"/>
      <c r="S183" s="177"/>
      <c r="T183" s="206"/>
      <c r="U183" s="177"/>
      <c r="V183" s="5"/>
    </row>
    <row r="184" spans="1:22" ht="15.6" x14ac:dyDescent="0.3">
      <c r="A184" s="284"/>
      <c r="B184" s="285" t="s">
        <v>67</v>
      </c>
      <c r="C184" s="285"/>
      <c r="D184" s="285"/>
      <c r="E184" s="285"/>
      <c r="F184" s="285"/>
      <c r="G184" s="285"/>
      <c r="H184" s="285"/>
      <c r="I184" s="285"/>
      <c r="J184" s="285"/>
      <c r="K184" s="285"/>
      <c r="L184" s="285"/>
      <c r="M184" s="285"/>
      <c r="N184" s="285"/>
      <c r="O184" s="285"/>
      <c r="P184" s="285"/>
      <c r="Q184" s="285"/>
      <c r="R184" s="285"/>
      <c r="S184" s="285"/>
      <c r="T184" s="348">
        <f>(T100+T102+T103+T104+T105)/-(T106+T107)</f>
        <v>4.3190546528803546</v>
      </c>
      <c r="U184" s="288" t="s">
        <v>121</v>
      </c>
      <c r="V184" s="5"/>
    </row>
    <row r="185" spans="1:22" ht="15.6" x14ac:dyDescent="0.3">
      <c r="A185" s="284"/>
      <c r="B185" s="285" t="s">
        <v>68</v>
      </c>
      <c r="C185" s="285"/>
      <c r="D185" s="285"/>
      <c r="E185" s="285"/>
      <c r="F185" s="285"/>
      <c r="G185" s="285"/>
      <c r="H185" s="285"/>
      <c r="I185" s="285"/>
      <c r="J185" s="285"/>
      <c r="K185" s="285"/>
      <c r="L185" s="285"/>
      <c r="M185" s="285"/>
      <c r="N185" s="285"/>
      <c r="O185" s="285"/>
      <c r="P185" s="285"/>
      <c r="Q185" s="285"/>
      <c r="R185" s="285"/>
      <c r="S185" s="285"/>
      <c r="T185" s="349">
        <v>1.79</v>
      </c>
      <c r="U185" s="288" t="s">
        <v>121</v>
      </c>
      <c r="V185" s="5"/>
    </row>
    <row r="186" spans="1:22" ht="15.6" x14ac:dyDescent="0.3">
      <c r="A186" s="284"/>
      <c r="B186" s="285" t="s">
        <v>69</v>
      </c>
      <c r="C186" s="285"/>
      <c r="D186" s="285"/>
      <c r="E186" s="285"/>
      <c r="F186" s="285"/>
      <c r="G186" s="285"/>
      <c r="H186" s="285"/>
      <c r="I186" s="285"/>
      <c r="J186" s="285"/>
      <c r="K186" s="285"/>
      <c r="L186" s="285"/>
      <c r="M186" s="285"/>
      <c r="N186" s="285"/>
      <c r="O186" s="285"/>
      <c r="P186" s="285"/>
      <c r="Q186" s="285"/>
      <c r="R186" s="285"/>
      <c r="S186" s="285"/>
      <c r="T186" s="348">
        <f>(T100+T102+T103+T104+T105+T106+T107)/-(T108+T109)</f>
        <v>11.826315789473684</v>
      </c>
      <c r="U186" s="288" t="s">
        <v>121</v>
      </c>
      <c r="V186" s="5"/>
    </row>
    <row r="187" spans="1:22" ht="15.6" x14ac:dyDescent="0.3">
      <c r="A187" s="284"/>
      <c r="B187" s="285" t="s">
        <v>70</v>
      </c>
      <c r="C187" s="285"/>
      <c r="D187" s="285"/>
      <c r="E187" s="285"/>
      <c r="F187" s="285"/>
      <c r="G187" s="285"/>
      <c r="H187" s="285"/>
      <c r="I187" s="285"/>
      <c r="J187" s="285"/>
      <c r="K187" s="285"/>
      <c r="L187" s="285"/>
      <c r="M187" s="285"/>
      <c r="N187" s="285"/>
      <c r="O187" s="285"/>
      <c r="P187" s="285"/>
      <c r="Q187" s="285"/>
      <c r="R187" s="285"/>
      <c r="S187" s="285"/>
      <c r="T187" s="349">
        <v>6.45</v>
      </c>
      <c r="U187" s="288" t="s">
        <v>121</v>
      </c>
      <c r="V187" s="5"/>
    </row>
    <row r="188" spans="1:22" ht="15.6" x14ac:dyDescent="0.3">
      <c r="A188" s="284"/>
      <c r="B188" s="285" t="s">
        <v>206</v>
      </c>
      <c r="C188" s="285"/>
      <c r="D188" s="285"/>
      <c r="E188" s="285"/>
      <c r="F188" s="285"/>
      <c r="G188" s="285"/>
      <c r="H188" s="285"/>
      <c r="I188" s="285"/>
      <c r="J188" s="285"/>
      <c r="K188" s="285"/>
      <c r="L188" s="285"/>
      <c r="M188" s="285"/>
      <c r="N188" s="285"/>
      <c r="O188" s="285"/>
      <c r="P188" s="285"/>
      <c r="Q188" s="285"/>
      <c r="R188" s="285"/>
      <c r="S188" s="285"/>
      <c r="T188" s="348">
        <f>(T100+T102+T103+T104+T105+T106+T107+T108+T109)/-(T110)</f>
        <v>9.0219298245614041</v>
      </c>
      <c r="U188" s="288" t="s">
        <v>121</v>
      </c>
      <c r="V188" s="5"/>
    </row>
    <row r="189" spans="1:22" ht="15.6" x14ac:dyDescent="0.3">
      <c r="A189" s="284"/>
      <c r="B189" s="285" t="s">
        <v>207</v>
      </c>
      <c r="C189" s="285"/>
      <c r="D189" s="285"/>
      <c r="E189" s="285"/>
      <c r="F189" s="285"/>
      <c r="G189" s="285"/>
      <c r="H189" s="285"/>
      <c r="I189" s="285"/>
      <c r="J189" s="285"/>
      <c r="K189" s="285"/>
      <c r="L189" s="285"/>
      <c r="M189" s="285"/>
      <c r="N189" s="285"/>
      <c r="O189" s="285"/>
      <c r="P189" s="285"/>
      <c r="Q189" s="285"/>
      <c r="R189" s="285"/>
      <c r="S189" s="285"/>
      <c r="T189" s="349">
        <v>5.83</v>
      </c>
      <c r="U189" s="288" t="s">
        <v>121</v>
      </c>
      <c r="V189" s="5"/>
    </row>
    <row r="190" spans="1:22" ht="15.6" x14ac:dyDescent="0.3">
      <c r="A190" s="284"/>
      <c r="B190" s="311"/>
      <c r="C190" s="311"/>
      <c r="D190" s="311"/>
      <c r="E190" s="311"/>
      <c r="F190" s="311"/>
      <c r="G190" s="311"/>
      <c r="H190" s="311"/>
      <c r="I190" s="311"/>
      <c r="J190" s="311"/>
      <c r="K190" s="311"/>
      <c r="L190" s="311"/>
      <c r="M190" s="311"/>
      <c r="N190" s="311"/>
      <c r="O190" s="311"/>
      <c r="P190" s="311"/>
      <c r="Q190" s="311"/>
      <c r="R190" s="311"/>
      <c r="S190" s="311"/>
      <c r="T190" s="311"/>
      <c r="U190" s="317"/>
      <c r="V190" s="5"/>
    </row>
    <row r="191" spans="1:22" ht="15.6" x14ac:dyDescent="0.3">
      <c r="A191" s="175"/>
      <c r="B191" s="334"/>
      <c r="C191" s="334"/>
      <c r="D191" s="334"/>
      <c r="E191" s="334"/>
      <c r="F191" s="334"/>
      <c r="G191" s="334"/>
      <c r="H191" s="334"/>
      <c r="I191" s="334"/>
      <c r="J191" s="334"/>
      <c r="K191" s="334"/>
      <c r="L191" s="334"/>
      <c r="M191" s="334"/>
      <c r="N191" s="334"/>
      <c r="O191" s="334"/>
      <c r="P191" s="334"/>
      <c r="Q191" s="334"/>
      <c r="R191" s="334"/>
      <c r="S191" s="334"/>
      <c r="T191" s="334"/>
      <c r="U191" s="334"/>
      <c r="V191" s="5"/>
    </row>
    <row r="192" spans="1:22" ht="15.6" x14ac:dyDescent="0.3">
      <c r="A192" s="175"/>
      <c r="B192" s="177"/>
      <c r="C192" s="177"/>
      <c r="D192" s="177"/>
      <c r="E192" s="177"/>
      <c r="F192" s="177"/>
      <c r="G192" s="177"/>
      <c r="H192" s="177"/>
      <c r="I192" s="177"/>
      <c r="J192" s="177"/>
      <c r="K192" s="177"/>
      <c r="L192" s="177"/>
      <c r="M192" s="177"/>
      <c r="N192" s="177"/>
      <c r="O192" s="177"/>
      <c r="P192" s="177"/>
      <c r="Q192" s="177"/>
      <c r="R192" s="177"/>
      <c r="S192" s="177"/>
      <c r="T192" s="177"/>
      <c r="U192" s="177"/>
      <c r="V192" s="5"/>
    </row>
    <row r="193" spans="1:22" ht="18" thickBot="1" x14ac:dyDescent="0.35">
      <c r="A193" s="192"/>
      <c r="B193" s="246" t="str">
        <f>B133</f>
        <v>PM11 INVESTOR REPORT QUARTER ENDING MARCH 2015</v>
      </c>
      <c r="C193" s="207"/>
      <c r="D193" s="207"/>
      <c r="E193" s="207"/>
      <c r="F193" s="207"/>
      <c r="G193" s="207"/>
      <c r="H193" s="207"/>
      <c r="I193" s="207"/>
      <c r="J193" s="207"/>
      <c r="K193" s="207"/>
      <c r="L193" s="207"/>
      <c r="M193" s="207"/>
      <c r="N193" s="207"/>
      <c r="O193" s="207"/>
      <c r="P193" s="207"/>
      <c r="Q193" s="207"/>
      <c r="R193" s="207"/>
      <c r="S193" s="207"/>
      <c r="T193" s="207"/>
      <c r="U193" s="208"/>
      <c r="V193" s="5"/>
    </row>
    <row r="194" spans="1:22" ht="15.6" x14ac:dyDescent="0.3">
      <c r="A194" s="260"/>
      <c r="B194" s="399" t="s">
        <v>71</v>
      </c>
      <c r="C194" s="400"/>
      <c r="D194" s="400"/>
      <c r="E194" s="400"/>
      <c r="F194" s="400"/>
      <c r="G194" s="401"/>
      <c r="H194" s="401"/>
      <c r="I194" s="401"/>
      <c r="J194" s="401"/>
      <c r="K194" s="401"/>
      <c r="L194" s="401"/>
      <c r="M194" s="401"/>
      <c r="N194" s="401"/>
      <c r="O194" s="401"/>
      <c r="P194" s="401"/>
      <c r="Q194" s="401"/>
      <c r="R194" s="401">
        <v>42094</v>
      </c>
      <c r="S194" s="261"/>
      <c r="T194" s="261"/>
      <c r="U194" s="261"/>
      <c r="V194" s="5"/>
    </row>
    <row r="195" spans="1:22" ht="15.6" x14ac:dyDescent="0.3">
      <c r="A195" s="209"/>
      <c r="B195" s="210"/>
      <c r="C195" s="211"/>
      <c r="D195" s="211"/>
      <c r="E195" s="211"/>
      <c r="F195" s="211"/>
      <c r="G195" s="212"/>
      <c r="H195" s="212"/>
      <c r="I195" s="212"/>
      <c r="J195" s="212"/>
      <c r="K195" s="212"/>
      <c r="L195" s="212"/>
      <c r="M195" s="212"/>
      <c r="N195" s="212"/>
      <c r="O195" s="212"/>
      <c r="P195" s="212"/>
      <c r="Q195" s="212"/>
      <c r="R195" s="212"/>
      <c r="S195" s="177"/>
      <c r="T195" s="177"/>
      <c r="U195" s="177"/>
      <c r="V195" s="5"/>
    </row>
    <row r="196" spans="1:22" ht="15.6" x14ac:dyDescent="0.3">
      <c r="A196" s="352"/>
      <c r="B196" s="285" t="s">
        <v>72</v>
      </c>
      <c r="C196" s="353"/>
      <c r="D196" s="353"/>
      <c r="E196" s="353"/>
      <c r="F196" s="353"/>
      <c r="G196" s="329"/>
      <c r="H196" s="329"/>
      <c r="I196" s="329"/>
      <c r="J196" s="329"/>
      <c r="K196" s="329"/>
      <c r="L196" s="329"/>
      <c r="M196" s="329"/>
      <c r="N196" s="329"/>
      <c r="O196" s="329"/>
      <c r="P196" s="329"/>
      <c r="Q196" s="329"/>
      <c r="R196" s="320">
        <v>5.1569999999999998E-2</v>
      </c>
      <c r="S196" s="285"/>
      <c r="T196" s="285"/>
      <c r="U196" s="317"/>
      <c r="V196" s="5"/>
    </row>
    <row r="197" spans="1:22" ht="15.6" x14ac:dyDescent="0.3">
      <c r="A197" s="352"/>
      <c r="B197" s="285" t="s">
        <v>157</v>
      </c>
      <c r="C197" s="353"/>
      <c r="D197" s="353"/>
      <c r="E197" s="353"/>
      <c r="F197" s="353"/>
      <c r="G197" s="329"/>
      <c r="H197" s="329"/>
      <c r="I197" s="329"/>
      <c r="J197" s="329"/>
      <c r="K197" s="329"/>
      <c r="L197" s="329"/>
      <c r="M197" s="329"/>
      <c r="N197" s="329"/>
      <c r="O197" s="329"/>
      <c r="P197" s="329"/>
      <c r="Q197" s="329"/>
      <c r="R197" s="320">
        <v>4.6899999999999997E-2</v>
      </c>
      <c r="S197" s="285"/>
      <c r="T197" s="285"/>
      <c r="U197" s="317"/>
      <c r="V197" s="5"/>
    </row>
    <row r="198" spans="1:22" ht="15.6" x14ac:dyDescent="0.3">
      <c r="A198" s="352"/>
      <c r="B198" s="285" t="s">
        <v>73</v>
      </c>
      <c r="C198" s="353"/>
      <c r="D198" s="353"/>
      <c r="E198" s="353"/>
      <c r="F198" s="353"/>
      <c r="G198" s="329"/>
      <c r="H198" s="329"/>
      <c r="I198" s="329"/>
      <c r="J198" s="329"/>
      <c r="K198" s="329"/>
      <c r="L198" s="329"/>
      <c r="M198" s="329"/>
      <c r="N198" s="329"/>
      <c r="O198" s="329"/>
      <c r="P198" s="329"/>
      <c r="Q198" s="329"/>
      <c r="R198" s="320">
        <f>R196-R197</f>
        <v>4.6700000000000005E-3</v>
      </c>
      <c r="S198" s="285"/>
      <c r="T198" s="285"/>
      <c r="U198" s="317"/>
      <c r="V198" s="5"/>
    </row>
    <row r="199" spans="1:22" ht="15.6" x14ac:dyDescent="0.3">
      <c r="A199" s="352"/>
      <c r="B199" s="285" t="s">
        <v>74</v>
      </c>
      <c r="C199" s="353"/>
      <c r="D199" s="353"/>
      <c r="E199" s="353"/>
      <c r="F199" s="353"/>
      <c r="G199" s="329"/>
      <c r="H199" s="329"/>
      <c r="I199" s="329"/>
      <c r="J199" s="329"/>
      <c r="K199" s="329"/>
      <c r="L199" s="329"/>
      <c r="M199" s="329"/>
      <c r="N199" s="329"/>
      <c r="O199" s="329"/>
      <c r="P199" s="329"/>
      <c r="Q199" s="329"/>
      <c r="R199" s="320">
        <v>2.3099999999999999E-2</v>
      </c>
      <c r="S199" s="285"/>
      <c r="T199" s="285"/>
      <c r="U199" s="317"/>
      <c r="V199" s="5"/>
    </row>
    <row r="200" spans="1:22" ht="15.6" x14ac:dyDescent="0.3">
      <c r="A200" s="352"/>
      <c r="B200" s="285" t="s">
        <v>257</v>
      </c>
      <c r="C200" s="353"/>
      <c r="D200" s="353"/>
      <c r="E200" s="353"/>
      <c r="F200" s="353"/>
      <c r="G200" s="329"/>
      <c r="H200" s="329"/>
      <c r="I200" s="329"/>
      <c r="J200" s="329"/>
      <c r="K200" s="329"/>
      <c r="L200" s="329"/>
      <c r="M200" s="329"/>
      <c r="N200" s="329"/>
      <c r="O200" s="329"/>
      <c r="P200" s="329"/>
      <c r="Q200" s="329"/>
      <c r="R200" s="320">
        <f>T43</f>
        <v>8.6740638187035399E-3</v>
      </c>
      <c r="S200" s="285"/>
      <c r="T200" s="285"/>
      <c r="U200" s="317"/>
      <c r="V200" s="5"/>
    </row>
    <row r="201" spans="1:22" ht="15.6" x14ac:dyDescent="0.3">
      <c r="A201" s="352"/>
      <c r="B201" s="285" t="s">
        <v>75</v>
      </c>
      <c r="C201" s="353"/>
      <c r="D201" s="353"/>
      <c r="E201" s="353"/>
      <c r="F201" s="353"/>
      <c r="G201" s="329"/>
      <c r="H201" s="329"/>
      <c r="I201" s="329"/>
      <c r="J201" s="329"/>
      <c r="K201" s="329"/>
      <c r="L201" s="329"/>
      <c r="M201" s="329"/>
      <c r="N201" s="329"/>
      <c r="O201" s="329"/>
      <c r="P201" s="329"/>
      <c r="Q201" s="329"/>
      <c r="R201" s="320">
        <f>R199-R200</f>
        <v>1.4425936181296459E-2</v>
      </c>
      <c r="S201" s="285"/>
      <c r="T201" s="285"/>
      <c r="U201" s="317"/>
      <c r="V201" s="5"/>
    </row>
    <row r="202" spans="1:22" ht="15.6" x14ac:dyDescent="0.3">
      <c r="A202" s="352"/>
      <c r="B202" s="285" t="s">
        <v>260</v>
      </c>
      <c r="C202" s="353"/>
      <c r="D202" s="353"/>
      <c r="E202" s="353"/>
      <c r="F202" s="353"/>
      <c r="G202" s="329"/>
      <c r="H202" s="329"/>
      <c r="I202" s="329"/>
      <c r="J202" s="329"/>
      <c r="K202" s="329"/>
      <c r="L202" s="329"/>
      <c r="M202" s="329"/>
      <c r="N202" s="329"/>
      <c r="O202" s="329"/>
      <c r="P202" s="329"/>
      <c r="Q202" s="329"/>
      <c r="R202" s="320">
        <f>+T100/L71</f>
        <v>6.3364651269928341E-3</v>
      </c>
      <c r="S202" s="285"/>
      <c r="T202" s="285"/>
      <c r="U202" s="317"/>
      <c r="V202" s="5"/>
    </row>
    <row r="203" spans="1:22" ht="15.6" x14ac:dyDescent="0.3">
      <c r="A203" s="352"/>
      <c r="B203" s="285" t="s">
        <v>217</v>
      </c>
      <c r="C203" s="353"/>
      <c r="D203" s="353"/>
      <c r="E203" s="353"/>
      <c r="F203" s="353"/>
      <c r="G203" s="329"/>
      <c r="H203" s="329"/>
      <c r="I203" s="329"/>
      <c r="J203" s="329"/>
      <c r="K203" s="329"/>
      <c r="L203" s="329"/>
      <c r="M203" s="329"/>
      <c r="N203" s="329"/>
      <c r="O203" s="329"/>
      <c r="P203" s="329"/>
      <c r="Q203" s="329"/>
      <c r="R203" s="354">
        <v>15250</v>
      </c>
      <c r="S203" s="285"/>
      <c r="T203" s="285"/>
      <c r="U203" s="317"/>
      <c r="V203" s="5"/>
    </row>
    <row r="204" spans="1:22" ht="15.6" x14ac:dyDescent="0.3">
      <c r="A204" s="352"/>
      <c r="B204" s="285" t="s">
        <v>218</v>
      </c>
      <c r="C204" s="353"/>
      <c r="D204" s="353"/>
      <c r="E204" s="353"/>
      <c r="F204" s="353"/>
      <c r="G204" s="329"/>
      <c r="H204" s="329"/>
      <c r="I204" s="329"/>
      <c r="J204" s="329"/>
      <c r="K204" s="329"/>
      <c r="L204" s="329"/>
      <c r="M204" s="329"/>
      <c r="N204" s="329"/>
      <c r="O204" s="329"/>
      <c r="P204" s="329"/>
      <c r="Q204" s="329"/>
      <c r="R204" s="354">
        <v>15250</v>
      </c>
      <c r="S204" s="285"/>
      <c r="T204" s="285"/>
      <c r="U204" s="317"/>
      <c r="V204" s="5"/>
    </row>
    <row r="205" spans="1:22" ht="15.6" x14ac:dyDescent="0.3">
      <c r="A205" s="352"/>
      <c r="B205" s="285" t="s">
        <v>219</v>
      </c>
      <c r="C205" s="353"/>
      <c r="D205" s="353"/>
      <c r="E205" s="353"/>
      <c r="F205" s="353"/>
      <c r="G205" s="329"/>
      <c r="H205" s="329"/>
      <c r="I205" s="329"/>
      <c r="J205" s="329"/>
      <c r="K205" s="329"/>
      <c r="L205" s="329"/>
      <c r="M205" s="329"/>
      <c r="N205" s="329"/>
      <c r="O205" s="329"/>
      <c r="P205" s="329"/>
      <c r="Q205" s="329"/>
      <c r="R205" s="354">
        <v>15250</v>
      </c>
      <c r="S205" s="285"/>
      <c r="T205" s="285"/>
      <c r="U205" s="317"/>
      <c r="V205" s="5"/>
    </row>
    <row r="206" spans="1:22" ht="15.6" x14ac:dyDescent="0.3">
      <c r="A206" s="352"/>
      <c r="B206" s="285" t="s">
        <v>76</v>
      </c>
      <c r="C206" s="353"/>
      <c r="D206" s="353"/>
      <c r="E206" s="353"/>
      <c r="F206" s="353"/>
      <c r="G206" s="329"/>
      <c r="H206" s="329"/>
      <c r="I206" s="329"/>
      <c r="J206" s="329"/>
      <c r="K206" s="329"/>
      <c r="L206" s="329"/>
      <c r="M206" s="329"/>
      <c r="N206" s="329"/>
      <c r="O206" s="329"/>
      <c r="P206" s="329"/>
      <c r="Q206" s="329"/>
      <c r="R206" s="326">
        <v>21.18</v>
      </c>
      <c r="S206" s="285" t="s">
        <v>116</v>
      </c>
      <c r="T206" s="285"/>
      <c r="U206" s="317"/>
      <c r="V206" s="5"/>
    </row>
    <row r="207" spans="1:22" ht="15.6" x14ac:dyDescent="0.3">
      <c r="A207" s="352"/>
      <c r="B207" s="285" t="s">
        <v>77</v>
      </c>
      <c r="C207" s="353"/>
      <c r="D207" s="353"/>
      <c r="E207" s="353"/>
      <c r="F207" s="353"/>
      <c r="G207" s="329"/>
      <c r="H207" s="329"/>
      <c r="I207" s="329"/>
      <c r="J207" s="329"/>
      <c r="K207" s="329"/>
      <c r="L207" s="329"/>
      <c r="M207" s="329"/>
      <c r="N207" s="329"/>
      <c r="O207" s="329"/>
      <c r="P207" s="329"/>
      <c r="Q207" s="329"/>
      <c r="R207" s="326">
        <v>12.47</v>
      </c>
      <c r="S207" s="285" t="s">
        <v>116</v>
      </c>
      <c r="T207" s="285"/>
      <c r="U207" s="317"/>
      <c r="V207" s="5"/>
    </row>
    <row r="208" spans="1:22" ht="15.6" x14ac:dyDescent="0.3">
      <c r="A208" s="352"/>
      <c r="B208" s="285" t="s">
        <v>78</v>
      </c>
      <c r="C208" s="353"/>
      <c r="D208" s="353"/>
      <c r="E208" s="353"/>
      <c r="F208" s="353"/>
      <c r="G208" s="329"/>
      <c r="H208" s="329"/>
      <c r="I208" s="329"/>
      <c r="J208" s="329"/>
      <c r="K208" s="329"/>
      <c r="L208" s="329"/>
      <c r="M208" s="329"/>
      <c r="N208" s="329"/>
      <c r="O208" s="329"/>
      <c r="P208" s="329"/>
      <c r="Q208" s="329"/>
      <c r="R208" s="320">
        <f>N68/L68</f>
        <v>1.2157580040330058E-2</v>
      </c>
      <c r="S208" s="285"/>
      <c r="T208" s="285"/>
      <c r="U208" s="317"/>
      <c r="V208" s="5"/>
    </row>
    <row r="209" spans="1:22" ht="15.6" x14ac:dyDescent="0.3">
      <c r="A209" s="352"/>
      <c r="B209" s="285" t="s">
        <v>79</v>
      </c>
      <c r="C209" s="353"/>
      <c r="D209" s="353"/>
      <c r="E209" s="353"/>
      <c r="F209" s="353"/>
      <c r="G209" s="329"/>
      <c r="H209" s="329"/>
      <c r="I209" s="329"/>
      <c r="J209" s="329"/>
      <c r="K209" s="329"/>
      <c r="L209" s="329"/>
      <c r="M209" s="329"/>
      <c r="N209" s="329"/>
      <c r="O209" s="329"/>
      <c r="P209" s="329"/>
      <c r="Q209" s="329"/>
      <c r="R209" s="320">
        <v>7.7899999999999997E-2</v>
      </c>
      <c r="S209" s="285"/>
      <c r="T209" s="285"/>
      <c r="U209" s="317"/>
      <c r="V209" s="5"/>
    </row>
    <row r="210" spans="1:22" ht="15.6" x14ac:dyDescent="0.3">
      <c r="A210" s="209"/>
      <c r="B210" s="350"/>
      <c r="C210" s="350"/>
      <c r="D210" s="350"/>
      <c r="E210" s="350"/>
      <c r="F210" s="350"/>
      <c r="G210" s="334"/>
      <c r="H210" s="334"/>
      <c r="I210" s="334"/>
      <c r="J210" s="334"/>
      <c r="K210" s="334"/>
      <c r="L210" s="334"/>
      <c r="M210" s="334"/>
      <c r="N210" s="334"/>
      <c r="O210" s="334"/>
      <c r="P210" s="334"/>
      <c r="Q210" s="334"/>
      <c r="R210" s="347"/>
      <c r="S210" s="334"/>
      <c r="T210" s="351"/>
      <c r="U210" s="334"/>
      <c r="V210" s="5"/>
    </row>
    <row r="211" spans="1:22" ht="15.6" x14ac:dyDescent="0.3">
      <c r="A211" s="266"/>
      <c r="B211" s="395" t="s">
        <v>80</v>
      </c>
      <c r="C211" s="396"/>
      <c r="D211" s="396"/>
      <c r="E211" s="396"/>
      <c r="F211" s="402"/>
      <c r="G211" s="396"/>
      <c r="H211" s="396"/>
      <c r="I211" s="396"/>
      <c r="J211" s="396"/>
      <c r="K211" s="396"/>
      <c r="L211" s="396"/>
      <c r="M211" s="396"/>
      <c r="N211" s="396"/>
      <c r="O211" s="396"/>
      <c r="P211" s="396"/>
      <c r="Q211" s="396" t="s">
        <v>105</v>
      </c>
      <c r="R211" s="402" t="s">
        <v>112</v>
      </c>
      <c r="S211" s="223"/>
      <c r="T211" s="223"/>
      <c r="U211" s="223"/>
      <c r="V211" s="5"/>
    </row>
    <row r="212" spans="1:22" ht="15.6" x14ac:dyDescent="0.3">
      <c r="A212" s="214"/>
      <c r="B212" s="239" t="s">
        <v>81</v>
      </c>
      <c r="C212" s="243"/>
      <c r="D212" s="243"/>
      <c r="E212" s="243"/>
      <c r="F212" s="239"/>
      <c r="G212" s="239"/>
      <c r="H212" s="242"/>
      <c r="I212" s="242"/>
      <c r="J212" s="242"/>
      <c r="K212" s="242"/>
      <c r="L212" s="242"/>
      <c r="M212" s="242"/>
      <c r="N212" s="242"/>
      <c r="O212" s="242"/>
      <c r="P212" s="242"/>
      <c r="Q212" s="242">
        <v>0</v>
      </c>
      <c r="R212" s="272">
        <v>0</v>
      </c>
      <c r="S212" s="239"/>
      <c r="T212" s="273"/>
      <c r="U212" s="215"/>
      <c r="V212" s="5"/>
    </row>
    <row r="213" spans="1:22" ht="15.6" x14ac:dyDescent="0.3">
      <c r="A213" s="360"/>
      <c r="B213" s="285" t="s">
        <v>151</v>
      </c>
      <c r="C213" s="338"/>
      <c r="D213" s="338"/>
      <c r="E213" s="338"/>
      <c r="F213" s="285"/>
      <c r="G213" s="285"/>
      <c r="H213" s="293"/>
      <c r="I213" s="293"/>
      <c r="J213" s="293"/>
      <c r="K213" s="293"/>
      <c r="L213" s="293"/>
      <c r="M213" s="293"/>
      <c r="N213" s="293"/>
      <c r="O213" s="293"/>
      <c r="P213" s="293"/>
      <c r="Q213" s="361">
        <f>+P265</f>
        <v>72</v>
      </c>
      <c r="R213" s="362">
        <f>+R265</f>
        <v>11011</v>
      </c>
      <c r="S213" s="285"/>
      <c r="T213" s="363"/>
      <c r="U213" s="364"/>
      <c r="V213" s="5"/>
    </row>
    <row r="214" spans="1:22" ht="15.6" x14ac:dyDescent="0.3">
      <c r="A214" s="360"/>
      <c r="B214" s="285" t="s">
        <v>82</v>
      </c>
      <c r="C214" s="338"/>
      <c r="D214" s="338"/>
      <c r="E214" s="338"/>
      <c r="F214" s="285"/>
      <c r="G214" s="285"/>
      <c r="H214" s="293"/>
      <c r="I214" s="293"/>
      <c r="J214" s="293"/>
      <c r="K214" s="293"/>
      <c r="L214" s="293"/>
      <c r="M214" s="293"/>
      <c r="N214" s="293"/>
      <c r="O214" s="293"/>
      <c r="P214" s="293"/>
      <c r="Q214" s="361">
        <f>+P277</f>
        <v>0</v>
      </c>
      <c r="R214" s="362">
        <f>+R277</f>
        <v>0</v>
      </c>
      <c r="S214" s="285"/>
      <c r="T214" s="363"/>
      <c r="U214" s="364"/>
      <c r="V214" s="5"/>
    </row>
    <row r="215" spans="1:22" ht="15.6" x14ac:dyDescent="0.3">
      <c r="A215" s="360"/>
      <c r="B215" s="310" t="s">
        <v>83</v>
      </c>
      <c r="C215" s="365"/>
      <c r="D215" s="365"/>
      <c r="E215" s="365"/>
      <c r="F215" s="311"/>
      <c r="G215" s="311"/>
      <c r="H215" s="311"/>
      <c r="I215" s="311"/>
      <c r="J215" s="311"/>
      <c r="K215" s="311"/>
      <c r="L215" s="311"/>
      <c r="M215" s="311"/>
      <c r="N215" s="311"/>
      <c r="O215" s="311"/>
      <c r="P215" s="311"/>
      <c r="Q215" s="285"/>
      <c r="R215" s="362">
        <v>0</v>
      </c>
      <c r="S215" s="311"/>
      <c r="T215" s="366"/>
      <c r="U215" s="364"/>
      <c r="V215" s="5"/>
    </row>
    <row r="216" spans="1:22" ht="15.6" x14ac:dyDescent="0.3">
      <c r="A216" s="360"/>
      <c r="B216" s="310" t="s">
        <v>84</v>
      </c>
      <c r="C216" s="365"/>
      <c r="D216" s="365"/>
      <c r="E216" s="365"/>
      <c r="F216" s="311"/>
      <c r="G216" s="311"/>
      <c r="H216" s="311"/>
      <c r="I216" s="311"/>
      <c r="J216" s="311"/>
      <c r="K216" s="311"/>
      <c r="L216" s="311"/>
      <c r="M216" s="311"/>
      <c r="N216" s="311"/>
      <c r="O216" s="311"/>
      <c r="P216" s="311"/>
      <c r="Q216" s="285"/>
      <c r="R216" s="367" t="s">
        <v>113</v>
      </c>
      <c r="S216" s="311"/>
      <c r="T216" s="366"/>
      <c r="U216" s="364"/>
      <c r="V216" s="5"/>
    </row>
    <row r="217" spans="1:22" ht="15.6" x14ac:dyDescent="0.3">
      <c r="A217" s="368"/>
      <c r="B217" s="310" t="s">
        <v>85</v>
      </c>
      <c r="C217" s="369"/>
      <c r="D217" s="369"/>
      <c r="E217" s="369"/>
      <c r="F217" s="369"/>
      <c r="G217" s="311"/>
      <c r="H217" s="311"/>
      <c r="I217" s="311"/>
      <c r="J217" s="311"/>
      <c r="K217" s="311"/>
      <c r="L217" s="311"/>
      <c r="M217" s="311"/>
      <c r="N217" s="311"/>
      <c r="O217" s="311"/>
      <c r="P217" s="311"/>
      <c r="Q217" s="285"/>
      <c r="R217" s="362"/>
      <c r="S217" s="311"/>
      <c r="T217" s="366"/>
      <c r="U217" s="370"/>
      <c r="V217" s="5"/>
    </row>
    <row r="218" spans="1:22" ht="15.6" x14ac:dyDescent="0.3">
      <c r="A218" s="368"/>
      <c r="B218" s="285" t="s">
        <v>86</v>
      </c>
      <c r="C218" s="285"/>
      <c r="D218" s="285"/>
      <c r="E218" s="285"/>
      <c r="F218" s="285"/>
      <c r="G218" s="285"/>
      <c r="H218" s="285"/>
      <c r="I218" s="285"/>
      <c r="J218" s="285"/>
      <c r="K218" s="285"/>
      <c r="L218" s="285"/>
      <c r="M218" s="285"/>
      <c r="N218" s="285"/>
      <c r="O218" s="285"/>
      <c r="P218" s="285"/>
      <c r="Q218" s="293"/>
      <c r="R218" s="362">
        <f>T162</f>
        <v>81</v>
      </c>
      <c r="S218" s="285"/>
      <c r="T218" s="363"/>
      <c r="U218" s="370"/>
      <c r="V218" s="5"/>
    </row>
    <row r="219" spans="1:22" ht="15.6" x14ac:dyDescent="0.3">
      <c r="A219" s="360"/>
      <c r="B219" s="285" t="s">
        <v>87</v>
      </c>
      <c r="C219" s="338"/>
      <c r="D219" s="338"/>
      <c r="E219" s="338"/>
      <c r="F219" s="338"/>
      <c r="G219" s="285"/>
      <c r="H219" s="285"/>
      <c r="I219" s="285"/>
      <c r="J219" s="285"/>
      <c r="K219" s="285"/>
      <c r="L219" s="285"/>
      <c r="M219" s="285"/>
      <c r="N219" s="285"/>
      <c r="O219" s="285"/>
      <c r="P219" s="285"/>
      <c r="Q219" s="293"/>
      <c r="R219" s="362">
        <f>'Dec 14'!R219+R218</f>
        <v>5322</v>
      </c>
      <c r="S219" s="285"/>
      <c r="T219" s="363"/>
      <c r="U219" s="370"/>
      <c r="V219" s="5"/>
    </row>
    <row r="220" spans="1:22" ht="15.6" x14ac:dyDescent="0.3">
      <c r="A220" s="368"/>
      <c r="B220" s="310" t="s">
        <v>282</v>
      </c>
      <c r="C220" s="369"/>
      <c r="D220" s="369"/>
      <c r="E220" s="369"/>
      <c r="F220" s="369"/>
      <c r="G220" s="311"/>
      <c r="H220" s="311"/>
      <c r="I220" s="311"/>
      <c r="J220" s="311"/>
      <c r="K220" s="311"/>
      <c r="L220" s="311"/>
      <c r="M220" s="311"/>
      <c r="N220" s="311"/>
      <c r="O220" s="311"/>
      <c r="P220" s="311"/>
      <c r="Q220" s="293"/>
      <c r="R220" s="362"/>
      <c r="S220" s="311"/>
      <c r="T220" s="366"/>
      <c r="U220" s="370"/>
      <c r="V220" s="5"/>
    </row>
    <row r="221" spans="1:22" ht="15.6" x14ac:dyDescent="0.3">
      <c r="A221" s="368"/>
      <c r="B221" s="285" t="s">
        <v>280</v>
      </c>
      <c r="C221" s="369"/>
      <c r="D221" s="369"/>
      <c r="E221" s="369"/>
      <c r="F221" s="369"/>
      <c r="G221" s="311"/>
      <c r="H221" s="311"/>
      <c r="I221" s="311"/>
      <c r="J221" s="311"/>
      <c r="K221" s="311"/>
      <c r="L221" s="311"/>
      <c r="M221" s="311"/>
      <c r="N221" s="311"/>
      <c r="O221" s="311"/>
      <c r="P221" s="311"/>
      <c r="Q221" s="293">
        <v>0</v>
      </c>
      <c r="R221" s="362">
        <v>0</v>
      </c>
      <c r="S221" s="311"/>
      <c r="T221" s="366"/>
      <c r="U221" s="370"/>
      <c r="V221" s="5"/>
    </row>
    <row r="222" spans="1:22" ht="15.6" x14ac:dyDescent="0.3">
      <c r="A222" s="360"/>
      <c r="B222" s="285" t="s">
        <v>89</v>
      </c>
      <c r="C222" s="373"/>
      <c r="D222" s="373"/>
      <c r="E222" s="373"/>
      <c r="F222" s="374"/>
      <c r="G222" s="311"/>
      <c r="H222" s="311"/>
      <c r="I222" s="311"/>
      <c r="J222" s="311"/>
      <c r="K222" s="311"/>
      <c r="L222" s="311"/>
      <c r="M222" s="311"/>
      <c r="N222" s="311"/>
      <c r="O222" s="311"/>
      <c r="P222" s="311"/>
      <c r="Q222" s="285"/>
      <c r="R222" s="367">
        <v>0</v>
      </c>
      <c r="S222" s="311"/>
      <c r="T222" s="366"/>
      <c r="U222" s="370"/>
      <c r="V222" s="5"/>
    </row>
    <row r="223" spans="1:22" ht="15.6" x14ac:dyDescent="0.3">
      <c r="A223" s="360"/>
      <c r="B223" s="285" t="s">
        <v>90</v>
      </c>
      <c r="C223" s="373"/>
      <c r="D223" s="373"/>
      <c r="E223" s="373"/>
      <c r="F223" s="374"/>
      <c r="G223" s="311"/>
      <c r="H223" s="311"/>
      <c r="I223" s="311"/>
      <c r="J223" s="311"/>
      <c r="K223" s="311"/>
      <c r="L223" s="311"/>
      <c r="M223" s="311"/>
      <c r="N223" s="311"/>
      <c r="O223" s="311"/>
      <c r="P223" s="311"/>
      <c r="Q223" s="285"/>
      <c r="R223" s="367">
        <v>0</v>
      </c>
      <c r="S223" s="311"/>
      <c r="T223" s="366"/>
      <c r="U223" s="370"/>
      <c r="V223" s="5"/>
    </row>
    <row r="224" spans="1:22" ht="15.6" x14ac:dyDescent="0.3">
      <c r="A224" s="360"/>
      <c r="B224" s="310" t="s">
        <v>226</v>
      </c>
      <c r="C224" s="373"/>
      <c r="D224" s="373"/>
      <c r="E224" s="373"/>
      <c r="F224" s="374"/>
      <c r="G224" s="311"/>
      <c r="H224" s="311"/>
      <c r="I224" s="311"/>
      <c r="J224" s="311"/>
      <c r="K224" s="311"/>
      <c r="L224" s="311"/>
      <c r="M224" s="311"/>
      <c r="N224" s="311"/>
      <c r="O224" s="311"/>
      <c r="P224" s="311"/>
      <c r="Q224" s="293"/>
      <c r="R224" s="375"/>
      <c r="S224" s="311"/>
      <c r="T224" s="366"/>
      <c r="U224" s="370"/>
      <c r="V224" s="5"/>
    </row>
    <row r="225" spans="1:23" ht="15.6" x14ac:dyDescent="0.3">
      <c r="A225" s="360"/>
      <c r="B225" s="285" t="s">
        <v>280</v>
      </c>
      <c r="C225" s="373"/>
      <c r="D225" s="373"/>
      <c r="E225" s="373"/>
      <c r="F225" s="374"/>
      <c r="G225" s="311"/>
      <c r="H225" s="311"/>
      <c r="I225" s="311"/>
      <c r="J225" s="311"/>
      <c r="K225" s="311"/>
      <c r="L225" s="311"/>
      <c r="M225" s="311"/>
      <c r="N225" s="311"/>
      <c r="O225" s="311"/>
      <c r="P225" s="311"/>
      <c r="Q225" s="293">
        <v>7</v>
      </c>
      <c r="R225" s="362">
        <v>886</v>
      </c>
      <c r="S225" s="311"/>
      <c r="T225" s="366"/>
      <c r="U225" s="370"/>
      <c r="V225" s="5"/>
    </row>
    <row r="226" spans="1:23" ht="15.6" x14ac:dyDescent="0.3">
      <c r="A226" s="360"/>
      <c r="B226" s="285" t="s">
        <v>227</v>
      </c>
      <c r="C226" s="373"/>
      <c r="D226" s="373"/>
      <c r="E226" s="373"/>
      <c r="F226" s="374"/>
      <c r="G226" s="311"/>
      <c r="H226" s="311"/>
      <c r="I226" s="311"/>
      <c r="J226" s="311"/>
      <c r="K226" s="311"/>
      <c r="L226" s="311"/>
      <c r="M226" s="311"/>
      <c r="N226" s="311"/>
      <c r="O226" s="311"/>
      <c r="P226" s="311"/>
      <c r="Q226" s="293"/>
      <c r="R226" s="367">
        <v>0.12</v>
      </c>
      <c r="S226" s="311"/>
      <c r="T226" s="366"/>
      <c r="U226" s="370"/>
      <c r="V226" s="5"/>
    </row>
    <row r="227" spans="1:23" ht="15.6" x14ac:dyDescent="0.3">
      <c r="A227" s="360"/>
      <c r="B227" s="369"/>
      <c r="C227" s="373"/>
      <c r="D227" s="373"/>
      <c r="E227" s="373"/>
      <c r="F227" s="374"/>
      <c r="G227" s="311"/>
      <c r="H227" s="311"/>
      <c r="I227" s="311"/>
      <c r="J227" s="311"/>
      <c r="K227" s="311"/>
      <c r="L227" s="311"/>
      <c r="M227" s="311"/>
      <c r="N227" s="311"/>
      <c r="O227" s="311"/>
      <c r="P227" s="311"/>
      <c r="Q227" s="311"/>
      <c r="R227" s="376"/>
      <c r="S227" s="311"/>
      <c r="T227" s="366"/>
      <c r="U227" s="370"/>
      <c r="V227" s="5"/>
    </row>
    <row r="228" spans="1:23" ht="15.6" x14ac:dyDescent="0.3">
      <c r="A228" s="360"/>
      <c r="B228" s="369"/>
      <c r="C228" s="373"/>
      <c r="D228" s="373"/>
      <c r="E228" s="373"/>
      <c r="F228" s="374"/>
      <c r="G228" s="311"/>
      <c r="H228" s="311"/>
      <c r="I228" s="311"/>
      <c r="J228" s="311"/>
      <c r="K228" s="311"/>
      <c r="L228" s="311"/>
      <c r="M228" s="311"/>
      <c r="N228" s="311"/>
      <c r="O228" s="311"/>
      <c r="P228" s="311"/>
      <c r="Q228" s="311"/>
      <c r="R228" s="376"/>
      <c r="S228" s="311"/>
      <c r="T228" s="366"/>
      <c r="U228" s="370"/>
      <c r="V228" s="5"/>
    </row>
    <row r="229" spans="1:23" ht="17.399999999999999" x14ac:dyDescent="0.3">
      <c r="A229" s="360"/>
      <c r="B229" s="377" t="s">
        <v>175</v>
      </c>
      <c r="C229" s="373"/>
      <c r="D229" s="373"/>
      <c r="E229" s="373"/>
      <c r="F229" s="374"/>
      <c r="G229" s="311"/>
      <c r="H229" s="311"/>
      <c r="I229" s="311"/>
      <c r="J229" s="311"/>
      <c r="K229" s="311"/>
      <c r="L229" s="311"/>
      <c r="M229" s="311"/>
      <c r="N229" s="378" t="s">
        <v>174</v>
      </c>
      <c r="O229" s="311"/>
      <c r="P229" s="311"/>
      <c r="Q229" s="311"/>
      <c r="R229" s="376"/>
      <c r="S229" s="311"/>
      <c r="T229" s="366"/>
      <c r="U229" s="370"/>
      <c r="V229" s="5"/>
    </row>
    <row r="230" spans="1:23" ht="15.6" x14ac:dyDescent="0.3">
      <c r="A230" s="355"/>
      <c r="B230" s="350"/>
      <c r="C230" s="356"/>
      <c r="D230" s="356"/>
      <c r="E230" s="356"/>
      <c r="F230" s="357"/>
      <c r="G230" s="334"/>
      <c r="H230" s="334"/>
      <c r="I230" s="334"/>
      <c r="J230" s="334"/>
      <c r="K230" s="334"/>
      <c r="L230" s="334"/>
      <c r="M230" s="334"/>
      <c r="N230" s="334"/>
      <c r="O230" s="334"/>
      <c r="P230" s="334"/>
      <c r="Q230" s="334"/>
      <c r="R230" s="358"/>
      <c r="S230" s="334"/>
      <c r="T230" s="351"/>
      <c r="U230" s="359"/>
      <c r="V230" s="5"/>
    </row>
    <row r="231" spans="1:23" ht="15.6" x14ac:dyDescent="0.3">
      <c r="A231" s="222"/>
      <c r="B231" s="395" t="s">
        <v>295</v>
      </c>
      <c r="C231" s="396"/>
      <c r="D231" s="396"/>
      <c r="E231" s="396"/>
      <c r="F231" s="402"/>
      <c r="G231" s="396"/>
      <c r="H231" s="396"/>
      <c r="I231" s="396"/>
      <c r="J231" s="396"/>
      <c r="K231" s="396"/>
      <c r="L231" s="396"/>
      <c r="M231" s="396"/>
      <c r="N231" s="396"/>
      <c r="O231" s="396"/>
      <c r="P231" s="402" t="s">
        <v>105</v>
      </c>
      <c r="Q231" s="396" t="s">
        <v>106</v>
      </c>
      <c r="R231" s="402" t="s">
        <v>114</v>
      </c>
      <c r="S231" s="396" t="s">
        <v>106</v>
      </c>
      <c r="T231" s="223"/>
      <c r="U231" s="395"/>
      <c r="V231" s="5"/>
    </row>
    <row r="232" spans="1:23" ht="15.6" x14ac:dyDescent="0.3">
      <c r="A232" s="190"/>
      <c r="B232" s="243" t="s">
        <v>91</v>
      </c>
      <c r="C232" s="217"/>
      <c r="D232" s="217"/>
      <c r="E232" s="217"/>
      <c r="F232" s="191"/>
      <c r="G232" s="217"/>
      <c r="H232" s="217"/>
      <c r="I232" s="217"/>
      <c r="J232" s="217"/>
      <c r="K232" s="217"/>
      <c r="L232" s="217"/>
      <c r="M232" s="217"/>
      <c r="N232" s="217"/>
      <c r="O232" s="217"/>
      <c r="P232" s="338">
        <f t="shared" ref="P232:P239" si="1">+P244+P256+P268</f>
        <v>3883</v>
      </c>
      <c r="Q232" s="384">
        <f t="shared" ref="Q232:Q239" si="2">P232/$P$241</f>
        <v>0.99691912708600772</v>
      </c>
      <c r="R232" s="339">
        <f t="shared" ref="R232:R239" si="3">+R244+R256+R268</f>
        <v>504556</v>
      </c>
      <c r="S232" s="384">
        <f t="shared" ref="S232:S239" si="4">R232/$R$241</f>
        <v>0.99698467837227955</v>
      </c>
      <c r="T232" s="213"/>
      <c r="U232" s="216"/>
      <c r="V232" s="5"/>
    </row>
    <row r="233" spans="1:23" ht="15.6" x14ac:dyDescent="0.3">
      <c r="A233" s="284"/>
      <c r="B233" s="338" t="s">
        <v>92</v>
      </c>
      <c r="C233" s="382"/>
      <c r="D233" s="382"/>
      <c r="E233" s="382"/>
      <c r="F233" s="311"/>
      <c r="G233" s="383"/>
      <c r="H233" s="382"/>
      <c r="I233" s="382"/>
      <c r="J233" s="382"/>
      <c r="K233" s="382"/>
      <c r="L233" s="382"/>
      <c r="M233" s="382"/>
      <c r="N233" s="382"/>
      <c r="O233" s="382"/>
      <c r="P233" s="338">
        <f t="shared" si="1"/>
        <v>6</v>
      </c>
      <c r="Q233" s="384">
        <f t="shared" si="2"/>
        <v>1.5404364569961489E-3</v>
      </c>
      <c r="R233" s="339">
        <f t="shared" si="3"/>
        <v>536</v>
      </c>
      <c r="S233" s="384">
        <f t="shared" si="4"/>
        <v>1.059116902004023E-3</v>
      </c>
      <c r="T233" s="366"/>
      <c r="U233" s="370"/>
      <c r="V233" s="5"/>
      <c r="W233" s="109"/>
    </row>
    <row r="234" spans="1:23" ht="15.6" x14ac:dyDescent="0.3">
      <c r="A234" s="284"/>
      <c r="B234" s="338" t="s">
        <v>93</v>
      </c>
      <c r="C234" s="382"/>
      <c r="D234" s="382"/>
      <c r="E234" s="382"/>
      <c r="F234" s="311"/>
      <c r="G234" s="383"/>
      <c r="H234" s="382"/>
      <c r="I234" s="382"/>
      <c r="J234" s="382"/>
      <c r="K234" s="382"/>
      <c r="L234" s="382"/>
      <c r="M234" s="382"/>
      <c r="N234" s="382"/>
      <c r="O234" s="382"/>
      <c r="P234" s="338">
        <f t="shared" si="1"/>
        <v>1</v>
      </c>
      <c r="Q234" s="384">
        <f t="shared" si="2"/>
        <v>2.5673940949935817E-4</v>
      </c>
      <c r="R234" s="339">
        <f t="shared" si="3"/>
        <v>61</v>
      </c>
      <c r="S234" s="384">
        <f t="shared" si="4"/>
        <v>1.2053382653403993E-4</v>
      </c>
      <c r="T234" s="366"/>
      <c r="U234" s="370"/>
      <c r="V234" s="5"/>
    </row>
    <row r="235" spans="1:23" ht="15.6" x14ac:dyDescent="0.3">
      <c r="A235" s="284"/>
      <c r="B235" s="338" t="s">
        <v>163</v>
      </c>
      <c r="C235" s="382"/>
      <c r="D235" s="382"/>
      <c r="E235" s="382"/>
      <c r="F235" s="311"/>
      <c r="G235" s="383"/>
      <c r="H235" s="382"/>
      <c r="I235" s="382"/>
      <c r="J235" s="382"/>
      <c r="K235" s="382"/>
      <c r="L235" s="382"/>
      <c r="M235" s="382"/>
      <c r="N235" s="382"/>
      <c r="O235" s="382"/>
      <c r="P235" s="338">
        <f t="shared" si="1"/>
        <v>1</v>
      </c>
      <c r="Q235" s="384">
        <f t="shared" si="2"/>
        <v>2.5673940949935817E-4</v>
      </c>
      <c r="R235" s="339">
        <f t="shared" si="3"/>
        <v>102</v>
      </c>
      <c r="S235" s="384">
        <f t="shared" si="4"/>
        <v>2.0154836567987005E-4</v>
      </c>
      <c r="T235" s="366"/>
      <c r="U235" s="370"/>
      <c r="V235" s="5"/>
      <c r="W235" s="109"/>
    </row>
    <row r="236" spans="1:23" ht="15.6" x14ac:dyDescent="0.3">
      <c r="A236" s="284"/>
      <c r="B236" s="338" t="s">
        <v>164</v>
      </c>
      <c r="C236" s="382"/>
      <c r="D236" s="382"/>
      <c r="E236" s="382"/>
      <c r="F236" s="311"/>
      <c r="G236" s="383"/>
      <c r="H236" s="382"/>
      <c r="I236" s="382"/>
      <c r="J236" s="382"/>
      <c r="K236" s="382"/>
      <c r="L236" s="382"/>
      <c r="M236" s="382"/>
      <c r="N236" s="382"/>
      <c r="O236" s="382"/>
      <c r="P236" s="338">
        <f t="shared" si="1"/>
        <v>1</v>
      </c>
      <c r="Q236" s="384">
        <f t="shared" si="2"/>
        <v>2.5673940949935817E-4</v>
      </c>
      <c r="R236" s="339">
        <f t="shared" si="3"/>
        <v>299</v>
      </c>
      <c r="S236" s="384">
        <f t="shared" si="4"/>
        <v>5.9081334645373672E-4</v>
      </c>
      <c r="T236" s="366"/>
      <c r="U236" s="370"/>
      <c r="V236" s="5"/>
    </row>
    <row r="237" spans="1:23" ht="15.6" x14ac:dyDescent="0.3">
      <c r="A237" s="284"/>
      <c r="B237" s="338" t="s">
        <v>165</v>
      </c>
      <c r="C237" s="382"/>
      <c r="D237" s="382"/>
      <c r="E237" s="382"/>
      <c r="F237" s="311"/>
      <c r="G237" s="383"/>
      <c r="H237" s="382"/>
      <c r="I237" s="382"/>
      <c r="J237" s="382"/>
      <c r="K237" s="382"/>
      <c r="L237" s="382"/>
      <c r="M237" s="382"/>
      <c r="N237" s="382"/>
      <c r="O237" s="382"/>
      <c r="P237" s="338">
        <f t="shared" si="1"/>
        <v>0</v>
      </c>
      <c r="Q237" s="384">
        <f t="shared" si="2"/>
        <v>0</v>
      </c>
      <c r="R237" s="339">
        <f t="shared" si="3"/>
        <v>0</v>
      </c>
      <c r="S237" s="384">
        <f t="shared" si="4"/>
        <v>0</v>
      </c>
      <c r="T237" s="366"/>
      <c r="U237" s="370"/>
      <c r="V237" s="5"/>
      <c r="W237" s="109"/>
    </row>
    <row r="238" spans="1:23" ht="15.6" x14ac:dyDescent="0.3">
      <c r="A238" s="284"/>
      <c r="B238" s="338" t="s">
        <v>166</v>
      </c>
      <c r="C238" s="382"/>
      <c r="D238" s="382"/>
      <c r="E238" s="382"/>
      <c r="F238" s="311"/>
      <c r="G238" s="383"/>
      <c r="H238" s="382"/>
      <c r="I238" s="382"/>
      <c r="J238" s="382"/>
      <c r="K238" s="382"/>
      <c r="L238" s="382"/>
      <c r="M238" s="382"/>
      <c r="N238" s="382"/>
      <c r="O238" s="382"/>
      <c r="P238" s="338">
        <f t="shared" si="1"/>
        <v>0</v>
      </c>
      <c r="Q238" s="384">
        <f t="shared" si="2"/>
        <v>0</v>
      </c>
      <c r="R238" s="339">
        <f t="shared" si="3"/>
        <v>0</v>
      </c>
      <c r="S238" s="384">
        <f t="shared" si="4"/>
        <v>0</v>
      </c>
      <c r="T238" s="366"/>
      <c r="U238" s="370"/>
      <c r="V238" s="5"/>
    </row>
    <row r="239" spans="1:23" ht="15.6" x14ac:dyDescent="0.3">
      <c r="A239" s="284"/>
      <c r="B239" s="338" t="s">
        <v>167</v>
      </c>
      <c r="C239" s="382"/>
      <c r="D239" s="382"/>
      <c r="E239" s="382"/>
      <c r="F239" s="311"/>
      <c r="G239" s="383"/>
      <c r="H239" s="382"/>
      <c r="I239" s="382"/>
      <c r="J239" s="382"/>
      <c r="K239" s="382"/>
      <c r="L239" s="382"/>
      <c r="M239" s="382"/>
      <c r="N239" s="382"/>
      <c r="O239" s="382"/>
      <c r="P239" s="338">
        <f t="shared" si="1"/>
        <v>3</v>
      </c>
      <c r="Q239" s="384">
        <f t="shared" si="2"/>
        <v>7.7021822849807444E-4</v>
      </c>
      <c r="R239" s="339">
        <f t="shared" si="3"/>
        <v>528</v>
      </c>
      <c r="S239" s="384">
        <f t="shared" si="4"/>
        <v>1.0433091870487392E-3</v>
      </c>
      <c r="T239" s="366"/>
      <c r="U239" s="370"/>
      <c r="V239" s="5"/>
      <c r="W239" s="109"/>
    </row>
    <row r="240" spans="1:23" ht="15.6" x14ac:dyDescent="0.3">
      <c r="A240" s="284"/>
      <c r="B240" s="338"/>
      <c r="C240" s="382"/>
      <c r="D240" s="382"/>
      <c r="E240" s="382"/>
      <c r="F240" s="311"/>
      <c r="G240" s="383"/>
      <c r="H240" s="382"/>
      <c r="I240" s="382"/>
      <c r="J240" s="382"/>
      <c r="K240" s="382"/>
      <c r="L240" s="382"/>
      <c r="M240" s="382"/>
      <c r="N240" s="382"/>
      <c r="O240" s="382"/>
      <c r="P240" s="338"/>
      <c r="Q240" s="384"/>
      <c r="R240" s="339"/>
      <c r="S240" s="384"/>
      <c r="T240" s="366"/>
      <c r="U240" s="370"/>
      <c r="V240" s="5"/>
    </row>
    <row r="241" spans="1:23" ht="15.6" x14ac:dyDescent="0.3">
      <c r="A241" s="284"/>
      <c r="B241" s="285" t="s">
        <v>120</v>
      </c>
      <c r="C241" s="311"/>
      <c r="D241" s="311"/>
      <c r="E241" s="311"/>
      <c r="F241" s="311"/>
      <c r="G241" s="311"/>
      <c r="H241" s="385"/>
      <c r="I241" s="385"/>
      <c r="J241" s="385"/>
      <c r="K241" s="385"/>
      <c r="L241" s="385"/>
      <c r="M241" s="385"/>
      <c r="N241" s="385"/>
      <c r="O241" s="385"/>
      <c r="P241" s="338">
        <f>SUM(P232:P240)</f>
        <v>3895</v>
      </c>
      <c r="Q241" s="384">
        <f>SUM(Q232:Q240)</f>
        <v>1</v>
      </c>
      <c r="R241" s="339">
        <f>SUM(R232:R240)</f>
        <v>506082</v>
      </c>
      <c r="S241" s="384">
        <f>SUM(S232:S240)</f>
        <v>0.99999999999999989</v>
      </c>
      <c r="T241" s="311"/>
      <c r="U241" s="317"/>
      <c r="V241" s="5"/>
    </row>
    <row r="242" spans="1:23" ht="15.6" x14ac:dyDescent="0.3">
      <c r="A242" s="355"/>
      <c r="B242" s="350"/>
      <c r="C242" s="356"/>
      <c r="D242" s="356"/>
      <c r="E242" s="356"/>
      <c r="F242" s="357"/>
      <c r="G242" s="334"/>
      <c r="H242" s="334"/>
      <c r="I242" s="334"/>
      <c r="J242" s="334"/>
      <c r="K242" s="334"/>
      <c r="L242" s="334"/>
      <c r="M242" s="334"/>
      <c r="N242" s="334"/>
      <c r="O242" s="334"/>
      <c r="P242" s="334"/>
      <c r="Q242" s="334"/>
      <c r="R242" s="358"/>
      <c r="S242" s="334"/>
      <c r="T242" s="351"/>
      <c r="U242" s="359"/>
      <c r="V242" s="5"/>
    </row>
    <row r="243" spans="1:23" ht="15.6" x14ac:dyDescent="0.3">
      <c r="A243" s="222"/>
      <c r="B243" s="395" t="s">
        <v>169</v>
      </c>
      <c r="C243" s="396"/>
      <c r="D243" s="396"/>
      <c r="E243" s="396"/>
      <c r="F243" s="402"/>
      <c r="G243" s="396"/>
      <c r="H243" s="396"/>
      <c r="I243" s="396"/>
      <c r="J243" s="396"/>
      <c r="K243" s="396"/>
      <c r="L243" s="396"/>
      <c r="M243" s="396"/>
      <c r="N243" s="396"/>
      <c r="O243" s="396"/>
      <c r="P243" s="402" t="s">
        <v>105</v>
      </c>
      <c r="Q243" s="396" t="s">
        <v>106</v>
      </c>
      <c r="R243" s="402" t="s">
        <v>114</v>
      </c>
      <c r="S243" s="396" t="s">
        <v>106</v>
      </c>
      <c r="T243" s="223"/>
      <c r="U243" s="395"/>
      <c r="V243" s="5"/>
    </row>
    <row r="244" spans="1:23" ht="15.6" x14ac:dyDescent="0.3">
      <c r="A244" s="190"/>
      <c r="B244" s="243" t="s">
        <v>91</v>
      </c>
      <c r="C244" s="217"/>
      <c r="D244" s="217"/>
      <c r="E244" s="217"/>
      <c r="F244" s="191"/>
      <c r="G244" s="217"/>
      <c r="H244" s="217"/>
      <c r="I244" s="217"/>
      <c r="J244" s="217"/>
      <c r="K244" s="217"/>
      <c r="L244" s="217"/>
      <c r="M244" s="217"/>
      <c r="N244" s="217"/>
      <c r="O244" s="217"/>
      <c r="P244" s="243">
        <v>3816</v>
      </c>
      <c r="Q244" s="274">
        <f t="shared" ref="Q244:Q251" si="5">P244/$P$253</f>
        <v>0.99816897724300291</v>
      </c>
      <c r="R244" s="251">
        <v>494308</v>
      </c>
      <c r="S244" s="274">
        <f t="shared" ref="S244:S251" si="6">R244/$R$253</f>
        <v>0.99845880691860356</v>
      </c>
      <c r="T244" s="213"/>
      <c r="U244" s="216"/>
      <c r="V244" s="5"/>
    </row>
    <row r="245" spans="1:23" ht="15.6" x14ac:dyDescent="0.3">
      <c r="A245" s="284"/>
      <c r="B245" s="338" t="s">
        <v>92</v>
      </c>
      <c r="C245" s="382"/>
      <c r="D245" s="382"/>
      <c r="E245" s="382"/>
      <c r="F245" s="311"/>
      <c r="G245" s="383"/>
      <c r="H245" s="382"/>
      <c r="I245" s="382"/>
      <c r="J245" s="382"/>
      <c r="K245" s="382"/>
      <c r="L245" s="382"/>
      <c r="M245" s="382"/>
      <c r="N245" s="382"/>
      <c r="O245" s="382"/>
      <c r="P245" s="338">
        <v>5</v>
      </c>
      <c r="Q245" s="384">
        <f t="shared" si="5"/>
        <v>1.3078733978550876E-3</v>
      </c>
      <c r="R245" s="339">
        <v>403</v>
      </c>
      <c r="S245" s="384">
        <f t="shared" si="6"/>
        <v>8.1402465504947777E-4</v>
      </c>
      <c r="T245" s="366"/>
      <c r="U245" s="370"/>
      <c r="V245" s="5"/>
      <c r="W245" s="109"/>
    </row>
    <row r="246" spans="1:23" ht="15.6" x14ac:dyDescent="0.3">
      <c r="A246" s="284"/>
      <c r="B246" s="338" t="s">
        <v>93</v>
      </c>
      <c r="C246" s="382"/>
      <c r="D246" s="382"/>
      <c r="E246" s="382"/>
      <c r="F246" s="311"/>
      <c r="G246" s="383"/>
      <c r="H246" s="382"/>
      <c r="I246" s="382"/>
      <c r="J246" s="382"/>
      <c r="K246" s="382"/>
      <c r="L246" s="382"/>
      <c r="M246" s="382"/>
      <c r="N246" s="382"/>
      <c r="O246" s="382"/>
      <c r="P246" s="338">
        <v>1</v>
      </c>
      <c r="Q246" s="384">
        <f t="shared" si="5"/>
        <v>2.615746795710175E-4</v>
      </c>
      <c r="R246" s="339">
        <v>61</v>
      </c>
      <c r="S246" s="384">
        <f t="shared" si="6"/>
        <v>1.2321465001989613E-4</v>
      </c>
      <c r="T246" s="366"/>
      <c r="U246" s="370"/>
      <c r="V246" s="5"/>
    </row>
    <row r="247" spans="1:23" ht="15.6" x14ac:dyDescent="0.3">
      <c r="A247" s="284"/>
      <c r="B247" s="338" t="s">
        <v>163</v>
      </c>
      <c r="C247" s="382"/>
      <c r="D247" s="382"/>
      <c r="E247" s="382"/>
      <c r="F247" s="311"/>
      <c r="G247" s="383"/>
      <c r="H247" s="382"/>
      <c r="I247" s="382"/>
      <c r="J247" s="382"/>
      <c r="K247" s="382"/>
      <c r="L247" s="382"/>
      <c r="M247" s="382"/>
      <c r="N247" s="382"/>
      <c r="O247" s="382"/>
      <c r="P247" s="338">
        <v>0</v>
      </c>
      <c r="Q247" s="384">
        <f t="shared" si="5"/>
        <v>0</v>
      </c>
      <c r="R247" s="339">
        <v>0</v>
      </c>
      <c r="S247" s="384">
        <f t="shared" si="6"/>
        <v>0</v>
      </c>
      <c r="T247" s="366"/>
      <c r="U247" s="370"/>
      <c r="V247" s="5"/>
      <c r="W247" s="109"/>
    </row>
    <row r="248" spans="1:23" ht="15.6" x14ac:dyDescent="0.3">
      <c r="A248" s="284"/>
      <c r="B248" s="338" t="s">
        <v>164</v>
      </c>
      <c r="C248" s="382"/>
      <c r="D248" s="382"/>
      <c r="E248" s="382"/>
      <c r="F248" s="311"/>
      <c r="G248" s="383"/>
      <c r="H248" s="382"/>
      <c r="I248" s="382"/>
      <c r="J248" s="382"/>
      <c r="K248" s="382"/>
      <c r="L248" s="382"/>
      <c r="M248" s="382"/>
      <c r="N248" s="382"/>
      <c r="O248" s="382"/>
      <c r="P248" s="338">
        <v>1</v>
      </c>
      <c r="Q248" s="384">
        <f t="shared" si="5"/>
        <v>2.615746795710175E-4</v>
      </c>
      <c r="R248" s="339">
        <v>299</v>
      </c>
      <c r="S248" s="384">
        <f t="shared" si="6"/>
        <v>6.0395377632703191E-4</v>
      </c>
      <c r="T248" s="366"/>
      <c r="U248" s="370"/>
      <c r="V248" s="5"/>
    </row>
    <row r="249" spans="1:23" ht="15.6" x14ac:dyDescent="0.3">
      <c r="A249" s="284"/>
      <c r="B249" s="338" t="s">
        <v>165</v>
      </c>
      <c r="C249" s="382"/>
      <c r="D249" s="382"/>
      <c r="E249" s="382"/>
      <c r="F249" s="311"/>
      <c r="G249" s="383"/>
      <c r="H249" s="382"/>
      <c r="I249" s="382"/>
      <c r="J249" s="382"/>
      <c r="K249" s="382"/>
      <c r="L249" s="382"/>
      <c r="M249" s="382"/>
      <c r="N249" s="382"/>
      <c r="O249" s="382"/>
      <c r="P249" s="338">
        <v>0</v>
      </c>
      <c r="Q249" s="384">
        <f t="shared" si="5"/>
        <v>0</v>
      </c>
      <c r="R249" s="339">
        <v>0</v>
      </c>
      <c r="S249" s="384">
        <f t="shared" si="6"/>
        <v>0</v>
      </c>
      <c r="T249" s="366"/>
      <c r="U249" s="370"/>
      <c r="V249" s="5"/>
      <c r="W249" s="109"/>
    </row>
    <row r="250" spans="1:23" ht="15.6" x14ac:dyDescent="0.3">
      <c r="A250" s="284"/>
      <c r="B250" s="338" t="s">
        <v>166</v>
      </c>
      <c r="C250" s="382"/>
      <c r="D250" s="382"/>
      <c r="E250" s="382"/>
      <c r="F250" s="311"/>
      <c r="G250" s="383"/>
      <c r="H250" s="382"/>
      <c r="I250" s="382"/>
      <c r="J250" s="382"/>
      <c r="K250" s="382"/>
      <c r="L250" s="382"/>
      <c r="M250" s="382"/>
      <c r="N250" s="382"/>
      <c r="O250" s="382"/>
      <c r="P250" s="338">
        <v>0</v>
      </c>
      <c r="Q250" s="384">
        <f t="shared" si="5"/>
        <v>0</v>
      </c>
      <c r="R250" s="339">
        <v>0</v>
      </c>
      <c r="S250" s="384">
        <f t="shared" si="6"/>
        <v>0</v>
      </c>
      <c r="T250" s="366"/>
      <c r="U250" s="370"/>
      <c r="V250" s="5"/>
    </row>
    <row r="251" spans="1:23" ht="15.6" x14ac:dyDescent="0.3">
      <c r="A251" s="284"/>
      <c r="B251" s="338" t="s">
        <v>167</v>
      </c>
      <c r="C251" s="382"/>
      <c r="D251" s="382"/>
      <c r="E251" s="382"/>
      <c r="F251" s="311"/>
      <c r="G251" s="383"/>
      <c r="H251" s="382"/>
      <c r="I251" s="382"/>
      <c r="J251" s="382"/>
      <c r="K251" s="382"/>
      <c r="L251" s="382"/>
      <c r="M251" s="382"/>
      <c r="N251" s="382"/>
      <c r="O251" s="382"/>
      <c r="P251" s="338">
        <v>0</v>
      </c>
      <c r="Q251" s="384">
        <f t="shared" si="5"/>
        <v>0</v>
      </c>
      <c r="R251" s="339">
        <v>0</v>
      </c>
      <c r="S251" s="384">
        <f t="shared" si="6"/>
        <v>0</v>
      </c>
      <c r="T251" s="366"/>
      <c r="U251" s="370"/>
      <c r="V251" s="5"/>
      <c r="W251" s="109"/>
    </row>
    <row r="252" spans="1:23" ht="15.6" x14ac:dyDescent="0.3">
      <c r="A252" s="284"/>
      <c r="B252" s="338"/>
      <c r="C252" s="382"/>
      <c r="D252" s="382"/>
      <c r="E252" s="382"/>
      <c r="F252" s="311"/>
      <c r="G252" s="383"/>
      <c r="H252" s="382"/>
      <c r="I252" s="382"/>
      <c r="J252" s="382"/>
      <c r="K252" s="382"/>
      <c r="L252" s="382"/>
      <c r="M252" s="382"/>
      <c r="N252" s="382"/>
      <c r="O252" s="382"/>
      <c r="P252" s="338"/>
      <c r="Q252" s="384"/>
      <c r="R252" s="339"/>
      <c r="S252" s="384"/>
      <c r="T252" s="366"/>
      <c r="U252" s="370"/>
      <c r="V252" s="5"/>
    </row>
    <row r="253" spans="1:23" ht="15.6" x14ac:dyDescent="0.3">
      <c r="A253" s="284"/>
      <c r="B253" s="285" t="s">
        <v>120</v>
      </c>
      <c r="C253" s="311"/>
      <c r="D253" s="311"/>
      <c r="E253" s="311"/>
      <c r="F253" s="311"/>
      <c r="G253" s="311"/>
      <c r="H253" s="385"/>
      <c r="I253" s="385"/>
      <c r="J253" s="385"/>
      <c r="K253" s="385"/>
      <c r="L253" s="385"/>
      <c r="M253" s="385"/>
      <c r="N253" s="385"/>
      <c r="O253" s="385"/>
      <c r="P253" s="338">
        <f>SUM(P244:P252)</f>
        <v>3823</v>
      </c>
      <c r="Q253" s="384">
        <f>SUM(Q244:Q252)</f>
        <v>1</v>
      </c>
      <c r="R253" s="339">
        <f>SUM(R244:R252)</f>
        <v>495071</v>
      </c>
      <c r="S253" s="384">
        <f>SUM(S244:S252)</f>
        <v>0.99999999999999989</v>
      </c>
      <c r="T253" s="311"/>
      <c r="U253" s="317"/>
      <c r="V253" s="5"/>
    </row>
    <row r="254" spans="1:23" ht="15.6" x14ac:dyDescent="0.3">
      <c r="A254" s="175"/>
      <c r="B254" s="334"/>
      <c r="C254" s="334"/>
      <c r="D254" s="334"/>
      <c r="E254" s="334"/>
      <c r="F254" s="334"/>
      <c r="G254" s="334"/>
      <c r="H254" s="379"/>
      <c r="I254" s="379"/>
      <c r="J254" s="379"/>
      <c r="K254" s="379"/>
      <c r="L254" s="379"/>
      <c r="M254" s="379"/>
      <c r="N254" s="379"/>
      <c r="O254" s="379"/>
      <c r="P254" s="335"/>
      <c r="Q254" s="380"/>
      <c r="R254" s="381"/>
      <c r="S254" s="380"/>
      <c r="T254" s="334"/>
      <c r="U254" s="334"/>
      <c r="V254" s="5"/>
    </row>
    <row r="255" spans="1:23" ht="15.6" x14ac:dyDescent="0.3">
      <c r="A255" s="268"/>
      <c r="B255" s="395" t="s">
        <v>267</v>
      </c>
      <c r="C255" s="396"/>
      <c r="D255" s="396"/>
      <c r="E255" s="396"/>
      <c r="F255" s="402"/>
      <c r="G255" s="396"/>
      <c r="H255" s="396"/>
      <c r="I255" s="396"/>
      <c r="J255" s="396"/>
      <c r="K255" s="396"/>
      <c r="L255" s="396"/>
      <c r="M255" s="396"/>
      <c r="N255" s="396"/>
      <c r="O255" s="396"/>
      <c r="P255" s="402" t="s">
        <v>105</v>
      </c>
      <c r="Q255" s="396" t="s">
        <v>106</v>
      </c>
      <c r="R255" s="402" t="s">
        <v>114</v>
      </c>
      <c r="S255" s="396" t="s">
        <v>106</v>
      </c>
      <c r="T255" s="269"/>
      <c r="U255" s="270"/>
      <c r="V255" s="5"/>
    </row>
    <row r="256" spans="1:23" ht="15.6" x14ac:dyDescent="0.3">
      <c r="A256" s="190"/>
      <c r="B256" s="243" t="s">
        <v>91</v>
      </c>
      <c r="C256" s="217"/>
      <c r="D256" s="217"/>
      <c r="E256" s="217"/>
      <c r="F256" s="191"/>
      <c r="G256" s="217"/>
      <c r="H256" s="217"/>
      <c r="I256" s="217"/>
      <c r="J256" s="217"/>
      <c r="K256" s="217"/>
      <c r="L256" s="217"/>
      <c r="M256" s="217"/>
      <c r="N256" s="217"/>
      <c r="O256" s="217"/>
      <c r="P256" s="243">
        <v>67</v>
      </c>
      <c r="Q256" s="274">
        <f t="shared" ref="Q256:Q263" si="7">P256/$P$265</f>
        <v>0.93055555555555558</v>
      </c>
      <c r="R256" s="251">
        <v>10248</v>
      </c>
      <c r="S256" s="274">
        <f>R256/$R$265</f>
        <v>0.93070565797838523</v>
      </c>
      <c r="T256" s="191"/>
      <c r="U256" s="191"/>
      <c r="V256" s="5"/>
    </row>
    <row r="257" spans="1:22" ht="15.6" x14ac:dyDescent="0.3">
      <c r="A257" s="284"/>
      <c r="B257" s="338" t="s">
        <v>92</v>
      </c>
      <c r="C257" s="382"/>
      <c r="D257" s="382"/>
      <c r="E257" s="382"/>
      <c r="F257" s="311"/>
      <c r="G257" s="383"/>
      <c r="H257" s="382"/>
      <c r="I257" s="382"/>
      <c r="J257" s="382"/>
      <c r="K257" s="382"/>
      <c r="L257" s="382"/>
      <c r="M257" s="382"/>
      <c r="N257" s="382"/>
      <c r="O257" s="382"/>
      <c r="P257" s="338">
        <v>1</v>
      </c>
      <c r="Q257" s="384">
        <f t="shared" si="7"/>
        <v>1.3888888888888888E-2</v>
      </c>
      <c r="R257" s="339">
        <v>133</v>
      </c>
      <c r="S257" s="384">
        <f t="shared" ref="S257:S263" si="8">R257/$R$265</f>
        <v>1.2078830260648443E-2</v>
      </c>
      <c r="T257" s="311"/>
      <c r="U257" s="317"/>
      <c r="V257" s="5"/>
    </row>
    <row r="258" spans="1:22" ht="15.6" x14ac:dyDescent="0.3">
      <c r="A258" s="284"/>
      <c r="B258" s="338" t="s">
        <v>93</v>
      </c>
      <c r="C258" s="382"/>
      <c r="D258" s="382"/>
      <c r="E258" s="382"/>
      <c r="F258" s="311"/>
      <c r="G258" s="383"/>
      <c r="H258" s="382"/>
      <c r="I258" s="382"/>
      <c r="J258" s="382"/>
      <c r="K258" s="382"/>
      <c r="L258" s="382"/>
      <c r="M258" s="382"/>
      <c r="N258" s="382"/>
      <c r="O258" s="382"/>
      <c r="P258" s="338">
        <v>0</v>
      </c>
      <c r="Q258" s="384">
        <f t="shared" si="7"/>
        <v>0</v>
      </c>
      <c r="R258" s="339">
        <v>0</v>
      </c>
      <c r="S258" s="384">
        <f t="shared" si="8"/>
        <v>0</v>
      </c>
      <c r="T258" s="311"/>
      <c r="U258" s="317"/>
      <c r="V258" s="5"/>
    </row>
    <row r="259" spans="1:22" ht="15.6" x14ac:dyDescent="0.3">
      <c r="A259" s="284"/>
      <c r="B259" s="338" t="s">
        <v>163</v>
      </c>
      <c r="C259" s="382"/>
      <c r="D259" s="382"/>
      <c r="E259" s="382"/>
      <c r="F259" s="311"/>
      <c r="G259" s="383"/>
      <c r="H259" s="382"/>
      <c r="I259" s="382"/>
      <c r="J259" s="382"/>
      <c r="K259" s="382"/>
      <c r="L259" s="382"/>
      <c r="M259" s="382"/>
      <c r="N259" s="382"/>
      <c r="O259" s="382"/>
      <c r="P259" s="338">
        <v>1</v>
      </c>
      <c r="Q259" s="384">
        <f t="shared" si="7"/>
        <v>1.3888888888888888E-2</v>
      </c>
      <c r="R259" s="339">
        <v>102</v>
      </c>
      <c r="S259" s="384">
        <f t="shared" si="8"/>
        <v>9.2634638089183537E-3</v>
      </c>
      <c r="T259" s="311"/>
      <c r="U259" s="317"/>
      <c r="V259" s="5"/>
    </row>
    <row r="260" spans="1:22" ht="15.6" x14ac:dyDescent="0.3">
      <c r="A260" s="284"/>
      <c r="B260" s="338" t="s">
        <v>164</v>
      </c>
      <c r="C260" s="382"/>
      <c r="D260" s="382"/>
      <c r="E260" s="382"/>
      <c r="F260" s="311"/>
      <c r="G260" s="383"/>
      <c r="H260" s="382"/>
      <c r="I260" s="382"/>
      <c r="J260" s="382"/>
      <c r="K260" s="382"/>
      <c r="L260" s="382"/>
      <c r="M260" s="382"/>
      <c r="N260" s="382"/>
      <c r="O260" s="382"/>
      <c r="P260" s="338">
        <v>0</v>
      </c>
      <c r="Q260" s="384">
        <f t="shared" si="7"/>
        <v>0</v>
      </c>
      <c r="R260" s="339">
        <v>0</v>
      </c>
      <c r="S260" s="384">
        <f t="shared" si="8"/>
        <v>0</v>
      </c>
      <c r="T260" s="311"/>
      <c r="U260" s="317"/>
      <c r="V260" s="5"/>
    </row>
    <row r="261" spans="1:22" ht="15.6" x14ac:dyDescent="0.3">
      <c r="A261" s="284"/>
      <c r="B261" s="338" t="s">
        <v>165</v>
      </c>
      <c r="C261" s="382"/>
      <c r="D261" s="382"/>
      <c r="E261" s="382"/>
      <c r="F261" s="311"/>
      <c r="G261" s="383"/>
      <c r="H261" s="382"/>
      <c r="I261" s="382"/>
      <c r="J261" s="382"/>
      <c r="K261" s="382"/>
      <c r="L261" s="382"/>
      <c r="M261" s="382"/>
      <c r="N261" s="382"/>
      <c r="O261" s="382"/>
      <c r="P261" s="338">
        <v>0</v>
      </c>
      <c r="Q261" s="384">
        <f t="shared" si="7"/>
        <v>0</v>
      </c>
      <c r="R261" s="339">
        <v>0</v>
      </c>
      <c r="S261" s="384">
        <f t="shared" si="8"/>
        <v>0</v>
      </c>
      <c r="T261" s="311"/>
      <c r="U261" s="317"/>
      <c r="V261" s="5"/>
    </row>
    <row r="262" spans="1:22" ht="15.6" x14ac:dyDescent="0.3">
      <c r="A262" s="284"/>
      <c r="B262" s="338" t="s">
        <v>166</v>
      </c>
      <c r="C262" s="382"/>
      <c r="D262" s="382"/>
      <c r="E262" s="382"/>
      <c r="F262" s="311"/>
      <c r="G262" s="383"/>
      <c r="H262" s="382"/>
      <c r="I262" s="382"/>
      <c r="J262" s="382"/>
      <c r="K262" s="382"/>
      <c r="L262" s="382"/>
      <c r="M262" s="382"/>
      <c r="N262" s="382"/>
      <c r="O262" s="382"/>
      <c r="P262" s="338">
        <v>0</v>
      </c>
      <c r="Q262" s="384">
        <f t="shared" si="7"/>
        <v>0</v>
      </c>
      <c r="R262" s="339">
        <v>0</v>
      </c>
      <c r="S262" s="384">
        <f t="shared" si="8"/>
        <v>0</v>
      </c>
      <c r="T262" s="311"/>
      <c r="U262" s="317"/>
      <c r="V262" s="5"/>
    </row>
    <row r="263" spans="1:22" ht="15.6" x14ac:dyDescent="0.3">
      <c r="A263" s="284"/>
      <c r="B263" s="338" t="s">
        <v>167</v>
      </c>
      <c r="C263" s="382"/>
      <c r="D263" s="382"/>
      <c r="E263" s="382"/>
      <c r="F263" s="311"/>
      <c r="G263" s="383"/>
      <c r="H263" s="382"/>
      <c r="I263" s="382"/>
      <c r="J263" s="382"/>
      <c r="K263" s="382"/>
      <c r="L263" s="382"/>
      <c r="M263" s="382"/>
      <c r="N263" s="382"/>
      <c r="O263" s="382"/>
      <c r="P263" s="338">
        <v>3</v>
      </c>
      <c r="Q263" s="384">
        <f t="shared" si="7"/>
        <v>4.1666666666666664E-2</v>
      </c>
      <c r="R263" s="339">
        <v>528</v>
      </c>
      <c r="S263" s="384">
        <f t="shared" si="8"/>
        <v>4.7952047952047952E-2</v>
      </c>
      <c r="T263" s="311"/>
      <c r="U263" s="317"/>
      <c r="V263" s="5"/>
    </row>
    <row r="264" spans="1:22" ht="15.6" x14ac:dyDescent="0.3">
      <c r="A264" s="284"/>
      <c r="B264" s="338"/>
      <c r="C264" s="382"/>
      <c r="D264" s="382"/>
      <c r="E264" s="382"/>
      <c r="F264" s="311"/>
      <c r="G264" s="383"/>
      <c r="H264" s="382"/>
      <c r="I264" s="382"/>
      <c r="J264" s="382"/>
      <c r="K264" s="382"/>
      <c r="L264" s="382"/>
      <c r="M264" s="382"/>
      <c r="N264" s="382"/>
      <c r="O264" s="382"/>
      <c r="P264" s="338"/>
      <c r="Q264" s="384"/>
      <c r="R264" s="339"/>
      <c r="S264" s="384"/>
      <c r="T264" s="311"/>
      <c r="U264" s="317"/>
      <c r="V264" s="5"/>
    </row>
    <row r="265" spans="1:22" ht="15.6" x14ac:dyDescent="0.3">
      <c r="A265" s="284"/>
      <c r="B265" s="285" t="s">
        <v>120</v>
      </c>
      <c r="C265" s="311"/>
      <c r="D265" s="311"/>
      <c r="E265" s="311"/>
      <c r="F265" s="311"/>
      <c r="G265" s="311"/>
      <c r="H265" s="385"/>
      <c r="I265" s="385"/>
      <c r="J265" s="385"/>
      <c r="K265" s="385"/>
      <c r="L265" s="385"/>
      <c r="M265" s="385"/>
      <c r="N265" s="385"/>
      <c r="O265" s="385"/>
      <c r="P265" s="338">
        <f>SUM(P256:P264)</f>
        <v>72</v>
      </c>
      <c r="Q265" s="384">
        <f>SUM(Q256:Q264)</f>
        <v>0.99999999999999989</v>
      </c>
      <c r="R265" s="339">
        <f>SUM(R256:R264)</f>
        <v>11011</v>
      </c>
      <c r="S265" s="384">
        <f>SUM(S256:S264)</f>
        <v>1</v>
      </c>
      <c r="T265" s="311"/>
      <c r="U265" s="317"/>
      <c r="V265" s="5"/>
    </row>
    <row r="266" spans="1:22" ht="15.6" x14ac:dyDescent="0.3">
      <c r="A266" s="175"/>
      <c r="B266" s="334"/>
      <c r="C266" s="334"/>
      <c r="D266" s="334"/>
      <c r="E266" s="334"/>
      <c r="F266" s="334"/>
      <c r="G266" s="334"/>
      <c r="H266" s="379"/>
      <c r="I266" s="379"/>
      <c r="J266" s="379"/>
      <c r="K266" s="379"/>
      <c r="L266" s="379"/>
      <c r="M266" s="379"/>
      <c r="N266" s="379"/>
      <c r="O266" s="379"/>
      <c r="P266" s="335"/>
      <c r="Q266" s="380"/>
      <c r="R266" s="381"/>
      <c r="S266" s="380"/>
      <c r="T266" s="334"/>
      <c r="U266" s="334"/>
      <c r="V266" s="5"/>
    </row>
    <row r="267" spans="1:22" ht="15.6" x14ac:dyDescent="0.3">
      <c r="A267" s="268"/>
      <c r="B267" s="395" t="s">
        <v>170</v>
      </c>
      <c r="C267" s="269"/>
      <c r="D267" s="269"/>
      <c r="E267" s="269"/>
      <c r="F267" s="269"/>
      <c r="G267" s="269"/>
      <c r="H267" s="271"/>
      <c r="I267" s="271"/>
      <c r="J267" s="271"/>
      <c r="K267" s="271"/>
      <c r="L267" s="271"/>
      <c r="M267" s="271"/>
      <c r="N267" s="271"/>
      <c r="O267" s="271"/>
      <c r="P267" s="402" t="s">
        <v>105</v>
      </c>
      <c r="Q267" s="396" t="s">
        <v>106</v>
      </c>
      <c r="R267" s="402" t="s">
        <v>114</v>
      </c>
      <c r="S267" s="396" t="s">
        <v>106</v>
      </c>
      <c r="T267" s="269"/>
      <c r="U267" s="270"/>
      <c r="V267" s="5"/>
    </row>
    <row r="268" spans="1:22" ht="15.6" x14ac:dyDescent="0.3">
      <c r="A268" s="190"/>
      <c r="B268" s="243" t="s">
        <v>91</v>
      </c>
      <c r="C268" s="239"/>
      <c r="D268" s="239"/>
      <c r="E268" s="239"/>
      <c r="F268" s="239"/>
      <c r="G268" s="239"/>
      <c r="H268" s="275"/>
      <c r="I268" s="275"/>
      <c r="J268" s="275"/>
      <c r="K268" s="275"/>
      <c r="L268" s="218"/>
      <c r="M268" s="218"/>
      <c r="N268" s="218"/>
      <c r="O268" s="218"/>
      <c r="P268" s="243">
        <v>0</v>
      </c>
      <c r="Q268" s="274">
        <v>0</v>
      </c>
      <c r="R268" s="251">
        <v>0</v>
      </c>
      <c r="S268" s="274">
        <v>0</v>
      </c>
      <c r="T268" s="239"/>
      <c r="U268" s="191"/>
      <c r="V268" s="5"/>
    </row>
    <row r="269" spans="1:22" ht="15.6" x14ac:dyDescent="0.3">
      <c r="A269" s="284"/>
      <c r="B269" s="338" t="s">
        <v>92</v>
      </c>
      <c r="C269" s="285"/>
      <c r="D269" s="285"/>
      <c r="E269" s="285"/>
      <c r="F269" s="285"/>
      <c r="G269" s="285"/>
      <c r="H269" s="387"/>
      <c r="I269" s="387"/>
      <c r="J269" s="387"/>
      <c r="K269" s="387"/>
      <c r="L269" s="385"/>
      <c r="M269" s="385"/>
      <c r="N269" s="385"/>
      <c r="O269" s="385"/>
      <c r="P269" s="338">
        <v>0</v>
      </c>
      <c r="Q269" s="384">
        <v>0</v>
      </c>
      <c r="R269" s="339">
        <v>0</v>
      </c>
      <c r="S269" s="384">
        <v>0</v>
      </c>
      <c r="T269" s="285"/>
      <c r="U269" s="317"/>
      <c r="V269" s="5"/>
    </row>
    <row r="270" spans="1:22" ht="15.6" x14ac:dyDescent="0.3">
      <c r="A270" s="284"/>
      <c r="B270" s="338" t="s">
        <v>93</v>
      </c>
      <c r="C270" s="285"/>
      <c r="D270" s="285"/>
      <c r="E270" s="285"/>
      <c r="F270" s="285"/>
      <c r="G270" s="285"/>
      <c r="H270" s="387"/>
      <c r="I270" s="387"/>
      <c r="J270" s="387"/>
      <c r="K270" s="387"/>
      <c r="L270" s="385"/>
      <c r="M270" s="385"/>
      <c r="N270" s="385"/>
      <c r="O270" s="385"/>
      <c r="P270" s="338">
        <v>0</v>
      </c>
      <c r="Q270" s="384">
        <v>0</v>
      </c>
      <c r="R270" s="339">
        <v>0</v>
      </c>
      <c r="S270" s="384">
        <v>0</v>
      </c>
      <c r="T270" s="285"/>
      <c r="U270" s="317"/>
      <c r="V270" s="5"/>
    </row>
    <row r="271" spans="1:22" ht="15.6" x14ac:dyDescent="0.3">
      <c r="A271" s="284"/>
      <c r="B271" s="338" t="s">
        <v>163</v>
      </c>
      <c r="C271" s="285"/>
      <c r="D271" s="285"/>
      <c r="E271" s="285"/>
      <c r="F271" s="285"/>
      <c r="G271" s="285"/>
      <c r="H271" s="387"/>
      <c r="I271" s="387"/>
      <c r="J271" s="387"/>
      <c r="K271" s="387"/>
      <c r="L271" s="385"/>
      <c r="M271" s="385"/>
      <c r="N271" s="385"/>
      <c r="O271" s="385"/>
      <c r="P271" s="338">
        <v>0</v>
      </c>
      <c r="Q271" s="384">
        <v>0</v>
      </c>
      <c r="R271" s="339">
        <v>0</v>
      </c>
      <c r="S271" s="384">
        <v>0</v>
      </c>
      <c r="T271" s="285"/>
      <c r="U271" s="317"/>
      <c r="V271" s="5"/>
    </row>
    <row r="272" spans="1:22" ht="15.6" x14ac:dyDescent="0.3">
      <c r="A272" s="284"/>
      <c r="B272" s="338" t="s">
        <v>164</v>
      </c>
      <c r="C272" s="285"/>
      <c r="D272" s="285"/>
      <c r="E272" s="285"/>
      <c r="F272" s="285"/>
      <c r="G272" s="285"/>
      <c r="H272" s="387"/>
      <c r="I272" s="387"/>
      <c r="J272" s="387"/>
      <c r="K272" s="387"/>
      <c r="L272" s="385"/>
      <c r="M272" s="385"/>
      <c r="N272" s="385"/>
      <c r="O272" s="385"/>
      <c r="P272" s="338">
        <v>0</v>
      </c>
      <c r="Q272" s="384">
        <v>0</v>
      </c>
      <c r="R272" s="339">
        <v>0</v>
      </c>
      <c r="S272" s="384">
        <v>0</v>
      </c>
      <c r="T272" s="285"/>
      <c r="U272" s="317"/>
      <c r="V272" s="5"/>
    </row>
    <row r="273" spans="1:22" ht="15.6" x14ac:dyDescent="0.3">
      <c r="A273" s="284"/>
      <c r="B273" s="338" t="s">
        <v>165</v>
      </c>
      <c r="C273" s="285"/>
      <c r="D273" s="285"/>
      <c r="E273" s="285"/>
      <c r="F273" s="285"/>
      <c r="G273" s="285"/>
      <c r="H273" s="387"/>
      <c r="I273" s="387"/>
      <c r="J273" s="387"/>
      <c r="K273" s="387"/>
      <c r="L273" s="385"/>
      <c r="M273" s="385"/>
      <c r="N273" s="385"/>
      <c r="O273" s="385"/>
      <c r="P273" s="338">
        <v>0</v>
      </c>
      <c r="Q273" s="384">
        <v>0</v>
      </c>
      <c r="R273" s="339">
        <v>0</v>
      </c>
      <c r="S273" s="384">
        <v>0</v>
      </c>
      <c r="T273" s="285"/>
      <c r="U273" s="317"/>
      <c r="V273" s="5"/>
    </row>
    <row r="274" spans="1:22" ht="15.6" x14ac:dyDescent="0.3">
      <c r="A274" s="284"/>
      <c r="B274" s="338" t="s">
        <v>166</v>
      </c>
      <c r="C274" s="285"/>
      <c r="D274" s="285"/>
      <c r="E274" s="285"/>
      <c r="F274" s="285"/>
      <c r="G274" s="285"/>
      <c r="H274" s="387"/>
      <c r="I274" s="387"/>
      <c r="J274" s="387"/>
      <c r="K274" s="387"/>
      <c r="L274" s="385"/>
      <c r="M274" s="385"/>
      <c r="N274" s="385"/>
      <c r="O274" s="385"/>
      <c r="P274" s="338">
        <v>0</v>
      </c>
      <c r="Q274" s="384">
        <v>0</v>
      </c>
      <c r="R274" s="339">
        <v>0</v>
      </c>
      <c r="S274" s="384">
        <v>0</v>
      </c>
      <c r="T274" s="285"/>
      <c r="U274" s="317"/>
      <c r="V274" s="5"/>
    </row>
    <row r="275" spans="1:22" ht="15.6" x14ac:dyDescent="0.3">
      <c r="A275" s="284"/>
      <c r="B275" s="338" t="s">
        <v>167</v>
      </c>
      <c r="C275" s="285"/>
      <c r="D275" s="285"/>
      <c r="E275" s="285"/>
      <c r="F275" s="285"/>
      <c r="G275" s="285"/>
      <c r="H275" s="387"/>
      <c r="I275" s="387"/>
      <c r="J275" s="387"/>
      <c r="K275" s="387"/>
      <c r="L275" s="385"/>
      <c r="M275" s="385"/>
      <c r="N275" s="385"/>
      <c r="O275" s="385"/>
      <c r="P275" s="338">
        <v>0</v>
      </c>
      <c r="Q275" s="384">
        <v>0</v>
      </c>
      <c r="R275" s="339">
        <v>0</v>
      </c>
      <c r="S275" s="384">
        <v>0</v>
      </c>
      <c r="T275" s="285"/>
      <c r="U275" s="317"/>
      <c r="V275" s="5"/>
    </row>
    <row r="276" spans="1:22" ht="15.6" x14ac:dyDescent="0.3">
      <c r="A276" s="284"/>
      <c r="B276" s="338"/>
      <c r="C276" s="285"/>
      <c r="D276" s="285"/>
      <c r="E276" s="285"/>
      <c r="F276" s="285"/>
      <c r="G276" s="285"/>
      <c r="H276" s="387"/>
      <c r="I276" s="387"/>
      <c r="J276" s="387"/>
      <c r="K276" s="387"/>
      <c r="L276" s="385"/>
      <c r="M276" s="385"/>
      <c r="N276" s="385"/>
      <c r="O276" s="385"/>
      <c r="P276" s="338"/>
      <c r="Q276" s="384"/>
      <c r="R276" s="339"/>
      <c r="S276" s="384"/>
      <c r="T276" s="285"/>
      <c r="U276" s="317"/>
      <c r="V276" s="5"/>
    </row>
    <row r="277" spans="1:22" ht="15.6" x14ac:dyDescent="0.3">
      <c r="A277" s="284"/>
      <c r="B277" s="285" t="s">
        <v>120</v>
      </c>
      <c r="C277" s="285"/>
      <c r="D277" s="285"/>
      <c r="E277" s="285"/>
      <c r="F277" s="285"/>
      <c r="G277" s="285"/>
      <c r="H277" s="387"/>
      <c r="I277" s="387"/>
      <c r="J277" s="387"/>
      <c r="K277" s="387"/>
      <c r="L277" s="385"/>
      <c r="M277" s="385"/>
      <c r="N277" s="385"/>
      <c r="O277" s="385"/>
      <c r="P277" s="338">
        <f>SUM(P268:P275)</f>
        <v>0</v>
      </c>
      <c r="Q277" s="384">
        <f>SUM(Q268:Q276)</f>
        <v>0</v>
      </c>
      <c r="R277" s="339">
        <f>SUM(R268:R275)</f>
        <v>0</v>
      </c>
      <c r="S277" s="384">
        <f>SUM(S268:S276)</f>
        <v>0</v>
      </c>
      <c r="T277" s="285"/>
      <c r="U277" s="317"/>
      <c r="V277" s="5"/>
    </row>
    <row r="278" spans="1:22" ht="15.6" x14ac:dyDescent="0.3">
      <c r="A278" s="284"/>
      <c r="B278" s="285"/>
      <c r="C278" s="285"/>
      <c r="D278" s="285"/>
      <c r="E278" s="285"/>
      <c r="F278" s="285"/>
      <c r="G278" s="285"/>
      <c r="H278" s="387"/>
      <c r="I278" s="387"/>
      <c r="J278" s="387"/>
      <c r="K278" s="387"/>
      <c r="L278" s="385"/>
      <c r="M278" s="385"/>
      <c r="N278" s="385"/>
      <c r="O278" s="385"/>
      <c r="P278" s="344"/>
      <c r="Q278" s="388"/>
      <c r="R278" s="345"/>
      <c r="S278" s="388"/>
      <c r="T278" s="311"/>
      <c r="U278" s="317"/>
      <c r="V278" s="5"/>
    </row>
    <row r="279" spans="1:22" ht="15.6" x14ac:dyDescent="0.3">
      <c r="A279" s="284"/>
      <c r="B279" s="292" t="s">
        <v>171</v>
      </c>
      <c r="C279" s="285"/>
      <c r="D279" s="285"/>
      <c r="E279" s="285"/>
      <c r="F279" s="285"/>
      <c r="G279" s="285"/>
      <c r="H279" s="387"/>
      <c r="I279" s="387"/>
      <c r="J279" s="387"/>
      <c r="K279" s="387"/>
      <c r="L279" s="385"/>
      <c r="M279" s="385"/>
      <c r="N279" s="385"/>
      <c r="O279" s="385"/>
      <c r="P279" s="403">
        <f>P277+P265+P253</f>
        <v>3895</v>
      </c>
      <c r="Q279" s="384"/>
      <c r="R279" s="404">
        <f>+R277+R265+R253</f>
        <v>506082</v>
      </c>
      <c r="S279" s="384"/>
      <c r="T279" s="311"/>
      <c r="U279" s="317"/>
      <c r="V279" s="5"/>
    </row>
    <row r="280" spans="1:22" ht="15.6" x14ac:dyDescent="0.3">
      <c r="A280" s="175"/>
      <c r="B280" s="281"/>
      <c r="C280" s="281"/>
      <c r="D280" s="281"/>
      <c r="E280" s="281"/>
      <c r="F280" s="281"/>
      <c r="G280" s="281"/>
      <c r="H280" s="386"/>
      <c r="I280" s="386"/>
      <c r="J280" s="386"/>
      <c r="K280" s="386"/>
      <c r="L280" s="379"/>
      <c r="M280" s="379"/>
      <c r="N280" s="379"/>
      <c r="O280" s="379"/>
      <c r="P280" s="379"/>
      <c r="Q280" s="379"/>
      <c r="R280" s="381"/>
      <c r="S280" s="379"/>
      <c r="T280" s="334"/>
      <c r="U280" s="334"/>
      <c r="V280" s="5"/>
    </row>
    <row r="281" spans="1:22" ht="15.6" x14ac:dyDescent="0.3">
      <c r="A281" s="175"/>
      <c r="B281" s="231"/>
      <c r="C281" s="231"/>
      <c r="D281" s="231"/>
      <c r="E281" s="231"/>
      <c r="F281" s="231"/>
      <c r="G281" s="231"/>
      <c r="H281" s="276"/>
      <c r="I281" s="276"/>
      <c r="J281" s="276"/>
      <c r="K281" s="276"/>
      <c r="L281" s="219"/>
      <c r="M281" s="219"/>
      <c r="N281" s="219"/>
      <c r="O281" s="219"/>
      <c r="P281" s="219"/>
      <c r="Q281" s="219"/>
      <c r="R281" s="220"/>
      <c r="S281" s="219"/>
      <c r="T281" s="177"/>
      <c r="U281" s="177"/>
      <c r="V281" s="5"/>
    </row>
    <row r="282" spans="1:22" ht="15.6" x14ac:dyDescent="0.3">
      <c r="A282" s="221"/>
      <c r="B282" s="230" t="s">
        <v>94</v>
      </c>
      <c r="C282" s="231"/>
      <c r="D282" s="231"/>
      <c r="E282" s="231"/>
      <c r="F282" s="236" t="s">
        <v>100</v>
      </c>
      <c r="G282" s="231"/>
      <c r="H282" s="230" t="s">
        <v>102</v>
      </c>
      <c r="I282" s="277"/>
      <c r="J282" s="277"/>
      <c r="K282" s="277"/>
      <c r="L282" s="188"/>
      <c r="M282" s="188"/>
      <c r="N282" s="188"/>
      <c r="O282" s="188"/>
      <c r="P282" s="188"/>
      <c r="Q282" s="188"/>
      <c r="R282" s="188"/>
      <c r="S282" s="188"/>
      <c r="T282" s="188"/>
      <c r="U282" s="188"/>
      <c r="V282" s="5"/>
    </row>
    <row r="283" spans="1:22" ht="15.6" x14ac:dyDescent="0.3">
      <c r="A283" s="221"/>
      <c r="B283" s="230" t="s">
        <v>316</v>
      </c>
      <c r="C283" s="230"/>
      <c r="D283" s="230"/>
      <c r="E283" s="230"/>
      <c r="F283" s="278" t="s">
        <v>154</v>
      </c>
      <c r="G283" s="230"/>
      <c r="H283" s="230" t="s">
        <v>158</v>
      </c>
      <c r="I283" s="277"/>
      <c r="J283" s="277"/>
      <c r="K283" s="277"/>
      <c r="L283" s="188"/>
      <c r="M283" s="188"/>
      <c r="N283" s="188"/>
      <c r="O283" s="188"/>
      <c r="P283" s="188"/>
      <c r="Q283" s="188"/>
      <c r="R283" s="188"/>
      <c r="S283" s="188"/>
      <c r="T283" s="188"/>
      <c r="U283" s="188"/>
      <c r="V283" s="5"/>
    </row>
    <row r="284" spans="1:22" ht="15.6" x14ac:dyDescent="0.3">
      <c r="A284" s="221"/>
      <c r="B284" s="230" t="s">
        <v>317</v>
      </c>
      <c r="C284" s="230"/>
      <c r="D284" s="230"/>
      <c r="E284" s="230"/>
      <c r="F284" s="278" t="s">
        <v>269</v>
      </c>
      <c r="G284" s="230"/>
      <c r="H284" s="230" t="s">
        <v>270</v>
      </c>
      <c r="I284" s="277"/>
      <c r="J284" s="277"/>
      <c r="K284" s="277"/>
      <c r="L284" s="188"/>
      <c r="M284" s="188"/>
      <c r="N284" s="188"/>
      <c r="O284" s="188"/>
      <c r="P284" s="188"/>
      <c r="Q284" s="188"/>
      <c r="R284" s="188"/>
      <c r="S284" s="188"/>
      <c r="T284" s="188"/>
      <c r="U284" s="188"/>
      <c r="V284" s="5"/>
    </row>
    <row r="285" spans="1:22" ht="15.6" x14ac:dyDescent="0.3">
      <c r="A285" s="221"/>
      <c r="B285" s="230" t="s">
        <v>318</v>
      </c>
      <c r="C285" s="230"/>
      <c r="D285" s="230"/>
      <c r="E285" s="230"/>
      <c r="F285" s="278" t="s">
        <v>153</v>
      </c>
      <c r="G285" s="230"/>
      <c r="H285" s="230" t="s">
        <v>159</v>
      </c>
      <c r="I285" s="277"/>
      <c r="J285" s="277"/>
      <c r="K285" s="277"/>
      <c r="L285" s="188"/>
      <c r="M285" s="188"/>
      <c r="N285" s="188"/>
      <c r="O285" s="188"/>
      <c r="P285" s="188"/>
      <c r="Q285" s="188"/>
      <c r="R285" s="188"/>
      <c r="S285" s="188"/>
      <c r="T285" s="188"/>
      <c r="U285" s="188"/>
      <c r="V285" s="5"/>
    </row>
    <row r="286" spans="1:22" ht="15.6" x14ac:dyDescent="0.3">
      <c r="A286" s="221"/>
      <c r="B286" s="230"/>
      <c r="C286" s="230"/>
      <c r="D286" s="230"/>
      <c r="E286" s="230"/>
      <c r="F286" s="230"/>
      <c r="G286" s="279"/>
      <c r="H286" s="277"/>
      <c r="I286" s="277"/>
      <c r="J286" s="277"/>
      <c r="K286" s="277"/>
      <c r="L286" s="188"/>
      <c r="M286" s="188"/>
      <c r="N286" s="188"/>
      <c r="O286" s="188"/>
      <c r="P286" s="188"/>
      <c r="Q286" s="188"/>
      <c r="R286" s="188"/>
      <c r="S286" s="188"/>
      <c r="T286" s="188"/>
      <c r="U286" s="188"/>
      <c r="V286" s="5"/>
    </row>
    <row r="287" spans="1:22" ht="15.6" x14ac:dyDescent="0.3">
      <c r="A287" s="221"/>
      <c r="B287" s="230"/>
      <c r="C287" s="230"/>
      <c r="D287" s="230"/>
      <c r="E287" s="230"/>
      <c r="F287" s="230"/>
      <c r="G287" s="279"/>
      <c r="H287" s="277"/>
      <c r="I287" s="277"/>
      <c r="J287" s="277"/>
      <c r="K287" s="277"/>
      <c r="L287" s="188"/>
      <c r="M287" s="188"/>
      <c r="N287" s="188"/>
      <c r="O287" s="188"/>
      <c r="P287" s="188"/>
      <c r="Q287" s="188"/>
      <c r="R287" s="188"/>
      <c r="S287" s="188"/>
      <c r="T287" s="188"/>
      <c r="U287" s="188"/>
      <c r="V287" s="5"/>
    </row>
    <row r="288" spans="1:22" ht="18" thickBot="1" x14ac:dyDescent="0.35">
      <c r="A288" s="221"/>
      <c r="B288" s="280" t="str">
        <f>B193</f>
        <v>PM11 INVESTOR REPORT QUARTER ENDING MARCH 2015</v>
      </c>
      <c r="C288" s="230"/>
      <c r="D288" s="230"/>
      <c r="E288" s="230"/>
      <c r="F288" s="230"/>
      <c r="G288" s="279"/>
      <c r="H288" s="277"/>
      <c r="I288" s="277"/>
      <c r="J288" s="277"/>
      <c r="K288" s="277"/>
      <c r="L288" s="188"/>
      <c r="M288" s="188"/>
      <c r="N288" s="188"/>
      <c r="O288" s="188"/>
      <c r="P288" s="188"/>
      <c r="Q288" s="188"/>
      <c r="R288" s="188"/>
      <c r="S288" s="188"/>
      <c r="T288" s="188"/>
      <c r="U288" s="188"/>
      <c r="V288" s="5"/>
    </row>
    <row r="289" spans="1:21" x14ac:dyDescent="0.25">
      <c r="A289" s="100"/>
      <c r="B289" s="100"/>
      <c r="C289" s="100"/>
      <c r="D289" s="100"/>
      <c r="E289" s="100"/>
      <c r="F289" s="100"/>
      <c r="G289" s="100"/>
      <c r="H289" s="100"/>
      <c r="I289" s="100"/>
      <c r="J289" s="100"/>
      <c r="K289" s="100"/>
      <c r="L289" s="100"/>
      <c r="M289" s="100"/>
      <c r="N289" s="100"/>
      <c r="O289" s="100"/>
      <c r="P289" s="100"/>
      <c r="Q289" s="100"/>
      <c r="R289" s="100"/>
      <c r="S289" s="100"/>
      <c r="T289" s="100"/>
      <c r="U289" s="100"/>
    </row>
  </sheetData>
  <hyperlinks>
    <hyperlink ref="N229" r:id="rId1" xr:uid="{00000000-0004-0000-2300-000000000000}"/>
    <hyperlink ref="J9" r:id="rId2" xr:uid="{00000000-0004-0000-23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4" max="20" man="1"/>
    <brk id="133" max="20" man="1"/>
    <brk id="193" max="20" man="1"/>
  </rowBreaks>
  <drawing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89CB31"/>
  </sheetPr>
  <dimension ref="A1:X289"/>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08984375" style="1" customWidth="1"/>
    <col min="10" max="10" width="17.81640625" style="1" customWidth="1"/>
    <col min="11" max="11" width="2.1796875" style="1" customWidth="1"/>
    <col min="12" max="12" width="14.81640625" style="1" customWidth="1"/>
    <col min="13" max="13" width="2.1796875" style="1" customWidth="1"/>
    <col min="14" max="14" width="15.54296875" style="1" customWidth="1"/>
    <col min="15" max="15" width="2.08984375" style="1" customWidth="1"/>
    <col min="16" max="16" width="15.54296875" style="1" customWidth="1"/>
    <col min="17" max="18" width="12.81640625" style="1" customWidth="1"/>
    <col min="19" max="19" width="7.81640625" style="1" customWidth="1"/>
    <col min="20" max="20" width="14.81640625" style="1" customWidth="1"/>
    <col min="21" max="21" width="11.81640625" style="1" customWidth="1"/>
    <col min="22" max="16384" width="9.81640625" style="1"/>
  </cols>
  <sheetData>
    <row r="1" spans="1:22" ht="20.399999999999999" x14ac:dyDescent="0.35">
      <c r="A1" s="173"/>
      <c r="B1" s="228" t="s">
        <v>228</v>
      </c>
      <c r="C1" s="174"/>
      <c r="D1" s="174"/>
      <c r="E1" s="174"/>
      <c r="F1" s="174"/>
      <c r="G1" s="174"/>
      <c r="H1" s="174"/>
      <c r="I1" s="174"/>
      <c r="J1" s="174"/>
      <c r="K1" s="174"/>
      <c r="L1" s="174"/>
      <c r="M1" s="174"/>
      <c r="N1" s="174"/>
      <c r="O1" s="174"/>
      <c r="P1" s="174"/>
      <c r="Q1" s="174"/>
      <c r="R1" s="174"/>
      <c r="S1" s="174"/>
      <c r="T1" s="174"/>
      <c r="U1" s="174"/>
      <c r="V1" s="5"/>
    </row>
    <row r="2" spans="1:22" ht="15.6" x14ac:dyDescent="0.3">
      <c r="A2" s="175"/>
      <c r="B2" s="176"/>
      <c r="C2" s="177"/>
      <c r="D2" s="177"/>
      <c r="E2" s="177"/>
      <c r="F2" s="177"/>
      <c r="G2" s="177"/>
      <c r="H2" s="177"/>
      <c r="I2" s="177"/>
      <c r="J2" s="177"/>
      <c r="K2" s="177"/>
      <c r="L2" s="177"/>
      <c r="M2" s="177"/>
      <c r="N2" s="177"/>
      <c r="O2" s="177"/>
      <c r="P2" s="177"/>
      <c r="Q2" s="177"/>
      <c r="R2" s="177"/>
      <c r="S2" s="177"/>
      <c r="T2" s="177"/>
      <c r="U2" s="177"/>
      <c r="V2" s="5"/>
    </row>
    <row r="3" spans="1:22" ht="15.6" x14ac:dyDescent="0.3">
      <c r="A3" s="178"/>
      <c r="B3" s="179" t="s">
        <v>229</v>
      </c>
      <c r="C3" s="177"/>
      <c r="D3" s="177"/>
      <c r="E3" s="177"/>
      <c r="F3" s="177"/>
      <c r="G3" s="177"/>
      <c r="H3" s="177"/>
      <c r="I3" s="177"/>
      <c r="J3" s="177"/>
      <c r="K3" s="177"/>
      <c r="L3" s="177"/>
      <c r="M3" s="177"/>
      <c r="N3" s="177"/>
      <c r="O3" s="177"/>
      <c r="P3" s="177"/>
      <c r="Q3" s="177"/>
      <c r="R3" s="177"/>
      <c r="S3" s="177"/>
      <c r="T3" s="177"/>
      <c r="U3" s="177"/>
      <c r="V3" s="5"/>
    </row>
    <row r="4" spans="1:22" ht="15.6" x14ac:dyDescent="0.3">
      <c r="A4" s="175"/>
      <c r="B4" s="176"/>
      <c r="C4" s="177"/>
      <c r="D4" s="177"/>
      <c r="E4" s="177"/>
      <c r="F4" s="177"/>
      <c r="G4" s="177"/>
      <c r="H4" s="177"/>
      <c r="I4" s="177"/>
      <c r="J4" s="177"/>
      <c r="K4" s="177"/>
      <c r="L4" s="177"/>
      <c r="M4" s="177"/>
      <c r="N4" s="177"/>
      <c r="O4" s="177"/>
      <c r="P4" s="177"/>
      <c r="Q4" s="177"/>
      <c r="R4" s="177"/>
      <c r="S4" s="177"/>
      <c r="T4" s="177"/>
      <c r="U4" s="177"/>
      <c r="V4" s="5"/>
    </row>
    <row r="5" spans="1:22" ht="15.6" x14ac:dyDescent="0.3">
      <c r="A5" s="175"/>
      <c r="B5" s="229" t="s">
        <v>143</v>
      </c>
      <c r="C5" s="177"/>
      <c r="D5" s="177"/>
      <c r="E5" s="177"/>
      <c r="F5" s="177"/>
      <c r="G5" s="177"/>
      <c r="H5" s="177"/>
      <c r="I5" s="177"/>
      <c r="J5" s="177"/>
      <c r="K5" s="177"/>
      <c r="L5" s="177"/>
      <c r="M5" s="177"/>
      <c r="N5" s="177"/>
      <c r="O5" s="177"/>
      <c r="P5" s="177"/>
      <c r="Q5" s="177"/>
      <c r="R5" s="177"/>
      <c r="S5" s="177"/>
      <c r="T5" s="177"/>
      <c r="U5" s="177"/>
      <c r="V5" s="5"/>
    </row>
    <row r="6" spans="1:22" ht="15.6" x14ac:dyDescent="0.3">
      <c r="A6" s="175"/>
      <c r="B6" s="229" t="s">
        <v>145</v>
      </c>
      <c r="C6" s="177"/>
      <c r="D6" s="177"/>
      <c r="E6" s="177"/>
      <c r="F6" s="177"/>
      <c r="G6" s="177"/>
      <c r="H6" s="177"/>
      <c r="I6" s="177"/>
      <c r="J6" s="177"/>
      <c r="K6" s="177"/>
      <c r="L6" s="177"/>
      <c r="M6" s="177"/>
      <c r="N6" s="177"/>
      <c r="O6" s="177"/>
      <c r="P6" s="177"/>
      <c r="Q6" s="177"/>
      <c r="R6" s="177"/>
      <c r="S6" s="177"/>
      <c r="T6" s="177"/>
      <c r="U6" s="177"/>
      <c r="V6" s="5"/>
    </row>
    <row r="7" spans="1:22" ht="15.6" x14ac:dyDescent="0.3">
      <c r="A7" s="175"/>
      <c r="B7" s="229" t="s">
        <v>144</v>
      </c>
      <c r="C7" s="177"/>
      <c r="D7" s="177"/>
      <c r="E7" s="177"/>
      <c r="F7" s="177"/>
      <c r="G7" s="177"/>
      <c r="H7" s="177"/>
      <c r="I7" s="177"/>
      <c r="J7" s="177"/>
      <c r="K7" s="177"/>
      <c r="L7" s="177"/>
      <c r="M7" s="177"/>
      <c r="N7" s="177"/>
      <c r="O7" s="177"/>
      <c r="P7" s="177"/>
      <c r="Q7" s="177"/>
      <c r="R7" s="177"/>
      <c r="S7" s="177"/>
      <c r="T7" s="177"/>
      <c r="U7" s="177"/>
      <c r="V7" s="5"/>
    </row>
    <row r="8" spans="1:22" ht="15.6" x14ac:dyDescent="0.3">
      <c r="A8" s="175"/>
      <c r="B8" s="180"/>
      <c r="C8" s="177"/>
      <c r="D8" s="177"/>
      <c r="E8" s="177"/>
      <c r="F8" s="177"/>
      <c r="G8" s="177"/>
      <c r="H8" s="177"/>
      <c r="I8" s="177"/>
      <c r="J8" s="177"/>
      <c r="K8" s="177"/>
      <c r="L8" s="177"/>
      <c r="M8" s="177"/>
      <c r="N8" s="177"/>
      <c r="O8" s="177"/>
      <c r="P8" s="177"/>
      <c r="Q8" s="177"/>
      <c r="R8" s="177"/>
      <c r="S8" s="177"/>
      <c r="T8" s="177"/>
      <c r="U8" s="177"/>
      <c r="V8" s="5"/>
    </row>
    <row r="9" spans="1:22" ht="17.399999999999999" x14ac:dyDescent="0.3">
      <c r="A9" s="175"/>
      <c r="B9" s="181" t="s">
        <v>173</v>
      </c>
      <c r="C9" s="177"/>
      <c r="D9" s="177"/>
      <c r="E9" s="177"/>
      <c r="F9" s="177"/>
      <c r="G9" s="177"/>
      <c r="H9" s="177"/>
      <c r="I9" s="177"/>
      <c r="J9" s="182" t="s">
        <v>174</v>
      </c>
      <c r="K9" s="177"/>
      <c r="L9" s="182"/>
      <c r="M9" s="177"/>
      <c r="N9" s="177"/>
      <c r="O9" s="177"/>
      <c r="P9" s="177"/>
      <c r="Q9" s="177"/>
      <c r="R9" s="177"/>
      <c r="S9" s="177"/>
      <c r="T9" s="177"/>
      <c r="U9" s="177"/>
      <c r="V9" s="5"/>
    </row>
    <row r="10" spans="1:22" ht="15.6" x14ac:dyDescent="0.3">
      <c r="A10" s="175"/>
      <c r="B10" s="180"/>
      <c r="C10" s="183"/>
      <c r="D10" s="183"/>
      <c r="E10" s="183"/>
      <c r="F10" s="177"/>
      <c r="G10" s="177"/>
      <c r="H10" s="177"/>
      <c r="I10" s="177"/>
      <c r="J10" s="177"/>
      <c r="K10" s="177"/>
      <c r="L10" s="177"/>
      <c r="M10" s="177"/>
      <c r="N10" s="177"/>
      <c r="O10" s="177"/>
      <c r="P10" s="177"/>
      <c r="Q10" s="177"/>
      <c r="R10" s="177"/>
      <c r="S10" s="177"/>
      <c r="T10" s="177"/>
      <c r="U10" s="177"/>
      <c r="V10" s="5"/>
    </row>
    <row r="11" spans="1:22" ht="15.6" x14ac:dyDescent="0.3">
      <c r="A11" s="175"/>
      <c r="B11" s="230" t="s">
        <v>0</v>
      </c>
      <c r="C11" s="177"/>
      <c r="D11" s="177"/>
      <c r="E11" s="177"/>
      <c r="F11" s="177"/>
      <c r="G11" s="177"/>
      <c r="H11" s="177"/>
      <c r="I11" s="177"/>
      <c r="J11" s="177"/>
      <c r="K11" s="177"/>
      <c r="L11" s="177"/>
      <c r="M11" s="177"/>
      <c r="N11" s="177"/>
      <c r="O11" s="177"/>
      <c r="P11" s="177"/>
      <c r="Q11" s="177"/>
      <c r="R11" s="177"/>
      <c r="S11" s="177"/>
      <c r="T11" s="177"/>
      <c r="U11" s="177"/>
      <c r="V11" s="5"/>
    </row>
    <row r="12" spans="1:22" ht="16.2" thickBot="1" x14ac:dyDescent="0.35">
      <c r="A12" s="175"/>
      <c r="B12" s="183"/>
      <c r="C12" s="177"/>
      <c r="D12" s="177"/>
      <c r="E12" s="177"/>
      <c r="F12" s="177"/>
      <c r="G12" s="177"/>
      <c r="H12" s="177"/>
      <c r="I12" s="177"/>
      <c r="J12" s="177"/>
      <c r="K12" s="177"/>
      <c r="L12" s="177"/>
      <c r="M12" s="177"/>
      <c r="N12" s="177"/>
      <c r="O12" s="177"/>
      <c r="P12" s="177"/>
      <c r="Q12" s="177"/>
      <c r="R12" s="177"/>
      <c r="S12" s="177"/>
      <c r="T12" s="177"/>
      <c r="U12" s="177"/>
      <c r="V12" s="5"/>
    </row>
    <row r="13" spans="1:22" ht="15.6" x14ac:dyDescent="0.3">
      <c r="A13" s="173"/>
      <c r="B13" s="174"/>
      <c r="C13" s="174"/>
      <c r="D13" s="174"/>
      <c r="E13" s="174"/>
      <c r="F13" s="174"/>
      <c r="G13" s="174"/>
      <c r="H13" s="174"/>
      <c r="I13" s="174"/>
      <c r="J13" s="174"/>
      <c r="K13" s="174"/>
      <c r="L13" s="174"/>
      <c r="M13" s="174"/>
      <c r="N13" s="174"/>
      <c r="O13" s="174"/>
      <c r="P13" s="174"/>
      <c r="Q13" s="174"/>
      <c r="R13" s="174"/>
      <c r="S13" s="174"/>
      <c r="T13" s="174"/>
      <c r="U13" s="174"/>
      <c r="V13" s="5"/>
    </row>
    <row r="14" spans="1:22" ht="15.6" x14ac:dyDescent="0.3">
      <c r="A14" s="175"/>
      <c r="B14" s="230" t="s">
        <v>1</v>
      </c>
      <c r="C14" s="184"/>
      <c r="D14" s="184"/>
      <c r="E14" s="184"/>
      <c r="F14" s="184"/>
      <c r="G14" s="184"/>
      <c r="H14" s="184"/>
      <c r="I14" s="184"/>
      <c r="J14" s="184"/>
      <c r="K14" s="184"/>
      <c r="L14" s="184"/>
      <c r="M14" s="184"/>
      <c r="N14" s="184"/>
      <c r="O14" s="184"/>
      <c r="P14" s="231"/>
      <c r="Q14" s="231"/>
      <c r="R14" s="231"/>
      <c r="S14" s="231"/>
      <c r="T14" s="233" t="s">
        <v>230</v>
      </c>
      <c r="U14" s="184"/>
      <c r="V14" s="5"/>
    </row>
    <row r="15" spans="1:22" ht="15.6" x14ac:dyDescent="0.3">
      <c r="A15" s="175"/>
      <c r="B15" s="230" t="s">
        <v>2</v>
      </c>
      <c r="C15" s="184"/>
      <c r="D15" s="184"/>
      <c r="E15" s="184"/>
      <c r="F15" s="184"/>
      <c r="G15" s="184"/>
      <c r="H15" s="185"/>
      <c r="I15" s="185"/>
      <c r="J15" s="185"/>
      <c r="K15" s="185"/>
      <c r="L15" s="185"/>
      <c r="M15" s="185"/>
      <c r="N15" s="185"/>
      <c r="O15" s="185"/>
      <c r="P15" s="234" t="s">
        <v>107</v>
      </c>
      <c r="Q15" s="235">
        <v>0.40749999999999997</v>
      </c>
      <c r="R15" s="236" t="s">
        <v>146</v>
      </c>
      <c r="S15" s="235">
        <v>0.59250000000000003</v>
      </c>
      <c r="T15" s="233"/>
      <c r="U15" s="184"/>
      <c r="V15" s="5"/>
    </row>
    <row r="16" spans="1:22" ht="15.6" x14ac:dyDescent="0.3">
      <c r="A16" s="175"/>
      <c r="B16" s="230" t="s">
        <v>3</v>
      </c>
      <c r="C16" s="184"/>
      <c r="D16" s="184"/>
      <c r="E16" s="184"/>
      <c r="F16" s="184"/>
      <c r="G16" s="184"/>
      <c r="H16" s="185"/>
      <c r="I16" s="185"/>
      <c r="J16" s="185"/>
      <c r="K16" s="185"/>
      <c r="L16" s="185"/>
      <c r="M16" s="185"/>
      <c r="N16" s="185"/>
      <c r="O16" s="185"/>
      <c r="P16" s="234" t="s">
        <v>107</v>
      </c>
      <c r="Q16" s="235">
        <v>0.46700000000000003</v>
      </c>
      <c r="R16" s="236" t="s">
        <v>146</v>
      </c>
      <c r="S16" s="235">
        <v>0.53300000000000003</v>
      </c>
      <c r="T16" s="233"/>
      <c r="U16" s="184"/>
      <c r="V16" s="5"/>
    </row>
    <row r="17" spans="1:22" ht="15.6" x14ac:dyDescent="0.3">
      <c r="A17" s="175"/>
      <c r="B17" s="230" t="s">
        <v>4</v>
      </c>
      <c r="C17" s="184"/>
      <c r="D17" s="184"/>
      <c r="E17" s="184"/>
      <c r="F17" s="184"/>
      <c r="G17" s="184"/>
      <c r="H17" s="184"/>
      <c r="I17" s="184"/>
      <c r="J17" s="184"/>
      <c r="K17" s="184"/>
      <c r="L17" s="184"/>
      <c r="M17" s="184"/>
      <c r="N17" s="184"/>
      <c r="O17" s="184"/>
      <c r="P17" s="231"/>
      <c r="Q17" s="231"/>
      <c r="R17" s="231"/>
      <c r="S17" s="231"/>
      <c r="T17" s="237">
        <v>38799</v>
      </c>
      <c r="U17" s="184"/>
      <c r="V17" s="5"/>
    </row>
    <row r="18" spans="1:22" ht="15.6" x14ac:dyDescent="0.3">
      <c r="A18" s="175"/>
      <c r="B18" s="230" t="s">
        <v>5</v>
      </c>
      <c r="C18" s="184"/>
      <c r="D18" s="184"/>
      <c r="E18" s="184"/>
      <c r="F18" s="184"/>
      <c r="G18" s="184"/>
      <c r="H18" s="184"/>
      <c r="I18" s="184"/>
      <c r="J18" s="184"/>
      <c r="K18" s="184"/>
      <c r="L18" s="184"/>
      <c r="M18" s="184"/>
      <c r="N18" s="184"/>
      <c r="O18" s="184"/>
      <c r="P18" s="231"/>
      <c r="Q18" s="231"/>
      <c r="R18" s="231"/>
      <c r="S18" s="231"/>
      <c r="T18" s="237">
        <v>42207</v>
      </c>
      <c r="U18" s="184"/>
      <c r="V18" s="5"/>
    </row>
    <row r="19" spans="1:22" ht="15.6" x14ac:dyDescent="0.3">
      <c r="A19" s="175"/>
      <c r="B19" s="177"/>
      <c r="C19" s="177"/>
      <c r="D19" s="177"/>
      <c r="E19" s="177"/>
      <c r="F19" s="177"/>
      <c r="G19" s="177"/>
      <c r="H19" s="177"/>
      <c r="I19" s="177"/>
      <c r="J19" s="177"/>
      <c r="K19" s="177"/>
      <c r="L19" s="177"/>
      <c r="M19" s="177"/>
      <c r="N19" s="177"/>
      <c r="O19" s="177"/>
      <c r="P19" s="177"/>
      <c r="Q19" s="177"/>
      <c r="R19" s="177"/>
      <c r="S19" s="177"/>
      <c r="T19" s="186"/>
      <c r="U19" s="177"/>
      <c r="V19" s="5"/>
    </row>
    <row r="20" spans="1:22" ht="15.6" x14ac:dyDescent="0.3">
      <c r="A20" s="175"/>
      <c r="B20" s="232" t="s">
        <v>6</v>
      </c>
      <c r="C20" s="177"/>
      <c r="D20" s="177"/>
      <c r="E20" s="177"/>
      <c r="F20" s="177"/>
      <c r="G20" s="177"/>
      <c r="H20" s="177"/>
      <c r="I20" s="177"/>
      <c r="J20" s="177"/>
      <c r="K20" s="177"/>
      <c r="L20" s="177"/>
      <c r="M20" s="177"/>
      <c r="N20" s="177"/>
      <c r="O20" s="177"/>
      <c r="P20" s="177"/>
      <c r="Q20" s="177"/>
      <c r="R20" s="238" t="s">
        <v>108</v>
      </c>
      <c r="S20" s="177"/>
      <c r="T20" s="188"/>
      <c r="U20" s="177"/>
      <c r="V20" s="5"/>
    </row>
    <row r="21" spans="1:22" ht="15.6" x14ac:dyDescent="0.3">
      <c r="A21" s="175"/>
      <c r="B21" s="177"/>
      <c r="C21" s="177"/>
      <c r="D21" s="177"/>
      <c r="E21" s="177"/>
      <c r="F21" s="177"/>
      <c r="G21" s="177"/>
      <c r="H21" s="177"/>
      <c r="I21" s="177"/>
      <c r="J21" s="177"/>
      <c r="K21" s="177"/>
      <c r="L21" s="177"/>
      <c r="M21" s="177"/>
      <c r="N21" s="177"/>
      <c r="O21" s="177"/>
      <c r="P21" s="177"/>
      <c r="Q21" s="177"/>
      <c r="R21" s="177"/>
      <c r="S21" s="177"/>
      <c r="T21" s="189"/>
      <c r="U21" s="177"/>
      <c r="V21" s="5"/>
    </row>
    <row r="22" spans="1:22" ht="15.6" x14ac:dyDescent="0.3">
      <c r="A22" s="222"/>
      <c r="B22" s="223"/>
      <c r="C22" s="224"/>
      <c r="D22" s="224" t="s">
        <v>184</v>
      </c>
      <c r="E22" s="224"/>
      <c r="F22" s="224" t="s">
        <v>185</v>
      </c>
      <c r="G22" s="224"/>
      <c r="H22" s="224" t="s">
        <v>186</v>
      </c>
      <c r="I22" s="224"/>
      <c r="J22" s="224" t="s">
        <v>187</v>
      </c>
      <c r="K22" s="224"/>
      <c r="L22" s="224" t="s">
        <v>188</v>
      </c>
      <c r="M22" s="224"/>
      <c r="N22" s="224" t="s">
        <v>189</v>
      </c>
      <c r="O22" s="224"/>
      <c r="P22" s="224"/>
      <c r="Q22" s="226"/>
      <c r="R22" s="226"/>
      <c r="S22" s="227"/>
      <c r="T22" s="227"/>
      <c r="U22" s="223"/>
      <c r="V22" s="5"/>
    </row>
    <row r="23" spans="1:22" ht="15.6" x14ac:dyDescent="0.3">
      <c r="A23" s="190"/>
      <c r="B23" s="239" t="s">
        <v>7</v>
      </c>
      <c r="C23" s="240"/>
      <c r="D23" s="240" t="s">
        <v>222</v>
      </c>
      <c r="E23" s="240"/>
      <c r="F23" s="240" t="s">
        <v>147</v>
      </c>
      <c r="G23" s="240"/>
      <c r="H23" s="240" t="s">
        <v>147</v>
      </c>
      <c r="I23" s="240"/>
      <c r="J23" s="240" t="s">
        <v>190</v>
      </c>
      <c r="K23" s="240"/>
      <c r="L23" s="240" t="s">
        <v>190</v>
      </c>
      <c r="M23" s="240"/>
      <c r="N23" s="240" t="s">
        <v>148</v>
      </c>
      <c r="O23" s="240"/>
      <c r="P23" s="240"/>
      <c r="Q23" s="240"/>
      <c r="R23" s="240"/>
      <c r="S23" s="241"/>
      <c r="T23" s="241"/>
      <c r="U23" s="239"/>
      <c r="V23" s="5"/>
    </row>
    <row r="24" spans="1:22" ht="15.6" x14ac:dyDescent="0.3">
      <c r="A24" s="284"/>
      <c r="B24" s="285" t="s">
        <v>8</v>
      </c>
      <c r="C24" s="286"/>
      <c r="D24" s="286" t="s">
        <v>223</v>
      </c>
      <c r="E24" s="286"/>
      <c r="F24" s="286" t="s">
        <v>149</v>
      </c>
      <c r="G24" s="286"/>
      <c r="H24" s="286" t="s">
        <v>149</v>
      </c>
      <c r="I24" s="286"/>
      <c r="J24" s="286" t="s">
        <v>172</v>
      </c>
      <c r="K24" s="286"/>
      <c r="L24" s="286" t="s">
        <v>172</v>
      </c>
      <c r="M24" s="286"/>
      <c r="N24" s="286" t="s">
        <v>150</v>
      </c>
      <c r="O24" s="286"/>
      <c r="P24" s="286"/>
      <c r="Q24" s="286"/>
      <c r="R24" s="286"/>
      <c r="S24" s="287"/>
      <c r="T24" s="287"/>
      <c r="U24" s="288"/>
      <c r="V24" s="5"/>
    </row>
    <row r="25" spans="1:22" ht="15.6" x14ac:dyDescent="0.3">
      <c r="A25" s="289"/>
      <c r="B25" s="285" t="s">
        <v>198</v>
      </c>
      <c r="C25" s="394"/>
      <c r="D25" s="286" t="s">
        <v>224</v>
      </c>
      <c r="E25" s="286"/>
      <c r="F25" s="286" t="s">
        <v>149</v>
      </c>
      <c r="G25" s="286"/>
      <c r="H25" s="286" t="s">
        <v>149</v>
      </c>
      <c r="I25" s="286"/>
      <c r="J25" s="286" t="s">
        <v>172</v>
      </c>
      <c r="K25" s="286"/>
      <c r="L25" s="286" t="s">
        <v>172</v>
      </c>
      <c r="M25" s="286"/>
      <c r="N25" s="286" t="s">
        <v>150</v>
      </c>
      <c r="O25" s="286"/>
      <c r="P25" s="286"/>
      <c r="Q25" s="394"/>
      <c r="R25" s="286"/>
      <c r="S25" s="287"/>
      <c r="T25" s="287"/>
      <c r="U25" s="288"/>
      <c r="V25" s="5"/>
    </row>
    <row r="26" spans="1:22" ht="15.6" x14ac:dyDescent="0.3">
      <c r="A26" s="289"/>
      <c r="B26" s="292" t="s">
        <v>9</v>
      </c>
      <c r="C26" s="394"/>
      <c r="D26" s="394" t="s">
        <v>326</v>
      </c>
      <c r="E26" s="394"/>
      <c r="F26" s="394" t="s">
        <v>327</v>
      </c>
      <c r="G26" s="394"/>
      <c r="H26" s="394" t="s">
        <v>327</v>
      </c>
      <c r="I26" s="394"/>
      <c r="J26" s="394" t="s">
        <v>190</v>
      </c>
      <c r="K26" s="394"/>
      <c r="L26" s="394" t="s">
        <v>190</v>
      </c>
      <c r="M26" s="394"/>
      <c r="N26" s="394" t="s">
        <v>148</v>
      </c>
      <c r="O26" s="394"/>
      <c r="P26" s="394"/>
      <c r="Q26" s="394"/>
      <c r="R26" s="286"/>
      <c r="S26" s="287"/>
      <c r="T26" s="287"/>
      <c r="U26" s="288"/>
      <c r="V26" s="5"/>
    </row>
    <row r="27" spans="1:22" ht="15.6" x14ac:dyDescent="0.3">
      <c r="A27" s="284"/>
      <c r="B27" s="292" t="s">
        <v>199</v>
      </c>
      <c r="C27" s="286"/>
      <c r="D27" s="394" t="s">
        <v>334</v>
      </c>
      <c r="E27" s="394"/>
      <c r="F27" s="394" t="s">
        <v>322</v>
      </c>
      <c r="G27" s="394"/>
      <c r="H27" s="394" t="s">
        <v>322</v>
      </c>
      <c r="I27" s="394"/>
      <c r="J27" s="394" t="s">
        <v>150</v>
      </c>
      <c r="K27" s="394"/>
      <c r="L27" s="394" t="s">
        <v>150</v>
      </c>
      <c r="M27" s="394"/>
      <c r="N27" s="394" t="s">
        <v>333</v>
      </c>
      <c r="O27" s="394"/>
      <c r="P27" s="394"/>
      <c r="Q27" s="286"/>
      <c r="R27" s="293"/>
      <c r="S27" s="287"/>
      <c r="T27" s="287"/>
      <c r="U27" s="288"/>
      <c r="V27" s="5"/>
    </row>
    <row r="28" spans="1:22" ht="15.6" x14ac:dyDescent="0.3">
      <c r="A28" s="284"/>
      <c r="B28" s="292" t="s">
        <v>200</v>
      </c>
      <c r="C28" s="286"/>
      <c r="D28" s="394" t="s">
        <v>332</v>
      </c>
      <c r="E28" s="394"/>
      <c r="F28" s="394" t="s">
        <v>149</v>
      </c>
      <c r="G28" s="394"/>
      <c r="H28" s="394" t="s">
        <v>149</v>
      </c>
      <c r="I28" s="394"/>
      <c r="J28" s="394" t="s">
        <v>149</v>
      </c>
      <c r="K28" s="394"/>
      <c r="L28" s="394" t="s">
        <v>149</v>
      </c>
      <c r="M28" s="394"/>
      <c r="N28" s="394" t="s">
        <v>150</v>
      </c>
      <c r="O28" s="394"/>
      <c r="P28" s="394"/>
      <c r="Q28" s="286"/>
      <c r="R28" s="293"/>
      <c r="S28" s="287"/>
      <c r="T28" s="287"/>
      <c r="U28" s="288"/>
      <c r="V28" s="5"/>
    </row>
    <row r="29" spans="1:22" ht="15.6" x14ac:dyDescent="0.3">
      <c r="A29" s="284"/>
      <c r="B29" s="285" t="s">
        <v>10</v>
      </c>
      <c r="C29" s="295"/>
      <c r="D29" s="286" t="s">
        <v>237</v>
      </c>
      <c r="E29" s="286"/>
      <c r="F29" s="293" t="s">
        <v>238</v>
      </c>
      <c r="G29" s="286"/>
      <c r="H29" s="286" t="s">
        <v>239</v>
      </c>
      <c r="I29" s="286"/>
      <c r="J29" s="286" t="s">
        <v>240</v>
      </c>
      <c r="K29" s="286"/>
      <c r="L29" s="286" t="s">
        <v>241</v>
      </c>
      <c r="M29" s="286"/>
      <c r="N29" s="286" t="s">
        <v>242</v>
      </c>
      <c r="O29" s="286"/>
      <c r="P29" s="286"/>
      <c r="Q29" s="296"/>
      <c r="R29" s="296"/>
      <c r="S29" s="297"/>
      <c r="T29" s="296"/>
      <c r="U29" s="298"/>
      <c r="V29" s="5"/>
    </row>
    <row r="30" spans="1:22" ht="15.6" x14ac:dyDescent="0.3">
      <c r="A30" s="284"/>
      <c r="B30" s="285" t="s">
        <v>10</v>
      </c>
      <c r="C30" s="295"/>
      <c r="D30" s="286" t="s">
        <v>236</v>
      </c>
      <c r="E30" s="286"/>
      <c r="F30" s="293" t="s">
        <v>124</v>
      </c>
      <c r="G30" s="286"/>
      <c r="H30" s="286" t="s">
        <v>124</v>
      </c>
      <c r="I30" s="286"/>
      <c r="J30" s="286" t="s">
        <v>124</v>
      </c>
      <c r="K30" s="286"/>
      <c r="L30" s="286" t="s">
        <v>124</v>
      </c>
      <c r="M30" s="286"/>
      <c r="N30" s="286" t="s">
        <v>124</v>
      </c>
      <c r="O30" s="286"/>
      <c r="P30" s="286"/>
      <c r="Q30" s="296"/>
      <c r="R30" s="296"/>
      <c r="S30" s="297"/>
      <c r="T30" s="296"/>
      <c r="U30" s="298"/>
      <c r="V30" s="5"/>
    </row>
    <row r="31" spans="1:22" ht="15.6" x14ac:dyDescent="0.3">
      <c r="A31" s="289"/>
      <c r="B31" s="285" t="s">
        <v>139</v>
      </c>
      <c r="C31" s="299"/>
      <c r="D31" s="300">
        <v>985000</v>
      </c>
      <c r="E31" s="295"/>
      <c r="F31" s="296">
        <v>149500</v>
      </c>
      <c r="G31" s="296"/>
      <c r="H31" s="301">
        <v>219700</v>
      </c>
      <c r="I31" s="296"/>
      <c r="J31" s="296">
        <v>16000</v>
      </c>
      <c r="K31" s="296"/>
      <c r="L31" s="301">
        <v>82400</v>
      </c>
      <c r="M31" s="296"/>
      <c r="N31" s="301">
        <v>87500</v>
      </c>
      <c r="O31" s="296"/>
      <c r="P31" s="301"/>
      <c r="Q31" s="302"/>
      <c r="R31" s="302"/>
      <c r="S31" s="303"/>
      <c r="T31" s="302"/>
      <c r="U31" s="298"/>
      <c r="V31" s="5"/>
    </row>
    <row r="32" spans="1:22" ht="15.6" x14ac:dyDescent="0.3">
      <c r="A32" s="284"/>
      <c r="B32" s="285" t="s">
        <v>138</v>
      </c>
      <c r="C32" s="295"/>
      <c r="D32" s="300">
        <f>D38*D31</f>
        <v>424122.48200000002</v>
      </c>
      <c r="E32" s="295"/>
      <c r="F32" s="296">
        <f>F38*F31</f>
        <v>64372.098699999995</v>
      </c>
      <c r="G32" s="296"/>
      <c r="H32" s="301">
        <f>H38*H31</f>
        <v>94598.99721999999</v>
      </c>
      <c r="I32" s="296"/>
      <c r="J32" s="296">
        <f>+J31</f>
        <v>16000</v>
      </c>
      <c r="K32" s="296"/>
      <c r="L32" s="301">
        <f>+L31</f>
        <v>82400</v>
      </c>
      <c r="M32" s="296"/>
      <c r="N32" s="301">
        <f>+N31</f>
        <v>87500</v>
      </c>
      <c r="O32" s="296"/>
      <c r="P32" s="301"/>
      <c r="Q32" s="296"/>
      <c r="R32" s="296"/>
      <c r="S32" s="297"/>
      <c r="T32" s="296"/>
      <c r="U32" s="298"/>
      <c r="V32" s="5"/>
    </row>
    <row r="33" spans="1:22" ht="15.6" x14ac:dyDescent="0.3">
      <c r="A33" s="284"/>
      <c r="B33" s="292" t="s">
        <v>140</v>
      </c>
      <c r="C33" s="295"/>
      <c r="D33" s="304">
        <f>D37*D31</f>
        <v>413987.71850000002</v>
      </c>
      <c r="E33" s="299"/>
      <c r="F33" s="302">
        <f>F37*F31</f>
        <v>62833.893199999999</v>
      </c>
      <c r="G33" s="302"/>
      <c r="H33" s="305">
        <f>H31*H37</f>
        <v>92338.503920000003</v>
      </c>
      <c r="I33" s="302"/>
      <c r="J33" s="302">
        <f>J31*J37</f>
        <v>16000</v>
      </c>
      <c r="K33" s="302"/>
      <c r="L33" s="305">
        <f>L31*L37</f>
        <v>82400</v>
      </c>
      <c r="M33" s="302"/>
      <c r="N33" s="305">
        <f>N31*N37</f>
        <v>87500</v>
      </c>
      <c r="O33" s="302"/>
      <c r="P33" s="305"/>
      <c r="Q33" s="296"/>
      <c r="R33" s="296"/>
      <c r="S33" s="297"/>
      <c r="T33" s="296"/>
      <c r="U33" s="298"/>
      <c r="V33" s="5"/>
    </row>
    <row r="34" spans="1:22" ht="15.6" x14ac:dyDescent="0.3">
      <c r="A34" s="289"/>
      <c r="B34" s="285" t="s">
        <v>283</v>
      </c>
      <c r="C34" s="299"/>
      <c r="D34" s="296">
        <v>567282</v>
      </c>
      <c r="E34" s="295"/>
      <c r="F34" s="296">
        <v>149500</v>
      </c>
      <c r="G34" s="296"/>
      <c r="H34" s="296">
        <v>150716</v>
      </c>
      <c r="I34" s="296"/>
      <c r="J34" s="296">
        <v>16000</v>
      </c>
      <c r="K34" s="296"/>
      <c r="L34" s="296">
        <v>56527</v>
      </c>
      <c r="M34" s="296"/>
      <c r="N34" s="296">
        <v>60025</v>
      </c>
      <c r="O34" s="296"/>
      <c r="P34" s="296"/>
      <c r="Q34" s="302"/>
      <c r="R34" s="302"/>
      <c r="S34" s="303"/>
      <c r="T34" s="296">
        <f>SUM(C34:P34)</f>
        <v>1000050</v>
      </c>
      <c r="U34" s="298"/>
      <c r="V34" s="5"/>
    </row>
    <row r="35" spans="1:22" ht="15.6" x14ac:dyDescent="0.3">
      <c r="A35" s="289"/>
      <c r="B35" s="285" t="s">
        <v>284</v>
      </c>
      <c r="C35" s="299"/>
      <c r="D35" s="296">
        <f>D38*D34</f>
        <v>244260.96429840001</v>
      </c>
      <c r="E35" s="295"/>
      <c r="F35" s="296">
        <f>F38*F34</f>
        <v>64372.098699999995</v>
      </c>
      <c r="G35" s="296"/>
      <c r="H35" s="296">
        <f>H38*H34</f>
        <v>64895.687141599999</v>
      </c>
      <c r="I35" s="296"/>
      <c r="J35" s="296">
        <f>+J34</f>
        <v>16000</v>
      </c>
      <c r="K35" s="296"/>
      <c r="L35" s="296">
        <f>+L34</f>
        <v>56527</v>
      </c>
      <c r="M35" s="296"/>
      <c r="N35" s="296">
        <f>+N34</f>
        <v>60025</v>
      </c>
      <c r="O35" s="296"/>
      <c r="P35" s="296"/>
      <c r="Q35" s="296"/>
      <c r="R35" s="296"/>
      <c r="S35" s="297"/>
      <c r="T35" s="296">
        <f>SUM(C35:P35)+1</f>
        <v>506081.75014000002</v>
      </c>
      <c r="U35" s="298"/>
      <c r="V35" s="5"/>
    </row>
    <row r="36" spans="1:22" ht="15.6" x14ac:dyDescent="0.3">
      <c r="A36" s="289"/>
      <c r="B36" s="292" t="s">
        <v>285</v>
      </c>
      <c r="C36" s="299"/>
      <c r="D36" s="302">
        <f>D37*D34</f>
        <v>238424.14307220001</v>
      </c>
      <c r="E36" s="299"/>
      <c r="F36" s="302">
        <f>F37*F34</f>
        <v>62833.893199999999</v>
      </c>
      <c r="G36" s="302"/>
      <c r="H36" s="302">
        <f>H37*H34</f>
        <v>63344.970217599999</v>
      </c>
      <c r="I36" s="302"/>
      <c r="J36" s="302">
        <f>+J34</f>
        <v>16000</v>
      </c>
      <c r="K36" s="302"/>
      <c r="L36" s="302">
        <f>+L34</f>
        <v>56527</v>
      </c>
      <c r="M36" s="302"/>
      <c r="N36" s="302">
        <f>+N34</f>
        <v>60025</v>
      </c>
      <c r="O36" s="302"/>
      <c r="P36" s="302"/>
      <c r="Q36" s="327"/>
      <c r="R36" s="327"/>
      <c r="S36" s="297"/>
      <c r="T36" s="302">
        <f>SUM(C36:P36)+1</f>
        <v>497156.0064898</v>
      </c>
      <c r="U36" s="298"/>
      <c r="V36" s="5"/>
    </row>
    <row r="37" spans="1:22" ht="15.6" x14ac:dyDescent="0.3">
      <c r="A37" s="284"/>
      <c r="B37" s="310" t="s">
        <v>136</v>
      </c>
      <c r="C37" s="311"/>
      <c r="D37" s="312">
        <v>0.4202921</v>
      </c>
      <c r="E37" s="313"/>
      <c r="F37" s="312">
        <v>0.42029359999999999</v>
      </c>
      <c r="G37" s="314"/>
      <c r="H37" s="312">
        <v>0.42029359999999999</v>
      </c>
      <c r="I37" s="314"/>
      <c r="J37" s="312">
        <v>1</v>
      </c>
      <c r="K37" s="314"/>
      <c r="L37" s="312">
        <v>1</v>
      </c>
      <c r="M37" s="314"/>
      <c r="N37" s="312">
        <v>1</v>
      </c>
      <c r="O37" s="314"/>
      <c r="P37" s="314"/>
      <c r="Q37" s="315"/>
      <c r="R37" s="315"/>
      <c r="S37" s="316"/>
      <c r="T37" s="316"/>
      <c r="U37" s="317"/>
      <c r="V37" s="5"/>
    </row>
    <row r="38" spans="1:22" ht="15.6" x14ac:dyDescent="0.3">
      <c r="A38" s="284"/>
      <c r="B38" s="310" t="s">
        <v>137</v>
      </c>
      <c r="C38" s="311"/>
      <c r="D38" s="312">
        <v>0.4305812</v>
      </c>
      <c r="E38" s="313"/>
      <c r="F38" s="312">
        <v>0.43058259999999998</v>
      </c>
      <c r="G38" s="314"/>
      <c r="H38" s="312">
        <v>0.43058259999999998</v>
      </c>
      <c r="I38" s="314"/>
      <c r="J38" s="312">
        <v>1</v>
      </c>
      <c r="K38" s="314"/>
      <c r="L38" s="312">
        <v>1</v>
      </c>
      <c r="M38" s="314"/>
      <c r="N38" s="312">
        <v>1</v>
      </c>
      <c r="O38" s="314"/>
      <c r="P38" s="314"/>
      <c r="Q38" s="318"/>
      <c r="R38" s="319"/>
      <c r="S38" s="316"/>
      <c r="T38" s="318"/>
      <c r="U38" s="317"/>
      <c r="V38" s="5"/>
    </row>
    <row r="39" spans="1:22" ht="15.6" x14ac:dyDescent="0.3">
      <c r="A39" s="284"/>
      <c r="B39" s="285" t="s">
        <v>11</v>
      </c>
      <c r="C39" s="285"/>
      <c r="D39" s="293" t="s">
        <v>275</v>
      </c>
      <c r="E39" s="285"/>
      <c r="F39" s="293" t="s">
        <v>232</v>
      </c>
      <c r="G39" s="293"/>
      <c r="H39" s="293" t="s">
        <v>232</v>
      </c>
      <c r="I39" s="293"/>
      <c r="J39" s="293" t="s">
        <v>234</v>
      </c>
      <c r="K39" s="293"/>
      <c r="L39" s="293" t="s">
        <v>234</v>
      </c>
      <c r="M39" s="293"/>
      <c r="N39" s="293" t="s">
        <v>235</v>
      </c>
      <c r="O39" s="293"/>
      <c r="P39" s="293"/>
      <c r="Q39" s="320"/>
      <c r="R39" s="321"/>
      <c r="S39" s="287"/>
      <c r="T39" s="287"/>
      <c r="U39" s="288"/>
      <c r="V39" s="5"/>
    </row>
    <row r="40" spans="1:22" ht="15.6" x14ac:dyDescent="0.3">
      <c r="A40" s="284"/>
      <c r="B40" s="285" t="s">
        <v>12</v>
      </c>
      <c r="C40" s="285"/>
      <c r="D40" s="321">
        <v>2.8549999999999999E-3</v>
      </c>
      <c r="E40" s="285"/>
      <c r="F40" s="321">
        <v>8.1212999999999997E-3</v>
      </c>
      <c r="G40" s="320"/>
      <c r="H40" s="321">
        <v>2.5100000000000001E-3</v>
      </c>
      <c r="I40" s="320"/>
      <c r="J40" s="321">
        <v>1.0521300000000001E-2</v>
      </c>
      <c r="K40" s="320"/>
      <c r="L40" s="321">
        <v>4.9100000000000003E-3</v>
      </c>
      <c r="M40" s="320"/>
      <c r="N40" s="321">
        <v>9.11E-3</v>
      </c>
      <c r="O40" s="320"/>
      <c r="P40" s="321"/>
      <c r="Q40" s="320"/>
      <c r="R40" s="321"/>
      <c r="S40" s="287"/>
      <c r="T40" s="293"/>
      <c r="U40" s="288"/>
      <c r="V40" s="5"/>
    </row>
    <row r="41" spans="1:22" ht="15.6" x14ac:dyDescent="0.3">
      <c r="A41" s="284"/>
      <c r="B41" s="285" t="s">
        <v>13</v>
      </c>
      <c r="C41" s="285"/>
      <c r="D41" s="321">
        <v>2.745E-3</v>
      </c>
      <c r="E41" s="285"/>
      <c r="F41" s="321">
        <v>7.9968999999999995E-3</v>
      </c>
      <c r="G41" s="320"/>
      <c r="H41" s="321">
        <v>3.1099999999999999E-3</v>
      </c>
      <c r="I41" s="320"/>
      <c r="J41" s="321">
        <v>1.0396900000000001E-2</v>
      </c>
      <c r="K41" s="320"/>
      <c r="L41" s="321">
        <v>5.5100000000000001E-3</v>
      </c>
      <c r="M41" s="320"/>
      <c r="N41" s="321">
        <v>9.7099999999999999E-3</v>
      </c>
      <c r="O41" s="320"/>
      <c r="P41" s="321"/>
      <c r="Q41" s="320"/>
      <c r="R41" s="321"/>
      <c r="S41" s="287"/>
      <c r="T41" s="320" t="s">
        <v>201</v>
      </c>
      <c r="U41" s="288"/>
      <c r="V41" s="5"/>
    </row>
    <row r="42" spans="1:22" ht="15.6" x14ac:dyDescent="0.3">
      <c r="A42" s="284"/>
      <c r="B42" s="285" t="s">
        <v>286</v>
      </c>
      <c r="C42" s="285"/>
      <c r="D42" s="293" t="s">
        <v>231</v>
      </c>
      <c r="E42" s="285"/>
      <c r="F42" s="293" t="s">
        <v>232</v>
      </c>
      <c r="G42" s="293"/>
      <c r="H42" s="293" t="s">
        <v>232</v>
      </c>
      <c r="I42" s="293"/>
      <c r="J42" s="293" t="s">
        <v>234</v>
      </c>
      <c r="K42" s="293"/>
      <c r="L42" s="293" t="s">
        <v>245</v>
      </c>
      <c r="M42" s="293"/>
      <c r="N42" s="293" t="s">
        <v>247</v>
      </c>
      <c r="O42" s="293"/>
      <c r="P42" s="293"/>
      <c r="Q42" s="320"/>
      <c r="R42" s="321"/>
      <c r="S42" s="287"/>
      <c r="T42" s="287"/>
      <c r="U42" s="288"/>
      <c r="V42" s="5"/>
    </row>
    <row r="43" spans="1:22" ht="15.6" x14ac:dyDescent="0.3">
      <c r="A43" s="284"/>
      <c r="B43" s="285" t="s">
        <v>287</v>
      </c>
      <c r="C43" s="322"/>
      <c r="D43" s="321">
        <v>6.9575000000000001E-3</v>
      </c>
      <c r="E43" s="321"/>
      <c r="F43" s="321">
        <f>+F40</f>
        <v>8.1212999999999997E-3</v>
      </c>
      <c r="G43" s="321"/>
      <c r="H43" s="321">
        <v>8.1172999999999992E-3</v>
      </c>
      <c r="I43" s="321"/>
      <c r="J43" s="321">
        <f>+J40</f>
        <v>1.0521300000000001E-2</v>
      </c>
      <c r="K43" s="321"/>
      <c r="L43" s="321">
        <v>1.08273E-2</v>
      </c>
      <c r="M43" s="321"/>
      <c r="N43" s="321">
        <v>1.55313E-2</v>
      </c>
      <c r="O43" s="320"/>
      <c r="P43" s="321"/>
      <c r="Q43" s="293"/>
      <c r="R43" s="293"/>
      <c r="S43" s="287"/>
      <c r="T43" s="320">
        <f>SUMPRODUCT(D43:N43,D35:N35)/T35</f>
        <v>8.8160666016482269E-3</v>
      </c>
      <c r="U43" s="288"/>
      <c r="V43" s="5"/>
    </row>
    <row r="44" spans="1:22" ht="15.6" x14ac:dyDescent="0.3">
      <c r="A44" s="284"/>
      <c r="B44" s="285" t="s">
        <v>288</v>
      </c>
      <c r="C44" s="322"/>
      <c r="D44" s="321">
        <v>6.8330999999999999E-3</v>
      </c>
      <c r="E44" s="321"/>
      <c r="F44" s="321">
        <f>+F41</f>
        <v>7.9968999999999995E-3</v>
      </c>
      <c r="G44" s="321"/>
      <c r="H44" s="321">
        <v>7.9929000000000007E-3</v>
      </c>
      <c r="I44" s="321"/>
      <c r="J44" s="321">
        <f>+J41</f>
        <v>1.0396900000000001E-2</v>
      </c>
      <c r="K44" s="321"/>
      <c r="L44" s="321">
        <v>1.07029E-2</v>
      </c>
      <c r="M44" s="321"/>
      <c r="N44" s="321">
        <v>1.5406899999999999E-2</v>
      </c>
      <c r="O44" s="320"/>
      <c r="P44" s="321"/>
      <c r="Q44" s="293"/>
      <c r="R44" s="293"/>
      <c r="S44" s="287"/>
      <c r="T44" s="287"/>
      <c r="U44" s="288"/>
      <c r="V44" s="5"/>
    </row>
    <row r="45" spans="1:22" ht="15.6" x14ac:dyDescent="0.3">
      <c r="A45" s="284"/>
      <c r="B45" s="285" t="s">
        <v>14</v>
      </c>
      <c r="C45" s="285"/>
      <c r="D45" s="322">
        <v>40283</v>
      </c>
      <c r="E45" s="322"/>
      <c r="F45" s="322">
        <v>40283</v>
      </c>
      <c r="G45" s="322"/>
      <c r="H45" s="322">
        <v>40283</v>
      </c>
      <c r="I45" s="322"/>
      <c r="J45" s="322">
        <v>40283</v>
      </c>
      <c r="K45" s="322"/>
      <c r="L45" s="322">
        <v>40283</v>
      </c>
      <c r="M45" s="322"/>
      <c r="N45" s="322">
        <v>40283</v>
      </c>
      <c r="O45" s="322"/>
      <c r="P45" s="322"/>
      <c r="Q45" s="293"/>
      <c r="R45" s="293"/>
      <c r="S45" s="287"/>
      <c r="T45" s="287"/>
      <c r="U45" s="288"/>
      <c r="V45" s="5"/>
    </row>
    <row r="46" spans="1:22" ht="15.6" x14ac:dyDescent="0.3">
      <c r="A46" s="284"/>
      <c r="B46" s="285" t="s">
        <v>15</v>
      </c>
      <c r="C46" s="285"/>
      <c r="D46" s="322">
        <v>40648</v>
      </c>
      <c r="E46" s="322"/>
      <c r="F46" s="322">
        <v>40648</v>
      </c>
      <c r="G46" s="322"/>
      <c r="H46" s="322">
        <v>40648</v>
      </c>
      <c r="I46" s="293"/>
      <c r="J46" s="322">
        <v>40648</v>
      </c>
      <c r="K46" s="293"/>
      <c r="L46" s="322">
        <v>40648</v>
      </c>
      <c r="M46" s="293"/>
      <c r="N46" s="322">
        <v>40648</v>
      </c>
      <c r="O46" s="293"/>
      <c r="P46" s="322"/>
      <c r="Q46" s="293"/>
      <c r="R46" s="293"/>
      <c r="S46" s="287"/>
      <c r="T46" s="287"/>
      <c r="U46" s="288"/>
      <c r="V46" s="5"/>
    </row>
    <row r="47" spans="1:22" ht="15.6" x14ac:dyDescent="0.3">
      <c r="A47" s="284"/>
      <c r="B47" s="285" t="s">
        <v>125</v>
      </c>
      <c r="C47" s="285"/>
      <c r="D47" s="293" t="s">
        <v>124</v>
      </c>
      <c r="E47" s="285"/>
      <c r="F47" s="293" t="s">
        <v>232</v>
      </c>
      <c r="G47" s="293"/>
      <c r="H47" s="293" t="s">
        <v>232</v>
      </c>
      <c r="I47" s="293"/>
      <c r="J47" s="293" t="s">
        <v>234</v>
      </c>
      <c r="K47" s="293"/>
      <c r="L47" s="293" t="s">
        <v>234</v>
      </c>
      <c r="M47" s="293"/>
      <c r="N47" s="293" t="s">
        <v>235</v>
      </c>
      <c r="O47" s="293"/>
      <c r="P47" s="293"/>
      <c r="Q47" s="324"/>
      <c r="R47" s="324"/>
      <c r="S47" s="324"/>
      <c r="T47" s="324"/>
      <c r="U47" s="288"/>
      <c r="V47" s="5"/>
    </row>
    <row r="48" spans="1:22" ht="15.6" x14ac:dyDescent="0.3">
      <c r="A48" s="284"/>
      <c r="B48" s="285" t="s">
        <v>289</v>
      </c>
      <c r="C48" s="285"/>
      <c r="D48" s="293" t="s">
        <v>208</v>
      </c>
      <c r="E48" s="285"/>
      <c r="F48" s="293" t="s">
        <v>232</v>
      </c>
      <c r="G48" s="293"/>
      <c r="H48" s="293" t="s">
        <v>232</v>
      </c>
      <c r="I48" s="293"/>
      <c r="J48" s="293" t="s">
        <v>234</v>
      </c>
      <c r="K48" s="293"/>
      <c r="L48" s="293" t="s">
        <v>245</v>
      </c>
      <c r="M48" s="293"/>
      <c r="N48" s="293" t="s">
        <v>247</v>
      </c>
      <c r="O48" s="293"/>
      <c r="P48" s="293"/>
      <c r="Q48" s="285"/>
      <c r="R48" s="285"/>
      <c r="S48" s="285"/>
      <c r="T48" s="320"/>
      <c r="U48" s="288"/>
      <c r="V48" s="5"/>
    </row>
    <row r="49" spans="1:23" ht="15.6" x14ac:dyDescent="0.3">
      <c r="A49" s="284"/>
      <c r="B49" s="285"/>
      <c r="C49" s="285"/>
      <c r="D49" s="293"/>
      <c r="E49" s="285"/>
      <c r="F49" s="293"/>
      <c r="G49" s="293"/>
      <c r="H49" s="293"/>
      <c r="I49" s="293"/>
      <c r="J49" s="293"/>
      <c r="K49" s="293"/>
      <c r="L49" s="293"/>
      <c r="M49" s="293"/>
      <c r="N49" s="293"/>
      <c r="O49" s="293"/>
      <c r="P49" s="293"/>
      <c r="Q49" s="285"/>
      <c r="R49" s="285"/>
      <c r="S49" s="285"/>
      <c r="T49" s="320" t="s">
        <v>201</v>
      </c>
      <c r="U49" s="288"/>
      <c r="V49" s="5"/>
    </row>
    <row r="50" spans="1:23" ht="15.6" x14ac:dyDescent="0.3">
      <c r="A50" s="284"/>
      <c r="B50" s="285" t="s">
        <v>176</v>
      </c>
      <c r="C50" s="285"/>
      <c r="D50" s="293"/>
      <c r="E50" s="285"/>
      <c r="F50" s="293"/>
      <c r="G50" s="293"/>
      <c r="H50" s="293"/>
      <c r="I50" s="293"/>
      <c r="J50" s="293"/>
      <c r="K50" s="293"/>
      <c r="L50" s="293"/>
      <c r="M50" s="293"/>
      <c r="N50" s="293"/>
      <c r="O50" s="293"/>
      <c r="P50" s="293"/>
      <c r="Q50" s="285"/>
      <c r="R50" s="285"/>
      <c r="S50" s="285"/>
      <c r="T50" s="320">
        <f>SUM(J34:P34)/SUM(D34:H34)</f>
        <v>0.15279804679664968</v>
      </c>
      <c r="U50" s="288"/>
      <c r="V50" s="5"/>
    </row>
    <row r="51" spans="1:23" ht="15.6" x14ac:dyDescent="0.3">
      <c r="A51" s="284"/>
      <c r="B51" s="285" t="s">
        <v>177</v>
      </c>
      <c r="C51" s="285"/>
      <c r="D51" s="285"/>
      <c r="E51" s="285"/>
      <c r="F51" s="325"/>
      <c r="G51" s="285"/>
      <c r="H51" s="285"/>
      <c r="I51" s="285"/>
      <c r="J51" s="285"/>
      <c r="K51" s="285"/>
      <c r="L51" s="285"/>
      <c r="M51" s="285"/>
      <c r="N51" s="285"/>
      <c r="O51" s="285"/>
      <c r="P51" s="285"/>
      <c r="Q51" s="285"/>
      <c r="R51" s="285"/>
      <c r="S51" s="285"/>
      <c r="T51" s="320">
        <f>SUM(J36:P36)/SUM(D36:H36)</f>
        <v>0.36355158251748598</v>
      </c>
      <c r="U51" s="288"/>
      <c r="V51" s="5"/>
    </row>
    <row r="52" spans="1:23" ht="15.6" x14ac:dyDescent="0.3">
      <c r="A52" s="284"/>
      <c r="B52" s="285" t="s">
        <v>178</v>
      </c>
      <c r="C52" s="285"/>
      <c r="D52" s="285"/>
      <c r="E52" s="285"/>
      <c r="F52" s="285"/>
      <c r="G52" s="285"/>
      <c r="H52" s="285"/>
      <c r="I52" s="285"/>
      <c r="J52" s="285"/>
      <c r="K52" s="285"/>
      <c r="L52" s="285"/>
      <c r="M52" s="285"/>
      <c r="N52" s="285"/>
      <c r="O52" s="285"/>
      <c r="P52" s="285"/>
      <c r="Q52" s="285"/>
      <c r="R52" s="293" t="s">
        <v>109</v>
      </c>
      <c r="S52" s="293" t="s">
        <v>115</v>
      </c>
      <c r="T52" s="296">
        <f>+T34/2-SUM(J34:P34)</f>
        <v>367473</v>
      </c>
      <c r="U52" s="288"/>
      <c r="V52" s="5"/>
    </row>
    <row r="53" spans="1:23" ht="15.6" x14ac:dyDescent="0.3">
      <c r="A53" s="284"/>
      <c r="B53" s="285"/>
      <c r="C53" s="285"/>
      <c r="D53" s="285"/>
      <c r="E53" s="285"/>
      <c r="F53" s="285"/>
      <c r="G53" s="285"/>
      <c r="H53" s="285"/>
      <c r="I53" s="285"/>
      <c r="J53" s="285"/>
      <c r="K53" s="285"/>
      <c r="L53" s="285"/>
      <c r="M53" s="285"/>
      <c r="N53" s="285"/>
      <c r="O53" s="285"/>
      <c r="P53" s="285"/>
      <c r="Q53" s="285"/>
      <c r="R53" s="285"/>
      <c r="S53" s="285"/>
      <c r="T53" s="326"/>
      <c r="U53" s="288"/>
      <c r="V53" s="5"/>
    </row>
    <row r="54" spans="1:23" ht="15.6" x14ac:dyDescent="0.3">
      <c r="A54" s="284"/>
      <c r="B54" s="285" t="s">
        <v>211</v>
      </c>
      <c r="C54" s="285"/>
      <c r="D54" s="285"/>
      <c r="E54" s="285"/>
      <c r="F54" s="285"/>
      <c r="G54" s="285"/>
      <c r="H54" s="285"/>
      <c r="I54" s="285"/>
      <c r="J54" s="285"/>
      <c r="K54" s="285"/>
      <c r="L54" s="285"/>
      <c r="M54" s="285"/>
      <c r="N54" s="285"/>
      <c r="O54" s="285"/>
      <c r="P54" s="285"/>
      <c r="Q54" s="285"/>
      <c r="R54" s="285"/>
      <c r="S54" s="285"/>
      <c r="T54" s="327" t="s">
        <v>212</v>
      </c>
      <c r="U54" s="288"/>
      <c r="V54" s="5"/>
    </row>
    <row r="55" spans="1:23" ht="15.6" x14ac:dyDescent="0.3">
      <c r="A55" s="284"/>
      <c r="B55" s="285" t="s">
        <v>253</v>
      </c>
      <c r="C55" s="285"/>
      <c r="D55" s="285"/>
      <c r="E55" s="285"/>
      <c r="F55" s="285"/>
      <c r="G55" s="285"/>
      <c r="H55" s="285"/>
      <c r="I55" s="285"/>
      <c r="J55" s="285"/>
      <c r="K55" s="285"/>
      <c r="L55" s="285"/>
      <c r="M55" s="285"/>
      <c r="N55" s="285"/>
      <c r="O55" s="285"/>
      <c r="P55" s="285"/>
      <c r="Q55" s="285"/>
      <c r="R55" s="293"/>
      <c r="S55" s="293"/>
      <c r="T55" s="328" t="s">
        <v>117</v>
      </c>
      <c r="U55" s="288"/>
      <c r="V55" s="5"/>
    </row>
    <row r="56" spans="1:23" ht="15.6" x14ac:dyDescent="0.3">
      <c r="A56" s="284"/>
      <c r="B56" s="292" t="s">
        <v>210</v>
      </c>
      <c r="C56" s="292"/>
      <c r="D56" s="292"/>
      <c r="E56" s="292"/>
      <c r="F56" s="292"/>
      <c r="G56" s="292"/>
      <c r="H56" s="292"/>
      <c r="I56" s="292"/>
      <c r="J56" s="292"/>
      <c r="K56" s="292"/>
      <c r="L56" s="292"/>
      <c r="M56" s="292"/>
      <c r="N56" s="292"/>
      <c r="O56" s="292"/>
      <c r="P56" s="292"/>
      <c r="Q56" s="292"/>
      <c r="R56" s="329"/>
      <c r="S56" s="329"/>
      <c r="T56" s="330">
        <v>42200</v>
      </c>
      <c r="U56" s="288"/>
      <c r="V56" s="5"/>
    </row>
    <row r="57" spans="1:23" ht="15.6" x14ac:dyDescent="0.3">
      <c r="A57" s="284"/>
      <c r="B57" s="285" t="s">
        <v>127</v>
      </c>
      <c r="C57" s="285"/>
      <c r="D57" s="285"/>
      <c r="E57" s="285"/>
      <c r="F57" s="285"/>
      <c r="G57" s="285"/>
      <c r="H57" s="331"/>
      <c r="I57" s="331"/>
      <c r="J57" s="331"/>
      <c r="K57" s="331"/>
      <c r="L57" s="331"/>
      <c r="M57" s="331"/>
      <c r="N57" s="331"/>
      <c r="O57" s="331"/>
      <c r="P57" s="285">
        <f>+T57-R57+1</f>
        <v>90</v>
      </c>
      <c r="Q57" s="331"/>
      <c r="R57" s="332">
        <v>42019</v>
      </c>
      <c r="S57" s="333"/>
      <c r="T57" s="332">
        <v>42108</v>
      </c>
      <c r="U57" s="288"/>
      <c r="V57" s="5"/>
    </row>
    <row r="58" spans="1:23" ht="15.6" x14ac:dyDescent="0.3">
      <c r="A58" s="284"/>
      <c r="B58" s="285" t="s">
        <v>128</v>
      </c>
      <c r="C58" s="285"/>
      <c r="D58" s="285"/>
      <c r="E58" s="285"/>
      <c r="F58" s="285"/>
      <c r="G58" s="285"/>
      <c r="H58" s="285"/>
      <c r="I58" s="285"/>
      <c r="J58" s="285"/>
      <c r="K58" s="285"/>
      <c r="L58" s="285"/>
      <c r="M58" s="285"/>
      <c r="N58" s="285"/>
      <c r="O58" s="285"/>
      <c r="P58" s="285">
        <f>+T58-R58+1</f>
        <v>91</v>
      </c>
      <c r="Q58" s="285"/>
      <c r="R58" s="332">
        <v>42109</v>
      </c>
      <c r="S58" s="333"/>
      <c r="T58" s="332">
        <v>42199</v>
      </c>
      <c r="U58" s="288"/>
      <c r="V58" s="5"/>
    </row>
    <row r="59" spans="1:23" ht="15.6" x14ac:dyDescent="0.3">
      <c r="A59" s="284"/>
      <c r="B59" s="285" t="s">
        <v>209</v>
      </c>
      <c r="C59" s="285"/>
      <c r="D59" s="285"/>
      <c r="E59" s="285"/>
      <c r="F59" s="285"/>
      <c r="G59" s="285"/>
      <c r="H59" s="285"/>
      <c r="I59" s="285"/>
      <c r="J59" s="285"/>
      <c r="K59" s="285"/>
      <c r="L59" s="285"/>
      <c r="M59" s="285"/>
      <c r="N59" s="285"/>
      <c r="O59" s="285"/>
      <c r="P59" s="285"/>
      <c r="Q59" s="285"/>
      <c r="R59" s="332"/>
      <c r="S59" s="333"/>
      <c r="T59" s="332" t="s">
        <v>126</v>
      </c>
      <c r="U59" s="288"/>
      <c r="V59" s="5"/>
    </row>
    <row r="60" spans="1:23" ht="15.6" x14ac:dyDescent="0.3">
      <c r="A60" s="284"/>
      <c r="B60" s="285" t="s">
        <v>249</v>
      </c>
      <c r="C60" s="285"/>
      <c r="D60" s="285"/>
      <c r="E60" s="285"/>
      <c r="F60" s="285"/>
      <c r="G60" s="285"/>
      <c r="H60" s="285"/>
      <c r="I60" s="285"/>
      <c r="J60" s="285"/>
      <c r="K60" s="285"/>
      <c r="L60" s="285"/>
      <c r="M60" s="285"/>
      <c r="N60" s="285"/>
      <c r="O60" s="285"/>
      <c r="P60" s="285"/>
      <c r="Q60" s="285"/>
      <c r="R60" s="332"/>
      <c r="S60" s="333"/>
      <c r="T60" s="332" t="s">
        <v>160</v>
      </c>
      <c r="U60" s="288"/>
      <c r="V60" s="5"/>
      <c r="W60" s="134"/>
    </row>
    <row r="61" spans="1:23" ht="15.6" x14ac:dyDescent="0.3">
      <c r="A61" s="284"/>
      <c r="B61" s="285" t="s">
        <v>16</v>
      </c>
      <c r="C61" s="285"/>
      <c r="D61" s="285"/>
      <c r="E61" s="285"/>
      <c r="F61" s="285"/>
      <c r="G61" s="285"/>
      <c r="H61" s="285"/>
      <c r="I61" s="285"/>
      <c r="J61" s="285"/>
      <c r="K61" s="285"/>
      <c r="L61" s="285"/>
      <c r="M61" s="285"/>
      <c r="N61" s="285"/>
      <c r="O61" s="285"/>
      <c r="P61" s="285"/>
      <c r="Q61" s="285"/>
      <c r="R61" s="332"/>
      <c r="S61" s="333"/>
      <c r="T61" s="332">
        <v>42186</v>
      </c>
      <c r="U61" s="288"/>
      <c r="V61" s="5"/>
    </row>
    <row r="62" spans="1:23" ht="15.6" x14ac:dyDescent="0.3">
      <c r="A62" s="175"/>
      <c r="B62" s="281"/>
      <c r="C62" s="281"/>
      <c r="D62" s="281"/>
      <c r="E62" s="281"/>
      <c r="F62" s="281"/>
      <c r="G62" s="281"/>
      <c r="H62" s="281"/>
      <c r="I62" s="281"/>
      <c r="J62" s="281"/>
      <c r="K62" s="281"/>
      <c r="L62" s="281"/>
      <c r="M62" s="281"/>
      <c r="N62" s="281"/>
      <c r="O62" s="281"/>
      <c r="P62" s="281"/>
      <c r="Q62" s="281"/>
      <c r="R62" s="282"/>
      <c r="S62" s="283"/>
      <c r="T62" s="282"/>
      <c r="U62" s="281"/>
      <c r="V62" s="5"/>
    </row>
    <row r="63" spans="1:23" ht="15.6" x14ac:dyDescent="0.3">
      <c r="A63" s="175"/>
      <c r="B63" s="231"/>
      <c r="C63" s="231"/>
      <c r="D63" s="231"/>
      <c r="E63" s="231"/>
      <c r="F63" s="231"/>
      <c r="G63" s="231"/>
      <c r="H63" s="231"/>
      <c r="I63" s="231"/>
      <c r="J63" s="231"/>
      <c r="K63" s="231"/>
      <c r="L63" s="231"/>
      <c r="M63" s="231"/>
      <c r="N63" s="231"/>
      <c r="O63" s="231"/>
      <c r="P63" s="231"/>
      <c r="Q63" s="231"/>
      <c r="R63" s="244"/>
      <c r="S63" s="245"/>
      <c r="T63" s="244"/>
      <c r="U63" s="231"/>
      <c r="V63" s="5"/>
    </row>
    <row r="64" spans="1:23" ht="18" thickBot="1" x14ac:dyDescent="0.35">
      <c r="A64" s="192"/>
      <c r="B64" s="246" t="s">
        <v>331</v>
      </c>
      <c r="C64" s="247"/>
      <c r="D64" s="247"/>
      <c r="E64" s="247"/>
      <c r="F64" s="247"/>
      <c r="G64" s="247"/>
      <c r="H64" s="247"/>
      <c r="I64" s="247"/>
      <c r="J64" s="247"/>
      <c r="K64" s="247"/>
      <c r="L64" s="247"/>
      <c r="M64" s="247"/>
      <c r="N64" s="247"/>
      <c r="O64" s="247"/>
      <c r="P64" s="247"/>
      <c r="Q64" s="247"/>
      <c r="R64" s="247"/>
      <c r="S64" s="247"/>
      <c r="T64" s="248"/>
      <c r="U64" s="249"/>
      <c r="V64" s="5"/>
    </row>
    <row r="65" spans="1:22" ht="15.6" x14ac:dyDescent="0.3">
      <c r="A65" s="222"/>
      <c r="B65" s="395" t="s">
        <v>17</v>
      </c>
      <c r="C65" s="223"/>
      <c r="D65" s="223"/>
      <c r="E65" s="223"/>
      <c r="F65" s="223"/>
      <c r="G65" s="223"/>
      <c r="H65" s="223"/>
      <c r="I65" s="223"/>
      <c r="J65" s="223"/>
      <c r="K65" s="223"/>
      <c r="L65" s="223"/>
      <c r="M65" s="223"/>
      <c r="N65" s="223"/>
      <c r="O65" s="223"/>
      <c r="P65" s="223"/>
      <c r="Q65" s="223"/>
      <c r="R65" s="223"/>
      <c r="S65" s="223"/>
      <c r="T65" s="250"/>
      <c r="U65" s="223"/>
      <c r="V65" s="5"/>
    </row>
    <row r="66" spans="1:22" ht="15.6" x14ac:dyDescent="0.3">
      <c r="A66" s="175"/>
      <c r="B66" s="183"/>
      <c r="C66" s="177"/>
      <c r="D66" s="177"/>
      <c r="E66" s="177"/>
      <c r="F66" s="177"/>
      <c r="G66" s="177"/>
      <c r="H66" s="177"/>
      <c r="I66" s="177"/>
      <c r="J66" s="177"/>
      <c r="K66" s="177"/>
      <c r="L66" s="177"/>
      <c r="M66" s="177"/>
      <c r="N66" s="177"/>
      <c r="O66" s="177"/>
      <c r="P66" s="177"/>
      <c r="Q66" s="177"/>
      <c r="R66" s="177"/>
      <c r="S66" s="177"/>
      <c r="T66" s="194"/>
      <c r="U66" s="177"/>
      <c r="V66" s="5"/>
    </row>
    <row r="67" spans="1:22" ht="46.8" x14ac:dyDescent="0.3">
      <c r="A67" s="175"/>
      <c r="B67" s="195" t="s">
        <v>18</v>
      </c>
      <c r="C67" s="196"/>
      <c r="D67" s="196"/>
      <c r="E67" s="196"/>
      <c r="F67" s="196"/>
      <c r="G67" s="196"/>
      <c r="H67" s="196"/>
      <c r="I67" s="196"/>
      <c r="J67" s="196" t="s">
        <v>97</v>
      </c>
      <c r="K67" s="196"/>
      <c r="L67" s="196" t="s">
        <v>99</v>
      </c>
      <c r="M67" s="196"/>
      <c r="N67" s="196" t="s">
        <v>101</v>
      </c>
      <c r="O67" s="196"/>
      <c r="P67" s="196" t="s">
        <v>103</v>
      </c>
      <c r="Q67" s="196"/>
      <c r="R67" s="196" t="s">
        <v>110</v>
      </c>
      <c r="S67" s="196"/>
      <c r="T67" s="197" t="s">
        <v>118</v>
      </c>
      <c r="U67" s="198"/>
      <c r="V67" s="5"/>
    </row>
    <row r="68" spans="1:22" ht="15.6" x14ac:dyDescent="0.3">
      <c r="A68" s="337"/>
      <c r="B68" s="285" t="s">
        <v>19</v>
      </c>
      <c r="C68" s="338"/>
      <c r="D68" s="338"/>
      <c r="E68" s="338"/>
      <c r="F68" s="338"/>
      <c r="G68" s="338"/>
      <c r="H68" s="338"/>
      <c r="I68" s="338"/>
      <c r="J68" s="338">
        <v>1000039</v>
      </c>
      <c r="K68" s="338"/>
      <c r="L68" s="339">
        <v>506082</v>
      </c>
      <c r="M68" s="338"/>
      <c r="N68" s="338">
        <f>8926+100</f>
        <v>9026</v>
      </c>
      <c r="O68" s="338"/>
      <c r="P68" s="338">
        <v>100</v>
      </c>
      <c r="Q68" s="338"/>
      <c r="R68" s="338">
        <v>0</v>
      </c>
      <c r="S68" s="338"/>
      <c r="T68" s="339">
        <f>+L68-N68+P68-R68</f>
        <v>497156</v>
      </c>
      <c r="U68" s="288"/>
      <c r="V68" s="5"/>
    </row>
    <row r="69" spans="1:22" ht="15.6" x14ac:dyDescent="0.3">
      <c r="A69" s="337"/>
      <c r="B69" s="285" t="s">
        <v>20</v>
      </c>
      <c r="C69" s="338"/>
      <c r="D69" s="338"/>
      <c r="E69" s="338"/>
      <c r="F69" s="338"/>
      <c r="G69" s="338"/>
      <c r="H69" s="338"/>
      <c r="I69" s="338"/>
      <c r="J69" s="338">
        <v>10</v>
      </c>
      <c r="K69" s="338"/>
      <c r="L69" s="339">
        <v>0</v>
      </c>
      <c r="M69" s="338"/>
      <c r="N69" s="338">
        <v>0</v>
      </c>
      <c r="O69" s="338"/>
      <c r="P69" s="338">
        <v>0</v>
      </c>
      <c r="Q69" s="338"/>
      <c r="R69" s="338">
        <v>0</v>
      </c>
      <c r="S69" s="338"/>
      <c r="T69" s="339">
        <v>0</v>
      </c>
      <c r="U69" s="288"/>
      <c r="V69" s="5"/>
    </row>
    <row r="70" spans="1:22" ht="15.6" x14ac:dyDescent="0.3">
      <c r="A70" s="337"/>
      <c r="B70" s="285"/>
      <c r="C70" s="338"/>
      <c r="D70" s="338"/>
      <c r="E70" s="338"/>
      <c r="F70" s="338"/>
      <c r="G70" s="338"/>
      <c r="H70" s="338"/>
      <c r="I70" s="338"/>
      <c r="J70" s="338"/>
      <c r="K70" s="338"/>
      <c r="L70" s="339"/>
      <c r="M70" s="338"/>
      <c r="N70" s="338"/>
      <c r="O70" s="338"/>
      <c r="P70" s="338"/>
      <c r="Q70" s="338"/>
      <c r="R70" s="338"/>
      <c r="S70" s="338"/>
      <c r="T70" s="339"/>
      <c r="U70" s="288"/>
      <c r="V70" s="5"/>
    </row>
    <row r="71" spans="1:22" ht="15.6" x14ac:dyDescent="0.3">
      <c r="A71" s="337"/>
      <c r="B71" s="285" t="s">
        <v>21</v>
      </c>
      <c r="C71" s="338"/>
      <c r="D71" s="338"/>
      <c r="E71" s="338"/>
      <c r="F71" s="338"/>
      <c r="G71" s="338"/>
      <c r="H71" s="338"/>
      <c r="I71" s="338"/>
      <c r="J71" s="338">
        <f>SUM(J68:J70)</f>
        <v>1000049</v>
      </c>
      <c r="K71" s="338"/>
      <c r="L71" s="338">
        <f>L68+L69</f>
        <v>506082</v>
      </c>
      <c r="M71" s="338"/>
      <c r="N71" s="338">
        <f>SUM(N68:N70)</f>
        <v>9026</v>
      </c>
      <c r="O71" s="338"/>
      <c r="P71" s="338">
        <f>SUM(P68:P70)</f>
        <v>100</v>
      </c>
      <c r="Q71" s="338"/>
      <c r="R71" s="338">
        <f>SUM(R68:R70)</f>
        <v>0</v>
      </c>
      <c r="S71" s="338"/>
      <c r="T71" s="338">
        <f>SUM(T68:T70)</f>
        <v>497156</v>
      </c>
      <c r="U71" s="288"/>
      <c r="V71" s="5"/>
    </row>
    <row r="72" spans="1:22" ht="15.6" x14ac:dyDescent="0.3">
      <c r="A72" s="175"/>
      <c r="B72" s="334"/>
      <c r="C72" s="335"/>
      <c r="D72" s="335"/>
      <c r="E72" s="335"/>
      <c r="F72" s="335"/>
      <c r="G72" s="335"/>
      <c r="H72" s="335"/>
      <c r="I72" s="335"/>
      <c r="J72" s="335"/>
      <c r="K72" s="335"/>
      <c r="L72" s="335"/>
      <c r="M72" s="335"/>
      <c r="N72" s="335"/>
      <c r="O72" s="335"/>
      <c r="P72" s="335"/>
      <c r="Q72" s="335"/>
      <c r="R72" s="335"/>
      <c r="S72" s="335"/>
      <c r="T72" s="336"/>
      <c r="U72" s="334"/>
      <c r="V72" s="5"/>
    </row>
    <row r="73" spans="1:22" ht="15.6" x14ac:dyDescent="0.3">
      <c r="A73" s="175"/>
      <c r="B73" s="179" t="s">
        <v>22</v>
      </c>
      <c r="C73" s="199"/>
      <c r="D73" s="199"/>
      <c r="E73" s="199"/>
      <c r="F73" s="199"/>
      <c r="G73" s="199"/>
      <c r="H73" s="199"/>
      <c r="I73" s="199"/>
      <c r="J73" s="199"/>
      <c r="K73" s="199"/>
      <c r="L73" s="199"/>
      <c r="M73" s="199"/>
      <c r="N73" s="199"/>
      <c r="O73" s="199"/>
      <c r="P73" s="199"/>
      <c r="Q73" s="199"/>
      <c r="R73" s="199"/>
      <c r="S73" s="199"/>
      <c r="T73" s="200"/>
      <c r="U73" s="177"/>
      <c r="V73" s="5"/>
    </row>
    <row r="74" spans="1:22" ht="15.6" x14ac:dyDescent="0.3">
      <c r="A74" s="175"/>
      <c r="B74" s="177"/>
      <c r="C74" s="199"/>
      <c r="D74" s="199"/>
      <c r="E74" s="199"/>
      <c r="F74" s="199"/>
      <c r="G74" s="199"/>
      <c r="H74" s="199"/>
      <c r="I74" s="199"/>
      <c r="J74" s="199"/>
      <c r="K74" s="199"/>
      <c r="L74" s="199"/>
      <c r="M74" s="199"/>
      <c r="N74" s="199"/>
      <c r="O74" s="199"/>
      <c r="P74" s="199"/>
      <c r="Q74" s="199"/>
      <c r="R74" s="199"/>
      <c r="S74" s="199"/>
      <c r="T74" s="200"/>
      <c r="U74" s="177"/>
      <c r="V74" s="5"/>
    </row>
    <row r="75" spans="1:22" ht="15.6" x14ac:dyDescent="0.3">
      <c r="A75" s="284"/>
      <c r="B75" s="285" t="s">
        <v>19</v>
      </c>
      <c r="C75" s="338"/>
      <c r="D75" s="338"/>
      <c r="E75" s="338"/>
      <c r="F75" s="338"/>
      <c r="G75" s="338"/>
      <c r="H75" s="338"/>
      <c r="I75" s="338"/>
      <c r="J75" s="338"/>
      <c r="K75" s="338"/>
      <c r="L75" s="338"/>
      <c r="M75" s="338"/>
      <c r="N75" s="338"/>
      <c r="O75" s="338"/>
      <c r="P75" s="338"/>
      <c r="Q75" s="338"/>
      <c r="R75" s="338"/>
      <c r="S75" s="338"/>
      <c r="T75" s="338"/>
      <c r="U75" s="288"/>
      <c r="V75" s="5"/>
    </row>
    <row r="76" spans="1:22" ht="15.6" x14ac:dyDescent="0.3">
      <c r="A76" s="284"/>
      <c r="B76" s="285" t="s">
        <v>20</v>
      </c>
      <c r="C76" s="338"/>
      <c r="D76" s="338"/>
      <c r="E76" s="338"/>
      <c r="F76" s="338"/>
      <c r="G76" s="338"/>
      <c r="H76" s="338"/>
      <c r="I76" s="338"/>
      <c r="J76" s="338"/>
      <c r="K76" s="338"/>
      <c r="L76" s="338"/>
      <c r="M76" s="338"/>
      <c r="N76" s="338"/>
      <c r="O76" s="338"/>
      <c r="P76" s="338"/>
      <c r="Q76" s="338"/>
      <c r="R76" s="338"/>
      <c r="S76" s="338"/>
      <c r="T76" s="338"/>
      <c r="U76" s="288"/>
      <c r="V76" s="5"/>
    </row>
    <row r="77" spans="1:22" ht="15.6" x14ac:dyDescent="0.3">
      <c r="A77" s="284"/>
      <c r="B77" s="285"/>
      <c r="C77" s="338"/>
      <c r="D77" s="338"/>
      <c r="E77" s="338"/>
      <c r="F77" s="338"/>
      <c r="G77" s="338"/>
      <c r="H77" s="338"/>
      <c r="I77" s="338"/>
      <c r="J77" s="338"/>
      <c r="K77" s="338"/>
      <c r="L77" s="338"/>
      <c r="M77" s="338"/>
      <c r="N77" s="338"/>
      <c r="O77" s="338"/>
      <c r="P77" s="338"/>
      <c r="Q77" s="338"/>
      <c r="R77" s="338"/>
      <c r="S77" s="338"/>
      <c r="T77" s="338"/>
      <c r="U77" s="288"/>
      <c r="V77" s="5"/>
    </row>
    <row r="78" spans="1:22" ht="15.6" x14ac:dyDescent="0.3">
      <c r="A78" s="284"/>
      <c r="B78" s="285" t="s">
        <v>21</v>
      </c>
      <c r="C78" s="338"/>
      <c r="D78" s="338"/>
      <c r="E78" s="338"/>
      <c r="F78" s="338"/>
      <c r="G78" s="338"/>
      <c r="H78" s="338"/>
      <c r="I78" s="338"/>
      <c r="J78" s="338"/>
      <c r="K78" s="338"/>
      <c r="L78" s="338"/>
      <c r="M78" s="338"/>
      <c r="N78" s="338"/>
      <c r="O78" s="338"/>
      <c r="P78" s="338"/>
      <c r="Q78" s="338"/>
      <c r="R78" s="338"/>
      <c r="S78" s="338"/>
      <c r="T78" s="338"/>
      <c r="U78" s="288"/>
      <c r="V78" s="5"/>
    </row>
    <row r="79" spans="1:22" ht="15.6" x14ac:dyDescent="0.3">
      <c r="A79" s="284"/>
      <c r="B79" s="285"/>
      <c r="C79" s="338"/>
      <c r="D79" s="338"/>
      <c r="E79" s="338"/>
      <c r="F79" s="338"/>
      <c r="G79" s="338"/>
      <c r="H79" s="338"/>
      <c r="I79" s="338"/>
      <c r="J79" s="338"/>
      <c r="K79" s="338"/>
      <c r="L79" s="338"/>
      <c r="M79" s="338"/>
      <c r="N79" s="338"/>
      <c r="O79" s="338"/>
      <c r="P79" s="338"/>
      <c r="Q79" s="338"/>
      <c r="R79" s="338"/>
      <c r="S79" s="338"/>
      <c r="T79" s="338"/>
      <c r="U79" s="288"/>
      <c r="V79" s="5"/>
    </row>
    <row r="80" spans="1:22" ht="15.6" x14ac:dyDescent="0.3">
      <c r="A80" s="284"/>
      <c r="B80" s="285" t="s">
        <v>23</v>
      </c>
      <c r="C80" s="338"/>
      <c r="D80" s="338"/>
      <c r="E80" s="338"/>
      <c r="F80" s="338"/>
      <c r="G80" s="338"/>
      <c r="H80" s="338"/>
      <c r="I80" s="338"/>
      <c r="J80" s="338">
        <v>0</v>
      </c>
      <c r="K80" s="338"/>
      <c r="L80" s="338">
        <v>0</v>
      </c>
      <c r="M80" s="338"/>
      <c r="N80" s="338"/>
      <c r="O80" s="338"/>
      <c r="P80" s="338"/>
      <c r="Q80" s="338"/>
      <c r="R80" s="338"/>
      <c r="S80" s="338"/>
      <c r="T80" s="339">
        <v>0</v>
      </c>
      <c r="U80" s="288"/>
      <c r="V80" s="5"/>
    </row>
    <row r="81" spans="1:22" ht="15.6" x14ac:dyDescent="0.3">
      <c r="A81" s="284"/>
      <c r="B81" s="285" t="s">
        <v>123</v>
      </c>
      <c r="C81" s="338"/>
      <c r="D81" s="338"/>
      <c r="E81" s="338"/>
      <c r="F81" s="338"/>
      <c r="G81" s="338"/>
      <c r="H81" s="338"/>
      <c r="I81" s="338"/>
      <c r="J81" s="338">
        <v>0</v>
      </c>
      <c r="K81" s="338"/>
      <c r="L81" s="338">
        <v>0</v>
      </c>
      <c r="M81" s="338"/>
      <c r="N81" s="338"/>
      <c r="O81" s="338"/>
      <c r="P81" s="338"/>
      <c r="Q81" s="338"/>
      <c r="R81" s="338"/>
      <c r="S81" s="338"/>
      <c r="T81" s="338">
        <f>SUM(J81:P81)</f>
        <v>0</v>
      </c>
      <c r="U81" s="288"/>
      <c r="V81" s="5"/>
    </row>
    <row r="82" spans="1:22" ht="15.6" x14ac:dyDescent="0.3">
      <c r="A82" s="284"/>
      <c r="B82" s="285" t="s">
        <v>152</v>
      </c>
      <c r="C82" s="338"/>
      <c r="D82" s="338"/>
      <c r="E82" s="338"/>
      <c r="F82" s="338"/>
      <c r="G82" s="338"/>
      <c r="H82" s="338"/>
      <c r="I82" s="338"/>
      <c r="J82" s="338">
        <v>1</v>
      </c>
      <c r="K82" s="338"/>
      <c r="L82" s="338">
        <v>0</v>
      </c>
      <c r="M82" s="338"/>
      <c r="N82" s="338">
        <v>0</v>
      </c>
      <c r="O82" s="338"/>
      <c r="P82" s="338"/>
      <c r="Q82" s="338"/>
      <c r="R82" s="338"/>
      <c r="S82" s="338"/>
      <c r="T82" s="338">
        <f>+L82+N82</f>
        <v>0</v>
      </c>
      <c r="U82" s="288"/>
      <c r="V82" s="5"/>
    </row>
    <row r="83" spans="1:22" ht="15.6" x14ac:dyDescent="0.3">
      <c r="A83" s="284"/>
      <c r="B83" s="285" t="s">
        <v>25</v>
      </c>
      <c r="C83" s="338"/>
      <c r="D83" s="338"/>
      <c r="E83" s="338"/>
      <c r="F83" s="338"/>
      <c r="G83" s="338"/>
      <c r="H83" s="338"/>
      <c r="I83" s="338"/>
      <c r="J83" s="338">
        <v>0</v>
      </c>
      <c r="K83" s="338"/>
      <c r="L83" s="338">
        <v>0</v>
      </c>
      <c r="M83" s="338"/>
      <c r="N83" s="338"/>
      <c r="O83" s="338"/>
      <c r="P83" s="338"/>
      <c r="Q83" s="338"/>
      <c r="R83" s="338"/>
      <c r="S83" s="338"/>
      <c r="T83" s="338">
        <v>0</v>
      </c>
      <c r="U83" s="288"/>
      <c r="V83" s="5"/>
    </row>
    <row r="84" spans="1:22" ht="15.6" x14ac:dyDescent="0.3">
      <c r="A84" s="284"/>
      <c r="B84" s="285" t="s">
        <v>26</v>
      </c>
      <c r="C84" s="338"/>
      <c r="D84" s="338"/>
      <c r="E84" s="338"/>
      <c r="F84" s="338"/>
      <c r="G84" s="338"/>
      <c r="H84" s="338"/>
      <c r="I84" s="338"/>
      <c r="J84" s="338">
        <f>SUM(J71:J83)</f>
        <v>1000050</v>
      </c>
      <c r="K84" s="338"/>
      <c r="L84" s="338">
        <f>SUM(L71:L83)</f>
        <v>506082</v>
      </c>
      <c r="M84" s="338"/>
      <c r="N84" s="338"/>
      <c r="O84" s="338"/>
      <c r="P84" s="338"/>
      <c r="Q84" s="338"/>
      <c r="R84" s="338"/>
      <c r="S84" s="338"/>
      <c r="T84" s="338">
        <f>SUM(T71:T83)</f>
        <v>497156</v>
      </c>
      <c r="U84" s="288"/>
      <c r="V84" s="5"/>
    </row>
    <row r="85" spans="1:22" ht="15.6" x14ac:dyDescent="0.3">
      <c r="A85" s="175"/>
      <c r="B85" s="334"/>
      <c r="C85" s="335"/>
      <c r="D85" s="335"/>
      <c r="E85" s="335"/>
      <c r="F85" s="335"/>
      <c r="G85" s="335"/>
      <c r="H85" s="335"/>
      <c r="I85" s="335"/>
      <c r="J85" s="335"/>
      <c r="K85" s="335"/>
      <c r="L85" s="335"/>
      <c r="M85" s="335"/>
      <c r="N85" s="335"/>
      <c r="O85" s="335"/>
      <c r="P85" s="335"/>
      <c r="Q85" s="335"/>
      <c r="R85" s="335"/>
      <c r="S85" s="335"/>
      <c r="T85" s="336"/>
      <c r="U85" s="334"/>
      <c r="V85" s="5"/>
    </row>
    <row r="86" spans="1:22" ht="15.6" x14ac:dyDescent="0.3">
      <c r="A86" s="175"/>
      <c r="B86" s="177"/>
      <c r="C86" s="177"/>
      <c r="D86" s="177"/>
      <c r="E86" s="177"/>
      <c r="F86" s="177"/>
      <c r="G86" s="177"/>
      <c r="H86" s="177"/>
      <c r="I86" s="177"/>
      <c r="J86" s="177"/>
      <c r="K86" s="177"/>
      <c r="L86" s="177"/>
      <c r="M86" s="177"/>
      <c r="N86" s="177"/>
      <c r="O86" s="177"/>
      <c r="P86" s="177"/>
      <c r="Q86" s="177"/>
      <c r="R86" s="177"/>
      <c r="S86" s="177"/>
      <c r="T86" s="177"/>
      <c r="U86" s="177"/>
      <c r="V86" s="5"/>
    </row>
    <row r="87" spans="1:22" ht="15.6" x14ac:dyDescent="0.3">
      <c r="A87" s="222"/>
      <c r="B87" s="395" t="s">
        <v>27</v>
      </c>
      <c r="C87" s="395"/>
      <c r="D87" s="395"/>
      <c r="E87" s="395"/>
      <c r="F87" s="395"/>
      <c r="G87" s="395"/>
      <c r="H87" s="396"/>
      <c r="I87" s="396"/>
      <c r="J87" s="397" t="s">
        <v>98</v>
      </c>
      <c r="K87" s="396"/>
      <c r="L87" s="398">
        <f>+R194</f>
        <v>42185</v>
      </c>
      <c r="M87" s="396"/>
      <c r="N87" s="396"/>
      <c r="O87" s="396"/>
      <c r="P87" s="396"/>
      <c r="Q87" s="396"/>
      <c r="R87" s="396" t="s">
        <v>111</v>
      </c>
      <c r="S87" s="396"/>
      <c r="T87" s="396" t="s">
        <v>119</v>
      </c>
      <c r="U87" s="223"/>
      <c r="V87" s="5"/>
    </row>
    <row r="88" spans="1:22" ht="15.6" x14ac:dyDescent="0.3">
      <c r="A88" s="190"/>
      <c r="B88" s="239" t="s">
        <v>28</v>
      </c>
      <c r="C88" s="239"/>
      <c r="D88" s="239"/>
      <c r="E88" s="239"/>
      <c r="F88" s="239"/>
      <c r="G88" s="239"/>
      <c r="H88" s="239"/>
      <c r="I88" s="239"/>
      <c r="J88" s="239"/>
      <c r="K88" s="239"/>
      <c r="L88" s="239"/>
      <c r="M88" s="239"/>
      <c r="N88" s="239"/>
      <c r="O88" s="239"/>
      <c r="P88" s="239"/>
      <c r="Q88" s="239"/>
      <c r="R88" s="243">
        <v>0</v>
      </c>
      <c r="S88" s="239"/>
      <c r="T88" s="251">
        <v>0</v>
      </c>
      <c r="U88" s="239"/>
      <c r="V88" s="5"/>
    </row>
    <row r="89" spans="1:22" ht="15.6" x14ac:dyDescent="0.3">
      <c r="A89" s="284"/>
      <c r="B89" s="285" t="s">
        <v>29</v>
      </c>
      <c r="C89" s="285"/>
      <c r="D89" s="285"/>
      <c r="E89" s="285"/>
      <c r="F89" s="285"/>
      <c r="G89" s="285"/>
      <c r="H89" s="324"/>
      <c r="I89" s="341"/>
      <c r="J89" s="324"/>
      <c r="K89" s="285"/>
      <c r="L89" s="342"/>
      <c r="M89" s="285"/>
      <c r="N89" s="285"/>
      <c r="O89" s="285"/>
      <c r="P89" s="285"/>
      <c r="Q89" s="285"/>
      <c r="R89" s="338">
        <f>9026-125</f>
        <v>8901</v>
      </c>
      <c r="S89" s="285"/>
      <c r="T89" s="339"/>
      <c r="U89" s="288"/>
      <c r="V89" s="5"/>
    </row>
    <row r="90" spans="1:22" ht="15.6" x14ac:dyDescent="0.3">
      <c r="A90" s="284"/>
      <c r="B90" s="285" t="s">
        <v>225</v>
      </c>
      <c r="C90" s="285"/>
      <c r="D90" s="285"/>
      <c r="E90" s="285"/>
      <c r="F90" s="285"/>
      <c r="G90" s="285"/>
      <c r="H90" s="324"/>
      <c r="I90" s="341"/>
      <c r="J90" s="324"/>
      <c r="K90" s="285"/>
      <c r="L90" s="342"/>
      <c r="M90" s="285"/>
      <c r="N90" s="285"/>
      <c r="O90" s="285"/>
      <c r="P90" s="285"/>
      <c r="Q90" s="285"/>
      <c r="R90" s="338"/>
      <c r="S90" s="285"/>
      <c r="T90" s="339">
        <f>1680+2107-352-571</f>
        <v>2864</v>
      </c>
      <c r="U90" s="288"/>
      <c r="V90" s="5"/>
    </row>
    <row r="91" spans="1:22" ht="15.6" x14ac:dyDescent="0.3">
      <c r="A91" s="284"/>
      <c r="B91" s="285" t="s">
        <v>220</v>
      </c>
      <c r="C91" s="285"/>
      <c r="D91" s="285"/>
      <c r="E91" s="285"/>
      <c r="F91" s="285"/>
      <c r="G91" s="285"/>
      <c r="H91" s="324"/>
      <c r="I91" s="341"/>
      <c r="J91" s="324"/>
      <c r="K91" s="285"/>
      <c r="L91" s="342"/>
      <c r="M91" s="285"/>
      <c r="N91" s="285"/>
      <c r="O91" s="285"/>
      <c r="P91" s="285"/>
      <c r="Q91" s="285"/>
      <c r="R91" s="338"/>
      <c r="S91" s="285"/>
      <c r="T91" s="339">
        <f>42+159</f>
        <v>201</v>
      </c>
      <c r="U91" s="288"/>
      <c r="V91" s="5"/>
    </row>
    <row r="92" spans="1:22" ht="15.6" x14ac:dyDescent="0.3">
      <c r="A92" s="284"/>
      <c r="B92" s="285" t="s">
        <v>221</v>
      </c>
      <c r="C92" s="285"/>
      <c r="D92" s="285"/>
      <c r="E92" s="285"/>
      <c r="F92" s="285"/>
      <c r="G92" s="285"/>
      <c r="H92" s="324"/>
      <c r="I92" s="341"/>
      <c r="J92" s="324"/>
      <c r="K92" s="285"/>
      <c r="L92" s="342"/>
      <c r="M92" s="285"/>
      <c r="N92" s="285"/>
      <c r="O92" s="285"/>
      <c r="P92" s="285"/>
      <c r="Q92" s="285"/>
      <c r="R92" s="338"/>
      <c r="S92" s="285"/>
      <c r="T92" s="339">
        <v>27</v>
      </c>
      <c r="U92" s="288"/>
      <c r="V92" s="5"/>
    </row>
    <row r="93" spans="1:22" ht="15.6" x14ac:dyDescent="0.3">
      <c r="A93" s="284"/>
      <c r="B93" s="285" t="s">
        <v>261</v>
      </c>
      <c r="C93" s="285"/>
      <c r="D93" s="285"/>
      <c r="E93" s="285"/>
      <c r="F93" s="285"/>
      <c r="G93" s="285"/>
      <c r="H93" s="324"/>
      <c r="I93" s="341"/>
      <c r="J93" s="324"/>
      <c r="K93" s="285"/>
      <c r="L93" s="342"/>
      <c r="M93" s="285"/>
      <c r="N93" s="285"/>
      <c r="O93" s="285"/>
      <c r="P93" s="285"/>
      <c r="Q93" s="285"/>
      <c r="R93" s="338"/>
      <c r="S93" s="285"/>
      <c r="T93" s="339">
        <v>0</v>
      </c>
      <c r="U93" s="288"/>
      <c r="V93" s="5"/>
    </row>
    <row r="94" spans="1:22" ht="15.6" x14ac:dyDescent="0.3">
      <c r="A94" s="284"/>
      <c r="B94" s="285" t="s">
        <v>141</v>
      </c>
      <c r="C94" s="285"/>
      <c r="D94" s="285"/>
      <c r="E94" s="285"/>
      <c r="F94" s="285"/>
      <c r="G94" s="285"/>
      <c r="H94" s="285"/>
      <c r="I94" s="285"/>
      <c r="J94" s="285"/>
      <c r="K94" s="285"/>
      <c r="L94" s="285"/>
      <c r="M94" s="285"/>
      <c r="N94" s="285"/>
      <c r="O94" s="285"/>
      <c r="P94" s="285"/>
      <c r="Q94" s="285"/>
      <c r="R94" s="338"/>
      <c r="S94" s="285"/>
      <c r="T94" s="339">
        <v>0</v>
      </c>
      <c r="U94" s="288"/>
      <c r="V94" s="5"/>
    </row>
    <row r="95" spans="1:22" ht="15.6" x14ac:dyDescent="0.3">
      <c r="A95" s="284"/>
      <c r="B95" s="285" t="s">
        <v>250</v>
      </c>
      <c r="C95" s="285"/>
      <c r="D95" s="285"/>
      <c r="E95" s="285"/>
      <c r="F95" s="285"/>
      <c r="G95" s="285"/>
      <c r="H95" s="285"/>
      <c r="I95" s="285"/>
      <c r="J95" s="285"/>
      <c r="K95" s="285"/>
      <c r="L95" s="285"/>
      <c r="M95" s="285"/>
      <c r="N95" s="285"/>
      <c r="O95" s="285"/>
      <c r="P95" s="285"/>
      <c r="Q95" s="285"/>
      <c r="R95" s="338"/>
      <c r="S95" s="285"/>
      <c r="T95" s="339">
        <v>100</v>
      </c>
      <c r="U95" s="288"/>
      <c r="V95" s="5"/>
    </row>
    <row r="96" spans="1:22" ht="15.6" x14ac:dyDescent="0.3">
      <c r="A96" s="284"/>
      <c r="B96" s="285" t="s">
        <v>30</v>
      </c>
      <c r="C96" s="285"/>
      <c r="D96" s="285"/>
      <c r="E96" s="285"/>
      <c r="F96" s="285"/>
      <c r="G96" s="285"/>
      <c r="H96" s="285"/>
      <c r="I96" s="285"/>
      <c r="J96" s="285"/>
      <c r="K96" s="285"/>
      <c r="L96" s="285"/>
      <c r="M96" s="285"/>
      <c r="N96" s="285"/>
      <c r="O96" s="285"/>
      <c r="P96" s="285"/>
      <c r="Q96" s="285"/>
      <c r="R96" s="338">
        <f>SUM(R88:R95)</f>
        <v>8901</v>
      </c>
      <c r="S96" s="285"/>
      <c r="T96" s="338">
        <f>SUM(T88:T95)</f>
        <v>3192</v>
      </c>
      <c r="U96" s="288"/>
      <c r="V96" s="5"/>
    </row>
    <row r="97" spans="1:24" ht="15.6" x14ac:dyDescent="0.3">
      <c r="A97" s="284"/>
      <c r="B97" s="285" t="s">
        <v>168</v>
      </c>
      <c r="C97" s="285"/>
      <c r="D97" s="285"/>
      <c r="E97" s="285"/>
      <c r="F97" s="285"/>
      <c r="G97" s="285"/>
      <c r="H97" s="285"/>
      <c r="I97" s="285"/>
      <c r="J97" s="285"/>
      <c r="K97" s="285"/>
      <c r="L97" s="285"/>
      <c r="M97" s="285"/>
      <c r="N97" s="285"/>
      <c r="O97" s="285"/>
      <c r="P97" s="285"/>
      <c r="Q97" s="285"/>
      <c r="R97" s="338">
        <v>0</v>
      </c>
      <c r="S97" s="285"/>
      <c r="T97" s="338">
        <f>-R97</f>
        <v>0</v>
      </c>
      <c r="U97" s="288"/>
      <c r="V97" s="5"/>
    </row>
    <row r="98" spans="1:24" ht="15.6" x14ac:dyDescent="0.3">
      <c r="A98" s="284"/>
      <c r="B98" s="285" t="s">
        <v>31</v>
      </c>
      <c r="C98" s="285"/>
      <c r="D98" s="285"/>
      <c r="E98" s="285"/>
      <c r="F98" s="285"/>
      <c r="G98" s="285"/>
      <c r="H98" s="285"/>
      <c r="I98" s="285"/>
      <c r="J98" s="285"/>
      <c r="K98" s="285"/>
      <c r="L98" s="285"/>
      <c r="M98" s="285"/>
      <c r="N98" s="285"/>
      <c r="O98" s="285"/>
      <c r="P98" s="285"/>
      <c r="Q98" s="285"/>
      <c r="R98" s="338">
        <f>-T98</f>
        <v>0</v>
      </c>
      <c r="S98" s="285"/>
      <c r="T98" s="339">
        <v>0</v>
      </c>
      <c r="U98" s="288"/>
      <c r="V98" s="5"/>
    </row>
    <row r="99" spans="1:24" ht="15.6" x14ac:dyDescent="0.3">
      <c r="A99" s="284"/>
      <c r="B99" s="285" t="s">
        <v>273</v>
      </c>
      <c r="C99" s="285"/>
      <c r="D99" s="285"/>
      <c r="E99" s="285"/>
      <c r="F99" s="285"/>
      <c r="G99" s="285"/>
      <c r="H99" s="285"/>
      <c r="I99" s="285"/>
      <c r="J99" s="285"/>
      <c r="K99" s="285"/>
      <c r="L99" s="285"/>
      <c r="M99" s="285"/>
      <c r="N99" s="285"/>
      <c r="O99" s="285"/>
      <c r="P99" s="285"/>
      <c r="Q99" s="285"/>
      <c r="R99" s="338"/>
      <c r="S99" s="285"/>
      <c r="T99" s="339">
        <v>103</v>
      </c>
      <c r="U99" s="288"/>
      <c r="V99" s="5"/>
    </row>
    <row r="100" spans="1:24" ht="15.6" x14ac:dyDescent="0.3">
      <c r="A100" s="284"/>
      <c r="B100" s="285" t="s">
        <v>32</v>
      </c>
      <c r="C100" s="285"/>
      <c r="D100" s="285"/>
      <c r="E100" s="285"/>
      <c r="F100" s="285"/>
      <c r="G100" s="285"/>
      <c r="H100" s="285"/>
      <c r="I100" s="285"/>
      <c r="J100" s="285"/>
      <c r="K100" s="285"/>
      <c r="L100" s="285"/>
      <c r="M100" s="285"/>
      <c r="N100" s="285"/>
      <c r="O100" s="285"/>
      <c r="P100" s="285"/>
      <c r="Q100" s="285"/>
      <c r="R100" s="338">
        <f>R96+R98+R97</f>
        <v>8901</v>
      </c>
      <c r="S100" s="285"/>
      <c r="T100" s="338">
        <f>T96+T98+T97+T99</f>
        <v>3295</v>
      </c>
      <c r="U100" s="288"/>
      <c r="V100" s="5"/>
    </row>
    <row r="101" spans="1:24" ht="15.6" x14ac:dyDescent="0.3">
      <c r="A101" s="284"/>
      <c r="B101" s="343" t="s">
        <v>33</v>
      </c>
      <c r="C101" s="311"/>
      <c r="D101" s="311"/>
      <c r="E101" s="311"/>
      <c r="F101" s="311"/>
      <c r="G101" s="311"/>
      <c r="H101" s="311"/>
      <c r="I101" s="311"/>
      <c r="J101" s="311"/>
      <c r="K101" s="311"/>
      <c r="L101" s="311"/>
      <c r="M101" s="311"/>
      <c r="N101" s="311"/>
      <c r="O101" s="311"/>
      <c r="P101" s="311"/>
      <c r="Q101" s="311"/>
      <c r="R101" s="344"/>
      <c r="S101" s="311"/>
      <c r="T101" s="345"/>
      <c r="U101" s="317"/>
      <c r="V101" s="5"/>
    </row>
    <row r="102" spans="1:24" ht="15.6" x14ac:dyDescent="0.3">
      <c r="A102" s="337">
        <v>1</v>
      </c>
      <c r="B102" s="285" t="s">
        <v>34</v>
      </c>
      <c r="C102" s="285"/>
      <c r="D102" s="285"/>
      <c r="E102" s="285"/>
      <c r="F102" s="285"/>
      <c r="G102" s="285"/>
      <c r="H102" s="285"/>
      <c r="I102" s="285"/>
      <c r="J102" s="285"/>
      <c r="K102" s="285"/>
      <c r="L102" s="285"/>
      <c r="M102" s="285"/>
      <c r="N102" s="285"/>
      <c r="O102" s="285"/>
      <c r="P102" s="285"/>
      <c r="Q102" s="285"/>
      <c r="R102" s="285"/>
      <c r="S102" s="285"/>
      <c r="T102" s="339">
        <v>0</v>
      </c>
      <c r="U102" s="288"/>
      <c r="V102" s="5"/>
    </row>
    <row r="103" spans="1:24" ht="15.6" x14ac:dyDescent="0.3">
      <c r="A103" s="337">
        <f>+A102+1</f>
        <v>2</v>
      </c>
      <c r="B103" s="285" t="s">
        <v>312</v>
      </c>
      <c r="C103" s="285"/>
      <c r="D103" s="285"/>
      <c r="E103" s="285"/>
      <c r="F103" s="285"/>
      <c r="G103" s="285"/>
      <c r="H103" s="285"/>
      <c r="I103" s="285"/>
      <c r="J103" s="285"/>
      <c r="K103" s="285"/>
      <c r="L103" s="285"/>
      <c r="M103" s="285"/>
      <c r="N103" s="285"/>
      <c r="O103" s="285"/>
      <c r="P103" s="285"/>
      <c r="Q103" s="285"/>
      <c r="R103" s="285"/>
      <c r="S103" s="285"/>
      <c r="T103" s="339">
        <v>-2</v>
      </c>
      <c r="U103" s="288"/>
      <c r="V103" s="5"/>
    </row>
    <row r="104" spans="1:24" ht="15.6" x14ac:dyDescent="0.3">
      <c r="A104" s="337">
        <f>+A103+1</f>
        <v>3</v>
      </c>
      <c r="B104" s="407" t="s">
        <v>314</v>
      </c>
      <c r="C104" s="285"/>
      <c r="D104" s="285"/>
      <c r="E104" s="285"/>
      <c r="F104" s="285"/>
      <c r="G104" s="285"/>
      <c r="H104" s="285"/>
      <c r="I104" s="285"/>
      <c r="J104" s="285"/>
      <c r="K104" s="285"/>
      <c r="L104" s="285"/>
      <c r="M104" s="285"/>
      <c r="N104" s="285"/>
      <c r="O104" s="285"/>
      <c r="P104" s="285"/>
      <c r="Q104" s="285"/>
      <c r="R104" s="285"/>
      <c r="S104" s="285"/>
      <c r="T104" s="339">
        <f>-192-106-7</f>
        <v>-305</v>
      </c>
      <c r="U104" s="288"/>
      <c r="V104" s="5"/>
    </row>
    <row r="105" spans="1:24" ht="15.6" x14ac:dyDescent="0.3">
      <c r="A105" s="337" t="s">
        <v>133</v>
      </c>
      <c r="B105" s="285" t="s">
        <v>122</v>
      </c>
      <c r="C105" s="285"/>
      <c r="D105" s="285"/>
      <c r="E105" s="285"/>
      <c r="F105" s="285"/>
      <c r="G105" s="285"/>
      <c r="H105" s="285"/>
      <c r="I105" s="285"/>
      <c r="J105" s="285"/>
      <c r="K105" s="285"/>
      <c r="L105" s="285"/>
      <c r="M105" s="285"/>
      <c r="N105" s="285"/>
      <c r="O105" s="285"/>
      <c r="P105" s="285"/>
      <c r="Q105" s="285"/>
      <c r="R105" s="285"/>
      <c r="S105" s="285"/>
      <c r="T105" s="339">
        <v>0</v>
      </c>
      <c r="U105" s="288"/>
      <c r="V105" s="5"/>
    </row>
    <row r="106" spans="1:24" ht="15.6" x14ac:dyDescent="0.3">
      <c r="A106" s="337" t="s">
        <v>134</v>
      </c>
      <c r="B106" s="285" t="s">
        <v>194</v>
      </c>
      <c r="C106" s="285"/>
      <c r="D106" s="285"/>
      <c r="E106" s="285"/>
      <c r="F106" s="285"/>
      <c r="G106" s="285"/>
      <c r="H106" s="285"/>
      <c r="I106" s="285"/>
      <c r="J106" s="285"/>
      <c r="K106" s="285"/>
      <c r="L106" s="285"/>
      <c r="M106" s="285"/>
      <c r="N106" s="285"/>
      <c r="O106" s="285"/>
      <c r="P106" s="285"/>
      <c r="Q106" s="285"/>
      <c r="R106" s="285"/>
      <c r="S106" s="285"/>
      <c r="T106" s="339">
        <f>-685+130</f>
        <v>-555</v>
      </c>
      <c r="U106" s="288"/>
      <c r="V106" s="5"/>
      <c r="W106" s="109"/>
    </row>
    <row r="107" spans="1:24" ht="15.6" x14ac:dyDescent="0.3">
      <c r="A107" s="337" t="s">
        <v>156</v>
      </c>
      <c r="B107" s="285" t="s">
        <v>191</v>
      </c>
      <c r="C107" s="285"/>
      <c r="D107" s="285"/>
      <c r="E107" s="285"/>
      <c r="F107" s="285"/>
      <c r="G107" s="285"/>
      <c r="H107" s="285"/>
      <c r="I107" s="285"/>
      <c r="J107" s="285"/>
      <c r="K107" s="285"/>
      <c r="L107" s="285"/>
      <c r="M107" s="285"/>
      <c r="N107" s="285"/>
      <c r="O107" s="285"/>
      <c r="P107" s="285"/>
      <c r="Q107" s="285"/>
      <c r="R107" s="285"/>
      <c r="S107" s="285"/>
      <c r="T107" s="339">
        <v>-130</v>
      </c>
      <c r="U107" s="288"/>
      <c r="V107" s="5"/>
      <c r="W107" s="109"/>
    </row>
    <row r="108" spans="1:24" ht="15.6" x14ac:dyDescent="0.3">
      <c r="A108" s="337" t="s">
        <v>214</v>
      </c>
      <c r="B108" s="285" t="s">
        <v>192</v>
      </c>
      <c r="C108" s="285"/>
      <c r="D108" s="285"/>
      <c r="E108" s="285"/>
      <c r="F108" s="285"/>
      <c r="G108" s="285"/>
      <c r="H108" s="285"/>
      <c r="I108" s="285"/>
      <c r="J108" s="285"/>
      <c r="K108" s="285"/>
      <c r="L108" s="285"/>
      <c r="M108" s="285"/>
      <c r="N108" s="285"/>
      <c r="O108" s="285"/>
      <c r="P108" s="285"/>
      <c r="Q108" s="285"/>
      <c r="R108" s="285"/>
      <c r="S108" s="285"/>
      <c r="T108" s="339">
        <v>-153</v>
      </c>
      <c r="U108" s="288"/>
      <c r="V108" s="5"/>
      <c r="W108" s="109"/>
      <c r="X108" s="109"/>
    </row>
    <row r="109" spans="1:24" ht="15.6" x14ac:dyDescent="0.3">
      <c r="A109" s="337" t="s">
        <v>215</v>
      </c>
      <c r="B109" s="285" t="s">
        <v>193</v>
      </c>
      <c r="C109" s="285"/>
      <c r="D109" s="285"/>
      <c r="E109" s="285"/>
      <c r="F109" s="285"/>
      <c r="G109" s="285"/>
      <c r="H109" s="285"/>
      <c r="I109" s="285"/>
      <c r="J109" s="285"/>
      <c r="K109" s="285"/>
      <c r="L109" s="285"/>
      <c r="M109" s="285"/>
      <c r="N109" s="285"/>
      <c r="O109" s="285"/>
      <c r="P109" s="285"/>
      <c r="Q109" s="285"/>
      <c r="R109" s="285"/>
      <c r="S109" s="285"/>
      <c r="T109" s="339">
        <v>-42</v>
      </c>
      <c r="U109" s="288"/>
      <c r="V109" s="169"/>
      <c r="W109" s="109"/>
    </row>
    <row r="110" spans="1:24" ht="15.6" x14ac:dyDescent="0.3">
      <c r="A110" s="337" t="s">
        <v>216</v>
      </c>
      <c r="B110" s="285" t="s">
        <v>204</v>
      </c>
      <c r="C110" s="285"/>
      <c r="D110" s="285"/>
      <c r="E110" s="285"/>
      <c r="F110" s="285"/>
      <c r="G110" s="285"/>
      <c r="H110" s="285"/>
      <c r="I110" s="285"/>
      <c r="J110" s="285"/>
      <c r="K110" s="285"/>
      <c r="L110" s="285"/>
      <c r="M110" s="285"/>
      <c r="N110" s="285"/>
      <c r="O110" s="285"/>
      <c r="P110" s="285"/>
      <c r="Q110" s="285"/>
      <c r="R110" s="285"/>
      <c r="S110" s="285"/>
      <c r="T110" s="339">
        <v>-232</v>
      </c>
      <c r="U110" s="288"/>
      <c r="V110" s="5"/>
      <c r="W110" s="109"/>
    </row>
    <row r="111" spans="1:24" ht="15.6" x14ac:dyDescent="0.3">
      <c r="A111" s="406">
        <v>7</v>
      </c>
      <c r="B111" s="407" t="s">
        <v>313</v>
      </c>
      <c r="C111" s="407"/>
      <c r="D111" s="407"/>
      <c r="E111" s="407"/>
      <c r="F111" s="407"/>
      <c r="G111" s="285"/>
      <c r="H111" s="285"/>
      <c r="I111" s="285"/>
      <c r="J111" s="285"/>
      <c r="K111" s="285"/>
      <c r="L111" s="285"/>
      <c r="M111" s="285"/>
      <c r="N111" s="285"/>
      <c r="O111" s="285"/>
      <c r="P111" s="285"/>
      <c r="Q111" s="285"/>
      <c r="R111" s="285"/>
      <c r="S111" s="285"/>
      <c r="T111" s="339">
        <v>0</v>
      </c>
      <c r="U111" s="288"/>
      <c r="V111" s="5"/>
      <c r="W111" s="109"/>
    </row>
    <row r="112" spans="1:24" ht="15.6" x14ac:dyDescent="0.3">
      <c r="A112" s="337">
        <f t="shared" ref="A112:A118" si="0">+A111+1</f>
        <v>8</v>
      </c>
      <c r="B112" s="285" t="s">
        <v>35</v>
      </c>
      <c r="C112" s="285"/>
      <c r="D112" s="285"/>
      <c r="E112" s="285"/>
      <c r="F112" s="285"/>
      <c r="G112" s="285"/>
      <c r="H112" s="285"/>
      <c r="I112" s="285"/>
      <c r="J112" s="285"/>
      <c r="K112" s="285"/>
      <c r="L112" s="285"/>
      <c r="M112" s="285"/>
      <c r="N112" s="285"/>
      <c r="O112" s="285"/>
      <c r="P112" s="285"/>
      <c r="Q112" s="285"/>
      <c r="R112" s="285"/>
      <c r="S112" s="285"/>
      <c r="T112" s="339">
        <v>-10</v>
      </c>
      <c r="U112" s="288"/>
      <c r="V112" s="5"/>
    </row>
    <row r="113" spans="1:22" ht="15.6" x14ac:dyDescent="0.3">
      <c r="A113" s="337">
        <f t="shared" si="0"/>
        <v>9</v>
      </c>
      <c r="B113" s="285" t="s">
        <v>46</v>
      </c>
      <c r="C113" s="285"/>
      <c r="D113" s="285"/>
      <c r="E113" s="285"/>
      <c r="F113" s="285"/>
      <c r="G113" s="285"/>
      <c r="H113" s="285"/>
      <c r="I113" s="285"/>
      <c r="J113" s="285"/>
      <c r="K113" s="285"/>
      <c r="L113" s="285"/>
      <c r="M113" s="285"/>
      <c r="N113" s="285"/>
      <c r="O113" s="285"/>
      <c r="P113" s="285"/>
      <c r="Q113" s="285"/>
      <c r="R113" s="338">
        <f>-T113</f>
        <v>125</v>
      </c>
      <c r="S113" s="285"/>
      <c r="T113" s="339">
        <v>-125</v>
      </c>
      <c r="U113" s="288"/>
      <c r="V113" s="5"/>
    </row>
    <row r="114" spans="1:22" ht="15.6" x14ac:dyDescent="0.3">
      <c r="A114" s="337">
        <f t="shared" si="0"/>
        <v>10</v>
      </c>
      <c r="B114" s="285" t="s">
        <v>131</v>
      </c>
      <c r="C114" s="285"/>
      <c r="D114" s="285"/>
      <c r="E114" s="285"/>
      <c r="F114" s="285"/>
      <c r="G114" s="285"/>
      <c r="H114" s="285"/>
      <c r="I114" s="285"/>
      <c r="J114" s="285"/>
      <c r="K114" s="285"/>
      <c r="L114" s="285"/>
      <c r="M114" s="285"/>
      <c r="N114" s="285"/>
      <c r="O114" s="285"/>
      <c r="P114" s="285"/>
      <c r="Q114" s="285"/>
      <c r="R114" s="285"/>
      <c r="S114" s="285"/>
      <c r="T114" s="339">
        <v>0</v>
      </c>
      <c r="U114" s="288"/>
      <c r="V114" s="5"/>
    </row>
    <row r="115" spans="1:22" ht="15.6" x14ac:dyDescent="0.3">
      <c r="A115" s="337">
        <f t="shared" si="0"/>
        <v>11</v>
      </c>
      <c r="B115" s="285" t="s">
        <v>36</v>
      </c>
      <c r="C115" s="285"/>
      <c r="D115" s="285"/>
      <c r="E115" s="285"/>
      <c r="F115" s="285"/>
      <c r="G115" s="285"/>
      <c r="H115" s="285"/>
      <c r="I115" s="285"/>
      <c r="J115" s="285"/>
      <c r="K115" s="285"/>
      <c r="L115" s="285"/>
      <c r="M115" s="285"/>
      <c r="N115" s="285"/>
      <c r="O115" s="285"/>
      <c r="P115" s="285"/>
      <c r="Q115" s="285"/>
      <c r="R115" s="285"/>
      <c r="S115" s="285"/>
      <c r="T115" s="339">
        <v>0</v>
      </c>
      <c r="U115" s="288"/>
      <c r="V115" s="5"/>
    </row>
    <row r="116" spans="1:22" ht="15.6" x14ac:dyDescent="0.3">
      <c r="A116" s="337">
        <f t="shared" si="0"/>
        <v>12</v>
      </c>
      <c r="B116" s="285" t="s">
        <v>37</v>
      </c>
      <c r="C116" s="285"/>
      <c r="D116" s="285"/>
      <c r="E116" s="285"/>
      <c r="F116" s="285"/>
      <c r="G116" s="285"/>
      <c r="H116" s="285"/>
      <c r="I116" s="285"/>
      <c r="J116" s="285"/>
      <c r="K116" s="285"/>
      <c r="L116" s="285"/>
      <c r="M116" s="285"/>
      <c r="N116" s="285"/>
      <c r="O116" s="285"/>
      <c r="P116" s="285"/>
      <c r="Q116" s="285"/>
      <c r="R116" s="285"/>
      <c r="S116" s="285"/>
      <c r="T116" s="339">
        <v>0</v>
      </c>
      <c r="U116" s="288"/>
      <c r="V116" s="5"/>
    </row>
    <row r="117" spans="1:22" ht="15.6" x14ac:dyDescent="0.3">
      <c r="A117" s="337">
        <f t="shared" si="0"/>
        <v>13</v>
      </c>
      <c r="B117" s="285" t="s">
        <v>155</v>
      </c>
      <c r="C117" s="285"/>
      <c r="D117" s="285"/>
      <c r="E117" s="285"/>
      <c r="F117" s="285"/>
      <c r="G117" s="285"/>
      <c r="H117" s="285"/>
      <c r="I117" s="285"/>
      <c r="J117" s="285"/>
      <c r="K117" s="285"/>
      <c r="L117" s="285"/>
      <c r="M117" s="285"/>
      <c r="N117" s="285"/>
      <c r="O117" s="285"/>
      <c r="P117" s="285"/>
      <c r="Q117" s="285"/>
      <c r="R117" s="285"/>
      <c r="S117" s="285"/>
      <c r="T117" s="339">
        <v>-191</v>
      </c>
      <c r="U117" s="288"/>
      <c r="V117" s="5"/>
    </row>
    <row r="118" spans="1:22" ht="15.6" x14ac:dyDescent="0.3">
      <c r="A118" s="337">
        <f t="shared" si="0"/>
        <v>14</v>
      </c>
      <c r="B118" s="285" t="s">
        <v>132</v>
      </c>
      <c r="C118" s="285"/>
      <c r="D118" s="285"/>
      <c r="E118" s="285"/>
      <c r="F118" s="285"/>
      <c r="G118" s="285"/>
      <c r="H118" s="285"/>
      <c r="I118" s="285"/>
      <c r="J118" s="285"/>
      <c r="K118" s="285"/>
      <c r="L118" s="285"/>
      <c r="M118" s="285"/>
      <c r="N118" s="285"/>
      <c r="O118" s="285"/>
      <c r="P118" s="285"/>
      <c r="Q118" s="285"/>
      <c r="R118" s="285"/>
      <c r="S118" s="285"/>
      <c r="T118" s="339">
        <f>-T100-SUM(T102:T117)</f>
        <v>-1550</v>
      </c>
      <c r="U118" s="288"/>
      <c r="V118" s="5"/>
    </row>
    <row r="119" spans="1:22" ht="15.6" x14ac:dyDescent="0.3">
      <c r="A119" s="284"/>
      <c r="B119" s="343" t="s">
        <v>38</v>
      </c>
      <c r="C119" s="311"/>
      <c r="D119" s="311"/>
      <c r="E119" s="311"/>
      <c r="F119" s="311"/>
      <c r="G119" s="311"/>
      <c r="H119" s="311"/>
      <c r="I119" s="311"/>
      <c r="J119" s="311"/>
      <c r="K119" s="311"/>
      <c r="L119" s="311"/>
      <c r="M119" s="311"/>
      <c r="N119" s="311"/>
      <c r="O119" s="311"/>
      <c r="P119" s="311"/>
      <c r="Q119" s="311"/>
      <c r="R119" s="311"/>
      <c r="S119" s="311"/>
      <c r="T119" s="346"/>
      <c r="U119" s="317"/>
      <c r="V119" s="5"/>
    </row>
    <row r="120" spans="1:22" ht="15.6" x14ac:dyDescent="0.3">
      <c r="A120" s="337"/>
      <c r="B120" s="285" t="s">
        <v>180</v>
      </c>
      <c r="C120" s="285"/>
      <c r="D120" s="285"/>
      <c r="E120" s="285"/>
      <c r="F120" s="285"/>
      <c r="G120" s="285"/>
      <c r="H120" s="285"/>
      <c r="I120" s="285"/>
      <c r="J120" s="285"/>
      <c r="K120" s="285"/>
      <c r="L120" s="285"/>
      <c r="M120" s="285"/>
      <c r="N120" s="285"/>
      <c r="O120" s="285"/>
      <c r="P120" s="285"/>
      <c r="Q120" s="285"/>
      <c r="R120" s="338">
        <f>-R178</f>
        <v>0</v>
      </c>
      <c r="S120" s="338"/>
      <c r="T120" s="339"/>
      <c r="U120" s="288"/>
      <c r="V120" s="5"/>
    </row>
    <row r="121" spans="1:22" ht="15.6" x14ac:dyDescent="0.3">
      <c r="A121" s="337"/>
      <c r="B121" s="285" t="s">
        <v>181</v>
      </c>
      <c r="C121" s="285"/>
      <c r="D121" s="285"/>
      <c r="E121" s="285"/>
      <c r="F121" s="285"/>
      <c r="G121" s="285"/>
      <c r="H121" s="285"/>
      <c r="I121" s="285"/>
      <c r="J121" s="285"/>
      <c r="K121" s="285"/>
      <c r="L121" s="285"/>
      <c r="M121" s="285"/>
      <c r="N121" s="285"/>
      <c r="O121" s="285"/>
      <c r="P121" s="285"/>
      <c r="Q121" s="285"/>
      <c r="R121" s="338">
        <v>0</v>
      </c>
      <c r="S121" s="338"/>
      <c r="T121" s="339"/>
      <c r="U121" s="288"/>
      <c r="V121" s="5"/>
    </row>
    <row r="122" spans="1:22" ht="15.6" x14ac:dyDescent="0.3">
      <c r="A122" s="337"/>
      <c r="B122" s="285" t="s">
        <v>39</v>
      </c>
      <c r="C122" s="285"/>
      <c r="D122" s="285"/>
      <c r="E122" s="285"/>
      <c r="F122" s="285"/>
      <c r="G122" s="285"/>
      <c r="H122" s="285"/>
      <c r="I122" s="285"/>
      <c r="J122" s="285"/>
      <c r="K122" s="285"/>
      <c r="L122" s="285"/>
      <c r="M122" s="285"/>
      <c r="N122" s="285"/>
      <c r="O122" s="285"/>
      <c r="P122" s="285"/>
      <c r="Q122" s="285"/>
      <c r="R122" s="338">
        <f>-Q178</f>
        <v>-100</v>
      </c>
      <c r="S122" s="338"/>
      <c r="T122" s="339"/>
      <c r="U122" s="288"/>
      <c r="V122" s="5"/>
    </row>
    <row r="123" spans="1:22" ht="15.6" x14ac:dyDescent="0.3">
      <c r="A123" s="337"/>
      <c r="B123" s="285" t="s">
        <v>205</v>
      </c>
      <c r="C123" s="285"/>
      <c r="D123" s="285"/>
      <c r="E123" s="285"/>
      <c r="F123" s="285"/>
      <c r="G123" s="285"/>
      <c r="H123" s="285"/>
      <c r="I123" s="285"/>
      <c r="J123" s="285"/>
      <c r="K123" s="285"/>
      <c r="L123" s="285"/>
      <c r="M123" s="285"/>
      <c r="N123" s="285"/>
      <c r="O123" s="285"/>
      <c r="P123" s="285"/>
      <c r="Q123" s="285"/>
      <c r="R123" s="338">
        <v>-5837</v>
      </c>
      <c r="S123" s="338"/>
      <c r="T123" s="339"/>
      <c r="U123" s="288"/>
      <c r="V123" s="5"/>
    </row>
    <row r="124" spans="1:22" ht="15.6" x14ac:dyDescent="0.3">
      <c r="A124" s="337"/>
      <c r="B124" s="285" t="s">
        <v>203</v>
      </c>
      <c r="C124" s="285"/>
      <c r="D124" s="285"/>
      <c r="E124" s="285"/>
      <c r="F124" s="285"/>
      <c r="G124" s="285"/>
      <c r="H124" s="285"/>
      <c r="I124" s="285"/>
      <c r="J124" s="285"/>
      <c r="K124" s="285"/>
      <c r="L124" s="285"/>
      <c r="M124" s="285"/>
      <c r="N124" s="285"/>
      <c r="O124" s="285"/>
      <c r="P124" s="285"/>
      <c r="Q124" s="285"/>
      <c r="R124" s="338">
        <v>-1538</v>
      </c>
      <c r="S124" s="338"/>
      <c r="T124" s="339"/>
      <c r="U124" s="288"/>
      <c r="V124" s="5"/>
    </row>
    <row r="125" spans="1:22" ht="15.6" x14ac:dyDescent="0.3">
      <c r="A125" s="337"/>
      <c r="B125" s="285" t="s">
        <v>202</v>
      </c>
      <c r="C125" s="285"/>
      <c r="D125" s="285"/>
      <c r="E125" s="285"/>
      <c r="F125" s="285"/>
      <c r="G125" s="285"/>
      <c r="H125" s="285"/>
      <c r="I125" s="285"/>
      <c r="J125" s="285"/>
      <c r="K125" s="285"/>
      <c r="L125" s="285"/>
      <c r="M125" s="285"/>
      <c r="N125" s="285"/>
      <c r="O125" s="285"/>
      <c r="P125" s="285"/>
      <c r="Q125" s="285"/>
      <c r="R125" s="338">
        <v>-1551</v>
      </c>
      <c r="S125" s="338"/>
      <c r="T125" s="339"/>
      <c r="U125" s="288"/>
      <c r="V125" s="5"/>
    </row>
    <row r="126" spans="1:22" ht="15.6" x14ac:dyDescent="0.3">
      <c r="A126" s="337"/>
      <c r="B126" s="285" t="s">
        <v>197</v>
      </c>
      <c r="C126" s="285"/>
      <c r="D126" s="285"/>
      <c r="E126" s="285"/>
      <c r="F126" s="285"/>
      <c r="G126" s="285"/>
      <c r="H126" s="285"/>
      <c r="I126" s="285"/>
      <c r="J126" s="285"/>
      <c r="K126" s="285"/>
      <c r="L126" s="285"/>
      <c r="M126" s="285"/>
      <c r="N126" s="285"/>
      <c r="O126" s="285"/>
      <c r="P126" s="285"/>
      <c r="Q126" s="285"/>
      <c r="R126" s="338">
        <v>0</v>
      </c>
      <c r="S126" s="338"/>
      <c r="T126" s="339"/>
      <c r="U126" s="288"/>
      <c r="V126" s="5"/>
    </row>
    <row r="127" spans="1:22" ht="15.6" x14ac:dyDescent="0.3">
      <c r="A127" s="337"/>
      <c r="B127" s="285" t="s">
        <v>196</v>
      </c>
      <c r="C127" s="285"/>
      <c r="D127" s="285"/>
      <c r="E127" s="285"/>
      <c r="F127" s="285"/>
      <c r="G127" s="285"/>
      <c r="H127" s="285"/>
      <c r="I127" s="285"/>
      <c r="J127" s="285"/>
      <c r="K127" s="285"/>
      <c r="L127" s="285"/>
      <c r="M127" s="285"/>
      <c r="N127" s="285"/>
      <c r="O127" s="285"/>
      <c r="P127" s="285"/>
      <c r="Q127" s="285"/>
      <c r="R127" s="338">
        <v>0</v>
      </c>
      <c r="S127" s="338"/>
      <c r="T127" s="339"/>
      <c r="U127" s="288"/>
      <c r="V127" s="5"/>
    </row>
    <row r="128" spans="1:22" ht="15.6" x14ac:dyDescent="0.3">
      <c r="A128" s="337"/>
      <c r="B128" s="285" t="s">
        <v>195</v>
      </c>
      <c r="C128" s="285"/>
      <c r="D128" s="285"/>
      <c r="E128" s="285"/>
      <c r="F128" s="285"/>
      <c r="G128" s="285"/>
      <c r="H128" s="285"/>
      <c r="I128" s="285"/>
      <c r="J128" s="285"/>
      <c r="K128" s="285"/>
      <c r="L128" s="285"/>
      <c r="M128" s="285"/>
      <c r="N128" s="285"/>
      <c r="O128" s="285"/>
      <c r="P128" s="285"/>
      <c r="Q128" s="285"/>
      <c r="R128" s="338">
        <v>0</v>
      </c>
      <c r="S128" s="338"/>
      <c r="T128" s="339"/>
      <c r="U128" s="288"/>
      <c r="V128" s="5"/>
    </row>
    <row r="129" spans="1:22" ht="15.6" x14ac:dyDescent="0.3">
      <c r="A129" s="337"/>
      <c r="B129" s="285" t="s">
        <v>40</v>
      </c>
      <c r="C129" s="285"/>
      <c r="D129" s="285"/>
      <c r="E129" s="285"/>
      <c r="F129" s="285"/>
      <c r="G129" s="285"/>
      <c r="H129" s="285"/>
      <c r="I129" s="285"/>
      <c r="J129" s="285"/>
      <c r="K129" s="285"/>
      <c r="L129" s="285"/>
      <c r="M129" s="285"/>
      <c r="N129" s="285"/>
      <c r="O129" s="285"/>
      <c r="P129" s="285"/>
      <c r="Q129" s="285"/>
      <c r="R129" s="338">
        <f>SUM(R120:R128)</f>
        <v>-9026</v>
      </c>
      <c r="S129" s="338"/>
      <c r="T129" s="338">
        <f>SUM(T101:T127)</f>
        <v>-3295</v>
      </c>
      <c r="U129" s="288"/>
      <c r="V129" s="5"/>
    </row>
    <row r="130" spans="1:22" ht="15.6" x14ac:dyDescent="0.3">
      <c r="A130" s="337"/>
      <c r="B130" s="285" t="s">
        <v>41</v>
      </c>
      <c r="C130" s="285"/>
      <c r="D130" s="285"/>
      <c r="E130" s="285"/>
      <c r="F130" s="285"/>
      <c r="G130" s="285"/>
      <c r="H130" s="285"/>
      <c r="I130" s="285"/>
      <c r="J130" s="285"/>
      <c r="K130" s="285"/>
      <c r="L130" s="285"/>
      <c r="M130" s="285"/>
      <c r="N130" s="285"/>
      <c r="O130" s="285"/>
      <c r="P130" s="285"/>
      <c r="Q130" s="285"/>
      <c r="R130" s="338">
        <f>R100+R129+R113</f>
        <v>0</v>
      </c>
      <c r="S130" s="338"/>
      <c r="T130" s="338">
        <f>T100+T129</f>
        <v>0</v>
      </c>
      <c r="U130" s="288"/>
      <c r="V130" s="5"/>
    </row>
    <row r="131" spans="1:22" ht="15.6" x14ac:dyDescent="0.3">
      <c r="A131" s="256"/>
      <c r="B131" s="281"/>
      <c r="C131" s="281"/>
      <c r="D131" s="281"/>
      <c r="E131" s="281"/>
      <c r="F131" s="281"/>
      <c r="G131" s="281"/>
      <c r="H131" s="281"/>
      <c r="I131" s="281"/>
      <c r="J131" s="281"/>
      <c r="K131" s="281"/>
      <c r="L131" s="281"/>
      <c r="M131" s="281"/>
      <c r="N131" s="281"/>
      <c r="O131" s="281"/>
      <c r="P131" s="281"/>
      <c r="Q131" s="281"/>
      <c r="R131" s="340"/>
      <c r="S131" s="340"/>
      <c r="T131" s="340"/>
      <c r="U131" s="281"/>
      <c r="V131" s="5"/>
    </row>
    <row r="132" spans="1:22" ht="15.6" x14ac:dyDescent="0.3">
      <c r="A132" s="256"/>
      <c r="B132" s="231"/>
      <c r="C132" s="231"/>
      <c r="D132" s="231"/>
      <c r="E132" s="231"/>
      <c r="F132" s="231"/>
      <c r="G132" s="231"/>
      <c r="H132" s="231"/>
      <c r="I132" s="231"/>
      <c r="J132" s="231"/>
      <c r="K132" s="231"/>
      <c r="L132" s="231"/>
      <c r="M132" s="231"/>
      <c r="N132" s="231"/>
      <c r="O132" s="231"/>
      <c r="P132" s="231"/>
      <c r="Q132" s="231"/>
      <c r="R132" s="231"/>
      <c r="S132" s="231"/>
      <c r="T132" s="257"/>
      <c r="U132" s="231"/>
      <c r="V132" s="5"/>
    </row>
    <row r="133" spans="1:22" ht="18" thickBot="1" x14ac:dyDescent="0.35">
      <c r="A133" s="258"/>
      <c r="B133" s="246" t="str">
        <f>B64</f>
        <v>PM11 INVESTOR REPORT QUARTER ENDING JUNE 2015</v>
      </c>
      <c r="C133" s="247"/>
      <c r="D133" s="247"/>
      <c r="E133" s="247"/>
      <c r="F133" s="247"/>
      <c r="G133" s="247"/>
      <c r="H133" s="247"/>
      <c r="I133" s="247"/>
      <c r="J133" s="247"/>
      <c r="K133" s="247"/>
      <c r="L133" s="247"/>
      <c r="M133" s="247"/>
      <c r="N133" s="247"/>
      <c r="O133" s="247"/>
      <c r="P133" s="247"/>
      <c r="Q133" s="247"/>
      <c r="R133" s="247"/>
      <c r="S133" s="247"/>
      <c r="T133" s="259"/>
      <c r="U133" s="249"/>
      <c r="V133" s="5"/>
    </row>
    <row r="134" spans="1:22" ht="15.6" x14ac:dyDescent="0.3">
      <c r="A134" s="260"/>
      <c r="B134" s="399" t="s">
        <v>42</v>
      </c>
      <c r="C134" s="261"/>
      <c r="D134" s="261"/>
      <c r="E134" s="261"/>
      <c r="F134" s="261"/>
      <c r="G134" s="261"/>
      <c r="H134" s="261"/>
      <c r="I134" s="261"/>
      <c r="J134" s="261"/>
      <c r="K134" s="261"/>
      <c r="L134" s="261"/>
      <c r="M134" s="261"/>
      <c r="N134" s="261"/>
      <c r="O134" s="261"/>
      <c r="P134" s="261"/>
      <c r="Q134" s="261"/>
      <c r="R134" s="261"/>
      <c r="S134" s="261"/>
      <c r="T134" s="262"/>
      <c r="U134" s="261"/>
      <c r="V134" s="5"/>
    </row>
    <row r="135" spans="1:22" ht="15.6" x14ac:dyDescent="0.3">
      <c r="A135" s="175"/>
      <c r="B135" s="187"/>
      <c r="C135" s="177"/>
      <c r="D135" s="177"/>
      <c r="E135" s="177"/>
      <c r="F135" s="177"/>
      <c r="G135" s="177"/>
      <c r="H135" s="177"/>
      <c r="I135" s="177"/>
      <c r="J135" s="177"/>
      <c r="K135" s="177"/>
      <c r="L135" s="177"/>
      <c r="M135" s="177"/>
      <c r="N135" s="177"/>
      <c r="O135" s="177"/>
      <c r="P135" s="177"/>
      <c r="Q135" s="177"/>
      <c r="R135" s="177"/>
      <c r="S135" s="177"/>
      <c r="T135" s="194"/>
      <c r="U135" s="177"/>
      <c r="V135" s="5"/>
    </row>
    <row r="136" spans="1:22" ht="15.6" x14ac:dyDescent="0.3">
      <c r="A136" s="175"/>
      <c r="B136" s="201" t="s">
        <v>43</v>
      </c>
      <c r="C136" s="177"/>
      <c r="D136" s="177"/>
      <c r="E136" s="177"/>
      <c r="F136" s="177"/>
      <c r="G136" s="177"/>
      <c r="H136" s="177"/>
      <c r="I136" s="177"/>
      <c r="J136" s="177"/>
      <c r="K136" s="177"/>
      <c r="L136" s="177"/>
      <c r="M136" s="177"/>
      <c r="N136" s="177"/>
      <c r="O136" s="177"/>
      <c r="P136" s="177"/>
      <c r="Q136" s="177"/>
      <c r="R136" s="177"/>
      <c r="S136" s="177"/>
      <c r="T136" s="194"/>
      <c r="U136" s="177"/>
      <c r="V136" s="5"/>
    </row>
    <row r="137" spans="1:22" ht="15.6" x14ac:dyDescent="0.3">
      <c r="A137" s="284"/>
      <c r="B137" s="285" t="s">
        <v>44</v>
      </c>
      <c r="C137" s="285"/>
      <c r="D137" s="285"/>
      <c r="E137" s="285"/>
      <c r="F137" s="285"/>
      <c r="G137" s="285"/>
      <c r="H137" s="285"/>
      <c r="I137" s="285"/>
      <c r="J137" s="285"/>
      <c r="K137" s="285"/>
      <c r="L137" s="285"/>
      <c r="M137" s="285"/>
      <c r="N137" s="285"/>
      <c r="O137" s="285"/>
      <c r="P137" s="285"/>
      <c r="Q137" s="285"/>
      <c r="R137" s="285"/>
      <c r="S137" s="285"/>
      <c r="T137" s="339">
        <f>+T34*0.019</f>
        <v>19000.95</v>
      </c>
      <c r="U137" s="288"/>
      <c r="V137" s="5"/>
    </row>
    <row r="138" spans="1:22" ht="15.6" x14ac:dyDescent="0.3">
      <c r="A138" s="284"/>
      <c r="B138" s="285" t="s">
        <v>45</v>
      </c>
      <c r="C138" s="285"/>
      <c r="D138" s="285"/>
      <c r="E138" s="285"/>
      <c r="F138" s="285"/>
      <c r="G138" s="285"/>
      <c r="H138" s="285"/>
      <c r="I138" s="285"/>
      <c r="J138" s="285"/>
      <c r="K138" s="285"/>
      <c r="L138" s="285"/>
      <c r="M138" s="285"/>
      <c r="N138" s="285"/>
      <c r="O138" s="285"/>
      <c r="P138" s="285"/>
      <c r="Q138" s="285"/>
      <c r="R138" s="285"/>
      <c r="S138" s="285"/>
      <c r="T138" s="339">
        <v>19001</v>
      </c>
      <c r="U138" s="288"/>
      <c r="V138" s="5"/>
    </row>
    <row r="139" spans="1:22" ht="15.6" x14ac:dyDescent="0.3">
      <c r="A139" s="284"/>
      <c r="B139" s="285" t="s">
        <v>142</v>
      </c>
      <c r="C139" s="285"/>
      <c r="D139" s="285"/>
      <c r="E139" s="285"/>
      <c r="F139" s="285"/>
      <c r="G139" s="285"/>
      <c r="H139" s="285"/>
      <c r="I139" s="285"/>
      <c r="J139" s="285"/>
      <c r="K139" s="285"/>
      <c r="L139" s="285"/>
      <c r="M139" s="285"/>
      <c r="N139" s="285"/>
      <c r="O139" s="285"/>
      <c r="P139" s="285"/>
      <c r="Q139" s="285"/>
      <c r="R139" s="285"/>
      <c r="S139" s="285"/>
      <c r="T139" s="339">
        <v>0</v>
      </c>
      <c r="U139" s="288"/>
      <c r="V139" s="5"/>
    </row>
    <row r="140" spans="1:22" ht="15.6" x14ac:dyDescent="0.3">
      <c r="A140" s="284"/>
      <c r="B140" s="285" t="s">
        <v>129</v>
      </c>
      <c r="C140" s="285"/>
      <c r="D140" s="285"/>
      <c r="E140" s="285"/>
      <c r="F140" s="285"/>
      <c r="G140" s="285"/>
      <c r="H140" s="285"/>
      <c r="I140" s="285"/>
      <c r="J140" s="285"/>
      <c r="K140" s="285"/>
      <c r="L140" s="285"/>
      <c r="M140" s="285"/>
      <c r="N140" s="285"/>
      <c r="O140" s="285"/>
      <c r="P140" s="285"/>
      <c r="Q140" s="285"/>
      <c r="R140" s="285"/>
      <c r="S140" s="285"/>
      <c r="T140" s="339">
        <v>0</v>
      </c>
      <c r="U140" s="288"/>
      <c r="V140" s="5"/>
    </row>
    <row r="141" spans="1:22" ht="15.6" x14ac:dyDescent="0.3">
      <c r="A141" s="284"/>
      <c r="B141" s="285" t="s">
        <v>130</v>
      </c>
      <c r="C141" s="285"/>
      <c r="D141" s="285"/>
      <c r="E141" s="285"/>
      <c r="F141" s="285"/>
      <c r="G141" s="285"/>
      <c r="H141" s="285"/>
      <c r="I141" s="285"/>
      <c r="J141" s="285"/>
      <c r="K141" s="285"/>
      <c r="L141" s="285"/>
      <c r="M141" s="285"/>
      <c r="N141" s="285"/>
      <c r="O141" s="285"/>
      <c r="P141" s="285"/>
      <c r="Q141" s="285"/>
      <c r="R141" s="285"/>
      <c r="S141" s="285"/>
      <c r="T141" s="339">
        <v>0</v>
      </c>
      <c r="U141" s="288"/>
      <c r="V141" s="5"/>
    </row>
    <row r="142" spans="1:22" ht="15.6" x14ac:dyDescent="0.3">
      <c r="A142" s="284"/>
      <c r="B142" s="285" t="s">
        <v>182</v>
      </c>
      <c r="C142" s="285"/>
      <c r="D142" s="285"/>
      <c r="E142" s="285"/>
      <c r="F142" s="285"/>
      <c r="G142" s="285"/>
      <c r="H142" s="285"/>
      <c r="I142" s="285"/>
      <c r="J142" s="285"/>
      <c r="K142" s="285"/>
      <c r="L142" s="285"/>
      <c r="M142" s="285"/>
      <c r="N142" s="285"/>
      <c r="O142" s="285"/>
      <c r="P142" s="285"/>
      <c r="Q142" s="285"/>
      <c r="R142" s="285"/>
      <c r="S142" s="285"/>
      <c r="T142" s="339">
        <v>0</v>
      </c>
      <c r="U142" s="288"/>
      <c r="V142" s="5"/>
    </row>
    <row r="143" spans="1:22" ht="15.6" x14ac:dyDescent="0.3">
      <c r="A143" s="284"/>
      <c r="B143" s="285" t="s">
        <v>46</v>
      </c>
      <c r="C143" s="285"/>
      <c r="D143" s="285"/>
      <c r="E143" s="285"/>
      <c r="F143" s="285"/>
      <c r="G143" s="285"/>
      <c r="H143" s="285"/>
      <c r="I143" s="285"/>
      <c r="J143" s="285"/>
      <c r="K143" s="285"/>
      <c r="L143" s="285"/>
      <c r="M143" s="285"/>
      <c r="N143" s="285"/>
      <c r="O143" s="285"/>
      <c r="P143" s="285"/>
      <c r="Q143" s="285"/>
      <c r="R143" s="285"/>
      <c r="S143" s="285"/>
      <c r="T143" s="339">
        <v>0</v>
      </c>
      <c r="U143" s="288"/>
      <c r="V143" s="5"/>
    </row>
    <row r="144" spans="1:22" ht="15.6" x14ac:dyDescent="0.3">
      <c r="A144" s="284"/>
      <c r="B144" s="285" t="s">
        <v>135</v>
      </c>
      <c r="C144" s="285"/>
      <c r="D144" s="285"/>
      <c r="E144" s="285"/>
      <c r="F144" s="285"/>
      <c r="G144" s="285"/>
      <c r="H144" s="285"/>
      <c r="I144" s="285"/>
      <c r="J144" s="285"/>
      <c r="K144" s="285"/>
      <c r="L144" s="285"/>
      <c r="M144" s="285"/>
      <c r="N144" s="285"/>
      <c r="O144" s="285"/>
      <c r="P144" s="285"/>
      <c r="Q144" s="285"/>
      <c r="R144" s="285"/>
      <c r="S144" s="285"/>
      <c r="T144" s="339">
        <v>0</v>
      </c>
      <c r="U144" s="288"/>
      <c r="V144" s="5"/>
    </row>
    <row r="145" spans="1:23" ht="15.6" x14ac:dyDescent="0.3">
      <c r="A145" s="284"/>
      <c r="B145" s="285" t="s">
        <v>251</v>
      </c>
      <c r="C145" s="285"/>
      <c r="D145" s="285"/>
      <c r="E145" s="285"/>
      <c r="F145" s="285"/>
      <c r="G145" s="285"/>
      <c r="H145" s="285"/>
      <c r="I145" s="285"/>
      <c r="J145" s="285"/>
      <c r="K145" s="285"/>
      <c r="L145" s="285"/>
      <c r="M145" s="285"/>
      <c r="N145" s="285"/>
      <c r="O145" s="285"/>
      <c r="P145" s="285"/>
      <c r="Q145" s="285"/>
      <c r="R145" s="285"/>
      <c r="S145" s="285"/>
      <c r="T145" s="339">
        <v>0</v>
      </c>
      <c r="U145" s="288"/>
      <c r="V145" s="5"/>
      <c r="W145" s="109"/>
    </row>
    <row r="146" spans="1:23" ht="15.6" x14ac:dyDescent="0.3">
      <c r="A146" s="284"/>
      <c r="B146" s="285" t="s">
        <v>47</v>
      </c>
      <c r="C146" s="285"/>
      <c r="D146" s="285"/>
      <c r="E146" s="285"/>
      <c r="F146" s="285"/>
      <c r="G146" s="285"/>
      <c r="H146" s="285"/>
      <c r="I146" s="285"/>
      <c r="J146" s="285"/>
      <c r="K146" s="285"/>
      <c r="L146" s="285"/>
      <c r="M146" s="285"/>
      <c r="N146" s="285"/>
      <c r="O146" s="285"/>
      <c r="P146" s="285"/>
      <c r="Q146" s="285"/>
      <c r="R146" s="285"/>
      <c r="S146" s="285"/>
      <c r="T146" s="339">
        <f>SUM(T138:T145)</f>
        <v>19001</v>
      </c>
      <c r="U146" s="288"/>
      <c r="V146" s="5"/>
    </row>
    <row r="147" spans="1:23" ht="15.6" x14ac:dyDescent="0.3">
      <c r="A147" s="284"/>
      <c r="B147" s="311"/>
      <c r="C147" s="311"/>
      <c r="D147" s="311"/>
      <c r="E147" s="311"/>
      <c r="F147" s="311"/>
      <c r="G147" s="311"/>
      <c r="H147" s="311"/>
      <c r="I147" s="311"/>
      <c r="J147" s="311"/>
      <c r="K147" s="311"/>
      <c r="L147" s="311"/>
      <c r="M147" s="311"/>
      <c r="N147" s="311"/>
      <c r="O147" s="311"/>
      <c r="P147" s="311"/>
      <c r="Q147" s="311"/>
      <c r="R147" s="311"/>
      <c r="S147" s="311"/>
      <c r="T147" s="345"/>
      <c r="U147" s="317"/>
      <c r="V147" s="5"/>
    </row>
    <row r="148" spans="1:23" ht="15.6" x14ac:dyDescent="0.3">
      <c r="A148" s="284"/>
      <c r="B148" s="343" t="s">
        <v>262</v>
      </c>
      <c r="C148" s="311"/>
      <c r="D148" s="311"/>
      <c r="E148" s="311"/>
      <c r="F148" s="311"/>
      <c r="G148" s="311"/>
      <c r="H148" s="311"/>
      <c r="I148" s="311"/>
      <c r="J148" s="311"/>
      <c r="K148" s="311"/>
      <c r="L148" s="311"/>
      <c r="M148" s="311"/>
      <c r="N148" s="311"/>
      <c r="O148" s="311"/>
      <c r="P148" s="311"/>
      <c r="Q148" s="311"/>
      <c r="R148" s="311"/>
      <c r="S148" s="311"/>
      <c r="T148" s="345"/>
      <c r="U148" s="317"/>
      <c r="V148" s="5"/>
    </row>
    <row r="149" spans="1:23" ht="15.6" x14ac:dyDescent="0.3">
      <c r="A149" s="284"/>
      <c r="B149" s="285" t="s">
        <v>263</v>
      </c>
      <c r="C149" s="285"/>
      <c r="D149" s="285"/>
      <c r="E149" s="285"/>
      <c r="F149" s="285"/>
      <c r="G149" s="285"/>
      <c r="H149" s="285"/>
      <c r="I149" s="285"/>
      <c r="J149" s="285"/>
      <c r="K149" s="285"/>
      <c r="L149" s="285"/>
      <c r="M149" s="285"/>
      <c r="N149" s="285"/>
      <c r="O149" s="285"/>
      <c r="P149" s="285"/>
      <c r="Q149" s="285"/>
      <c r="R149" s="285"/>
      <c r="S149" s="285"/>
      <c r="T149" s="339">
        <v>0</v>
      </c>
      <c r="U149" s="288"/>
      <c r="V149" s="5"/>
    </row>
    <row r="150" spans="1:23" ht="15.6" x14ac:dyDescent="0.3">
      <c r="A150" s="284"/>
      <c r="B150" s="285" t="s">
        <v>179</v>
      </c>
      <c r="C150" s="285"/>
      <c r="D150" s="285"/>
      <c r="E150" s="285"/>
      <c r="F150" s="285"/>
      <c r="G150" s="285"/>
      <c r="H150" s="285"/>
      <c r="I150" s="285"/>
      <c r="J150" s="285"/>
      <c r="K150" s="285"/>
      <c r="L150" s="285"/>
      <c r="M150" s="285"/>
      <c r="N150" s="285"/>
      <c r="O150" s="285"/>
      <c r="P150" s="285"/>
      <c r="Q150" s="285"/>
      <c r="R150" s="285"/>
      <c r="S150" s="285"/>
      <c r="T150" s="339">
        <v>0</v>
      </c>
      <c r="U150" s="288"/>
      <c r="V150" s="5"/>
    </row>
    <row r="151" spans="1:23" ht="15.6" x14ac:dyDescent="0.3">
      <c r="A151" s="284"/>
      <c r="B151" s="285" t="s">
        <v>264</v>
      </c>
      <c r="C151" s="285"/>
      <c r="D151" s="285"/>
      <c r="E151" s="285"/>
      <c r="F151" s="285"/>
      <c r="G151" s="285"/>
      <c r="H151" s="285"/>
      <c r="I151" s="285"/>
      <c r="J151" s="285"/>
      <c r="K151" s="285"/>
      <c r="L151" s="285"/>
      <c r="M151" s="285"/>
      <c r="N151" s="285"/>
      <c r="O151" s="285"/>
      <c r="P151" s="285"/>
      <c r="Q151" s="285"/>
      <c r="R151" s="285"/>
      <c r="S151" s="285"/>
      <c r="T151" s="339">
        <v>0</v>
      </c>
      <c r="U151" s="288"/>
      <c r="V151" s="5"/>
    </row>
    <row r="152" spans="1:23" ht="15.6" x14ac:dyDescent="0.3">
      <c r="A152" s="284"/>
      <c r="B152" s="285"/>
      <c r="C152" s="285"/>
      <c r="D152" s="285"/>
      <c r="E152" s="285"/>
      <c r="F152" s="285"/>
      <c r="G152" s="285"/>
      <c r="H152" s="285"/>
      <c r="I152" s="285"/>
      <c r="J152" s="285"/>
      <c r="K152" s="285"/>
      <c r="L152" s="285"/>
      <c r="M152" s="285"/>
      <c r="N152" s="285"/>
      <c r="O152" s="285"/>
      <c r="P152" s="285"/>
      <c r="Q152" s="285"/>
      <c r="R152" s="285"/>
      <c r="S152" s="285"/>
      <c r="T152" s="339"/>
      <c r="U152" s="288"/>
      <c r="V152" s="5"/>
    </row>
    <row r="153" spans="1:23" ht="15.6" x14ac:dyDescent="0.3">
      <c r="A153" s="175"/>
      <c r="B153" s="334"/>
      <c r="C153" s="334"/>
      <c r="D153" s="334"/>
      <c r="E153" s="334"/>
      <c r="F153" s="334"/>
      <c r="G153" s="334"/>
      <c r="H153" s="334"/>
      <c r="I153" s="334"/>
      <c r="J153" s="334"/>
      <c r="K153" s="334"/>
      <c r="L153" s="334"/>
      <c r="M153" s="334"/>
      <c r="N153" s="334"/>
      <c r="O153" s="334"/>
      <c r="P153" s="334"/>
      <c r="Q153" s="334"/>
      <c r="R153" s="334"/>
      <c r="S153" s="334"/>
      <c r="T153" s="347"/>
      <c r="U153" s="334"/>
      <c r="V153" s="5"/>
    </row>
    <row r="154" spans="1:23" ht="15.6" x14ac:dyDescent="0.3">
      <c r="A154" s="175"/>
      <c r="B154" s="201" t="s">
        <v>24</v>
      </c>
      <c r="C154" s="177"/>
      <c r="D154" s="177"/>
      <c r="E154" s="177"/>
      <c r="F154" s="177"/>
      <c r="G154" s="177"/>
      <c r="H154" s="177"/>
      <c r="I154" s="177"/>
      <c r="J154" s="177"/>
      <c r="K154" s="177"/>
      <c r="L154" s="177"/>
      <c r="M154" s="177"/>
      <c r="N154" s="177"/>
      <c r="O154" s="177"/>
      <c r="P154" s="177"/>
      <c r="Q154" s="177"/>
      <c r="R154" s="177"/>
      <c r="S154" s="177"/>
      <c r="T154" s="194"/>
      <c r="U154" s="177"/>
      <c r="V154" s="5"/>
    </row>
    <row r="155" spans="1:23" ht="15.6" x14ac:dyDescent="0.3">
      <c r="A155" s="284"/>
      <c r="B155" s="285" t="s">
        <v>48</v>
      </c>
      <c r="C155" s="285"/>
      <c r="D155" s="285"/>
      <c r="E155" s="285"/>
      <c r="F155" s="285"/>
      <c r="G155" s="285"/>
      <c r="H155" s="285"/>
      <c r="I155" s="285"/>
      <c r="J155" s="285"/>
      <c r="K155" s="285"/>
      <c r="L155" s="285"/>
      <c r="M155" s="285"/>
      <c r="N155" s="285"/>
      <c r="O155" s="285"/>
      <c r="P155" s="285"/>
      <c r="Q155" s="285"/>
      <c r="R155" s="285"/>
      <c r="S155" s="285"/>
      <c r="T155" s="348" t="s">
        <v>124</v>
      </c>
      <c r="U155" s="288"/>
      <c r="V155" s="5"/>
    </row>
    <row r="156" spans="1:23" ht="15.6" x14ac:dyDescent="0.3">
      <c r="A156" s="284"/>
      <c r="B156" s="285" t="s">
        <v>49</v>
      </c>
      <c r="C156" s="287"/>
      <c r="D156" s="287"/>
      <c r="E156" s="287"/>
      <c r="F156" s="287"/>
      <c r="G156" s="287"/>
      <c r="H156" s="287"/>
      <c r="I156" s="287"/>
      <c r="J156" s="287"/>
      <c r="K156" s="287"/>
      <c r="L156" s="287"/>
      <c r="M156" s="287"/>
      <c r="N156" s="287"/>
      <c r="O156" s="287"/>
      <c r="P156" s="287"/>
      <c r="Q156" s="287"/>
      <c r="R156" s="287"/>
      <c r="S156" s="287"/>
      <c r="T156" s="348" t="s">
        <v>124</v>
      </c>
      <c r="U156" s="288"/>
      <c r="V156" s="5"/>
    </row>
    <row r="157" spans="1:23" ht="15.6" x14ac:dyDescent="0.3">
      <c r="A157" s="284"/>
      <c r="B157" s="285" t="s">
        <v>50</v>
      </c>
      <c r="C157" s="285"/>
      <c r="D157" s="285"/>
      <c r="E157" s="285"/>
      <c r="F157" s="285"/>
      <c r="G157" s="285"/>
      <c r="H157" s="285"/>
      <c r="I157" s="285"/>
      <c r="J157" s="285"/>
      <c r="K157" s="285"/>
      <c r="L157" s="285"/>
      <c r="M157" s="285"/>
      <c r="N157" s="285"/>
      <c r="O157" s="285"/>
      <c r="P157" s="285"/>
      <c r="Q157" s="285"/>
      <c r="R157" s="285"/>
      <c r="S157" s="285"/>
      <c r="T157" s="348" t="s">
        <v>124</v>
      </c>
      <c r="U157" s="288"/>
      <c r="V157" s="5"/>
    </row>
    <row r="158" spans="1:23" ht="15.6" x14ac:dyDescent="0.3">
      <c r="A158" s="284"/>
      <c r="B158" s="285" t="s">
        <v>51</v>
      </c>
      <c r="C158" s="285"/>
      <c r="D158" s="285"/>
      <c r="E158" s="285"/>
      <c r="F158" s="285"/>
      <c r="G158" s="285"/>
      <c r="H158" s="285"/>
      <c r="I158" s="285"/>
      <c r="J158" s="285"/>
      <c r="K158" s="285"/>
      <c r="L158" s="285"/>
      <c r="M158" s="285"/>
      <c r="N158" s="285"/>
      <c r="O158" s="285"/>
      <c r="P158" s="285"/>
      <c r="Q158" s="285"/>
      <c r="R158" s="285"/>
      <c r="S158" s="285"/>
      <c r="T158" s="348" t="s">
        <v>124</v>
      </c>
      <c r="U158" s="288"/>
      <c r="V158" s="5"/>
    </row>
    <row r="159" spans="1:23" ht="15.6" x14ac:dyDescent="0.3">
      <c r="A159" s="175"/>
      <c r="B159" s="334"/>
      <c r="C159" s="334"/>
      <c r="D159" s="334"/>
      <c r="E159" s="334"/>
      <c r="F159" s="334"/>
      <c r="G159" s="334"/>
      <c r="H159" s="334"/>
      <c r="I159" s="334"/>
      <c r="J159" s="334"/>
      <c r="K159" s="334"/>
      <c r="L159" s="334"/>
      <c r="M159" s="334"/>
      <c r="N159" s="334"/>
      <c r="O159" s="334"/>
      <c r="P159" s="334"/>
      <c r="Q159" s="334"/>
      <c r="R159" s="334"/>
      <c r="S159" s="334"/>
      <c r="T159" s="347"/>
      <c r="U159" s="334"/>
      <c r="V159" s="5"/>
    </row>
    <row r="160" spans="1:23" ht="15.6" x14ac:dyDescent="0.3">
      <c r="A160" s="175"/>
      <c r="B160" s="201" t="s">
        <v>52</v>
      </c>
      <c r="C160" s="177"/>
      <c r="D160" s="177"/>
      <c r="E160" s="177"/>
      <c r="F160" s="177"/>
      <c r="G160" s="177"/>
      <c r="H160" s="177"/>
      <c r="I160" s="177"/>
      <c r="J160" s="177"/>
      <c r="K160" s="177"/>
      <c r="L160" s="177"/>
      <c r="M160" s="177"/>
      <c r="N160" s="177"/>
      <c r="O160" s="177"/>
      <c r="P160" s="177"/>
      <c r="Q160" s="177"/>
      <c r="R160" s="177"/>
      <c r="S160" s="177"/>
      <c r="T160" s="202"/>
      <c r="U160" s="177"/>
      <c r="V160" s="5"/>
    </row>
    <row r="161" spans="1:22" ht="15.6" x14ac:dyDescent="0.3">
      <c r="A161" s="284"/>
      <c r="B161" s="285" t="s">
        <v>53</v>
      </c>
      <c r="C161" s="285"/>
      <c r="D161" s="285"/>
      <c r="E161" s="285"/>
      <c r="F161" s="285"/>
      <c r="G161" s="285"/>
      <c r="H161" s="285"/>
      <c r="I161" s="285"/>
      <c r="J161" s="285"/>
      <c r="K161" s="285"/>
      <c r="L161" s="285"/>
      <c r="M161" s="285"/>
      <c r="N161" s="285"/>
      <c r="O161" s="285"/>
      <c r="P161" s="285"/>
      <c r="Q161" s="285"/>
      <c r="R161" s="285"/>
      <c r="S161" s="285"/>
      <c r="T161" s="339">
        <v>0</v>
      </c>
      <c r="U161" s="288"/>
      <c r="V161" s="5"/>
    </row>
    <row r="162" spans="1:22" ht="15.6" x14ac:dyDescent="0.3">
      <c r="A162" s="284"/>
      <c r="B162" s="285" t="s">
        <v>54</v>
      </c>
      <c r="C162" s="285"/>
      <c r="D162" s="285"/>
      <c r="E162" s="285"/>
      <c r="F162" s="285"/>
      <c r="G162" s="285"/>
      <c r="H162" s="285"/>
      <c r="I162" s="285"/>
      <c r="J162" s="285"/>
      <c r="K162" s="285"/>
      <c r="L162" s="285"/>
      <c r="M162" s="285"/>
      <c r="N162" s="285"/>
      <c r="O162" s="285"/>
      <c r="P162" s="285"/>
      <c r="Q162" s="285"/>
      <c r="R162" s="285"/>
      <c r="S162" s="285"/>
      <c r="T162" s="339">
        <f>R113</f>
        <v>125</v>
      </c>
      <c r="U162" s="288"/>
      <c r="V162" s="5"/>
    </row>
    <row r="163" spans="1:22" ht="15.6" x14ac:dyDescent="0.3">
      <c r="A163" s="284"/>
      <c r="B163" s="285" t="s">
        <v>55</v>
      </c>
      <c r="C163" s="285"/>
      <c r="D163" s="285"/>
      <c r="E163" s="285"/>
      <c r="F163" s="285"/>
      <c r="G163" s="285"/>
      <c r="H163" s="285"/>
      <c r="I163" s="285"/>
      <c r="J163" s="285"/>
      <c r="K163" s="285"/>
      <c r="L163" s="285"/>
      <c r="M163" s="285"/>
      <c r="N163" s="285"/>
      <c r="O163" s="285"/>
      <c r="P163" s="285"/>
      <c r="Q163" s="285"/>
      <c r="R163" s="285"/>
      <c r="S163" s="285"/>
      <c r="T163" s="339">
        <f>T162+T161</f>
        <v>125</v>
      </c>
      <c r="U163" s="288"/>
      <c r="V163" s="5"/>
    </row>
    <row r="164" spans="1:22" ht="15.6" x14ac:dyDescent="0.3">
      <c r="A164" s="284"/>
      <c r="B164" s="285" t="s">
        <v>301</v>
      </c>
      <c r="C164" s="285"/>
      <c r="D164" s="285"/>
      <c r="E164" s="285"/>
      <c r="F164" s="285"/>
      <c r="G164" s="285"/>
      <c r="H164" s="285"/>
      <c r="I164" s="285"/>
      <c r="J164" s="285"/>
      <c r="K164" s="285"/>
      <c r="L164" s="285"/>
      <c r="M164" s="285"/>
      <c r="N164" s="285"/>
      <c r="O164" s="285"/>
      <c r="P164" s="285"/>
      <c r="Q164" s="285"/>
      <c r="R164" s="285"/>
      <c r="S164" s="285"/>
      <c r="T164" s="339">
        <f>T113</f>
        <v>-125</v>
      </c>
      <c r="U164" s="288"/>
      <c r="V164" s="5"/>
    </row>
    <row r="165" spans="1:22" ht="15.6" x14ac:dyDescent="0.3">
      <c r="A165" s="284"/>
      <c r="B165" s="285" t="s">
        <v>56</v>
      </c>
      <c r="C165" s="285"/>
      <c r="D165" s="285"/>
      <c r="E165" s="285"/>
      <c r="F165" s="285"/>
      <c r="G165" s="285"/>
      <c r="H165" s="285"/>
      <c r="I165" s="285"/>
      <c r="J165" s="285"/>
      <c r="K165" s="285"/>
      <c r="L165" s="285"/>
      <c r="M165" s="285"/>
      <c r="N165" s="285"/>
      <c r="O165" s="285"/>
      <c r="P165" s="285"/>
      <c r="Q165" s="285"/>
      <c r="R165" s="285"/>
      <c r="S165" s="285"/>
      <c r="T165" s="339">
        <f>T163+T164</f>
        <v>0</v>
      </c>
      <c r="U165" s="288"/>
      <c r="V165" s="5"/>
    </row>
    <row r="166" spans="1:22" ht="15.6" x14ac:dyDescent="0.3">
      <c r="A166" s="284"/>
      <c r="B166" s="285" t="s">
        <v>273</v>
      </c>
      <c r="C166" s="285"/>
      <c r="D166" s="285"/>
      <c r="E166" s="285"/>
      <c r="F166" s="285"/>
      <c r="G166" s="285"/>
      <c r="H166" s="285"/>
      <c r="I166" s="285"/>
      <c r="J166" s="285"/>
      <c r="K166" s="285"/>
      <c r="L166" s="285"/>
      <c r="M166" s="285"/>
      <c r="N166" s="285"/>
      <c r="O166" s="285"/>
      <c r="P166" s="285"/>
      <c r="Q166" s="285"/>
      <c r="R166" s="285"/>
      <c r="S166" s="285"/>
      <c r="T166" s="339">
        <v>0</v>
      </c>
      <c r="U166" s="288"/>
      <c r="V166" s="5"/>
    </row>
    <row r="167" spans="1:22" ht="16.2" thickBot="1" x14ac:dyDescent="0.35">
      <c r="A167" s="175"/>
      <c r="B167" s="334"/>
      <c r="C167" s="334"/>
      <c r="D167" s="334"/>
      <c r="E167" s="334"/>
      <c r="F167" s="334"/>
      <c r="G167" s="334"/>
      <c r="H167" s="334"/>
      <c r="I167" s="334"/>
      <c r="J167" s="334"/>
      <c r="K167" s="334"/>
      <c r="L167" s="334"/>
      <c r="M167" s="334"/>
      <c r="N167" s="334"/>
      <c r="O167" s="334"/>
      <c r="P167" s="334"/>
      <c r="Q167" s="334"/>
      <c r="R167" s="334"/>
      <c r="S167" s="334"/>
      <c r="T167" s="347"/>
      <c r="U167" s="334"/>
      <c r="V167" s="5"/>
    </row>
    <row r="168" spans="1:22" ht="15.6" x14ac:dyDescent="0.3">
      <c r="A168" s="173"/>
      <c r="B168" s="174"/>
      <c r="C168" s="174"/>
      <c r="D168" s="174"/>
      <c r="E168" s="174"/>
      <c r="F168" s="174"/>
      <c r="G168" s="174"/>
      <c r="H168" s="174"/>
      <c r="I168" s="174"/>
      <c r="J168" s="174"/>
      <c r="K168" s="174"/>
      <c r="L168" s="174"/>
      <c r="M168" s="174"/>
      <c r="N168" s="174"/>
      <c r="O168" s="174"/>
      <c r="P168" s="174"/>
      <c r="Q168" s="174"/>
      <c r="R168" s="174"/>
      <c r="S168" s="174"/>
      <c r="T168" s="193"/>
      <c r="U168" s="174"/>
      <c r="V168" s="5"/>
    </row>
    <row r="169" spans="1:22" ht="15.6" x14ac:dyDescent="0.3">
      <c r="A169" s="175"/>
      <c r="B169" s="201" t="s">
        <v>57</v>
      </c>
      <c r="C169" s="177"/>
      <c r="D169" s="177"/>
      <c r="E169" s="177"/>
      <c r="F169" s="177"/>
      <c r="G169" s="177"/>
      <c r="H169" s="177"/>
      <c r="I169" s="177"/>
      <c r="J169" s="177"/>
      <c r="K169" s="177"/>
      <c r="L169" s="177"/>
      <c r="M169" s="177"/>
      <c r="N169" s="177"/>
      <c r="O169" s="177"/>
      <c r="P169" s="177"/>
      <c r="Q169" s="177"/>
      <c r="R169" s="177"/>
      <c r="S169" s="177"/>
      <c r="T169" s="194"/>
      <c r="U169" s="177"/>
      <c r="V169" s="5"/>
    </row>
    <row r="170" spans="1:22" ht="15.6" x14ac:dyDescent="0.3">
      <c r="A170" s="175"/>
      <c r="B170" s="187"/>
      <c r="C170" s="177"/>
      <c r="D170" s="177"/>
      <c r="E170" s="177"/>
      <c r="F170" s="177"/>
      <c r="G170" s="177"/>
      <c r="H170" s="177"/>
      <c r="I170" s="177"/>
      <c r="J170" s="177"/>
      <c r="K170" s="177"/>
      <c r="L170" s="177"/>
      <c r="M170" s="177"/>
      <c r="N170" s="177"/>
      <c r="O170" s="177"/>
      <c r="P170" s="177"/>
      <c r="Q170" s="177"/>
      <c r="R170" s="177"/>
      <c r="S170" s="177"/>
      <c r="T170" s="194"/>
      <c r="U170" s="177"/>
      <c r="V170" s="5"/>
    </row>
    <row r="171" spans="1:22" ht="15.6" x14ac:dyDescent="0.3">
      <c r="A171" s="284"/>
      <c r="B171" s="285" t="s">
        <v>58</v>
      </c>
      <c r="C171" s="285"/>
      <c r="D171" s="285"/>
      <c r="E171" s="285"/>
      <c r="F171" s="285"/>
      <c r="G171" s="285"/>
      <c r="H171" s="285"/>
      <c r="I171" s="285"/>
      <c r="J171" s="285"/>
      <c r="K171" s="285"/>
      <c r="L171" s="285"/>
      <c r="M171" s="285"/>
      <c r="N171" s="285"/>
      <c r="O171" s="285"/>
      <c r="P171" s="285"/>
      <c r="Q171" s="285"/>
      <c r="R171" s="285"/>
      <c r="S171" s="285"/>
      <c r="T171" s="339">
        <f>T71</f>
        <v>497156</v>
      </c>
      <c r="U171" s="288"/>
      <c r="V171" s="5"/>
    </row>
    <row r="172" spans="1:22" ht="15.6" x14ac:dyDescent="0.3">
      <c r="A172" s="284"/>
      <c r="B172" s="285" t="s">
        <v>59</v>
      </c>
      <c r="C172" s="285"/>
      <c r="D172" s="285"/>
      <c r="E172" s="285"/>
      <c r="F172" s="285"/>
      <c r="G172" s="285"/>
      <c r="H172" s="285"/>
      <c r="I172" s="285"/>
      <c r="J172" s="285"/>
      <c r="K172" s="285"/>
      <c r="L172" s="285"/>
      <c r="M172" s="285"/>
      <c r="N172" s="285"/>
      <c r="O172" s="285"/>
      <c r="P172" s="285"/>
      <c r="Q172" s="285"/>
      <c r="R172" s="285"/>
      <c r="S172" s="285"/>
      <c r="T172" s="339">
        <f>T84</f>
        <v>497156</v>
      </c>
      <c r="U172" s="288"/>
      <c r="V172" s="5"/>
    </row>
    <row r="173" spans="1:22" ht="16.2" thickBot="1" x14ac:dyDescent="0.35">
      <c r="A173" s="175"/>
      <c r="B173" s="334"/>
      <c r="C173" s="334"/>
      <c r="D173" s="334"/>
      <c r="E173" s="334"/>
      <c r="F173" s="334"/>
      <c r="G173" s="334"/>
      <c r="H173" s="334"/>
      <c r="I173" s="334"/>
      <c r="J173" s="334"/>
      <c r="K173" s="334"/>
      <c r="L173" s="334"/>
      <c r="M173" s="334"/>
      <c r="N173" s="334"/>
      <c r="O173" s="334"/>
      <c r="P173" s="334"/>
      <c r="Q173" s="334"/>
      <c r="R173" s="334"/>
      <c r="S173" s="334"/>
      <c r="T173" s="347"/>
      <c r="U173" s="334"/>
      <c r="V173" s="5"/>
    </row>
    <row r="174" spans="1:22" ht="15.6" x14ac:dyDescent="0.3">
      <c r="A174" s="173"/>
      <c r="B174" s="174"/>
      <c r="C174" s="174"/>
      <c r="D174" s="174"/>
      <c r="E174" s="174"/>
      <c r="F174" s="174"/>
      <c r="G174" s="174"/>
      <c r="H174" s="174"/>
      <c r="I174" s="174"/>
      <c r="J174" s="174"/>
      <c r="K174" s="174"/>
      <c r="L174" s="174"/>
      <c r="M174" s="174"/>
      <c r="N174" s="174"/>
      <c r="O174" s="174"/>
      <c r="P174" s="174"/>
      <c r="Q174" s="174"/>
      <c r="R174" s="174"/>
      <c r="S174" s="174"/>
      <c r="T174" s="193"/>
      <c r="U174" s="174"/>
      <c r="V174" s="5"/>
    </row>
    <row r="175" spans="1:22" ht="15.6" x14ac:dyDescent="0.3">
      <c r="A175" s="175"/>
      <c r="B175" s="201" t="s">
        <v>60</v>
      </c>
      <c r="C175" s="198"/>
      <c r="D175" s="198"/>
      <c r="E175" s="198"/>
      <c r="F175" s="198"/>
      <c r="G175" s="198"/>
      <c r="H175" s="203"/>
      <c r="I175" s="203"/>
      <c r="J175" s="203"/>
      <c r="K175" s="203"/>
      <c r="L175" s="203"/>
      <c r="M175" s="203"/>
      <c r="N175" s="203"/>
      <c r="O175" s="203"/>
      <c r="P175" s="203"/>
      <c r="Q175" s="203" t="s">
        <v>104</v>
      </c>
      <c r="R175" s="203" t="s">
        <v>183</v>
      </c>
      <c r="S175" s="179"/>
      <c r="T175" s="204" t="s">
        <v>120</v>
      </c>
      <c r="U175" s="205"/>
      <c r="V175" s="5"/>
    </row>
    <row r="176" spans="1:22" ht="15.6" x14ac:dyDescent="0.3">
      <c r="A176" s="284"/>
      <c r="B176" s="285" t="s">
        <v>61</v>
      </c>
      <c r="C176" s="285"/>
      <c r="D176" s="285"/>
      <c r="E176" s="285"/>
      <c r="F176" s="285"/>
      <c r="G176" s="285"/>
      <c r="H176" s="285"/>
      <c r="I176" s="285"/>
      <c r="J176" s="285"/>
      <c r="K176" s="285"/>
      <c r="L176" s="285"/>
      <c r="M176" s="285"/>
      <c r="N176" s="285"/>
      <c r="O176" s="285"/>
      <c r="P176" s="285"/>
      <c r="Q176" s="339">
        <v>160008</v>
      </c>
      <c r="R176" s="324"/>
      <c r="S176" s="285"/>
      <c r="T176" s="339"/>
      <c r="U176" s="288"/>
      <c r="V176" s="5"/>
    </row>
    <row r="177" spans="1:22" ht="15.6" x14ac:dyDescent="0.3">
      <c r="A177" s="284"/>
      <c r="B177" s="285" t="s">
        <v>62</v>
      </c>
      <c r="C177" s="285"/>
      <c r="D177" s="285"/>
      <c r="E177" s="285"/>
      <c r="F177" s="285"/>
      <c r="G177" s="285"/>
      <c r="H177" s="285"/>
      <c r="I177" s="285"/>
      <c r="J177" s="285"/>
      <c r="K177" s="285"/>
      <c r="L177" s="285"/>
      <c r="M177" s="285"/>
      <c r="N177" s="285"/>
      <c r="O177" s="285"/>
      <c r="P177" s="285"/>
      <c r="Q177" s="339">
        <f>+'March 15'!Q179</f>
        <v>38263</v>
      </c>
      <c r="R177" s="339">
        <f>+'March 15'!R179</f>
        <v>3447</v>
      </c>
      <c r="S177" s="285"/>
      <c r="T177" s="339">
        <f>Q177+R177</f>
        <v>41710</v>
      </c>
      <c r="U177" s="288"/>
      <c r="V177" s="5"/>
    </row>
    <row r="178" spans="1:22" ht="15.6" x14ac:dyDescent="0.3">
      <c r="A178" s="284"/>
      <c r="B178" s="285" t="s">
        <v>63</v>
      </c>
      <c r="C178" s="285"/>
      <c r="D178" s="285"/>
      <c r="E178" s="285"/>
      <c r="F178" s="285"/>
      <c r="G178" s="285"/>
      <c r="H178" s="285"/>
      <c r="I178" s="285"/>
      <c r="J178" s="285"/>
      <c r="K178" s="285"/>
      <c r="L178" s="285"/>
      <c r="M178" s="285"/>
      <c r="N178" s="285"/>
      <c r="O178" s="285"/>
      <c r="P178" s="285"/>
      <c r="Q178" s="338">
        <v>100</v>
      </c>
      <c r="R178" s="338">
        <v>0</v>
      </c>
      <c r="S178" s="285"/>
      <c r="T178" s="339">
        <f>Q178+R178</f>
        <v>100</v>
      </c>
      <c r="U178" s="288"/>
      <c r="V178" s="5"/>
    </row>
    <row r="179" spans="1:22" ht="15.6" x14ac:dyDescent="0.3">
      <c r="A179" s="284"/>
      <c r="B179" s="285" t="s">
        <v>64</v>
      </c>
      <c r="C179" s="285"/>
      <c r="D179" s="285"/>
      <c r="E179" s="285"/>
      <c r="F179" s="285"/>
      <c r="G179" s="285"/>
      <c r="H179" s="285"/>
      <c r="I179" s="285"/>
      <c r="J179" s="285"/>
      <c r="K179" s="285"/>
      <c r="L179" s="285"/>
      <c r="M179" s="285"/>
      <c r="N179" s="285"/>
      <c r="O179" s="285"/>
      <c r="P179" s="285"/>
      <c r="Q179" s="339">
        <f>Q177+Q178</f>
        <v>38363</v>
      </c>
      <c r="R179" s="339">
        <f>R178+R177</f>
        <v>3447</v>
      </c>
      <c r="S179" s="285"/>
      <c r="T179" s="339">
        <f>Q179+R179</f>
        <v>41810</v>
      </c>
      <c r="U179" s="288"/>
      <c r="V179" s="5"/>
    </row>
    <row r="180" spans="1:22" ht="15.6" x14ac:dyDescent="0.3">
      <c r="A180" s="284"/>
      <c r="B180" s="285" t="s">
        <v>65</v>
      </c>
      <c r="C180" s="285"/>
      <c r="D180" s="285"/>
      <c r="E180" s="285"/>
      <c r="F180" s="285"/>
      <c r="G180" s="285"/>
      <c r="H180" s="285"/>
      <c r="I180" s="285"/>
      <c r="J180" s="285"/>
      <c r="K180" s="285"/>
      <c r="L180" s="285"/>
      <c r="M180" s="285"/>
      <c r="N180" s="285"/>
      <c r="O180" s="285"/>
      <c r="P180" s="285"/>
      <c r="Q180" s="339">
        <f>Q176-Q179-R179</f>
        <v>118198</v>
      </c>
      <c r="R180" s="324"/>
      <c r="S180" s="285"/>
      <c r="T180" s="339"/>
      <c r="U180" s="288"/>
      <c r="V180" s="5"/>
    </row>
    <row r="181" spans="1:22" ht="16.2" thickBot="1" x14ac:dyDescent="0.35">
      <c r="A181" s="175"/>
      <c r="B181" s="334"/>
      <c r="C181" s="334"/>
      <c r="D181" s="334"/>
      <c r="E181" s="334"/>
      <c r="F181" s="334"/>
      <c r="G181" s="334"/>
      <c r="H181" s="334"/>
      <c r="I181" s="334"/>
      <c r="J181" s="334"/>
      <c r="K181" s="334"/>
      <c r="L181" s="334"/>
      <c r="M181" s="334"/>
      <c r="N181" s="334"/>
      <c r="O181" s="334"/>
      <c r="P181" s="334"/>
      <c r="Q181" s="334"/>
      <c r="R181" s="334"/>
      <c r="S181" s="334"/>
      <c r="T181" s="347"/>
      <c r="U181" s="334"/>
      <c r="V181" s="5"/>
    </row>
    <row r="182" spans="1:22" ht="15.6" x14ac:dyDescent="0.3">
      <c r="A182" s="173"/>
      <c r="B182" s="174"/>
      <c r="C182" s="174"/>
      <c r="D182" s="174"/>
      <c r="E182" s="174"/>
      <c r="F182" s="174"/>
      <c r="G182" s="174"/>
      <c r="H182" s="174"/>
      <c r="I182" s="174"/>
      <c r="J182" s="174"/>
      <c r="K182" s="174"/>
      <c r="L182" s="174"/>
      <c r="M182" s="174"/>
      <c r="N182" s="174"/>
      <c r="O182" s="174"/>
      <c r="P182" s="174"/>
      <c r="Q182" s="174"/>
      <c r="R182" s="174"/>
      <c r="S182" s="174"/>
      <c r="T182" s="193"/>
      <c r="U182" s="174"/>
      <c r="V182" s="5"/>
    </row>
    <row r="183" spans="1:22" ht="15.6" x14ac:dyDescent="0.3">
      <c r="A183" s="175"/>
      <c r="B183" s="201" t="s">
        <v>66</v>
      </c>
      <c r="C183" s="177"/>
      <c r="D183" s="177"/>
      <c r="E183" s="177"/>
      <c r="F183" s="177"/>
      <c r="G183" s="177"/>
      <c r="H183" s="177"/>
      <c r="I183" s="177"/>
      <c r="J183" s="177"/>
      <c r="K183" s="177"/>
      <c r="L183" s="177"/>
      <c r="M183" s="177"/>
      <c r="N183" s="177"/>
      <c r="O183" s="177"/>
      <c r="P183" s="177"/>
      <c r="Q183" s="177"/>
      <c r="R183" s="177"/>
      <c r="S183" s="177"/>
      <c r="T183" s="206"/>
      <c r="U183" s="177"/>
      <c r="V183" s="5"/>
    </row>
    <row r="184" spans="1:22" ht="15.6" x14ac:dyDescent="0.3">
      <c r="A184" s="284"/>
      <c r="B184" s="285" t="s">
        <v>67</v>
      </c>
      <c r="C184" s="285"/>
      <c r="D184" s="285"/>
      <c r="E184" s="285"/>
      <c r="F184" s="285"/>
      <c r="G184" s="285"/>
      <c r="H184" s="285"/>
      <c r="I184" s="285"/>
      <c r="J184" s="285"/>
      <c r="K184" s="285"/>
      <c r="L184" s="285"/>
      <c r="M184" s="285"/>
      <c r="N184" s="285"/>
      <c r="O184" s="285"/>
      <c r="P184" s="285"/>
      <c r="Q184" s="285"/>
      <c r="R184" s="285"/>
      <c r="S184" s="285"/>
      <c r="T184" s="348">
        <f>(T100+T102+T103+T104+T105)/-(T106+T107)</f>
        <v>4.3620437956204379</v>
      </c>
      <c r="U184" s="288" t="s">
        <v>121</v>
      </c>
      <c r="V184" s="5"/>
    </row>
    <row r="185" spans="1:22" ht="15.6" x14ac:dyDescent="0.3">
      <c r="A185" s="284"/>
      <c r="B185" s="285" t="s">
        <v>68</v>
      </c>
      <c r="C185" s="285"/>
      <c r="D185" s="285"/>
      <c r="E185" s="285"/>
      <c r="F185" s="285"/>
      <c r="G185" s="285"/>
      <c r="H185" s="285"/>
      <c r="I185" s="285"/>
      <c r="J185" s="285"/>
      <c r="K185" s="285"/>
      <c r="L185" s="285"/>
      <c r="M185" s="285"/>
      <c r="N185" s="285"/>
      <c r="O185" s="285"/>
      <c r="P185" s="285"/>
      <c r="Q185" s="285"/>
      <c r="R185" s="285"/>
      <c r="S185" s="285"/>
      <c r="T185" s="349">
        <v>1.8</v>
      </c>
      <c r="U185" s="288" t="s">
        <v>121</v>
      </c>
      <c r="V185" s="5"/>
    </row>
    <row r="186" spans="1:22" ht="15.6" x14ac:dyDescent="0.3">
      <c r="A186" s="284"/>
      <c r="B186" s="285" t="s">
        <v>69</v>
      </c>
      <c r="C186" s="285"/>
      <c r="D186" s="285"/>
      <c r="E186" s="285"/>
      <c r="F186" s="285"/>
      <c r="G186" s="285"/>
      <c r="H186" s="285"/>
      <c r="I186" s="285"/>
      <c r="J186" s="285"/>
      <c r="K186" s="285"/>
      <c r="L186" s="285"/>
      <c r="M186" s="285"/>
      <c r="N186" s="285"/>
      <c r="O186" s="285"/>
      <c r="P186" s="285"/>
      <c r="Q186" s="285"/>
      <c r="R186" s="285"/>
      <c r="S186" s="285"/>
      <c r="T186" s="348">
        <f>(T100+T102+T103+T104+T105+T106+T107)/-(T108+T109)</f>
        <v>11.810256410256411</v>
      </c>
      <c r="U186" s="288" t="s">
        <v>121</v>
      </c>
      <c r="V186" s="5"/>
    </row>
    <row r="187" spans="1:22" ht="15.6" x14ac:dyDescent="0.3">
      <c r="A187" s="284"/>
      <c r="B187" s="285" t="s">
        <v>70</v>
      </c>
      <c r="C187" s="285"/>
      <c r="D187" s="285"/>
      <c r="E187" s="285"/>
      <c r="F187" s="285"/>
      <c r="G187" s="285"/>
      <c r="H187" s="285"/>
      <c r="I187" s="285"/>
      <c r="J187" s="285"/>
      <c r="K187" s="285"/>
      <c r="L187" s="285"/>
      <c r="M187" s="285"/>
      <c r="N187" s="285"/>
      <c r="O187" s="285"/>
      <c r="P187" s="285"/>
      <c r="Q187" s="285"/>
      <c r="R187" s="285"/>
      <c r="S187" s="285"/>
      <c r="T187" s="349">
        <v>6.51</v>
      </c>
      <c r="U187" s="288" t="s">
        <v>121</v>
      </c>
      <c r="V187" s="5"/>
    </row>
    <row r="188" spans="1:22" ht="15.6" x14ac:dyDescent="0.3">
      <c r="A188" s="284"/>
      <c r="B188" s="285" t="s">
        <v>206</v>
      </c>
      <c r="C188" s="285"/>
      <c r="D188" s="285"/>
      <c r="E188" s="285"/>
      <c r="F188" s="285"/>
      <c r="G188" s="285"/>
      <c r="H188" s="285"/>
      <c r="I188" s="285"/>
      <c r="J188" s="285"/>
      <c r="K188" s="285"/>
      <c r="L188" s="285"/>
      <c r="M188" s="285"/>
      <c r="N188" s="285"/>
      <c r="O188" s="285"/>
      <c r="P188" s="285"/>
      <c r="Q188" s="285"/>
      <c r="R188" s="285"/>
      <c r="S188" s="285"/>
      <c r="T188" s="348">
        <f>(T100+T102+T103+T104+T105+T106+T107+T108+T109)/-(T110)</f>
        <v>9.0862068965517242</v>
      </c>
      <c r="U188" s="288" t="s">
        <v>121</v>
      </c>
      <c r="V188" s="5"/>
    </row>
    <row r="189" spans="1:22" ht="15.6" x14ac:dyDescent="0.3">
      <c r="A189" s="284"/>
      <c r="B189" s="285" t="s">
        <v>207</v>
      </c>
      <c r="C189" s="285"/>
      <c r="D189" s="285"/>
      <c r="E189" s="285"/>
      <c r="F189" s="285"/>
      <c r="G189" s="285"/>
      <c r="H189" s="285"/>
      <c r="I189" s="285"/>
      <c r="J189" s="285"/>
      <c r="K189" s="285"/>
      <c r="L189" s="285"/>
      <c r="M189" s="285"/>
      <c r="N189" s="285"/>
      <c r="O189" s="285"/>
      <c r="P189" s="285"/>
      <c r="Q189" s="285"/>
      <c r="R189" s="285"/>
      <c r="S189" s="285"/>
      <c r="T189" s="349">
        <v>5.88</v>
      </c>
      <c r="U189" s="288" t="s">
        <v>121</v>
      </c>
      <c r="V189" s="5"/>
    </row>
    <row r="190" spans="1:22" ht="15.6" x14ac:dyDescent="0.3">
      <c r="A190" s="284"/>
      <c r="B190" s="311"/>
      <c r="C190" s="311"/>
      <c r="D190" s="311"/>
      <c r="E190" s="311"/>
      <c r="F190" s="311"/>
      <c r="G190" s="311"/>
      <c r="H190" s="311"/>
      <c r="I190" s="311"/>
      <c r="J190" s="311"/>
      <c r="K190" s="311"/>
      <c r="L190" s="311"/>
      <c r="M190" s="311"/>
      <c r="N190" s="311"/>
      <c r="O190" s="311"/>
      <c r="P190" s="311"/>
      <c r="Q190" s="311"/>
      <c r="R190" s="311"/>
      <c r="S190" s="311"/>
      <c r="T190" s="311"/>
      <c r="U190" s="317"/>
      <c r="V190" s="5"/>
    </row>
    <row r="191" spans="1:22" ht="15.6" x14ac:dyDescent="0.3">
      <c r="A191" s="175"/>
      <c r="B191" s="334"/>
      <c r="C191" s="334"/>
      <c r="D191" s="334"/>
      <c r="E191" s="334"/>
      <c r="F191" s="334"/>
      <c r="G191" s="334"/>
      <c r="H191" s="334"/>
      <c r="I191" s="334"/>
      <c r="J191" s="334"/>
      <c r="K191" s="334"/>
      <c r="L191" s="334"/>
      <c r="M191" s="334"/>
      <c r="N191" s="334"/>
      <c r="O191" s="334"/>
      <c r="P191" s="334"/>
      <c r="Q191" s="334"/>
      <c r="R191" s="334"/>
      <c r="S191" s="334"/>
      <c r="T191" s="334"/>
      <c r="U191" s="334"/>
      <c r="V191" s="5"/>
    </row>
    <row r="192" spans="1:22" ht="15.6" x14ac:dyDescent="0.3">
      <c r="A192" s="175"/>
      <c r="B192" s="177"/>
      <c r="C192" s="177"/>
      <c r="D192" s="177"/>
      <c r="E192" s="177"/>
      <c r="F192" s="177"/>
      <c r="G192" s="177"/>
      <c r="H192" s="177"/>
      <c r="I192" s="177"/>
      <c r="J192" s="177"/>
      <c r="K192" s="177"/>
      <c r="L192" s="177"/>
      <c r="M192" s="177"/>
      <c r="N192" s="177"/>
      <c r="O192" s="177"/>
      <c r="P192" s="177"/>
      <c r="Q192" s="177"/>
      <c r="R192" s="177"/>
      <c r="S192" s="177"/>
      <c r="T192" s="177"/>
      <c r="U192" s="177"/>
      <c r="V192" s="5"/>
    </row>
    <row r="193" spans="1:22" ht="18" thickBot="1" x14ac:dyDescent="0.35">
      <c r="A193" s="192"/>
      <c r="B193" s="246" t="str">
        <f>B133</f>
        <v>PM11 INVESTOR REPORT QUARTER ENDING JUNE 2015</v>
      </c>
      <c r="C193" s="207"/>
      <c r="D193" s="207"/>
      <c r="E193" s="207"/>
      <c r="F193" s="207"/>
      <c r="G193" s="207"/>
      <c r="H193" s="207"/>
      <c r="I193" s="207"/>
      <c r="J193" s="207"/>
      <c r="K193" s="207"/>
      <c r="L193" s="207"/>
      <c r="M193" s="207"/>
      <c r="N193" s="207"/>
      <c r="O193" s="207"/>
      <c r="P193" s="207"/>
      <c r="Q193" s="207"/>
      <c r="R193" s="207"/>
      <c r="S193" s="207"/>
      <c r="T193" s="207"/>
      <c r="U193" s="208"/>
      <c r="V193" s="5"/>
    </row>
    <row r="194" spans="1:22" ht="15.6" x14ac:dyDescent="0.3">
      <c r="A194" s="260"/>
      <c r="B194" s="399" t="s">
        <v>71</v>
      </c>
      <c r="C194" s="400"/>
      <c r="D194" s="400"/>
      <c r="E194" s="400"/>
      <c r="F194" s="400"/>
      <c r="G194" s="401"/>
      <c r="H194" s="401"/>
      <c r="I194" s="401"/>
      <c r="J194" s="401"/>
      <c r="K194" s="401"/>
      <c r="L194" s="401"/>
      <c r="M194" s="401"/>
      <c r="N194" s="401"/>
      <c r="O194" s="401"/>
      <c r="P194" s="401"/>
      <c r="Q194" s="401"/>
      <c r="R194" s="401">
        <v>42185</v>
      </c>
      <c r="S194" s="261"/>
      <c r="T194" s="261"/>
      <c r="U194" s="261"/>
      <c r="V194" s="5"/>
    </row>
    <row r="195" spans="1:22" ht="15.6" x14ac:dyDescent="0.3">
      <c r="A195" s="209"/>
      <c r="B195" s="210"/>
      <c r="C195" s="211"/>
      <c r="D195" s="211"/>
      <c r="E195" s="211"/>
      <c r="F195" s="211"/>
      <c r="G195" s="212"/>
      <c r="H195" s="212"/>
      <c r="I195" s="212"/>
      <c r="J195" s="212"/>
      <c r="K195" s="212"/>
      <c r="L195" s="212"/>
      <c r="M195" s="212"/>
      <c r="N195" s="212"/>
      <c r="O195" s="212"/>
      <c r="P195" s="212"/>
      <c r="Q195" s="212"/>
      <c r="R195" s="212"/>
      <c r="S195" s="177"/>
      <c r="T195" s="177"/>
      <c r="U195" s="177"/>
      <c r="V195" s="5"/>
    </row>
    <row r="196" spans="1:22" ht="15.6" x14ac:dyDescent="0.3">
      <c r="A196" s="352"/>
      <c r="B196" s="285" t="s">
        <v>72</v>
      </c>
      <c r="C196" s="353"/>
      <c r="D196" s="353"/>
      <c r="E196" s="353"/>
      <c r="F196" s="353"/>
      <c r="G196" s="329"/>
      <c r="H196" s="329"/>
      <c r="I196" s="329"/>
      <c r="J196" s="329"/>
      <c r="K196" s="329"/>
      <c r="L196" s="329"/>
      <c r="M196" s="329"/>
      <c r="N196" s="329"/>
      <c r="O196" s="329"/>
      <c r="P196" s="329"/>
      <c r="Q196" s="329"/>
      <c r="R196" s="320">
        <v>5.1569999999999998E-2</v>
      </c>
      <c r="S196" s="285"/>
      <c r="T196" s="285"/>
      <c r="U196" s="317"/>
      <c r="V196" s="5"/>
    </row>
    <row r="197" spans="1:22" ht="15.6" x14ac:dyDescent="0.3">
      <c r="A197" s="352"/>
      <c r="B197" s="285" t="s">
        <v>157</v>
      </c>
      <c r="C197" s="353"/>
      <c r="D197" s="353"/>
      <c r="E197" s="353"/>
      <c r="F197" s="353"/>
      <c r="G197" s="329"/>
      <c r="H197" s="329"/>
      <c r="I197" s="329"/>
      <c r="J197" s="329"/>
      <c r="K197" s="329"/>
      <c r="L197" s="329"/>
      <c r="M197" s="329"/>
      <c r="N197" s="329"/>
      <c r="O197" s="329"/>
      <c r="P197" s="329"/>
      <c r="Q197" s="329"/>
      <c r="R197" s="320">
        <v>4.6899999999999997E-2</v>
      </c>
      <c r="S197" s="285"/>
      <c r="T197" s="285"/>
      <c r="U197" s="317"/>
      <c r="V197" s="5"/>
    </row>
    <row r="198" spans="1:22" ht="15.6" x14ac:dyDescent="0.3">
      <c r="A198" s="352"/>
      <c r="B198" s="285" t="s">
        <v>73</v>
      </c>
      <c r="C198" s="353"/>
      <c r="D198" s="353"/>
      <c r="E198" s="353"/>
      <c r="F198" s="353"/>
      <c r="G198" s="329"/>
      <c r="H198" s="329"/>
      <c r="I198" s="329"/>
      <c r="J198" s="329"/>
      <c r="K198" s="329"/>
      <c r="L198" s="329"/>
      <c r="M198" s="329"/>
      <c r="N198" s="329"/>
      <c r="O198" s="329"/>
      <c r="P198" s="329"/>
      <c r="Q198" s="329"/>
      <c r="R198" s="320">
        <f>R196-R197</f>
        <v>4.6700000000000005E-3</v>
      </c>
      <c r="S198" s="285"/>
      <c r="T198" s="285"/>
      <c r="U198" s="317"/>
      <c r="V198" s="5"/>
    </row>
    <row r="199" spans="1:22" ht="15.6" x14ac:dyDescent="0.3">
      <c r="A199" s="352"/>
      <c r="B199" s="285" t="s">
        <v>74</v>
      </c>
      <c r="C199" s="353"/>
      <c r="D199" s="353"/>
      <c r="E199" s="353"/>
      <c r="F199" s="353"/>
      <c r="G199" s="329"/>
      <c r="H199" s="329"/>
      <c r="I199" s="329"/>
      <c r="J199" s="329"/>
      <c r="K199" s="329"/>
      <c r="L199" s="329"/>
      <c r="M199" s="329"/>
      <c r="N199" s="329"/>
      <c r="O199" s="329"/>
      <c r="P199" s="329"/>
      <c r="Q199" s="329"/>
      <c r="R199" s="320">
        <v>2.3120000000000002E-2</v>
      </c>
      <c r="S199" s="285"/>
      <c r="T199" s="285"/>
      <c r="U199" s="317"/>
      <c r="V199" s="5"/>
    </row>
    <row r="200" spans="1:22" ht="15.6" x14ac:dyDescent="0.3">
      <c r="A200" s="352"/>
      <c r="B200" s="285" t="s">
        <v>257</v>
      </c>
      <c r="C200" s="353"/>
      <c r="D200" s="353"/>
      <c r="E200" s="353"/>
      <c r="F200" s="353"/>
      <c r="G200" s="329"/>
      <c r="H200" s="329"/>
      <c r="I200" s="329"/>
      <c r="J200" s="329"/>
      <c r="K200" s="329"/>
      <c r="L200" s="329"/>
      <c r="M200" s="329"/>
      <c r="N200" s="329"/>
      <c r="O200" s="329"/>
      <c r="P200" s="329"/>
      <c r="Q200" s="329"/>
      <c r="R200" s="320">
        <f>T43</f>
        <v>8.8160666016482269E-3</v>
      </c>
      <c r="S200" s="285"/>
      <c r="T200" s="285"/>
      <c r="U200" s="317"/>
      <c r="V200" s="5"/>
    </row>
    <row r="201" spans="1:22" ht="15.6" x14ac:dyDescent="0.3">
      <c r="A201" s="352"/>
      <c r="B201" s="285" t="s">
        <v>75</v>
      </c>
      <c r="C201" s="353"/>
      <c r="D201" s="353"/>
      <c r="E201" s="353"/>
      <c r="F201" s="353"/>
      <c r="G201" s="329"/>
      <c r="H201" s="329"/>
      <c r="I201" s="329"/>
      <c r="J201" s="329"/>
      <c r="K201" s="329"/>
      <c r="L201" s="329"/>
      <c r="M201" s="329"/>
      <c r="N201" s="329"/>
      <c r="O201" s="329"/>
      <c r="P201" s="329"/>
      <c r="Q201" s="329"/>
      <c r="R201" s="320">
        <f>R199-R200</f>
        <v>1.4303933398351775E-2</v>
      </c>
      <c r="S201" s="285"/>
      <c r="T201" s="285"/>
      <c r="U201" s="317"/>
      <c r="V201" s="5"/>
    </row>
    <row r="202" spans="1:22" ht="15.6" x14ac:dyDescent="0.3">
      <c r="A202" s="352"/>
      <c r="B202" s="285" t="s">
        <v>260</v>
      </c>
      <c r="C202" s="353"/>
      <c r="D202" s="353"/>
      <c r="E202" s="353"/>
      <c r="F202" s="353"/>
      <c r="G202" s="329"/>
      <c r="H202" s="329"/>
      <c r="I202" s="329"/>
      <c r="J202" s="329"/>
      <c r="K202" s="329"/>
      <c r="L202" s="329"/>
      <c r="M202" s="329"/>
      <c r="N202" s="329"/>
      <c r="O202" s="329"/>
      <c r="P202" s="329"/>
      <c r="Q202" s="329"/>
      <c r="R202" s="320">
        <f>+T100/L71</f>
        <v>6.5108025972075668E-3</v>
      </c>
      <c r="S202" s="285"/>
      <c r="T202" s="285"/>
      <c r="U202" s="317"/>
      <c r="V202" s="5"/>
    </row>
    <row r="203" spans="1:22" ht="15.6" x14ac:dyDescent="0.3">
      <c r="A203" s="352"/>
      <c r="B203" s="285" t="s">
        <v>217</v>
      </c>
      <c r="C203" s="353"/>
      <c r="D203" s="353"/>
      <c r="E203" s="353"/>
      <c r="F203" s="353"/>
      <c r="G203" s="329"/>
      <c r="H203" s="329"/>
      <c r="I203" s="329"/>
      <c r="J203" s="329"/>
      <c r="K203" s="329"/>
      <c r="L203" s="329"/>
      <c r="M203" s="329"/>
      <c r="N203" s="329"/>
      <c r="O203" s="329"/>
      <c r="P203" s="329"/>
      <c r="Q203" s="329"/>
      <c r="R203" s="354">
        <v>15250</v>
      </c>
      <c r="S203" s="285"/>
      <c r="T203" s="285"/>
      <c r="U203" s="317"/>
      <c r="V203" s="5"/>
    </row>
    <row r="204" spans="1:22" ht="15.6" x14ac:dyDescent="0.3">
      <c r="A204" s="352"/>
      <c r="B204" s="285" t="s">
        <v>218</v>
      </c>
      <c r="C204" s="353"/>
      <c r="D204" s="353"/>
      <c r="E204" s="353"/>
      <c r="F204" s="353"/>
      <c r="G204" s="329"/>
      <c r="H204" s="329"/>
      <c r="I204" s="329"/>
      <c r="J204" s="329"/>
      <c r="K204" s="329"/>
      <c r="L204" s="329"/>
      <c r="M204" s="329"/>
      <c r="N204" s="329"/>
      <c r="O204" s="329"/>
      <c r="P204" s="329"/>
      <c r="Q204" s="329"/>
      <c r="R204" s="354">
        <v>15250</v>
      </c>
      <c r="S204" s="285"/>
      <c r="T204" s="285"/>
      <c r="U204" s="317"/>
      <c r="V204" s="5"/>
    </row>
    <row r="205" spans="1:22" ht="15.6" x14ac:dyDescent="0.3">
      <c r="A205" s="352"/>
      <c r="B205" s="285" t="s">
        <v>219</v>
      </c>
      <c r="C205" s="353"/>
      <c r="D205" s="353"/>
      <c r="E205" s="353"/>
      <c r="F205" s="353"/>
      <c r="G205" s="329"/>
      <c r="H205" s="329"/>
      <c r="I205" s="329"/>
      <c r="J205" s="329"/>
      <c r="K205" s="329"/>
      <c r="L205" s="329"/>
      <c r="M205" s="329"/>
      <c r="N205" s="329"/>
      <c r="O205" s="329"/>
      <c r="P205" s="329"/>
      <c r="Q205" s="329"/>
      <c r="R205" s="354">
        <v>15250</v>
      </c>
      <c r="S205" s="285"/>
      <c r="T205" s="285"/>
      <c r="U205" s="317"/>
      <c r="V205" s="5"/>
    </row>
    <row r="206" spans="1:22" ht="15.6" x14ac:dyDescent="0.3">
      <c r="A206" s="352"/>
      <c r="B206" s="285" t="s">
        <v>76</v>
      </c>
      <c r="C206" s="353"/>
      <c r="D206" s="353"/>
      <c r="E206" s="353"/>
      <c r="F206" s="353"/>
      <c r="G206" s="329"/>
      <c r="H206" s="329"/>
      <c r="I206" s="329"/>
      <c r="J206" s="329"/>
      <c r="K206" s="329"/>
      <c r="L206" s="329"/>
      <c r="M206" s="329"/>
      <c r="N206" s="329"/>
      <c r="O206" s="329"/>
      <c r="P206" s="329"/>
      <c r="Q206" s="329"/>
      <c r="R206" s="326">
        <v>21.18</v>
      </c>
      <c r="S206" s="285" t="s">
        <v>116</v>
      </c>
      <c r="T206" s="285"/>
      <c r="U206" s="317"/>
      <c r="V206" s="5"/>
    </row>
    <row r="207" spans="1:22" ht="15.6" x14ac:dyDescent="0.3">
      <c r="A207" s="352"/>
      <c r="B207" s="285" t="s">
        <v>77</v>
      </c>
      <c r="C207" s="353"/>
      <c r="D207" s="353"/>
      <c r="E207" s="353"/>
      <c r="F207" s="353"/>
      <c r="G207" s="329"/>
      <c r="H207" s="329"/>
      <c r="I207" s="329"/>
      <c r="J207" s="329"/>
      <c r="K207" s="329"/>
      <c r="L207" s="329"/>
      <c r="M207" s="329"/>
      <c r="N207" s="329"/>
      <c r="O207" s="329"/>
      <c r="P207" s="329"/>
      <c r="Q207" s="329"/>
      <c r="R207" s="326">
        <v>12.24</v>
      </c>
      <c r="S207" s="285" t="s">
        <v>116</v>
      </c>
      <c r="T207" s="285"/>
      <c r="U207" s="317"/>
      <c r="V207" s="5"/>
    </row>
    <row r="208" spans="1:22" ht="15.6" x14ac:dyDescent="0.3">
      <c r="A208" s="352"/>
      <c r="B208" s="285" t="s">
        <v>78</v>
      </c>
      <c r="C208" s="353"/>
      <c r="D208" s="353"/>
      <c r="E208" s="353"/>
      <c r="F208" s="353"/>
      <c r="G208" s="329"/>
      <c r="H208" s="329"/>
      <c r="I208" s="329"/>
      <c r="J208" s="329"/>
      <c r="K208" s="329"/>
      <c r="L208" s="329"/>
      <c r="M208" s="329"/>
      <c r="N208" s="329"/>
      <c r="O208" s="329"/>
      <c r="P208" s="329"/>
      <c r="Q208" s="329"/>
      <c r="R208" s="320">
        <f>N68/L68</f>
        <v>1.7835054398299091E-2</v>
      </c>
      <c r="S208" s="285"/>
      <c r="T208" s="285"/>
      <c r="U208" s="317"/>
      <c r="V208" s="5"/>
    </row>
    <row r="209" spans="1:22" ht="15.6" x14ac:dyDescent="0.3">
      <c r="A209" s="352"/>
      <c r="B209" s="285" t="s">
        <v>79</v>
      </c>
      <c r="C209" s="353"/>
      <c r="D209" s="353"/>
      <c r="E209" s="353"/>
      <c r="F209" s="353"/>
      <c r="G209" s="329"/>
      <c r="H209" s="329"/>
      <c r="I209" s="329"/>
      <c r="J209" s="329"/>
      <c r="K209" s="329"/>
      <c r="L209" s="329"/>
      <c r="M209" s="329"/>
      <c r="N209" s="329"/>
      <c r="O209" s="329"/>
      <c r="P209" s="329"/>
      <c r="Q209" s="329"/>
      <c r="R209" s="320">
        <v>7.7700000000000005E-2</v>
      </c>
      <c r="S209" s="285"/>
      <c r="T209" s="285"/>
      <c r="U209" s="317"/>
      <c r="V209" s="5"/>
    </row>
    <row r="210" spans="1:22" ht="15.6" x14ac:dyDescent="0.3">
      <c r="A210" s="209"/>
      <c r="B210" s="350"/>
      <c r="C210" s="350"/>
      <c r="D210" s="350"/>
      <c r="E210" s="350"/>
      <c r="F210" s="350"/>
      <c r="G210" s="334"/>
      <c r="H210" s="334"/>
      <c r="I210" s="334"/>
      <c r="J210" s="334"/>
      <c r="K210" s="334"/>
      <c r="L210" s="334"/>
      <c r="M210" s="334"/>
      <c r="N210" s="334"/>
      <c r="O210" s="334"/>
      <c r="P210" s="334"/>
      <c r="Q210" s="334"/>
      <c r="R210" s="347"/>
      <c r="S210" s="334"/>
      <c r="T210" s="351"/>
      <c r="U210" s="334"/>
      <c r="V210" s="5"/>
    </row>
    <row r="211" spans="1:22" ht="15.6" x14ac:dyDescent="0.3">
      <c r="A211" s="266"/>
      <c r="B211" s="395" t="s">
        <v>80</v>
      </c>
      <c r="C211" s="396"/>
      <c r="D211" s="396"/>
      <c r="E211" s="396"/>
      <c r="F211" s="402"/>
      <c r="G211" s="396"/>
      <c r="H211" s="396"/>
      <c r="I211" s="396"/>
      <c r="J211" s="396"/>
      <c r="K211" s="396"/>
      <c r="L211" s="396"/>
      <c r="M211" s="396"/>
      <c r="N211" s="396"/>
      <c r="O211" s="396"/>
      <c r="P211" s="396"/>
      <c r="Q211" s="396" t="s">
        <v>105</v>
      </c>
      <c r="R211" s="402" t="s">
        <v>112</v>
      </c>
      <c r="S211" s="223"/>
      <c r="T211" s="223"/>
      <c r="U211" s="223"/>
      <c r="V211" s="5"/>
    </row>
    <row r="212" spans="1:22" ht="15.6" x14ac:dyDescent="0.3">
      <c r="A212" s="214"/>
      <c r="B212" s="239" t="s">
        <v>81</v>
      </c>
      <c r="C212" s="243"/>
      <c r="D212" s="243"/>
      <c r="E212" s="243"/>
      <c r="F212" s="239"/>
      <c r="G212" s="239"/>
      <c r="H212" s="242"/>
      <c r="I212" s="242"/>
      <c r="J212" s="242"/>
      <c r="K212" s="242"/>
      <c r="L212" s="242"/>
      <c r="M212" s="242"/>
      <c r="N212" s="242"/>
      <c r="O212" s="242"/>
      <c r="P212" s="242"/>
      <c r="Q212" s="242">
        <v>0</v>
      </c>
      <c r="R212" s="272">
        <v>0</v>
      </c>
      <c r="S212" s="239"/>
      <c r="T212" s="273"/>
      <c r="U212" s="215"/>
      <c r="V212" s="5"/>
    </row>
    <row r="213" spans="1:22" ht="15.6" x14ac:dyDescent="0.3">
      <c r="A213" s="360"/>
      <c r="B213" s="285" t="s">
        <v>151</v>
      </c>
      <c r="C213" s="338"/>
      <c r="D213" s="338"/>
      <c r="E213" s="338"/>
      <c r="F213" s="285"/>
      <c r="G213" s="285"/>
      <c r="H213" s="293"/>
      <c r="I213" s="293"/>
      <c r="J213" s="293"/>
      <c r="K213" s="293"/>
      <c r="L213" s="293"/>
      <c r="M213" s="293"/>
      <c r="N213" s="293"/>
      <c r="O213" s="293"/>
      <c r="P213" s="293"/>
      <c r="Q213" s="361">
        <f>+P265</f>
        <v>68</v>
      </c>
      <c r="R213" s="362">
        <f>+R265</f>
        <v>10285</v>
      </c>
      <c r="S213" s="285"/>
      <c r="T213" s="363"/>
      <c r="U213" s="364"/>
      <c r="V213" s="5"/>
    </row>
    <row r="214" spans="1:22" ht="15.6" x14ac:dyDescent="0.3">
      <c r="A214" s="360"/>
      <c r="B214" s="285" t="s">
        <v>82</v>
      </c>
      <c r="C214" s="338"/>
      <c r="D214" s="338"/>
      <c r="E214" s="338"/>
      <c r="F214" s="285"/>
      <c r="G214" s="285"/>
      <c r="H214" s="293"/>
      <c r="I214" s="293"/>
      <c r="J214" s="293"/>
      <c r="K214" s="293"/>
      <c r="L214" s="293"/>
      <c r="M214" s="293"/>
      <c r="N214" s="293"/>
      <c r="O214" s="293"/>
      <c r="P214" s="293"/>
      <c r="Q214" s="361">
        <f>+P277</f>
        <v>0</v>
      </c>
      <c r="R214" s="362">
        <f>+R277</f>
        <v>0</v>
      </c>
      <c r="S214" s="285"/>
      <c r="T214" s="363"/>
      <c r="U214" s="364"/>
      <c r="V214" s="5"/>
    </row>
    <row r="215" spans="1:22" ht="15.6" x14ac:dyDescent="0.3">
      <c r="A215" s="360"/>
      <c r="B215" s="310" t="s">
        <v>83</v>
      </c>
      <c r="C215" s="365"/>
      <c r="D215" s="365"/>
      <c r="E215" s="365"/>
      <c r="F215" s="311"/>
      <c r="G215" s="311"/>
      <c r="H215" s="311"/>
      <c r="I215" s="311"/>
      <c r="J215" s="311"/>
      <c r="K215" s="311"/>
      <c r="L215" s="311"/>
      <c r="M215" s="311"/>
      <c r="N215" s="311"/>
      <c r="O215" s="311"/>
      <c r="P215" s="311"/>
      <c r="Q215" s="285"/>
      <c r="R215" s="362">
        <v>0</v>
      </c>
      <c r="S215" s="311"/>
      <c r="T215" s="366"/>
      <c r="U215" s="364"/>
      <c r="V215" s="5"/>
    </row>
    <row r="216" spans="1:22" ht="15.6" x14ac:dyDescent="0.3">
      <c r="A216" s="360"/>
      <c r="B216" s="310" t="s">
        <v>84</v>
      </c>
      <c r="C216" s="365"/>
      <c r="D216" s="365"/>
      <c r="E216" s="365"/>
      <c r="F216" s="311"/>
      <c r="G216" s="311"/>
      <c r="H216" s="311"/>
      <c r="I216" s="311"/>
      <c r="J216" s="311"/>
      <c r="K216" s="311"/>
      <c r="L216" s="311"/>
      <c r="M216" s="311"/>
      <c r="N216" s="311"/>
      <c r="O216" s="311"/>
      <c r="P216" s="311"/>
      <c r="Q216" s="285"/>
      <c r="R216" s="367" t="s">
        <v>113</v>
      </c>
      <c r="S216" s="311"/>
      <c r="T216" s="366"/>
      <c r="U216" s="364"/>
      <c r="V216" s="5"/>
    </row>
    <row r="217" spans="1:22" ht="15.6" x14ac:dyDescent="0.3">
      <c r="A217" s="368"/>
      <c r="B217" s="310" t="s">
        <v>85</v>
      </c>
      <c r="C217" s="369"/>
      <c r="D217" s="369"/>
      <c r="E217" s="369"/>
      <c r="F217" s="369"/>
      <c r="G217" s="311"/>
      <c r="H217" s="311"/>
      <c r="I217" s="311"/>
      <c r="J217" s="311"/>
      <c r="K217" s="311"/>
      <c r="L217" s="311"/>
      <c r="M217" s="311"/>
      <c r="N217" s="311"/>
      <c r="O217" s="311"/>
      <c r="P217" s="311"/>
      <c r="Q217" s="285"/>
      <c r="R217" s="362"/>
      <c r="S217" s="311"/>
      <c r="T217" s="366"/>
      <c r="U217" s="370"/>
      <c r="V217" s="5"/>
    </row>
    <row r="218" spans="1:22" ht="15.6" x14ac:dyDescent="0.3">
      <c r="A218" s="368"/>
      <c r="B218" s="285" t="s">
        <v>86</v>
      </c>
      <c r="C218" s="285"/>
      <c r="D218" s="285"/>
      <c r="E218" s="285"/>
      <c r="F218" s="285"/>
      <c r="G218" s="285"/>
      <c r="H218" s="285"/>
      <c r="I218" s="285"/>
      <c r="J218" s="285"/>
      <c r="K218" s="285"/>
      <c r="L218" s="285"/>
      <c r="M218" s="285"/>
      <c r="N218" s="285"/>
      <c r="O218" s="285"/>
      <c r="P218" s="285"/>
      <c r="Q218" s="293"/>
      <c r="R218" s="362">
        <f>T162</f>
        <v>125</v>
      </c>
      <c r="S218" s="285"/>
      <c r="T218" s="363"/>
      <c r="U218" s="370"/>
      <c r="V218" s="5"/>
    </row>
    <row r="219" spans="1:22" ht="15.6" x14ac:dyDescent="0.3">
      <c r="A219" s="360"/>
      <c r="B219" s="285" t="s">
        <v>87</v>
      </c>
      <c r="C219" s="338"/>
      <c r="D219" s="338"/>
      <c r="E219" s="338"/>
      <c r="F219" s="338"/>
      <c r="G219" s="285"/>
      <c r="H219" s="285"/>
      <c r="I219" s="285"/>
      <c r="J219" s="285"/>
      <c r="K219" s="285"/>
      <c r="L219" s="285"/>
      <c r="M219" s="285"/>
      <c r="N219" s="285"/>
      <c r="O219" s="285"/>
      <c r="P219" s="285"/>
      <c r="Q219" s="293"/>
      <c r="R219" s="362">
        <f>'March 15'!R219+R218</f>
        <v>5447</v>
      </c>
      <c r="S219" s="285"/>
      <c r="T219" s="363"/>
      <c r="U219" s="370"/>
      <c r="V219" s="5"/>
    </row>
    <row r="220" spans="1:22" ht="15.6" x14ac:dyDescent="0.3">
      <c r="A220" s="368"/>
      <c r="B220" s="310" t="s">
        <v>282</v>
      </c>
      <c r="C220" s="369"/>
      <c r="D220" s="369"/>
      <c r="E220" s="369"/>
      <c r="F220" s="369"/>
      <c r="G220" s="311"/>
      <c r="H220" s="311"/>
      <c r="I220" s="311"/>
      <c r="J220" s="311"/>
      <c r="K220" s="311"/>
      <c r="L220" s="311"/>
      <c r="M220" s="311"/>
      <c r="N220" s="311"/>
      <c r="O220" s="311"/>
      <c r="P220" s="311"/>
      <c r="Q220" s="293"/>
      <c r="R220" s="362"/>
      <c r="S220" s="311"/>
      <c r="T220" s="366"/>
      <c r="U220" s="370"/>
      <c r="V220" s="5"/>
    </row>
    <row r="221" spans="1:22" ht="15.6" x14ac:dyDescent="0.3">
      <c r="A221" s="368"/>
      <c r="B221" s="285" t="s">
        <v>280</v>
      </c>
      <c r="C221" s="369"/>
      <c r="D221" s="369"/>
      <c r="E221" s="369"/>
      <c r="F221" s="369"/>
      <c r="G221" s="311"/>
      <c r="H221" s="311"/>
      <c r="I221" s="311"/>
      <c r="J221" s="311"/>
      <c r="K221" s="311"/>
      <c r="L221" s="311"/>
      <c r="M221" s="311"/>
      <c r="N221" s="311"/>
      <c r="O221" s="311"/>
      <c r="P221" s="311"/>
      <c r="Q221" s="293">
        <v>0</v>
      </c>
      <c r="R221" s="362">
        <v>0</v>
      </c>
      <c r="S221" s="311"/>
      <c r="T221" s="366"/>
      <c r="U221" s="370"/>
      <c r="V221" s="5"/>
    </row>
    <row r="222" spans="1:22" ht="15.6" x14ac:dyDescent="0.3">
      <c r="A222" s="360"/>
      <c r="B222" s="285" t="s">
        <v>89</v>
      </c>
      <c r="C222" s="373"/>
      <c r="D222" s="373"/>
      <c r="E222" s="373"/>
      <c r="F222" s="374"/>
      <c r="G222" s="311"/>
      <c r="H222" s="311"/>
      <c r="I222" s="311"/>
      <c r="J222" s="311"/>
      <c r="K222" s="311"/>
      <c r="L222" s="311"/>
      <c r="M222" s="311"/>
      <c r="N222" s="311"/>
      <c r="O222" s="311"/>
      <c r="P222" s="311"/>
      <c r="Q222" s="285"/>
      <c r="R222" s="367">
        <v>0</v>
      </c>
      <c r="S222" s="311"/>
      <c r="T222" s="366"/>
      <c r="U222" s="370"/>
      <c r="V222" s="5"/>
    </row>
    <row r="223" spans="1:22" ht="15.6" x14ac:dyDescent="0.3">
      <c r="A223" s="360"/>
      <c r="B223" s="285" t="s">
        <v>90</v>
      </c>
      <c r="C223" s="373"/>
      <c r="D223" s="373"/>
      <c r="E223" s="373"/>
      <c r="F223" s="374"/>
      <c r="G223" s="311"/>
      <c r="H223" s="311"/>
      <c r="I223" s="311"/>
      <c r="J223" s="311"/>
      <c r="K223" s="311"/>
      <c r="L223" s="311"/>
      <c r="M223" s="311"/>
      <c r="N223" s="311"/>
      <c r="O223" s="311"/>
      <c r="P223" s="311"/>
      <c r="Q223" s="285"/>
      <c r="R223" s="367">
        <v>0</v>
      </c>
      <c r="S223" s="311"/>
      <c r="T223" s="366"/>
      <c r="U223" s="370"/>
      <c r="V223" s="5"/>
    </row>
    <row r="224" spans="1:22" ht="15.6" x14ac:dyDescent="0.3">
      <c r="A224" s="360"/>
      <c r="B224" s="310" t="s">
        <v>226</v>
      </c>
      <c r="C224" s="373"/>
      <c r="D224" s="373"/>
      <c r="E224" s="373"/>
      <c r="F224" s="374"/>
      <c r="G224" s="311"/>
      <c r="H224" s="311"/>
      <c r="I224" s="311"/>
      <c r="J224" s="311"/>
      <c r="K224" s="311"/>
      <c r="L224" s="311"/>
      <c r="M224" s="311"/>
      <c r="N224" s="311"/>
      <c r="O224" s="311"/>
      <c r="P224" s="311"/>
      <c r="Q224" s="293"/>
      <c r="R224" s="375"/>
      <c r="S224" s="311"/>
      <c r="T224" s="366"/>
      <c r="U224" s="370"/>
      <c r="V224" s="5"/>
    </row>
    <row r="225" spans="1:23" ht="15.6" x14ac:dyDescent="0.3">
      <c r="A225" s="360"/>
      <c r="B225" s="285" t="s">
        <v>280</v>
      </c>
      <c r="C225" s="373"/>
      <c r="D225" s="373"/>
      <c r="E225" s="373"/>
      <c r="F225" s="374"/>
      <c r="G225" s="311"/>
      <c r="H225" s="311"/>
      <c r="I225" s="311"/>
      <c r="J225" s="311"/>
      <c r="K225" s="311"/>
      <c r="L225" s="311"/>
      <c r="M225" s="311"/>
      <c r="N225" s="311"/>
      <c r="O225" s="311"/>
      <c r="P225" s="311"/>
      <c r="Q225" s="293">
        <v>5</v>
      </c>
      <c r="R225" s="362">
        <v>756</v>
      </c>
      <c r="S225" s="311"/>
      <c r="T225" s="366"/>
      <c r="U225" s="370"/>
      <c r="V225" s="5"/>
    </row>
    <row r="226" spans="1:23" ht="15.6" x14ac:dyDescent="0.3">
      <c r="A226" s="360"/>
      <c r="B226" s="285" t="s">
        <v>227</v>
      </c>
      <c r="C226" s="373"/>
      <c r="D226" s="373"/>
      <c r="E226" s="373"/>
      <c r="F226" s="374"/>
      <c r="G226" s="311"/>
      <c r="H226" s="311"/>
      <c r="I226" s="311"/>
      <c r="J226" s="311"/>
      <c r="K226" s="311"/>
      <c r="L226" s="311"/>
      <c r="M226" s="311"/>
      <c r="N226" s="311"/>
      <c r="O226" s="311"/>
      <c r="P226" s="311"/>
      <c r="Q226" s="293"/>
      <c r="R226" s="367">
        <v>0</v>
      </c>
      <c r="S226" s="311"/>
      <c r="T226" s="366"/>
      <c r="U226" s="370"/>
      <c r="V226" s="5"/>
    </row>
    <row r="227" spans="1:23" ht="15.6" x14ac:dyDescent="0.3">
      <c r="A227" s="360"/>
      <c r="B227" s="369"/>
      <c r="C227" s="373"/>
      <c r="D227" s="373"/>
      <c r="E227" s="373"/>
      <c r="F227" s="374"/>
      <c r="G227" s="311"/>
      <c r="H227" s="311"/>
      <c r="I227" s="311"/>
      <c r="J227" s="311"/>
      <c r="K227" s="311"/>
      <c r="L227" s="311"/>
      <c r="M227" s="311"/>
      <c r="N227" s="311"/>
      <c r="O227" s="311"/>
      <c r="P227" s="311"/>
      <c r="Q227" s="311"/>
      <c r="R227" s="376"/>
      <c r="S227" s="311"/>
      <c r="T227" s="366"/>
      <c r="U227" s="370"/>
      <c r="V227" s="5"/>
    </row>
    <row r="228" spans="1:23" ht="15.6" x14ac:dyDescent="0.3">
      <c r="A228" s="360"/>
      <c r="B228" s="369"/>
      <c r="C228" s="373"/>
      <c r="D228" s="373"/>
      <c r="E228" s="373"/>
      <c r="F228" s="374"/>
      <c r="G228" s="311"/>
      <c r="H228" s="311"/>
      <c r="I228" s="311"/>
      <c r="J228" s="311"/>
      <c r="K228" s="311"/>
      <c r="L228" s="311"/>
      <c r="M228" s="311"/>
      <c r="N228" s="311"/>
      <c r="O228" s="311"/>
      <c r="P228" s="311"/>
      <c r="Q228" s="311"/>
      <c r="R228" s="376"/>
      <c r="S228" s="311"/>
      <c r="T228" s="366"/>
      <c r="U228" s="370"/>
      <c r="V228" s="5"/>
    </row>
    <row r="229" spans="1:23" ht="17.399999999999999" x14ac:dyDescent="0.3">
      <c r="A229" s="360"/>
      <c r="B229" s="377" t="s">
        <v>175</v>
      </c>
      <c r="C229" s="373"/>
      <c r="D229" s="373"/>
      <c r="E229" s="373"/>
      <c r="F229" s="374"/>
      <c r="G229" s="311"/>
      <c r="H229" s="311"/>
      <c r="I229" s="311"/>
      <c r="J229" s="311"/>
      <c r="K229" s="311"/>
      <c r="L229" s="311"/>
      <c r="M229" s="311"/>
      <c r="N229" s="378" t="s">
        <v>174</v>
      </c>
      <c r="O229" s="311"/>
      <c r="P229" s="311"/>
      <c r="Q229" s="311"/>
      <c r="R229" s="376"/>
      <c r="S229" s="311"/>
      <c r="T229" s="366"/>
      <c r="U229" s="370"/>
      <c r="V229" s="5"/>
    </row>
    <row r="230" spans="1:23" ht="15.6" x14ac:dyDescent="0.3">
      <c r="A230" s="355"/>
      <c r="B230" s="350"/>
      <c r="C230" s="356"/>
      <c r="D230" s="356"/>
      <c r="E230" s="356"/>
      <c r="F230" s="357"/>
      <c r="G230" s="334"/>
      <c r="H230" s="334"/>
      <c r="I230" s="334"/>
      <c r="J230" s="334"/>
      <c r="K230" s="334"/>
      <c r="L230" s="334"/>
      <c r="M230" s="334"/>
      <c r="N230" s="334"/>
      <c r="O230" s="334"/>
      <c r="P230" s="334"/>
      <c r="Q230" s="334"/>
      <c r="R230" s="358"/>
      <c r="S230" s="334"/>
      <c r="T230" s="351"/>
      <c r="U230" s="359"/>
      <c r="V230" s="5"/>
    </row>
    <row r="231" spans="1:23" ht="15.6" x14ac:dyDescent="0.3">
      <c r="A231" s="222"/>
      <c r="B231" s="395" t="s">
        <v>295</v>
      </c>
      <c r="C231" s="396"/>
      <c r="D231" s="396"/>
      <c r="E231" s="396"/>
      <c r="F231" s="402"/>
      <c r="G231" s="396"/>
      <c r="H231" s="396"/>
      <c r="I231" s="396"/>
      <c r="J231" s="396"/>
      <c r="K231" s="396"/>
      <c r="L231" s="396"/>
      <c r="M231" s="396"/>
      <c r="N231" s="396"/>
      <c r="O231" s="396"/>
      <c r="P231" s="402" t="s">
        <v>105</v>
      </c>
      <c r="Q231" s="396" t="s">
        <v>106</v>
      </c>
      <c r="R231" s="402" t="s">
        <v>114</v>
      </c>
      <c r="S231" s="396" t="s">
        <v>106</v>
      </c>
      <c r="T231" s="223"/>
      <c r="U231" s="395"/>
      <c r="V231" s="5"/>
    </row>
    <row r="232" spans="1:23" ht="15.6" x14ac:dyDescent="0.3">
      <c r="A232" s="190"/>
      <c r="B232" s="243" t="s">
        <v>91</v>
      </c>
      <c r="C232" s="217"/>
      <c r="D232" s="217"/>
      <c r="E232" s="217"/>
      <c r="F232" s="191"/>
      <c r="G232" s="217"/>
      <c r="H232" s="217"/>
      <c r="I232" s="217"/>
      <c r="J232" s="217"/>
      <c r="K232" s="217"/>
      <c r="L232" s="217"/>
      <c r="M232" s="217"/>
      <c r="N232" s="217"/>
      <c r="O232" s="217"/>
      <c r="P232" s="338">
        <f t="shared" ref="P232:P239" si="1">+P244+P256+P268</f>
        <v>3817</v>
      </c>
      <c r="Q232" s="384">
        <f t="shared" ref="Q232:Q239" si="2">P232/$P$241</f>
        <v>0.99349297241020307</v>
      </c>
      <c r="R232" s="339">
        <f t="shared" ref="R232:R239" si="3">+R244+R256+R268</f>
        <v>493759</v>
      </c>
      <c r="S232" s="384">
        <f t="shared" ref="S232:S239" si="4">R232/$R$241</f>
        <v>0.99316713466195716</v>
      </c>
      <c r="T232" s="213"/>
      <c r="U232" s="216"/>
      <c r="V232" s="5"/>
    </row>
    <row r="233" spans="1:23" ht="15.6" x14ac:dyDescent="0.3">
      <c r="A233" s="284"/>
      <c r="B233" s="338" t="s">
        <v>92</v>
      </c>
      <c r="C233" s="382"/>
      <c r="D233" s="382"/>
      <c r="E233" s="382"/>
      <c r="F233" s="311"/>
      <c r="G233" s="383"/>
      <c r="H233" s="382"/>
      <c r="I233" s="382"/>
      <c r="J233" s="382"/>
      <c r="K233" s="382"/>
      <c r="L233" s="382"/>
      <c r="M233" s="382"/>
      <c r="N233" s="382"/>
      <c r="O233" s="382"/>
      <c r="P233" s="338">
        <f t="shared" si="1"/>
        <v>17</v>
      </c>
      <c r="Q233" s="384">
        <f t="shared" si="2"/>
        <v>4.4247787610619468E-3</v>
      </c>
      <c r="R233" s="339">
        <f t="shared" si="3"/>
        <v>2284</v>
      </c>
      <c r="S233" s="384">
        <f t="shared" si="4"/>
        <v>4.5941314195141964E-3</v>
      </c>
      <c r="T233" s="366"/>
      <c r="U233" s="370"/>
      <c r="V233" s="5"/>
      <c r="W233" s="109"/>
    </row>
    <row r="234" spans="1:23" ht="15.6" x14ac:dyDescent="0.3">
      <c r="A234" s="284"/>
      <c r="B234" s="338" t="s">
        <v>93</v>
      </c>
      <c r="C234" s="382"/>
      <c r="D234" s="382"/>
      <c r="E234" s="382"/>
      <c r="F234" s="311"/>
      <c r="G234" s="383"/>
      <c r="H234" s="382"/>
      <c r="I234" s="382"/>
      <c r="J234" s="382"/>
      <c r="K234" s="382"/>
      <c r="L234" s="382"/>
      <c r="M234" s="382"/>
      <c r="N234" s="382"/>
      <c r="O234" s="382"/>
      <c r="P234" s="338">
        <f t="shared" si="1"/>
        <v>2</v>
      </c>
      <c r="Q234" s="384">
        <f t="shared" si="2"/>
        <v>5.2056220718375845E-4</v>
      </c>
      <c r="R234" s="339">
        <f t="shared" si="3"/>
        <v>103</v>
      </c>
      <c r="S234" s="384">
        <f t="shared" si="4"/>
        <v>2.0717843091504478E-4</v>
      </c>
      <c r="T234" s="366"/>
      <c r="U234" s="370"/>
      <c r="V234" s="5"/>
    </row>
    <row r="235" spans="1:23" ht="15.6" x14ac:dyDescent="0.3">
      <c r="A235" s="284"/>
      <c r="B235" s="338" t="s">
        <v>163</v>
      </c>
      <c r="C235" s="382"/>
      <c r="D235" s="382"/>
      <c r="E235" s="382"/>
      <c r="F235" s="311"/>
      <c r="G235" s="383"/>
      <c r="H235" s="382"/>
      <c r="I235" s="382"/>
      <c r="J235" s="382"/>
      <c r="K235" s="382"/>
      <c r="L235" s="382"/>
      <c r="M235" s="382"/>
      <c r="N235" s="382"/>
      <c r="O235" s="382"/>
      <c r="P235" s="338">
        <f t="shared" si="1"/>
        <v>1</v>
      </c>
      <c r="Q235" s="384">
        <f t="shared" si="2"/>
        <v>2.6028110359187923E-4</v>
      </c>
      <c r="R235" s="339">
        <f t="shared" si="3"/>
        <v>482</v>
      </c>
      <c r="S235" s="384">
        <f t="shared" si="4"/>
        <v>9.695145990393357E-4</v>
      </c>
      <c r="T235" s="366"/>
      <c r="U235" s="370"/>
      <c r="V235" s="5"/>
      <c r="W235" s="109"/>
    </row>
    <row r="236" spans="1:23" ht="15.6" x14ac:dyDescent="0.3">
      <c r="A236" s="284"/>
      <c r="B236" s="338" t="s">
        <v>164</v>
      </c>
      <c r="C236" s="382"/>
      <c r="D236" s="382"/>
      <c r="E236" s="382"/>
      <c r="F236" s="311"/>
      <c r="G236" s="383"/>
      <c r="H236" s="382"/>
      <c r="I236" s="382"/>
      <c r="J236" s="382"/>
      <c r="K236" s="382"/>
      <c r="L236" s="382"/>
      <c r="M236" s="382"/>
      <c r="N236" s="382"/>
      <c r="O236" s="382"/>
      <c r="P236" s="338">
        <f t="shared" si="1"/>
        <v>2</v>
      </c>
      <c r="Q236" s="384">
        <f t="shared" si="2"/>
        <v>5.2056220718375845E-4</v>
      </c>
      <c r="R236" s="339">
        <f t="shared" si="3"/>
        <v>0</v>
      </c>
      <c r="S236" s="384">
        <f t="shared" si="4"/>
        <v>0</v>
      </c>
      <c r="T236" s="366"/>
      <c r="U236" s="370"/>
      <c r="V236" s="5"/>
    </row>
    <row r="237" spans="1:23" ht="15.6" x14ac:dyDescent="0.3">
      <c r="A237" s="284"/>
      <c r="B237" s="338" t="s">
        <v>165</v>
      </c>
      <c r="C237" s="382"/>
      <c r="D237" s="382"/>
      <c r="E237" s="382"/>
      <c r="F237" s="311"/>
      <c r="G237" s="383"/>
      <c r="H237" s="382"/>
      <c r="I237" s="382"/>
      <c r="J237" s="382"/>
      <c r="K237" s="382"/>
      <c r="L237" s="382"/>
      <c r="M237" s="382"/>
      <c r="N237" s="382"/>
      <c r="O237" s="382"/>
      <c r="P237" s="338">
        <f t="shared" si="1"/>
        <v>0</v>
      </c>
      <c r="Q237" s="384">
        <f t="shared" si="2"/>
        <v>0</v>
      </c>
      <c r="R237" s="339">
        <f t="shared" si="3"/>
        <v>0</v>
      </c>
      <c r="S237" s="384">
        <f t="shared" si="4"/>
        <v>0</v>
      </c>
      <c r="T237" s="366"/>
      <c r="U237" s="370"/>
      <c r="V237" s="5"/>
      <c r="W237" s="109"/>
    </row>
    <row r="238" spans="1:23" ht="15.6" x14ac:dyDescent="0.3">
      <c r="A238" s="284"/>
      <c r="B238" s="338" t="s">
        <v>166</v>
      </c>
      <c r="C238" s="382"/>
      <c r="D238" s="382"/>
      <c r="E238" s="382"/>
      <c r="F238" s="311"/>
      <c r="G238" s="383"/>
      <c r="H238" s="382"/>
      <c r="I238" s="382"/>
      <c r="J238" s="382"/>
      <c r="K238" s="382"/>
      <c r="L238" s="382"/>
      <c r="M238" s="382"/>
      <c r="N238" s="382"/>
      <c r="O238" s="382"/>
      <c r="P238" s="338">
        <f t="shared" si="1"/>
        <v>0</v>
      </c>
      <c r="Q238" s="384">
        <f t="shared" si="2"/>
        <v>0</v>
      </c>
      <c r="R238" s="339">
        <f t="shared" si="3"/>
        <v>0</v>
      </c>
      <c r="S238" s="384">
        <f t="shared" si="4"/>
        <v>0</v>
      </c>
      <c r="T238" s="366"/>
      <c r="U238" s="370"/>
      <c r="V238" s="5"/>
    </row>
    <row r="239" spans="1:23" ht="15.6" x14ac:dyDescent="0.3">
      <c r="A239" s="284"/>
      <c r="B239" s="338" t="s">
        <v>167</v>
      </c>
      <c r="C239" s="382"/>
      <c r="D239" s="382"/>
      <c r="E239" s="382"/>
      <c r="F239" s="311"/>
      <c r="G239" s="383"/>
      <c r="H239" s="382"/>
      <c r="I239" s="382"/>
      <c r="J239" s="382"/>
      <c r="K239" s="382"/>
      <c r="L239" s="382"/>
      <c r="M239" s="382"/>
      <c r="N239" s="382"/>
      <c r="O239" s="382"/>
      <c r="P239" s="338">
        <f t="shared" si="1"/>
        <v>3</v>
      </c>
      <c r="Q239" s="384">
        <f t="shared" si="2"/>
        <v>7.8084331077563768E-4</v>
      </c>
      <c r="R239" s="339">
        <f t="shared" si="3"/>
        <v>528</v>
      </c>
      <c r="S239" s="384">
        <f t="shared" si="4"/>
        <v>1.0620408885742101E-3</v>
      </c>
      <c r="T239" s="366"/>
      <c r="U239" s="370"/>
      <c r="V239" s="5"/>
      <c r="W239" s="109"/>
    </row>
    <row r="240" spans="1:23" ht="15.6" x14ac:dyDescent="0.3">
      <c r="A240" s="284"/>
      <c r="B240" s="338"/>
      <c r="C240" s="382"/>
      <c r="D240" s="382"/>
      <c r="E240" s="382"/>
      <c r="F240" s="311"/>
      <c r="G240" s="383"/>
      <c r="H240" s="382"/>
      <c r="I240" s="382"/>
      <c r="J240" s="382"/>
      <c r="K240" s="382"/>
      <c r="L240" s="382"/>
      <c r="M240" s="382"/>
      <c r="N240" s="382"/>
      <c r="O240" s="382"/>
      <c r="P240" s="338"/>
      <c r="Q240" s="384"/>
      <c r="R240" s="339"/>
      <c r="S240" s="384"/>
      <c r="T240" s="366"/>
      <c r="U240" s="370"/>
      <c r="V240" s="5"/>
    </row>
    <row r="241" spans="1:23" ht="15.6" x14ac:dyDescent="0.3">
      <c r="A241" s="284"/>
      <c r="B241" s="285" t="s">
        <v>120</v>
      </c>
      <c r="C241" s="311"/>
      <c r="D241" s="311"/>
      <c r="E241" s="311"/>
      <c r="F241" s="311"/>
      <c r="G241" s="311"/>
      <c r="H241" s="385"/>
      <c r="I241" s="385"/>
      <c r="J241" s="385"/>
      <c r="K241" s="385"/>
      <c r="L241" s="385"/>
      <c r="M241" s="385"/>
      <c r="N241" s="385"/>
      <c r="O241" s="385"/>
      <c r="P241" s="338">
        <f>SUM(P232:P240)</f>
        <v>3842</v>
      </c>
      <c r="Q241" s="384">
        <f>SUM(Q232:Q240)</f>
        <v>1</v>
      </c>
      <c r="R241" s="339">
        <f>SUM(R232:R240)</f>
        <v>497156</v>
      </c>
      <c r="S241" s="384">
        <f>SUM(S232:S240)</f>
        <v>0.99999999999999989</v>
      </c>
      <c r="T241" s="311"/>
      <c r="U241" s="317"/>
      <c r="V241" s="5"/>
    </row>
    <row r="242" spans="1:23" ht="15.6" x14ac:dyDescent="0.3">
      <c r="A242" s="355"/>
      <c r="B242" s="350"/>
      <c r="C242" s="356"/>
      <c r="D242" s="356"/>
      <c r="E242" s="356"/>
      <c r="F242" s="357"/>
      <c r="G242" s="334"/>
      <c r="H242" s="334"/>
      <c r="I242" s="334"/>
      <c r="J242" s="334"/>
      <c r="K242" s="334"/>
      <c r="L242" s="334"/>
      <c r="M242" s="334"/>
      <c r="N242" s="334"/>
      <c r="O242" s="334"/>
      <c r="P242" s="334"/>
      <c r="Q242" s="334"/>
      <c r="R242" s="358"/>
      <c r="S242" s="334"/>
      <c r="T242" s="351"/>
      <c r="U242" s="359"/>
      <c r="V242" s="5"/>
    </row>
    <row r="243" spans="1:23" ht="15.6" x14ac:dyDescent="0.3">
      <c r="A243" s="222"/>
      <c r="B243" s="395" t="s">
        <v>169</v>
      </c>
      <c r="C243" s="396"/>
      <c r="D243" s="396"/>
      <c r="E243" s="396"/>
      <c r="F243" s="402"/>
      <c r="G243" s="396"/>
      <c r="H243" s="396"/>
      <c r="I243" s="396"/>
      <c r="J243" s="396"/>
      <c r="K243" s="396"/>
      <c r="L243" s="396"/>
      <c r="M243" s="396"/>
      <c r="N243" s="396"/>
      <c r="O243" s="396"/>
      <c r="P243" s="402" t="s">
        <v>105</v>
      </c>
      <c r="Q243" s="396" t="s">
        <v>106</v>
      </c>
      <c r="R243" s="402" t="s">
        <v>114</v>
      </c>
      <c r="S243" s="396" t="s">
        <v>106</v>
      </c>
      <c r="T243" s="223"/>
      <c r="U243" s="395"/>
      <c r="V243" s="5"/>
    </row>
    <row r="244" spans="1:23" ht="15.6" x14ac:dyDescent="0.3">
      <c r="A244" s="190"/>
      <c r="B244" s="243" t="s">
        <v>91</v>
      </c>
      <c r="C244" s="217"/>
      <c r="D244" s="217"/>
      <c r="E244" s="217"/>
      <c r="F244" s="191"/>
      <c r="G244" s="217"/>
      <c r="H244" s="217"/>
      <c r="I244" s="217"/>
      <c r="J244" s="217"/>
      <c r="K244" s="217"/>
      <c r="L244" s="217"/>
      <c r="M244" s="217"/>
      <c r="N244" s="217"/>
      <c r="O244" s="217"/>
      <c r="P244" s="243">
        <v>3754</v>
      </c>
      <c r="Q244" s="274">
        <f t="shared" ref="Q244:Q251" si="5">P244/$P$253</f>
        <v>0.99470058293587704</v>
      </c>
      <c r="R244" s="251">
        <v>484185</v>
      </c>
      <c r="S244" s="274">
        <f t="shared" ref="S244:S251" si="6">R244/$R$253</f>
        <v>0.99448313824401124</v>
      </c>
      <c r="T244" s="213"/>
      <c r="U244" s="216"/>
      <c r="V244" s="5"/>
    </row>
    <row r="245" spans="1:23" ht="15.6" x14ac:dyDescent="0.3">
      <c r="A245" s="284"/>
      <c r="B245" s="338" t="s">
        <v>92</v>
      </c>
      <c r="C245" s="382"/>
      <c r="D245" s="382"/>
      <c r="E245" s="382"/>
      <c r="F245" s="311"/>
      <c r="G245" s="383"/>
      <c r="H245" s="382"/>
      <c r="I245" s="382"/>
      <c r="J245" s="382"/>
      <c r="K245" s="382"/>
      <c r="L245" s="382"/>
      <c r="M245" s="382"/>
      <c r="N245" s="382"/>
      <c r="O245" s="382"/>
      <c r="P245" s="338">
        <v>17</v>
      </c>
      <c r="Q245" s="384">
        <f t="shared" si="5"/>
        <v>4.5045045045045045E-3</v>
      </c>
      <c r="R245" s="339">
        <v>2284</v>
      </c>
      <c r="S245" s="384">
        <f t="shared" si="6"/>
        <v>4.6911810315258045E-3</v>
      </c>
      <c r="T245" s="366"/>
      <c r="U245" s="370"/>
      <c r="V245" s="5"/>
      <c r="W245" s="109"/>
    </row>
    <row r="246" spans="1:23" ht="15.6" x14ac:dyDescent="0.3">
      <c r="A246" s="284"/>
      <c r="B246" s="338" t="s">
        <v>93</v>
      </c>
      <c r="C246" s="382"/>
      <c r="D246" s="382"/>
      <c r="E246" s="382"/>
      <c r="F246" s="311"/>
      <c r="G246" s="383"/>
      <c r="H246" s="382"/>
      <c r="I246" s="382"/>
      <c r="J246" s="382"/>
      <c r="K246" s="382"/>
      <c r="L246" s="382"/>
      <c r="M246" s="382"/>
      <c r="N246" s="382"/>
      <c r="O246" s="382"/>
      <c r="P246" s="338">
        <v>2</v>
      </c>
      <c r="Q246" s="384">
        <f t="shared" si="5"/>
        <v>5.2994170641229468E-4</v>
      </c>
      <c r="R246" s="339">
        <v>103</v>
      </c>
      <c r="S246" s="384">
        <f t="shared" si="6"/>
        <v>2.1155501149175038E-4</v>
      </c>
      <c r="T246" s="366"/>
      <c r="U246" s="370"/>
      <c r="V246" s="5"/>
    </row>
    <row r="247" spans="1:23" ht="15.6" x14ac:dyDescent="0.3">
      <c r="A247" s="284"/>
      <c r="B247" s="338" t="s">
        <v>163</v>
      </c>
      <c r="C247" s="382"/>
      <c r="D247" s="382"/>
      <c r="E247" s="382"/>
      <c r="F247" s="311"/>
      <c r="G247" s="383"/>
      <c r="H247" s="382"/>
      <c r="I247" s="382"/>
      <c r="J247" s="382"/>
      <c r="K247" s="382"/>
      <c r="L247" s="382"/>
      <c r="M247" s="382"/>
      <c r="N247" s="382"/>
      <c r="O247" s="382"/>
      <c r="P247" s="338">
        <v>1</v>
      </c>
      <c r="Q247" s="384">
        <f t="shared" si="5"/>
        <v>2.6497085320614734E-4</v>
      </c>
      <c r="R247" s="339">
        <v>299</v>
      </c>
      <c r="S247" s="384">
        <f t="shared" si="6"/>
        <v>6.1412571297119768E-4</v>
      </c>
      <c r="T247" s="366"/>
      <c r="U247" s="370"/>
      <c r="V247" s="5"/>
      <c r="W247" s="109"/>
    </row>
    <row r="248" spans="1:23" ht="15.6" x14ac:dyDescent="0.3">
      <c r="A248" s="284"/>
      <c r="B248" s="338" t="s">
        <v>164</v>
      </c>
      <c r="C248" s="382"/>
      <c r="D248" s="382"/>
      <c r="E248" s="382"/>
      <c r="F248" s="311"/>
      <c r="G248" s="383"/>
      <c r="H248" s="382"/>
      <c r="I248" s="382"/>
      <c r="J248" s="382"/>
      <c r="K248" s="382"/>
      <c r="L248" s="382"/>
      <c r="M248" s="382"/>
      <c r="N248" s="382"/>
      <c r="O248" s="382"/>
      <c r="P248" s="338">
        <v>0</v>
      </c>
      <c r="Q248" s="384">
        <f t="shared" si="5"/>
        <v>0</v>
      </c>
      <c r="R248" s="339">
        <v>0</v>
      </c>
      <c r="S248" s="384">
        <f t="shared" si="6"/>
        <v>0</v>
      </c>
      <c r="T248" s="366"/>
      <c r="U248" s="370"/>
      <c r="V248" s="5"/>
    </row>
    <row r="249" spans="1:23" ht="15.6" x14ac:dyDescent="0.3">
      <c r="A249" s="284"/>
      <c r="B249" s="338" t="s">
        <v>165</v>
      </c>
      <c r="C249" s="382"/>
      <c r="D249" s="382"/>
      <c r="E249" s="382"/>
      <c r="F249" s="311"/>
      <c r="G249" s="383"/>
      <c r="H249" s="382"/>
      <c r="I249" s="382"/>
      <c r="J249" s="382"/>
      <c r="K249" s="382"/>
      <c r="L249" s="382"/>
      <c r="M249" s="382"/>
      <c r="N249" s="382"/>
      <c r="O249" s="382"/>
      <c r="P249" s="338">
        <v>0</v>
      </c>
      <c r="Q249" s="384">
        <f t="shared" si="5"/>
        <v>0</v>
      </c>
      <c r="R249" s="339">
        <v>0</v>
      </c>
      <c r="S249" s="384">
        <f t="shared" si="6"/>
        <v>0</v>
      </c>
      <c r="T249" s="366"/>
      <c r="U249" s="370"/>
      <c r="V249" s="5"/>
      <c r="W249" s="109"/>
    </row>
    <row r="250" spans="1:23" ht="15.6" x14ac:dyDescent="0.3">
      <c r="A250" s="284"/>
      <c r="B250" s="338" t="s">
        <v>166</v>
      </c>
      <c r="C250" s="382"/>
      <c r="D250" s="382"/>
      <c r="E250" s="382"/>
      <c r="F250" s="311"/>
      <c r="G250" s="383"/>
      <c r="H250" s="382"/>
      <c r="I250" s="382"/>
      <c r="J250" s="382"/>
      <c r="K250" s="382"/>
      <c r="L250" s="382"/>
      <c r="M250" s="382"/>
      <c r="N250" s="382"/>
      <c r="O250" s="382"/>
      <c r="P250" s="338">
        <v>0</v>
      </c>
      <c r="Q250" s="384">
        <f t="shared" si="5"/>
        <v>0</v>
      </c>
      <c r="R250" s="339">
        <v>0</v>
      </c>
      <c r="S250" s="384">
        <f t="shared" si="6"/>
        <v>0</v>
      </c>
      <c r="T250" s="366"/>
      <c r="U250" s="370"/>
      <c r="V250" s="5"/>
    </row>
    <row r="251" spans="1:23" ht="15.6" x14ac:dyDescent="0.3">
      <c r="A251" s="284"/>
      <c r="B251" s="338" t="s">
        <v>167</v>
      </c>
      <c r="C251" s="382"/>
      <c r="D251" s="382"/>
      <c r="E251" s="382"/>
      <c r="F251" s="311"/>
      <c r="G251" s="383"/>
      <c r="H251" s="382"/>
      <c r="I251" s="382"/>
      <c r="J251" s="382"/>
      <c r="K251" s="382"/>
      <c r="L251" s="382"/>
      <c r="M251" s="382"/>
      <c r="N251" s="382"/>
      <c r="O251" s="382"/>
      <c r="P251" s="338">
        <v>0</v>
      </c>
      <c r="Q251" s="384">
        <f t="shared" si="5"/>
        <v>0</v>
      </c>
      <c r="R251" s="339">
        <v>0</v>
      </c>
      <c r="S251" s="384">
        <f t="shared" si="6"/>
        <v>0</v>
      </c>
      <c r="T251" s="366"/>
      <c r="U251" s="370"/>
      <c r="V251" s="5"/>
      <c r="W251" s="109"/>
    </row>
    <row r="252" spans="1:23" ht="15.6" x14ac:dyDescent="0.3">
      <c r="A252" s="284"/>
      <c r="B252" s="338"/>
      <c r="C252" s="382"/>
      <c r="D252" s="382"/>
      <c r="E252" s="382"/>
      <c r="F252" s="311"/>
      <c r="G252" s="383"/>
      <c r="H252" s="382"/>
      <c r="I252" s="382"/>
      <c r="J252" s="382"/>
      <c r="K252" s="382"/>
      <c r="L252" s="382"/>
      <c r="M252" s="382"/>
      <c r="N252" s="382"/>
      <c r="O252" s="382"/>
      <c r="P252" s="338"/>
      <c r="Q252" s="384"/>
      <c r="R252" s="339"/>
      <c r="S252" s="384"/>
      <c r="T252" s="366"/>
      <c r="U252" s="370"/>
      <c r="V252" s="5"/>
    </row>
    <row r="253" spans="1:23" ht="15.6" x14ac:dyDescent="0.3">
      <c r="A253" s="284"/>
      <c r="B253" s="285" t="s">
        <v>120</v>
      </c>
      <c r="C253" s="311"/>
      <c r="D253" s="311"/>
      <c r="E253" s="311"/>
      <c r="F253" s="311"/>
      <c r="G253" s="311"/>
      <c r="H253" s="385"/>
      <c r="I253" s="385"/>
      <c r="J253" s="385"/>
      <c r="K253" s="385"/>
      <c r="L253" s="385"/>
      <c r="M253" s="385"/>
      <c r="N253" s="385"/>
      <c r="O253" s="385"/>
      <c r="P253" s="338">
        <f>SUM(P244:P252)</f>
        <v>3774</v>
      </c>
      <c r="Q253" s="384">
        <f>SUM(Q244:Q252)</f>
        <v>0.99999999999999989</v>
      </c>
      <c r="R253" s="339">
        <f>SUM(R244:R252)</f>
        <v>486871</v>
      </c>
      <c r="S253" s="384">
        <f>SUM(S244:S252)</f>
        <v>0.99999999999999989</v>
      </c>
      <c r="T253" s="311"/>
      <c r="U253" s="317"/>
      <c r="V253" s="5"/>
    </row>
    <row r="254" spans="1:23" ht="15.6" x14ac:dyDescent="0.3">
      <c r="A254" s="175"/>
      <c r="B254" s="334"/>
      <c r="C254" s="334"/>
      <c r="D254" s="334"/>
      <c r="E254" s="334"/>
      <c r="F254" s="334"/>
      <c r="G254" s="334"/>
      <c r="H254" s="379"/>
      <c r="I254" s="379"/>
      <c r="J254" s="379"/>
      <c r="K254" s="379"/>
      <c r="L254" s="379"/>
      <c r="M254" s="379"/>
      <c r="N254" s="379"/>
      <c r="O254" s="379"/>
      <c r="P254" s="335"/>
      <c r="Q254" s="380"/>
      <c r="R254" s="381"/>
      <c r="S254" s="380"/>
      <c r="T254" s="334"/>
      <c r="U254" s="334"/>
      <c r="V254" s="5"/>
    </row>
    <row r="255" spans="1:23" ht="15.6" x14ac:dyDescent="0.3">
      <c r="A255" s="268"/>
      <c r="B255" s="395" t="s">
        <v>267</v>
      </c>
      <c r="C255" s="396"/>
      <c r="D255" s="396"/>
      <c r="E255" s="396"/>
      <c r="F255" s="402"/>
      <c r="G255" s="396"/>
      <c r="H255" s="396"/>
      <c r="I255" s="396"/>
      <c r="J255" s="396"/>
      <c r="K255" s="396"/>
      <c r="L255" s="396"/>
      <c r="M255" s="396"/>
      <c r="N255" s="396"/>
      <c r="O255" s="396"/>
      <c r="P255" s="402" t="s">
        <v>105</v>
      </c>
      <c r="Q255" s="396" t="s">
        <v>106</v>
      </c>
      <c r="R255" s="402" t="s">
        <v>114</v>
      </c>
      <c r="S255" s="396" t="s">
        <v>106</v>
      </c>
      <c r="T255" s="269"/>
      <c r="U255" s="270"/>
      <c r="V255" s="5"/>
    </row>
    <row r="256" spans="1:23" ht="15.6" x14ac:dyDescent="0.3">
      <c r="A256" s="190"/>
      <c r="B256" s="243" t="s">
        <v>91</v>
      </c>
      <c r="C256" s="217"/>
      <c r="D256" s="217"/>
      <c r="E256" s="217"/>
      <c r="F256" s="191"/>
      <c r="G256" s="217"/>
      <c r="H256" s="217"/>
      <c r="I256" s="217"/>
      <c r="J256" s="217"/>
      <c r="K256" s="217"/>
      <c r="L256" s="217"/>
      <c r="M256" s="217"/>
      <c r="N256" s="217"/>
      <c r="O256" s="217"/>
      <c r="P256" s="243">
        <v>63</v>
      </c>
      <c r="Q256" s="274">
        <f t="shared" ref="Q256:Q263" si="7">P256/$P$265</f>
        <v>0.92647058823529416</v>
      </c>
      <c r="R256" s="251">
        <v>9574</v>
      </c>
      <c r="S256" s="274">
        <f>R256/$R$265</f>
        <v>0.93087019931939718</v>
      </c>
      <c r="T256" s="191"/>
      <c r="U256" s="191"/>
      <c r="V256" s="5"/>
    </row>
    <row r="257" spans="1:22" ht="15.6" x14ac:dyDescent="0.3">
      <c r="A257" s="284"/>
      <c r="B257" s="338" t="s">
        <v>92</v>
      </c>
      <c r="C257" s="382"/>
      <c r="D257" s="382"/>
      <c r="E257" s="382"/>
      <c r="F257" s="311"/>
      <c r="G257" s="383"/>
      <c r="H257" s="382"/>
      <c r="I257" s="382"/>
      <c r="J257" s="382"/>
      <c r="K257" s="382"/>
      <c r="L257" s="382"/>
      <c r="M257" s="382"/>
      <c r="N257" s="382"/>
      <c r="O257" s="382"/>
      <c r="P257" s="338">
        <v>0</v>
      </c>
      <c r="Q257" s="384">
        <f t="shared" si="7"/>
        <v>0</v>
      </c>
      <c r="R257" s="339">
        <v>0</v>
      </c>
      <c r="S257" s="384">
        <f t="shared" ref="S257:S263" si="8">R257/$R$265</f>
        <v>0</v>
      </c>
      <c r="T257" s="311"/>
      <c r="U257" s="317"/>
      <c r="V257" s="5"/>
    </row>
    <row r="258" spans="1:22" ht="15.6" x14ac:dyDescent="0.3">
      <c r="A258" s="284"/>
      <c r="B258" s="338" t="s">
        <v>93</v>
      </c>
      <c r="C258" s="382"/>
      <c r="D258" s="382"/>
      <c r="E258" s="382"/>
      <c r="F258" s="311"/>
      <c r="G258" s="383"/>
      <c r="H258" s="382"/>
      <c r="I258" s="382"/>
      <c r="J258" s="382"/>
      <c r="K258" s="382"/>
      <c r="L258" s="382"/>
      <c r="M258" s="382"/>
      <c r="N258" s="382"/>
      <c r="O258" s="382"/>
      <c r="P258" s="338">
        <v>0</v>
      </c>
      <c r="Q258" s="384">
        <f t="shared" si="7"/>
        <v>0</v>
      </c>
      <c r="R258" s="339">
        <v>0</v>
      </c>
      <c r="S258" s="384">
        <f t="shared" si="8"/>
        <v>0</v>
      </c>
      <c r="T258" s="311"/>
      <c r="U258" s="317"/>
      <c r="V258" s="5"/>
    </row>
    <row r="259" spans="1:22" ht="15.6" x14ac:dyDescent="0.3">
      <c r="A259" s="284"/>
      <c r="B259" s="338" t="s">
        <v>163</v>
      </c>
      <c r="C259" s="382"/>
      <c r="D259" s="382"/>
      <c r="E259" s="382"/>
      <c r="F259" s="311"/>
      <c r="G259" s="383"/>
      <c r="H259" s="382"/>
      <c r="I259" s="382"/>
      <c r="J259" s="382"/>
      <c r="K259" s="382"/>
      <c r="L259" s="382"/>
      <c r="M259" s="382"/>
      <c r="N259" s="382"/>
      <c r="O259" s="382"/>
      <c r="P259" s="338">
        <v>0</v>
      </c>
      <c r="Q259" s="384">
        <f t="shared" si="7"/>
        <v>0</v>
      </c>
      <c r="R259" s="339">
        <v>183</v>
      </c>
      <c r="S259" s="384">
        <f t="shared" si="8"/>
        <v>1.7792902284880896E-2</v>
      </c>
      <c r="T259" s="311"/>
      <c r="U259" s="317"/>
      <c r="V259" s="5"/>
    </row>
    <row r="260" spans="1:22" ht="15.6" x14ac:dyDescent="0.3">
      <c r="A260" s="284"/>
      <c r="B260" s="338" t="s">
        <v>164</v>
      </c>
      <c r="C260" s="382"/>
      <c r="D260" s="382"/>
      <c r="E260" s="382"/>
      <c r="F260" s="311"/>
      <c r="G260" s="383"/>
      <c r="H260" s="382"/>
      <c r="I260" s="382"/>
      <c r="J260" s="382"/>
      <c r="K260" s="382"/>
      <c r="L260" s="382"/>
      <c r="M260" s="382"/>
      <c r="N260" s="382"/>
      <c r="O260" s="382"/>
      <c r="P260" s="338">
        <v>2</v>
      </c>
      <c r="Q260" s="384">
        <f t="shared" si="7"/>
        <v>2.9411764705882353E-2</v>
      </c>
      <c r="R260" s="339">
        <v>0</v>
      </c>
      <c r="S260" s="384">
        <f t="shared" si="8"/>
        <v>0</v>
      </c>
      <c r="T260" s="311"/>
      <c r="U260" s="317"/>
      <c r="V260" s="5"/>
    </row>
    <row r="261" spans="1:22" ht="15.6" x14ac:dyDescent="0.3">
      <c r="A261" s="284"/>
      <c r="B261" s="338" t="s">
        <v>165</v>
      </c>
      <c r="C261" s="382"/>
      <c r="D261" s="382"/>
      <c r="E261" s="382"/>
      <c r="F261" s="311"/>
      <c r="G261" s="383"/>
      <c r="H261" s="382"/>
      <c r="I261" s="382"/>
      <c r="J261" s="382"/>
      <c r="K261" s="382"/>
      <c r="L261" s="382"/>
      <c r="M261" s="382"/>
      <c r="N261" s="382"/>
      <c r="O261" s="382"/>
      <c r="P261" s="338">
        <v>0</v>
      </c>
      <c r="Q261" s="384">
        <f t="shared" si="7"/>
        <v>0</v>
      </c>
      <c r="R261" s="339">
        <v>0</v>
      </c>
      <c r="S261" s="384">
        <f t="shared" si="8"/>
        <v>0</v>
      </c>
      <c r="T261" s="311"/>
      <c r="U261" s="317"/>
      <c r="V261" s="5"/>
    </row>
    <row r="262" spans="1:22" ht="15.6" x14ac:dyDescent="0.3">
      <c r="A262" s="284"/>
      <c r="B262" s="338" t="s">
        <v>166</v>
      </c>
      <c r="C262" s="382"/>
      <c r="D262" s="382"/>
      <c r="E262" s="382"/>
      <c r="F262" s="311"/>
      <c r="G262" s="383"/>
      <c r="H262" s="382"/>
      <c r="I262" s="382"/>
      <c r="J262" s="382"/>
      <c r="K262" s="382"/>
      <c r="L262" s="382"/>
      <c r="M262" s="382"/>
      <c r="N262" s="382"/>
      <c r="O262" s="382"/>
      <c r="P262" s="338">
        <v>0</v>
      </c>
      <c r="Q262" s="384">
        <f t="shared" si="7"/>
        <v>0</v>
      </c>
      <c r="R262" s="339">
        <v>0</v>
      </c>
      <c r="S262" s="384">
        <f t="shared" si="8"/>
        <v>0</v>
      </c>
      <c r="T262" s="311"/>
      <c r="U262" s="317"/>
      <c r="V262" s="5"/>
    </row>
    <row r="263" spans="1:22" ht="15.6" x14ac:dyDescent="0.3">
      <c r="A263" s="284"/>
      <c r="B263" s="338" t="s">
        <v>167</v>
      </c>
      <c r="C263" s="382"/>
      <c r="D263" s="382"/>
      <c r="E263" s="382"/>
      <c r="F263" s="311"/>
      <c r="G263" s="383"/>
      <c r="H263" s="382"/>
      <c r="I263" s="382"/>
      <c r="J263" s="382"/>
      <c r="K263" s="382"/>
      <c r="L263" s="382"/>
      <c r="M263" s="382"/>
      <c r="N263" s="382"/>
      <c r="O263" s="382"/>
      <c r="P263" s="338">
        <v>3</v>
      </c>
      <c r="Q263" s="384">
        <f t="shared" si="7"/>
        <v>4.4117647058823532E-2</v>
      </c>
      <c r="R263" s="339">
        <v>528</v>
      </c>
      <c r="S263" s="384">
        <f t="shared" si="8"/>
        <v>5.1336898395721926E-2</v>
      </c>
      <c r="T263" s="311"/>
      <c r="U263" s="317"/>
      <c r="V263" s="5"/>
    </row>
    <row r="264" spans="1:22" ht="15.6" x14ac:dyDescent="0.3">
      <c r="A264" s="284"/>
      <c r="B264" s="338"/>
      <c r="C264" s="382"/>
      <c r="D264" s="382"/>
      <c r="E264" s="382"/>
      <c r="F264" s="311"/>
      <c r="G264" s="383"/>
      <c r="H264" s="382"/>
      <c r="I264" s="382"/>
      <c r="J264" s="382"/>
      <c r="K264" s="382"/>
      <c r="L264" s="382"/>
      <c r="M264" s="382"/>
      <c r="N264" s="382"/>
      <c r="O264" s="382"/>
      <c r="P264" s="338"/>
      <c r="Q264" s="384"/>
      <c r="R264" s="339"/>
      <c r="S264" s="384"/>
      <c r="T264" s="311"/>
      <c r="U264" s="317"/>
      <c r="V264" s="5"/>
    </row>
    <row r="265" spans="1:22" ht="15.6" x14ac:dyDescent="0.3">
      <c r="A265" s="284"/>
      <c r="B265" s="285" t="s">
        <v>120</v>
      </c>
      <c r="C265" s="311"/>
      <c r="D265" s="311"/>
      <c r="E265" s="311"/>
      <c r="F265" s="311"/>
      <c r="G265" s="311"/>
      <c r="H265" s="385"/>
      <c r="I265" s="385"/>
      <c r="J265" s="385"/>
      <c r="K265" s="385"/>
      <c r="L265" s="385"/>
      <c r="M265" s="385"/>
      <c r="N265" s="385"/>
      <c r="O265" s="385"/>
      <c r="P265" s="338">
        <f>SUM(P256:P264)</f>
        <v>68</v>
      </c>
      <c r="Q265" s="384">
        <f>SUM(Q256:Q264)</f>
        <v>1</v>
      </c>
      <c r="R265" s="339">
        <f>SUM(R256:R264)</f>
        <v>10285</v>
      </c>
      <c r="S265" s="384">
        <f>SUM(S256:S264)</f>
        <v>1</v>
      </c>
      <c r="T265" s="311"/>
      <c r="U265" s="317"/>
      <c r="V265" s="5"/>
    </row>
    <row r="266" spans="1:22" ht="15.6" x14ac:dyDescent="0.3">
      <c r="A266" s="175"/>
      <c r="B266" s="334"/>
      <c r="C266" s="334"/>
      <c r="D266" s="334"/>
      <c r="E266" s="334"/>
      <c r="F266" s="334"/>
      <c r="G266" s="334"/>
      <c r="H266" s="379"/>
      <c r="I266" s="379"/>
      <c r="J266" s="379"/>
      <c r="K266" s="379"/>
      <c r="L266" s="379"/>
      <c r="M266" s="379"/>
      <c r="N266" s="379"/>
      <c r="O266" s="379"/>
      <c r="P266" s="335"/>
      <c r="Q266" s="380"/>
      <c r="R266" s="381"/>
      <c r="S266" s="380"/>
      <c r="T266" s="334"/>
      <c r="U266" s="334"/>
      <c r="V266" s="5"/>
    </row>
    <row r="267" spans="1:22" ht="15.6" x14ac:dyDescent="0.3">
      <c r="A267" s="268"/>
      <c r="B267" s="395" t="s">
        <v>170</v>
      </c>
      <c r="C267" s="269"/>
      <c r="D267" s="269"/>
      <c r="E267" s="269"/>
      <c r="F267" s="269"/>
      <c r="G267" s="269"/>
      <c r="H267" s="271"/>
      <c r="I267" s="271"/>
      <c r="J267" s="271"/>
      <c r="K267" s="271"/>
      <c r="L267" s="271"/>
      <c r="M267" s="271"/>
      <c r="N267" s="271"/>
      <c r="O267" s="271"/>
      <c r="P267" s="402" t="s">
        <v>105</v>
      </c>
      <c r="Q267" s="396" t="s">
        <v>106</v>
      </c>
      <c r="R267" s="402" t="s">
        <v>114</v>
      </c>
      <c r="S267" s="396" t="s">
        <v>106</v>
      </c>
      <c r="T267" s="269"/>
      <c r="U267" s="270"/>
      <c r="V267" s="5"/>
    </row>
    <row r="268" spans="1:22" ht="15.6" x14ac:dyDescent="0.3">
      <c r="A268" s="190"/>
      <c r="B268" s="243" t="s">
        <v>91</v>
      </c>
      <c r="C268" s="239"/>
      <c r="D268" s="239"/>
      <c r="E268" s="239"/>
      <c r="F268" s="239"/>
      <c r="G268" s="239"/>
      <c r="H268" s="275"/>
      <c r="I268" s="275"/>
      <c r="J268" s="275"/>
      <c r="K268" s="275"/>
      <c r="L268" s="218"/>
      <c r="M268" s="218"/>
      <c r="N268" s="218"/>
      <c r="O268" s="218"/>
      <c r="P268" s="243">
        <v>0</v>
      </c>
      <c r="Q268" s="274">
        <v>0</v>
      </c>
      <c r="R268" s="251">
        <v>0</v>
      </c>
      <c r="S268" s="274">
        <v>0</v>
      </c>
      <c r="T268" s="239"/>
      <c r="U268" s="191"/>
      <c r="V268" s="5"/>
    </row>
    <row r="269" spans="1:22" ht="15.6" x14ac:dyDescent="0.3">
      <c r="A269" s="284"/>
      <c r="B269" s="338" t="s">
        <v>92</v>
      </c>
      <c r="C269" s="285"/>
      <c r="D269" s="285"/>
      <c r="E269" s="285"/>
      <c r="F269" s="285"/>
      <c r="G269" s="285"/>
      <c r="H269" s="387"/>
      <c r="I269" s="387"/>
      <c r="J269" s="387"/>
      <c r="K269" s="387"/>
      <c r="L269" s="385"/>
      <c r="M269" s="385"/>
      <c r="N269" s="385"/>
      <c r="O269" s="385"/>
      <c r="P269" s="338">
        <v>0</v>
      </c>
      <c r="Q269" s="384">
        <v>0</v>
      </c>
      <c r="R269" s="339">
        <v>0</v>
      </c>
      <c r="S269" s="384">
        <v>0</v>
      </c>
      <c r="T269" s="285"/>
      <c r="U269" s="317"/>
      <c r="V269" s="5"/>
    </row>
    <row r="270" spans="1:22" ht="15.6" x14ac:dyDescent="0.3">
      <c r="A270" s="284"/>
      <c r="B270" s="338" t="s">
        <v>93</v>
      </c>
      <c r="C270" s="285"/>
      <c r="D270" s="285"/>
      <c r="E270" s="285"/>
      <c r="F270" s="285"/>
      <c r="G270" s="285"/>
      <c r="H270" s="387"/>
      <c r="I270" s="387"/>
      <c r="J270" s="387"/>
      <c r="K270" s="387"/>
      <c r="L270" s="385"/>
      <c r="M270" s="385"/>
      <c r="N270" s="385"/>
      <c r="O270" s="385"/>
      <c r="P270" s="338">
        <v>0</v>
      </c>
      <c r="Q270" s="384">
        <v>0</v>
      </c>
      <c r="R270" s="339">
        <v>0</v>
      </c>
      <c r="S270" s="384">
        <v>0</v>
      </c>
      <c r="T270" s="285"/>
      <c r="U270" s="317"/>
      <c r="V270" s="5"/>
    </row>
    <row r="271" spans="1:22" ht="15.6" x14ac:dyDescent="0.3">
      <c r="A271" s="284"/>
      <c r="B271" s="338" t="s">
        <v>163</v>
      </c>
      <c r="C271" s="285"/>
      <c r="D271" s="285"/>
      <c r="E271" s="285"/>
      <c r="F271" s="285"/>
      <c r="G271" s="285"/>
      <c r="H271" s="387"/>
      <c r="I271" s="387"/>
      <c r="J271" s="387"/>
      <c r="K271" s="387"/>
      <c r="L271" s="385"/>
      <c r="M271" s="385"/>
      <c r="N271" s="385"/>
      <c r="O271" s="385"/>
      <c r="P271" s="338">
        <v>0</v>
      </c>
      <c r="Q271" s="384">
        <v>0</v>
      </c>
      <c r="R271" s="339">
        <v>0</v>
      </c>
      <c r="S271" s="384">
        <v>0</v>
      </c>
      <c r="T271" s="285"/>
      <c r="U271" s="317"/>
      <c r="V271" s="5"/>
    </row>
    <row r="272" spans="1:22" ht="15.6" x14ac:dyDescent="0.3">
      <c r="A272" s="284"/>
      <c r="B272" s="338" t="s">
        <v>164</v>
      </c>
      <c r="C272" s="285"/>
      <c r="D272" s="285"/>
      <c r="E272" s="285"/>
      <c r="F272" s="285"/>
      <c r="G272" s="285"/>
      <c r="H272" s="387"/>
      <c r="I272" s="387"/>
      <c r="J272" s="387"/>
      <c r="K272" s="387"/>
      <c r="L272" s="385"/>
      <c r="M272" s="385"/>
      <c r="N272" s="385"/>
      <c r="O272" s="385"/>
      <c r="P272" s="338">
        <v>0</v>
      </c>
      <c r="Q272" s="384">
        <v>0</v>
      </c>
      <c r="R272" s="339">
        <v>0</v>
      </c>
      <c r="S272" s="384">
        <v>0</v>
      </c>
      <c r="T272" s="285"/>
      <c r="U272" s="317"/>
      <c r="V272" s="5"/>
    </row>
    <row r="273" spans="1:22" ht="15.6" x14ac:dyDescent="0.3">
      <c r="A273" s="284"/>
      <c r="B273" s="338" t="s">
        <v>165</v>
      </c>
      <c r="C273" s="285"/>
      <c r="D273" s="285"/>
      <c r="E273" s="285"/>
      <c r="F273" s="285"/>
      <c r="G273" s="285"/>
      <c r="H273" s="387"/>
      <c r="I273" s="387"/>
      <c r="J273" s="387"/>
      <c r="K273" s="387"/>
      <c r="L273" s="385"/>
      <c r="M273" s="385"/>
      <c r="N273" s="385"/>
      <c r="O273" s="385"/>
      <c r="P273" s="338">
        <v>0</v>
      </c>
      <c r="Q273" s="384">
        <v>0</v>
      </c>
      <c r="R273" s="339">
        <v>0</v>
      </c>
      <c r="S273" s="384">
        <v>0</v>
      </c>
      <c r="T273" s="285"/>
      <c r="U273" s="317"/>
      <c r="V273" s="5"/>
    </row>
    <row r="274" spans="1:22" ht="15.6" x14ac:dyDescent="0.3">
      <c r="A274" s="284"/>
      <c r="B274" s="338" t="s">
        <v>166</v>
      </c>
      <c r="C274" s="285"/>
      <c r="D274" s="285"/>
      <c r="E274" s="285"/>
      <c r="F274" s="285"/>
      <c r="G274" s="285"/>
      <c r="H274" s="387"/>
      <c r="I274" s="387"/>
      <c r="J274" s="387"/>
      <c r="K274" s="387"/>
      <c r="L274" s="385"/>
      <c r="M274" s="385"/>
      <c r="N274" s="385"/>
      <c r="O274" s="385"/>
      <c r="P274" s="338">
        <v>0</v>
      </c>
      <c r="Q274" s="384">
        <v>0</v>
      </c>
      <c r="R274" s="339">
        <v>0</v>
      </c>
      <c r="S274" s="384">
        <v>0</v>
      </c>
      <c r="T274" s="285"/>
      <c r="U274" s="317"/>
      <c r="V274" s="5"/>
    </row>
    <row r="275" spans="1:22" ht="15.6" x14ac:dyDescent="0.3">
      <c r="A275" s="284"/>
      <c r="B275" s="338" t="s">
        <v>167</v>
      </c>
      <c r="C275" s="285"/>
      <c r="D275" s="285"/>
      <c r="E275" s="285"/>
      <c r="F275" s="285"/>
      <c r="G275" s="285"/>
      <c r="H275" s="387"/>
      <c r="I275" s="387"/>
      <c r="J275" s="387"/>
      <c r="K275" s="387"/>
      <c r="L275" s="385"/>
      <c r="M275" s="385"/>
      <c r="N275" s="385"/>
      <c r="O275" s="385"/>
      <c r="P275" s="338">
        <v>0</v>
      </c>
      <c r="Q275" s="384">
        <v>0</v>
      </c>
      <c r="R275" s="339">
        <v>0</v>
      </c>
      <c r="S275" s="384">
        <v>0</v>
      </c>
      <c r="T275" s="285"/>
      <c r="U275" s="317"/>
      <c r="V275" s="5"/>
    </row>
    <row r="276" spans="1:22" ht="15.6" x14ac:dyDescent="0.3">
      <c r="A276" s="284"/>
      <c r="B276" s="338"/>
      <c r="C276" s="285"/>
      <c r="D276" s="285"/>
      <c r="E276" s="285"/>
      <c r="F276" s="285"/>
      <c r="G276" s="285"/>
      <c r="H276" s="387"/>
      <c r="I276" s="387"/>
      <c r="J276" s="387"/>
      <c r="K276" s="387"/>
      <c r="L276" s="385"/>
      <c r="M276" s="385"/>
      <c r="N276" s="385"/>
      <c r="O276" s="385"/>
      <c r="P276" s="338"/>
      <c r="Q276" s="384"/>
      <c r="R276" s="339"/>
      <c r="S276" s="384"/>
      <c r="T276" s="285"/>
      <c r="U276" s="317"/>
      <c r="V276" s="5"/>
    </row>
    <row r="277" spans="1:22" ht="15.6" x14ac:dyDescent="0.3">
      <c r="A277" s="284"/>
      <c r="B277" s="285" t="s">
        <v>120</v>
      </c>
      <c r="C277" s="285"/>
      <c r="D277" s="285"/>
      <c r="E277" s="285"/>
      <c r="F277" s="285"/>
      <c r="G277" s="285"/>
      <c r="H277" s="387"/>
      <c r="I277" s="387"/>
      <c r="J277" s="387"/>
      <c r="K277" s="387"/>
      <c r="L277" s="385"/>
      <c r="M277" s="385"/>
      <c r="N277" s="385"/>
      <c r="O277" s="385"/>
      <c r="P277" s="338">
        <f>SUM(P268:P275)</f>
        <v>0</v>
      </c>
      <c r="Q277" s="384">
        <f>SUM(Q268:Q276)</f>
        <v>0</v>
      </c>
      <c r="R277" s="339">
        <f>SUM(R268:R275)</f>
        <v>0</v>
      </c>
      <c r="S277" s="384">
        <f>SUM(S268:S276)</f>
        <v>0</v>
      </c>
      <c r="T277" s="285"/>
      <c r="U277" s="317"/>
      <c r="V277" s="5"/>
    </row>
    <row r="278" spans="1:22" ht="15.6" x14ac:dyDescent="0.3">
      <c r="A278" s="284"/>
      <c r="B278" s="285"/>
      <c r="C278" s="285"/>
      <c r="D278" s="285"/>
      <c r="E278" s="285"/>
      <c r="F278" s="285"/>
      <c r="G278" s="285"/>
      <c r="H278" s="387"/>
      <c r="I278" s="387"/>
      <c r="J278" s="387"/>
      <c r="K278" s="387"/>
      <c r="L278" s="385"/>
      <c r="M278" s="385"/>
      <c r="N278" s="385"/>
      <c r="O278" s="385"/>
      <c r="P278" s="344"/>
      <c r="Q278" s="388"/>
      <c r="R278" s="345"/>
      <c r="S278" s="388"/>
      <c r="T278" s="311"/>
      <c r="U278" s="317"/>
      <c r="V278" s="5"/>
    </row>
    <row r="279" spans="1:22" ht="15.6" x14ac:dyDescent="0.3">
      <c r="A279" s="284"/>
      <c r="B279" s="292" t="s">
        <v>171</v>
      </c>
      <c r="C279" s="285"/>
      <c r="D279" s="285"/>
      <c r="E279" s="285"/>
      <c r="F279" s="285"/>
      <c r="G279" s="285"/>
      <c r="H279" s="387"/>
      <c r="I279" s="387"/>
      <c r="J279" s="387"/>
      <c r="K279" s="387"/>
      <c r="L279" s="385"/>
      <c r="M279" s="385"/>
      <c r="N279" s="385"/>
      <c r="O279" s="385"/>
      <c r="P279" s="403">
        <f>P277+P265+P253</f>
        <v>3842</v>
      </c>
      <c r="Q279" s="384"/>
      <c r="R279" s="404">
        <f>+R277+R265+R253</f>
        <v>497156</v>
      </c>
      <c r="S279" s="384"/>
      <c r="T279" s="311"/>
      <c r="U279" s="317"/>
      <c r="V279" s="5"/>
    </row>
    <row r="280" spans="1:22" ht="15.6" x14ac:dyDescent="0.3">
      <c r="A280" s="175"/>
      <c r="B280" s="281"/>
      <c r="C280" s="281"/>
      <c r="D280" s="281"/>
      <c r="E280" s="281"/>
      <c r="F280" s="281"/>
      <c r="G280" s="281"/>
      <c r="H280" s="386"/>
      <c r="I280" s="386"/>
      <c r="J280" s="386"/>
      <c r="K280" s="386"/>
      <c r="L280" s="379"/>
      <c r="M280" s="379"/>
      <c r="N280" s="379"/>
      <c r="O280" s="379"/>
      <c r="P280" s="379"/>
      <c r="Q280" s="379"/>
      <c r="R280" s="381"/>
      <c r="S280" s="379"/>
      <c r="T280" s="334"/>
      <c r="U280" s="334"/>
      <c r="V280" s="5"/>
    </row>
    <row r="281" spans="1:22" ht="15.6" x14ac:dyDescent="0.3">
      <c r="A281" s="175"/>
      <c r="B281" s="231"/>
      <c r="C281" s="231"/>
      <c r="D281" s="231"/>
      <c r="E281" s="231"/>
      <c r="F281" s="231"/>
      <c r="G281" s="231"/>
      <c r="H281" s="276"/>
      <c r="I281" s="276"/>
      <c r="J281" s="276"/>
      <c r="K281" s="276"/>
      <c r="L281" s="219"/>
      <c r="M281" s="219"/>
      <c r="N281" s="219"/>
      <c r="O281" s="219"/>
      <c r="P281" s="219"/>
      <c r="Q281" s="219"/>
      <c r="R281" s="220"/>
      <c r="S281" s="219"/>
      <c r="T281" s="177"/>
      <c r="U281" s="177"/>
      <c r="V281" s="5"/>
    </row>
    <row r="282" spans="1:22" ht="15.6" x14ac:dyDescent="0.3">
      <c r="A282" s="221"/>
      <c r="B282" s="230" t="s">
        <v>94</v>
      </c>
      <c r="C282" s="231"/>
      <c r="D282" s="231"/>
      <c r="E282" s="231"/>
      <c r="F282" s="236" t="s">
        <v>100</v>
      </c>
      <c r="G282" s="231"/>
      <c r="H282" s="230" t="s">
        <v>102</v>
      </c>
      <c r="I282" s="277"/>
      <c r="J282" s="277"/>
      <c r="K282" s="277"/>
      <c r="L282" s="188"/>
      <c r="M282" s="188"/>
      <c r="N282" s="188"/>
      <c r="O282" s="188"/>
      <c r="P282" s="188"/>
      <c r="Q282" s="188"/>
      <c r="R282" s="188"/>
      <c r="S282" s="188"/>
      <c r="T282" s="188"/>
      <c r="U282" s="188"/>
      <c r="V282" s="5"/>
    </row>
    <row r="283" spans="1:22" ht="15.6" x14ac:dyDescent="0.3">
      <c r="A283" s="221"/>
      <c r="B283" s="230" t="s">
        <v>316</v>
      </c>
      <c r="C283" s="230"/>
      <c r="D283" s="230"/>
      <c r="E283" s="230"/>
      <c r="F283" s="278" t="s">
        <v>154</v>
      </c>
      <c r="G283" s="230"/>
      <c r="H283" s="230" t="s">
        <v>158</v>
      </c>
      <c r="I283" s="277"/>
      <c r="J283" s="277"/>
      <c r="K283" s="277"/>
      <c r="L283" s="188"/>
      <c r="M283" s="188"/>
      <c r="N283" s="188"/>
      <c r="O283" s="188"/>
      <c r="P283" s="188"/>
      <c r="Q283" s="188"/>
      <c r="R283" s="188"/>
      <c r="S283" s="188"/>
      <c r="T283" s="188"/>
      <c r="U283" s="188"/>
      <c r="V283" s="5"/>
    </row>
    <row r="284" spans="1:22" ht="15.6" x14ac:dyDescent="0.3">
      <c r="A284" s="221"/>
      <c r="B284" s="230" t="s">
        <v>317</v>
      </c>
      <c r="C284" s="230"/>
      <c r="D284" s="230"/>
      <c r="E284" s="230"/>
      <c r="F284" s="278" t="s">
        <v>269</v>
      </c>
      <c r="G284" s="230"/>
      <c r="H284" s="230" t="s">
        <v>270</v>
      </c>
      <c r="I284" s="277"/>
      <c r="J284" s="277"/>
      <c r="K284" s="277"/>
      <c r="L284" s="188"/>
      <c r="M284" s="188"/>
      <c r="N284" s="188"/>
      <c r="O284" s="188"/>
      <c r="P284" s="188"/>
      <c r="Q284" s="188"/>
      <c r="R284" s="188"/>
      <c r="S284" s="188"/>
      <c r="T284" s="188"/>
      <c r="U284" s="188"/>
      <c r="V284" s="5"/>
    </row>
    <row r="285" spans="1:22" ht="15.6" x14ac:dyDescent="0.3">
      <c r="A285" s="221"/>
      <c r="B285" s="230" t="s">
        <v>318</v>
      </c>
      <c r="C285" s="230"/>
      <c r="D285" s="230"/>
      <c r="E285" s="230"/>
      <c r="F285" s="278" t="s">
        <v>153</v>
      </c>
      <c r="G285" s="230"/>
      <c r="H285" s="230" t="s">
        <v>159</v>
      </c>
      <c r="I285" s="277"/>
      <c r="J285" s="277"/>
      <c r="K285" s="277"/>
      <c r="L285" s="188"/>
      <c r="M285" s="188"/>
      <c r="N285" s="188"/>
      <c r="O285" s="188"/>
      <c r="P285" s="188"/>
      <c r="Q285" s="188"/>
      <c r="R285" s="188"/>
      <c r="S285" s="188"/>
      <c r="T285" s="188"/>
      <c r="U285" s="188"/>
      <c r="V285" s="5"/>
    </row>
    <row r="286" spans="1:22" ht="15.6" x14ac:dyDescent="0.3">
      <c r="A286" s="221"/>
      <c r="B286" s="230"/>
      <c r="C286" s="230"/>
      <c r="D286" s="230"/>
      <c r="E286" s="230"/>
      <c r="F286" s="230"/>
      <c r="G286" s="279"/>
      <c r="H286" s="277"/>
      <c r="I286" s="277"/>
      <c r="J286" s="277"/>
      <c r="K286" s="277"/>
      <c r="L286" s="188"/>
      <c r="M286" s="188"/>
      <c r="N286" s="188"/>
      <c r="O286" s="188"/>
      <c r="P286" s="188"/>
      <c r="Q286" s="188"/>
      <c r="R286" s="188"/>
      <c r="S286" s="188"/>
      <c r="T286" s="188"/>
      <c r="U286" s="188"/>
      <c r="V286" s="5"/>
    </row>
    <row r="287" spans="1:22" ht="15.6" x14ac:dyDescent="0.3">
      <c r="A287" s="221"/>
      <c r="B287" s="230"/>
      <c r="C287" s="230"/>
      <c r="D287" s="230"/>
      <c r="E287" s="230"/>
      <c r="F287" s="230"/>
      <c r="G287" s="279"/>
      <c r="H287" s="277"/>
      <c r="I287" s="277"/>
      <c r="J287" s="277"/>
      <c r="K287" s="277"/>
      <c r="L287" s="188"/>
      <c r="M287" s="188"/>
      <c r="N287" s="188"/>
      <c r="O287" s="188"/>
      <c r="P287" s="188"/>
      <c r="Q287" s="188"/>
      <c r="R287" s="188"/>
      <c r="S287" s="188"/>
      <c r="T287" s="188"/>
      <c r="U287" s="188"/>
      <c r="V287" s="5"/>
    </row>
    <row r="288" spans="1:22" ht="18" thickBot="1" x14ac:dyDescent="0.35">
      <c r="A288" s="221"/>
      <c r="B288" s="280" t="str">
        <f>B193</f>
        <v>PM11 INVESTOR REPORT QUARTER ENDING JUNE 2015</v>
      </c>
      <c r="C288" s="230"/>
      <c r="D288" s="230"/>
      <c r="E288" s="230"/>
      <c r="F288" s="230"/>
      <c r="G288" s="279"/>
      <c r="H288" s="277"/>
      <c r="I288" s="277"/>
      <c r="J288" s="277"/>
      <c r="K288" s="277"/>
      <c r="L288" s="188"/>
      <c r="M288" s="188"/>
      <c r="N288" s="188"/>
      <c r="O288" s="188"/>
      <c r="P288" s="188"/>
      <c r="Q288" s="188"/>
      <c r="R288" s="188"/>
      <c r="S288" s="188"/>
      <c r="T288" s="188"/>
      <c r="U288" s="188"/>
      <c r="V288" s="5"/>
    </row>
    <row r="289" spans="1:21" x14ac:dyDescent="0.25">
      <c r="A289" s="100"/>
      <c r="B289" s="100"/>
      <c r="C289" s="100"/>
      <c r="D289" s="100"/>
      <c r="E289" s="100"/>
      <c r="F289" s="100"/>
      <c r="G289" s="100"/>
      <c r="H289" s="100"/>
      <c r="I289" s="100"/>
      <c r="J289" s="100"/>
      <c r="K289" s="100"/>
      <c r="L289" s="100"/>
      <c r="M289" s="100"/>
      <c r="N289" s="100"/>
      <c r="O289" s="100"/>
      <c r="P289" s="100"/>
      <c r="Q289" s="100"/>
      <c r="R289" s="100"/>
      <c r="S289" s="100"/>
      <c r="T289" s="100"/>
      <c r="U289" s="100"/>
    </row>
  </sheetData>
  <hyperlinks>
    <hyperlink ref="N229" r:id="rId1" xr:uid="{00000000-0004-0000-2400-000000000000}"/>
    <hyperlink ref="J9" r:id="rId2" xr:uid="{00000000-0004-0000-24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4" max="20" man="1"/>
    <brk id="133" max="20" man="1"/>
    <brk id="193" max="20" man="1"/>
  </rowBreaks>
  <drawing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2D2926"/>
  </sheetPr>
  <dimension ref="A1:X289"/>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08984375" style="1" customWidth="1"/>
    <col min="10" max="10" width="17.81640625" style="1" customWidth="1"/>
    <col min="11" max="11" width="2.1796875" style="1" customWidth="1"/>
    <col min="12" max="12" width="14.81640625" style="1" customWidth="1"/>
    <col min="13" max="13" width="2.1796875" style="1" customWidth="1"/>
    <col min="14" max="14" width="15.54296875" style="1" customWidth="1"/>
    <col min="15" max="15" width="2.08984375" style="1" customWidth="1"/>
    <col min="16" max="16" width="15.54296875" style="1" customWidth="1"/>
    <col min="17" max="18" width="12.81640625" style="1" customWidth="1"/>
    <col min="19" max="19" width="7.81640625" style="1" customWidth="1"/>
    <col min="20" max="20" width="14.81640625" style="1" customWidth="1"/>
    <col min="21" max="21" width="11.81640625" style="1" customWidth="1"/>
    <col min="22" max="16384" width="9.81640625" style="1"/>
  </cols>
  <sheetData>
    <row r="1" spans="1:22" ht="20.399999999999999" x14ac:dyDescent="0.35">
      <c r="A1" s="173"/>
      <c r="B1" s="228" t="s">
        <v>228</v>
      </c>
      <c r="C1" s="174"/>
      <c r="D1" s="174"/>
      <c r="E1" s="174"/>
      <c r="F1" s="174"/>
      <c r="G1" s="174"/>
      <c r="H1" s="174"/>
      <c r="I1" s="174"/>
      <c r="J1" s="174"/>
      <c r="K1" s="174"/>
      <c r="L1" s="174"/>
      <c r="M1" s="174"/>
      <c r="N1" s="174"/>
      <c r="O1" s="174"/>
      <c r="P1" s="174"/>
      <c r="Q1" s="174"/>
      <c r="R1" s="174"/>
      <c r="S1" s="174"/>
      <c r="T1" s="174"/>
      <c r="U1" s="174"/>
      <c r="V1" s="5"/>
    </row>
    <row r="2" spans="1:22" ht="15.6" x14ac:dyDescent="0.3">
      <c r="A2" s="175"/>
      <c r="B2" s="176"/>
      <c r="C2" s="177"/>
      <c r="D2" s="177"/>
      <c r="E2" s="177"/>
      <c r="F2" s="177"/>
      <c r="G2" s="177"/>
      <c r="H2" s="177"/>
      <c r="I2" s="177"/>
      <c r="J2" s="177"/>
      <c r="K2" s="177"/>
      <c r="L2" s="177"/>
      <c r="M2" s="177"/>
      <c r="N2" s="177"/>
      <c r="O2" s="177"/>
      <c r="P2" s="177"/>
      <c r="Q2" s="177"/>
      <c r="R2" s="177"/>
      <c r="S2" s="177"/>
      <c r="T2" s="177"/>
      <c r="U2" s="177"/>
      <c r="V2" s="5"/>
    </row>
    <row r="3" spans="1:22" ht="15.6" x14ac:dyDescent="0.3">
      <c r="A3" s="178"/>
      <c r="B3" s="179" t="s">
        <v>229</v>
      </c>
      <c r="C3" s="177"/>
      <c r="D3" s="177"/>
      <c r="E3" s="177"/>
      <c r="F3" s="177"/>
      <c r="G3" s="177"/>
      <c r="H3" s="177"/>
      <c r="I3" s="177"/>
      <c r="J3" s="177"/>
      <c r="K3" s="177"/>
      <c r="L3" s="177"/>
      <c r="M3" s="177"/>
      <c r="N3" s="177"/>
      <c r="O3" s="177"/>
      <c r="P3" s="177"/>
      <c r="Q3" s="177"/>
      <c r="R3" s="177"/>
      <c r="S3" s="177"/>
      <c r="T3" s="177"/>
      <c r="U3" s="177"/>
      <c r="V3" s="5"/>
    </row>
    <row r="4" spans="1:22" ht="15.6" x14ac:dyDescent="0.3">
      <c r="A4" s="175"/>
      <c r="B4" s="176"/>
      <c r="C4" s="177"/>
      <c r="D4" s="177"/>
      <c r="E4" s="177"/>
      <c r="F4" s="177"/>
      <c r="G4" s="177"/>
      <c r="H4" s="177"/>
      <c r="I4" s="177"/>
      <c r="J4" s="177"/>
      <c r="K4" s="177"/>
      <c r="L4" s="177"/>
      <c r="M4" s="177"/>
      <c r="N4" s="177"/>
      <c r="O4" s="177"/>
      <c r="P4" s="177"/>
      <c r="Q4" s="177"/>
      <c r="R4" s="177"/>
      <c r="S4" s="177"/>
      <c r="T4" s="177"/>
      <c r="U4" s="177"/>
      <c r="V4" s="5"/>
    </row>
    <row r="5" spans="1:22" ht="15.6" x14ac:dyDescent="0.3">
      <c r="A5" s="175"/>
      <c r="B5" s="229" t="s">
        <v>143</v>
      </c>
      <c r="C5" s="177"/>
      <c r="D5" s="177"/>
      <c r="E5" s="177"/>
      <c r="F5" s="177"/>
      <c r="G5" s="177"/>
      <c r="H5" s="177"/>
      <c r="I5" s="177"/>
      <c r="J5" s="177"/>
      <c r="K5" s="177"/>
      <c r="L5" s="177"/>
      <c r="M5" s="177"/>
      <c r="N5" s="177"/>
      <c r="O5" s="177"/>
      <c r="P5" s="177"/>
      <c r="Q5" s="177"/>
      <c r="R5" s="177"/>
      <c r="S5" s="177"/>
      <c r="T5" s="177"/>
      <c r="U5" s="177"/>
      <c r="V5" s="5"/>
    </row>
    <row r="6" spans="1:22" ht="15.6" x14ac:dyDescent="0.3">
      <c r="A6" s="175"/>
      <c r="B6" s="229" t="s">
        <v>145</v>
      </c>
      <c r="C6" s="177"/>
      <c r="D6" s="177"/>
      <c r="E6" s="177"/>
      <c r="F6" s="177"/>
      <c r="G6" s="177"/>
      <c r="H6" s="177"/>
      <c r="I6" s="177"/>
      <c r="J6" s="177"/>
      <c r="K6" s="177"/>
      <c r="L6" s="177"/>
      <c r="M6" s="177"/>
      <c r="N6" s="177"/>
      <c r="O6" s="177"/>
      <c r="P6" s="177"/>
      <c r="Q6" s="177"/>
      <c r="R6" s="177"/>
      <c r="S6" s="177"/>
      <c r="T6" s="177"/>
      <c r="U6" s="177"/>
      <c r="V6" s="5"/>
    </row>
    <row r="7" spans="1:22" ht="15.6" x14ac:dyDescent="0.3">
      <c r="A7" s="175"/>
      <c r="B7" s="229" t="s">
        <v>144</v>
      </c>
      <c r="C7" s="177"/>
      <c r="D7" s="177"/>
      <c r="E7" s="177"/>
      <c r="F7" s="177"/>
      <c r="G7" s="177"/>
      <c r="H7" s="177"/>
      <c r="I7" s="177"/>
      <c r="J7" s="177"/>
      <c r="K7" s="177"/>
      <c r="L7" s="177"/>
      <c r="M7" s="177"/>
      <c r="N7" s="177"/>
      <c r="O7" s="177"/>
      <c r="P7" s="177"/>
      <c r="Q7" s="177"/>
      <c r="R7" s="177"/>
      <c r="S7" s="177"/>
      <c r="T7" s="177"/>
      <c r="U7" s="177"/>
      <c r="V7" s="5"/>
    </row>
    <row r="8" spans="1:22" ht="15.6" x14ac:dyDescent="0.3">
      <c r="A8" s="175"/>
      <c r="B8" s="180"/>
      <c r="C8" s="177"/>
      <c r="D8" s="177"/>
      <c r="E8" s="177"/>
      <c r="F8" s="177"/>
      <c r="G8" s="177"/>
      <c r="H8" s="177"/>
      <c r="I8" s="177"/>
      <c r="J8" s="177"/>
      <c r="K8" s="177"/>
      <c r="L8" s="177"/>
      <c r="M8" s="177"/>
      <c r="N8" s="177"/>
      <c r="O8" s="177"/>
      <c r="P8" s="177"/>
      <c r="Q8" s="177"/>
      <c r="R8" s="177"/>
      <c r="S8" s="177"/>
      <c r="T8" s="177"/>
      <c r="U8" s="177"/>
      <c r="V8" s="5"/>
    </row>
    <row r="9" spans="1:22" ht="17.399999999999999" x14ac:dyDescent="0.3">
      <c r="A9" s="175"/>
      <c r="B9" s="181" t="s">
        <v>173</v>
      </c>
      <c r="C9" s="177"/>
      <c r="D9" s="177"/>
      <c r="E9" s="177"/>
      <c r="F9" s="177"/>
      <c r="G9" s="177"/>
      <c r="H9" s="177"/>
      <c r="I9" s="177"/>
      <c r="J9" s="182" t="s">
        <v>174</v>
      </c>
      <c r="K9" s="177"/>
      <c r="L9" s="182"/>
      <c r="M9" s="177"/>
      <c r="N9" s="177"/>
      <c r="O9" s="177"/>
      <c r="P9" s="177"/>
      <c r="Q9" s="177"/>
      <c r="R9" s="177"/>
      <c r="S9" s="177"/>
      <c r="T9" s="177"/>
      <c r="U9" s="177"/>
      <c r="V9" s="5"/>
    </row>
    <row r="10" spans="1:22" ht="15.6" x14ac:dyDescent="0.3">
      <c r="A10" s="175"/>
      <c r="B10" s="180"/>
      <c r="C10" s="183"/>
      <c r="D10" s="183"/>
      <c r="E10" s="183"/>
      <c r="F10" s="177"/>
      <c r="G10" s="177"/>
      <c r="H10" s="177"/>
      <c r="I10" s="177"/>
      <c r="J10" s="177"/>
      <c r="K10" s="177"/>
      <c r="L10" s="177"/>
      <c r="M10" s="177"/>
      <c r="N10" s="177"/>
      <c r="O10" s="177"/>
      <c r="P10" s="177"/>
      <c r="Q10" s="177"/>
      <c r="R10" s="177"/>
      <c r="S10" s="177"/>
      <c r="T10" s="177"/>
      <c r="U10" s="177"/>
      <c r="V10" s="5"/>
    </row>
    <row r="11" spans="1:22" ht="15.6" x14ac:dyDescent="0.3">
      <c r="A11" s="175"/>
      <c r="B11" s="230" t="s">
        <v>0</v>
      </c>
      <c r="C11" s="177"/>
      <c r="D11" s="177"/>
      <c r="E11" s="177"/>
      <c r="F11" s="177"/>
      <c r="G11" s="177"/>
      <c r="H11" s="177"/>
      <c r="I11" s="177"/>
      <c r="J11" s="177"/>
      <c r="K11" s="177"/>
      <c r="L11" s="177"/>
      <c r="M11" s="177"/>
      <c r="N11" s="177"/>
      <c r="O11" s="177"/>
      <c r="P11" s="177"/>
      <c r="Q11" s="177"/>
      <c r="R11" s="177"/>
      <c r="S11" s="177"/>
      <c r="T11" s="177"/>
      <c r="U11" s="177"/>
      <c r="V11" s="5"/>
    </row>
    <row r="12" spans="1:22" ht="16.2" thickBot="1" x14ac:dyDescent="0.35">
      <c r="A12" s="175"/>
      <c r="B12" s="183"/>
      <c r="C12" s="177"/>
      <c r="D12" s="177"/>
      <c r="E12" s="177"/>
      <c r="F12" s="177"/>
      <c r="G12" s="177"/>
      <c r="H12" s="177"/>
      <c r="I12" s="177"/>
      <c r="J12" s="177"/>
      <c r="K12" s="177"/>
      <c r="L12" s="177"/>
      <c r="M12" s="177"/>
      <c r="N12" s="177"/>
      <c r="O12" s="177"/>
      <c r="P12" s="177"/>
      <c r="Q12" s="177"/>
      <c r="R12" s="177"/>
      <c r="S12" s="177"/>
      <c r="T12" s="177"/>
      <c r="U12" s="177"/>
      <c r="V12" s="5"/>
    </row>
    <row r="13" spans="1:22" ht="15.6" x14ac:dyDescent="0.3">
      <c r="A13" s="173"/>
      <c r="B13" s="174"/>
      <c r="C13" s="174"/>
      <c r="D13" s="174"/>
      <c r="E13" s="174"/>
      <c r="F13" s="174"/>
      <c r="G13" s="174"/>
      <c r="H13" s="174"/>
      <c r="I13" s="174"/>
      <c r="J13" s="174"/>
      <c r="K13" s="174"/>
      <c r="L13" s="174"/>
      <c r="M13" s="174"/>
      <c r="N13" s="174"/>
      <c r="O13" s="174"/>
      <c r="P13" s="174"/>
      <c r="Q13" s="174"/>
      <c r="R13" s="174"/>
      <c r="S13" s="174"/>
      <c r="T13" s="174"/>
      <c r="U13" s="174"/>
      <c r="V13" s="5"/>
    </row>
    <row r="14" spans="1:22" ht="15.6" x14ac:dyDescent="0.3">
      <c r="A14" s="175"/>
      <c r="B14" s="230" t="s">
        <v>1</v>
      </c>
      <c r="C14" s="184"/>
      <c r="D14" s="184"/>
      <c r="E14" s="184"/>
      <c r="F14" s="184"/>
      <c r="G14" s="184"/>
      <c r="H14" s="184"/>
      <c r="I14" s="184"/>
      <c r="J14" s="184"/>
      <c r="K14" s="184"/>
      <c r="L14" s="184"/>
      <c r="M14" s="184"/>
      <c r="N14" s="184"/>
      <c r="O14" s="184"/>
      <c r="P14" s="231"/>
      <c r="Q14" s="231"/>
      <c r="R14" s="231"/>
      <c r="S14" s="231"/>
      <c r="T14" s="233" t="s">
        <v>230</v>
      </c>
      <c r="U14" s="184"/>
      <c r="V14" s="5"/>
    </row>
    <row r="15" spans="1:22" ht="15.6" x14ac:dyDescent="0.3">
      <c r="A15" s="175"/>
      <c r="B15" s="230" t="s">
        <v>2</v>
      </c>
      <c r="C15" s="184"/>
      <c r="D15" s="184"/>
      <c r="E15" s="184"/>
      <c r="F15" s="184"/>
      <c r="G15" s="184"/>
      <c r="H15" s="185"/>
      <c r="I15" s="185"/>
      <c r="J15" s="185"/>
      <c r="K15" s="185"/>
      <c r="L15" s="185"/>
      <c r="M15" s="185"/>
      <c r="N15" s="185"/>
      <c r="O15" s="185"/>
      <c r="P15" s="234" t="s">
        <v>107</v>
      </c>
      <c r="Q15" s="235">
        <v>0.40749999999999997</v>
      </c>
      <c r="R15" s="236" t="s">
        <v>146</v>
      </c>
      <c r="S15" s="235">
        <v>0.59250000000000003</v>
      </c>
      <c r="T15" s="233"/>
      <c r="U15" s="184"/>
      <c r="V15" s="5"/>
    </row>
    <row r="16" spans="1:22" ht="15.6" x14ac:dyDescent="0.3">
      <c r="A16" s="175"/>
      <c r="B16" s="230" t="s">
        <v>3</v>
      </c>
      <c r="C16" s="184"/>
      <c r="D16" s="184"/>
      <c r="E16" s="184"/>
      <c r="F16" s="184"/>
      <c r="G16" s="184"/>
      <c r="H16" s="185"/>
      <c r="I16" s="185"/>
      <c r="J16" s="185"/>
      <c r="K16" s="185"/>
      <c r="L16" s="185"/>
      <c r="M16" s="185"/>
      <c r="N16" s="185"/>
      <c r="O16" s="185"/>
      <c r="P16" s="234" t="s">
        <v>107</v>
      </c>
      <c r="Q16" s="235">
        <v>0.46800000000000003</v>
      </c>
      <c r="R16" s="236" t="s">
        <v>146</v>
      </c>
      <c r="S16" s="235">
        <v>0.53200000000000003</v>
      </c>
      <c r="T16" s="233"/>
      <c r="U16" s="184"/>
      <c r="V16" s="5"/>
    </row>
    <row r="17" spans="1:22" ht="15.6" x14ac:dyDescent="0.3">
      <c r="A17" s="175"/>
      <c r="B17" s="230" t="s">
        <v>4</v>
      </c>
      <c r="C17" s="184"/>
      <c r="D17" s="184"/>
      <c r="E17" s="184"/>
      <c r="F17" s="184"/>
      <c r="G17" s="184"/>
      <c r="H17" s="184"/>
      <c r="I17" s="184"/>
      <c r="J17" s="184"/>
      <c r="K17" s="184"/>
      <c r="L17" s="184"/>
      <c r="M17" s="184"/>
      <c r="N17" s="184"/>
      <c r="O17" s="184"/>
      <c r="P17" s="231"/>
      <c r="Q17" s="231"/>
      <c r="R17" s="231"/>
      <c r="S17" s="231"/>
      <c r="T17" s="237">
        <v>38799</v>
      </c>
      <c r="U17" s="184"/>
      <c r="V17" s="5"/>
    </row>
    <row r="18" spans="1:22" ht="15.6" x14ac:dyDescent="0.3">
      <c r="A18" s="175"/>
      <c r="B18" s="230" t="s">
        <v>5</v>
      </c>
      <c r="C18" s="184"/>
      <c r="D18" s="184"/>
      <c r="E18" s="184"/>
      <c r="F18" s="184"/>
      <c r="G18" s="184"/>
      <c r="H18" s="184"/>
      <c r="I18" s="184"/>
      <c r="J18" s="184"/>
      <c r="K18" s="184"/>
      <c r="L18" s="184"/>
      <c r="M18" s="184"/>
      <c r="N18" s="184"/>
      <c r="O18" s="184"/>
      <c r="P18" s="231"/>
      <c r="Q18" s="231"/>
      <c r="R18" s="231"/>
      <c r="S18" s="231"/>
      <c r="T18" s="237">
        <v>42298</v>
      </c>
      <c r="U18" s="184"/>
      <c r="V18" s="5"/>
    </row>
    <row r="19" spans="1:22" ht="15.6" x14ac:dyDescent="0.3">
      <c r="A19" s="175"/>
      <c r="B19" s="177"/>
      <c r="C19" s="177"/>
      <c r="D19" s="177"/>
      <c r="E19" s="177"/>
      <c r="F19" s="177"/>
      <c r="G19" s="177"/>
      <c r="H19" s="177"/>
      <c r="I19" s="177"/>
      <c r="J19" s="177"/>
      <c r="K19" s="177"/>
      <c r="L19" s="177"/>
      <c r="M19" s="177"/>
      <c r="N19" s="177"/>
      <c r="O19" s="177"/>
      <c r="P19" s="177"/>
      <c r="Q19" s="177"/>
      <c r="R19" s="177"/>
      <c r="S19" s="177"/>
      <c r="T19" s="186"/>
      <c r="U19" s="177"/>
      <c r="V19" s="5"/>
    </row>
    <row r="20" spans="1:22" ht="15.6" x14ac:dyDescent="0.3">
      <c r="A20" s="175"/>
      <c r="B20" s="232" t="s">
        <v>6</v>
      </c>
      <c r="C20" s="177"/>
      <c r="D20" s="177"/>
      <c r="E20" s="177"/>
      <c r="F20" s="177"/>
      <c r="G20" s="177"/>
      <c r="H20" s="177"/>
      <c r="I20" s="177"/>
      <c r="J20" s="177"/>
      <c r="K20" s="177"/>
      <c r="L20" s="177"/>
      <c r="M20" s="177"/>
      <c r="N20" s="177"/>
      <c r="O20" s="177"/>
      <c r="P20" s="177"/>
      <c r="Q20" s="177"/>
      <c r="R20" s="238" t="s">
        <v>108</v>
      </c>
      <c r="S20" s="177"/>
      <c r="T20" s="188"/>
      <c r="U20" s="177"/>
      <c r="V20" s="5"/>
    </row>
    <row r="21" spans="1:22" ht="15.6" x14ac:dyDescent="0.3">
      <c r="A21" s="175"/>
      <c r="B21" s="177"/>
      <c r="C21" s="177"/>
      <c r="D21" s="177"/>
      <c r="E21" s="177"/>
      <c r="F21" s="177"/>
      <c r="G21" s="177"/>
      <c r="H21" s="177"/>
      <c r="I21" s="177"/>
      <c r="J21" s="177"/>
      <c r="K21" s="177"/>
      <c r="L21" s="177"/>
      <c r="M21" s="177"/>
      <c r="N21" s="177"/>
      <c r="O21" s="177"/>
      <c r="P21" s="177"/>
      <c r="Q21" s="177"/>
      <c r="R21" s="177"/>
      <c r="S21" s="177"/>
      <c r="T21" s="189"/>
      <c r="U21" s="177"/>
      <c r="V21" s="5"/>
    </row>
    <row r="22" spans="1:22" ht="15.6" x14ac:dyDescent="0.3">
      <c r="A22" s="222"/>
      <c r="B22" s="223"/>
      <c r="C22" s="224"/>
      <c r="D22" s="224" t="s">
        <v>184</v>
      </c>
      <c r="E22" s="224"/>
      <c r="F22" s="224" t="s">
        <v>185</v>
      </c>
      <c r="G22" s="224"/>
      <c r="H22" s="224" t="s">
        <v>186</v>
      </c>
      <c r="I22" s="224"/>
      <c r="J22" s="224" t="s">
        <v>187</v>
      </c>
      <c r="K22" s="224"/>
      <c r="L22" s="224" t="s">
        <v>188</v>
      </c>
      <c r="M22" s="224"/>
      <c r="N22" s="224" t="s">
        <v>189</v>
      </c>
      <c r="O22" s="224"/>
      <c r="P22" s="224"/>
      <c r="Q22" s="226"/>
      <c r="R22" s="226"/>
      <c r="S22" s="227"/>
      <c r="T22" s="227"/>
      <c r="U22" s="223"/>
      <c r="V22" s="5"/>
    </row>
    <row r="23" spans="1:22" ht="15.6" x14ac:dyDescent="0.3">
      <c r="A23" s="190"/>
      <c r="B23" s="239" t="s">
        <v>7</v>
      </c>
      <c r="C23" s="240"/>
      <c r="D23" s="240" t="s">
        <v>222</v>
      </c>
      <c r="E23" s="240"/>
      <c r="F23" s="240" t="s">
        <v>147</v>
      </c>
      <c r="G23" s="240"/>
      <c r="H23" s="240" t="s">
        <v>147</v>
      </c>
      <c r="I23" s="240"/>
      <c r="J23" s="240" t="s">
        <v>190</v>
      </c>
      <c r="K23" s="240"/>
      <c r="L23" s="240" t="s">
        <v>190</v>
      </c>
      <c r="M23" s="240"/>
      <c r="N23" s="240" t="s">
        <v>148</v>
      </c>
      <c r="O23" s="240"/>
      <c r="P23" s="240"/>
      <c r="Q23" s="240"/>
      <c r="R23" s="240"/>
      <c r="S23" s="241"/>
      <c r="T23" s="241"/>
      <c r="U23" s="239"/>
      <c r="V23" s="5"/>
    </row>
    <row r="24" spans="1:22" ht="15.6" x14ac:dyDescent="0.3">
      <c r="A24" s="284"/>
      <c r="B24" s="285" t="s">
        <v>8</v>
      </c>
      <c r="C24" s="286"/>
      <c r="D24" s="286" t="s">
        <v>223</v>
      </c>
      <c r="E24" s="286"/>
      <c r="F24" s="286" t="s">
        <v>149</v>
      </c>
      <c r="G24" s="286"/>
      <c r="H24" s="286" t="s">
        <v>149</v>
      </c>
      <c r="I24" s="286"/>
      <c r="J24" s="286" t="s">
        <v>172</v>
      </c>
      <c r="K24" s="286"/>
      <c r="L24" s="286" t="s">
        <v>172</v>
      </c>
      <c r="M24" s="286"/>
      <c r="N24" s="286" t="s">
        <v>150</v>
      </c>
      <c r="O24" s="286"/>
      <c r="P24" s="286"/>
      <c r="Q24" s="286"/>
      <c r="R24" s="286"/>
      <c r="S24" s="287"/>
      <c r="T24" s="287"/>
      <c r="U24" s="288"/>
      <c r="V24" s="5"/>
    </row>
    <row r="25" spans="1:22" ht="15.6" x14ac:dyDescent="0.3">
      <c r="A25" s="289"/>
      <c r="B25" s="285" t="s">
        <v>198</v>
      </c>
      <c r="C25" s="394"/>
      <c r="D25" s="286" t="s">
        <v>224</v>
      </c>
      <c r="E25" s="286"/>
      <c r="F25" s="286" t="s">
        <v>149</v>
      </c>
      <c r="G25" s="286"/>
      <c r="H25" s="286" t="s">
        <v>149</v>
      </c>
      <c r="I25" s="286"/>
      <c r="J25" s="286" t="s">
        <v>172</v>
      </c>
      <c r="K25" s="286"/>
      <c r="L25" s="286" t="s">
        <v>172</v>
      </c>
      <c r="M25" s="286"/>
      <c r="N25" s="286" t="s">
        <v>150</v>
      </c>
      <c r="O25" s="286"/>
      <c r="P25" s="286"/>
      <c r="Q25" s="394"/>
      <c r="R25" s="286"/>
      <c r="S25" s="287"/>
      <c r="T25" s="287"/>
      <c r="U25" s="288"/>
      <c r="V25" s="5"/>
    </row>
    <row r="26" spans="1:22" ht="15.6" x14ac:dyDescent="0.3">
      <c r="A26" s="289"/>
      <c r="B26" s="292" t="s">
        <v>9</v>
      </c>
      <c r="C26" s="394"/>
      <c r="D26" s="394" t="s">
        <v>326</v>
      </c>
      <c r="E26" s="394"/>
      <c r="F26" s="394" t="s">
        <v>327</v>
      </c>
      <c r="G26" s="394"/>
      <c r="H26" s="394" t="s">
        <v>327</v>
      </c>
      <c r="I26" s="394"/>
      <c r="J26" s="394" t="s">
        <v>190</v>
      </c>
      <c r="K26" s="394"/>
      <c r="L26" s="394" t="s">
        <v>190</v>
      </c>
      <c r="M26" s="394"/>
      <c r="N26" s="394" t="s">
        <v>148</v>
      </c>
      <c r="O26" s="394"/>
      <c r="P26" s="394"/>
      <c r="Q26" s="394"/>
      <c r="R26" s="286"/>
      <c r="S26" s="287"/>
      <c r="T26" s="287"/>
      <c r="U26" s="288"/>
      <c r="V26" s="5"/>
    </row>
    <row r="27" spans="1:22" ht="15.6" x14ac:dyDescent="0.3">
      <c r="A27" s="284"/>
      <c r="B27" s="292" t="s">
        <v>199</v>
      </c>
      <c r="C27" s="286"/>
      <c r="D27" s="394" t="s">
        <v>334</v>
      </c>
      <c r="E27" s="394"/>
      <c r="F27" s="394" t="s">
        <v>322</v>
      </c>
      <c r="G27" s="394"/>
      <c r="H27" s="394" t="s">
        <v>322</v>
      </c>
      <c r="I27" s="394"/>
      <c r="J27" s="394" t="s">
        <v>150</v>
      </c>
      <c r="K27" s="394"/>
      <c r="L27" s="394" t="s">
        <v>150</v>
      </c>
      <c r="M27" s="394"/>
      <c r="N27" s="394" t="s">
        <v>333</v>
      </c>
      <c r="O27" s="394"/>
      <c r="P27" s="394"/>
      <c r="Q27" s="286"/>
      <c r="R27" s="293"/>
      <c r="S27" s="287"/>
      <c r="T27" s="287"/>
      <c r="U27" s="288"/>
      <c r="V27" s="5"/>
    </row>
    <row r="28" spans="1:22" ht="15.6" x14ac:dyDescent="0.3">
      <c r="A28" s="284"/>
      <c r="B28" s="292" t="s">
        <v>200</v>
      </c>
      <c r="C28" s="286"/>
      <c r="D28" s="394" t="s">
        <v>332</v>
      </c>
      <c r="E28" s="394"/>
      <c r="F28" s="394" t="s">
        <v>149</v>
      </c>
      <c r="G28" s="394"/>
      <c r="H28" s="394" t="s">
        <v>149</v>
      </c>
      <c r="I28" s="394"/>
      <c r="J28" s="394" t="s">
        <v>149</v>
      </c>
      <c r="K28" s="394"/>
      <c r="L28" s="394" t="s">
        <v>149</v>
      </c>
      <c r="M28" s="394"/>
      <c r="N28" s="394" t="s">
        <v>150</v>
      </c>
      <c r="O28" s="394"/>
      <c r="P28" s="394"/>
      <c r="Q28" s="286"/>
      <c r="R28" s="293"/>
      <c r="S28" s="287"/>
      <c r="T28" s="287"/>
      <c r="U28" s="288"/>
      <c r="V28" s="5"/>
    </row>
    <row r="29" spans="1:22" ht="15.6" x14ac:dyDescent="0.3">
      <c r="A29" s="284"/>
      <c r="B29" s="285" t="s">
        <v>10</v>
      </c>
      <c r="C29" s="295"/>
      <c r="D29" s="286" t="s">
        <v>237</v>
      </c>
      <c r="E29" s="286"/>
      <c r="F29" s="293" t="s">
        <v>238</v>
      </c>
      <c r="G29" s="286"/>
      <c r="H29" s="286" t="s">
        <v>239</v>
      </c>
      <c r="I29" s="286"/>
      <c r="J29" s="286" t="s">
        <v>240</v>
      </c>
      <c r="K29" s="286"/>
      <c r="L29" s="286" t="s">
        <v>241</v>
      </c>
      <c r="M29" s="286"/>
      <c r="N29" s="286" t="s">
        <v>242</v>
      </c>
      <c r="O29" s="286"/>
      <c r="P29" s="286"/>
      <c r="Q29" s="296"/>
      <c r="R29" s="296"/>
      <c r="S29" s="297"/>
      <c r="T29" s="296"/>
      <c r="U29" s="298"/>
      <c r="V29" s="5"/>
    </row>
    <row r="30" spans="1:22" ht="15.6" x14ac:dyDescent="0.3">
      <c r="A30" s="284"/>
      <c r="B30" s="285" t="s">
        <v>10</v>
      </c>
      <c r="C30" s="295"/>
      <c r="D30" s="286" t="s">
        <v>236</v>
      </c>
      <c r="E30" s="286"/>
      <c r="F30" s="293" t="s">
        <v>124</v>
      </c>
      <c r="G30" s="286"/>
      <c r="H30" s="286" t="s">
        <v>124</v>
      </c>
      <c r="I30" s="286"/>
      <c r="J30" s="286" t="s">
        <v>124</v>
      </c>
      <c r="K30" s="286"/>
      <c r="L30" s="286" t="s">
        <v>124</v>
      </c>
      <c r="M30" s="286"/>
      <c r="N30" s="286" t="s">
        <v>124</v>
      </c>
      <c r="O30" s="286"/>
      <c r="P30" s="286"/>
      <c r="Q30" s="296"/>
      <c r="R30" s="296"/>
      <c r="S30" s="297"/>
      <c r="T30" s="296"/>
      <c r="U30" s="298"/>
      <c r="V30" s="5"/>
    </row>
    <row r="31" spans="1:22" ht="15.6" x14ac:dyDescent="0.3">
      <c r="A31" s="289"/>
      <c r="B31" s="285" t="s">
        <v>139</v>
      </c>
      <c r="C31" s="299"/>
      <c r="D31" s="300">
        <v>985000</v>
      </c>
      <c r="E31" s="295"/>
      <c r="F31" s="296">
        <v>149500</v>
      </c>
      <c r="G31" s="296"/>
      <c r="H31" s="301">
        <v>219700</v>
      </c>
      <c r="I31" s="296"/>
      <c r="J31" s="296">
        <v>16000</v>
      </c>
      <c r="K31" s="296"/>
      <c r="L31" s="301">
        <v>82400</v>
      </c>
      <c r="M31" s="296"/>
      <c r="N31" s="301">
        <v>87500</v>
      </c>
      <c r="O31" s="296"/>
      <c r="P31" s="301"/>
      <c r="Q31" s="302"/>
      <c r="R31" s="302"/>
      <c r="S31" s="303"/>
      <c r="T31" s="302"/>
      <c r="U31" s="298"/>
      <c r="V31" s="5"/>
    </row>
    <row r="32" spans="1:22" ht="15.6" x14ac:dyDescent="0.3">
      <c r="A32" s="284"/>
      <c r="B32" s="285" t="s">
        <v>138</v>
      </c>
      <c r="C32" s="295"/>
      <c r="D32" s="300">
        <f>D38*D31</f>
        <v>413987.71850000002</v>
      </c>
      <c r="E32" s="295"/>
      <c r="F32" s="296">
        <f>F38*F31</f>
        <v>62833.893199999999</v>
      </c>
      <c r="G32" s="296"/>
      <c r="H32" s="301">
        <f>H38*H31</f>
        <v>92338.503920000003</v>
      </c>
      <c r="I32" s="296"/>
      <c r="J32" s="296">
        <f>+J31</f>
        <v>16000</v>
      </c>
      <c r="K32" s="296"/>
      <c r="L32" s="301">
        <f>+L31</f>
        <v>82400</v>
      </c>
      <c r="M32" s="296"/>
      <c r="N32" s="301">
        <f>+N31</f>
        <v>87500</v>
      </c>
      <c r="O32" s="296"/>
      <c r="P32" s="301"/>
      <c r="Q32" s="296"/>
      <c r="R32" s="296"/>
      <c r="S32" s="297"/>
      <c r="T32" s="296"/>
      <c r="U32" s="298"/>
      <c r="V32" s="5"/>
    </row>
    <row r="33" spans="1:22" ht="15.6" x14ac:dyDescent="0.3">
      <c r="A33" s="284"/>
      <c r="B33" s="292" t="s">
        <v>140</v>
      </c>
      <c r="C33" s="295"/>
      <c r="D33" s="304">
        <f>D37*D31</f>
        <v>408852.027</v>
      </c>
      <c r="E33" s="299"/>
      <c r="F33" s="302">
        <f>F37*F31</f>
        <v>62054.430099999998</v>
      </c>
      <c r="G33" s="302"/>
      <c r="H33" s="305">
        <f>H31*H37</f>
        <v>91193.032059999998</v>
      </c>
      <c r="I33" s="302"/>
      <c r="J33" s="302">
        <f>J31*J37</f>
        <v>15751.279999999999</v>
      </c>
      <c r="K33" s="302"/>
      <c r="L33" s="305">
        <f>L31*L37</f>
        <v>81119.092000000004</v>
      </c>
      <c r="M33" s="302"/>
      <c r="N33" s="305">
        <f>N31*N37</f>
        <v>86139.8125</v>
      </c>
      <c r="O33" s="302"/>
      <c r="P33" s="305"/>
      <c r="Q33" s="296"/>
      <c r="R33" s="296"/>
      <c r="S33" s="297"/>
      <c r="T33" s="296"/>
      <c r="U33" s="298"/>
      <c r="V33" s="5"/>
    </row>
    <row r="34" spans="1:22" ht="15.6" x14ac:dyDescent="0.3">
      <c r="A34" s="289"/>
      <c r="B34" s="285" t="s">
        <v>283</v>
      </c>
      <c r="C34" s="299"/>
      <c r="D34" s="296">
        <v>567282</v>
      </c>
      <c r="E34" s="295"/>
      <c r="F34" s="296">
        <v>149500</v>
      </c>
      <c r="G34" s="296"/>
      <c r="H34" s="296">
        <v>150716</v>
      </c>
      <c r="I34" s="296"/>
      <c r="J34" s="296">
        <v>16000</v>
      </c>
      <c r="K34" s="296"/>
      <c r="L34" s="296">
        <v>56527</v>
      </c>
      <c r="M34" s="296"/>
      <c r="N34" s="296">
        <v>60025</v>
      </c>
      <c r="O34" s="296"/>
      <c r="P34" s="296"/>
      <c r="Q34" s="302"/>
      <c r="R34" s="302"/>
      <c r="S34" s="303"/>
      <c r="T34" s="296">
        <f>SUM(C34:P34)</f>
        <v>1000050</v>
      </c>
      <c r="U34" s="298"/>
      <c r="V34" s="5"/>
    </row>
    <row r="35" spans="1:22" ht="15.6" x14ac:dyDescent="0.3">
      <c r="A35" s="289"/>
      <c r="B35" s="285" t="s">
        <v>284</v>
      </c>
      <c r="C35" s="299"/>
      <c r="D35" s="296">
        <f>D38*D34</f>
        <v>238424.14307220001</v>
      </c>
      <c r="E35" s="295"/>
      <c r="F35" s="296">
        <f>F38*F34</f>
        <v>62833.893199999999</v>
      </c>
      <c r="G35" s="296"/>
      <c r="H35" s="296">
        <f>H38*H34</f>
        <v>63344.970217599999</v>
      </c>
      <c r="I35" s="296"/>
      <c r="J35" s="296">
        <f>+J34</f>
        <v>16000</v>
      </c>
      <c r="K35" s="296"/>
      <c r="L35" s="296">
        <f>+L34</f>
        <v>56527</v>
      </c>
      <c r="M35" s="296"/>
      <c r="N35" s="296">
        <f>+N34</f>
        <v>60025</v>
      </c>
      <c r="O35" s="296"/>
      <c r="P35" s="296"/>
      <c r="Q35" s="296"/>
      <c r="R35" s="296"/>
      <c r="S35" s="297"/>
      <c r="T35" s="296">
        <f>SUM(C35:P35)+1</f>
        <v>497156.0064898</v>
      </c>
      <c r="U35" s="298"/>
      <c r="V35" s="5"/>
    </row>
    <row r="36" spans="1:22" ht="15.6" x14ac:dyDescent="0.3">
      <c r="A36" s="289"/>
      <c r="B36" s="292" t="s">
        <v>285</v>
      </c>
      <c r="C36" s="299"/>
      <c r="D36" s="302">
        <f>D37*D34</f>
        <v>235466.39145240001</v>
      </c>
      <c r="E36" s="299"/>
      <c r="F36" s="302">
        <f>F37*F34</f>
        <v>62054.430099999998</v>
      </c>
      <c r="G36" s="302"/>
      <c r="H36" s="302">
        <f>H37*H34</f>
        <v>62559.167136800002</v>
      </c>
      <c r="I36" s="302"/>
      <c r="J36" s="302">
        <f>J37*J34</f>
        <v>15751.279999999999</v>
      </c>
      <c r="K36" s="302"/>
      <c r="L36" s="302">
        <f>L37*L34</f>
        <v>55648.287785</v>
      </c>
      <c r="M36" s="302"/>
      <c r="N36" s="302">
        <f>N37*N34</f>
        <v>59091.911374999996</v>
      </c>
      <c r="O36" s="302"/>
      <c r="P36" s="302"/>
      <c r="Q36" s="327"/>
      <c r="R36" s="327"/>
      <c r="S36" s="297"/>
      <c r="T36" s="302">
        <f>SUM(C36:P36)+1</f>
        <v>490572.46784920001</v>
      </c>
      <c r="U36" s="298"/>
      <c r="V36" s="5"/>
    </row>
    <row r="37" spans="1:22" ht="15.6" x14ac:dyDescent="0.3">
      <c r="A37" s="284"/>
      <c r="B37" s="310" t="s">
        <v>136</v>
      </c>
      <c r="C37" s="311"/>
      <c r="D37" s="312">
        <v>0.41507820000000001</v>
      </c>
      <c r="E37" s="313"/>
      <c r="F37" s="312">
        <v>0.4150798</v>
      </c>
      <c r="G37" s="314"/>
      <c r="H37" s="312">
        <v>0.4150798</v>
      </c>
      <c r="I37" s="314"/>
      <c r="J37" s="312">
        <v>0.98445499999999997</v>
      </c>
      <c r="K37" s="314"/>
      <c r="L37" s="312">
        <v>0.98445499999999997</v>
      </c>
      <c r="M37" s="314"/>
      <c r="N37" s="312">
        <v>0.98445499999999997</v>
      </c>
      <c r="O37" s="314"/>
      <c r="P37" s="314"/>
      <c r="Q37" s="315"/>
      <c r="R37" s="315"/>
      <c r="S37" s="316"/>
      <c r="T37" s="316"/>
      <c r="U37" s="317"/>
      <c r="V37" s="5"/>
    </row>
    <row r="38" spans="1:22" ht="15.6" x14ac:dyDescent="0.3">
      <c r="A38" s="284"/>
      <c r="B38" s="310" t="s">
        <v>137</v>
      </c>
      <c r="C38" s="311"/>
      <c r="D38" s="312">
        <v>0.4202921</v>
      </c>
      <c r="E38" s="313"/>
      <c r="F38" s="312">
        <v>0.42029359999999999</v>
      </c>
      <c r="G38" s="314"/>
      <c r="H38" s="312">
        <v>0.42029359999999999</v>
      </c>
      <c r="I38" s="314"/>
      <c r="J38" s="312">
        <v>1</v>
      </c>
      <c r="K38" s="314"/>
      <c r="L38" s="312">
        <v>1</v>
      </c>
      <c r="M38" s="314"/>
      <c r="N38" s="312">
        <v>1</v>
      </c>
      <c r="O38" s="314"/>
      <c r="P38" s="314"/>
      <c r="Q38" s="318"/>
      <c r="R38" s="319"/>
      <c r="S38" s="316"/>
      <c r="T38" s="318"/>
      <c r="U38" s="317"/>
      <c r="V38" s="5"/>
    </row>
    <row r="39" spans="1:22" ht="15.6" x14ac:dyDescent="0.3">
      <c r="A39" s="284"/>
      <c r="B39" s="285" t="s">
        <v>11</v>
      </c>
      <c r="C39" s="285"/>
      <c r="D39" s="293" t="s">
        <v>275</v>
      </c>
      <c r="E39" s="285"/>
      <c r="F39" s="293" t="s">
        <v>232</v>
      </c>
      <c r="G39" s="293"/>
      <c r="H39" s="293" t="s">
        <v>232</v>
      </c>
      <c r="I39" s="293"/>
      <c r="J39" s="293" t="s">
        <v>234</v>
      </c>
      <c r="K39" s="293"/>
      <c r="L39" s="293" t="s">
        <v>234</v>
      </c>
      <c r="M39" s="293"/>
      <c r="N39" s="293" t="s">
        <v>235</v>
      </c>
      <c r="O39" s="293"/>
      <c r="P39" s="293"/>
      <c r="Q39" s="320"/>
      <c r="R39" s="321"/>
      <c r="S39" s="287"/>
      <c r="T39" s="287"/>
      <c r="U39" s="288"/>
      <c r="V39" s="5"/>
    </row>
    <row r="40" spans="1:22" ht="15.6" x14ac:dyDescent="0.3">
      <c r="A40" s="284"/>
      <c r="B40" s="285" t="s">
        <v>12</v>
      </c>
      <c r="C40" s="285"/>
      <c r="D40" s="321">
        <v>3.0655000000000001E-3</v>
      </c>
      <c r="E40" s="285"/>
      <c r="F40" s="321">
        <v>8.2406000000000007E-3</v>
      </c>
      <c r="G40" s="320"/>
      <c r="H40" s="321">
        <v>2.2100000000000002E-3</v>
      </c>
      <c r="I40" s="320"/>
      <c r="J40" s="321">
        <v>1.06406E-2</v>
      </c>
      <c r="K40" s="320"/>
      <c r="L40" s="321">
        <v>4.6100000000000004E-3</v>
      </c>
      <c r="M40" s="320"/>
      <c r="N40" s="321">
        <v>8.8100000000000001E-3</v>
      </c>
      <c r="O40" s="320"/>
      <c r="P40" s="321"/>
      <c r="Q40" s="320"/>
      <c r="R40" s="321"/>
      <c r="S40" s="287"/>
      <c r="T40" s="293"/>
      <c r="U40" s="288"/>
      <c r="V40" s="5"/>
    </row>
    <row r="41" spans="1:22" ht="15.6" x14ac:dyDescent="0.3">
      <c r="A41" s="284"/>
      <c r="B41" s="285" t="s">
        <v>13</v>
      </c>
      <c r="C41" s="285"/>
      <c r="D41" s="321">
        <v>2.8549999999999999E-3</v>
      </c>
      <c r="E41" s="285"/>
      <c r="F41" s="321">
        <v>8.1212999999999997E-3</v>
      </c>
      <c r="G41" s="320"/>
      <c r="H41" s="321">
        <v>2.5100000000000001E-3</v>
      </c>
      <c r="I41" s="320"/>
      <c r="J41" s="321">
        <v>1.0521300000000001E-2</v>
      </c>
      <c r="K41" s="320"/>
      <c r="L41" s="321">
        <v>4.9100000000000003E-3</v>
      </c>
      <c r="M41" s="320"/>
      <c r="N41" s="321">
        <v>9.11E-3</v>
      </c>
      <c r="O41" s="320"/>
      <c r="P41" s="321"/>
      <c r="Q41" s="320"/>
      <c r="R41" s="321"/>
      <c r="S41" s="287"/>
      <c r="T41" s="320" t="s">
        <v>201</v>
      </c>
      <c r="U41" s="288"/>
      <c r="V41" s="5"/>
    </row>
    <row r="42" spans="1:22" ht="15.6" x14ac:dyDescent="0.3">
      <c r="A42" s="284"/>
      <c r="B42" s="285" t="s">
        <v>286</v>
      </c>
      <c r="C42" s="285"/>
      <c r="D42" s="293" t="s">
        <v>231</v>
      </c>
      <c r="E42" s="285"/>
      <c r="F42" s="293" t="s">
        <v>232</v>
      </c>
      <c r="G42" s="293"/>
      <c r="H42" s="293" t="s">
        <v>232</v>
      </c>
      <c r="I42" s="293"/>
      <c r="J42" s="293" t="s">
        <v>234</v>
      </c>
      <c r="K42" s="293"/>
      <c r="L42" s="293" t="s">
        <v>245</v>
      </c>
      <c r="M42" s="293"/>
      <c r="N42" s="293" t="s">
        <v>247</v>
      </c>
      <c r="O42" s="293"/>
      <c r="P42" s="293"/>
      <c r="Q42" s="320"/>
      <c r="R42" s="321"/>
      <c r="S42" s="287"/>
      <c r="T42" s="287"/>
      <c r="U42" s="288"/>
      <c r="V42" s="5"/>
    </row>
    <row r="43" spans="1:22" ht="15.6" x14ac:dyDescent="0.3">
      <c r="A43" s="284"/>
      <c r="B43" s="285" t="s">
        <v>287</v>
      </c>
      <c r="C43" s="322"/>
      <c r="D43" s="321">
        <v>7.0768000000000003E-3</v>
      </c>
      <c r="E43" s="321"/>
      <c r="F43" s="321">
        <f>+F40</f>
        <v>8.2406000000000007E-3</v>
      </c>
      <c r="G43" s="321"/>
      <c r="H43" s="321">
        <v>8.2366000000000002E-3</v>
      </c>
      <c r="I43" s="321"/>
      <c r="J43" s="321">
        <f>+J40</f>
        <v>1.06406E-2</v>
      </c>
      <c r="K43" s="321"/>
      <c r="L43" s="321">
        <v>1.0946600000000001E-2</v>
      </c>
      <c r="M43" s="321"/>
      <c r="N43" s="321">
        <v>1.5650600000000001E-2</v>
      </c>
      <c r="O43" s="320"/>
      <c r="P43" s="321"/>
      <c r="Q43" s="293"/>
      <c r="R43" s="293"/>
      <c r="S43" s="287"/>
      <c r="T43" s="320">
        <f>SUMPRODUCT(D43:N43,D35:N35)/T35</f>
        <v>8.9615159079506294E-3</v>
      </c>
      <c r="U43" s="288"/>
      <c r="V43" s="5"/>
    </row>
    <row r="44" spans="1:22" ht="15.6" x14ac:dyDescent="0.3">
      <c r="A44" s="284"/>
      <c r="B44" s="285" t="s">
        <v>288</v>
      </c>
      <c r="C44" s="322"/>
      <c r="D44" s="321">
        <v>6.9575000000000001E-3</v>
      </c>
      <c r="E44" s="321"/>
      <c r="F44" s="321">
        <f>+F41</f>
        <v>8.1212999999999997E-3</v>
      </c>
      <c r="G44" s="321"/>
      <c r="H44" s="321">
        <v>8.1172999999999992E-3</v>
      </c>
      <c r="I44" s="321"/>
      <c r="J44" s="321">
        <f>+J41</f>
        <v>1.0521300000000001E-2</v>
      </c>
      <c r="K44" s="321"/>
      <c r="L44" s="321">
        <v>1.08273E-2</v>
      </c>
      <c r="M44" s="321"/>
      <c r="N44" s="321">
        <v>1.55313E-2</v>
      </c>
      <c r="O44" s="320"/>
      <c r="P44" s="321"/>
      <c r="Q44" s="293"/>
      <c r="R44" s="293"/>
      <c r="S44" s="287"/>
      <c r="T44" s="287"/>
      <c r="U44" s="288"/>
      <c r="V44" s="5"/>
    </row>
    <row r="45" spans="1:22" ht="15.6" x14ac:dyDescent="0.3">
      <c r="A45" s="284"/>
      <c r="B45" s="285" t="s">
        <v>14</v>
      </c>
      <c r="C45" s="285"/>
      <c r="D45" s="322">
        <v>40283</v>
      </c>
      <c r="E45" s="322"/>
      <c r="F45" s="322">
        <v>40283</v>
      </c>
      <c r="G45" s="322"/>
      <c r="H45" s="322">
        <v>40283</v>
      </c>
      <c r="I45" s="322"/>
      <c r="J45" s="322">
        <v>40283</v>
      </c>
      <c r="K45" s="322"/>
      <c r="L45" s="322">
        <v>40283</v>
      </c>
      <c r="M45" s="322"/>
      <c r="N45" s="322">
        <v>40283</v>
      </c>
      <c r="O45" s="322"/>
      <c r="P45" s="322"/>
      <c r="Q45" s="293"/>
      <c r="R45" s="293"/>
      <c r="S45" s="287"/>
      <c r="T45" s="287"/>
      <c r="U45" s="288"/>
      <c r="V45" s="5"/>
    </row>
    <row r="46" spans="1:22" ht="15.6" x14ac:dyDescent="0.3">
      <c r="A46" s="284"/>
      <c r="B46" s="285" t="s">
        <v>15</v>
      </c>
      <c r="C46" s="285"/>
      <c r="D46" s="322">
        <v>40648</v>
      </c>
      <c r="E46" s="322"/>
      <c r="F46" s="322">
        <v>40648</v>
      </c>
      <c r="G46" s="322"/>
      <c r="H46" s="322">
        <v>40648</v>
      </c>
      <c r="I46" s="293"/>
      <c r="J46" s="322">
        <v>40648</v>
      </c>
      <c r="K46" s="293"/>
      <c r="L46" s="322">
        <v>40648</v>
      </c>
      <c r="M46" s="293"/>
      <c r="N46" s="322">
        <v>40648</v>
      </c>
      <c r="O46" s="293"/>
      <c r="P46" s="322"/>
      <c r="Q46" s="293"/>
      <c r="R46" s="293"/>
      <c r="S46" s="287"/>
      <c r="T46" s="287"/>
      <c r="U46" s="288"/>
      <c r="V46" s="5"/>
    </row>
    <row r="47" spans="1:22" ht="15.6" x14ac:dyDescent="0.3">
      <c r="A47" s="284"/>
      <c r="B47" s="285" t="s">
        <v>125</v>
      </c>
      <c r="C47" s="285"/>
      <c r="D47" s="293" t="s">
        <v>124</v>
      </c>
      <c r="E47" s="285"/>
      <c r="F47" s="293" t="s">
        <v>232</v>
      </c>
      <c r="G47" s="293"/>
      <c r="H47" s="293" t="s">
        <v>232</v>
      </c>
      <c r="I47" s="293"/>
      <c r="J47" s="293" t="s">
        <v>234</v>
      </c>
      <c r="K47" s="293"/>
      <c r="L47" s="293" t="s">
        <v>234</v>
      </c>
      <c r="M47" s="293"/>
      <c r="N47" s="293" t="s">
        <v>235</v>
      </c>
      <c r="O47" s="293"/>
      <c r="P47" s="293"/>
      <c r="Q47" s="324"/>
      <c r="R47" s="324"/>
      <c r="S47" s="324"/>
      <c r="T47" s="324"/>
      <c r="U47" s="288"/>
      <c r="V47" s="5"/>
    </row>
    <row r="48" spans="1:22" ht="15.6" x14ac:dyDescent="0.3">
      <c r="A48" s="284"/>
      <c r="B48" s="285" t="s">
        <v>289</v>
      </c>
      <c r="C48" s="285"/>
      <c r="D48" s="293" t="s">
        <v>208</v>
      </c>
      <c r="E48" s="285"/>
      <c r="F48" s="293" t="s">
        <v>232</v>
      </c>
      <c r="G48" s="293"/>
      <c r="H48" s="293" t="s">
        <v>232</v>
      </c>
      <c r="I48" s="293"/>
      <c r="J48" s="293" t="s">
        <v>234</v>
      </c>
      <c r="K48" s="293"/>
      <c r="L48" s="293" t="s">
        <v>245</v>
      </c>
      <c r="M48" s="293"/>
      <c r="N48" s="293" t="s">
        <v>247</v>
      </c>
      <c r="O48" s="293"/>
      <c r="P48" s="293"/>
      <c r="Q48" s="285"/>
      <c r="R48" s="285"/>
      <c r="S48" s="285"/>
      <c r="T48" s="320"/>
      <c r="U48" s="288"/>
      <c r="V48" s="5"/>
    </row>
    <row r="49" spans="1:23" ht="15.6" x14ac:dyDescent="0.3">
      <c r="A49" s="284"/>
      <c r="B49" s="285"/>
      <c r="C49" s="285"/>
      <c r="D49" s="293"/>
      <c r="E49" s="285"/>
      <c r="F49" s="293"/>
      <c r="G49" s="293"/>
      <c r="H49" s="293"/>
      <c r="I49" s="293"/>
      <c r="J49" s="293"/>
      <c r="K49" s="293"/>
      <c r="L49" s="293"/>
      <c r="M49" s="293"/>
      <c r="N49" s="293"/>
      <c r="O49" s="293"/>
      <c r="P49" s="293"/>
      <c r="Q49" s="285"/>
      <c r="R49" s="285"/>
      <c r="S49" s="285"/>
      <c r="T49" s="320" t="s">
        <v>201</v>
      </c>
      <c r="U49" s="288"/>
      <c r="V49" s="5"/>
    </row>
    <row r="50" spans="1:23" ht="15.6" x14ac:dyDescent="0.3">
      <c r="A50" s="284"/>
      <c r="B50" s="285" t="s">
        <v>176</v>
      </c>
      <c r="C50" s="285"/>
      <c r="D50" s="293"/>
      <c r="E50" s="285"/>
      <c r="F50" s="293"/>
      <c r="G50" s="293"/>
      <c r="H50" s="293"/>
      <c r="I50" s="293"/>
      <c r="J50" s="293"/>
      <c r="K50" s="293"/>
      <c r="L50" s="293"/>
      <c r="M50" s="293"/>
      <c r="N50" s="293"/>
      <c r="O50" s="293"/>
      <c r="P50" s="293"/>
      <c r="Q50" s="285"/>
      <c r="R50" s="285"/>
      <c r="S50" s="285"/>
      <c r="T50" s="320">
        <f>SUM(J34:P34)/SUM(D34:H34)</f>
        <v>0.15279804679664968</v>
      </c>
      <c r="U50" s="288"/>
      <c r="V50" s="5"/>
    </row>
    <row r="51" spans="1:23" ht="15.6" x14ac:dyDescent="0.3">
      <c r="A51" s="284"/>
      <c r="B51" s="285" t="s">
        <v>177</v>
      </c>
      <c r="C51" s="285"/>
      <c r="D51" s="285"/>
      <c r="E51" s="285"/>
      <c r="F51" s="325"/>
      <c r="G51" s="285"/>
      <c r="H51" s="285"/>
      <c r="I51" s="285"/>
      <c r="J51" s="285"/>
      <c r="K51" s="285"/>
      <c r="L51" s="285"/>
      <c r="M51" s="285"/>
      <c r="N51" s="285"/>
      <c r="O51" s="285"/>
      <c r="P51" s="285"/>
      <c r="Q51" s="285"/>
      <c r="R51" s="285"/>
      <c r="S51" s="285"/>
      <c r="T51" s="320">
        <f>SUM(J36:P36)/SUM(D36:H36)</f>
        <v>0.36239580998385501</v>
      </c>
      <c r="U51" s="288"/>
      <c r="V51" s="5"/>
    </row>
    <row r="52" spans="1:23" ht="15.6" x14ac:dyDescent="0.3">
      <c r="A52" s="284"/>
      <c r="B52" s="285" t="s">
        <v>178</v>
      </c>
      <c r="C52" s="285"/>
      <c r="D52" s="285"/>
      <c r="E52" s="285"/>
      <c r="F52" s="285"/>
      <c r="G52" s="285"/>
      <c r="H52" s="285"/>
      <c r="I52" s="285"/>
      <c r="J52" s="285"/>
      <c r="K52" s="285"/>
      <c r="L52" s="285"/>
      <c r="M52" s="285"/>
      <c r="N52" s="285"/>
      <c r="O52" s="285"/>
      <c r="P52" s="285"/>
      <c r="Q52" s="285"/>
      <c r="R52" s="293" t="s">
        <v>109</v>
      </c>
      <c r="S52" s="293" t="s">
        <v>115</v>
      </c>
      <c r="T52" s="296">
        <f>+T34/2-SUM(J34:P34)</f>
        <v>367473</v>
      </c>
      <c r="U52" s="288"/>
      <c r="V52" s="5"/>
    </row>
    <row r="53" spans="1:23" ht="15.6" x14ac:dyDescent="0.3">
      <c r="A53" s="284"/>
      <c r="B53" s="285"/>
      <c r="C53" s="285"/>
      <c r="D53" s="285"/>
      <c r="E53" s="285"/>
      <c r="F53" s="285"/>
      <c r="G53" s="285"/>
      <c r="H53" s="285"/>
      <c r="I53" s="285"/>
      <c r="J53" s="285"/>
      <c r="K53" s="285"/>
      <c r="L53" s="285"/>
      <c r="M53" s="285"/>
      <c r="N53" s="285"/>
      <c r="O53" s="285"/>
      <c r="P53" s="285"/>
      <c r="Q53" s="285"/>
      <c r="R53" s="285"/>
      <c r="S53" s="285"/>
      <c r="T53" s="326"/>
      <c r="U53" s="288"/>
      <c r="V53" s="5"/>
    </row>
    <row r="54" spans="1:23" ht="15.6" x14ac:dyDescent="0.3">
      <c r="A54" s="284"/>
      <c r="B54" s="285" t="s">
        <v>211</v>
      </c>
      <c r="C54" s="285"/>
      <c r="D54" s="285"/>
      <c r="E54" s="285"/>
      <c r="F54" s="285"/>
      <c r="G54" s="285"/>
      <c r="H54" s="285"/>
      <c r="I54" s="285"/>
      <c r="J54" s="285"/>
      <c r="K54" s="285"/>
      <c r="L54" s="285"/>
      <c r="M54" s="285"/>
      <c r="N54" s="285"/>
      <c r="O54" s="285"/>
      <c r="P54" s="285"/>
      <c r="Q54" s="285"/>
      <c r="R54" s="285"/>
      <c r="S54" s="285"/>
      <c r="T54" s="327" t="s">
        <v>212</v>
      </c>
      <c r="U54" s="288"/>
      <c r="V54" s="5"/>
    </row>
    <row r="55" spans="1:23" ht="15.6" x14ac:dyDescent="0.3">
      <c r="A55" s="284"/>
      <c r="B55" s="285" t="s">
        <v>253</v>
      </c>
      <c r="C55" s="285"/>
      <c r="D55" s="285"/>
      <c r="E55" s="285"/>
      <c r="F55" s="285"/>
      <c r="G55" s="285"/>
      <c r="H55" s="285"/>
      <c r="I55" s="285"/>
      <c r="J55" s="285"/>
      <c r="K55" s="285"/>
      <c r="L55" s="285"/>
      <c r="M55" s="285"/>
      <c r="N55" s="285"/>
      <c r="O55" s="285"/>
      <c r="P55" s="285"/>
      <c r="Q55" s="285"/>
      <c r="R55" s="293"/>
      <c r="S55" s="293"/>
      <c r="T55" s="328" t="s">
        <v>117</v>
      </c>
      <c r="U55" s="288"/>
      <c r="V55" s="5"/>
    </row>
    <row r="56" spans="1:23" ht="15.6" x14ac:dyDescent="0.3">
      <c r="A56" s="284"/>
      <c r="B56" s="292" t="s">
        <v>210</v>
      </c>
      <c r="C56" s="292"/>
      <c r="D56" s="292"/>
      <c r="E56" s="292"/>
      <c r="F56" s="292"/>
      <c r="G56" s="292"/>
      <c r="H56" s="292"/>
      <c r="I56" s="292"/>
      <c r="J56" s="292"/>
      <c r="K56" s="292"/>
      <c r="L56" s="292"/>
      <c r="M56" s="292"/>
      <c r="N56" s="292"/>
      <c r="O56" s="292"/>
      <c r="P56" s="292"/>
      <c r="Q56" s="292"/>
      <c r="R56" s="329"/>
      <c r="S56" s="329"/>
      <c r="T56" s="330">
        <v>42292</v>
      </c>
      <c r="U56" s="288"/>
      <c r="V56" s="5"/>
    </row>
    <row r="57" spans="1:23" ht="15.6" x14ac:dyDescent="0.3">
      <c r="A57" s="284"/>
      <c r="B57" s="285" t="s">
        <v>127</v>
      </c>
      <c r="C57" s="285"/>
      <c r="D57" s="285"/>
      <c r="E57" s="285"/>
      <c r="F57" s="285"/>
      <c r="G57" s="285"/>
      <c r="H57" s="331"/>
      <c r="I57" s="331"/>
      <c r="J57" s="331"/>
      <c r="K57" s="331"/>
      <c r="L57" s="331"/>
      <c r="M57" s="331"/>
      <c r="N57" s="331"/>
      <c r="O57" s="331"/>
      <c r="P57" s="285">
        <f>+T57-R57+1</f>
        <v>91</v>
      </c>
      <c r="Q57" s="331"/>
      <c r="R57" s="332">
        <v>42109</v>
      </c>
      <c r="S57" s="333"/>
      <c r="T57" s="332">
        <v>42199</v>
      </c>
      <c r="U57" s="288"/>
      <c r="V57" s="5"/>
    </row>
    <row r="58" spans="1:23" ht="15.6" x14ac:dyDescent="0.3">
      <c r="A58" s="284"/>
      <c r="B58" s="285" t="s">
        <v>128</v>
      </c>
      <c r="C58" s="285"/>
      <c r="D58" s="285"/>
      <c r="E58" s="285"/>
      <c r="F58" s="285"/>
      <c r="G58" s="285"/>
      <c r="H58" s="285"/>
      <c r="I58" s="285"/>
      <c r="J58" s="285"/>
      <c r="K58" s="285"/>
      <c r="L58" s="285"/>
      <c r="M58" s="285"/>
      <c r="N58" s="285"/>
      <c r="O58" s="285"/>
      <c r="P58" s="285">
        <f>+T58-R58+1</f>
        <v>92</v>
      </c>
      <c r="Q58" s="285"/>
      <c r="R58" s="332">
        <v>42200</v>
      </c>
      <c r="S58" s="333"/>
      <c r="T58" s="332">
        <v>42291</v>
      </c>
      <c r="U58" s="288"/>
      <c r="V58" s="5"/>
    </row>
    <row r="59" spans="1:23" ht="15.6" x14ac:dyDescent="0.3">
      <c r="A59" s="284"/>
      <c r="B59" s="285" t="s">
        <v>209</v>
      </c>
      <c r="C59" s="285"/>
      <c r="D59" s="285"/>
      <c r="E59" s="285"/>
      <c r="F59" s="285"/>
      <c r="G59" s="285"/>
      <c r="H59" s="285"/>
      <c r="I59" s="285"/>
      <c r="J59" s="285"/>
      <c r="K59" s="285"/>
      <c r="L59" s="285"/>
      <c r="M59" s="285"/>
      <c r="N59" s="285"/>
      <c r="O59" s="285"/>
      <c r="P59" s="285"/>
      <c r="Q59" s="285"/>
      <c r="R59" s="332"/>
      <c r="S59" s="333"/>
      <c r="T59" s="332" t="s">
        <v>126</v>
      </c>
      <c r="U59" s="288"/>
      <c r="V59" s="5"/>
    </row>
    <row r="60" spans="1:23" ht="15.6" x14ac:dyDescent="0.3">
      <c r="A60" s="284"/>
      <c r="B60" s="285" t="s">
        <v>249</v>
      </c>
      <c r="C60" s="285"/>
      <c r="D60" s="285"/>
      <c r="E60" s="285"/>
      <c r="F60" s="285"/>
      <c r="G60" s="285"/>
      <c r="H60" s="285"/>
      <c r="I60" s="285"/>
      <c r="J60" s="285"/>
      <c r="K60" s="285"/>
      <c r="L60" s="285"/>
      <c r="M60" s="285"/>
      <c r="N60" s="285"/>
      <c r="O60" s="285"/>
      <c r="P60" s="285"/>
      <c r="Q60" s="285"/>
      <c r="R60" s="332"/>
      <c r="S60" s="333"/>
      <c r="T60" s="332" t="s">
        <v>160</v>
      </c>
      <c r="U60" s="288"/>
      <c r="V60" s="5"/>
      <c r="W60" s="134"/>
    </row>
    <row r="61" spans="1:23" ht="15.6" x14ac:dyDescent="0.3">
      <c r="A61" s="284"/>
      <c r="B61" s="285" t="s">
        <v>16</v>
      </c>
      <c r="C61" s="285"/>
      <c r="D61" s="285"/>
      <c r="E61" s="285"/>
      <c r="F61" s="285"/>
      <c r="G61" s="285"/>
      <c r="H61" s="285"/>
      <c r="I61" s="285"/>
      <c r="J61" s="285"/>
      <c r="K61" s="285"/>
      <c r="L61" s="285"/>
      <c r="M61" s="285"/>
      <c r="N61" s="285"/>
      <c r="O61" s="285"/>
      <c r="P61" s="285"/>
      <c r="Q61" s="285"/>
      <c r="R61" s="332"/>
      <c r="S61" s="333"/>
      <c r="T61" s="332">
        <v>42278</v>
      </c>
      <c r="U61" s="288"/>
      <c r="V61" s="5"/>
    </row>
    <row r="62" spans="1:23" ht="15.6" x14ac:dyDescent="0.3">
      <c r="A62" s="175"/>
      <c r="B62" s="281"/>
      <c r="C62" s="281"/>
      <c r="D62" s="281"/>
      <c r="E62" s="281"/>
      <c r="F62" s="281"/>
      <c r="G62" s="281"/>
      <c r="H62" s="281"/>
      <c r="I62" s="281"/>
      <c r="J62" s="281"/>
      <c r="K62" s="281"/>
      <c r="L62" s="281"/>
      <c r="M62" s="281"/>
      <c r="N62" s="281"/>
      <c r="O62" s="281"/>
      <c r="P62" s="281"/>
      <c r="Q62" s="281"/>
      <c r="R62" s="282"/>
      <c r="S62" s="283"/>
      <c r="T62" s="282"/>
      <c r="U62" s="281"/>
      <c r="V62" s="5"/>
    </row>
    <row r="63" spans="1:23" ht="15.6" x14ac:dyDescent="0.3">
      <c r="A63" s="175"/>
      <c r="B63" s="231"/>
      <c r="C63" s="231"/>
      <c r="D63" s="231"/>
      <c r="E63" s="231"/>
      <c r="F63" s="231"/>
      <c r="G63" s="231"/>
      <c r="H63" s="231"/>
      <c r="I63" s="231"/>
      <c r="J63" s="231"/>
      <c r="K63" s="231"/>
      <c r="L63" s="231"/>
      <c r="M63" s="231"/>
      <c r="N63" s="231"/>
      <c r="O63" s="231"/>
      <c r="P63" s="231"/>
      <c r="Q63" s="231"/>
      <c r="R63" s="244"/>
      <c r="S63" s="245"/>
      <c r="T63" s="244"/>
      <c r="U63" s="231"/>
      <c r="V63" s="5"/>
    </row>
    <row r="64" spans="1:23" ht="18" thickBot="1" x14ac:dyDescent="0.35">
      <c r="A64" s="192"/>
      <c r="B64" s="246" t="s">
        <v>335</v>
      </c>
      <c r="C64" s="247"/>
      <c r="D64" s="247"/>
      <c r="E64" s="247"/>
      <c r="F64" s="247"/>
      <c r="G64" s="247"/>
      <c r="H64" s="247"/>
      <c r="I64" s="247"/>
      <c r="J64" s="247"/>
      <c r="K64" s="247"/>
      <c r="L64" s="247"/>
      <c r="M64" s="247"/>
      <c r="N64" s="247"/>
      <c r="O64" s="247"/>
      <c r="P64" s="247"/>
      <c r="Q64" s="247"/>
      <c r="R64" s="247"/>
      <c r="S64" s="247"/>
      <c r="T64" s="248"/>
      <c r="U64" s="249"/>
      <c r="V64" s="5"/>
    </row>
    <row r="65" spans="1:22" ht="15.6" x14ac:dyDescent="0.3">
      <c r="A65" s="222"/>
      <c r="B65" s="395" t="s">
        <v>17</v>
      </c>
      <c r="C65" s="223"/>
      <c r="D65" s="223"/>
      <c r="E65" s="223"/>
      <c r="F65" s="223"/>
      <c r="G65" s="223"/>
      <c r="H65" s="223"/>
      <c r="I65" s="223"/>
      <c r="J65" s="223"/>
      <c r="K65" s="223"/>
      <c r="L65" s="223"/>
      <c r="M65" s="223"/>
      <c r="N65" s="223"/>
      <c r="O65" s="223"/>
      <c r="P65" s="223"/>
      <c r="Q65" s="223"/>
      <c r="R65" s="223"/>
      <c r="S65" s="223"/>
      <c r="T65" s="250"/>
      <c r="U65" s="223"/>
      <c r="V65" s="5"/>
    </row>
    <row r="66" spans="1:22" ht="15.6" x14ac:dyDescent="0.3">
      <c r="A66" s="175"/>
      <c r="B66" s="183"/>
      <c r="C66" s="177"/>
      <c r="D66" s="177"/>
      <c r="E66" s="177"/>
      <c r="F66" s="177"/>
      <c r="G66" s="177"/>
      <c r="H66" s="177"/>
      <c r="I66" s="177"/>
      <c r="J66" s="177"/>
      <c r="K66" s="177"/>
      <c r="L66" s="177"/>
      <c r="M66" s="177"/>
      <c r="N66" s="177"/>
      <c r="O66" s="177"/>
      <c r="P66" s="177"/>
      <c r="Q66" s="177"/>
      <c r="R66" s="177"/>
      <c r="S66" s="177"/>
      <c r="T66" s="194"/>
      <c r="U66" s="177"/>
      <c r="V66" s="5"/>
    </row>
    <row r="67" spans="1:22" ht="46.8" x14ac:dyDescent="0.3">
      <c r="A67" s="175"/>
      <c r="B67" s="195" t="s">
        <v>18</v>
      </c>
      <c r="C67" s="196"/>
      <c r="D67" s="196"/>
      <c r="E67" s="196"/>
      <c r="F67" s="196"/>
      <c r="G67" s="196"/>
      <c r="H67" s="196"/>
      <c r="I67" s="196"/>
      <c r="J67" s="196" t="s">
        <v>97</v>
      </c>
      <c r="K67" s="196"/>
      <c r="L67" s="196" t="s">
        <v>99</v>
      </c>
      <c r="M67" s="196"/>
      <c r="N67" s="196" t="s">
        <v>101</v>
      </c>
      <c r="O67" s="196"/>
      <c r="P67" s="196" t="s">
        <v>103</v>
      </c>
      <c r="Q67" s="196"/>
      <c r="R67" s="196" t="s">
        <v>110</v>
      </c>
      <c r="S67" s="196"/>
      <c r="T67" s="197" t="s">
        <v>118</v>
      </c>
      <c r="U67" s="198"/>
      <c r="V67" s="5"/>
    </row>
    <row r="68" spans="1:22" ht="15.6" x14ac:dyDescent="0.3">
      <c r="A68" s="337"/>
      <c r="B68" s="285" t="s">
        <v>19</v>
      </c>
      <c r="C68" s="338"/>
      <c r="D68" s="338"/>
      <c r="E68" s="338"/>
      <c r="F68" s="338"/>
      <c r="G68" s="338"/>
      <c r="H68" s="338"/>
      <c r="I68" s="338"/>
      <c r="J68" s="338">
        <v>1000039</v>
      </c>
      <c r="K68" s="338"/>
      <c r="L68" s="339">
        <v>497156</v>
      </c>
      <c r="M68" s="338"/>
      <c r="N68" s="338">
        <f>6584+100+233</f>
        <v>6917</v>
      </c>
      <c r="O68" s="338"/>
      <c r="P68" s="338">
        <f>100+233</f>
        <v>333</v>
      </c>
      <c r="Q68" s="338"/>
      <c r="R68" s="338">
        <v>0</v>
      </c>
      <c r="S68" s="338"/>
      <c r="T68" s="339">
        <f>+L68-N68+P68-R68</f>
        <v>490572</v>
      </c>
      <c r="U68" s="288"/>
      <c r="V68" s="5"/>
    </row>
    <row r="69" spans="1:22" ht="15.6" x14ac:dyDescent="0.3">
      <c r="A69" s="337"/>
      <c r="B69" s="285" t="s">
        <v>20</v>
      </c>
      <c r="C69" s="338"/>
      <c r="D69" s="338"/>
      <c r="E69" s="338"/>
      <c r="F69" s="338"/>
      <c r="G69" s="338"/>
      <c r="H69" s="338"/>
      <c r="I69" s="338"/>
      <c r="J69" s="338">
        <v>10</v>
      </c>
      <c r="K69" s="338"/>
      <c r="L69" s="339">
        <v>0</v>
      </c>
      <c r="M69" s="338"/>
      <c r="N69" s="338">
        <v>0</v>
      </c>
      <c r="O69" s="338"/>
      <c r="P69" s="338">
        <v>0</v>
      </c>
      <c r="Q69" s="338"/>
      <c r="R69" s="338">
        <v>0</v>
      </c>
      <c r="S69" s="338"/>
      <c r="T69" s="339">
        <v>0</v>
      </c>
      <c r="U69" s="288"/>
      <c r="V69" s="5"/>
    </row>
    <row r="70" spans="1:22" ht="15.6" x14ac:dyDescent="0.3">
      <c r="A70" s="337"/>
      <c r="B70" s="285"/>
      <c r="C70" s="338"/>
      <c r="D70" s="338"/>
      <c r="E70" s="338"/>
      <c r="F70" s="338"/>
      <c r="G70" s="338"/>
      <c r="H70" s="338"/>
      <c r="I70" s="338"/>
      <c r="J70" s="338"/>
      <c r="K70" s="338"/>
      <c r="L70" s="339"/>
      <c r="M70" s="338"/>
      <c r="N70" s="338"/>
      <c r="O70" s="338"/>
      <c r="P70" s="338"/>
      <c r="Q70" s="338"/>
      <c r="R70" s="338"/>
      <c r="S70" s="338"/>
      <c r="T70" s="339"/>
      <c r="U70" s="288"/>
      <c r="V70" s="5"/>
    </row>
    <row r="71" spans="1:22" ht="15.6" x14ac:dyDescent="0.3">
      <c r="A71" s="337"/>
      <c r="B71" s="285" t="s">
        <v>21</v>
      </c>
      <c r="C71" s="338"/>
      <c r="D71" s="338"/>
      <c r="E71" s="338"/>
      <c r="F71" s="338"/>
      <c r="G71" s="338"/>
      <c r="H71" s="338"/>
      <c r="I71" s="338"/>
      <c r="J71" s="338">
        <f>SUM(J68:J70)</f>
        <v>1000049</v>
      </c>
      <c r="K71" s="338"/>
      <c r="L71" s="338">
        <f>L68+L69</f>
        <v>497156</v>
      </c>
      <c r="M71" s="338"/>
      <c r="N71" s="338">
        <f>SUM(N68:N70)</f>
        <v>6917</v>
      </c>
      <c r="O71" s="338"/>
      <c r="P71" s="338">
        <f>SUM(P68:P70)</f>
        <v>333</v>
      </c>
      <c r="Q71" s="338"/>
      <c r="R71" s="338">
        <f>SUM(R68:R70)</f>
        <v>0</v>
      </c>
      <c r="S71" s="338"/>
      <c r="T71" s="338">
        <f>SUM(T68:T70)</f>
        <v>490572</v>
      </c>
      <c r="U71" s="288"/>
      <c r="V71" s="5"/>
    </row>
    <row r="72" spans="1:22" ht="15.6" x14ac:dyDescent="0.3">
      <c r="A72" s="175"/>
      <c r="B72" s="334"/>
      <c r="C72" s="335"/>
      <c r="D72" s="335"/>
      <c r="E72" s="335"/>
      <c r="F72" s="335"/>
      <c r="G72" s="335"/>
      <c r="H72" s="335"/>
      <c r="I72" s="335"/>
      <c r="J72" s="335"/>
      <c r="K72" s="335"/>
      <c r="L72" s="335"/>
      <c r="M72" s="335"/>
      <c r="N72" s="335"/>
      <c r="O72" s="335"/>
      <c r="P72" s="335"/>
      <c r="Q72" s="335"/>
      <c r="R72" s="335"/>
      <c r="S72" s="335"/>
      <c r="T72" s="336"/>
      <c r="U72" s="334"/>
      <c r="V72" s="5"/>
    </row>
    <row r="73" spans="1:22" ht="15.6" x14ac:dyDescent="0.3">
      <c r="A73" s="175"/>
      <c r="B73" s="179" t="s">
        <v>22</v>
      </c>
      <c r="C73" s="199"/>
      <c r="D73" s="199"/>
      <c r="E73" s="199"/>
      <c r="F73" s="199"/>
      <c r="G73" s="199"/>
      <c r="H73" s="199"/>
      <c r="I73" s="199"/>
      <c r="J73" s="199"/>
      <c r="K73" s="199"/>
      <c r="L73" s="199"/>
      <c r="M73" s="199"/>
      <c r="N73" s="199"/>
      <c r="O73" s="199"/>
      <c r="P73" s="199"/>
      <c r="Q73" s="199"/>
      <c r="R73" s="199"/>
      <c r="S73" s="199"/>
      <c r="T73" s="200"/>
      <c r="U73" s="177"/>
      <c r="V73" s="5"/>
    </row>
    <row r="74" spans="1:22" ht="15.6" x14ac:dyDescent="0.3">
      <c r="A74" s="175"/>
      <c r="B74" s="177"/>
      <c r="C74" s="199"/>
      <c r="D74" s="199"/>
      <c r="E74" s="199"/>
      <c r="F74" s="199"/>
      <c r="G74" s="199"/>
      <c r="H74" s="199"/>
      <c r="I74" s="199"/>
      <c r="J74" s="199"/>
      <c r="K74" s="199"/>
      <c r="L74" s="199"/>
      <c r="M74" s="199"/>
      <c r="N74" s="199"/>
      <c r="O74" s="199"/>
      <c r="P74" s="199"/>
      <c r="Q74" s="199"/>
      <c r="R74" s="199"/>
      <c r="S74" s="199"/>
      <c r="T74" s="200"/>
      <c r="U74" s="177"/>
      <c r="V74" s="5"/>
    </row>
    <row r="75" spans="1:22" ht="15.6" x14ac:dyDescent="0.3">
      <c r="A75" s="284"/>
      <c r="B75" s="285" t="s">
        <v>19</v>
      </c>
      <c r="C75" s="338"/>
      <c r="D75" s="338"/>
      <c r="E75" s="338"/>
      <c r="F75" s="338"/>
      <c r="G75" s="338"/>
      <c r="H75" s="338"/>
      <c r="I75" s="338"/>
      <c r="J75" s="338"/>
      <c r="K75" s="338"/>
      <c r="L75" s="338"/>
      <c r="M75" s="338"/>
      <c r="N75" s="338"/>
      <c r="O75" s="338"/>
      <c r="P75" s="338"/>
      <c r="Q75" s="338"/>
      <c r="R75" s="338"/>
      <c r="S75" s="338"/>
      <c r="T75" s="338"/>
      <c r="U75" s="288"/>
      <c r="V75" s="5"/>
    </row>
    <row r="76" spans="1:22" ht="15.6" x14ac:dyDescent="0.3">
      <c r="A76" s="284"/>
      <c r="B76" s="285" t="s">
        <v>20</v>
      </c>
      <c r="C76" s="338"/>
      <c r="D76" s="338"/>
      <c r="E76" s="338"/>
      <c r="F76" s="338"/>
      <c r="G76" s="338"/>
      <c r="H76" s="338"/>
      <c r="I76" s="338"/>
      <c r="J76" s="338"/>
      <c r="K76" s="338"/>
      <c r="L76" s="338"/>
      <c r="M76" s="338"/>
      <c r="N76" s="338"/>
      <c r="O76" s="338"/>
      <c r="P76" s="338"/>
      <c r="Q76" s="338"/>
      <c r="R76" s="338"/>
      <c r="S76" s="338"/>
      <c r="T76" s="338"/>
      <c r="U76" s="288"/>
      <c r="V76" s="5"/>
    </row>
    <row r="77" spans="1:22" ht="15.6" x14ac:dyDescent="0.3">
      <c r="A77" s="284"/>
      <c r="B77" s="285"/>
      <c r="C77" s="338"/>
      <c r="D77" s="338"/>
      <c r="E77" s="338"/>
      <c r="F77" s="338"/>
      <c r="G77" s="338"/>
      <c r="H77" s="338"/>
      <c r="I77" s="338"/>
      <c r="J77" s="338"/>
      <c r="K77" s="338"/>
      <c r="L77" s="338"/>
      <c r="M77" s="338"/>
      <c r="N77" s="338"/>
      <c r="O77" s="338"/>
      <c r="P77" s="338"/>
      <c r="Q77" s="338"/>
      <c r="R77" s="338"/>
      <c r="S77" s="338"/>
      <c r="T77" s="338"/>
      <c r="U77" s="288"/>
      <c r="V77" s="5"/>
    </row>
    <row r="78" spans="1:22" ht="15.6" x14ac:dyDescent="0.3">
      <c r="A78" s="284"/>
      <c r="B78" s="285" t="s">
        <v>21</v>
      </c>
      <c r="C78" s="338"/>
      <c r="D78" s="338"/>
      <c r="E78" s="338"/>
      <c r="F78" s="338"/>
      <c r="G78" s="338"/>
      <c r="H78" s="338"/>
      <c r="I78" s="338"/>
      <c r="J78" s="338"/>
      <c r="K78" s="338"/>
      <c r="L78" s="338"/>
      <c r="M78" s="338"/>
      <c r="N78" s="338"/>
      <c r="O78" s="338"/>
      <c r="P78" s="338"/>
      <c r="Q78" s="338"/>
      <c r="R78" s="338"/>
      <c r="S78" s="338"/>
      <c r="T78" s="338"/>
      <c r="U78" s="288"/>
      <c r="V78" s="5"/>
    </row>
    <row r="79" spans="1:22" ht="15.6" x14ac:dyDescent="0.3">
      <c r="A79" s="284"/>
      <c r="B79" s="285"/>
      <c r="C79" s="338"/>
      <c r="D79" s="338"/>
      <c r="E79" s="338"/>
      <c r="F79" s="338"/>
      <c r="G79" s="338"/>
      <c r="H79" s="338"/>
      <c r="I79" s="338"/>
      <c r="J79" s="338"/>
      <c r="K79" s="338"/>
      <c r="L79" s="338"/>
      <c r="M79" s="338"/>
      <c r="N79" s="338"/>
      <c r="O79" s="338"/>
      <c r="P79" s="338"/>
      <c r="Q79" s="338"/>
      <c r="R79" s="338"/>
      <c r="S79" s="338"/>
      <c r="T79" s="338"/>
      <c r="U79" s="288"/>
      <c r="V79" s="5"/>
    </row>
    <row r="80" spans="1:22" ht="15.6" x14ac:dyDescent="0.3">
      <c r="A80" s="284"/>
      <c r="B80" s="285" t="s">
        <v>23</v>
      </c>
      <c r="C80" s="338"/>
      <c r="D80" s="338"/>
      <c r="E80" s="338"/>
      <c r="F80" s="338"/>
      <c r="G80" s="338"/>
      <c r="H80" s="338"/>
      <c r="I80" s="338"/>
      <c r="J80" s="338">
        <v>0</v>
      </c>
      <c r="K80" s="338"/>
      <c r="L80" s="338">
        <v>0</v>
      </c>
      <c r="M80" s="338"/>
      <c r="N80" s="338"/>
      <c r="O80" s="338"/>
      <c r="P80" s="338"/>
      <c r="Q80" s="338"/>
      <c r="R80" s="338"/>
      <c r="S80" s="338"/>
      <c r="T80" s="339">
        <v>0</v>
      </c>
      <c r="U80" s="288"/>
      <c r="V80" s="5"/>
    </row>
    <row r="81" spans="1:22" ht="15.6" x14ac:dyDescent="0.3">
      <c r="A81" s="284"/>
      <c r="B81" s="285" t="s">
        <v>123</v>
      </c>
      <c r="C81" s="338"/>
      <c r="D81" s="338"/>
      <c r="E81" s="338"/>
      <c r="F81" s="338"/>
      <c r="G81" s="338"/>
      <c r="H81" s="338"/>
      <c r="I81" s="338"/>
      <c r="J81" s="338">
        <v>0</v>
      </c>
      <c r="K81" s="338"/>
      <c r="L81" s="338">
        <v>0</v>
      </c>
      <c r="M81" s="338"/>
      <c r="N81" s="338"/>
      <c r="O81" s="338"/>
      <c r="P81" s="338"/>
      <c r="Q81" s="338"/>
      <c r="R81" s="338"/>
      <c r="S81" s="338"/>
      <c r="T81" s="338">
        <f>SUM(J81:P81)</f>
        <v>0</v>
      </c>
      <c r="U81" s="288"/>
      <c r="V81" s="5"/>
    </row>
    <row r="82" spans="1:22" ht="15.6" x14ac:dyDescent="0.3">
      <c r="A82" s="284"/>
      <c r="B82" s="285" t="s">
        <v>152</v>
      </c>
      <c r="C82" s="338"/>
      <c r="D82" s="338"/>
      <c r="E82" s="338"/>
      <c r="F82" s="338"/>
      <c r="G82" s="338"/>
      <c r="H82" s="338"/>
      <c r="I82" s="338"/>
      <c r="J82" s="338">
        <v>1</v>
      </c>
      <c r="K82" s="338"/>
      <c r="L82" s="338">
        <v>0</v>
      </c>
      <c r="M82" s="338"/>
      <c r="N82" s="338">
        <v>0</v>
      </c>
      <c r="O82" s="338"/>
      <c r="P82" s="338"/>
      <c r="Q82" s="338"/>
      <c r="R82" s="338"/>
      <c r="S82" s="338"/>
      <c r="T82" s="338">
        <f>+L82+N82</f>
        <v>0</v>
      </c>
      <c r="U82" s="288"/>
      <c r="V82" s="5"/>
    </row>
    <row r="83" spans="1:22" ht="15.6" x14ac:dyDescent="0.3">
      <c r="A83" s="284"/>
      <c r="B83" s="285" t="s">
        <v>25</v>
      </c>
      <c r="C83" s="338"/>
      <c r="D83" s="338"/>
      <c r="E83" s="338"/>
      <c r="F83" s="338"/>
      <c r="G83" s="338"/>
      <c r="H83" s="338"/>
      <c r="I83" s="338"/>
      <c r="J83" s="338">
        <v>0</v>
      </c>
      <c r="K83" s="338"/>
      <c r="L83" s="338">
        <v>0</v>
      </c>
      <c r="M83" s="338"/>
      <c r="N83" s="338"/>
      <c r="O83" s="338"/>
      <c r="P83" s="338"/>
      <c r="Q83" s="338"/>
      <c r="R83" s="338"/>
      <c r="S83" s="338"/>
      <c r="T83" s="338">
        <v>0</v>
      </c>
      <c r="U83" s="288"/>
      <c r="V83" s="5"/>
    </row>
    <row r="84" spans="1:22" ht="15.6" x14ac:dyDescent="0.3">
      <c r="A84" s="284"/>
      <c r="B84" s="285" t="s">
        <v>26</v>
      </c>
      <c r="C84" s="338"/>
      <c r="D84" s="338"/>
      <c r="E84" s="338"/>
      <c r="F84" s="338"/>
      <c r="G84" s="338"/>
      <c r="H84" s="338"/>
      <c r="I84" s="338"/>
      <c r="J84" s="338">
        <f>SUM(J71:J83)</f>
        <v>1000050</v>
      </c>
      <c r="K84" s="338"/>
      <c r="L84" s="338">
        <f>SUM(L71:L83)</f>
        <v>497156</v>
      </c>
      <c r="M84" s="338"/>
      <c r="N84" s="338"/>
      <c r="O84" s="338"/>
      <c r="P84" s="338"/>
      <c r="Q84" s="338"/>
      <c r="R84" s="338"/>
      <c r="S84" s="338"/>
      <c r="T84" s="338">
        <f>SUM(T71:T83)</f>
        <v>490572</v>
      </c>
      <c r="U84" s="288"/>
      <c r="V84" s="5"/>
    </row>
    <row r="85" spans="1:22" ht="15.6" x14ac:dyDescent="0.3">
      <c r="A85" s="175"/>
      <c r="B85" s="334"/>
      <c r="C85" s="335"/>
      <c r="D85" s="335"/>
      <c r="E85" s="335"/>
      <c r="F85" s="335"/>
      <c r="G85" s="335"/>
      <c r="H85" s="335"/>
      <c r="I85" s="335"/>
      <c r="J85" s="335"/>
      <c r="K85" s="335"/>
      <c r="L85" s="335"/>
      <c r="M85" s="335"/>
      <c r="N85" s="335"/>
      <c r="O85" s="335"/>
      <c r="P85" s="335"/>
      <c r="Q85" s="335"/>
      <c r="R85" s="335"/>
      <c r="S85" s="335"/>
      <c r="T85" s="336"/>
      <c r="U85" s="334"/>
      <c r="V85" s="5"/>
    </row>
    <row r="86" spans="1:22" ht="15.6" x14ac:dyDescent="0.3">
      <c r="A86" s="175"/>
      <c r="B86" s="177"/>
      <c r="C86" s="177"/>
      <c r="D86" s="177"/>
      <c r="E86" s="177"/>
      <c r="F86" s="177"/>
      <c r="G86" s="177"/>
      <c r="H86" s="177"/>
      <c r="I86" s="177"/>
      <c r="J86" s="177"/>
      <c r="K86" s="177"/>
      <c r="L86" s="177"/>
      <c r="M86" s="177"/>
      <c r="N86" s="177"/>
      <c r="O86" s="177"/>
      <c r="P86" s="177"/>
      <c r="Q86" s="177"/>
      <c r="R86" s="177"/>
      <c r="S86" s="177"/>
      <c r="T86" s="177"/>
      <c r="U86" s="177"/>
      <c r="V86" s="5"/>
    </row>
    <row r="87" spans="1:22" ht="15.6" x14ac:dyDescent="0.3">
      <c r="A87" s="222"/>
      <c r="B87" s="395" t="s">
        <v>27</v>
      </c>
      <c r="C87" s="395"/>
      <c r="D87" s="395"/>
      <c r="E87" s="395"/>
      <c r="F87" s="395"/>
      <c r="G87" s="395"/>
      <c r="H87" s="396"/>
      <c r="I87" s="396"/>
      <c r="J87" s="397" t="s">
        <v>98</v>
      </c>
      <c r="K87" s="396"/>
      <c r="L87" s="398">
        <f>+R194</f>
        <v>42277</v>
      </c>
      <c r="M87" s="396"/>
      <c r="N87" s="396"/>
      <c r="O87" s="396"/>
      <c r="P87" s="396"/>
      <c r="Q87" s="396"/>
      <c r="R87" s="396" t="s">
        <v>111</v>
      </c>
      <c r="S87" s="396"/>
      <c r="T87" s="396" t="s">
        <v>119</v>
      </c>
      <c r="U87" s="223"/>
      <c r="V87" s="5"/>
    </row>
    <row r="88" spans="1:22" ht="15.6" x14ac:dyDescent="0.3">
      <c r="A88" s="190"/>
      <c r="B88" s="239" t="s">
        <v>28</v>
      </c>
      <c r="C88" s="239"/>
      <c r="D88" s="239"/>
      <c r="E88" s="239"/>
      <c r="F88" s="239"/>
      <c r="G88" s="239"/>
      <c r="H88" s="239"/>
      <c r="I88" s="239"/>
      <c r="J88" s="239"/>
      <c r="K88" s="239"/>
      <c r="L88" s="239"/>
      <c r="M88" s="239"/>
      <c r="N88" s="239"/>
      <c r="O88" s="239"/>
      <c r="P88" s="239"/>
      <c r="Q88" s="239"/>
      <c r="R88" s="243">
        <v>0</v>
      </c>
      <c r="S88" s="239"/>
      <c r="T88" s="251">
        <v>0</v>
      </c>
      <c r="U88" s="239"/>
      <c r="V88" s="5"/>
    </row>
    <row r="89" spans="1:22" ht="15.6" x14ac:dyDescent="0.3">
      <c r="A89" s="284"/>
      <c r="B89" s="285" t="s">
        <v>29</v>
      </c>
      <c r="C89" s="285"/>
      <c r="D89" s="285"/>
      <c r="E89" s="285"/>
      <c r="F89" s="285"/>
      <c r="G89" s="285"/>
      <c r="H89" s="324"/>
      <c r="I89" s="341"/>
      <c r="J89" s="324"/>
      <c r="K89" s="285"/>
      <c r="L89" s="342"/>
      <c r="M89" s="285"/>
      <c r="N89" s="285"/>
      <c r="O89" s="285"/>
      <c r="P89" s="285"/>
      <c r="Q89" s="285"/>
      <c r="R89" s="338">
        <f>6917-53</f>
        <v>6864</v>
      </c>
      <c r="S89" s="285"/>
      <c r="T89" s="339"/>
      <c r="U89" s="288"/>
      <c r="V89" s="5"/>
    </row>
    <row r="90" spans="1:22" ht="15.6" x14ac:dyDescent="0.3">
      <c r="A90" s="284"/>
      <c r="B90" s="285" t="s">
        <v>225</v>
      </c>
      <c r="C90" s="285"/>
      <c r="D90" s="285"/>
      <c r="E90" s="285"/>
      <c r="F90" s="285"/>
      <c r="G90" s="285"/>
      <c r="H90" s="324"/>
      <c r="I90" s="341"/>
      <c r="J90" s="324"/>
      <c r="K90" s="285"/>
      <c r="L90" s="342"/>
      <c r="M90" s="285"/>
      <c r="N90" s="285"/>
      <c r="O90" s="285"/>
      <c r="P90" s="285"/>
      <c r="Q90" s="285"/>
      <c r="R90" s="338"/>
      <c r="S90" s="285"/>
      <c r="T90" s="339">
        <f>1662+2041-366-446</f>
        <v>2891</v>
      </c>
      <c r="U90" s="288"/>
      <c r="V90" s="5"/>
    </row>
    <row r="91" spans="1:22" ht="15.6" x14ac:dyDescent="0.3">
      <c r="A91" s="284"/>
      <c r="B91" s="285" t="s">
        <v>220</v>
      </c>
      <c r="C91" s="285"/>
      <c r="D91" s="285"/>
      <c r="E91" s="285"/>
      <c r="F91" s="285"/>
      <c r="G91" s="285"/>
      <c r="H91" s="324"/>
      <c r="I91" s="341"/>
      <c r="J91" s="324"/>
      <c r="K91" s="285"/>
      <c r="L91" s="342"/>
      <c r="M91" s="285"/>
      <c r="N91" s="285"/>
      <c r="O91" s="285"/>
      <c r="P91" s="285"/>
      <c r="Q91" s="285"/>
      <c r="R91" s="338"/>
      <c r="S91" s="285"/>
      <c r="T91" s="339">
        <f>46+91</f>
        <v>137</v>
      </c>
      <c r="U91" s="288"/>
      <c r="V91" s="5"/>
    </row>
    <row r="92" spans="1:22" ht="15.6" x14ac:dyDescent="0.3">
      <c r="A92" s="284"/>
      <c r="B92" s="285" t="s">
        <v>221</v>
      </c>
      <c r="C92" s="285"/>
      <c r="D92" s="285"/>
      <c r="E92" s="285"/>
      <c r="F92" s="285"/>
      <c r="G92" s="285"/>
      <c r="H92" s="324"/>
      <c r="I92" s="341"/>
      <c r="J92" s="324"/>
      <c r="K92" s="285"/>
      <c r="L92" s="342"/>
      <c r="M92" s="285"/>
      <c r="N92" s="285"/>
      <c r="O92" s="285"/>
      <c r="P92" s="285"/>
      <c r="Q92" s="285"/>
      <c r="R92" s="338"/>
      <c r="S92" s="285"/>
      <c r="T92" s="339">
        <v>32</v>
      </c>
      <c r="U92" s="288"/>
      <c r="V92" s="5"/>
    </row>
    <row r="93" spans="1:22" ht="15.6" x14ac:dyDescent="0.3">
      <c r="A93" s="284"/>
      <c r="B93" s="285" t="s">
        <v>261</v>
      </c>
      <c r="C93" s="285"/>
      <c r="D93" s="285"/>
      <c r="E93" s="285"/>
      <c r="F93" s="285"/>
      <c r="G93" s="285"/>
      <c r="H93" s="324"/>
      <c r="I93" s="341"/>
      <c r="J93" s="324"/>
      <c r="K93" s="285"/>
      <c r="L93" s="342"/>
      <c r="M93" s="285"/>
      <c r="N93" s="285"/>
      <c r="O93" s="285"/>
      <c r="P93" s="285"/>
      <c r="Q93" s="285"/>
      <c r="R93" s="338"/>
      <c r="S93" s="285"/>
      <c r="T93" s="339">
        <v>0</v>
      </c>
      <c r="U93" s="288"/>
      <c r="V93" s="5"/>
    </row>
    <row r="94" spans="1:22" ht="15.6" x14ac:dyDescent="0.3">
      <c r="A94" s="284"/>
      <c r="B94" s="285" t="s">
        <v>141</v>
      </c>
      <c r="C94" s="285"/>
      <c r="D94" s="285"/>
      <c r="E94" s="285"/>
      <c r="F94" s="285"/>
      <c r="G94" s="285"/>
      <c r="H94" s="285"/>
      <c r="I94" s="285"/>
      <c r="J94" s="285"/>
      <c r="K94" s="285"/>
      <c r="L94" s="285"/>
      <c r="M94" s="285"/>
      <c r="N94" s="285"/>
      <c r="O94" s="285"/>
      <c r="P94" s="285"/>
      <c r="Q94" s="285"/>
      <c r="R94" s="338"/>
      <c r="S94" s="285"/>
      <c r="T94" s="339">
        <v>0</v>
      </c>
      <c r="U94" s="288"/>
      <c r="V94" s="5"/>
    </row>
    <row r="95" spans="1:22" ht="15.6" x14ac:dyDescent="0.3">
      <c r="A95" s="284"/>
      <c r="B95" s="285" t="s">
        <v>250</v>
      </c>
      <c r="C95" s="285"/>
      <c r="D95" s="285"/>
      <c r="E95" s="285"/>
      <c r="F95" s="285"/>
      <c r="G95" s="285"/>
      <c r="H95" s="285"/>
      <c r="I95" s="285"/>
      <c r="J95" s="285"/>
      <c r="K95" s="285"/>
      <c r="L95" s="285"/>
      <c r="M95" s="285"/>
      <c r="N95" s="285"/>
      <c r="O95" s="285"/>
      <c r="P95" s="285"/>
      <c r="Q95" s="285"/>
      <c r="R95" s="338"/>
      <c r="S95" s="285"/>
      <c r="T95" s="339">
        <v>165</v>
      </c>
      <c r="U95" s="288"/>
      <c r="V95" s="5"/>
    </row>
    <row r="96" spans="1:22" ht="15.6" x14ac:dyDescent="0.3">
      <c r="A96" s="284"/>
      <c r="B96" s="285" t="s">
        <v>30</v>
      </c>
      <c r="C96" s="285"/>
      <c r="D96" s="285"/>
      <c r="E96" s="285"/>
      <c r="F96" s="285"/>
      <c r="G96" s="285"/>
      <c r="H96" s="285"/>
      <c r="I96" s="285"/>
      <c r="J96" s="285"/>
      <c r="K96" s="285"/>
      <c r="L96" s="285"/>
      <c r="M96" s="285"/>
      <c r="N96" s="285"/>
      <c r="O96" s="285"/>
      <c r="P96" s="285"/>
      <c r="Q96" s="285"/>
      <c r="R96" s="338">
        <f>SUM(R88:R95)</f>
        <v>6864</v>
      </c>
      <c r="S96" s="285"/>
      <c r="T96" s="338">
        <f>SUM(T88:T95)</f>
        <v>3225</v>
      </c>
      <c r="U96" s="288"/>
      <c r="V96" s="5"/>
    </row>
    <row r="97" spans="1:24" ht="15.6" x14ac:dyDescent="0.3">
      <c r="A97" s="284"/>
      <c r="B97" s="285" t="s">
        <v>168</v>
      </c>
      <c r="C97" s="285"/>
      <c r="D97" s="285"/>
      <c r="E97" s="285"/>
      <c r="F97" s="285"/>
      <c r="G97" s="285"/>
      <c r="H97" s="285"/>
      <c r="I97" s="285"/>
      <c r="J97" s="285"/>
      <c r="K97" s="285"/>
      <c r="L97" s="285"/>
      <c r="M97" s="285"/>
      <c r="N97" s="285"/>
      <c r="O97" s="285"/>
      <c r="P97" s="285"/>
      <c r="Q97" s="285"/>
      <c r="R97" s="338">
        <v>0</v>
      </c>
      <c r="S97" s="285"/>
      <c r="T97" s="338">
        <f>-R97</f>
        <v>0</v>
      </c>
      <c r="U97" s="288"/>
      <c r="V97" s="5"/>
    </row>
    <row r="98" spans="1:24" ht="15.6" x14ac:dyDescent="0.3">
      <c r="A98" s="284"/>
      <c r="B98" s="285" t="s">
        <v>31</v>
      </c>
      <c r="C98" s="285"/>
      <c r="D98" s="285"/>
      <c r="E98" s="285"/>
      <c r="F98" s="285"/>
      <c r="G98" s="285"/>
      <c r="H98" s="285"/>
      <c r="I98" s="285"/>
      <c r="J98" s="285"/>
      <c r="K98" s="285"/>
      <c r="L98" s="285"/>
      <c r="M98" s="285"/>
      <c r="N98" s="285"/>
      <c r="O98" s="285"/>
      <c r="P98" s="285"/>
      <c r="Q98" s="285"/>
      <c r="R98" s="338">
        <f>-T98</f>
        <v>0</v>
      </c>
      <c r="S98" s="285"/>
      <c r="T98" s="339">
        <v>0</v>
      </c>
      <c r="U98" s="288"/>
      <c r="V98" s="5"/>
    </row>
    <row r="99" spans="1:24" ht="15.6" x14ac:dyDescent="0.3">
      <c r="A99" s="284"/>
      <c r="B99" s="285" t="s">
        <v>273</v>
      </c>
      <c r="C99" s="285"/>
      <c r="D99" s="285"/>
      <c r="E99" s="285"/>
      <c r="F99" s="285"/>
      <c r="G99" s="285"/>
      <c r="H99" s="285"/>
      <c r="I99" s="285"/>
      <c r="J99" s="285"/>
      <c r="K99" s="285"/>
      <c r="L99" s="285"/>
      <c r="M99" s="285"/>
      <c r="N99" s="285"/>
      <c r="O99" s="285"/>
      <c r="P99" s="285"/>
      <c r="Q99" s="285"/>
      <c r="R99" s="338"/>
      <c r="S99" s="285"/>
      <c r="T99" s="339">
        <v>-41</v>
      </c>
      <c r="U99" s="288"/>
      <c r="V99" s="5"/>
    </row>
    <row r="100" spans="1:24" ht="15.6" x14ac:dyDescent="0.3">
      <c r="A100" s="284"/>
      <c r="B100" s="285" t="s">
        <v>32</v>
      </c>
      <c r="C100" s="285"/>
      <c r="D100" s="285"/>
      <c r="E100" s="285"/>
      <c r="F100" s="285"/>
      <c r="G100" s="285"/>
      <c r="H100" s="285"/>
      <c r="I100" s="285"/>
      <c r="J100" s="285"/>
      <c r="K100" s="285"/>
      <c r="L100" s="285"/>
      <c r="M100" s="285"/>
      <c r="N100" s="285"/>
      <c r="O100" s="285"/>
      <c r="P100" s="285"/>
      <c r="Q100" s="285"/>
      <c r="R100" s="338">
        <f>R96+R98+R97</f>
        <v>6864</v>
      </c>
      <c r="S100" s="285"/>
      <c r="T100" s="338">
        <f>T96+T98+T97+T99</f>
        <v>3184</v>
      </c>
      <c r="U100" s="288"/>
      <c r="V100" s="5"/>
    </row>
    <row r="101" spans="1:24" ht="15.6" x14ac:dyDescent="0.3">
      <c r="A101" s="284"/>
      <c r="B101" s="343" t="s">
        <v>33</v>
      </c>
      <c r="C101" s="311"/>
      <c r="D101" s="311"/>
      <c r="E101" s="311"/>
      <c r="F101" s="311"/>
      <c r="G101" s="311"/>
      <c r="H101" s="311"/>
      <c r="I101" s="311"/>
      <c r="J101" s="311"/>
      <c r="K101" s="311"/>
      <c r="L101" s="311"/>
      <c r="M101" s="311"/>
      <c r="N101" s="311"/>
      <c r="O101" s="311"/>
      <c r="P101" s="311"/>
      <c r="Q101" s="311"/>
      <c r="R101" s="344"/>
      <c r="S101" s="311"/>
      <c r="T101" s="345"/>
      <c r="U101" s="317"/>
      <c r="V101" s="5"/>
    </row>
    <row r="102" spans="1:24" ht="15.6" x14ac:dyDescent="0.3">
      <c r="A102" s="337">
        <v>1</v>
      </c>
      <c r="B102" s="285" t="s">
        <v>34</v>
      </c>
      <c r="C102" s="285"/>
      <c r="D102" s="285"/>
      <c r="E102" s="285"/>
      <c r="F102" s="285"/>
      <c r="G102" s="285"/>
      <c r="H102" s="285"/>
      <c r="I102" s="285"/>
      <c r="J102" s="285"/>
      <c r="K102" s="285"/>
      <c r="L102" s="285"/>
      <c r="M102" s="285"/>
      <c r="N102" s="285"/>
      <c r="O102" s="285"/>
      <c r="P102" s="285"/>
      <c r="Q102" s="285"/>
      <c r="R102" s="285"/>
      <c r="S102" s="285"/>
      <c r="T102" s="339">
        <v>0</v>
      </c>
      <c r="U102" s="288"/>
      <c r="V102" s="5"/>
    </row>
    <row r="103" spans="1:24" ht="15.6" x14ac:dyDescent="0.3">
      <c r="A103" s="337">
        <f>+A102+1</f>
        <v>2</v>
      </c>
      <c r="B103" s="285" t="s">
        <v>312</v>
      </c>
      <c r="C103" s="285"/>
      <c r="D103" s="285"/>
      <c r="E103" s="285"/>
      <c r="F103" s="285"/>
      <c r="G103" s="285"/>
      <c r="H103" s="285"/>
      <c r="I103" s="285"/>
      <c r="J103" s="285"/>
      <c r="K103" s="285"/>
      <c r="L103" s="285"/>
      <c r="M103" s="285"/>
      <c r="N103" s="285"/>
      <c r="O103" s="285"/>
      <c r="P103" s="285"/>
      <c r="Q103" s="285"/>
      <c r="R103" s="285"/>
      <c r="S103" s="285"/>
      <c r="T103" s="339">
        <v>-2</v>
      </c>
      <c r="U103" s="288"/>
      <c r="V103" s="5"/>
    </row>
    <row r="104" spans="1:24" ht="15.6" x14ac:dyDescent="0.3">
      <c r="A104" s="337">
        <f>+A103+1</f>
        <v>3</v>
      </c>
      <c r="B104" s="407" t="s">
        <v>314</v>
      </c>
      <c r="C104" s="285"/>
      <c r="D104" s="285"/>
      <c r="E104" s="285"/>
      <c r="F104" s="285"/>
      <c r="G104" s="285"/>
      <c r="H104" s="285"/>
      <c r="I104" s="285"/>
      <c r="J104" s="285"/>
      <c r="K104" s="285"/>
      <c r="L104" s="285"/>
      <c r="M104" s="285"/>
      <c r="N104" s="285"/>
      <c r="O104" s="285"/>
      <c r="P104" s="285"/>
      <c r="Q104" s="285"/>
      <c r="R104" s="285"/>
      <c r="S104" s="285"/>
      <c r="T104" s="339">
        <f>-191-129-7</f>
        <v>-327</v>
      </c>
      <c r="U104" s="288"/>
      <c r="V104" s="5"/>
    </row>
    <row r="105" spans="1:24" ht="15.6" x14ac:dyDescent="0.3">
      <c r="A105" s="337" t="s">
        <v>133</v>
      </c>
      <c r="B105" s="285" t="s">
        <v>122</v>
      </c>
      <c r="C105" s="285"/>
      <c r="D105" s="285"/>
      <c r="E105" s="285"/>
      <c r="F105" s="285"/>
      <c r="G105" s="285"/>
      <c r="H105" s="285"/>
      <c r="I105" s="285"/>
      <c r="J105" s="285"/>
      <c r="K105" s="285"/>
      <c r="L105" s="285"/>
      <c r="M105" s="285"/>
      <c r="N105" s="285"/>
      <c r="O105" s="285"/>
      <c r="P105" s="285"/>
      <c r="Q105" s="285"/>
      <c r="R105" s="285"/>
      <c r="S105" s="285"/>
      <c r="T105" s="339">
        <v>0</v>
      </c>
      <c r="U105" s="288"/>
      <c r="V105" s="5"/>
    </row>
    <row r="106" spans="1:24" ht="15.6" x14ac:dyDescent="0.3">
      <c r="A106" s="337" t="s">
        <v>134</v>
      </c>
      <c r="B106" s="285" t="s">
        <v>194</v>
      </c>
      <c r="C106" s="285"/>
      <c r="D106" s="285"/>
      <c r="E106" s="285"/>
      <c r="F106" s="285"/>
      <c r="G106" s="285"/>
      <c r="H106" s="285"/>
      <c r="I106" s="285"/>
      <c r="J106" s="285"/>
      <c r="K106" s="285"/>
      <c r="L106" s="285"/>
      <c r="M106" s="285"/>
      <c r="N106" s="285"/>
      <c r="O106" s="285"/>
      <c r="P106" s="285"/>
      <c r="Q106" s="285"/>
      <c r="R106" s="285"/>
      <c r="S106" s="285"/>
      <c r="T106" s="339">
        <f>-687+131</f>
        <v>-556</v>
      </c>
      <c r="U106" s="288"/>
      <c r="V106" s="5"/>
      <c r="W106" s="109"/>
    </row>
    <row r="107" spans="1:24" ht="15.6" x14ac:dyDescent="0.3">
      <c r="A107" s="337" t="s">
        <v>156</v>
      </c>
      <c r="B107" s="285" t="s">
        <v>191</v>
      </c>
      <c r="C107" s="285"/>
      <c r="D107" s="285"/>
      <c r="E107" s="285"/>
      <c r="F107" s="285"/>
      <c r="G107" s="285"/>
      <c r="H107" s="285"/>
      <c r="I107" s="285"/>
      <c r="J107" s="285"/>
      <c r="K107" s="285"/>
      <c r="L107" s="285"/>
      <c r="M107" s="285"/>
      <c r="N107" s="285"/>
      <c r="O107" s="285"/>
      <c r="P107" s="285"/>
      <c r="Q107" s="285"/>
      <c r="R107" s="285"/>
      <c r="S107" s="285"/>
      <c r="T107" s="339">
        <v>-131</v>
      </c>
      <c r="U107" s="288"/>
      <c r="V107" s="5"/>
      <c r="W107" s="109"/>
    </row>
    <row r="108" spans="1:24" ht="15.6" x14ac:dyDescent="0.3">
      <c r="A108" s="337" t="s">
        <v>214</v>
      </c>
      <c r="B108" s="285" t="s">
        <v>192</v>
      </c>
      <c r="C108" s="285"/>
      <c r="D108" s="285"/>
      <c r="E108" s="285"/>
      <c r="F108" s="285"/>
      <c r="G108" s="285"/>
      <c r="H108" s="285"/>
      <c r="I108" s="285"/>
      <c r="J108" s="285"/>
      <c r="K108" s="285"/>
      <c r="L108" s="285"/>
      <c r="M108" s="285"/>
      <c r="N108" s="285"/>
      <c r="O108" s="285"/>
      <c r="P108" s="285"/>
      <c r="Q108" s="285"/>
      <c r="R108" s="285"/>
      <c r="S108" s="285"/>
      <c r="T108" s="339">
        <v>-156</v>
      </c>
      <c r="U108" s="288"/>
      <c r="V108" s="5"/>
      <c r="W108" s="109"/>
      <c r="X108" s="109"/>
    </row>
    <row r="109" spans="1:24" ht="15.6" x14ac:dyDescent="0.3">
      <c r="A109" s="337" t="s">
        <v>215</v>
      </c>
      <c r="B109" s="285" t="s">
        <v>193</v>
      </c>
      <c r="C109" s="285"/>
      <c r="D109" s="285"/>
      <c r="E109" s="285"/>
      <c r="F109" s="285"/>
      <c r="G109" s="285"/>
      <c r="H109" s="285"/>
      <c r="I109" s="285"/>
      <c r="J109" s="285"/>
      <c r="K109" s="285"/>
      <c r="L109" s="285"/>
      <c r="M109" s="285"/>
      <c r="N109" s="285"/>
      <c r="O109" s="285"/>
      <c r="P109" s="285"/>
      <c r="Q109" s="285"/>
      <c r="R109" s="285"/>
      <c r="S109" s="285"/>
      <c r="T109" s="339">
        <v>-43</v>
      </c>
      <c r="U109" s="288"/>
      <c r="V109" s="169"/>
      <c r="W109" s="109"/>
    </row>
    <row r="110" spans="1:24" ht="15.6" x14ac:dyDescent="0.3">
      <c r="A110" s="337" t="s">
        <v>216</v>
      </c>
      <c r="B110" s="285" t="s">
        <v>204</v>
      </c>
      <c r="C110" s="285"/>
      <c r="D110" s="285"/>
      <c r="E110" s="285"/>
      <c r="F110" s="285"/>
      <c r="G110" s="285"/>
      <c r="H110" s="285"/>
      <c r="I110" s="285"/>
      <c r="J110" s="285"/>
      <c r="K110" s="285"/>
      <c r="L110" s="285"/>
      <c r="M110" s="285"/>
      <c r="N110" s="285"/>
      <c r="O110" s="285"/>
      <c r="P110" s="285"/>
      <c r="Q110" s="285"/>
      <c r="R110" s="285"/>
      <c r="S110" s="285"/>
      <c r="T110" s="339">
        <v>-237</v>
      </c>
      <c r="U110" s="288"/>
      <c r="V110" s="5"/>
      <c r="W110" s="109"/>
    </row>
    <row r="111" spans="1:24" ht="15.6" x14ac:dyDescent="0.3">
      <c r="A111" s="406">
        <v>7</v>
      </c>
      <c r="B111" s="407" t="s">
        <v>313</v>
      </c>
      <c r="C111" s="407"/>
      <c r="D111" s="407"/>
      <c r="E111" s="407"/>
      <c r="F111" s="407"/>
      <c r="G111" s="285"/>
      <c r="H111" s="285"/>
      <c r="I111" s="285"/>
      <c r="J111" s="285"/>
      <c r="K111" s="285"/>
      <c r="L111" s="285"/>
      <c r="M111" s="285"/>
      <c r="N111" s="285"/>
      <c r="O111" s="285"/>
      <c r="P111" s="285"/>
      <c r="Q111" s="285"/>
      <c r="R111" s="285"/>
      <c r="S111" s="285"/>
      <c r="T111" s="339">
        <v>0</v>
      </c>
      <c r="U111" s="288"/>
      <c r="V111" s="5"/>
      <c r="W111" s="109"/>
    </row>
    <row r="112" spans="1:24" ht="15.6" x14ac:dyDescent="0.3">
      <c r="A112" s="337">
        <f t="shared" ref="A112:A118" si="0">+A111+1</f>
        <v>8</v>
      </c>
      <c r="B112" s="285" t="s">
        <v>35</v>
      </c>
      <c r="C112" s="285"/>
      <c r="D112" s="285"/>
      <c r="E112" s="285"/>
      <c r="F112" s="285"/>
      <c r="G112" s="285"/>
      <c r="H112" s="285"/>
      <c r="I112" s="285"/>
      <c r="J112" s="285"/>
      <c r="K112" s="285"/>
      <c r="L112" s="285"/>
      <c r="M112" s="285"/>
      <c r="N112" s="285"/>
      <c r="O112" s="285"/>
      <c r="P112" s="285"/>
      <c r="Q112" s="285"/>
      <c r="R112" s="285"/>
      <c r="S112" s="285"/>
      <c r="T112" s="339">
        <v>-10</v>
      </c>
      <c r="U112" s="288"/>
      <c r="V112" s="5"/>
    </row>
    <row r="113" spans="1:22" ht="15.6" x14ac:dyDescent="0.3">
      <c r="A113" s="337">
        <f t="shared" si="0"/>
        <v>9</v>
      </c>
      <c r="B113" s="285" t="s">
        <v>46</v>
      </c>
      <c r="C113" s="285"/>
      <c r="D113" s="285"/>
      <c r="E113" s="285"/>
      <c r="F113" s="285"/>
      <c r="G113" s="285"/>
      <c r="H113" s="285"/>
      <c r="I113" s="285"/>
      <c r="J113" s="285"/>
      <c r="K113" s="285"/>
      <c r="L113" s="285"/>
      <c r="M113" s="285"/>
      <c r="N113" s="285"/>
      <c r="O113" s="285"/>
      <c r="P113" s="285"/>
      <c r="Q113" s="285"/>
      <c r="R113" s="338">
        <f>-T113</f>
        <v>53</v>
      </c>
      <c r="S113" s="285"/>
      <c r="T113" s="339">
        <v>-53</v>
      </c>
      <c r="U113" s="288"/>
      <c r="V113" s="5"/>
    </row>
    <row r="114" spans="1:22" ht="15.6" x14ac:dyDescent="0.3">
      <c r="A114" s="337">
        <f t="shared" si="0"/>
        <v>10</v>
      </c>
      <c r="B114" s="285" t="s">
        <v>131</v>
      </c>
      <c r="C114" s="285"/>
      <c r="D114" s="285"/>
      <c r="E114" s="285"/>
      <c r="F114" s="285"/>
      <c r="G114" s="285"/>
      <c r="H114" s="285"/>
      <c r="I114" s="285"/>
      <c r="J114" s="285"/>
      <c r="K114" s="285"/>
      <c r="L114" s="285"/>
      <c r="M114" s="285"/>
      <c r="N114" s="285"/>
      <c r="O114" s="285"/>
      <c r="P114" s="285"/>
      <c r="Q114" s="285"/>
      <c r="R114" s="285"/>
      <c r="S114" s="285"/>
      <c r="T114" s="339">
        <v>0</v>
      </c>
      <c r="U114" s="288"/>
      <c r="V114" s="5"/>
    </row>
    <row r="115" spans="1:22" ht="15.6" x14ac:dyDescent="0.3">
      <c r="A115" s="337">
        <f t="shared" si="0"/>
        <v>11</v>
      </c>
      <c r="B115" s="285" t="s">
        <v>36</v>
      </c>
      <c r="C115" s="285"/>
      <c r="D115" s="285"/>
      <c r="E115" s="285"/>
      <c r="F115" s="285"/>
      <c r="G115" s="285"/>
      <c r="H115" s="285"/>
      <c r="I115" s="285"/>
      <c r="J115" s="285"/>
      <c r="K115" s="285"/>
      <c r="L115" s="285"/>
      <c r="M115" s="285"/>
      <c r="N115" s="285"/>
      <c r="O115" s="285"/>
      <c r="P115" s="285"/>
      <c r="Q115" s="285"/>
      <c r="R115" s="285"/>
      <c r="S115" s="285"/>
      <c r="T115" s="339">
        <v>0</v>
      </c>
      <c r="U115" s="288"/>
      <c r="V115" s="5"/>
    </row>
    <row r="116" spans="1:22" ht="15.6" x14ac:dyDescent="0.3">
      <c r="A116" s="337">
        <f t="shared" si="0"/>
        <v>12</v>
      </c>
      <c r="B116" s="285" t="s">
        <v>37</v>
      </c>
      <c r="C116" s="285"/>
      <c r="D116" s="285"/>
      <c r="E116" s="285"/>
      <c r="F116" s="285"/>
      <c r="G116" s="285"/>
      <c r="H116" s="285"/>
      <c r="I116" s="285"/>
      <c r="J116" s="285"/>
      <c r="K116" s="285"/>
      <c r="L116" s="285"/>
      <c r="M116" s="285"/>
      <c r="N116" s="285"/>
      <c r="O116" s="285"/>
      <c r="P116" s="285"/>
      <c r="Q116" s="285"/>
      <c r="R116" s="285"/>
      <c r="S116" s="285"/>
      <c r="T116" s="339">
        <v>0</v>
      </c>
      <c r="U116" s="288"/>
      <c r="V116" s="5"/>
    </row>
    <row r="117" spans="1:22" ht="15.6" x14ac:dyDescent="0.3">
      <c r="A117" s="337">
        <f t="shared" si="0"/>
        <v>13</v>
      </c>
      <c r="B117" s="285" t="s">
        <v>155</v>
      </c>
      <c r="C117" s="285"/>
      <c r="D117" s="285"/>
      <c r="E117" s="285"/>
      <c r="F117" s="285"/>
      <c r="G117" s="285"/>
      <c r="H117" s="285"/>
      <c r="I117" s="285"/>
      <c r="J117" s="285"/>
      <c r="K117" s="285"/>
      <c r="L117" s="285"/>
      <c r="M117" s="285"/>
      <c r="N117" s="285"/>
      <c r="O117" s="285"/>
      <c r="P117" s="285"/>
      <c r="Q117" s="285"/>
      <c r="R117" s="285"/>
      <c r="S117" s="285"/>
      <c r="T117" s="339">
        <v>-190</v>
      </c>
      <c r="U117" s="288"/>
      <c r="V117" s="5"/>
    </row>
    <row r="118" spans="1:22" ht="15.6" x14ac:dyDescent="0.3">
      <c r="A118" s="337">
        <f t="shared" si="0"/>
        <v>14</v>
      </c>
      <c r="B118" s="285" t="s">
        <v>132</v>
      </c>
      <c r="C118" s="285"/>
      <c r="D118" s="285"/>
      <c r="E118" s="285"/>
      <c r="F118" s="285"/>
      <c r="G118" s="285"/>
      <c r="H118" s="285"/>
      <c r="I118" s="285"/>
      <c r="J118" s="285"/>
      <c r="K118" s="285"/>
      <c r="L118" s="285"/>
      <c r="M118" s="285"/>
      <c r="N118" s="285"/>
      <c r="O118" s="285"/>
      <c r="P118" s="285"/>
      <c r="Q118" s="285"/>
      <c r="R118" s="285"/>
      <c r="S118" s="285"/>
      <c r="T118" s="339">
        <f>-T100-SUM(T102:T117)</f>
        <v>-1479</v>
      </c>
      <c r="U118" s="288"/>
      <c r="V118" s="5"/>
    </row>
    <row r="119" spans="1:22" ht="15.6" x14ac:dyDescent="0.3">
      <c r="A119" s="284"/>
      <c r="B119" s="343" t="s">
        <v>38</v>
      </c>
      <c r="C119" s="311"/>
      <c r="D119" s="311"/>
      <c r="E119" s="311"/>
      <c r="F119" s="311"/>
      <c r="G119" s="311"/>
      <c r="H119" s="311"/>
      <c r="I119" s="311"/>
      <c r="J119" s="311"/>
      <c r="K119" s="311"/>
      <c r="L119" s="311"/>
      <c r="M119" s="311"/>
      <c r="N119" s="311"/>
      <c r="O119" s="311"/>
      <c r="P119" s="311"/>
      <c r="Q119" s="311"/>
      <c r="R119" s="311"/>
      <c r="S119" s="311"/>
      <c r="T119" s="346"/>
      <c r="U119" s="317"/>
      <c r="V119" s="5"/>
    </row>
    <row r="120" spans="1:22" ht="15.6" x14ac:dyDescent="0.3">
      <c r="A120" s="337"/>
      <c r="B120" s="285" t="s">
        <v>180</v>
      </c>
      <c r="C120" s="285"/>
      <c r="D120" s="285"/>
      <c r="E120" s="285"/>
      <c r="F120" s="285"/>
      <c r="G120" s="285"/>
      <c r="H120" s="285"/>
      <c r="I120" s="285"/>
      <c r="J120" s="285"/>
      <c r="K120" s="285"/>
      <c r="L120" s="285"/>
      <c r="M120" s="285"/>
      <c r="N120" s="285"/>
      <c r="O120" s="285"/>
      <c r="P120" s="285"/>
      <c r="Q120" s="285"/>
      <c r="R120" s="338">
        <f>-R178</f>
        <v>0</v>
      </c>
      <c r="S120" s="338"/>
      <c r="T120" s="339"/>
      <c r="U120" s="288"/>
      <c r="V120" s="5"/>
    </row>
    <row r="121" spans="1:22" ht="15.6" x14ac:dyDescent="0.3">
      <c r="A121" s="337"/>
      <c r="B121" s="285" t="s">
        <v>181</v>
      </c>
      <c r="C121" s="285"/>
      <c r="D121" s="285"/>
      <c r="E121" s="285"/>
      <c r="F121" s="285"/>
      <c r="G121" s="285"/>
      <c r="H121" s="285"/>
      <c r="I121" s="285"/>
      <c r="J121" s="285"/>
      <c r="K121" s="285"/>
      <c r="L121" s="285"/>
      <c r="M121" s="285"/>
      <c r="N121" s="285"/>
      <c r="O121" s="285"/>
      <c r="P121" s="285"/>
      <c r="Q121" s="285"/>
      <c r="R121" s="338">
        <v>0</v>
      </c>
      <c r="S121" s="338"/>
      <c r="T121" s="339"/>
      <c r="U121" s="288"/>
      <c r="V121" s="5"/>
    </row>
    <row r="122" spans="1:22" ht="15.6" x14ac:dyDescent="0.3">
      <c r="A122" s="337"/>
      <c r="B122" s="285" t="s">
        <v>39</v>
      </c>
      <c r="C122" s="285"/>
      <c r="D122" s="285"/>
      <c r="E122" s="285"/>
      <c r="F122" s="285"/>
      <c r="G122" s="285"/>
      <c r="H122" s="285"/>
      <c r="I122" s="285"/>
      <c r="J122" s="285"/>
      <c r="K122" s="285"/>
      <c r="L122" s="285"/>
      <c r="M122" s="285"/>
      <c r="N122" s="285"/>
      <c r="O122" s="285"/>
      <c r="P122" s="285"/>
      <c r="Q122" s="285"/>
      <c r="R122" s="338">
        <f>-Q178</f>
        <v>-333</v>
      </c>
      <c r="S122" s="338"/>
      <c r="T122" s="339"/>
      <c r="U122" s="288"/>
      <c r="V122" s="5"/>
    </row>
    <row r="123" spans="1:22" ht="15.6" x14ac:dyDescent="0.3">
      <c r="A123" s="337"/>
      <c r="B123" s="285" t="s">
        <v>205</v>
      </c>
      <c r="C123" s="285"/>
      <c r="D123" s="285"/>
      <c r="E123" s="285"/>
      <c r="F123" s="285"/>
      <c r="G123" s="285"/>
      <c r="H123" s="285"/>
      <c r="I123" s="285"/>
      <c r="J123" s="285"/>
      <c r="K123" s="285"/>
      <c r="L123" s="285"/>
      <c r="M123" s="285"/>
      <c r="N123" s="285"/>
      <c r="O123" s="285"/>
      <c r="P123" s="285"/>
      <c r="Q123" s="285"/>
      <c r="R123" s="338">
        <v>-2958</v>
      </c>
      <c r="S123" s="338"/>
      <c r="T123" s="339"/>
      <c r="U123" s="288"/>
      <c r="V123" s="5"/>
    </row>
    <row r="124" spans="1:22" ht="15.6" x14ac:dyDescent="0.3">
      <c r="A124" s="337"/>
      <c r="B124" s="285" t="s">
        <v>203</v>
      </c>
      <c r="C124" s="285"/>
      <c r="D124" s="285"/>
      <c r="E124" s="285"/>
      <c r="F124" s="285"/>
      <c r="G124" s="285"/>
      <c r="H124" s="285"/>
      <c r="I124" s="285"/>
      <c r="J124" s="285"/>
      <c r="K124" s="285"/>
      <c r="L124" s="285"/>
      <c r="M124" s="285"/>
      <c r="N124" s="285"/>
      <c r="O124" s="285"/>
      <c r="P124" s="285"/>
      <c r="Q124" s="285"/>
      <c r="R124" s="338">
        <v>-779</v>
      </c>
      <c r="S124" s="338"/>
      <c r="T124" s="339"/>
      <c r="U124" s="288"/>
      <c r="V124" s="5"/>
    </row>
    <row r="125" spans="1:22" ht="15.6" x14ac:dyDescent="0.3">
      <c r="A125" s="337"/>
      <c r="B125" s="285" t="s">
        <v>202</v>
      </c>
      <c r="C125" s="285"/>
      <c r="D125" s="285"/>
      <c r="E125" s="285"/>
      <c r="F125" s="285"/>
      <c r="G125" s="285"/>
      <c r="H125" s="285"/>
      <c r="I125" s="285"/>
      <c r="J125" s="285"/>
      <c r="K125" s="285"/>
      <c r="L125" s="285"/>
      <c r="M125" s="285"/>
      <c r="N125" s="285"/>
      <c r="O125" s="285"/>
      <c r="P125" s="285"/>
      <c r="Q125" s="285"/>
      <c r="R125" s="338">
        <v>-786</v>
      </c>
      <c r="S125" s="338"/>
      <c r="T125" s="339"/>
      <c r="U125" s="288"/>
      <c r="V125" s="5"/>
    </row>
    <row r="126" spans="1:22" ht="15.6" x14ac:dyDescent="0.3">
      <c r="A126" s="337"/>
      <c r="B126" s="285" t="s">
        <v>197</v>
      </c>
      <c r="C126" s="285"/>
      <c r="D126" s="285"/>
      <c r="E126" s="285"/>
      <c r="F126" s="285"/>
      <c r="G126" s="285"/>
      <c r="H126" s="285"/>
      <c r="I126" s="285"/>
      <c r="J126" s="285"/>
      <c r="K126" s="285"/>
      <c r="L126" s="285"/>
      <c r="M126" s="285"/>
      <c r="N126" s="285"/>
      <c r="O126" s="285"/>
      <c r="P126" s="285"/>
      <c r="Q126" s="285"/>
      <c r="R126" s="338">
        <v>-249</v>
      </c>
      <c r="S126" s="338"/>
      <c r="T126" s="339"/>
      <c r="U126" s="288"/>
      <c r="V126" s="5"/>
    </row>
    <row r="127" spans="1:22" ht="15.6" x14ac:dyDescent="0.3">
      <c r="A127" s="337"/>
      <c r="B127" s="285" t="s">
        <v>196</v>
      </c>
      <c r="C127" s="285"/>
      <c r="D127" s="285"/>
      <c r="E127" s="285"/>
      <c r="F127" s="285"/>
      <c r="G127" s="285"/>
      <c r="H127" s="285"/>
      <c r="I127" s="285"/>
      <c r="J127" s="285"/>
      <c r="K127" s="285"/>
      <c r="L127" s="285"/>
      <c r="M127" s="285"/>
      <c r="N127" s="285"/>
      <c r="O127" s="285"/>
      <c r="P127" s="285"/>
      <c r="Q127" s="285"/>
      <c r="R127" s="338">
        <v>-879</v>
      </c>
      <c r="S127" s="338"/>
      <c r="T127" s="339"/>
      <c r="U127" s="288"/>
      <c r="V127" s="5"/>
    </row>
    <row r="128" spans="1:22" ht="15.6" x14ac:dyDescent="0.3">
      <c r="A128" s="337"/>
      <c r="B128" s="285" t="s">
        <v>195</v>
      </c>
      <c r="C128" s="285"/>
      <c r="D128" s="285"/>
      <c r="E128" s="285"/>
      <c r="F128" s="285"/>
      <c r="G128" s="285"/>
      <c r="H128" s="285"/>
      <c r="I128" s="285"/>
      <c r="J128" s="285"/>
      <c r="K128" s="285"/>
      <c r="L128" s="285"/>
      <c r="M128" s="285"/>
      <c r="N128" s="285"/>
      <c r="O128" s="285"/>
      <c r="P128" s="285"/>
      <c r="Q128" s="285"/>
      <c r="R128" s="338">
        <v>-933</v>
      </c>
      <c r="S128" s="338"/>
      <c r="T128" s="339"/>
      <c r="U128" s="288"/>
      <c r="V128" s="5"/>
    </row>
    <row r="129" spans="1:22" ht="15.6" x14ac:dyDescent="0.3">
      <c r="A129" s="337"/>
      <c r="B129" s="285" t="s">
        <v>40</v>
      </c>
      <c r="C129" s="285"/>
      <c r="D129" s="285"/>
      <c r="E129" s="285"/>
      <c r="F129" s="285"/>
      <c r="G129" s="285"/>
      <c r="H129" s="285"/>
      <c r="I129" s="285"/>
      <c r="J129" s="285"/>
      <c r="K129" s="285"/>
      <c r="L129" s="285"/>
      <c r="M129" s="285"/>
      <c r="N129" s="285"/>
      <c r="O129" s="285"/>
      <c r="P129" s="285"/>
      <c r="Q129" s="285"/>
      <c r="R129" s="338">
        <f>SUM(R120:R128)</f>
        <v>-6917</v>
      </c>
      <c r="S129" s="338"/>
      <c r="T129" s="338">
        <f>SUM(T101:T127)</f>
        <v>-3184</v>
      </c>
      <c r="U129" s="288"/>
      <c r="V129" s="5"/>
    </row>
    <row r="130" spans="1:22" ht="15.6" x14ac:dyDescent="0.3">
      <c r="A130" s="337"/>
      <c r="B130" s="285" t="s">
        <v>41</v>
      </c>
      <c r="C130" s="285"/>
      <c r="D130" s="285"/>
      <c r="E130" s="285"/>
      <c r="F130" s="285"/>
      <c r="G130" s="285"/>
      <c r="H130" s="285"/>
      <c r="I130" s="285"/>
      <c r="J130" s="285"/>
      <c r="K130" s="285"/>
      <c r="L130" s="285"/>
      <c r="M130" s="285"/>
      <c r="N130" s="285"/>
      <c r="O130" s="285"/>
      <c r="P130" s="285"/>
      <c r="Q130" s="285"/>
      <c r="R130" s="338">
        <f>R100+R129+R113</f>
        <v>0</v>
      </c>
      <c r="S130" s="338"/>
      <c r="T130" s="338">
        <f>T100+T129</f>
        <v>0</v>
      </c>
      <c r="U130" s="288"/>
      <c r="V130" s="5"/>
    </row>
    <row r="131" spans="1:22" ht="15.6" x14ac:dyDescent="0.3">
      <c r="A131" s="256"/>
      <c r="B131" s="281"/>
      <c r="C131" s="281"/>
      <c r="D131" s="281"/>
      <c r="E131" s="281"/>
      <c r="F131" s="281"/>
      <c r="G131" s="281"/>
      <c r="H131" s="281"/>
      <c r="I131" s="281"/>
      <c r="J131" s="281"/>
      <c r="K131" s="281"/>
      <c r="L131" s="281"/>
      <c r="M131" s="281"/>
      <c r="N131" s="281"/>
      <c r="O131" s="281"/>
      <c r="P131" s="281"/>
      <c r="Q131" s="281"/>
      <c r="R131" s="340"/>
      <c r="S131" s="340"/>
      <c r="T131" s="340"/>
      <c r="U131" s="281"/>
      <c r="V131" s="5"/>
    </row>
    <row r="132" spans="1:22" ht="15.6" x14ac:dyDescent="0.3">
      <c r="A132" s="256"/>
      <c r="B132" s="231"/>
      <c r="C132" s="231"/>
      <c r="D132" s="231"/>
      <c r="E132" s="231"/>
      <c r="F132" s="231"/>
      <c r="G132" s="231"/>
      <c r="H132" s="231"/>
      <c r="I132" s="231"/>
      <c r="J132" s="231"/>
      <c r="K132" s="231"/>
      <c r="L132" s="231"/>
      <c r="M132" s="231"/>
      <c r="N132" s="231"/>
      <c r="O132" s="231"/>
      <c r="P132" s="231"/>
      <c r="Q132" s="231"/>
      <c r="R132" s="231"/>
      <c r="S132" s="231"/>
      <c r="T132" s="257"/>
      <c r="U132" s="231"/>
      <c r="V132" s="5"/>
    </row>
    <row r="133" spans="1:22" ht="18" thickBot="1" x14ac:dyDescent="0.35">
      <c r="A133" s="258"/>
      <c r="B133" s="246" t="str">
        <f>B64</f>
        <v>PM11 INVESTOR REPORT QUARTER ENDING SEPTEMBER 2015</v>
      </c>
      <c r="C133" s="247"/>
      <c r="D133" s="247"/>
      <c r="E133" s="247"/>
      <c r="F133" s="247"/>
      <c r="G133" s="247"/>
      <c r="H133" s="247"/>
      <c r="I133" s="247"/>
      <c r="J133" s="247"/>
      <c r="K133" s="247"/>
      <c r="L133" s="247"/>
      <c r="M133" s="247"/>
      <c r="N133" s="247"/>
      <c r="O133" s="247"/>
      <c r="P133" s="247"/>
      <c r="Q133" s="247"/>
      <c r="R133" s="247"/>
      <c r="S133" s="247"/>
      <c r="T133" s="259"/>
      <c r="U133" s="249"/>
      <c r="V133" s="5"/>
    </row>
    <row r="134" spans="1:22" ht="15.6" x14ac:dyDescent="0.3">
      <c r="A134" s="260"/>
      <c r="B134" s="399" t="s">
        <v>42</v>
      </c>
      <c r="C134" s="261"/>
      <c r="D134" s="261"/>
      <c r="E134" s="261"/>
      <c r="F134" s="261"/>
      <c r="G134" s="261"/>
      <c r="H134" s="261"/>
      <c r="I134" s="261"/>
      <c r="J134" s="261"/>
      <c r="K134" s="261"/>
      <c r="L134" s="261"/>
      <c r="M134" s="261"/>
      <c r="N134" s="261"/>
      <c r="O134" s="261"/>
      <c r="P134" s="261"/>
      <c r="Q134" s="261"/>
      <c r="R134" s="261"/>
      <c r="S134" s="261"/>
      <c r="T134" s="262"/>
      <c r="U134" s="261"/>
      <c r="V134" s="5"/>
    </row>
    <row r="135" spans="1:22" ht="15.6" x14ac:dyDescent="0.3">
      <c r="A135" s="175"/>
      <c r="B135" s="187"/>
      <c r="C135" s="177"/>
      <c r="D135" s="177"/>
      <c r="E135" s="177"/>
      <c r="F135" s="177"/>
      <c r="G135" s="177"/>
      <c r="H135" s="177"/>
      <c r="I135" s="177"/>
      <c r="J135" s="177"/>
      <c r="K135" s="177"/>
      <c r="L135" s="177"/>
      <c r="M135" s="177"/>
      <c r="N135" s="177"/>
      <c r="O135" s="177"/>
      <c r="P135" s="177"/>
      <c r="Q135" s="177"/>
      <c r="R135" s="177"/>
      <c r="S135" s="177"/>
      <c r="T135" s="194"/>
      <c r="U135" s="177"/>
      <c r="V135" s="5"/>
    </row>
    <row r="136" spans="1:22" ht="15.6" x14ac:dyDescent="0.3">
      <c r="A136" s="175"/>
      <c r="B136" s="201" t="s">
        <v>43</v>
      </c>
      <c r="C136" s="177"/>
      <c r="D136" s="177"/>
      <c r="E136" s="177"/>
      <c r="F136" s="177"/>
      <c r="G136" s="177"/>
      <c r="H136" s="177"/>
      <c r="I136" s="177"/>
      <c r="J136" s="177"/>
      <c r="K136" s="177"/>
      <c r="L136" s="177"/>
      <c r="M136" s="177"/>
      <c r="N136" s="177"/>
      <c r="O136" s="177"/>
      <c r="P136" s="177"/>
      <c r="Q136" s="177"/>
      <c r="R136" s="177"/>
      <c r="S136" s="177"/>
      <c r="T136" s="194"/>
      <c r="U136" s="177"/>
      <c r="V136" s="5"/>
    </row>
    <row r="137" spans="1:22" ht="15.6" x14ac:dyDescent="0.3">
      <c r="A137" s="284"/>
      <c r="B137" s="285" t="s">
        <v>44</v>
      </c>
      <c r="C137" s="285"/>
      <c r="D137" s="285"/>
      <c r="E137" s="285"/>
      <c r="F137" s="285"/>
      <c r="G137" s="285"/>
      <c r="H137" s="285"/>
      <c r="I137" s="285"/>
      <c r="J137" s="285"/>
      <c r="K137" s="285"/>
      <c r="L137" s="285"/>
      <c r="M137" s="285"/>
      <c r="N137" s="285"/>
      <c r="O137" s="285"/>
      <c r="P137" s="285"/>
      <c r="Q137" s="285"/>
      <c r="R137" s="285"/>
      <c r="S137" s="285"/>
      <c r="T137" s="339">
        <f>+T34*0.019</f>
        <v>19000.95</v>
      </c>
      <c r="U137" s="288"/>
      <c r="V137" s="5"/>
    </row>
    <row r="138" spans="1:22" ht="15.6" x14ac:dyDescent="0.3">
      <c r="A138" s="284"/>
      <c r="B138" s="285" t="s">
        <v>45</v>
      </c>
      <c r="C138" s="285"/>
      <c r="D138" s="285"/>
      <c r="E138" s="285"/>
      <c r="F138" s="285"/>
      <c r="G138" s="285"/>
      <c r="H138" s="285"/>
      <c r="I138" s="285"/>
      <c r="J138" s="285"/>
      <c r="K138" s="285"/>
      <c r="L138" s="285"/>
      <c r="M138" s="285"/>
      <c r="N138" s="285"/>
      <c r="O138" s="285"/>
      <c r="P138" s="285"/>
      <c r="Q138" s="285"/>
      <c r="R138" s="285"/>
      <c r="S138" s="285"/>
      <c r="T138" s="339">
        <v>19001</v>
      </c>
      <c r="U138" s="288"/>
      <c r="V138" s="5"/>
    </row>
    <row r="139" spans="1:22" ht="15.6" x14ac:dyDescent="0.3">
      <c r="A139" s="284"/>
      <c r="B139" s="285" t="s">
        <v>142</v>
      </c>
      <c r="C139" s="285"/>
      <c r="D139" s="285"/>
      <c r="E139" s="285"/>
      <c r="F139" s="285"/>
      <c r="G139" s="285"/>
      <c r="H139" s="285"/>
      <c r="I139" s="285"/>
      <c r="J139" s="285"/>
      <c r="K139" s="285"/>
      <c r="L139" s="285"/>
      <c r="M139" s="285"/>
      <c r="N139" s="285"/>
      <c r="O139" s="285"/>
      <c r="P139" s="285"/>
      <c r="Q139" s="285"/>
      <c r="R139" s="285"/>
      <c r="S139" s="285"/>
      <c r="T139" s="339">
        <v>0</v>
      </c>
      <c r="U139" s="288"/>
      <c r="V139" s="5"/>
    </row>
    <row r="140" spans="1:22" ht="15.6" x14ac:dyDescent="0.3">
      <c r="A140" s="284"/>
      <c r="B140" s="285" t="s">
        <v>129</v>
      </c>
      <c r="C140" s="285"/>
      <c r="D140" s="285"/>
      <c r="E140" s="285"/>
      <c r="F140" s="285"/>
      <c r="G140" s="285"/>
      <c r="H140" s="285"/>
      <c r="I140" s="285"/>
      <c r="J140" s="285"/>
      <c r="K140" s="285"/>
      <c r="L140" s="285"/>
      <c r="M140" s="285"/>
      <c r="N140" s="285"/>
      <c r="O140" s="285"/>
      <c r="P140" s="285"/>
      <c r="Q140" s="285"/>
      <c r="R140" s="285"/>
      <c r="S140" s="285"/>
      <c r="T140" s="339">
        <v>0</v>
      </c>
      <c r="U140" s="288"/>
      <c r="V140" s="5"/>
    </row>
    <row r="141" spans="1:22" ht="15.6" x14ac:dyDescent="0.3">
      <c r="A141" s="284"/>
      <c r="B141" s="285" t="s">
        <v>130</v>
      </c>
      <c r="C141" s="285"/>
      <c r="D141" s="285"/>
      <c r="E141" s="285"/>
      <c r="F141" s="285"/>
      <c r="G141" s="285"/>
      <c r="H141" s="285"/>
      <c r="I141" s="285"/>
      <c r="J141" s="285"/>
      <c r="K141" s="285"/>
      <c r="L141" s="285"/>
      <c r="M141" s="285"/>
      <c r="N141" s="285"/>
      <c r="O141" s="285"/>
      <c r="P141" s="285"/>
      <c r="Q141" s="285"/>
      <c r="R141" s="285"/>
      <c r="S141" s="285"/>
      <c r="T141" s="339">
        <v>0</v>
      </c>
      <c r="U141" s="288"/>
      <c r="V141" s="5"/>
    </row>
    <row r="142" spans="1:22" ht="15.6" x14ac:dyDescent="0.3">
      <c r="A142" s="284"/>
      <c r="B142" s="285" t="s">
        <v>182</v>
      </c>
      <c r="C142" s="285"/>
      <c r="D142" s="285"/>
      <c r="E142" s="285"/>
      <c r="F142" s="285"/>
      <c r="G142" s="285"/>
      <c r="H142" s="285"/>
      <c r="I142" s="285"/>
      <c r="J142" s="285"/>
      <c r="K142" s="285"/>
      <c r="L142" s="285"/>
      <c r="M142" s="285"/>
      <c r="N142" s="285"/>
      <c r="O142" s="285"/>
      <c r="P142" s="285"/>
      <c r="Q142" s="285"/>
      <c r="R142" s="285"/>
      <c r="S142" s="285"/>
      <c r="T142" s="339">
        <v>0</v>
      </c>
      <c r="U142" s="288"/>
      <c r="V142" s="5"/>
    </row>
    <row r="143" spans="1:22" ht="15.6" x14ac:dyDescent="0.3">
      <c r="A143" s="284"/>
      <c r="B143" s="285" t="s">
        <v>46</v>
      </c>
      <c r="C143" s="285"/>
      <c r="D143" s="285"/>
      <c r="E143" s="285"/>
      <c r="F143" s="285"/>
      <c r="G143" s="285"/>
      <c r="H143" s="285"/>
      <c r="I143" s="285"/>
      <c r="J143" s="285"/>
      <c r="K143" s="285"/>
      <c r="L143" s="285"/>
      <c r="M143" s="285"/>
      <c r="N143" s="285"/>
      <c r="O143" s="285"/>
      <c r="P143" s="285"/>
      <c r="Q143" s="285"/>
      <c r="R143" s="285"/>
      <c r="S143" s="285"/>
      <c r="T143" s="339">
        <v>0</v>
      </c>
      <c r="U143" s="288"/>
      <c r="V143" s="5"/>
    </row>
    <row r="144" spans="1:22" ht="15.6" x14ac:dyDescent="0.3">
      <c r="A144" s="284"/>
      <c r="B144" s="285" t="s">
        <v>135</v>
      </c>
      <c r="C144" s="285"/>
      <c r="D144" s="285"/>
      <c r="E144" s="285"/>
      <c r="F144" s="285"/>
      <c r="G144" s="285"/>
      <c r="H144" s="285"/>
      <c r="I144" s="285"/>
      <c r="J144" s="285"/>
      <c r="K144" s="285"/>
      <c r="L144" s="285"/>
      <c r="M144" s="285"/>
      <c r="N144" s="285"/>
      <c r="O144" s="285"/>
      <c r="P144" s="285"/>
      <c r="Q144" s="285"/>
      <c r="R144" s="285"/>
      <c r="S144" s="285"/>
      <c r="T144" s="339">
        <v>0</v>
      </c>
      <c r="U144" s="288"/>
      <c r="V144" s="5"/>
    </row>
    <row r="145" spans="1:23" ht="15.6" x14ac:dyDescent="0.3">
      <c r="A145" s="284"/>
      <c r="B145" s="285" t="s">
        <v>251</v>
      </c>
      <c r="C145" s="285"/>
      <c r="D145" s="285"/>
      <c r="E145" s="285"/>
      <c r="F145" s="285"/>
      <c r="G145" s="285"/>
      <c r="H145" s="285"/>
      <c r="I145" s="285"/>
      <c r="J145" s="285"/>
      <c r="K145" s="285"/>
      <c r="L145" s="285"/>
      <c r="M145" s="285"/>
      <c r="N145" s="285"/>
      <c r="O145" s="285"/>
      <c r="P145" s="285"/>
      <c r="Q145" s="285"/>
      <c r="R145" s="285"/>
      <c r="S145" s="285"/>
      <c r="T145" s="339">
        <v>0</v>
      </c>
      <c r="U145" s="288"/>
      <c r="V145" s="5"/>
      <c r="W145" s="109"/>
    </row>
    <row r="146" spans="1:23" ht="15.6" x14ac:dyDescent="0.3">
      <c r="A146" s="284"/>
      <c r="B146" s="285" t="s">
        <v>47</v>
      </c>
      <c r="C146" s="285"/>
      <c r="D146" s="285"/>
      <c r="E146" s="285"/>
      <c r="F146" s="285"/>
      <c r="G146" s="285"/>
      <c r="H146" s="285"/>
      <c r="I146" s="285"/>
      <c r="J146" s="285"/>
      <c r="K146" s="285"/>
      <c r="L146" s="285"/>
      <c r="M146" s="285"/>
      <c r="N146" s="285"/>
      <c r="O146" s="285"/>
      <c r="P146" s="285"/>
      <c r="Q146" s="285"/>
      <c r="R146" s="285"/>
      <c r="S146" s="285"/>
      <c r="T146" s="339">
        <f>SUM(T138:T145)</f>
        <v>19001</v>
      </c>
      <c r="U146" s="288"/>
      <c r="V146" s="5"/>
    </row>
    <row r="147" spans="1:23" ht="15.6" x14ac:dyDescent="0.3">
      <c r="A147" s="284"/>
      <c r="B147" s="311"/>
      <c r="C147" s="311"/>
      <c r="D147" s="311"/>
      <c r="E147" s="311"/>
      <c r="F147" s="311"/>
      <c r="G147" s="311"/>
      <c r="H147" s="311"/>
      <c r="I147" s="311"/>
      <c r="J147" s="311"/>
      <c r="K147" s="311"/>
      <c r="L147" s="311"/>
      <c r="M147" s="311"/>
      <c r="N147" s="311"/>
      <c r="O147" s="311"/>
      <c r="P147" s="311"/>
      <c r="Q147" s="311"/>
      <c r="R147" s="311"/>
      <c r="S147" s="311"/>
      <c r="T147" s="345"/>
      <c r="U147" s="317"/>
      <c r="V147" s="5"/>
    </row>
    <row r="148" spans="1:23" ht="15.6" x14ac:dyDescent="0.3">
      <c r="A148" s="284"/>
      <c r="B148" s="343" t="s">
        <v>262</v>
      </c>
      <c r="C148" s="311"/>
      <c r="D148" s="311"/>
      <c r="E148" s="311"/>
      <c r="F148" s="311"/>
      <c r="G148" s="311"/>
      <c r="H148" s="311"/>
      <c r="I148" s="311"/>
      <c r="J148" s="311"/>
      <c r="K148" s="311"/>
      <c r="L148" s="311"/>
      <c r="M148" s="311"/>
      <c r="N148" s="311"/>
      <c r="O148" s="311"/>
      <c r="P148" s="311"/>
      <c r="Q148" s="311"/>
      <c r="R148" s="311"/>
      <c r="S148" s="311"/>
      <c r="T148" s="345"/>
      <c r="U148" s="317"/>
      <c r="V148" s="5"/>
    </row>
    <row r="149" spans="1:23" ht="15.6" x14ac:dyDescent="0.3">
      <c r="A149" s="284"/>
      <c r="B149" s="285" t="s">
        <v>263</v>
      </c>
      <c r="C149" s="285"/>
      <c r="D149" s="285"/>
      <c r="E149" s="285"/>
      <c r="F149" s="285"/>
      <c r="G149" s="285"/>
      <c r="H149" s="285"/>
      <c r="I149" s="285"/>
      <c r="J149" s="285"/>
      <c r="K149" s="285"/>
      <c r="L149" s="285"/>
      <c r="M149" s="285"/>
      <c r="N149" s="285"/>
      <c r="O149" s="285"/>
      <c r="P149" s="285"/>
      <c r="Q149" s="285"/>
      <c r="R149" s="285"/>
      <c r="S149" s="285"/>
      <c r="T149" s="339">
        <v>0</v>
      </c>
      <c r="U149" s="288"/>
      <c r="V149" s="5"/>
    </row>
    <row r="150" spans="1:23" ht="15.6" x14ac:dyDescent="0.3">
      <c r="A150" s="284"/>
      <c r="B150" s="285" t="s">
        <v>179</v>
      </c>
      <c r="C150" s="285"/>
      <c r="D150" s="285"/>
      <c r="E150" s="285"/>
      <c r="F150" s="285"/>
      <c r="G150" s="285"/>
      <c r="H150" s="285"/>
      <c r="I150" s="285"/>
      <c r="J150" s="285"/>
      <c r="K150" s="285"/>
      <c r="L150" s="285"/>
      <c r="M150" s="285"/>
      <c r="N150" s="285"/>
      <c r="O150" s="285"/>
      <c r="P150" s="285"/>
      <c r="Q150" s="285"/>
      <c r="R150" s="285"/>
      <c r="S150" s="285"/>
      <c r="T150" s="339">
        <v>0</v>
      </c>
      <c r="U150" s="288"/>
      <c r="V150" s="5"/>
    </row>
    <row r="151" spans="1:23" ht="15.6" x14ac:dyDescent="0.3">
      <c r="A151" s="284"/>
      <c r="B151" s="285" t="s">
        <v>264</v>
      </c>
      <c r="C151" s="285"/>
      <c r="D151" s="285"/>
      <c r="E151" s="285"/>
      <c r="F151" s="285"/>
      <c r="G151" s="285"/>
      <c r="H151" s="285"/>
      <c r="I151" s="285"/>
      <c r="J151" s="285"/>
      <c r="K151" s="285"/>
      <c r="L151" s="285"/>
      <c r="M151" s="285"/>
      <c r="N151" s="285"/>
      <c r="O151" s="285"/>
      <c r="P151" s="285"/>
      <c r="Q151" s="285"/>
      <c r="R151" s="285"/>
      <c r="S151" s="285"/>
      <c r="T151" s="339">
        <v>0</v>
      </c>
      <c r="U151" s="288"/>
      <c r="V151" s="5"/>
    </row>
    <row r="152" spans="1:23" ht="15.6" x14ac:dyDescent="0.3">
      <c r="A152" s="284"/>
      <c r="B152" s="285"/>
      <c r="C152" s="285"/>
      <c r="D152" s="285"/>
      <c r="E152" s="285"/>
      <c r="F152" s="285"/>
      <c r="G152" s="285"/>
      <c r="H152" s="285"/>
      <c r="I152" s="285"/>
      <c r="J152" s="285"/>
      <c r="K152" s="285"/>
      <c r="L152" s="285"/>
      <c r="M152" s="285"/>
      <c r="N152" s="285"/>
      <c r="O152" s="285"/>
      <c r="P152" s="285"/>
      <c r="Q152" s="285"/>
      <c r="R152" s="285"/>
      <c r="S152" s="285"/>
      <c r="T152" s="339"/>
      <c r="U152" s="288"/>
      <c r="V152" s="5"/>
    </row>
    <row r="153" spans="1:23" ht="15.6" x14ac:dyDescent="0.3">
      <c r="A153" s="175"/>
      <c r="B153" s="334"/>
      <c r="C153" s="334"/>
      <c r="D153" s="334"/>
      <c r="E153" s="334"/>
      <c r="F153" s="334"/>
      <c r="G153" s="334"/>
      <c r="H153" s="334"/>
      <c r="I153" s="334"/>
      <c r="J153" s="334"/>
      <c r="K153" s="334"/>
      <c r="L153" s="334"/>
      <c r="M153" s="334"/>
      <c r="N153" s="334"/>
      <c r="O153" s="334"/>
      <c r="P153" s="334"/>
      <c r="Q153" s="334"/>
      <c r="R153" s="334"/>
      <c r="S153" s="334"/>
      <c r="T153" s="347"/>
      <c r="U153" s="334"/>
      <c r="V153" s="5"/>
    </row>
    <row r="154" spans="1:23" ht="15.6" x14ac:dyDescent="0.3">
      <c r="A154" s="175"/>
      <c r="B154" s="201" t="s">
        <v>24</v>
      </c>
      <c r="C154" s="177"/>
      <c r="D154" s="177"/>
      <c r="E154" s="177"/>
      <c r="F154" s="177"/>
      <c r="G154" s="177"/>
      <c r="H154" s="177"/>
      <c r="I154" s="177"/>
      <c r="J154" s="177"/>
      <c r="K154" s="177"/>
      <c r="L154" s="177"/>
      <c r="M154" s="177"/>
      <c r="N154" s="177"/>
      <c r="O154" s="177"/>
      <c r="P154" s="177"/>
      <c r="Q154" s="177"/>
      <c r="R154" s="177"/>
      <c r="S154" s="177"/>
      <c r="T154" s="194"/>
      <c r="U154" s="177"/>
      <c r="V154" s="5"/>
    </row>
    <row r="155" spans="1:23" ht="15.6" x14ac:dyDescent="0.3">
      <c r="A155" s="284"/>
      <c r="B155" s="285" t="s">
        <v>48</v>
      </c>
      <c r="C155" s="285"/>
      <c r="D155" s="285"/>
      <c r="E155" s="285"/>
      <c r="F155" s="285"/>
      <c r="G155" s="285"/>
      <c r="H155" s="285"/>
      <c r="I155" s="285"/>
      <c r="J155" s="285"/>
      <c r="K155" s="285"/>
      <c r="L155" s="285"/>
      <c r="M155" s="285"/>
      <c r="N155" s="285"/>
      <c r="O155" s="285"/>
      <c r="P155" s="285"/>
      <c r="Q155" s="285"/>
      <c r="R155" s="285"/>
      <c r="S155" s="285"/>
      <c r="T155" s="348" t="s">
        <v>124</v>
      </c>
      <c r="U155" s="288"/>
      <c r="V155" s="5"/>
    </row>
    <row r="156" spans="1:23" ht="15.6" x14ac:dyDescent="0.3">
      <c r="A156" s="284"/>
      <c r="B156" s="285" t="s">
        <v>49</v>
      </c>
      <c r="C156" s="287"/>
      <c r="D156" s="287"/>
      <c r="E156" s="287"/>
      <c r="F156" s="287"/>
      <c r="G156" s="287"/>
      <c r="H156" s="287"/>
      <c r="I156" s="287"/>
      <c r="J156" s="287"/>
      <c r="K156" s="287"/>
      <c r="L156" s="287"/>
      <c r="M156" s="287"/>
      <c r="N156" s="287"/>
      <c r="O156" s="287"/>
      <c r="P156" s="287"/>
      <c r="Q156" s="287"/>
      <c r="R156" s="287"/>
      <c r="S156" s="287"/>
      <c r="T156" s="348" t="s">
        <v>124</v>
      </c>
      <c r="U156" s="288"/>
      <c r="V156" s="5"/>
    </row>
    <row r="157" spans="1:23" ht="15.6" x14ac:dyDescent="0.3">
      <c r="A157" s="284"/>
      <c r="B157" s="285" t="s">
        <v>50</v>
      </c>
      <c r="C157" s="285"/>
      <c r="D157" s="285"/>
      <c r="E157" s="285"/>
      <c r="F157" s="285"/>
      <c r="G157" s="285"/>
      <c r="H157" s="285"/>
      <c r="I157" s="285"/>
      <c r="J157" s="285"/>
      <c r="K157" s="285"/>
      <c r="L157" s="285"/>
      <c r="M157" s="285"/>
      <c r="N157" s="285"/>
      <c r="O157" s="285"/>
      <c r="P157" s="285"/>
      <c r="Q157" s="285"/>
      <c r="R157" s="285"/>
      <c r="S157" s="285"/>
      <c r="T157" s="348" t="s">
        <v>124</v>
      </c>
      <c r="U157" s="288"/>
      <c r="V157" s="5"/>
    </row>
    <row r="158" spans="1:23" ht="15.6" x14ac:dyDescent="0.3">
      <c r="A158" s="284"/>
      <c r="B158" s="285" t="s">
        <v>51</v>
      </c>
      <c r="C158" s="285"/>
      <c r="D158" s="285"/>
      <c r="E158" s="285"/>
      <c r="F158" s="285"/>
      <c r="G158" s="285"/>
      <c r="H158" s="285"/>
      <c r="I158" s="285"/>
      <c r="J158" s="285"/>
      <c r="K158" s="285"/>
      <c r="L158" s="285"/>
      <c r="M158" s="285"/>
      <c r="N158" s="285"/>
      <c r="O158" s="285"/>
      <c r="P158" s="285"/>
      <c r="Q158" s="285"/>
      <c r="R158" s="285"/>
      <c r="S158" s="285"/>
      <c r="T158" s="348" t="s">
        <v>124</v>
      </c>
      <c r="U158" s="288"/>
      <c r="V158" s="5"/>
    </row>
    <row r="159" spans="1:23" ht="15.6" x14ac:dyDescent="0.3">
      <c r="A159" s="175"/>
      <c r="B159" s="334"/>
      <c r="C159" s="334"/>
      <c r="D159" s="334"/>
      <c r="E159" s="334"/>
      <c r="F159" s="334"/>
      <c r="G159" s="334"/>
      <c r="H159" s="334"/>
      <c r="I159" s="334"/>
      <c r="J159" s="334"/>
      <c r="K159" s="334"/>
      <c r="L159" s="334"/>
      <c r="M159" s="334"/>
      <c r="N159" s="334"/>
      <c r="O159" s="334"/>
      <c r="P159" s="334"/>
      <c r="Q159" s="334"/>
      <c r="R159" s="334"/>
      <c r="S159" s="334"/>
      <c r="T159" s="347"/>
      <c r="U159" s="334"/>
      <c r="V159" s="5"/>
    </row>
    <row r="160" spans="1:23" ht="15.6" x14ac:dyDescent="0.3">
      <c r="A160" s="175"/>
      <c r="B160" s="201" t="s">
        <v>52</v>
      </c>
      <c r="C160" s="177"/>
      <c r="D160" s="177"/>
      <c r="E160" s="177"/>
      <c r="F160" s="177"/>
      <c r="G160" s="177"/>
      <c r="H160" s="177"/>
      <c r="I160" s="177"/>
      <c r="J160" s="177"/>
      <c r="K160" s="177"/>
      <c r="L160" s="177"/>
      <c r="M160" s="177"/>
      <c r="N160" s="177"/>
      <c r="O160" s="177"/>
      <c r="P160" s="177"/>
      <c r="Q160" s="177"/>
      <c r="R160" s="177"/>
      <c r="S160" s="177"/>
      <c r="T160" s="202"/>
      <c r="U160" s="177"/>
      <c r="V160" s="5"/>
    </row>
    <row r="161" spans="1:22" ht="15.6" x14ac:dyDescent="0.3">
      <c r="A161" s="284"/>
      <c r="B161" s="285" t="s">
        <v>53</v>
      </c>
      <c r="C161" s="285"/>
      <c r="D161" s="285"/>
      <c r="E161" s="285"/>
      <c r="F161" s="285"/>
      <c r="G161" s="285"/>
      <c r="H161" s="285"/>
      <c r="I161" s="285"/>
      <c r="J161" s="285"/>
      <c r="K161" s="285"/>
      <c r="L161" s="285"/>
      <c r="M161" s="285"/>
      <c r="N161" s="285"/>
      <c r="O161" s="285"/>
      <c r="P161" s="285"/>
      <c r="Q161" s="285"/>
      <c r="R161" s="285"/>
      <c r="S161" s="285"/>
      <c r="T161" s="339">
        <v>0</v>
      </c>
      <c r="U161" s="288"/>
      <c r="V161" s="5"/>
    </row>
    <row r="162" spans="1:22" ht="15.6" x14ac:dyDescent="0.3">
      <c r="A162" s="284"/>
      <c r="B162" s="285" t="s">
        <v>54</v>
      </c>
      <c r="C162" s="285"/>
      <c r="D162" s="285"/>
      <c r="E162" s="285"/>
      <c r="F162" s="285"/>
      <c r="G162" s="285"/>
      <c r="H162" s="285"/>
      <c r="I162" s="285"/>
      <c r="J162" s="285"/>
      <c r="K162" s="285"/>
      <c r="L162" s="285"/>
      <c r="M162" s="285"/>
      <c r="N162" s="285"/>
      <c r="O162" s="285"/>
      <c r="P162" s="285"/>
      <c r="Q162" s="285"/>
      <c r="R162" s="285"/>
      <c r="S162" s="285"/>
      <c r="T162" s="339">
        <f>R113</f>
        <v>53</v>
      </c>
      <c r="U162" s="288"/>
      <c r="V162" s="5"/>
    </row>
    <row r="163" spans="1:22" ht="15.6" x14ac:dyDescent="0.3">
      <c r="A163" s="284"/>
      <c r="B163" s="285" t="s">
        <v>55</v>
      </c>
      <c r="C163" s="285"/>
      <c r="D163" s="285"/>
      <c r="E163" s="285"/>
      <c r="F163" s="285"/>
      <c r="G163" s="285"/>
      <c r="H163" s="285"/>
      <c r="I163" s="285"/>
      <c r="J163" s="285"/>
      <c r="K163" s="285"/>
      <c r="L163" s="285"/>
      <c r="M163" s="285"/>
      <c r="N163" s="285"/>
      <c r="O163" s="285"/>
      <c r="P163" s="285"/>
      <c r="Q163" s="285"/>
      <c r="R163" s="285"/>
      <c r="S163" s="285"/>
      <c r="T163" s="339">
        <f>T162+T161</f>
        <v>53</v>
      </c>
      <c r="U163" s="288"/>
      <c r="V163" s="5"/>
    </row>
    <row r="164" spans="1:22" ht="15.6" x14ac:dyDescent="0.3">
      <c r="A164" s="284"/>
      <c r="B164" s="285" t="s">
        <v>301</v>
      </c>
      <c r="C164" s="285"/>
      <c r="D164" s="285"/>
      <c r="E164" s="285"/>
      <c r="F164" s="285"/>
      <c r="G164" s="285"/>
      <c r="H164" s="285"/>
      <c r="I164" s="285"/>
      <c r="J164" s="285"/>
      <c r="K164" s="285"/>
      <c r="L164" s="285"/>
      <c r="M164" s="285"/>
      <c r="N164" s="285"/>
      <c r="O164" s="285"/>
      <c r="P164" s="285"/>
      <c r="Q164" s="285"/>
      <c r="R164" s="285"/>
      <c r="S164" s="285"/>
      <c r="T164" s="339">
        <f>T113</f>
        <v>-53</v>
      </c>
      <c r="U164" s="288"/>
      <c r="V164" s="5"/>
    </row>
    <row r="165" spans="1:22" ht="15.6" x14ac:dyDescent="0.3">
      <c r="A165" s="284"/>
      <c r="B165" s="285" t="s">
        <v>56</v>
      </c>
      <c r="C165" s="285"/>
      <c r="D165" s="285"/>
      <c r="E165" s="285"/>
      <c r="F165" s="285"/>
      <c r="G165" s="285"/>
      <c r="H165" s="285"/>
      <c r="I165" s="285"/>
      <c r="J165" s="285"/>
      <c r="K165" s="285"/>
      <c r="L165" s="285"/>
      <c r="M165" s="285"/>
      <c r="N165" s="285"/>
      <c r="O165" s="285"/>
      <c r="P165" s="285"/>
      <c r="Q165" s="285"/>
      <c r="R165" s="285"/>
      <c r="S165" s="285"/>
      <c r="T165" s="339">
        <f>T163+T164</f>
        <v>0</v>
      </c>
      <c r="U165" s="288"/>
      <c r="V165" s="5"/>
    </row>
    <row r="166" spans="1:22" ht="15.6" x14ac:dyDescent="0.3">
      <c r="A166" s="284"/>
      <c r="B166" s="285" t="s">
        <v>273</v>
      </c>
      <c r="C166" s="285"/>
      <c r="D166" s="285"/>
      <c r="E166" s="285"/>
      <c r="F166" s="285"/>
      <c r="G166" s="285"/>
      <c r="H166" s="285"/>
      <c r="I166" s="285"/>
      <c r="J166" s="285"/>
      <c r="K166" s="285"/>
      <c r="L166" s="285"/>
      <c r="M166" s="285"/>
      <c r="N166" s="285"/>
      <c r="O166" s="285"/>
      <c r="P166" s="285"/>
      <c r="Q166" s="285"/>
      <c r="R166" s="285"/>
      <c r="S166" s="285"/>
      <c r="T166" s="339">
        <f>-T99</f>
        <v>41</v>
      </c>
      <c r="U166" s="288"/>
      <c r="V166" s="5"/>
    </row>
    <row r="167" spans="1:22" ht="16.2" thickBot="1" x14ac:dyDescent="0.35">
      <c r="A167" s="175"/>
      <c r="B167" s="334"/>
      <c r="C167" s="334"/>
      <c r="D167" s="334"/>
      <c r="E167" s="334"/>
      <c r="F167" s="334"/>
      <c r="G167" s="334"/>
      <c r="H167" s="334"/>
      <c r="I167" s="334"/>
      <c r="J167" s="334"/>
      <c r="K167" s="334"/>
      <c r="L167" s="334"/>
      <c r="M167" s="334"/>
      <c r="N167" s="334"/>
      <c r="O167" s="334"/>
      <c r="P167" s="334"/>
      <c r="Q167" s="334"/>
      <c r="R167" s="334"/>
      <c r="S167" s="334"/>
      <c r="T167" s="347"/>
      <c r="U167" s="334"/>
      <c r="V167" s="5"/>
    </row>
    <row r="168" spans="1:22" ht="15.6" x14ac:dyDescent="0.3">
      <c r="A168" s="173"/>
      <c r="B168" s="174"/>
      <c r="C168" s="174"/>
      <c r="D168" s="174"/>
      <c r="E168" s="174"/>
      <c r="F168" s="174"/>
      <c r="G168" s="174"/>
      <c r="H168" s="174"/>
      <c r="I168" s="174"/>
      <c r="J168" s="174"/>
      <c r="K168" s="174"/>
      <c r="L168" s="174"/>
      <c r="M168" s="174"/>
      <c r="N168" s="174"/>
      <c r="O168" s="174"/>
      <c r="P168" s="174"/>
      <c r="Q168" s="174"/>
      <c r="R168" s="174"/>
      <c r="S168" s="174"/>
      <c r="T168" s="193"/>
      <c r="U168" s="174"/>
      <c r="V168" s="5"/>
    </row>
    <row r="169" spans="1:22" ht="15.6" x14ac:dyDescent="0.3">
      <c r="A169" s="175"/>
      <c r="B169" s="201" t="s">
        <v>57</v>
      </c>
      <c r="C169" s="177"/>
      <c r="D169" s="177"/>
      <c r="E169" s="177"/>
      <c r="F169" s="177"/>
      <c r="G169" s="177"/>
      <c r="H169" s="177"/>
      <c r="I169" s="177"/>
      <c r="J169" s="177"/>
      <c r="K169" s="177"/>
      <c r="L169" s="177"/>
      <c r="M169" s="177"/>
      <c r="N169" s="177"/>
      <c r="O169" s="177"/>
      <c r="P169" s="177"/>
      <c r="Q169" s="177"/>
      <c r="R169" s="177"/>
      <c r="S169" s="177"/>
      <c r="T169" s="194"/>
      <c r="U169" s="177"/>
      <c r="V169" s="5"/>
    </row>
    <row r="170" spans="1:22" ht="15.6" x14ac:dyDescent="0.3">
      <c r="A170" s="175"/>
      <c r="B170" s="187"/>
      <c r="C170" s="177"/>
      <c r="D170" s="177"/>
      <c r="E170" s="177"/>
      <c r="F170" s="177"/>
      <c r="G170" s="177"/>
      <c r="H170" s="177"/>
      <c r="I170" s="177"/>
      <c r="J170" s="177"/>
      <c r="K170" s="177"/>
      <c r="L170" s="177"/>
      <c r="M170" s="177"/>
      <c r="N170" s="177"/>
      <c r="O170" s="177"/>
      <c r="P170" s="177"/>
      <c r="Q170" s="177"/>
      <c r="R170" s="177"/>
      <c r="S170" s="177"/>
      <c r="T170" s="194"/>
      <c r="U170" s="177"/>
      <c r="V170" s="5"/>
    </row>
    <row r="171" spans="1:22" ht="15.6" x14ac:dyDescent="0.3">
      <c r="A171" s="284"/>
      <c r="B171" s="285" t="s">
        <v>58</v>
      </c>
      <c r="C171" s="285"/>
      <c r="D171" s="285"/>
      <c r="E171" s="285"/>
      <c r="F171" s="285"/>
      <c r="G171" s="285"/>
      <c r="H171" s="285"/>
      <c r="I171" s="285"/>
      <c r="J171" s="285"/>
      <c r="K171" s="285"/>
      <c r="L171" s="285"/>
      <c r="M171" s="285"/>
      <c r="N171" s="285"/>
      <c r="O171" s="285"/>
      <c r="P171" s="285"/>
      <c r="Q171" s="285"/>
      <c r="R171" s="285"/>
      <c r="S171" s="285"/>
      <c r="T171" s="339">
        <f>T71</f>
        <v>490572</v>
      </c>
      <c r="U171" s="288"/>
      <c r="V171" s="5"/>
    </row>
    <row r="172" spans="1:22" ht="15.6" x14ac:dyDescent="0.3">
      <c r="A172" s="284"/>
      <c r="B172" s="285" t="s">
        <v>59</v>
      </c>
      <c r="C172" s="285"/>
      <c r="D172" s="285"/>
      <c r="E172" s="285"/>
      <c r="F172" s="285"/>
      <c r="G172" s="285"/>
      <c r="H172" s="285"/>
      <c r="I172" s="285"/>
      <c r="J172" s="285"/>
      <c r="K172" s="285"/>
      <c r="L172" s="285"/>
      <c r="M172" s="285"/>
      <c r="N172" s="285"/>
      <c r="O172" s="285"/>
      <c r="P172" s="285"/>
      <c r="Q172" s="285"/>
      <c r="R172" s="285"/>
      <c r="S172" s="285"/>
      <c r="T172" s="339">
        <f>T84</f>
        <v>490572</v>
      </c>
      <c r="U172" s="288"/>
      <c r="V172" s="5"/>
    </row>
    <row r="173" spans="1:22" ht="16.2" thickBot="1" x14ac:dyDescent="0.35">
      <c r="A173" s="175"/>
      <c r="B173" s="334"/>
      <c r="C173" s="334"/>
      <c r="D173" s="334"/>
      <c r="E173" s="334"/>
      <c r="F173" s="334"/>
      <c r="G173" s="334"/>
      <c r="H173" s="334"/>
      <c r="I173" s="334"/>
      <c r="J173" s="334"/>
      <c r="K173" s="334"/>
      <c r="L173" s="334"/>
      <c r="M173" s="334"/>
      <c r="N173" s="334"/>
      <c r="O173" s="334"/>
      <c r="P173" s="334"/>
      <c r="Q173" s="334"/>
      <c r="R173" s="334"/>
      <c r="S173" s="334"/>
      <c r="T173" s="347"/>
      <c r="U173" s="334"/>
      <c r="V173" s="5"/>
    </row>
    <row r="174" spans="1:22" ht="15.6" x14ac:dyDescent="0.3">
      <c r="A174" s="173"/>
      <c r="B174" s="174"/>
      <c r="C174" s="174"/>
      <c r="D174" s="174"/>
      <c r="E174" s="174"/>
      <c r="F174" s="174"/>
      <c r="G174" s="174"/>
      <c r="H174" s="174"/>
      <c r="I174" s="174"/>
      <c r="J174" s="174"/>
      <c r="K174" s="174"/>
      <c r="L174" s="174"/>
      <c r="M174" s="174"/>
      <c r="N174" s="174"/>
      <c r="O174" s="174"/>
      <c r="P174" s="174"/>
      <c r="Q174" s="174"/>
      <c r="R174" s="174"/>
      <c r="S174" s="174"/>
      <c r="T174" s="193"/>
      <c r="U174" s="174"/>
      <c r="V174" s="5"/>
    </row>
    <row r="175" spans="1:22" ht="15.6" x14ac:dyDescent="0.3">
      <c r="A175" s="175"/>
      <c r="B175" s="201" t="s">
        <v>60</v>
      </c>
      <c r="C175" s="198"/>
      <c r="D175" s="198"/>
      <c r="E175" s="198"/>
      <c r="F175" s="198"/>
      <c r="G175" s="198"/>
      <c r="H175" s="203"/>
      <c r="I175" s="203"/>
      <c r="J175" s="203"/>
      <c r="K175" s="203"/>
      <c r="L175" s="203"/>
      <c r="M175" s="203"/>
      <c r="N175" s="203"/>
      <c r="O175" s="203"/>
      <c r="P175" s="203"/>
      <c r="Q175" s="203" t="s">
        <v>104</v>
      </c>
      <c r="R175" s="203" t="s">
        <v>183</v>
      </c>
      <c r="S175" s="179"/>
      <c r="T175" s="204" t="s">
        <v>120</v>
      </c>
      <c r="U175" s="205"/>
      <c r="V175" s="5"/>
    </row>
    <row r="176" spans="1:22" ht="15.6" x14ac:dyDescent="0.3">
      <c r="A176" s="284"/>
      <c r="B176" s="285" t="s">
        <v>61</v>
      </c>
      <c r="C176" s="285"/>
      <c r="D176" s="285"/>
      <c r="E176" s="285"/>
      <c r="F176" s="285"/>
      <c r="G176" s="285"/>
      <c r="H176" s="285"/>
      <c r="I176" s="285"/>
      <c r="J176" s="285"/>
      <c r="K176" s="285"/>
      <c r="L176" s="285"/>
      <c r="M176" s="285"/>
      <c r="N176" s="285"/>
      <c r="O176" s="285"/>
      <c r="P176" s="285"/>
      <c r="Q176" s="339">
        <v>160008</v>
      </c>
      <c r="R176" s="324"/>
      <c r="S176" s="285"/>
      <c r="T176" s="339"/>
      <c r="U176" s="288"/>
      <c r="V176" s="5"/>
    </row>
    <row r="177" spans="1:22" ht="15.6" x14ac:dyDescent="0.3">
      <c r="A177" s="284"/>
      <c r="B177" s="285" t="s">
        <v>62</v>
      </c>
      <c r="C177" s="285"/>
      <c r="D177" s="285"/>
      <c r="E177" s="285"/>
      <c r="F177" s="285"/>
      <c r="G177" s="285"/>
      <c r="H177" s="285"/>
      <c r="I177" s="285"/>
      <c r="J177" s="285"/>
      <c r="K177" s="285"/>
      <c r="L177" s="285"/>
      <c r="M177" s="285"/>
      <c r="N177" s="285"/>
      <c r="O177" s="285"/>
      <c r="P177" s="285"/>
      <c r="Q177" s="339">
        <f>+'June 15'!Q179</f>
        <v>38363</v>
      </c>
      <c r="R177" s="339">
        <f>+'June 15'!R179</f>
        <v>3447</v>
      </c>
      <c r="S177" s="285"/>
      <c r="T177" s="339">
        <f>Q177+R177</f>
        <v>41810</v>
      </c>
      <c r="U177" s="288"/>
      <c r="V177" s="5"/>
    </row>
    <row r="178" spans="1:22" ht="15.6" x14ac:dyDescent="0.3">
      <c r="A178" s="284"/>
      <c r="B178" s="285" t="s">
        <v>63</v>
      </c>
      <c r="C178" s="285"/>
      <c r="D178" s="285"/>
      <c r="E178" s="285"/>
      <c r="F178" s="285"/>
      <c r="G178" s="285"/>
      <c r="H178" s="285"/>
      <c r="I178" s="285"/>
      <c r="J178" s="285"/>
      <c r="K178" s="285"/>
      <c r="L178" s="285"/>
      <c r="M178" s="285"/>
      <c r="N178" s="285"/>
      <c r="O178" s="285"/>
      <c r="P178" s="285"/>
      <c r="Q178" s="338">
        <f>233+100</f>
        <v>333</v>
      </c>
      <c r="R178" s="338">
        <v>0</v>
      </c>
      <c r="S178" s="285"/>
      <c r="T178" s="339">
        <f>Q178+R178</f>
        <v>333</v>
      </c>
      <c r="U178" s="288"/>
      <c r="V178" s="5"/>
    </row>
    <row r="179" spans="1:22" ht="15.6" x14ac:dyDescent="0.3">
      <c r="A179" s="284"/>
      <c r="B179" s="285" t="s">
        <v>64</v>
      </c>
      <c r="C179" s="285"/>
      <c r="D179" s="285"/>
      <c r="E179" s="285"/>
      <c r="F179" s="285"/>
      <c r="G179" s="285"/>
      <c r="H179" s="285"/>
      <c r="I179" s="285"/>
      <c r="J179" s="285"/>
      <c r="K179" s="285"/>
      <c r="L179" s="285"/>
      <c r="M179" s="285"/>
      <c r="N179" s="285"/>
      <c r="O179" s="285"/>
      <c r="P179" s="285"/>
      <c r="Q179" s="339">
        <f>Q177+Q178</f>
        <v>38696</v>
      </c>
      <c r="R179" s="339">
        <f>R178+R177</f>
        <v>3447</v>
      </c>
      <c r="S179" s="285"/>
      <c r="T179" s="339">
        <f>Q179+R179</f>
        <v>42143</v>
      </c>
      <c r="U179" s="288"/>
      <c r="V179" s="5"/>
    </row>
    <row r="180" spans="1:22" ht="15.6" x14ac:dyDescent="0.3">
      <c r="A180" s="284"/>
      <c r="B180" s="285" t="s">
        <v>65</v>
      </c>
      <c r="C180" s="285"/>
      <c r="D180" s="285"/>
      <c r="E180" s="285"/>
      <c r="F180" s="285"/>
      <c r="G180" s="285"/>
      <c r="H180" s="285"/>
      <c r="I180" s="285"/>
      <c r="J180" s="285"/>
      <c r="K180" s="285"/>
      <c r="L180" s="285"/>
      <c r="M180" s="285"/>
      <c r="N180" s="285"/>
      <c r="O180" s="285"/>
      <c r="P180" s="285"/>
      <c r="Q180" s="339">
        <f>Q176-Q179-R179</f>
        <v>117865</v>
      </c>
      <c r="R180" s="324"/>
      <c r="S180" s="285"/>
      <c r="T180" s="339"/>
      <c r="U180" s="288"/>
      <c r="V180" s="5"/>
    </row>
    <row r="181" spans="1:22" ht="16.2" thickBot="1" x14ac:dyDescent="0.35">
      <c r="A181" s="175"/>
      <c r="B181" s="334"/>
      <c r="C181" s="334"/>
      <c r="D181" s="334"/>
      <c r="E181" s="334"/>
      <c r="F181" s="334"/>
      <c r="G181" s="334"/>
      <c r="H181" s="334"/>
      <c r="I181" s="334"/>
      <c r="J181" s="334"/>
      <c r="K181" s="334"/>
      <c r="L181" s="334"/>
      <c r="M181" s="334"/>
      <c r="N181" s="334"/>
      <c r="O181" s="334"/>
      <c r="P181" s="334"/>
      <c r="Q181" s="334"/>
      <c r="R181" s="334"/>
      <c r="S181" s="334"/>
      <c r="T181" s="347"/>
      <c r="U181" s="334"/>
      <c r="V181" s="5"/>
    </row>
    <row r="182" spans="1:22" ht="15.6" x14ac:dyDescent="0.3">
      <c r="A182" s="173"/>
      <c r="B182" s="174"/>
      <c r="C182" s="174"/>
      <c r="D182" s="174"/>
      <c r="E182" s="174"/>
      <c r="F182" s="174"/>
      <c r="G182" s="174"/>
      <c r="H182" s="174"/>
      <c r="I182" s="174"/>
      <c r="J182" s="174"/>
      <c r="K182" s="174"/>
      <c r="L182" s="174"/>
      <c r="M182" s="174"/>
      <c r="N182" s="174"/>
      <c r="O182" s="174"/>
      <c r="P182" s="174"/>
      <c r="Q182" s="174"/>
      <c r="R182" s="174"/>
      <c r="S182" s="174"/>
      <c r="T182" s="193"/>
      <c r="U182" s="174"/>
      <c r="V182" s="5"/>
    </row>
    <row r="183" spans="1:22" ht="15.6" x14ac:dyDescent="0.3">
      <c r="A183" s="175"/>
      <c r="B183" s="201" t="s">
        <v>66</v>
      </c>
      <c r="C183" s="177"/>
      <c r="D183" s="177"/>
      <c r="E183" s="177"/>
      <c r="F183" s="177"/>
      <c r="G183" s="177"/>
      <c r="H183" s="177"/>
      <c r="I183" s="177"/>
      <c r="J183" s="177"/>
      <c r="K183" s="177"/>
      <c r="L183" s="177"/>
      <c r="M183" s="177"/>
      <c r="N183" s="177"/>
      <c r="O183" s="177"/>
      <c r="P183" s="177"/>
      <c r="Q183" s="177"/>
      <c r="R183" s="177"/>
      <c r="S183" s="177"/>
      <c r="T183" s="206"/>
      <c r="U183" s="177"/>
      <c r="V183" s="5"/>
    </row>
    <row r="184" spans="1:22" ht="15.6" x14ac:dyDescent="0.3">
      <c r="A184" s="284"/>
      <c r="B184" s="285" t="s">
        <v>67</v>
      </c>
      <c r="C184" s="285"/>
      <c r="D184" s="285"/>
      <c r="E184" s="285"/>
      <c r="F184" s="285"/>
      <c r="G184" s="285"/>
      <c r="H184" s="285"/>
      <c r="I184" s="285"/>
      <c r="J184" s="285"/>
      <c r="K184" s="285"/>
      <c r="L184" s="285"/>
      <c r="M184" s="285"/>
      <c r="N184" s="285"/>
      <c r="O184" s="285"/>
      <c r="P184" s="285"/>
      <c r="Q184" s="285"/>
      <c r="R184" s="285"/>
      <c r="S184" s="285"/>
      <c r="T184" s="348">
        <f>(T100+T102+T103+T104+T105)/-(T106+T107)</f>
        <v>4.1557496360989807</v>
      </c>
      <c r="U184" s="288" t="s">
        <v>121</v>
      </c>
      <c r="V184" s="5"/>
    </row>
    <row r="185" spans="1:22" ht="15.6" x14ac:dyDescent="0.3">
      <c r="A185" s="284"/>
      <c r="B185" s="285" t="s">
        <v>68</v>
      </c>
      <c r="C185" s="285"/>
      <c r="D185" s="285"/>
      <c r="E185" s="285"/>
      <c r="F185" s="285"/>
      <c r="G185" s="285"/>
      <c r="H185" s="285"/>
      <c r="I185" s="285"/>
      <c r="J185" s="285"/>
      <c r="K185" s="285"/>
      <c r="L185" s="285"/>
      <c r="M185" s="285"/>
      <c r="N185" s="285"/>
      <c r="O185" s="285"/>
      <c r="P185" s="285"/>
      <c r="Q185" s="285"/>
      <c r="R185" s="285"/>
      <c r="S185" s="285"/>
      <c r="T185" s="349">
        <v>1.81</v>
      </c>
      <c r="U185" s="288" t="s">
        <v>121</v>
      </c>
      <c r="V185" s="5"/>
    </row>
    <row r="186" spans="1:22" ht="15.6" x14ac:dyDescent="0.3">
      <c r="A186" s="284"/>
      <c r="B186" s="285" t="s">
        <v>69</v>
      </c>
      <c r="C186" s="285"/>
      <c r="D186" s="285"/>
      <c r="E186" s="285"/>
      <c r="F186" s="285"/>
      <c r="G186" s="285"/>
      <c r="H186" s="285"/>
      <c r="I186" s="285"/>
      <c r="J186" s="285"/>
      <c r="K186" s="285"/>
      <c r="L186" s="285"/>
      <c r="M186" s="285"/>
      <c r="N186" s="285"/>
      <c r="O186" s="285"/>
      <c r="P186" s="285"/>
      <c r="Q186" s="285"/>
      <c r="R186" s="285"/>
      <c r="S186" s="285"/>
      <c r="T186" s="348">
        <f>(T100+T102+T103+T104+T105+T106+T107)/-(T108+T109)</f>
        <v>10.894472361809045</v>
      </c>
      <c r="U186" s="288" t="s">
        <v>121</v>
      </c>
      <c r="V186" s="5"/>
    </row>
    <row r="187" spans="1:22" ht="15.6" x14ac:dyDescent="0.3">
      <c r="A187" s="284"/>
      <c r="B187" s="285" t="s">
        <v>70</v>
      </c>
      <c r="C187" s="285"/>
      <c r="D187" s="285"/>
      <c r="E187" s="285"/>
      <c r="F187" s="285"/>
      <c r="G187" s="285"/>
      <c r="H187" s="285"/>
      <c r="I187" s="285"/>
      <c r="J187" s="285"/>
      <c r="K187" s="285"/>
      <c r="L187" s="285"/>
      <c r="M187" s="285"/>
      <c r="N187" s="285"/>
      <c r="O187" s="285"/>
      <c r="P187" s="285"/>
      <c r="Q187" s="285"/>
      <c r="R187" s="285"/>
      <c r="S187" s="285"/>
      <c r="T187" s="349">
        <v>6.56</v>
      </c>
      <c r="U187" s="288" t="s">
        <v>121</v>
      </c>
      <c r="V187" s="5"/>
    </row>
    <row r="188" spans="1:22" ht="15.6" x14ac:dyDescent="0.3">
      <c r="A188" s="284"/>
      <c r="B188" s="285" t="s">
        <v>206</v>
      </c>
      <c r="C188" s="285"/>
      <c r="D188" s="285"/>
      <c r="E188" s="285"/>
      <c r="F188" s="285"/>
      <c r="G188" s="285"/>
      <c r="H188" s="285"/>
      <c r="I188" s="285"/>
      <c r="J188" s="285"/>
      <c r="K188" s="285"/>
      <c r="L188" s="285"/>
      <c r="M188" s="285"/>
      <c r="N188" s="285"/>
      <c r="O188" s="285"/>
      <c r="P188" s="285"/>
      <c r="Q188" s="285"/>
      <c r="R188" s="285"/>
      <c r="S188" s="285"/>
      <c r="T188" s="348">
        <f>(T100+T102+T103+T104+T105+T106+T107+T108+T109)/-(T110)</f>
        <v>8.3080168776371313</v>
      </c>
      <c r="U188" s="288" t="s">
        <v>121</v>
      </c>
      <c r="V188" s="5"/>
    </row>
    <row r="189" spans="1:22" ht="15.6" x14ac:dyDescent="0.3">
      <c r="A189" s="284"/>
      <c r="B189" s="285" t="s">
        <v>207</v>
      </c>
      <c r="C189" s="285"/>
      <c r="D189" s="285"/>
      <c r="E189" s="285"/>
      <c r="F189" s="285"/>
      <c r="G189" s="285"/>
      <c r="H189" s="285"/>
      <c r="I189" s="285"/>
      <c r="J189" s="285"/>
      <c r="K189" s="285"/>
      <c r="L189" s="285"/>
      <c r="M189" s="285"/>
      <c r="N189" s="285"/>
      <c r="O189" s="285"/>
      <c r="P189" s="285"/>
      <c r="Q189" s="285"/>
      <c r="R189" s="285"/>
      <c r="S189" s="285"/>
      <c r="T189" s="349">
        <v>5.91</v>
      </c>
      <c r="U189" s="288" t="s">
        <v>121</v>
      </c>
      <c r="V189" s="5"/>
    </row>
    <row r="190" spans="1:22" ht="15.6" x14ac:dyDescent="0.3">
      <c r="A190" s="284"/>
      <c r="B190" s="311"/>
      <c r="C190" s="311"/>
      <c r="D190" s="311"/>
      <c r="E190" s="311"/>
      <c r="F190" s="311"/>
      <c r="G190" s="311"/>
      <c r="H190" s="311"/>
      <c r="I190" s="311"/>
      <c r="J190" s="311"/>
      <c r="K190" s="311"/>
      <c r="L190" s="311"/>
      <c r="M190" s="311"/>
      <c r="N190" s="311"/>
      <c r="O190" s="311"/>
      <c r="P190" s="311"/>
      <c r="Q190" s="311"/>
      <c r="R190" s="311"/>
      <c r="S190" s="311"/>
      <c r="T190" s="311"/>
      <c r="U190" s="317"/>
      <c r="V190" s="5"/>
    </row>
    <row r="191" spans="1:22" ht="15.6" x14ac:dyDescent="0.3">
      <c r="A191" s="175"/>
      <c r="B191" s="334"/>
      <c r="C191" s="334"/>
      <c r="D191" s="334"/>
      <c r="E191" s="334"/>
      <c r="F191" s="334"/>
      <c r="G191" s="334"/>
      <c r="H191" s="334"/>
      <c r="I191" s="334"/>
      <c r="J191" s="334"/>
      <c r="K191" s="334"/>
      <c r="L191" s="334"/>
      <c r="M191" s="334"/>
      <c r="N191" s="334"/>
      <c r="O191" s="334"/>
      <c r="P191" s="334"/>
      <c r="Q191" s="334"/>
      <c r="R191" s="334"/>
      <c r="S191" s="334"/>
      <c r="T191" s="334"/>
      <c r="U191" s="334"/>
      <c r="V191" s="5"/>
    </row>
    <row r="192" spans="1:22" ht="15.6" x14ac:dyDescent="0.3">
      <c r="A192" s="175"/>
      <c r="B192" s="177"/>
      <c r="C192" s="177"/>
      <c r="D192" s="177"/>
      <c r="E192" s="177"/>
      <c r="F192" s="177"/>
      <c r="G192" s="177"/>
      <c r="H192" s="177"/>
      <c r="I192" s="177"/>
      <c r="J192" s="177"/>
      <c r="K192" s="177"/>
      <c r="L192" s="177"/>
      <c r="M192" s="177"/>
      <c r="N192" s="177"/>
      <c r="O192" s="177"/>
      <c r="P192" s="177"/>
      <c r="Q192" s="177"/>
      <c r="R192" s="177"/>
      <c r="S192" s="177"/>
      <c r="T192" s="177"/>
      <c r="U192" s="177"/>
      <c r="V192" s="5"/>
    </row>
    <row r="193" spans="1:22" ht="18" thickBot="1" x14ac:dyDescent="0.35">
      <c r="A193" s="192"/>
      <c r="B193" s="246" t="str">
        <f>B133</f>
        <v>PM11 INVESTOR REPORT QUARTER ENDING SEPTEMBER 2015</v>
      </c>
      <c r="C193" s="207"/>
      <c r="D193" s="207"/>
      <c r="E193" s="207"/>
      <c r="F193" s="207"/>
      <c r="G193" s="207"/>
      <c r="H193" s="207"/>
      <c r="I193" s="207"/>
      <c r="J193" s="207"/>
      <c r="K193" s="207"/>
      <c r="L193" s="207"/>
      <c r="M193" s="207"/>
      <c r="N193" s="207"/>
      <c r="O193" s="207"/>
      <c r="P193" s="207"/>
      <c r="Q193" s="207"/>
      <c r="R193" s="207"/>
      <c r="S193" s="207"/>
      <c r="T193" s="207"/>
      <c r="U193" s="208"/>
      <c r="V193" s="5"/>
    </row>
    <row r="194" spans="1:22" ht="15.6" x14ac:dyDescent="0.3">
      <c r="A194" s="260"/>
      <c r="B194" s="399" t="s">
        <v>71</v>
      </c>
      <c r="C194" s="400"/>
      <c r="D194" s="400"/>
      <c r="E194" s="400"/>
      <c r="F194" s="400"/>
      <c r="G194" s="401"/>
      <c r="H194" s="401"/>
      <c r="I194" s="401"/>
      <c r="J194" s="401"/>
      <c r="K194" s="401"/>
      <c r="L194" s="401"/>
      <c r="M194" s="401"/>
      <c r="N194" s="401"/>
      <c r="O194" s="401"/>
      <c r="P194" s="401"/>
      <c r="Q194" s="401"/>
      <c r="R194" s="401">
        <v>42277</v>
      </c>
      <c r="S194" s="261"/>
      <c r="T194" s="261"/>
      <c r="U194" s="261"/>
      <c r="V194" s="5"/>
    </row>
    <row r="195" spans="1:22" ht="15.6" x14ac:dyDescent="0.3">
      <c r="A195" s="209"/>
      <c r="B195" s="210"/>
      <c r="C195" s="211"/>
      <c r="D195" s="211"/>
      <c r="E195" s="211"/>
      <c r="F195" s="211"/>
      <c r="G195" s="212"/>
      <c r="H195" s="212"/>
      <c r="I195" s="212"/>
      <c r="J195" s="212"/>
      <c r="K195" s="212"/>
      <c r="L195" s="212"/>
      <c r="M195" s="212"/>
      <c r="N195" s="212"/>
      <c r="O195" s="212"/>
      <c r="P195" s="212"/>
      <c r="Q195" s="212"/>
      <c r="R195" s="212"/>
      <c r="S195" s="177"/>
      <c r="T195" s="177"/>
      <c r="U195" s="177"/>
      <c r="V195" s="5"/>
    </row>
    <row r="196" spans="1:22" ht="15.6" x14ac:dyDescent="0.3">
      <c r="A196" s="352"/>
      <c r="B196" s="285" t="s">
        <v>72</v>
      </c>
      <c r="C196" s="353"/>
      <c r="D196" s="353"/>
      <c r="E196" s="353"/>
      <c r="F196" s="353"/>
      <c r="G196" s="329"/>
      <c r="H196" s="329"/>
      <c r="I196" s="329"/>
      <c r="J196" s="329"/>
      <c r="K196" s="329"/>
      <c r="L196" s="329"/>
      <c r="M196" s="329"/>
      <c r="N196" s="329"/>
      <c r="O196" s="329"/>
      <c r="P196" s="329"/>
      <c r="Q196" s="329"/>
      <c r="R196" s="320">
        <v>5.1569999999999998E-2</v>
      </c>
      <c r="S196" s="285"/>
      <c r="T196" s="285"/>
      <c r="U196" s="317"/>
      <c r="V196" s="5"/>
    </row>
    <row r="197" spans="1:22" ht="15.6" x14ac:dyDescent="0.3">
      <c r="A197" s="352"/>
      <c r="B197" s="285" t="s">
        <v>157</v>
      </c>
      <c r="C197" s="353"/>
      <c r="D197" s="353"/>
      <c r="E197" s="353"/>
      <c r="F197" s="353"/>
      <c r="G197" s="329"/>
      <c r="H197" s="329"/>
      <c r="I197" s="329"/>
      <c r="J197" s="329"/>
      <c r="K197" s="329"/>
      <c r="L197" s="329"/>
      <c r="M197" s="329"/>
      <c r="N197" s="329"/>
      <c r="O197" s="329"/>
      <c r="P197" s="329"/>
      <c r="Q197" s="329"/>
      <c r="R197" s="320">
        <v>4.6899999999999997E-2</v>
      </c>
      <c r="S197" s="285"/>
      <c r="T197" s="285"/>
      <c r="U197" s="317"/>
      <c r="V197" s="5"/>
    </row>
    <row r="198" spans="1:22" ht="15.6" x14ac:dyDescent="0.3">
      <c r="A198" s="352"/>
      <c r="B198" s="285" t="s">
        <v>73</v>
      </c>
      <c r="C198" s="353"/>
      <c r="D198" s="353"/>
      <c r="E198" s="353"/>
      <c r="F198" s="353"/>
      <c r="G198" s="329"/>
      <c r="H198" s="329"/>
      <c r="I198" s="329"/>
      <c r="J198" s="329"/>
      <c r="K198" s="329"/>
      <c r="L198" s="329"/>
      <c r="M198" s="329"/>
      <c r="N198" s="329"/>
      <c r="O198" s="329"/>
      <c r="P198" s="329"/>
      <c r="Q198" s="329"/>
      <c r="R198" s="320">
        <f>R196-R197</f>
        <v>4.6700000000000005E-3</v>
      </c>
      <c r="S198" s="285"/>
      <c r="T198" s="285"/>
      <c r="U198" s="317"/>
      <c r="V198" s="5"/>
    </row>
    <row r="199" spans="1:22" ht="15.6" x14ac:dyDescent="0.3">
      <c r="A199" s="352"/>
      <c r="B199" s="285" t="s">
        <v>74</v>
      </c>
      <c r="C199" s="353"/>
      <c r="D199" s="353"/>
      <c r="E199" s="353"/>
      <c r="F199" s="353"/>
      <c r="G199" s="329"/>
      <c r="H199" s="329"/>
      <c r="I199" s="329"/>
      <c r="J199" s="329"/>
      <c r="K199" s="329"/>
      <c r="L199" s="329"/>
      <c r="M199" s="329"/>
      <c r="N199" s="329"/>
      <c r="O199" s="329"/>
      <c r="P199" s="329"/>
      <c r="Q199" s="329"/>
      <c r="R199" s="320">
        <v>2.3230000000000001E-2</v>
      </c>
      <c r="S199" s="285"/>
      <c r="T199" s="285"/>
      <c r="U199" s="317"/>
      <c r="V199" s="5"/>
    </row>
    <row r="200" spans="1:22" ht="15.6" x14ac:dyDescent="0.3">
      <c r="A200" s="352"/>
      <c r="B200" s="285" t="s">
        <v>257</v>
      </c>
      <c r="C200" s="353"/>
      <c r="D200" s="353"/>
      <c r="E200" s="353"/>
      <c r="F200" s="353"/>
      <c r="G200" s="329"/>
      <c r="H200" s="329"/>
      <c r="I200" s="329"/>
      <c r="J200" s="329"/>
      <c r="K200" s="329"/>
      <c r="L200" s="329"/>
      <c r="M200" s="329"/>
      <c r="N200" s="329"/>
      <c r="O200" s="329"/>
      <c r="P200" s="329"/>
      <c r="Q200" s="329"/>
      <c r="R200" s="320">
        <f>T43</f>
        <v>8.9615159079506294E-3</v>
      </c>
      <c r="S200" s="285"/>
      <c r="T200" s="285"/>
      <c r="U200" s="317"/>
      <c r="V200" s="5"/>
    </row>
    <row r="201" spans="1:22" ht="15.6" x14ac:dyDescent="0.3">
      <c r="A201" s="352"/>
      <c r="B201" s="285" t="s">
        <v>75</v>
      </c>
      <c r="C201" s="353"/>
      <c r="D201" s="353"/>
      <c r="E201" s="353"/>
      <c r="F201" s="353"/>
      <c r="G201" s="329"/>
      <c r="H201" s="329"/>
      <c r="I201" s="329"/>
      <c r="J201" s="329"/>
      <c r="K201" s="329"/>
      <c r="L201" s="329"/>
      <c r="M201" s="329"/>
      <c r="N201" s="329"/>
      <c r="O201" s="329"/>
      <c r="P201" s="329"/>
      <c r="Q201" s="329"/>
      <c r="R201" s="320">
        <f>R199-R200</f>
        <v>1.4268484092049371E-2</v>
      </c>
      <c r="S201" s="285"/>
      <c r="T201" s="285"/>
      <c r="U201" s="317"/>
      <c r="V201" s="5"/>
    </row>
    <row r="202" spans="1:22" ht="15.6" x14ac:dyDescent="0.3">
      <c r="A202" s="352"/>
      <c r="B202" s="285" t="s">
        <v>260</v>
      </c>
      <c r="C202" s="353"/>
      <c r="D202" s="353"/>
      <c r="E202" s="353"/>
      <c r="F202" s="353"/>
      <c r="G202" s="329"/>
      <c r="H202" s="329"/>
      <c r="I202" s="329"/>
      <c r="J202" s="329"/>
      <c r="K202" s="329"/>
      <c r="L202" s="329"/>
      <c r="M202" s="329"/>
      <c r="N202" s="329"/>
      <c r="O202" s="329"/>
      <c r="P202" s="329"/>
      <c r="Q202" s="329"/>
      <c r="R202" s="320">
        <f>+T100/L71</f>
        <v>6.4044283886747818E-3</v>
      </c>
      <c r="S202" s="285"/>
      <c r="T202" s="285"/>
      <c r="U202" s="317"/>
      <c r="V202" s="5"/>
    </row>
    <row r="203" spans="1:22" ht="15.6" x14ac:dyDescent="0.3">
      <c r="A203" s="352"/>
      <c r="B203" s="285" t="s">
        <v>217</v>
      </c>
      <c r="C203" s="353"/>
      <c r="D203" s="353"/>
      <c r="E203" s="353"/>
      <c r="F203" s="353"/>
      <c r="G203" s="329"/>
      <c r="H203" s="329"/>
      <c r="I203" s="329"/>
      <c r="J203" s="329"/>
      <c r="K203" s="329"/>
      <c r="L203" s="329"/>
      <c r="M203" s="329"/>
      <c r="N203" s="329"/>
      <c r="O203" s="329"/>
      <c r="P203" s="329"/>
      <c r="Q203" s="329"/>
      <c r="R203" s="354">
        <v>15250</v>
      </c>
      <c r="S203" s="285"/>
      <c r="T203" s="285"/>
      <c r="U203" s="317"/>
      <c r="V203" s="5"/>
    </row>
    <row r="204" spans="1:22" ht="15.6" x14ac:dyDescent="0.3">
      <c r="A204" s="352"/>
      <c r="B204" s="285" t="s">
        <v>218</v>
      </c>
      <c r="C204" s="353"/>
      <c r="D204" s="353"/>
      <c r="E204" s="353"/>
      <c r="F204" s="353"/>
      <c r="G204" s="329"/>
      <c r="H204" s="329"/>
      <c r="I204" s="329"/>
      <c r="J204" s="329"/>
      <c r="K204" s="329"/>
      <c r="L204" s="329"/>
      <c r="M204" s="329"/>
      <c r="N204" s="329"/>
      <c r="O204" s="329"/>
      <c r="P204" s="329"/>
      <c r="Q204" s="329"/>
      <c r="R204" s="354">
        <v>15250</v>
      </c>
      <c r="S204" s="285"/>
      <c r="T204" s="285"/>
      <c r="U204" s="317"/>
      <c r="V204" s="5"/>
    </row>
    <row r="205" spans="1:22" ht="15.6" x14ac:dyDescent="0.3">
      <c r="A205" s="352"/>
      <c r="B205" s="285" t="s">
        <v>219</v>
      </c>
      <c r="C205" s="353"/>
      <c r="D205" s="353"/>
      <c r="E205" s="353"/>
      <c r="F205" s="353"/>
      <c r="G205" s="329"/>
      <c r="H205" s="329"/>
      <c r="I205" s="329"/>
      <c r="J205" s="329"/>
      <c r="K205" s="329"/>
      <c r="L205" s="329"/>
      <c r="M205" s="329"/>
      <c r="N205" s="329"/>
      <c r="O205" s="329"/>
      <c r="P205" s="329"/>
      <c r="Q205" s="329"/>
      <c r="R205" s="354">
        <v>15250</v>
      </c>
      <c r="S205" s="285"/>
      <c r="T205" s="285"/>
      <c r="U205" s="317"/>
      <c r="V205" s="5"/>
    </row>
    <row r="206" spans="1:22" ht="15.6" x14ac:dyDescent="0.3">
      <c r="A206" s="352"/>
      <c r="B206" s="285" t="s">
        <v>76</v>
      </c>
      <c r="C206" s="353"/>
      <c r="D206" s="353"/>
      <c r="E206" s="353"/>
      <c r="F206" s="353"/>
      <c r="G206" s="329"/>
      <c r="H206" s="329"/>
      <c r="I206" s="329"/>
      <c r="J206" s="329"/>
      <c r="K206" s="329"/>
      <c r="L206" s="329"/>
      <c r="M206" s="329"/>
      <c r="N206" s="329"/>
      <c r="O206" s="329"/>
      <c r="P206" s="329"/>
      <c r="Q206" s="329"/>
      <c r="R206" s="326">
        <v>21.18</v>
      </c>
      <c r="S206" s="285" t="s">
        <v>116</v>
      </c>
      <c r="T206" s="285"/>
      <c r="U206" s="317"/>
      <c r="V206" s="5"/>
    </row>
    <row r="207" spans="1:22" ht="15.6" x14ac:dyDescent="0.3">
      <c r="A207" s="352"/>
      <c r="B207" s="285" t="s">
        <v>77</v>
      </c>
      <c r="C207" s="353"/>
      <c r="D207" s="353"/>
      <c r="E207" s="353"/>
      <c r="F207" s="353"/>
      <c r="G207" s="329"/>
      <c r="H207" s="329"/>
      <c r="I207" s="329"/>
      <c r="J207" s="329"/>
      <c r="K207" s="329"/>
      <c r="L207" s="329"/>
      <c r="M207" s="329"/>
      <c r="N207" s="329"/>
      <c r="O207" s="329"/>
      <c r="P207" s="329"/>
      <c r="Q207" s="329"/>
      <c r="R207" s="326">
        <v>12.01</v>
      </c>
      <c r="S207" s="285" t="s">
        <v>116</v>
      </c>
      <c r="T207" s="285"/>
      <c r="U207" s="317"/>
      <c r="V207" s="5"/>
    </row>
    <row r="208" spans="1:22" ht="15.6" x14ac:dyDescent="0.3">
      <c r="A208" s="352"/>
      <c r="B208" s="285" t="s">
        <v>78</v>
      </c>
      <c r="C208" s="353"/>
      <c r="D208" s="353"/>
      <c r="E208" s="353"/>
      <c r="F208" s="353"/>
      <c r="G208" s="329"/>
      <c r="H208" s="329"/>
      <c r="I208" s="329"/>
      <c r="J208" s="329"/>
      <c r="K208" s="329"/>
      <c r="L208" s="329"/>
      <c r="M208" s="329"/>
      <c r="N208" s="329"/>
      <c r="O208" s="329"/>
      <c r="P208" s="329"/>
      <c r="Q208" s="329"/>
      <c r="R208" s="320">
        <f>N68/L68</f>
        <v>1.3913137928537522E-2</v>
      </c>
      <c r="S208" s="285"/>
      <c r="T208" s="285"/>
      <c r="U208" s="317"/>
      <c r="V208" s="5"/>
    </row>
    <row r="209" spans="1:22" ht="15.6" x14ac:dyDescent="0.3">
      <c r="A209" s="352"/>
      <c r="B209" s="285" t="s">
        <v>79</v>
      </c>
      <c r="C209" s="353"/>
      <c r="D209" s="353"/>
      <c r="E209" s="353"/>
      <c r="F209" s="353"/>
      <c r="G209" s="329"/>
      <c r="H209" s="329"/>
      <c r="I209" s="329"/>
      <c r="J209" s="329"/>
      <c r="K209" s="329"/>
      <c r="L209" s="329"/>
      <c r="M209" s="329"/>
      <c r="N209" s="329"/>
      <c r="O209" s="329"/>
      <c r="P209" s="329"/>
      <c r="Q209" s="329"/>
      <c r="R209" s="320">
        <v>7.7100000000000002E-2</v>
      </c>
      <c r="S209" s="285"/>
      <c r="T209" s="285"/>
      <c r="U209" s="317"/>
      <c r="V209" s="5"/>
    </row>
    <row r="210" spans="1:22" ht="15.6" x14ac:dyDescent="0.3">
      <c r="A210" s="209"/>
      <c r="B210" s="350"/>
      <c r="C210" s="350"/>
      <c r="D210" s="350"/>
      <c r="E210" s="350"/>
      <c r="F210" s="350"/>
      <c r="G210" s="334"/>
      <c r="H210" s="334"/>
      <c r="I210" s="334"/>
      <c r="J210" s="334"/>
      <c r="K210" s="334"/>
      <c r="L210" s="334"/>
      <c r="M210" s="334"/>
      <c r="N210" s="334"/>
      <c r="O210" s="334"/>
      <c r="P210" s="334"/>
      <c r="Q210" s="334"/>
      <c r="R210" s="347"/>
      <c r="S210" s="334"/>
      <c r="T210" s="351"/>
      <c r="U210" s="334"/>
      <c r="V210" s="5"/>
    </row>
    <row r="211" spans="1:22" ht="15.6" x14ac:dyDescent="0.3">
      <c r="A211" s="266"/>
      <c r="B211" s="395" t="s">
        <v>80</v>
      </c>
      <c r="C211" s="396"/>
      <c r="D211" s="396"/>
      <c r="E211" s="396"/>
      <c r="F211" s="402"/>
      <c r="G211" s="396"/>
      <c r="H211" s="396"/>
      <c r="I211" s="396"/>
      <c r="J211" s="396"/>
      <c r="K211" s="396"/>
      <c r="L211" s="396"/>
      <c r="M211" s="396"/>
      <c r="N211" s="396"/>
      <c r="O211" s="396"/>
      <c r="P211" s="396"/>
      <c r="Q211" s="396" t="s">
        <v>105</v>
      </c>
      <c r="R211" s="402" t="s">
        <v>112</v>
      </c>
      <c r="S211" s="223"/>
      <c r="T211" s="223"/>
      <c r="U211" s="223"/>
      <c r="V211" s="5"/>
    </row>
    <row r="212" spans="1:22" ht="15.6" x14ac:dyDescent="0.3">
      <c r="A212" s="214"/>
      <c r="B212" s="239" t="s">
        <v>81</v>
      </c>
      <c r="C212" s="243"/>
      <c r="D212" s="243"/>
      <c r="E212" s="243"/>
      <c r="F212" s="239"/>
      <c r="G212" s="239"/>
      <c r="H212" s="242"/>
      <c r="I212" s="242"/>
      <c r="J212" s="242"/>
      <c r="K212" s="242"/>
      <c r="L212" s="242"/>
      <c r="M212" s="242"/>
      <c r="N212" s="242"/>
      <c r="O212" s="242"/>
      <c r="P212" s="242"/>
      <c r="Q212" s="242">
        <v>0</v>
      </c>
      <c r="R212" s="272">
        <v>0</v>
      </c>
      <c r="S212" s="239"/>
      <c r="T212" s="273"/>
      <c r="U212" s="215"/>
      <c r="V212" s="5"/>
    </row>
    <row r="213" spans="1:22" ht="15.6" x14ac:dyDescent="0.3">
      <c r="A213" s="360"/>
      <c r="B213" s="285" t="s">
        <v>151</v>
      </c>
      <c r="C213" s="338"/>
      <c r="D213" s="338"/>
      <c r="E213" s="338"/>
      <c r="F213" s="285"/>
      <c r="G213" s="285"/>
      <c r="H213" s="293"/>
      <c r="I213" s="293"/>
      <c r="J213" s="293"/>
      <c r="K213" s="293"/>
      <c r="L213" s="293"/>
      <c r="M213" s="293"/>
      <c r="N213" s="293"/>
      <c r="O213" s="293"/>
      <c r="P213" s="293"/>
      <c r="Q213" s="361">
        <f>+P265</f>
        <v>69</v>
      </c>
      <c r="R213" s="362">
        <f>+R265</f>
        <v>10110</v>
      </c>
      <c r="S213" s="285"/>
      <c r="T213" s="363"/>
      <c r="U213" s="364"/>
      <c r="V213" s="5"/>
    </row>
    <row r="214" spans="1:22" ht="15.6" x14ac:dyDescent="0.3">
      <c r="A214" s="360"/>
      <c r="B214" s="285" t="s">
        <v>82</v>
      </c>
      <c r="C214" s="338"/>
      <c r="D214" s="338"/>
      <c r="E214" s="338"/>
      <c r="F214" s="285"/>
      <c r="G214" s="285"/>
      <c r="H214" s="293"/>
      <c r="I214" s="293"/>
      <c r="J214" s="293"/>
      <c r="K214" s="293"/>
      <c r="L214" s="293"/>
      <c r="M214" s="293"/>
      <c r="N214" s="293"/>
      <c r="O214" s="293"/>
      <c r="P214" s="293"/>
      <c r="Q214" s="361">
        <f>+P277</f>
        <v>0</v>
      </c>
      <c r="R214" s="362">
        <f>+R277</f>
        <v>0</v>
      </c>
      <c r="S214" s="285"/>
      <c r="T214" s="363"/>
      <c r="U214" s="364"/>
      <c r="V214" s="5"/>
    </row>
    <row r="215" spans="1:22" ht="15.6" x14ac:dyDescent="0.3">
      <c r="A215" s="360"/>
      <c r="B215" s="310" t="s">
        <v>83</v>
      </c>
      <c r="C215" s="365"/>
      <c r="D215" s="365"/>
      <c r="E215" s="365"/>
      <c r="F215" s="311"/>
      <c r="G215" s="311"/>
      <c r="H215" s="311"/>
      <c r="I215" s="311"/>
      <c r="J215" s="311"/>
      <c r="K215" s="311"/>
      <c r="L215" s="311"/>
      <c r="M215" s="311"/>
      <c r="N215" s="311"/>
      <c r="O215" s="311"/>
      <c r="P215" s="311"/>
      <c r="Q215" s="285"/>
      <c r="R215" s="362">
        <v>0</v>
      </c>
      <c r="S215" s="311"/>
      <c r="T215" s="366"/>
      <c r="U215" s="364"/>
      <c r="V215" s="5"/>
    </row>
    <row r="216" spans="1:22" ht="15.6" x14ac:dyDescent="0.3">
      <c r="A216" s="360"/>
      <c r="B216" s="310" t="s">
        <v>84</v>
      </c>
      <c r="C216" s="365"/>
      <c r="D216" s="365"/>
      <c r="E216" s="365"/>
      <c r="F216" s="311"/>
      <c r="G216" s="311"/>
      <c r="H216" s="311"/>
      <c r="I216" s="311"/>
      <c r="J216" s="311"/>
      <c r="K216" s="311"/>
      <c r="L216" s="311"/>
      <c r="M216" s="311"/>
      <c r="N216" s="311"/>
      <c r="O216" s="311"/>
      <c r="P216" s="311"/>
      <c r="Q216" s="285"/>
      <c r="R216" s="367" t="s">
        <v>113</v>
      </c>
      <c r="S216" s="311"/>
      <c r="T216" s="366"/>
      <c r="U216" s="364"/>
      <c r="V216" s="5"/>
    </row>
    <row r="217" spans="1:22" ht="15.6" x14ac:dyDescent="0.3">
      <c r="A217" s="368"/>
      <c r="B217" s="310" t="s">
        <v>85</v>
      </c>
      <c r="C217" s="369"/>
      <c r="D217" s="369"/>
      <c r="E217" s="369"/>
      <c r="F217" s="369"/>
      <c r="G217" s="311"/>
      <c r="H217" s="311"/>
      <c r="I217" s="311"/>
      <c r="J217" s="311"/>
      <c r="K217" s="311"/>
      <c r="L217" s="311"/>
      <c r="M217" s="311"/>
      <c r="N217" s="311"/>
      <c r="O217" s="311"/>
      <c r="P217" s="311"/>
      <c r="Q217" s="285"/>
      <c r="R217" s="362"/>
      <c r="S217" s="311"/>
      <c r="T217" s="366"/>
      <c r="U217" s="370"/>
      <c r="V217" s="5"/>
    </row>
    <row r="218" spans="1:22" ht="15.6" x14ac:dyDescent="0.3">
      <c r="A218" s="368"/>
      <c r="B218" s="285" t="s">
        <v>86</v>
      </c>
      <c r="C218" s="285"/>
      <c r="D218" s="285"/>
      <c r="E218" s="285"/>
      <c r="F218" s="285"/>
      <c r="G218" s="285"/>
      <c r="H218" s="285"/>
      <c r="I218" s="285"/>
      <c r="J218" s="285"/>
      <c r="K218" s="285"/>
      <c r="L218" s="285"/>
      <c r="M218" s="285"/>
      <c r="N218" s="285"/>
      <c r="O218" s="285"/>
      <c r="P218" s="285"/>
      <c r="Q218" s="293"/>
      <c r="R218" s="362">
        <f>T162</f>
        <v>53</v>
      </c>
      <c r="S218" s="285"/>
      <c r="T218" s="363"/>
      <c r="U218" s="370"/>
      <c r="V218" s="5"/>
    </row>
    <row r="219" spans="1:22" ht="15.6" x14ac:dyDescent="0.3">
      <c r="A219" s="360"/>
      <c r="B219" s="285" t="s">
        <v>87</v>
      </c>
      <c r="C219" s="338"/>
      <c r="D219" s="338"/>
      <c r="E219" s="338"/>
      <c r="F219" s="338"/>
      <c r="G219" s="285"/>
      <c r="H219" s="285"/>
      <c r="I219" s="285"/>
      <c r="J219" s="285"/>
      <c r="K219" s="285"/>
      <c r="L219" s="285"/>
      <c r="M219" s="285"/>
      <c r="N219" s="285"/>
      <c r="O219" s="285"/>
      <c r="P219" s="285"/>
      <c r="Q219" s="293"/>
      <c r="R219" s="362">
        <f>'June 15'!R219+R218</f>
        <v>5500</v>
      </c>
      <c r="S219" s="285"/>
      <c r="T219" s="363"/>
      <c r="U219" s="370"/>
      <c r="V219" s="5"/>
    </row>
    <row r="220" spans="1:22" ht="15.6" x14ac:dyDescent="0.3">
      <c r="A220" s="368"/>
      <c r="B220" s="310" t="s">
        <v>282</v>
      </c>
      <c r="C220" s="369"/>
      <c r="D220" s="369"/>
      <c r="E220" s="369"/>
      <c r="F220" s="369"/>
      <c r="G220" s="311"/>
      <c r="H220" s="311"/>
      <c r="I220" s="311"/>
      <c r="J220" s="311"/>
      <c r="K220" s="311"/>
      <c r="L220" s="311"/>
      <c r="M220" s="311"/>
      <c r="N220" s="311"/>
      <c r="O220" s="311"/>
      <c r="P220" s="311"/>
      <c r="Q220" s="293"/>
      <c r="R220" s="362"/>
      <c r="S220" s="311"/>
      <c r="T220" s="366"/>
      <c r="U220" s="370"/>
      <c r="V220" s="5"/>
    </row>
    <row r="221" spans="1:22" ht="15.6" x14ac:dyDescent="0.3">
      <c r="A221" s="368"/>
      <c r="B221" s="285" t="s">
        <v>280</v>
      </c>
      <c r="C221" s="369"/>
      <c r="D221" s="369"/>
      <c r="E221" s="369"/>
      <c r="F221" s="369"/>
      <c r="G221" s="311"/>
      <c r="H221" s="311"/>
      <c r="I221" s="311"/>
      <c r="J221" s="311"/>
      <c r="K221" s="311"/>
      <c r="L221" s="311"/>
      <c r="M221" s="311"/>
      <c r="N221" s="311"/>
      <c r="O221" s="311"/>
      <c r="P221" s="311"/>
      <c r="Q221" s="293">
        <v>0</v>
      </c>
      <c r="R221" s="362">
        <v>0</v>
      </c>
      <c r="S221" s="311"/>
      <c r="T221" s="366"/>
      <c r="U221" s="370"/>
      <c r="V221" s="5"/>
    </row>
    <row r="222" spans="1:22" ht="15.6" x14ac:dyDescent="0.3">
      <c r="A222" s="360"/>
      <c r="B222" s="285" t="s">
        <v>89</v>
      </c>
      <c r="C222" s="373"/>
      <c r="D222" s="373"/>
      <c r="E222" s="373"/>
      <c r="F222" s="374"/>
      <c r="G222" s="311"/>
      <c r="H222" s="311"/>
      <c r="I222" s="311"/>
      <c r="J222" s="311"/>
      <c r="K222" s="311"/>
      <c r="L222" s="311"/>
      <c r="M222" s="311"/>
      <c r="N222" s="311"/>
      <c r="O222" s="311"/>
      <c r="P222" s="311"/>
      <c r="Q222" s="285"/>
      <c r="R222" s="367">
        <v>0</v>
      </c>
      <c r="S222" s="311"/>
      <c r="T222" s="366"/>
      <c r="U222" s="370"/>
      <c r="V222" s="5"/>
    </row>
    <row r="223" spans="1:22" ht="15.6" x14ac:dyDescent="0.3">
      <c r="A223" s="360"/>
      <c r="B223" s="285" t="s">
        <v>90</v>
      </c>
      <c r="C223" s="373"/>
      <c r="D223" s="373"/>
      <c r="E223" s="373"/>
      <c r="F223" s="374"/>
      <c r="G223" s="311"/>
      <c r="H223" s="311"/>
      <c r="I223" s="311"/>
      <c r="J223" s="311"/>
      <c r="K223" s="311"/>
      <c r="L223" s="311"/>
      <c r="M223" s="311"/>
      <c r="N223" s="311"/>
      <c r="O223" s="311"/>
      <c r="P223" s="311"/>
      <c r="Q223" s="285"/>
      <c r="R223" s="367">
        <v>0</v>
      </c>
      <c r="S223" s="311"/>
      <c r="T223" s="366"/>
      <c r="U223" s="370"/>
      <c r="V223" s="5"/>
    </row>
    <row r="224" spans="1:22" ht="15.6" x14ac:dyDescent="0.3">
      <c r="A224" s="360"/>
      <c r="B224" s="310" t="s">
        <v>226</v>
      </c>
      <c r="C224" s="373"/>
      <c r="D224" s="373"/>
      <c r="E224" s="373"/>
      <c r="F224" s="374"/>
      <c r="G224" s="311"/>
      <c r="H224" s="311"/>
      <c r="I224" s="311"/>
      <c r="J224" s="311"/>
      <c r="K224" s="311"/>
      <c r="L224" s="311"/>
      <c r="M224" s="311"/>
      <c r="N224" s="311"/>
      <c r="O224" s="311"/>
      <c r="P224" s="311"/>
      <c r="Q224" s="293"/>
      <c r="R224" s="375"/>
      <c r="S224" s="311"/>
      <c r="T224" s="366"/>
      <c r="U224" s="370"/>
      <c r="V224" s="5"/>
    </row>
    <row r="225" spans="1:23" ht="15.6" x14ac:dyDescent="0.3">
      <c r="A225" s="360"/>
      <c r="B225" s="285" t="s">
        <v>280</v>
      </c>
      <c r="C225" s="373"/>
      <c r="D225" s="373"/>
      <c r="E225" s="373"/>
      <c r="F225" s="374"/>
      <c r="G225" s="311"/>
      <c r="H225" s="311"/>
      <c r="I225" s="311"/>
      <c r="J225" s="311"/>
      <c r="K225" s="311"/>
      <c r="L225" s="311"/>
      <c r="M225" s="311"/>
      <c r="N225" s="311"/>
      <c r="O225" s="311"/>
      <c r="P225" s="311"/>
      <c r="Q225" s="293">
        <v>4</v>
      </c>
      <c r="R225" s="362">
        <v>414</v>
      </c>
      <c r="S225" s="311"/>
      <c r="T225" s="366"/>
      <c r="U225" s="370"/>
      <c r="V225" s="5"/>
    </row>
    <row r="226" spans="1:23" ht="15.6" x14ac:dyDescent="0.3">
      <c r="A226" s="360"/>
      <c r="B226" s="285" t="s">
        <v>227</v>
      </c>
      <c r="C226" s="373"/>
      <c r="D226" s="373"/>
      <c r="E226" s="373"/>
      <c r="F226" s="374"/>
      <c r="G226" s="311"/>
      <c r="H226" s="311"/>
      <c r="I226" s="311"/>
      <c r="J226" s="311"/>
      <c r="K226" s="311"/>
      <c r="L226" s="311"/>
      <c r="M226" s="311"/>
      <c r="N226" s="311"/>
      <c r="O226" s="311"/>
      <c r="P226" s="311"/>
      <c r="Q226" s="293"/>
      <c r="R226" s="367">
        <v>0.5</v>
      </c>
      <c r="S226" s="311"/>
      <c r="T226" s="366"/>
      <c r="U226" s="370"/>
      <c r="V226" s="5"/>
    </row>
    <row r="227" spans="1:23" ht="15.6" x14ac:dyDescent="0.3">
      <c r="A227" s="360"/>
      <c r="B227" s="369"/>
      <c r="C227" s="373"/>
      <c r="D227" s="373"/>
      <c r="E227" s="373"/>
      <c r="F227" s="374"/>
      <c r="G227" s="311"/>
      <c r="H227" s="311"/>
      <c r="I227" s="311"/>
      <c r="J227" s="311"/>
      <c r="K227" s="311"/>
      <c r="L227" s="311"/>
      <c r="M227" s="311"/>
      <c r="N227" s="311"/>
      <c r="O227" s="311"/>
      <c r="P227" s="311"/>
      <c r="Q227" s="311"/>
      <c r="R227" s="376"/>
      <c r="S227" s="311"/>
      <c r="T227" s="366"/>
      <c r="U227" s="370"/>
      <c r="V227" s="5"/>
    </row>
    <row r="228" spans="1:23" ht="15.6" x14ac:dyDescent="0.3">
      <c r="A228" s="360"/>
      <c r="B228" s="369"/>
      <c r="C228" s="373"/>
      <c r="D228" s="373"/>
      <c r="E228" s="373"/>
      <c r="F228" s="374"/>
      <c r="G228" s="311"/>
      <c r="H228" s="311"/>
      <c r="I228" s="311"/>
      <c r="J228" s="311"/>
      <c r="K228" s="311"/>
      <c r="L228" s="311"/>
      <c r="M228" s="311"/>
      <c r="N228" s="311"/>
      <c r="O228" s="311"/>
      <c r="P228" s="311"/>
      <c r="Q228" s="311"/>
      <c r="R228" s="376"/>
      <c r="S228" s="311"/>
      <c r="T228" s="366"/>
      <c r="U228" s="370"/>
      <c r="V228" s="5"/>
    </row>
    <row r="229" spans="1:23" ht="17.399999999999999" x14ac:dyDescent="0.3">
      <c r="A229" s="360"/>
      <c r="B229" s="377" t="s">
        <v>175</v>
      </c>
      <c r="C229" s="373"/>
      <c r="D229" s="373"/>
      <c r="E229" s="373"/>
      <c r="F229" s="374"/>
      <c r="G229" s="311"/>
      <c r="H229" s="311"/>
      <c r="I229" s="311"/>
      <c r="J229" s="311"/>
      <c r="K229" s="311"/>
      <c r="L229" s="311"/>
      <c r="M229" s="311"/>
      <c r="N229" s="378" t="s">
        <v>174</v>
      </c>
      <c r="O229" s="311"/>
      <c r="P229" s="311"/>
      <c r="Q229" s="311"/>
      <c r="R229" s="376"/>
      <c r="S229" s="311"/>
      <c r="T229" s="366"/>
      <c r="U229" s="370"/>
      <c r="V229" s="5"/>
    </row>
    <row r="230" spans="1:23" ht="15.6" x14ac:dyDescent="0.3">
      <c r="A230" s="355"/>
      <c r="B230" s="350"/>
      <c r="C230" s="356"/>
      <c r="D230" s="356"/>
      <c r="E230" s="356"/>
      <c r="F230" s="357"/>
      <c r="G230" s="334"/>
      <c r="H230" s="334"/>
      <c r="I230" s="334"/>
      <c r="J230" s="334"/>
      <c r="K230" s="334"/>
      <c r="L230" s="334"/>
      <c r="M230" s="334"/>
      <c r="N230" s="334"/>
      <c r="O230" s="334"/>
      <c r="P230" s="334"/>
      <c r="Q230" s="334"/>
      <c r="R230" s="358"/>
      <c r="S230" s="334"/>
      <c r="T230" s="351"/>
      <c r="U230" s="359"/>
      <c r="V230" s="5"/>
    </row>
    <row r="231" spans="1:23" ht="15.6" x14ac:dyDescent="0.3">
      <c r="A231" s="222"/>
      <c r="B231" s="395" t="s">
        <v>295</v>
      </c>
      <c r="C231" s="396"/>
      <c r="D231" s="396"/>
      <c r="E231" s="396"/>
      <c r="F231" s="402"/>
      <c r="G231" s="396"/>
      <c r="H231" s="396"/>
      <c r="I231" s="396"/>
      <c r="J231" s="396"/>
      <c r="K231" s="396"/>
      <c r="L231" s="396"/>
      <c r="M231" s="396"/>
      <c r="N231" s="396"/>
      <c r="O231" s="396"/>
      <c r="P231" s="402" t="s">
        <v>105</v>
      </c>
      <c r="Q231" s="396" t="s">
        <v>106</v>
      </c>
      <c r="R231" s="402" t="s">
        <v>114</v>
      </c>
      <c r="S231" s="396" t="s">
        <v>106</v>
      </c>
      <c r="T231" s="223"/>
      <c r="U231" s="395"/>
      <c r="V231" s="5"/>
    </row>
    <row r="232" spans="1:23" ht="15.6" x14ac:dyDescent="0.3">
      <c r="A232" s="190"/>
      <c r="B232" s="243" t="s">
        <v>91</v>
      </c>
      <c r="C232" s="217"/>
      <c r="D232" s="217"/>
      <c r="E232" s="217"/>
      <c r="F232" s="191"/>
      <c r="G232" s="217"/>
      <c r="H232" s="217"/>
      <c r="I232" s="217"/>
      <c r="J232" s="217"/>
      <c r="K232" s="217"/>
      <c r="L232" s="217"/>
      <c r="M232" s="217"/>
      <c r="N232" s="217"/>
      <c r="O232" s="217"/>
      <c r="P232" s="338">
        <f t="shared" ref="P232:P239" si="1">+P244+P256+P268</f>
        <v>3773</v>
      </c>
      <c r="Q232" s="384">
        <f t="shared" ref="Q232:Q239" si="2">P232/$P$241</f>
        <v>0.9947271289216979</v>
      </c>
      <c r="R232" s="339">
        <f t="shared" ref="R232:R239" si="3">+R244+R256+R268</f>
        <v>488357</v>
      </c>
      <c r="S232" s="384">
        <f t="shared" ref="S232:S239" si="4">R232/$R$241</f>
        <v>0.99548486256859336</v>
      </c>
      <c r="T232" s="213"/>
      <c r="U232" s="216"/>
      <c r="V232" s="5"/>
    </row>
    <row r="233" spans="1:23" ht="15.6" x14ac:dyDescent="0.3">
      <c r="A233" s="284"/>
      <c r="B233" s="338" t="s">
        <v>92</v>
      </c>
      <c r="C233" s="382"/>
      <c r="D233" s="382"/>
      <c r="E233" s="382"/>
      <c r="F233" s="311"/>
      <c r="G233" s="383"/>
      <c r="H233" s="382"/>
      <c r="I233" s="382"/>
      <c r="J233" s="382"/>
      <c r="K233" s="382"/>
      <c r="L233" s="382"/>
      <c r="M233" s="382"/>
      <c r="N233" s="382"/>
      <c r="O233" s="382"/>
      <c r="P233" s="338">
        <f t="shared" si="1"/>
        <v>9</v>
      </c>
      <c r="Q233" s="384">
        <f t="shared" si="2"/>
        <v>2.3727919852359609E-3</v>
      </c>
      <c r="R233" s="339">
        <f t="shared" si="3"/>
        <v>864</v>
      </c>
      <c r="S233" s="384">
        <f t="shared" si="4"/>
        <v>1.7612093637631174E-3</v>
      </c>
      <c r="T233" s="366"/>
      <c r="U233" s="370"/>
      <c r="V233" s="5"/>
      <c r="W233" s="109"/>
    </row>
    <row r="234" spans="1:23" ht="15.6" x14ac:dyDescent="0.3">
      <c r="A234" s="284"/>
      <c r="B234" s="338" t="s">
        <v>93</v>
      </c>
      <c r="C234" s="382"/>
      <c r="D234" s="382"/>
      <c r="E234" s="382"/>
      <c r="F234" s="311"/>
      <c r="G234" s="383"/>
      <c r="H234" s="382"/>
      <c r="I234" s="382"/>
      <c r="J234" s="382"/>
      <c r="K234" s="382"/>
      <c r="L234" s="382"/>
      <c r="M234" s="382"/>
      <c r="N234" s="382"/>
      <c r="O234" s="382"/>
      <c r="P234" s="338">
        <f t="shared" si="1"/>
        <v>2</v>
      </c>
      <c r="Q234" s="384">
        <f t="shared" si="2"/>
        <v>5.272871078302136E-4</v>
      </c>
      <c r="R234" s="339">
        <f t="shared" si="3"/>
        <v>103</v>
      </c>
      <c r="S234" s="384">
        <f t="shared" si="4"/>
        <v>2.0995898665231608E-4</v>
      </c>
      <c r="T234" s="366"/>
      <c r="U234" s="370"/>
      <c r="V234" s="5"/>
    </row>
    <row r="235" spans="1:23" ht="15.6" x14ac:dyDescent="0.3">
      <c r="A235" s="284"/>
      <c r="B235" s="338" t="s">
        <v>163</v>
      </c>
      <c r="C235" s="382"/>
      <c r="D235" s="382"/>
      <c r="E235" s="382"/>
      <c r="F235" s="311"/>
      <c r="G235" s="383"/>
      <c r="H235" s="382"/>
      <c r="I235" s="382"/>
      <c r="J235" s="382"/>
      <c r="K235" s="382"/>
      <c r="L235" s="382"/>
      <c r="M235" s="382"/>
      <c r="N235" s="382"/>
      <c r="O235" s="382"/>
      <c r="P235" s="338">
        <f t="shared" si="1"/>
        <v>0</v>
      </c>
      <c r="Q235" s="384">
        <f t="shared" si="2"/>
        <v>0</v>
      </c>
      <c r="R235" s="339">
        <f t="shared" si="3"/>
        <v>0</v>
      </c>
      <c r="S235" s="384">
        <f t="shared" si="4"/>
        <v>0</v>
      </c>
      <c r="T235" s="366"/>
      <c r="U235" s="370"/>
      <c r="V235" s="5"/>
      <c r="W235" s="109"/>
    </row>
    <row r="236" spans="1:23" ht="15.6" x14ac:dyDescent="0.3">
      <c r="A236" s="284"/>
      <c r="B236" s="338" t="s">
        <v>164</v>
      </c>
      <c r="C236" s="382"/>
      <c r="D236" s="382"/>
      <c r="E236" s="382"/>
      <c r="F236" s="311"/>
      <c r="G236" s="383"/>
      <c r="H236" s="382"/>
      <c r="I236" s="382"/>
      <c r="J236" s="382"/>
      <c r="K236" s="382"/>
      <c r="L236" s="382"/>
      <c r="M236" s="382"/>
      <c r="N236" s="382"/>
      <c r="O236" s="382"/>
      <c r="P236" s="338">
        <f t="shared" si="1"/>
        <v>2</v>
      </c>
      <c r="Q236" s="384">
        <f t="shared" si="2"/>
        <v>5.272871078302136E-4</v>
      </c>
      <c r="R236" s="339">
        <f t="shared" si="3"/>
        <v>406</v>
      </c>
      <c r="S236" s="384">
        <f t="shared" si="4"/>
        <v>8.2760532602757595E-4</v>
      </c>
      <c r="T236" s="366"/>
      <c r="U236" s="370"/>
      <c r="V236" s="5"/>
    </row>
    <row r="237" spans="1:23" ht="15.6" x14ac:dyDescent="0.3">
      <c r="A237" s="284"/>
      <c r="B237" s="338" t="s">
        <v>165</v>
      </c>
      <c r="C237" s="382"/>
      <c r="D237" s="382"/>
      <c r="E237" s="382"/>
      <c r="F237" s="311"/>
      <c r="G237" s="383"/>
      <c r="H237" s="382"/>
      <c r="I237" s="382"/>
      <c r="J237" s="382"/>
      <c r="K237" s="382"/>
      <c r="L237" s="382"/>
      <c r="M237" s="382"/>
      <c r="N237" s="382"/>
      <c r="O237" s="382"/>
      <c r="P237" s="338">
        <f t="shared" si="1"/>
        <v>1</v>
      </c>
      <c r="Q237" s="384">
        <f t="shared" si="2"/>
        <v>2.636435539151068E-4</v>
      </c>
      <c r="R237" s="339">
        <f t="shared" si="3"/>
        <v>102</v>
      </c>
      <c r="S237" s="384">
        <f t="shared" si="4"/>
        <v>2.0792054988870136E-4</v>
      </c>
      <c r="T237" s="366"/>
      <c r="U237" s="370"/>
      <c r="V237" s="5"/>
      <c r="W237" s="109"/>
    </row>
    <row r="238" spans="1:23" ht="15.6" x14ac:dyDescent="0.3">
      <c r="A238" s="284"/>
      <c r="B238" s="338" t="s">
        <v>166</v>
      </c>
      <c r="C238" s="382"/>
      <c r="D238" s="382"/>
      <c r="E238" s="382"/>
      <c r="F238" s="311"/>
      <c r="G238" s="383"/>
      <c r="H238" s="382"/>
      <c r="I238" s="382"/>
      <c r="J238" s="382"/>
      <c r="K238" s="382"/>
      <c r="L238" s="382"/>
      <c r="M238" s="382"/>
      <c r="N238" s="382"/>
      <c r="O238" s="382"/>
      <c r="P238" s="338">
        <f t="shared" si="1"/>
        <v>2</v>
      </c>
      <c r="Q238" s="384">
        <f t="shared" si="2"/>
        <v>5.272871078302136E-4</v>
      </c>
      <c r="R238" s="339">
        <f t="shared" si="3"/>
        <v>133</v>
      </c>
      <c r="S238" s="384">
        <f t="shared" si="4"/>
        <v>2.7111208956075763E-4</v>
      </c>
      <c r="T238" s="366"/>
      <c r="U238" s="370"/>
      <c r="V238" s="5"/>
    </row>
    <row r="239" spans="1:23" ht="15.6" x14ac:dyDescent="0.3">
      <c r="A239" s="284"/>
      <c r="B239" s="338" t="s">
        <v>167</v>
      </c>
      <c r="C239" s="382"/>
      <c r="D239" s="382"/>
      <c r="E239" s="382"/>
      <c r="F239" s="311"/>
      <c r="G239" s="383"/>
      <c r="H239" s="382"/>
      <c r="I239" s="382"/>
      <c r="J239" s="382"/>
      <c r="K239" s="382"/>
      <c r="L239" s="382"/>
      <c r="M239" s="382"/>
      <c r="N239" s="382"/>
      <c r="O239" s="382"/>
      <c r="P239" s="338">
        <f t="shared" si="1"/>
        <v>4</v>
      </c>
      <c r="Q239" s="384">
        <f t="shared" si="2"/>
        <v>1.0545742156604272E-3</v>
      </c>
      <c r="R239" s="339">
        <f t="shared" si="3"/>
        <v>607</v>
      </c>
      <c r="S239" s="384">
        <f t="shared" si="4"/>
        <v>1.2373311155141344E-3</v>
      </c>
      <c r="T239" s="366"/>
      <c r="U239" s="370"/>
      <c r="V239" s="5"/>
      <c r="W239" s="109"/>
    </row>
    <row r="240" spans="1:23" ht="15.6" x14ac:dyDescent="0.3">
      <c r="A240" s="284"/>
      <c r="B240" s="338"/>
      <c r="C240" s="382"/>
      <c r="D240" s="382"/>
      <c r="E240" s="382"/>
      <c r="F240" s="311"/>
      <c r="G240" s="383"/>
      <c r="H240" s="382"/>
      <c r="I240" s="382"/>
      <c r="J240" s="382"/>
      <c r="K240" s="382"/>
      <c r="L240" s="382"/>
      <c r="M240" s="382"/>
      <c r="N240" s="382"/>
      <c r="O240" s="382"/>
      <c r="P240" s="338"/>
      <c r="Q240" s="384"/>
      <c r="R240" s="339"/>
      <c r="S240" s="384"/>
      <c r="T240" s="366"/>
      <c r="U240" s="370"/>
      <c r="V240" s="5"/>
    </row>
    <row r="241" spans="1:23" ht="15.6" x14ac:dyDescent="0.3">
      <c r="A241" s="284"/>
      <c r="B241" s="285" t="s">
        <v>120</v>
      </c>
      <c r="C241" s="311"/>
      <c r="D241" s="311"/>
      <c r="E241" s="311"/>
      <c r="F241" s="311"/>
      <c r="G241" s="311"/>
      <c r="H241" s="385"/>
      <c r="I241" s="385"/>
      <c r="J241" s="385"/>
      <c r="K241" s="385"/>
      <c r="L241" s="385"/>
      <c r="M241" s="385"/>
      <c r="N241" s="385"/>
      <c r="O241" s="385"/>
      <c r="P241" s="338">
        <f>SUM(P232:P240)</f>
        <v>3793</v>
      </c>
      <c r="Q241" s="384">
        <f>SUM(Q232:Q240)</f>
        <v>1</v>
      </c>
      <c r="R241" s="339">
        <f>SUM(R232:R240)</f>
        <v>490572</v>
      </c>
      <c r="S241" s="384">
        <f>SUM(S232:S240)</f>
        <v>1</v>
      </c>
      <c r="T241" s="311"/>
      <c r="U241" s="317"/>
      <c r="V241" s="5"/>
    </row>
    <row r="242" spans="1:23" ht="15.6" x14ac:dyDescent="0.3">
      <c r="A242" s="355"/>
      <c r="B242" s="350"/>
      <c r="C242" s="356"/>
      <c r="D242" s="356"/>
      <c r="E242" s="356"/>
      <c r="F242" s="357"/>
      <c r="G242" s="334"/>
      <c r="H242" s="334"/>
      <c r="I242" s="334"/>
      <c r="J242" s="334"/>
      <c r="K242" s="334"/>
      <c r="L242" s="334"/>
      <c r="M242" s="334"/>
      <c r="N242" s="334"/>
      <c r="O242" s="334"/>
      <c r="P242" s="334"/>
      <c r="Q242" s="334"/>
      <c r="R242" s="358"/>
      <c r="S242" s="334"/>
      <c r="T242" s="351"/>
      <c r="U242" s="359"/>
      <c r="V242" s="5"/>
    </row>
    <row r="243" spans="1:23" ht="15.6" x14ac:dyDescent="0.3">
      <c r="A243" s="222"/>
      <c r="B243" s="395" t="s">
        <v>169</v>
      </c>
      <c r="C243" s="396"/>
      <c r="D243" s="396"/>
      <c r="E243" s="396"/>
      <c r="F243" s="402"/>
      <c r="G243" s="396"/>
      <c r="H243" s="396"/>
      <c r="I243" s="396"/>
      <c r="J243" s="396"/>
      <c r="K243" s="396"/>
      <c r="L243" s="396"/>
      <c r="M243" s="396"/>
      <c r="N243" s="396"/>
      <c r="O243" s="396"/>
      <c r="P243" s="402" t="s">
        <v>105</v>
      </c>
      <c r="Q243" s="396" t="s">
        <v>106</v>
      </c>
      <c r="R243" s="402" t="s">
        <v>114</v>
      </c>
      <c r="S243" s="396" t="s">
        <v>106</v>
      </c>
      <c r="T243" s="223"/>
      <c r="U243" s="395"/>
      <c r="V243" s="5"/>
    </row>
    <row r="244" spans="1:23" ht="15.6" x14ac:dyDescent="0.3">
      <c r="A244" s="190"/>
      <c r="B244" s="243" t="s">
        <v>91</v>
      </c>
      <c r="C244" s="217"/>
      <c r="D244" s="217"/>
      <c r="E244" s="217"/>
      <c r="F244" s="191"/>
      <c r="G244" s="217"/>
      <c r="H244" s="217"/>
      <c r="I244" s="217"/>
      <c r="J244" s="217"/>
      <c r="K244" s="217"/>
      <c r="L244" s="217"/>
      <c r="M244" s="217"/>
      <c r="N244" s="217"/>
      <c r="O244" s="217"/>
      <c r="P244" s="243">
        <v>3713</v>
      </c>
      <c r="Q244" s="274">
        <f t="shared" ref="Q244:Q251" si="5">P244/$P$253</f>
        <v>0.99704618689581093</v>
      </c>
      <c r="R244" s="251">
        <v>479164</v>
      </c>
      <c r="S244" s="274">
        <f t="shared" ref="S244:S251" si="6">R244/$R$253</f>
        <v>0.99729843359100201</v>
      </c>
      <c r="T244" s="213"/>
      <c r="U244" s="216"/>
      <c r="V244" s="5"/>
    </row>
    <row r="245" spans="1:23" ht="15.6" x14ac:dyDescent="0.3">
      <c r="A245" s="284"/>
      <c r="B245" s="338" t="s">
        <v>92</v>
      </c>
      <c r="C245" s="382"/>
      <c r="D245" s="382"/>
      <c r="E245" s="382"/>
      <c r="F245" s="311"/>
      <c r="G245" s="383"/>
      <c r="H245" s="382"/>
      <c r="I245" s="382"/>
      <c r="J245" s="382"/>
      <c r="K245" s="382"/>
      <c r="L245" s="382"/>
      <c r="M245" s="382"/>
      <c r="N245" s="382"/>
      <c r="O245" s="382"/>
      <c r="P245" s="338">
        <v>8</v>
      </c>
      <c r="Q245" s="384">
        <f t="shared" si="5"/>
        <v>2.1482277121374865E-3</v>
      </c>
      <c r="R245" s="339">
        <v>813</v>
      </c>
      <c r="S245" s="384">
        <f t="shared" si="6"/>
        <v>1.6921213332167788E-3</v>
      </c>
      <c r="T245" s="366"/>
      <c r="U245" s="370"/>
      <c r="V245" s="5"/>
      <c r="W245" s="109"/>
    </row>
    <row r="246" spans="1:23" ht="15.6" x14ac:dyDescent="0.3">
      <c r="A246" s="284"/>
      <c r="B246" s="338" t="s">
        <v>93</v>
      </c>
      <c r="C246" s="382"/>
      <c r="D246" s="382"/>
      <c r="E246" s="382"/>
      <c r="F246" s="311"/>
      <c r="G246" s="383"/>
      <c r="H246" s="382"/>
      <c r="I246" s="382"/>
      <c r="J246" s="382"/>
      <c r="K246" s="382"/>
      <c r="L246" s="382"/>
      <c r="M246" s="382"/>
      <c r="N246" s="382"/>
      <c r="O246" s="382"/>
      <c r="P246" s="338">
        <v>0</v>
      </c>
      <c r="Q246" s="384">
        <f t="shared" si="5"/>
        <v>0</v>
      </c>
      <c r="R246" s="339">
        <v>0</v>
      </c>
      <c r="S246" s="384">
        <f t="shared" si="6"/>
        <v>0</v>
      </c>
      <c r="T246" s="366"/>
      <c r="U246" s="370"/>
      <c r="V246" s="5"/>
    </row>
    <row r="247" spans="1:23" ht="15.6" x14ac:dyDescent="0.3">
      <c r="A247" s="284"/>
      <c r="B247" s="338" t="s">
        <v>163</v>
      </c>
      <c r="C247" s="382"/>
      <c r="D247" s="382"/>
      <c r="E247" s="382"/>
      <c r="F247" s="311"/>
      <c r="G247" s="383"/>
      <c r="H247" s="382"/>
      <c r="I247" s="382"/>
      <c r="J247" s="382"/>
      <c r="K247" s="382"/>
      <c r="L247" s="382"/>
      <c r="M247" s="382"/>
      <c r="N247" s="382"/>
      <c r="O247" s="382"/>
      <c r="P247" s="338">
        <v>0</v>
      </c>
      <c r="Q247" s="384">
        <f t="shared" si="5"/>
        <v>0</v>
      </c>
      <c r="R247" s="339">
        <v>0</v>
      </c>
      <c r="S247" s="384">
        <f t="shared" si="6"/>
        <v>0</v>
      </c>
      <c r="T247" s="366"/>
      <c r="U247" s="370"/>
      <c r="V247" s="5"/>
      <c r="W247" s="109"/>
    </row>
    <row r="248" spans="1:23" ht="15.6" x14ac:dyDescent="0.3">
      <c r="A248" s="284"/>
      <c r="B248" s="338" t="s">
        <v>164</v>
      </c>
      <c r="C248" s="382"/>
      <c r="D248" s="382"/>
      <c r="E248" s="382"/>
      <c r="F248" s="311"/>
      <c r="G248" s="383"/>
      <c r="H248" s="382"/>
      <c r="I248" s="382"/>
      <c r="J248" s="382"/>
      <c r="K248" s="382"/>
      <c r="L248" s="382"/>
      <c r="M248" s="382"/>
      <c r="N248" s="382"/>
      <c r="O248" s="382"/>
      <c r="P248" s="338">
        <v>2</v>
      </c>
      <c r="Q248" s="384">
        <f t="shared" si="5"/>
        <v>5.3705692803437163E-4</v>
      </c>
      <c r="R248" s="339">
        <v>406</v>
      </c>
      <c r="S248" s="384">
        <f t="shared" si="6"/>
        <v>8.4502000158181089E-4</v>
      </c>
      <c r="T248" s="366"/>
      <c r="U248" s="370"/>
      <c r="V248" s="5"/>
    </row>
    <row r="249" spans="1:23" ht="15.6" x14ac:dyDescent="0.3">
      <c r="A249" s="284"/>
      <c r="B249" s="338" t="s">
        <v>165</v>
      </c>
      <c r="C249" s="382"/>
      <c r="D249" s="382"/>
      <c r="E249" s="382"/>
      <c r="F249" s="311"/>
      <c r="G249" s="383"/>
      <c r="H249" s="382"/>
      <c r="I249" s="382"/>
      <c r="J249" s="382"/>
      <c r="K249" s="382"/>
      <c r="L249" s="382"/>
      <c r="M249" s="382"/>
      <c r="N249" s="382"/>
      <c r="O249" s="382"/>
      <c r="P249" s="338">
        <v>0</v>
      </c>
      <c r="Q249" s="384">
        <f t="shared" si="5"/>
        <v>0</v>
      </c>
      <c r="R249" s="339">
        <v>0</v>
      </c>
      <c r="S249" s="384">
        <f t="shared" si="6"/>
        <v>0</v>
      </c>
      <c r="T249" s="366"/>
      <c r="U249" s="370"/>
      <c r="V249" s="5"/>
      <c r="W249" s="109"/>
    </row>
    <row r="250" spans="1:23" ht="15.6" x14ac:dyDescent="0.3">
      <c r="A250" s="284"/>
      <c r="B250" s="338" t="s">
        <v>166</v>
      </c>
      <c r="C250" s="382"/>
      <c r="D250" s="382"/>
      <c r="E250" s="382"/>
      <c r="F250" s="311"/>
      <c r="G250" s="383"/>
      <c r="H250" s="382"/>
      <c r="I250" s="382"/>
      <c r="J250" s="382"/>
      <c r="K250" s="382"/>
      <c r="L250" s="382"/>
      <c r="M250" s="382"/>
      <c r="N250" s="382"/>
      <c r="O250" s="382"/>
      <c r="P250" s="338">
        <v>0</v>
      </c>
      <c r="Q250" s="384">
        <f t="shared" si="5"/>
        <v>0</v>
      </c>
      <c r="R250" s="339">
        <v>0</v>
      </c>
      <c r="S250" s="384">
        <f t="shared" si="6"/>
        <v>0</v>
      </c>
      <c r="T250" s="366"/>
      <c r="U250" s="370"/>
      <c r="V250" s="5"/>
    </row>
    <row r="251" spans="1:23" ht="15.6" x14ac:dyDescent="0.3">
      <c r="A251" s="284"/>
      <c r="B251" s="338" t="s">
        <v>167</v>
      </c>
      <c r="C251" s="382"/>
      <c r="D251" s="382"/>
      <c r="E251" s="382"/>
      <c r="F251" s="311"/>
      <c r="G251" s="383"/>
      <c r="H251" s="382"/>
      <c r="I251" s="382"/>
      <c r="J251" s="382"/>
      <c r="K251" s="382"/>
      <c r="L251" s="382"/>
      <c r="M251" s="382"/>
      <c r="N251" s="382"/>
      <c r="O251" s="382"/>
      <c r="P251" s="338">
        <v>1</v>
      </c>
      <c r="Q251" s="384">
        <f t="shared" si="5"/>
        <v>2.6852846401718581E-4</v>
      </c>
      <c r="R251" s="339">
        <v>79</v>
      </c>
      <c r="S251" s="384">
        <f t="shared" si="6"/>
        <v>1.6442507419941639E-4</v>
      </c>
      <c r="T251" s="366"/>
      <c r="U251" s="370"/>
      <c r="V251" s="5"/>
      <c r="W251" s="109"/>
    </row>
    <row r="252" spans="1:23" ht="15.6" x14ac:dyDescent="0.3">
      <c r="A252" s="284"/>
      <c r="B252" s="338"/>
      <c r="C252" s="382"/>
      <c r="D252" s="382"/>
      <c r="E252" s="382"/>
      <c r="F252" s="311"/>
      <c r="G252" s="383"/>
      <c r="H252" s="382"/>
      <c r="I252" s="382"/>
      <c r="J252" s="382"/>
      <c r="K252" s="382"/>
      <c r="L252" s="382"/>
      <c r="M252" s="382"/>
      <c r="N252" s="382"/>
      <c r="O252" s="382"/>
      <c r="P252" s="338"/>
      <c r="Q252" s="384"/>
      <c r="R252" s="339"/>
      <c r="S252" s="384"/>
      <c r="T252" s="366"/>
      <c r="U252" s="370"/>
      <c r="V252" s="5"/>
    </row>
    <row r="253" spans="1:23" ht="15.6" x14ac:dyDescent="0.3">
      <c r="A253" s="284"/>
      <c r="B253" s="285" t="s">
        <v>120</v>
      </c>
      <c r="C253" s="311"/>
      <c r="D253" s="311"/>
      <c r="E253" s="311"/>
      <c r="F253" s="311"/>
      <c r="G253" s="311"/>
      <c r="H253" s="385"/>
      <c r="I253" s="385"/>
      <c r="J253" s="385"/>
      <c r="K253" s="385"/>
      <c r="L253" s="385"/>
      <c r="M253" s="385"/>
      <c r="N253" s="385"/>
      <c r="O253" s="385"/>
      <c r="P253" s="338">
        <f>SUM(P244:P252)</f>
        <v>3724</v>
      </c>
      <c r="Q253" s="384">
        <f>SUM(Q244:Q252)</f>
        <v>1</v>
      </c>
      <c r="R253" s="339">
        <f>SUM(R244:R252)</f>
        <v>480462</v>
      </c>
      <c r="S253" s="384">
        <f>SUM(S244:S252)</f>
        <v>1</v>
      </c>
      <c r="T253" s="311"/>
      <c r="U253" s="317"/>
      <c r="V253" s="5"/>
    </row>
    <row r="254" spans="1:23" ht="15.6" x14ac:dyDescent="0.3">
      <c r="A254" s="175"/>
      <c r="B254" s="334"/>
      <c r="C254" s="334"/>
      <c r="D254" s="334"/>
      <c r="E254" s="334"/>
      <c r="F254" s="334"/>
      <c r="G254" s="334"/>
      <c r="H254" s="379"/>
      <c r="I254" s="379"/>
      <c r="J254" s="379"/>
      <c r="K254" s="379"/>
      <c r="L254" s="379"/>
      <c r="M254" s="379"/>
      <c r="N254" s="379"/>
      <c r="O254" s="379"/>
      <c r="P254" s="335"/>
      <c r="Q254" s="380"/>
      <c r="R254" s="381"/>
      <c r="S254" s="380"/>
      <c r="T254" s="334"/>
      <c r="U254" s="334"/>
      <c r="V254" s="5"/>
    </row>
    <row r="255" spans="1:23" ht="15.6" x14ac:dyDescent="0.3">
      <c r="A255" s="268"/>
      <c r="B255" s="395" t="s">
        <v>267</v>
      </c>
      <c r="C255" s="396"/>
      <c r="D255" s="396"/>
      <c r="E255" s="396"/>
      <c r="F255" s="402"/>
      <c r="G255" s="396"/>
      <c r="H255" s="396"/>
      <c r="I255" s="396"/>
      <c r="J255" s="396"/>
      <c r="K255" s="396"/>
      <c r="L255" s="396"/>
      <c r="M255" s="396"/>
      <c r="N255" s="396"/>
      <c r="O255" s="396"/>
      <c r="P255" s="402" t="s">
        <v>105</v>
      </c>
      <c r="Q255" s="396" t="s">
        <v>106</v>
      </c>
      <c r="R255" s="402" t="s">
        <v>114</v>
      </c>
      <c r="S255" s="396" t="s">
        <v>106</v>
      </c>
      <c r="T255" s="269"/>
      <c r="U255" s="270"/>
      <c r="V255" s="5"/>
    </row>
    <row r="256" spans="1:23" ht="15.6" x14ac:dyDescent="0.3">
      <c r="A256" s="190"/>
      <c r="B256" s="243" t="s">
        <v>91</v>
      </c>
      <c r="C256" s="217"/>
      <c r="D256" s="217"/>
      <c r="E256" s="217"/>
      <c r="F256" s="191"/>
      <c r="G256" s="217"/>
      <c r="H256" s="217"/>
      <c r="I256" s="217"/>
      <c r="J256" s="217"/>
      <c r="K256" s="217"/>
      <c r="L256" s="217"/>
      <c r="M256" s="217"/>
      <c r="N256" s="217"/>
      <c r="O256" s="217"/>
      <c r="P256" s="243">
        <v>60</v>
      </c>
      <c r="Q256" s="274">
        <f t="shared" ref="Q256:Q263" si="7">P256/$P$265</f>
        <v>0.86956521739130432</v>
      </c>
      <c r="R256" s="251">
        <v>9193</v>
      </c>
      <c r="S256" s="274">
        <f>R256/$R$265</f>
        <v>0.90929772502472794</v>
      </c>
      <c r="T256" s="191"/>
      <c r="U256" s="191"/>
      <c r="V256" s="5"/>
    </row>
    <row r="257" spans="1:22" ht="15.6" x14ac:dyDescent="0.3">
      <c r="A257" s="284"/>
      <c r="B257" s="338" t="s">
        <v>92</v>
      </c>
      <c r="C257" s="382"/>
      <c r="D257" s="382"/>
      <c r="E257" s="382"/>
      <c r="F257" s="311"/>
      <c r="G257" s="383"/>
      <c r="H257" s="382"/>
      <c r="I257" s="382"/>
      <c r="J257" s="382"/>
      <c r="K257" s="382"/>
      <c r="L257" s="382"/>
      <c r="M257" s="382"/>
      <c r="N257" s="382"/>
      <c r="O257" s="382"/>
      <c r="P257" s="338">
        <v>1</v>
      </c>
      <c r="Q257" s="384">
        <f t="shared" si="7"/>
        <v>1.4492753623188406E-2</v>
      </c>
      <c r="R257" s="339">
        <v>51</v>
      </c>
      <c r="S257" s="384">
        <f t="shared" ref="S257:S263" si="8">R257/$R$265</f>
        <v>5.0445103857566769E-3</v>
      </c>
      <c r="T257" s="311"/>
      <c r="U257" s="317"/>
      <c r="V257" s="5"/>
    </row>
    <row r="258" spans="1:22" ht="15.6" x14ac:dyDescent="0.3">
      <c r="A258" s="284"/>
      <c r="B258" s="338" t="s">
        <v>93</v>
      </c>
      <c r="C258" s="382"/>
      <c r="D258" s="382"/>
      <c r="E258" s="382"/>
      <c r="F258" s="311"/>
      <c r="G258" s="383"/>
      <c r="H258" s="382"/>
      <c r="I258" s="382"/>
      <c r="J258" s="382"/>
      <c r="K258" s="382"/>
      <c r="L258" s="382"/>
      <c r="M258" s="382"/>
      <c r="N258" s="382"/>
      <c r="O258" s="382"/>
      <c r="P258" s="338">
        <v>2</v>
      </c>
      <c r="Q258" s="384">
        <f t="shared" si="7"/>
        <v>2.8985507246376812E-2</v>
      </c>
      <c r="R258" s="339">
        <v>103</v>
      </c>
      <c r="S258" s="384">
        <f t="shared" si="8"/>
        <v>1.0187932739861523E-2</v>
      </c>
      <c r="T258" s="311"/>
      <c r="U258" s="317"/>
      <c r="V258" s="5"/>
    </row>
    <row r="259" spans="1:22" ht="15.6" x14ac:dyDescent="0.3">
      <c r="A259" s="284"/>
      <c r="B259" s="338" t="s">
        <v>163</v>
      </c>
      <c r="C259" s="382"/>
      <c r="D259" s="382"/>
      <c r="E259" s="382"/>
      <c r="F259" s="311"/>
      <c r="G259" s="383"/>
      <c r="H259" s="382"/>
      <c r="I259" s="382"/>
      <c r="J259" s="382"/>
      <c r="K259" s="382"/>
      <c r="L259" s="382"/>
      <c r="M259" s="382"/>
      <c r="N259" s="382"/>
      <c r="O259" s="382"/>
      <c r="P259" s="338">
        <v>0</v>
      </c>
      <c r="Q259" s="384">
        <f t="shared" si="7"/>
        <v>0</v>
      </c>
      <c r="R259" s="339">
        <v>0</v>
      </c>
      <c r="S259" s="384">
        <f t="shared" si="8"/>
        <v>0</v>
      </c>
      <c r="T259" s="311"/>
      <c r="U259" s="317"/>
      <c r="V259" s="5"/>
    </row>
    <row r="260" spans="1:22" ht="15.6" x14ac:dyDescent="0.3">
      <c r="A260" s="284"/>
      <c r="B260" s="338" t="s">
        <v>164</v>
      </c>
      <c r="C260" s="382"/>
      <c r="D260" s="382"/>
      <c r="E260" s="382"/>
      <c r="F260" s="311"/>
      <c r="G260" s="383"/>
      <c r="H260" s="382"/>
      <c r="I260" s="382"/>
      <c r="J260" s="382"/>
      <c r="K260" s="382"/>
      <c r="L260" s="382"/>
      <c r="M260" s="382"/>
      <c r="N260" s="382"/>
      <c r="O260" s="382"/>
      <c r="P260" s="338">
        <v>0</v>
      </c>
      <c r="Q260" s="384">
        <f t="shared" si="7"/>
        <v>0</v>
      </c>
      <c r="R260" s="339">
        <v>0</v>
      </c>
      <c r="S260" s="384">
        <f t="shared" si="8"/>
        <v>0</v>
      </c>
      <c r="T260" s="311"/>
      <c r="U260" s="317"/>
      <c r="V260" s="5"/>
    </row>
    <row r="261" spans="1:22" ht="15.6" x14ac:dyDescent="0.3">
      <c r="A261" s="284"/>
      <c r="B261" s="338" t="s">
        <v>165</v>
      </c>
      <c r="C261" s="382"/>
      <c r="D261" s="382"/>
      <c r="E261" s="382"/>
      <c r="F261" s="311"/>
      <c r="G261" s="383"/>
      <c r="H261" s="382"/>
      <c r="I261" s="382"/>
      <c r="J261" s="382"/>
      <c r="K261" s="382"/>
      <c r="L261" s="382"/>
      <c r="M261" s="382"/>
      <c r="N261" s="382"/>
      <c r="O261" s="382"/>
      <c r="P261" s="338">
        <v>1</v>
      </c>
      <c r="Q261" s="384">
        <f t="shared" si="7"/>
        <v>1.4492753623188406E-2</v>
      </c>
      <c r="R261" s="339">
        <v>102</v>
      </c>
      <c r="S261" s="384">
        <f t="shared" si="8"/>
        <v>1.0089020771513354E-2</v>
      </c>
      <c r="T261" s="311"/>
      <c r="U261" s="317"/>
      <c r="V261" s="5"/>
    </row>
    <row r="262" spans="1:22" ht="15.6" x14ac:dyDescent="0.3">
      <c r="A262" s="284"/>
      <c r="B262" s="338" t="s">
        <v>166</v>
      </c>
      <c r="C262" s="382"/>
      <c r="D262" s="382"/>
      <c r="E262" s="382"/>
      <c r="F262" s="311"/>
      <c r="G262" s="383"/>
      <c r="H262" s="382"/>
      <c r="I262" s="382"/>
      <c r="J262" s="382"/>
      <c r="K262" s="382"/>
      <c r="L262" s="382"/>
      <c r="M262" s="382"/>
      <c r="N262" s="382"/>
      <c r="O262" s="382"/>
      <c r="P262" s="338">
        <v>2</v>
      </c>
      <c r="Q262" s="384">
        <f t="shared" si="7"/>
        <v>2.8985507246376812E-2</v>
      </c>
      <c r="R262" s="339">
        <v>133</v>
      </c>
      <c r="S262" s="384">
        <f t="shared" si="8"/>
        <v>1.3155291790306627E-2</v>
      </c>
      <c r="T262" s="311"/>
      <c r="U262" s="317"/>
      <c r="V262" s="5"/>
    </row>
    <row r="263" spans="1:22" ht="15.6" x14ac:dyDescent="0.3">
      <c r="A263" s="284"/>
      <c r="B263" s="338" t="s">
        <v>167</v>
      </c>
      <c r="C263" s="382"/>
      <c r="D263" s="382"/>
      <c r="E263" s="382"/>
      <c r="F263" s="311"/>
      <c r="G263" s="383"/>
      <c r="H263" s="382"/>
      <c r="I263" s="382"/>
      <c r="J263" s="382"/>
      <c r="K263" s="382"/>
      <c r="L263" s="382"/>
      <c r="M263" s="382"/>
      <c r="N263" s="382"/>
      <c r="O263" s="382"/>
      <c r="P263" s="338">
        <v>3</v>
      </c>
      <c r="Q263" s="384">
        <f t="shared" si="7"/>
        <v>4.3478260869565216E-2</v>
      </c>
      <c r="R263" s="339">
        <v>528</v>
      </c>
      <c r="S263" s="384">
        <f t="shared" si="8"/>
        <v>5.2225519287833831E-2</v>
      </c>
      <c r="T263" s="311"/>
      <c r="U263" s="317"/>
      <c r="V263" s="5"/>
    </row>
    <row r="264" spans="1:22" ht="15.6" x14ac:dyDescent="0.3">
      <c r="A264" s="284"/>
      <c r="B264" s="338"/>
      <c r="C264" s="382"/>
      <c r="D264" s="382"/>
      <c r="E264" s="382"/>
      <c r="F264" s="311"/>
      <c r="G264" s="383"/>
      <c r="H264" s="382"/>
      <c r="I264" s="382"/>
      <c r="J264" s="382"/>
      <c r="K264" s="382"/>
      <c r="L264" s="382"/>
      <c r="M264" s="382"/>
      <c r="N264" s="382"/>
      <c r="O264" s="382"/>
      <c r="P264" s="338"/>
      <c r="Q264" s="384"/>
      <c r="R264" s="339"/>
      <c r="S264" s="384"/>
      <c r="T264" s="311"/>
      <c r="U264" s="317"/>
      <c r="V264" s="5"/>
    </row>
    <row r="265" spans="1:22" ht="15.6" x14ac:dyDescent="0.3">
      <c r="A265" s="284"/>
      <c r="B265" s="285" t="s">
        <v>120</v>
      </c>
      <c r="C265" s="311"/>
      <c r="D265" s="311"/>
      <c r="E265" s="311"/>
      <c r="F265" s="311"/>
      <c r="G265" s="311"/>
      <c r="H265" s="385"/>
      <c r="I265" s="385"/>
      <c r="J265" s="385"/>
      <c r="K265" s="385"/>
      <c r="L265" s="385"/>
      <c r="M265" s="385"/>
      <c r="N265" s="385"/>
      <c r="O265" s="385"/>
      <c r="P265" s="338">
        <f>SUM(P256:P264)</f>
        <v>69</v>
      </c>
      <c r="Q265" s="384">
        <f>SUM(Q256:Q264)</f>
        <v>0.99999999999999989</v>
      </c>
      <c r="R265" s="339">
        <f>SUM(R256:R264)</f>
        <v>10110</v>
      </c>
      <c r="S265" s="384">
        <f>SUM(S256:S264)</f>
        <v>0.99999999999999989</v>
      </c>
      <c r="T265" s="311"/>
      <c r="U265" s="317"/>
      <c r="V265" s="5"/>
    </row>
    <row r="266" spans="1:22" ht="15.6" x14ac:dyDescent="0.3">
      <c r="A266" s="175"/>
      <c r="B266" s="334"/>
      <c r="C266" s="334"/>
      <c r="D266" s="334"/>
      <c r="E266" s="334"/>
      <c r="F266" s="334"/>
      <c r="G266" s="334"/>
      <c r="H266" s="379"/>
      <c r="I266" s="379"/>
      <c r="J266" s="379"/>
      <c r="K266" s="379"/>
      <c r="L266" s="379"/>
      <c r="M266" s="379"/>
      <c r="N266" s="379"/>
      <c r="O266" s="379"/>
      <c r="P266" s="335"/>
      <c r="Q266" s="380"/>
      <c r="R266" s="381"/>
      <c r="S266" s="380"/>
      <c r="T266" s="334"/>
      <c r="U266" s="334"/>
      <c r="V266" s="5"/>
    </row>
    <row r="267" spans="1:22" ht="15.6" x14ac:dyDescent="0.3">
      <c r="A267" s="268"/>
      <c r="B267" s="395" t="s">
        <v>170</v>
      </c>
      <c r="C267" s="269"/>
      <c r="D267" s="269"/>
      <c r="E267" s="269"/>
      <c r="F267" s="269"/>
      <c r="G267" s="269"/>
      <c r="H267" s="271"/>
      <c r="I267" s="271"/>
      <c r="J267" s="271"/>
      <c r="K267" s="271"/>
      <c r="L267" s="271"/>
      <c r="M267" s="271"/>
      <c r="N267" s="271"/>
      <c r="O267" s="271"/>
      <c r="P267" s="402" t="s">
        <v>105</v>
      </c>
      <c r="Q267" s="396" t="s">
        <v>106</v>
      </c>
      <c r="R267" s="402" t="s">
        <v>114</v>
      </c>
      <c r="S267" s="396" t="s">
        <v>106</v>
      </c>
      <c r="T267" s="269"/>
      <c r="U267" s="270"/>
      <c r="V267" s="5"/>
    </row>
    <row r="268" spans="1:22" ht="15.6" x14ac:dyDescent="0.3">
      <c r="A268" s="190"/>
      <c r="B268" s="243" t="s">
        <v>91</v>
      </c>
      <c r="C268" s="239"/>
      <c r="D268" s="239"/>
      <c r="E268" s="239"/>
      <c r="F268" s="239"/>
      <c r="G268" s="239"/>
      <c r="H268" s="275"/>
      <c r="I268" s="275"/>
      <c r="J268" s="275"/>
      <c r="K268" s="275"/>
      <c r="L268" s="218"/>
      <c r="M268" s="218"/>
      <c r="N268" s="218"/>
      <c r="O268" s="218"/>
      <c r="P268" s="243">
        <v>0</v>
      </c>
      <c r="Q268" s="274">
        <v>0</v>
      </c>
      <c r="R268" s="251">
        <v>0</v>
      </c>
      <c r="S268" s="274">
        <v>0</v>
      </c>
      <c r="T268" s="239"/>
      <c r="U268" s="191"/>
      <c r="V268" s="5"/>
    </row>
    <row r="269" spans="1:22" ht="15.6" x14ac:dyDescent="0.3">
      <c r="A269" s="284"/>
      <c r="B269" s="338" t="s">
        <v>92</v>
      </c>
      <c r="C269" s="285"/>
      <c r="D269" s="285"/>
      <c r="E269" s="285"/>
      <c r="F269" s="285"/>
      <c r="G269" s="285"/>
      <c r="H269" s="387"/>
      <c r="I269" s="387"/>
      <c r="J269" s="387"/>
      <c r="K269" s="387"/>
      <c r="L269" s="385"/>
      <c r="M269" s="385"/>
      <c r="N269" s="385"/>
      <c r="O269" s="385"/>
      <c r="P269" s="338">
        <v>0</v>
      </c>
      <c r="Q269" s="384">
        <v>0</v>
      </c>
      <c r="R269" s="339">
        <v>0</v>
      </c>
      <c r="S269" s="384">
        <v>0</v>
      </c>
      <c r="T269" s="285"/>
      <c r="U269" s="317"/>
      <c r="V269" s="5"/>
    </row>
    <row r="270" spans="1:22" ht="15.6" x14ac:dyDescent="0.3">
      <c r="A270" s="284"/>
      <c r="B270" s="338" t="s">
        <v>93</v>
      </c>
      <c r="C270" s="285"/>
      <c r="D270" s="285"/>
      <c r="E270" s="285"/>
      <c r="F270" s="285"/>
      <c r="G270" s="285"/>
      <c r="H270" s="387"/>
      <c r="I270" s="387"/>
      <c r="J270" s="387"/>
      <c r="K270" s="387"/>
      <c r="L270" s="385"/>
      <c r="M270" s="385"/>
      <c r="N270" s="385"/>
      <c r="O270" s="385"/>
      <c r="P270" s="338">
        <v>0</v>
      </c>
      <c r="Q270" s="384">
        <v>0</v>
      </c>
      <c r="R270" s="339">
        <v>0</v>
      </c>
      <c r="S270" s="384">
        <v>0</v>
      </c>
      <c r="T270" s="285"/>
      <c r="U270" s="317"/>
      <c r="V270" s="5"/>
    </row>
    <row r="271" spans="1:22" ht="15.6" x14ac:dyDescent="0.3">
      <c r="A271" s="284"/>
      <c r="B271" s="338" t="s">
        <v>163</v>
      </c>
      <c r="C271" s="285"/>
      <c r="D271" s="285"/>
      <c r="E271" s="285"/>
      <c r="F271" s="285"/>
      <c r="G271" s="285"/>
      <c r="H271" s="387"/>
      <c r="I271" s="387"/>
      <c r="J271" s="387"/>
      <c r="K271" s="387"/>
      <c r="L271" s="385"/>
      <c r="M271" s="385"/>
      <c r="N271" s="385"/>
      <c r="O271" s="385"/>
      <c r="P271" s="338">
        <v>0</v>
      </c>
      <c r="Q271" s="384">
        <v>0</v>
      </c>
      <c r="R271" s="339">
        <v>0</v>
      </c>
      <c r="S271" s="384">
        <v>0</v>
      </c>
      <c r="T271" s="285"/>
      <c r="U271" s="317"/>
      <c r="V271" s="5"/>
    </row>
    <row r="272" spans="1:22" ht="15.6" x14ac:dyDescent="0.3">
      <c r="A272" s="284"/>
      <c r="B272" s="338" t="s">
        <v>164</v>
      </c>
      <c r="C272" s="285"/>
      <c r="D272" s="285"/>
      <c r="E272" s="285"/>
      <c r="F272" s="285"/>
      <c r="G272" s="285"/>
      <c r="H272" s="387"/>
      <c r="I272" s="387"/>
      <c r="J272" s="387"/>
      <c r="K272" s="387"/>
      <c r="L272" s="385"/>
      <c r="M272" s="385"/>
      <c r="N272" s="385"/>
      <c r="O272" s="385"/>
      <c r="P272" s="338">
        <v>0</v>
      </c>
      <c r="Q272" s="384">
        <v>0</v>
      </c>
      <c r="R272" s="339">
        <v>0</v>
      </c>
      <c r="S272" s="384">
        <v>0</v>
      </c>
      <c r="T272" s="285"/>
      <c r="U272" s="317"/>
      <c r="V272" s="5"/>
    </row>
    <row r="273" spans="1:22" ht="15.6" x14ac:dyDescent="0.3">
      <c r="A273" s="284"/>
      <c r="B273" s="338" t="s">
        <v>165</v>
      </c>
      <c r="C273" s="285"/>
      <c r="D273" s="285"/>
      <c r="E273" s="285"/>
      <c r="F273" s="285"/>
      <c r="G273" s="285"/>
      <c r="H273" s="387"/>
      <c r="I273" s="387"/>
      <c r="J273" s="387"/>
      <c r="K273" s="387"/>
      <c r="L273" s="385"/>
      <c r="M273" s="385"/>
      <c r="N273" s="385"/>
      <c r="O273" s="385"/>
      <c r="P273" s="338">
        <v>0</v>
      </c>
      <c r="Q273" s="384">
        <v>0</v>
      </c>
      <c r="R273" s="339">
        <v>0</v>
      </c>
      <c r="S273" s="384">
        <v>0</v>
      </c>
      <c r="T273" s="285"/>
      <c r="U273" s="317"/>
      <c r="V273" s="5"/>
    </row>
    <row r="274" spans="1:22" ht="15.6" x14ac:dyDescent="0.3">
      <c r="A274" s="284"/>
      <c r="B274" s="338" t="s">
        <v>166</v>
      </c>
      <c r="C274" s="285"/>
      <c r="D274" s="285"/>
      <c r="E274" s="285"/>
      <c r="F274" s="285"/>
      <c r="G274" s="285"/>
      <c r="H274" s="387"/>
      <c r="I274" s="387"/>
      <c r="J274" s="387"/>
      <c r="K274" s="387"/>
      <c r="L274" s="385"/>
      <c r="M274" s="385"/>
      <c r="N274" s="385"/>
      <c r="O274" s="385"/>
      <c r="P274" s="338">
        <v>0</v>
      </c>
      <c r="Q274" s="384">
        <v>0</v>
      </c>
      <c r="R274" s="339">
        <v>0</v>
      </c>
      <c r="S274" s="384">
        <v>0</v>
      </c>
      <c r="T274" s="285"/>
      <c r="U274" s="317"/>
      <c r="V274" s="5"/>
    </row>
    <row r="275" spans="1:22" ht="15.6" x14ac:dyDescent="0.3">
      <c r="A275" s="284"/>
      <c r="B275" s="338" t="s">
        <v>167</v>
      </c>
      <c r="C275" s="285"/>
      <c r="D275" s="285"/>
      <c r="E275" s="285"/>
      <c r="F275" s="285"/>
      <c r="G275" s="285"/>
      <c r="H275" s="387"/>
      <c r="I275" s="387"/>
      <c r="J275" s="387"/>
      <c r="K275" s="387"/>
      <c r="L275" s="385"/>
      <c r="M275" s="385"/>
      <c r="N275" s="385"/>
      <c r="O275" s="385"/>
      <c r="P275" s="338">
        <v>0</v>
      </c>
      <c r="Q275" s="384">
        <v>0</v>
      </c>
      <c r="R275" s="339">
        <v>0</v>
      </c>
      <c r="S275" s="384">
        <v>0</v>
      </c>
      <c r="T275" s="285"/>
      <c r="U275" s="317"/>
      <c r="V275" s="5"/>
    </row>
    <row r="276" spans="1:22" ht="15.6" x14ac:dyDescent="0.3">
      <c r="A276" s="284"/>
      <c r="B276" s="338"/>
      <c r="C276" s="285"/>
      <c r="D276" s="285"/>
      <c r="E276" s="285"/>
      <c r="F276" s="285"/>
      <c r="G276" s="285"/>
      <c r="H276" s="387"/>
      <c r="I276" s="387"/>
      <c r="J276" s="387"/>
      <c r="K276" s="387"/>
      <c r="L276" s="385"/>
      <c r="M276" s="385"/>
      <c r="N276" s="385"/>
      <c r="O276" s="385"/>
      <c r="P276" s="338"/>
      <c r="Q276" s="384"/>
      <c r="R276" s="339"/>
      <c r="S276" s="384"/>
      <c r="T276" s="285"/>
      <c r="U276" s="317"/>
      <c r="V276" s="5"/>
    </row>
    <row r="277" spans="1:22" ht="15.6" x14ac:dyDescent="0.3">
      <c r="A277" s="284"/>
      <c r="B277" s="285" t="s">
        <v>120</v>
      </c>
      <c r="C277" s="285"/>
      <c r="D277" s="285"/>
      <c r="E277" s="285"/>
      <c r="F277" s="285"/>
      <c r="G277" s="285"/>
      <c r="H277" s="387"/>
      <c r="I277" s="387"/>
      <c r="J277" s="387"/>
      <c r="K277" s="387"/>
      <c r="L277" s="385"/>
      <c r="M277" s="385"/>
      <c r="N277" s="385"/>
      <c r="O277" s="385"/>
      <c r="P277" s="338">
        <f>SUM(P268:P275)</f>
        <v>0</v>
      </c>
      <c r="Q277" s="384">
        <f>SUM(Q268:Q276)</f>
        <v>0</v>
      </c>
      <c r="R277" s="339">
        <f>SUM(R268:R275)</f>
        <v>0</v>
      </c>
      <c r="S277" s="384">
        <f>SUM(S268:S276)</f>
        <v>0</v>
      </c>
      <c r="T277" s="285"/>
      <c r="U277" s="317"/>
      <c r="V277" s="5"/>
    </row>
    <row r="278" spans="1:22" ht="15.6" x14ac:dyDescent="0.3">
      <c r="A278" s="284"/>
      <c r="B278" s="285"/>
      <c r="C278" s="285"/>
      <c r="D278" s="285"/>
      <c r="E278" s="285"/>
      <c r="F278" s="285"/>
      <c r="G278" s="285"/>
      <c r="H278" s="387"/>
      <c r="I278" s="387"/>
      <c r="J278" s="387"/>
      <c r="K278" s="387"/>
      <c r="L278" s="385"/>
      <c r="M278" s="385"/>
      <c r="N278" s="385"/>
      <c r="O278" s="385"/>
      <c r="P278" s="344"/>
      <c r="Q278" s="388"/>
      <c r="R278" s="345"/>
      <c r="S278" s="388"/>
      <c r="T278" s="311"/>
      <c r="U278" s="317"/>
      <c r="V278" s="5"/>
    </row>
    <row r="279" spans="1:22" ht="15.6" x14ac:dyDescent="0.3">
      <c r="A279" s="284"/>
      <c r="B279" s="292" t="s">
        <v>171</v>
      </c>
      <c r="C279" s="285"/>
      <c r="D279" s="285"/>
      <c r="E279" s="285"/>
      <c r="F279" s="285"/>
      <c r="G279" s="285"/>
      <c r="H279" s="387"/>
      <c r="I279" s="387"/>
      <c r="J279" s="387"/>
      <c r="K279" s="387"/>
      <c r="L279" s="385"/>
      <c r="M279" s="385"/>
      <c r="N279" s="385"/>
      <c r="O279" s="385"/>
      <c r="P279" s="403">
        <f>P277+P265+P253</f>
        <v>3793</v>
      </c>
      <c r="Q279" s="384"/>
      <c r="R279" s="404">
        <f>+R277+R265+R253</f>
        <v>490572</v>
      </c>
      <c r="S279" s="384"/>
      <c r="T279" s="311"/>
      <c r="U279" s="317"/>
      <c r="V279" s="5"/>
    </row>
    <row r="280" spans="1:22" ht="15.6" x14ac:dyDescent="0.3">
      <c r="A280" s="175"/>
      <c r="B280" s="281"/>
      <c r="C280" s="281"/>
      <c r="D280" s="281"/>
      <c r="E280" s="281"/>
      <c r="F280" s="281"/>
      <c r="G280" s="281"/>
      <c r="H280" s="386"/>
      <c r="I280" s="386"/>
      <c r="J280" s="386"/>
      <c r="K280" s="386"/>
      <c r="L280" s="379"/>
      <c r="M280" s="379"/>
      <c r="N280" s="379"/>
      <c r="O280" s="379"/>
      <c r="P280" s="379"/>
      <c r="Q280" s="379"/>
      <c r="R280" s="381"/>
      <c r="S280" s="379"/>
      <c r="T280" s="334"/>
      <c r="U280" s="334"/>
      <c r="V280" s="5"/>
    </row>
    <row r="281" spans="1:22" ht="15.6" x14ac:dyDescent="0.3">
      <c r="A281" s="175"/>
      <c r="B281" s="231"/>
      <c r="C281" s="231"/>
      <c r="D281" s="231"/>
      <c r="E281" s="231"/>
      <c r="F281" s="231"/>
      <c r="G281" s="231"/>
      <c r="H281" s="276"/>
      <c r="I281" s="276"/>
      <c r="J281" s="276"/>
      <c r="K281" s="276"/>
      <c r="L281" s="219"/>
      <c r="M281" s="219"/>
      <c r="N281" s="219"/>
      <c r="O281" s="219"/>
      <c r="P281" s="219"/>
      <c r="Q281" s="219"/>
      <c r="R281" s="220"/>
      <c r="S281" s="219"/>
      <c r="T281" s="177"/>
      <c r="U281" s="177"/>
      <c r="V281" s="5"/>
    </row>
    <row r="282" spans="1:22" ht="15.6" x14ac:dyDescent="0.3">
      <c r="A282" s="221"/>
      <c r="B282" s="230" t="s">
        <v>94</v>
      </c>
      <c r="C282" s="231"/>
      <c r="D282" s="231"/>
      <c r="E282" s="231"/>
      <c r="F282" s="236" t="s">
        <v>100</v>
      </c>
      <c r="G282" s="231"/>
      <c r="H282" s="230" t="s">
        <v>102</v>
      </c>
      <c r="I282" s="277"/>
      <c r="J282" s="277"/>
      <c r="K282" s="277"/>
      <c r="L282" s="188"/>
      <c r="M282" s="188"/>
      <c r="N282" s="188"/>
      <c r="O282" s="188"/>
      <c r="P282" s="188"/>
      <c r="Q282" s="188"/>
      <c r="R282" s="188"/>
      <c r="S282" s="188"/>
      <c r="T282" s="188"/>
      <c r="U282" s="188"/>
      <c r="V282" s="5"/>
    </row>
    <row r="283" spans="1:22" ht="15.6" x14ac:dyDescent="0.3">
      <c r="A283" s="221"/>
      <c r="B283" s="230" t="s">
        <v>316</v>
      </c>
      <c r="C283" s="230"/>
      <c r="D283" s="230"/>
      <c r="E283" s="230"/>
      <c r="F283" s="278" t="s">
        <v>154</v>
      </c>
      <c r="G283" s="230"/>
      <c r="H283" s="230" t="s">
        <v>158</v>
      </c>
      <c r="I283" s="277"/>
      <c r="J283" s="277"/>
      <c r="K283" s="277"/>
      <c r="L283" s="188"/>
      <c r="M283" s="188"/>
      <c r="N283" s="188"/>
      <c r="O283" s="188"/>
      <c r="P283" s="188"/>
      <c r="Q283" s="188"/>
      <c r="R283" s="188"/>
      <c r="S283" s="188"/>
      <c r="T283" s="188"/>
      <c r="U283" s="188"/>
      <c r="V283" s="5"/>
    </row>
    <row r="284" spans="1:22" ht="15.6" x14ac:dyDescent="0.3">
      <c r="A284" s="221"/>
      <c r="B284" s="230" t="s">
        <v>317</v>
      </c>
      <c r="C284" s="230"/>
      <c r="D284" s="230"/>
      <c r="E284" s="230"/>
      <c r="F284" s="278" t="s">
        <v>269</v>
      </c>
      <c r="G284" s="230"/>
      <c r="H284" s="230" t="s">
        <v>270</v>
      </c>
      <c r="I284" s="277"/>
      <c r="J284" s="277"/>
      <c r="K284" s="277"/>
      <c r="L284" s="188"/>
      <c r="M284" s="188"/>
      <c r="N284" s="188"/>
      <c r="O284" s="188"/>
      <c r="P284" s="188"/>
      <c r="Q284" s="188"/>
      <c r="R284" s="188"/>
      <c r="S284" s="188"/>
      <c r="T284" s="188"/>
      <c r="U284" s="188"/>
      <c r="V284" s="5"/>
    </row>
    <row r="285" spans="1:22" ht="15.6" x14ac:dyDescent="0.3">
      <c r="A285" s="221"/>
      <c r="B285" s="230" t="s">
        <v>318</v>
      </c>
      <c r="C285" s="230"/>
      <c r="D285" s="230"/>
      <c r="E285" s="230"/>
      <c r="F285" s="278" t="s">
        <v>153</v>
      </c>
      <c r="G285" s="230"/>
      <c r="H285" s="230" t="s">
        <v>159</v>
      </c>
      <c r="I285" s="277"/>
      <c r="J285" s="277"/>
      <c r="K285" s="277"/>
      <c r="L285" s="188"/>
      <c r="M285" s="188"/>
      <c r="N285" s="188"/>
      <c r="O285" s="188"/>
      <c r="P285" s="188"/>
      <c r="Q285" s="188"/>
      <c r="R285" s="188"/>
      <c r="S285" s="188"/>
      <c r="T285" s="188"/>
      <c r="U285" s="188"/>
      <c r="V285" s="5"/>
    </row>
    <row r="286" spans="1:22" ht="15.6" x14ac:dyDescent="0.3">
      <c r="A286" s="221"/>
      <c r="B286" s="230"/>
      <c r="C286" s="230"/>
      <c r="D286" s="230"/>
      <c r="E286" s="230"/>
      <c r="F286" s="230"/>
      <c r="G286" s="279"/>
      <c r="H286" s="277"/>
      <c r="I286" s="277"/>
      <c r="J286" s="277"/>
      <c r="K286" s="277"/>
      <c r="L286" s="188"/>
      <c r="M286" s="188"/>
      <c r="N286" s="188"/>
      <c r="O286" s="188"/>
      <c r="P286" s="188"/>
      <c r="Q286" s="188"/>
      <c r="R286" s="188"/>
      <c r="S286" s="188"/>
      <c r="T286" s="188"/>
      <c r="U286" s="188"/>
      <c r="V286" s="5"/>
    </row>
    <row r="287" spans="1:22" ht="15.6" x14ac:dyDescent="0.3">
      <c r="A287" s="221"/>
      <c r="B287" s="230"/>
      <c r="C287" s="230"/>
      <c r="D287" s="230"/>
      <c r="E287" s="230"/>
      <c r="F287" s="230"/>
      <c r="G287" s="279"/>
      <c r="H287" s="277"/>
      <c r="I287" s="277"/>
      <c r="J287" s="277"/>
      <c r="K287" s="277"/>
      <c r="L287" s="188"/>
      <c r="M287" s="188"/>
      <c r="N287" s="188"/>
      <c r="O287" s="188"/>
      <c r="P287" s="188"/>
      <c r="Q287" s="188"/>
      <c r="R287" s="188"/>
      <c r="S287" s="188"/>
      <c r="T287" s="188"/>
      <c r="U287" s="188"/>
      <c r="V287" s="5"/>
    </row>
    <row r="288" spans="1:22" ht="18" thickBot="1" x14ac:dyDescent="0.35">
      <c r="A288" s="221"/>
      <c r="B288" s="280" t="str">
        <f>B193</f>
        <v>PM11 INVESTOR REPORT QUARTER ENDING SEPTEMBER 2015</v>
      </c>
      <c r="C288" s="230"/>
      <c r="D288" s="230"/>
      <c r="E288" s="230"/>
      <c r="F288" s="230"/>
      <c r="G288" s="279"/>
      <c r="H288" s="277"/>
      <c r="I288" s="277"/>
      <c r="J288" s="277"/>
      <c r="K288" s="277"/>
      <c r="L288" s="188"/>
      <c r="M288" s="188"/>
      <c r="N288" s="188"/>
      <c r="O288" s="188"/>
      <c r="P288" s="188"/>
      <c r="Q288" s="188"/>
      <c r="R288" s="188"/>
      <c r="S288" s="188"/>
      <c r="T288" s="188"/>
      <c r="U288" s="188"/>
      <c r="V288" s="5"/>
    </row>
    <row r="289" spans="1:21" x14ac:dyDescent="0.25">
      <c r="A289" s="100"/>
      <c r="B289" s="100"/>
      <c r="C289" s="100"/>
      <c r="D289" s="100"/>
      <c r="E289" s="100"/>
      <c r="F289" s="100"/>
      <c r="G289" s="100"/>
      <c r="H289" s="100"/>
      <c r="I289" s="100"/>
      <c r="J289" s="100"/>
      <c r="K289" s="100"/>
      <c r="L289" s="100"/>
      <c r="M289" s="100"/>
      <c r="N289" s="100"/>
      <c r="O289" s="100"/>
      <c r="P289" s="100"/>
      <c r="Q289" s="100"/>
      <c r="R289" s="100"/>
      <c r="S289" s="100"/>
      <c r="T289" s="100"/>
      <c r="U289" s="100"/>
    </row>
  </sheetData>
  <hyperlinks>
    <hyperlink ref="N229" r:id="rId1" xr:uid="{00000000-0004-0000-2500-000000000000}"/>
    <hyperlink ref="J9" r:id="rId2" xr:uid="{00000000-0004-0000-25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4" max="20" man="1"/>
    <brk id="133" max="20" man="1"/>
    <brk id="193" max="20" man="1"/>
  </rowBreaks>
  <drawing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89CB31"/>
  </sheetPr>
  <dimension ref="A1:X289"/>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08984375" style="1" customWidth="1"/>
    <col min="10" max="10" width="17.81640625" style="1" customWidth="1"/>
    <col min="11" max="11" width="2.1796875" style="1" customWidth="1"/>
    <col min="12" max="12" width="14.81640625" style="1" customWidth="1"/>
    <col min="13" max="13" width="2.1796875" style="1" customWidth="1"/>
    <col min="14" max="14" width="15.54296875" style="1" customWidth="1"/>
    <col min="15" max="15" width="2.08984375" style="1" customWidth="1"/>
    <col min="16" max="16" width="15.54296875" style="1" customWidth="1"/>
    <col min="17" max="18" width="12.81640625" style="1" customWidth="1"/>
    <col min="19" max="19" width="7.81640625" style="1" customWidth="1"/>
    <col min="20" max="20" width="14.81640625" style="1" customWidth="1"/>
    <col min="21" max="21" width="11.81640625" style="1" customWidth="1"/>
    <col min="22" max="16384" width="9.81640625" style="1"/>
  </cols>
  <sheetData>
    <row r="1" spans="1:22" ht="20.399999999999999" x14ac:dyDescent="0.35">
      <c r="A1" s="173"/>
      <c r="B1" s="228" t="s">
        <v>228</v>
      </c>
      <c r="C1" s="174"/>
      <c r="D1" s="174"/>
      <c r="E1" s="174"/>
      <c r="F1" s="174"/>
      <c r="G1" s="174"/>
      <c r="H1" s="174"/>
      <c r="I1" s="174"/>
      <c r="J1" s="174"/>
      <c r="K1" s="174"/>
      <c r="L1" s="174"/>
      <c r="M1" s="174"/>
      <c r="N1" s="174"/>
      <c r="O1" s="174"/>
      <c r="P1" s="174"/>
      <c r="Q1" s="174"/>
      <c r="R1" s="174"/>
      <c r="S1" s="174"/>
      <c r="T1" s="174"/>
      <c r="U1" s="174"/>
      <c r="V1" s="5"/>
    </row>
    <row r="2" spans="1:22" ht="15.6" x14ac:dyDescent="0.3">
      <c r="A2" s="175"/>
      <c r="B2" s="176"/>
      <c r="C2" s="177"/>
      <c r="D2" s="177"/>
      <c r="E2" s="177"/>
      <c r="F2" s="177"/>
      <c r="G2" s="177"/>
      <c r="H2" s="177"/>
      <c r="I2" s="177"/>
      <c r="J2" s="177"/>
      <c r="K2" s="177"/>
      <c r="L2" s="177"/>
      <c r="M2" s="177"/>
      <c r="N2" s="177"/>
      <c r="O2" s="177"/>
      <c r="P2" s="177"/>
      <c r="Q2" s="177"/>
      <c r="R2" s="177"/>
      <c r="S2" s="177"/>
      <c r="T2" s="177"/>
      <c r="U2" s="177"/>
      <c r="V2" s="5"/>
    </row>
    <row r="3" spans="1:22" ht="15.6" x14ac:dyDescent="0.3">
      <c r="A3" s="178"/>
      <c r="B3" s="179" t="s">
        <v>229</v>
      </c>
      <c r="C3" s="177"/>
      <c r="D3" s="177"/>
      <c r="E3" s="177"/>
      <c r="F3" s="177"/>
      <c r="G3" s="177"/>
      <c r="H3" s="177"/>
      <c r="I3" s="177"/>
      <c r="J3" s="177"/>
      <c r="K3" s="177"/>
      <c r="L3" s="177"/>
      <c r="M3" s="177"/>
      <c r="N3" s="177"/>
      <c r="O3" s="177"/>
      <c r="P3" s="177"/>
      <c r="Q3" s="177"/>
      <c r="R3" s="177"/>
      <c r="S3" s="177"/>
      <c r="T3" s="177"/>
      <c r="U3" s="177"/>
      <c r="V3" s="5"/>
    </row>
    <row r="4" spans="1:22" ht="15.6" x14ac:dyDescent="0.3">
      <c r="A4" s="175"/>
      <c r="B4" s="176"/>
      <c r="C4" s="177"/>
      <c r="D4" s="177"/>
      <c r="E4" s="177"/>
      <c r="F4" s="177"/>
      <c r="G4" s="177"/>
      <c r="H4" s="177"/>
      <c r="I4" s="177"/>
      <c r="J4" s="177"/>
      <c r="K4" s="177"/>
      <c r="L4" s="177"/>
      <c r="M4" s="177"/>
      <c r="N4" s="177"/>
      <c r="O4" s="177"/>
      <c r="P4" s="177"/>
      <c r="Q4" s="177"/>
      <c r="R4" s="177"/>
      <c r="S4" s="177"/>
      <c r="T4" s="177"/>
      <c r="U4" s="177"/>
      <c r="V4" s="5"/>
    </row>
    <row r="5" spans="1:22" ht="15.6" x14ac:dyDescent="0.3">
      <c r="A5" s="175"/>
      <c r="B5" s="229" t="s">
        <v>143</v>
      </c>
      <c r="C5" s="177"/>
      <c r="D5" s="177"/>
      <c r="E5" s="177"/>
      <c r="F5" s="177"/>
      <c r="G5" s="177"/>
      <c r="H5" s="177"/>
      <c r="I5" s="177"/>
      <c r="J5" s="177"/>
      <c r="K5" s="177"/>
      <c r="L5" s="177"/>
      <c r="M5" s="177"/>
      <c r="N5" s="177"/>
      <c r="O5" s="177"/>
      <c r="P5" s="177"/>
      <c r="Q5" s="177"/>
      <c r="R5" s="177"/>
      <c r="S5" s="177"/>
      <c r="T5" s="177"/>
      <c r="U5" s="177"/>
      <c r="V5" s="5"/>
    </row>
    <row r="6" spans="1:22" ht="15.6" x14ac:dyDescent="0.3">
      <c r="A6" s="175"/>
      <c r="B6" s="229" t="s">
        <v>145</v>
      </c>
      <c r="C6" s="177"/>
      <c r="D6" s="177"/>
      <c r="E6" s="177"/>
      <c r="F6" s="177"/>
      <c r="G6" s="177"/>
      <c r="H6" s="177"/>
      <c r="I6" s="177"/>
      <c r="J6" s="177"/>
      <c r="K6" s="177"/>
      <c r="L6" s="177"/>
      <c r="M6" s="177"/>
      <c r="N6" s="177"/>
      <c r="O6" s="177"/>
      <c r="P6" s="177"/>
      <c r="Q6" s="177"/>
      <c r="R6" s="177"/>
      <c r="S6" s="177"/>
      <c r="T6" s="177"/>
      <c r="U6" s="177"/>
      <c r="V6" s="5"/>
    </row>
    <row r="7" spans="1:22" ht="15.6" x14ac:dyDescent="0.3">
      <c r="A7" s="175"/>
      <c r="B7" s="229" t="s">
        <v>144</v>
      </c>
      <c r="C7" s="177"/>
      <c r="D7" s="177"/>
      <c r="E7" s="177"/>
      <c r="F7" s="177"/>
      <c r="G7" s="177"/>
      <c r="H7" s="177"/>
      <c r="I7" s="177"/>
      <c r="J7" s="177"/>
      <c r="K7" s="177"/>
      <c r="L7" s="177"/>
      <c r="M7" s="177"/>
      <c r="N7" s="177"/>
      <c r="O7" s="177"/>
      <c r="P7" s="177"/>
      <c r="Q7" s="177"/>
      <c r="R7" s="177"/>
      <c r="S7" s="177"/>
      <c r="T7" s="177"/>
      <c r="U7" s="177"/>
      <c r="V7" s="5"/>
    </row>
    <row r="8" spans="1:22" ht="15.6" x14ac:dyDescent="0.3">
      <c r="A8" s="175"/>
      <c r="B8" s="180"/>
      <c r="C8" s="177"/>
      <c r="D8" s="177"/>
      <c r="E8" s="177"/>
      <c r="F8" s="177"/>
      <c r="G8" s="177"/>
      <c r="H8" s="177"/>
      <c r="I8" s="177"/>
      <c r="J8" s="177"/>
      <c r="K8" s="177"/>
      <c r="L8" s="177"/>
      <c r="M8" s="177"/>
      <c r="N8" s="177"/>
      <c r="O8" s="177"/>
      <c r="P8" s="177"/>
      <c r="Q8" s="177"/>
      <c r="R8" s="177"/>
      <c r="S8" s="177"/>
      <c r="T8" s="177"/>
      <c r="U8" s="177"/>
      <c r="V8" s="5"/>
    </row>
    <row r="9" spans="1:22" ht="17.399999999999999" x14ac:dyDescent="0.3">
      <c r="A9" s="175"/>
      <c r="B9" s="181" t="s">
        <v>173</v>
      </c>
      <c r="C9" s="177"/>
      <c r="D9" s="177"/>
      <c r="E9" s="177"/>
      <c r="F9" s="177"/>
      <c r="G9" s="177"/>
      <c r="H9" s="177"/>
      <c r="I9" s="177"/>
      <c r="J9" s="182" t="s">
        <v>174</v>
      </c>
      <c r="K9" s="177"/>
      <c r="L9" s="182"/>
      <c r="M9" s="177"/>
      <c r="N9" s="177"/>
      <c r="O9" s="177"/>
      <c r="P9" s="177"/>
      <c r="Q9" s="177"/>
      <c r="R9" s="177"/>
      <c r="S9" s="177"/>
      <c r="T9" s="177"/>
      <c r="U9" s="177"/>
      <c r="V9" s="5"/>
    </row>
    <row r="10" spans="1:22" ht="15.6" x14ac:dyDescent="0.3">
      <c r="A10" s="175"/>
      <c r="B10" s="180"/>
      <c r="C10" s="183"/>
      <c r="D10" s="183"/>
      <c r="E10" s="183"/>
      <c r="F10" s="177"/>
      <c r="G10" s="177"/>
      <c r="H10" s="177"/>
      <c r="I10" s="177"/>
      <c r="J10" s="177"/>
      <c r="K10" s="177"/>
      <c r="L10" s="177"/>
      <c r="M10" s="177"/>
      <c r="N10" s="177"/>
      <c r="O10" s="177"/>
      <c r="P10" s="177"/>
      <c r="Q10" s="177"/>
      <c r="R10" s="177"/>
      <c r="S10" s="177"/>
      <c r="T10" s="177"/>
      <c r="U10" s="177"/>
      <c r="V10" s="5"/>
    </row>
    <row r="11" spans="1:22" ht="15.6" x14ac:dyDescent="0.3">
      <c r="A11" s="175"/>
      <c r="B11" s="230" t="s">
        <v>0</v>
      </c>
      <c r="C11" s="177"/>
      <c r="D11" s="177"/>
      <c r="E11" s="177"/>
      <c r="F11" s="177"/>
      <c r="G11" s="177"/>
      <c r="H11" s="177"/>
      <c r="I11" s="177"/>
      <c r="J11" s="177"/>
      <c r="K11" s="177"/>
      <c r="L11" s="177"/>
      <c r="M11" s="177"/>
      <c r="N11" s="177"/>
      <c r="O11" s="177"/>
      <c r="P11" s="177"/>
      <c r="Q11" s="177"/>
      <c r="R11" s="177"/>
      <c r="S11" s="177"/>
      <c r="T11" s="177"/>
      <c r="U11" s="177"/>
      <c r="V11" s="5"/>
    </row>
    <row r="12" spans="1:22" ht="16.2" thickBot="1" x14ac:dyDescent="0.35">
      <c r="A12" s="175"/>
      <c r="B12" s="183"/>
      <c r="C12" s="177"/>
      <c r="D12" s="177"/>
      <c r="E12" s="177"/>
      <c r="F12" s="177"/>
      <c r="G12" s="177"/>
      <c r="H12" s="177"/>
      <c r="I12" s="177"/>
      <c r="J12" s="177"/>
      <c r="K12" s="177"/>
      <c r="L12" s="177"/>
      <c r="M12" s="177"/>
      <c r="N12" s="177"/>
      <c r="O12" s="177"/>
      <c r="P12" s="177"/>
      <c r="Q12" s="177"/>
      <c r="R12" s="177"/>
      <c r="S12" s="177"/>
      <c r="T12" s="177"/>
      <c r="U12" s="177"/>
      <c r="V12" s="5"/>
    </row>
    <row r="13" spans="1:22" ht="15.6" x14ac:dyDescent="0.3">
      <c r="A13" s="173"/>
      <c r="B13" s="174"/>
      <c r="C13" s="174"/>
      <c r="D13" s="174"/>
      <c r="E13" s="174"/>
      <c r="F13" s="174"/>
      <c r="G13" s="174"/>
      <c r="H13" s="174"/>
      <c r="I13" s="174"/>
      <c r="J13" s="174"/>
      <c r="K13" s="174"/>
      <c r="L13" s="174"/>
      <c r="M13" s="174"/>
      <c r="N13" s="174"/>
      <c r="O13" s="174"/>
      <c r="P13" s="174"/>
      <c r="Q13" s="174"/>
      <c r="R13" s="174"/>
      <c r="S13" s="174"/>
      <c r="T13" s="174"/>
      <c r="U13" s="174"/>
      <c r="V13" s="5"/>
    </row>
    <row r="14" spans="1:22" ht="15.6" x14ac:dyDescent="0.3">
      <c r="A14" s="175"/>
      <c r="B14" s="230" t="s">
        <v>1</v>
      </c>
      <c r="C14" s="184"/>
      <c r="D14" s="184"/>
      <c r="E14" s="184"/>
      <c r="F14" s="184"/>
      <c r="G14" s="184"/>
      <c r="H14" s="184"/>
      <c r="I14" s="184"/>
      <c r="J14" s="184"/>
      <c r="K14" s="184"/>
      <c r="L14" s="184"/>
      <c r="M14" s="184"/>
      <c r="N14" s="184"/>
      <c r="O14" s="184"/>
      <c r="P14" s="231"/>
      <c r="Q14" s="231"/>
      <c r="R14" s="231"/>
      <c r="S14" s="231"/>
      <c r="T14" s="233" t="s">
        <v>230</v>
      </c>
      <c r="U14" s="184"/>
      <c r="V14" s="5"/>
    </row>
    <row r="15" spans="1:22" ht="15.6" x14ac:dyDescent="0.3">
      <c r="A15" s="175"/>
      <c r="B15" s="230" t="s">
        <v>2</v>
      </c>
      <c r="C15" s="184"/>
      <c r="D15" s="184"/>
      <c r="E15" s="184"/>
      <c r="F15" s="184"/>
      <c r="G15" s="184"/>
      <c r="H15" s="185"/>
      <c r="I15" s="185"/>
      <c r="J15" s="185"/>
      <c r="K15" s="185"/>
      <c r="L15" s="185"/>
      <c r="M15" s="185"/>
      <c r="N15" s="185"/>
      <c r="O15" s="185"/>
      <c r="P15" s="234" t="s">
        <v>107</v>
      </c>
      <c r="Q15" s="235">
        <v>0.40749999999999997</v>
      </c>
      <c r="R15" s="236" t="s">
        <v>146</v>
      </c>
      <c r="S15" s="235">
        <v>0.59250000000000003</v>
      </c>
      <c r="T15" s="233"/>
      <c r="U15" s="184"/>
      <c r="V15" s="5"/>
    </row>
    <row r="16" spans="1:22" ht="15.6" x14ac:dyDescent="0.3">
      <c r="A16" s="175"/>
      <c r="B16" s="230" t="s">
        <v>3</v>
      </c>
      <c r="C16" s="184"/>
      <c r="D16" s="184"/>
      <c r="E16" s="184"/>
      <c r="F16" s="184"/>
      <c r="G16" s="184"/>
      <c r="H16" s="185"/>
      <c r="I16" s="185"/>
      <c r="J16" s="185"/>
      <c r="K16" s="185"/>
      <c r="L16" s="185"/>
      <c r="M16" s="185"/>
      <c r="N16" s="185"/>
      <c r="O16" s="185"/>
      <c r="P16" s="234" t="s">
        <v>107</v>
      </c>
      <c r="Q16" s="235">
        <v>0.47110000000000002</v>
      </c>
      <c r="R16" s="236" t="s">
        <v>146</v>
      </c>
      <c r="S16" s="235">
        <v>0.52890000000000004</v>
      </c>
      <c r="T16" s="233"/>
      <c r="U16" s="184"/>
      <c r="V16" s="5"/>
    </row>
    <row r="17" spans="1:22" ht="15.6" x14ac:dyDescent="0.3">
      <c r="A17" s="175"/>
      <c r="B17" s="230" t="s">
        <v>4</v>
      </c>
      <c r="C17" s="184"/>
      <c r="D17" s="184"/>
      <c r="E17" s="184"/>
      <c r="F17" s="184"/>
      <c r="G17" s="184"/>
      <c r="H17" s="184"/>
      <c r="I17" s="184"/>
      <c r="J17" s="184"/>
      <c r="K17" s="184"/>
      <c r="L17" s="184"/>
      <c r="M17" s="184"/>
      <c r="N17" s="184"/>
      <c r="O17" s="184"/>
      <c r="P17" s="231"/>
      <c r="Q17" s="231"/>
      <c r="R17" s="231"/>
      <c r="S17" s="231"/>
      <c r="T17" s="237">
        <v>38799</v>
      </c>
      <c r="U17" s="184"/>
      <c r="V17" s="5"/>
    </row>
    <row r="18" spans="1:22" ht="15.6" x14ac:dyDescent="0.3">
      <c r="A18" s="175"/>
      <c r="B18" s="230" t="s">
        <v>5</v>
      </c>
      <c r="C18" s="184"/>
      <c r="D18" s="184"/>
      <c r="E18" s="184"/>
      <c r="F18" s="184"/>
      <c r="G18" s="184"/>
      <c r="H18" s="184"/>
      <c r="I18" s="184"/>
      <c r="J18" s="184"/>
      <c r="K18" s="184"/>
      <c r="L18" s="184"/>
      <c r="M18" s="184"/>
      <c r="N18" s="184"/>
      <c r="O18" s="184"/>
      <c r="P18" s="231"/>
      <c r="Q18" s="231"/>
      <c r="R18" s="231"/>
      <c r="S18" s="231"/>
      <c r="T18" s="237">
        <v>42391</v>
      </c>
      <c r="U18" s="184"/>
      <c r="V18" s="5"/>
    </row>
    <row r="19" spans="1:22" ht="15.6" x14ac:dyDescent="0.3">
      <c r="A19" s="175"/>
      <c r="B19" s="177"/>
      <c r="C19" s="177"/>
      <c r="D19" s="177"/>
      <c r="E19" s="177"/>
      <c r="F19" s="177"/>
      <c r="G19" s="177"/>
      <c r="H19" s="177"/>
      <c r="I19" s="177"/>
      <c r="J19" s="177"/>
      <c r="K19" s="177"/>
      <c r="L19" s="177"/>
      <c r="M19" s="177"/>
      <c r="N19" s="177"/>
      <c r="O19" s="177"/>
      <c r="P19" s="177"/>
      <c r="Q19" s="177"/>
      <c r="R19" s="177"/>
      <c r="S19" s="177"/>
      <c r="T19" s="186"/>
      <c r="U19" s="177"/>
      <c r="V19" s="5"/>
    </row>
    <row r="20" spans="1:22" ht="15.6" x14ac:dyDescent="0.3">
      <c r="A20" s="175"/>
      <c r="B20" s="232" t="s">
        <v>6</v>
      </c>
      <c r="C20" s="177"/>
      <c r="D20" s="177"/>
      <c r="E20" s="177"/>
      <c r="F20" s="177"/>
      <c r="G20" s="177"/>
      <c r="H20" s="177"/>
      <c r="I20" s="177"/>
      <c r="J20" s="177"/>
      <c r="K20" s="177"/>
      <c r="L20" s="177"/>
      <c r="M20" s="177"/>
      <c r="N20" s="177"/>
      <c r="O20" s="177"/>
      <c r="P20" s="177"/>
      <c r="Q20" s="177"/>
      <c r="R20" s="238" t="s">
        <v>108</v>
      </c>
      <c r="S20" s="177"/>
      <c r="T20" s="188"/>
      <c r="U20" s="177"/>
      <c r="V20" s="5"/>
    </row>
    <row r="21" spans="1:22" ht="15.6" x14ac:dyDescent="0.3">
      <c r="A21" s="175"/>
      <c r="B21" s="177"/>
      <c r="C21" s="177"/>
      <c r="D21" s="177"/>
      <c r="E21" s="177"/>
      <c r="F21" s="177"/>
      <c r="G21" s="177"/>
      <c r="H21" s="177"/>
      <c r="I21" s="177"/>
      <c r="J21" s="177"/>
      <c r="K21" s="177"/>
      <c r="L21" s="177"/>
      <c r="M21" s="177"/>
      <c r="N21" s="177"/>
      <c r="O21" s="177"/>
      <c r="P21" s="177"/>
      <c r="Q21" s="177"/>
      <c r="R21" s="177"/>
      <c r="S21" s="177"/>
      <c r="T21" s="189"/>
      <c r="U21" s="177"/>
      <c r="V21" s="5"/>
    </row>
    <row r="22" spans="1:22" ht="15.6" x14ac:dyDescent="0.3">
      <c r="A22" s="222"/>
      <c r="B22" s="223"/>
      <c r="C22" s="224"/>
      <c r="D22" s="224" t="s">
        <v>184</v>
      </c>
      <c r="E22" s="224"/>
      <c r="F22" s="224" t="s">
        <v>185</v>
      </c>
      <c r="G22" s="224"/>
      <c r="H22" s="224" t="s">
        <v>186</v>
      </c>
      <c r="I22" s="224"/>
      <c r="J22" s="224" t="s">
        <v>187</v>
      </c>
      <c r="K22" s="224"/>
      <c r="L22" s="224" t="s">
        <v>188</v>
      </c>
      <c r="M22" s="224"/>
      <c r="N22" s="224" t="s">
        <v>189</v>
      </c>
      <c r="O22" s="224"/>
      <c r="P22" s="224"/>
      <c r="Q22" s="226"/>
      <c r="R22" s="226"/>
      <c r="S22" s="227"/>
      <c r="T22" s="227"/>
      <c r="U22" s="223"/>
      <c r="V22" s="5"/>
    </row>
    <row r="23" spans="1:22" ht="15.6" x14ac:dyDescent="0.3">
      <c r="A23" s="190"/>
      <c r="B23" s="239" t="s">
        <v>7</v>
      </c>
      <c r="C23" s="240"/>
      <c r="D23" s="240" t="s">
        <v>222</v>
      </c>
      <c r="E23" s="240"/>
      <c r="F23" s="240" t="s">
        <v>147</v>
      </c>
      <c r="G23" s="240"/>
      <c r="H23" s="240" t="s">
        <v>147</v>
      </c>
      <c r="I23" s="240"/>
      <c r="J23" s="240" t="s">
        <v>190</v>
      </c>
      <c r="K23" s="240"/>
      <c r="L23" s="240" t="s">
        <v>190</v>
      </c>
      <c r="M23" s="240"/>
      <c r="N23" s="240" t="s">
        <v>148</v>
      </c>
      <c r="O23" s="240"/>
      <c r="P23" s="240"/>
      <c r="Q23" s="240"/>
      <c r="R23" s="240"/>
      <c r="S23" s="241"/>
      <c r="T23" s="241"/>
      <c r="U23" s="239"/>
      <c r="V23" s="5"/>
    </row>
    <row r="24" spans="1:22" ht="15.6" x14ac:dyDescent="0.3">
      <c r="A24" s="284"/>
      <c r="B24" s="285" t="s">
        <v>8</v>
      </c>
      <c r="C24" s="286"/>
      <c r="D24" s="286" t="s">
        <v>223</v>
      </c>
      <c r="E24" s="286"/>
      <c r="F24" s="286" t="s">
        <v>149</v>
      </c>
      <c r="G24" s="286"/>
      <c r="H24" s="286" t="s">
        <v>149</v>
      </c>
      <c r="I24" s="286"/>
      <c r="J24" s="286" t="s">
        <v>172</v>
      </c>
      <c r="K24" s="286"/>
      <c r="L24" s="286" t="s">
        <v>172</v>
      </c>
      <c r="M24" s="286"/>
      <c r="N24" s="286" t="s">
        <v>150</v>
      </c>
      <c r="O24" s="286"/>
      <c r="P24" s="286"/>
      <c r="Q24" s="286"/>
      <c r="R24" s="286"/>
      <c r="S24" s="287"/>
      <c r="T24" s="287"/>
      <c r="U24" s="288"/>
      <c r="V24" s="5"/>
    </row>
    <row r="25" spans="1:22" ht="15.6" x14ac:dyDescent="0.3">
      <c r="A25" s="289"/>
      <c r="B25" s="285" t="s">
        <v>198</v>
      </c>
      <c r="C25" s="394"/>
      <c r="D25" s="286" t="s">
        <v>224</v>
      </c>
      <c r="E25" s="286"/>
      <c r="F25" s="286" t="s">
        <v>149</v>
      </c>
      <c r="G25" s="286"/>
      <c r="H25" s="286" t="s">
        <v>149</v>
      </c>
      <c r="I25" s="286"/>
      <c r="J25" s="286" t="s">
        <v>172</v>
      </c>
      <c r="K25" s="286"/>
      <c r="L25" s="286" t="s">
        <v>172</v>
      </c>
      <c r="M25" s="286"/>
      <c r="N25" s="286" t="s">
        <v>150</v>
      </c>
      <c r="O25" s="286"/>
      <c r="P25" s="286"/>
      <c r="Q25" s="394"/>
      <c r="R25" s="286"/>
      <c r="S25" s="287"/>
      <c r="T25" s="287"/>
      <c r="U25" s="288"/>
      <c r="V25" s="5"/>
    </row>
    <row r="26" spans="1:22" ht="15.6" x14ac:dyDescent="0.3">
      <c r="A26" s="289"/>
      <c r="B26" s="292" t="s">
        <v>9</v>
      </c>
      <c r="C26" s="394"/>
      <c r="D26" s="394" t="s">
        <v>326</v>
      </c>
      <c r="E26" s="394"/>
      <c r="F26" s="394" t="s">
        <v>327</v>
      </c>
      <c r="G26" s="394"/>
      <c r="H26" s="394" t="s">
        <v>327</v>
      </c>
      <c r="I26" s="394"/>
      <c r="J26" s="394" t="s">
        <v>190</v>
      </c>
      <c r="K26" s="394"/>
      <c r="L26" s="394" t="s">
        <v>190</v>
      </c>
      <c r="M26" s="394"/>
      <c r="N26" s="394" t="s">
        <v>148</v>
      </c>
      <c r="O26" s="394"/>
      <c r="P26" s="394"/>
      <c r="Q26" s="394"/>
      <c r="R26" s="286"/>
      <c r="S26" s="287"/>
      <c r="T26" s="287"/>
      <c r="U26" s="288"/>
      <c r="V26" s="5"/>
    </row>
    <row r="27" spans="1:22" ht="15.6" x14ac:dyDescent="0.3">
      <c r="A27" s="284"/>
      <c r="B27" s="292" t="s">
        <v>199</v>
      </c>
      <c r="C27" s="286"/>
      <c r="D27" s="394" t="s">
        <v>334</v>
      </c>
      <c r="E27" s="394"/>
      <c r="F27" s="394" t="s">
        <v>322</v>
      </c>
      <c r="G27" s="394"/>
      <c r="H27" s="394" t="s">
        <v>322</v>
      </c>
      <c r="I27" s="394"/>
      <c r="J27" s="394" t="s">
        <v>150</v>
      </c>
      <c r="K27" s="394"/>
      <c r="L27" s="394" t="s">
        <v>150</v>
      </c>
      <c r="M27" s="394"/>
      <c r="N27" s="394" t="s">
        <v>333</v>
      </c>
      <c r="O27" s="394"/>
      <c r="P27" s="394"/>
      <c r="Q27" s="286"/>
      <c r="R27" s="293"/>
      <c r="S27" s="287"/>
      <c r="T27" s="287"/>
      <c r="U27" s="288"/>
      <c r="V27" s="5"/>
    </row>
    <row r="28" spans="1:22" ht="15.6" x14ac:dyDescent="0.3">
      <c r="A28" s="284"/>
      <c r="B28" s="292" t="s">
        <v>200</v>
      </c>
      <c r="C28" s="286"/>
      <c r="D28" s="394" t="s">
        <v>332</v>
      </c>
      <c r="E28" s="394"/>
      <c r="F28" s="394" t="s">
        <v>149</v>
      </c>
      <c r="G28" s="394"/>
      <c r="H28" s="394" t="s">
        <v>149</v>
      </c>
      <c r="I28" s="394"/>
      <c r="J28" s="394" t="s">
        <v>149</v>
      </c>
      <c r="K28" s="394"/>
      <c r="L28" s="394" t="s">
        <v>149</v>
      </c>
      <c r="M28" s="394"/>
      <c r="N28" s="394" t="s">
        <v>150</v>
      </c>
      <c r="O28" s="394"/>
      <c r="P28" s="394"/>
      <c r="Q28" s="286"/>
      <c r="R28" s="293"/>
      <c r="S28" s="287"/>
      <c r="T28" s="287"/>
      <c r="U28" s="288"/>
      <c r="V28" s="5"/>
    </row>
    <row r="29" spans="1:22" ht="15.6" x14ac:dyDescent="0.3">
      <c r="A29" s="284"/>
      <c r="B29" s="285" t="s">
        <v>10</v>
      </c>
      <c r="C29" s="295"/>
      <c r="D29" s="286" t="s">
        <v>237</v>
      </c>
      <c r="E29" s="286"/>
      <c r="F29" s="293" t="s">
        <v>238</v>
      </c>
      <c r="G29" s="286"/>
      <c r="H29" s="286" t="s">
        <v>239</v>
      </c>
      <c r="I29" s="286"/>
      <c r="J29" s="286" t="s">
        <v>240</v>
      </c>
      <c r="K29" s="286"/>
      <c r="L29" s="286" t="s">
        <v>241</v>
      </c>
      <c r="M29" s="286"/>
      <c r="N29" s="286" t="s">
        <v>242</v>
      </c>
      <c r="O29" s="286"/>
      <c r="P29" s="286"/>
      <c r="Q29" s="296"/>
      <c r="R29" s="296"/>
      <c r="S29" s="297"/>
      <c r="T29" s="296"/>
      <c r="U29" s="298"/>
      <c r="V29" s="5"/>
    </row>
    <row r="30" spans="1:22" ht="15.6" x14ac:dyDescent="0.3">
      <c r="A30" s="284"/>
      <c r="B30" s="285" t="s">
        <v>10</v>
      </c>
      <c r="C30" s="295"/>
      <c r="D30" s="286" t="s">
        <v>236</v>
      </c>
      <c r="E30" s="286"/>
      <c r="F30" s="293" t="s">
        <v>124</v>
      </c>
      <c r="G30" s="286"/>
      <c r="H30" s="286" t="s">
        <v>124</v>
      </c>
      <c r="I30" s="286"/>
      <c r="J30" s="286" t="s">
        <v>124</v>
      </c>
      <c r="K30" s="286"/>
      <c r="L30" s="286" t="s">
        <v>124</v>
      </c>
      <c r="M30" s="286"/>
      <c r="N30" s="286" t="s">
        <v>124</v>
      </c>
      <c r="O30" s="286"/>
      <c r="P30" s="286"/>
      <c r="Q30" s="296"/>
      <c r="R30" s="296"/>
      <c r="S30" s="297"/>
      <c r="T30" s="296"/>
      <c r="U30" s="298"/>
      <c r="V30" s="5"/>
    </row>
    <row r="31" spans="1:22" ht="15.6" x14ac:dyDescent="0.3">
      <c r="A31" s="289"/>
      <c r="B31" s="285" t="s">
        <v>139</v>
      </c>
      <c r="C31" s="299"/>
      <c r="D31" s="300">
        <v>985000</v>
      </c>
      <c r="E31" s="295"/>
      <c r="F31" s="296">
        <v>149500</v>
      </c>
      <c r="G31" s="296"/>
      <c r="H31" s="301">
        <v>219700</v>
      </c>
      <c r="I31" s="296"/>
      <c r="J31" s="296">
        <v>16000</v>
      </c>
      <c r="K31" s="296"/>
      <c r="L31" s="301">
        <v>82400</v>
      </c>
      <c r="M31" s="296"/>
      <c r="N31" s="301">
        <v>87500</v>
      </c>
      <c r="O31" s="296"/>
      <c r="P31" s="301"/>
      <c r="Q31" s="302"/>
      <c r="R31" s="302"/>
      <c r="S31" s="303"/>
      <c r="T31" s="302"/>
      <c r="U31" s="298"/>
      <c r="V31" s="5"/>
    </row>
    <row r="32" spans="1:22" ht="15.6" x14ac:dyDescent="0.3">
      <c r="A32" s="284"/>
      <c r="B32" s="285" t="s">
        <v>138</v>
      </c>
      <c r="C32" s="295"/>
      <c r="D32" s="300">
        <f>D38*D31</f>
        <v>408852.027</v>
      </c>
      <c r="E32" s="295"/>
      <c r="F32" s="296">
        <f>F38*F31</f>
        <v>62054.430099999998</v>
      </c>
      <c r="G32" s="296"/>
      <c r="H32" s="301">
        <f>H38*H31</f>
        <v>91193.032059999998</v>
      </c>
      <c r="I32" s="296"/>
      <c r="J32" s="296">
        <f>J31*J38</f>
        <v>15751.279999999999</v>
      </c>
      <c r="K32" s="296"/>
      <c r="L32" s="301">
        <f>L31*L38</f>
        <v>81119.092000000004</v>
      </c>
      <c r="M32" s="296"/>
      <c r="N32" s="301">
        <f>N31*N38</f>
        <v>86139.8125</v>
      </c>
      <c r="O32" s="296"/>
      <c r="P32" s="301"/>
      <c r="Q32" s="296"/>
      <c r="R32" s="296"/>
      <c r="S32" s="297"/>
      <c r="T32" s="296"/>
      <c r="U32" s="298"/>
      <c r="V32" s="5"/>
    </row>
    <row r="33" spans="1:22" ht="15.6" x14ac:dyDescent="0.3">
      <c r="A33" s="284"/>
      <c r="B33" s="292" t="s">
        <v>140</v>
      </c>
      <c r="C33" s="295"/>
      <c r="D33" s="304">
        <f>D37*D31</f>
        <v>400203.23449999996</v>
      </c>
      <c r="E33" s="299"/>
      <c r="F33" s="302">
        <f>F37*F31</f>
        <v>60741.760299999994</v>
      </c>
      <c r="G33" s="302"/>
      <c r="H33" s="305">
        <f>H31*H37</f>
        <v>89263.978179999991</v>
      </c>
      <c r="I33" s="302"/>
      <c r="J33" s="302">
        <f>J31*J37</f>
        <v>15418.08</v>
      </c>
      <c r="K33" s="302"/>
      <c r="L33" s="305">
        <f>L31*L37</f>
        <v>79403.111999999994</v>
      </c>
      <c r="M33" s="302"/>
      <c r="N33" s="305">
        <f>N31*N37</f>
        <v>84317.625</v>
      </c>
      <c r="O33" s="302"/>
      <c r="P33" s="305"/>
      <c r="Q33" s="296"/>
      <c r="R33" s="296"/>
      <c r="S33" s="297"/>
      <c r="T33" s="296"/>
      <c r="U33" s="298"/>
      <c r="V33" s="5"/>
    </row>
    <row r="34" spans="1:22" ht="15.6" x14ac:dyDescent="0.3">
      <c r="A34" s="289"/>
      <c r="B34" s="285" t="s">
        <v>283</v>
      </c>
      <c r="C34" s="299"/>
      <c r="D34" s="296">
        <v>567282</v>
      </c>
      <c r="E34" s="295"/>
      <c r="F34" s="296">
        <v>149500</v>
      </c>
      <c r="G34" s="296"/>
      <c r="H34" s="296">
        <v>150716</v>
      </c>
      <c r="I34" s="296"/>
      <c r="J34" s="296">
        <v>16000</v>
      </c>
      <c r="K34" s="296"/>
      <c r="L34" s="296">
        <v>56527</v>
      </c>
      <c r="M34" s="296"/>
      <c r="N34" s="296">
        <v>60025</v>
      </c>
      <c r="O34" s="296"/>
      <c r="P34" s="296"/>
      <c r="Q34" s="302"/>
      <c r="R34" s="302"/>
      <c r="S34" s="303"/>
      <c r="T34" s="296">
        <f>SUM(C34:P34)</f>
        <v>1000050</v>
      </c>
      <c r="U34" s="298"/>
      <c r="V34" s="5"/>
    </row>
    <row r="35" spans="1:22" ht="15.6" x14ac:dyDescent="0.3">
      <c r="A35" s="289"/>
      <c r="B35" s="285" t="s">
        <v>284</v>
      </c>
      <c r="C35" s="299"/>
      <c r="D35" s="296">
        <f>D38*D34</f>
        <v>235466.39145240001</v>
      </c>
      <c r="E35" s="295"/>
      <c r="F35" s="296">
        <f>F38*F34</f>
        <v>62054.430099999998</v>
      </c>
      <c r="G35" s="296"/>
      <c r="H35" s="296">
        <f>H38*H34</f>
        <v>62559.167136800002</v>
      </c>
      <c r="I35" s="296"/>
      <c r="J35" s="296">
        <f>J34*J38</f>
        <v>15751.279999999999</v>
      </c>
      <c r="K35" s="296"/>
      <c r="L35" s="296">
        <f>L34*L38</f>
        <v>55648.287785</v>
      </c>
      <c r="M35" s="296"/>
      <c r="N35" s="296">
        <f>N34*N38</f>
        <v>59091.911374999996</v>
      </c>
      <c r="O35" s="296"/>
      <c r="P35" s="296"/>
      <c r="Q35" s="296"/>
      <c r="R35" s="296"/>
      <c r="S35" s="297"/>
      <c r="T35" s="296">
        <f>SUM(C35:P35)+1</f>
        <v>490572.46784920001</v>
      </c>
      <c r="U35" s="298"/>
      <c r="V35" s="5"/>
    </row>
    <row r="36" spans="1:22" ht="15.6" x14ac:dyDescent="0.3">
      <c r="A36" s="289"/>
      <c r="B36" s="292" t="s">
        <v>285</v>
      </c>
      <c r="C36" s="299"/>
      <c r="D36" s="302">
        <f>D37*D34</f>
        <v>230485.37185139998</v>
      </c>
      <c r="E36" s="299"/>
      <c r="F36" s="302">
        <f>F37*F34</f>
        <v>60741.760299999994</v>
      </c>
      <c r="G36" s="302"/>
      <c r="H36" s="302">
        <f>H37*H34</f>
        <v>61235.820370399997</v>
      </c>
      <c r="I36" s="302"/>
      <c r="J36" s="302">
        <f>J37*J34</f>
        <v>15418.08</v>
      </c>
      <c r="K36" s="302"/>
      <c r="L36" s="302">
        <f>L37*L34</f>
        <v>54471.113010000001</v>
      </c>
      <c r="M36" s="302"/>
      <c r="N36" s="302">
        <f>N37*N34</f>
        <v>57841.890749999999</v>
      </c>
      <c r="O36" s="302"/>
      <c r="P36" s="302"/>
      <c r="Q36" s="327"/>
      <c r="R36" s="327"/>
      <c r="S36" s="297"/>
      <c r="T36" s="302">
        <f>SUM(C36:P36)+1</f>
        <v>480195.03628180001</v>
      </c>
      <c r="U36" s="298"/>
      <c r="V36" s="5"/>
    </row>
    <row r="37" spans="1:22" ht="15.6" x14ac:dyDescent="0.3">
      <c r="A37" s="284"/>
      <c r="B37" s="310" t="s">
        <v>136</v>
      </c>
      <c r="C37" s="311"/>
      <c r="D37" s="312">
        <v>0.40629769999999998</v>
      </c>
      <c r="E37" s="313"/>
      <c r="F37" s="312">
        <v>0.40629939999999998</v>
      </c>
      <c r="G37" s="314"/>
      <c r="H37" s="312">
        <v>0.40629939999999998</v>
      </c>
      <c r="I37" s="314"/>
      <c r="J37" s="312">
        <v>0.96362999999999999</v>
      </c>
      <c r="K37" s="314"/>
      <c r="L37" s="312">
        <v>0.96362999999999999</v>
      </c>
      <c r="M37" s="314"/>
      <c r="N37" s="312">
        <v>0.96362999999999999</v>
      </c>
      <c r="O37" s="314"/>
      <c r="P37" s="314"/>
      <c r="Q37" s="315"/>
      <c r="R37" s="315"/>
      <c r="S37" s="316"/>
      <c r="T37" s="316"/>
      <c r="U37" s="317"/>
      <c r="V37" s="5"/>
    </row>
    <row r="38" spans="1:22" ht="15.6" x14ac:dyDescent="0.3">
      <c r="A38" s="284"/>
      <c r="B38" s="310" t="s">
        <v>137</v>
      </c>
      <c r="C38" s="311"/>
      <c r="D38" s="312">
        <v>0.41507820000000001</v>
      </c>
      <c r="E38" s="313"/>
      <c r="F38" s="312">
        <v>0.4150798</v>
      </c>
      <c r="G38" s="314"/>
      <c r="H38" s="312">
        <v>0.4150798</v>
      </c>
      <c r="I38" s="314"/>
      <c r="J38" s="312">
        <v>0.98445499999999997</v>
      </c>
      <c r="K38" s="314"/>
      <c r="L38" s="312">
        <v>0.98445499999999997</v>
      </c>
      <c r="M38" s="314"/>
      <c r="N38" s="312">
        <v>0.98445499999999997</v>
      </c>
      <c r="O38" s="314"/>
      <c r="P38" s="314"/>
      <c r="Q38" s="318"/>
      <c r="R38" s="319"/>
      <c r="S38" s="316"/>
      <c r="T38" s="318"/>
      <c r="U38" s="317"/>
      <c r="V38" s="5"/>
    </row>
    <row r="39" spans="1:22" ht="15.6" x14ac:dyDescent="0.3">
      <c r="A39" s="284"/>
      <c r="B39" s="285" t="s">
        <v>11</v>
      </c>
      <c r="C39" s="285"/>
      <c r="D39" s="293" t="s">
        <v>275</v>
      </c>
      <c r="E39" s="285"/>
      <c r="F39" s="293" t="s">
        <v>232</v>
      </c>
      <c r="G39" s="293"/>
      <c r="H39" s="293" t="s">
        <v>232</v>
      </c>
      <c r="I39" s="293"/>
      <c r="J39" s="293" t="s">
        <v>234</v>
      </c>
      <c r="K39" s="293"/>
      <c r="L39" s="293" t="s">
        <v>234</v>
      </c>
      <c r="M39" s="293"/>
      <c r="N39" s="293" t="s">
        <v>235</v>
      </c>
      <c r="O39" s="293"/>
      <c r="P39" s="293"/>
      <c r="Q39" s="320"/>
      <c r="R39" s="321"/>
      <c r="S39" s="287"/>
      <c r="T39" s="287"/>
      <c r="U39" s="288"/>
      <c r="V39" s="5"/>
    </row>
    <row r="40" spans="1:22" ht="15.6" x14ac:dyDescent="0.3">
      <c r="A40" s="284"/>
      <c r="B40" s="285" t="s">
        <v>12</v>
      </c>
      <c r="C40" s="285"/>
      <c r="D40" s="321">
        <v>4.3049999999999998E-3</v>
      </c>
      <c r="E40" s="285"/>
      <c r="F40" s="321">
        <v>8.1937999999999993E-3</v>
      </c>
      <c r="G40" s="320"/>
      <c r="H40" s="321">
        <v>1.91E-3</v>
      </c>
      <c r="I40" s="320"/>
      <c r="J40" s="321">
        <v>1.05938E-2</v>
      </c>
      <c r="K40" s="320"/>
      <c r="L40" s="321">
        <v>4.3099999999999996E-3</v>
      </c>
      <c r="M40" s="320"/>
      <c r="N40" s="321">
        <v>8.5100000000000002E-3</v>
      </c>
      <c r="O40" s="320"/>
      <c r="P40" s="321"/>
      <c r="Q40" s="320"/>
      <c r="R40" s="321"/>
      <c r="S40" s="287"/>
      <c r="T40" s="293"/>
      <c r="U40" s="288"/>
      <c r="V40" s="5"/>
    </row>
    <row r="41" spans="1:22" ht="15.6" x14ac:dyDescent="0.3">
      <c r="A41" s="284"/>
      <c r="B41" s="285" t="s">
        <v>13</v>
      </c>
      <c r="C41" s="285"/>
      <c r="D41" s="321">
        <v>3.0655000000000001E-3</v>
      </c>
      <c r="E41" s="285"/>
      <c r="F41" s="321">
        <v>8.2406000000000007E-3</v>
      </c>
      <c r="G41" s="320"/>
      <c r="H41" s="321">
        <v>2.2100000000000002E-3</v>
      </c>
      <c r="I41" s="320"/>
      <c r="J41" s="321">
        <v>1.06406E-2</v>
      </c>
      <c r="K41" s="320"/>
      <c r="L41" s="321">
        <v>4.6100000000000004E-3</v>
      </c>
      <c r="M41" s="320"/>
      <c r="N41" s="321">
        <v>8.8100000000000001E-3</v>
      </c>
      <c r="O41" s="320"/>
      <c r="P41" s="321"/>
      <c r="Q41" s="320"/>
      <c r="R41" s="321"/>
      <c r="S41" s="287"/>
      <c r="T41" s="320" t="s">
        <v>201</v>
      </c>
      <c r="U41" s="288"/>
      <c r="V41" s="5"/>
    </row>
    <row r="42" spans="1:22" ht="15.6" x14ac:dyDescent="0.3">
      <c r="A42" s="284"/>
      <c r="B42" s="285" t="s">
        <v>286</v>
      </c>
      <c r="C42" s="285"/>
      <c r="D42" s="293" t="s">
        <v>231</v>
      </c>
      <c r="E42" s="285"/>
      <c r="F42" s="293" t="s">
        <v>232</v>
      </c>
      <c r="G42" s="293"/>
      <c r="H42" s="293" t="s">
        <v>232</v>
      </c>
      <c r="I42" s="293"/>
      <c r="J42" s="293" t="s">
        <v>234</v>
      </c>
      <c r="K42" s="293"/>
      <c r="L42" s="293" t="s">
        <v>245</v>
      </c>
      <c r="M42" s="293"/>
      <c r="N42" s="293" t="s">
        <v>247</v>
      </c>
      <c r="O42" s="293"/>
      <c r="P42" s="293"/>
      <c r="Q42" s="320"/>
      <c r="R42" s="321"/>
      <c r="S42" s="287"/>
      <c r="T42" s="287"/>
      <c r="U42" s="288"/>
      <c r="V42" s="5"/>
    </row>
    <row r="43" spans="1:22" ht="15.6" x14ac:dyDescent="0.3">
      <c r="A43" s="284"/>
      <c r="B43" s="285" t="s">
        <v>287</v>
      </c>
      <c r="C43" s="322"/>
      <c r="D43" s="321">
        <v>7.0299999999999998E-3</v>
      </c>
      <c r="E43" s="321"/>
      <c r="F43" s="321">
        <f>+F40</f>
        <v>8.1937999999999993E-3</v>
      </c>
      <c r="G43" s="321"/>
      <c r="H43" s="321">
        <v>8.1898000000000006E-3</v>
      </c>
      <c r="I43" s="321"/>
      <c r="J43" s="321">
        <f>+J40</f>
        <v>1.05938E-2</v>
      </c>
      <c r="K43" s="321"/>
      <c r="L43" s="321">
        <v>1.0899799999999999E-2</v>
      </c>
      <c r="M43" s="321"/>
      <c r="N43" s="321">
        <v>1.5603799999999999E-2</v>
      </c>
      <c r="O43" s="320"/>
      <c r="P43" s="321"/>
      <c r="Q43" s="293"/>
      <c r="R43" s="293"/>
      <c r="S43" s="287"/>
      <c r="T43" s="320">
        <f>SUMPRODUCT(D43:N43,D35:N35)/T35</f>
        <v>8.9112560503511618E-3</v>
      </c>
      <c r="U43" s="288"/>
      <c r="V43" s="5"/>
    </row>
    <row r="44" spans="1:22" ht="15.6" x14ac:dyDescent="0.3">
      <c r="A44" s="284"/>
      <c r="B44" s="285" t="s">
        <v>288</v>
      </c>
      <c r="C44" s="322"/>
      <c r="D44" s="321">
        <v>7.0768000000000003E-3</v>
      </c>
      <c r="E44" s="321"/>
      <c r="F44" s="321">
        <f>+F41</f>
        <v>8.2406000000000007E-3</v>
      </c>
      <c r="G44" s="321"/>
      <c r="H44" s="321">
        <v>8.2366000000000002E-3</v>
      </c>
      <c r="I44" s="321"/>
      <c r="J44" s="321">
        <f>+J41</f>
        <v>1.06406E-2</v>
      </c>
      <c r="K44" s="321"/>
      <c r="L44" s="321">
        <v>1.0946600000000001E-2</v>
      </c>
      <c r="M44" s="321"/>
      <c r="N44" s="321">
        <v>1.5650600000000001E-2</v>
      </c>
      <c r="O44" s="320"/>
      <c r="P44" s="321"/>
      <c r="Q44" s="293"/>
      <c r="R44" s="293"/>
      <c r="S44" s="287"/>
      <c r="T44" s="287"/>
      <c r="U44" s="288"/>
      <c r="V44" s="5"/>
    </row>
    <row r="45" spans="1:22" ht="15.6" x14ac:dyDescent="0.3">
      <c r="A45" s="284"/>
      <c r="B45" s="285" t="s">
        <v>14</v>
      </c>
      <c r="C45" s="285"/>
      <c r="D45" s="322">
        <v>40283</v>
      </c>
      <c r="E45" s="322"/>
      <c r="F45" s="322">
        <v>40283</v>
      </c>
      <c r="G45" s="322"/>
      <c r="H45" s="322">
        <v>40283</v>
      </c>
      <c r="I45" s="322"/>
      <c r="J45" s="322">
        <v>40283</v>
      </c>
      <c r="K45" s="322"/>
      <c r="L45" s="322">
        <v>40283</v>
      </c>
      <c r="M45" s="322"/>
      <c r="N45" s="322">
        <v>40283</v>
      </c>
      <c r="O45" s="322"/>
      <c r="P45" s="322"/>
      <c r="Q45" s="293"/>
      <c r="R45" s="293"/>
      <c r="S45" s="287"/>
      <c r="T45" s="287"/>
      <c r="U45" s="288"/>
      <c r="V45" s="5"/>
    </row>
    <row r="46" spans="1:22" ht="15.6" x14ac:dyDescent="0.3">
      <c r="A46" s="284"/>
      <c r="B46" s="285" t="s">
        <v>15</v>
      </c>
      <c r="C46" s="285"/>
      <c r="D46" s="322">
        <v>40648</v>
      </c>
      <c r="E46" s="322"/>
      <c r="F46" s="322">
        <v>40648</v>
      </c>
      <c r="G46" s="322"/>
      <c r="H46" s="322">
        <v>40648</v>
      </c>
      <c r="I46" s="293"/>
      <c r="J46" s="322">
        <v>40648</v>
      </c>
      <c r="K46" s="293"/>
      <c r="L46" s="322">
        <v>40648</v>
      </c>
      <c r="M46" s="293"/>
      <c r="N46" s="322">
        <v>40648</v>
      </c>
      <c r="O46" s="293"/>
      <c r="P46" s="322"/>
      <c r="Q46" s="293"/>
      <c r="R46" s="293"/>
      <c r="S46" s="287"/>
      <c r="T46" s="287"/>
      <c r="U46" s="288"/>
      <c r="V46" s="5"/>
    </row>
    <row r="47" spans="1:22" ht="15.6" x14ac:dyDescent="0.3">
      <c r="A47" s="284"/>
      <c r="B47" s="285" t="s">
        <v>125</v>
      </c>
      <c r="C47" s="285"/>
      <c r="D47" s="293" t="s">
        <v>124</v>
      </c>
      <c r="E47" s="285"/>
      <c r="F47" s="293" t="s">
        <v>232</v>
      </c>
      <c r="G47" s="293"/>
      <c r="H47" s="293" t="s">
        <v>232</v>
      </c>
      <c r="I47" s="293"/>
      <c r="J47" s="293" t="s">
        <v>234</v>
      </c>
      <c r="K47" s="293"/>
      <c r="L47" s="293" t="s">
        <v>234</v>
      </c>
      <c r="M47" s="293"/>
      <c r="N47" s="293" t="s">
        <v>235</v>
      </c>
      <c r="O47" s="293"/>
      <c r="P47" s="293"/>
      <c r="Q47" s="324"/>
      <c r="R47" s="324"/>
      <c r="S47" s="324"/>
      <c r="T47" s="324"/>
      <c r="U47" s="288"/>
      <c r="V47" s="5"/>
    </row>
    <row r="48" spans="1:22" ht="15.6" x14ac:dyDescent="0.3">
      <c r="A48" s="284"/>
      <c r="B48" s="285" t="s">
        <v>289</v>
      </c>
      <c r="C48" s="285"/>
      <c r="D48" s="293" t="s">
        <v>208</v>
      </c>
      <c r="E48" s="285"/>
      <c r="F48" s="293" t="s">
        <v>232</v>
      </c>
      <c r="G48" s="293"/>
      <c r="H48" s="293" t="s">
        <v>232</v>
      </c>
      <c r="I48" s="293"/>
      <c r="J48" s="293" t="s">
        <v>234</v>
      </c>
      <c r="K48" s="293"/>
      <c r="L48" s="293" t="s">
        <v>245</v>
      </c>
      <c r="M48" s="293"/>
      <c r="N48" s="293" t="s">
        <v>247</v>
      </c>
      <c r="O48" s="293"/>
      <c r="P48" s="293"/>
      <c r="Q48" s="285"/>
      <c r="R48" s="285"/>
      <c r="S48" s="285"/>
      <c r="T48" s="320"/>
      <c r="U48" s="288"/>
      <c r="V48" s="5"/>
    </row>
    <row r="49" spans="1:23" ht="15.6" x14ac:dyDescent="0.3">
      <c r="A49" s="284"/>
      <c r="B49" s="285"/>
      <c r="C49" s="285"/>
      <c r="D49" s="293"/>
      <c r="E49" s="285"/>
      <c r="F49" s="293"/>
      <c r="G49" s="293"/>
      <c r="H49" s="293"/>
      <c r="I49" s="293"/>
      <c r="J49" s="293"/>
      <c r="K49" s="293"/>
      <c r="L49" s="293"/>
      <c r="M49" s="293"/>
      <c r="N49" s="293"/>
      <c r="O49" s="293"/>
      <c r="P49" s="293"/>
      <c r="Q49" s="285"/>
      <c r="R49" s="285"/>
      <c r="S49" s="285"/>
      <c r="T49" s="320" t="s">
        <v>201</v>
      </c>
      <c r="U49" s="288"/>
      <c r="V49" s="5"/>
    </row>
    <row r="50" spans="1:23" ht="15.6" x14ac:dyDescent="0.3">
      <c r="A50" s="284"/>
      <c r="B50" s="285" t="s">
        <v>176</v>
      </c>
      <c r="C50" s="285"/>
      <c r="D50" s="293"/>
      <c r="E50" s="285"/>
      <c r="F50" s="293"/>
      <c r="G50" s="293"/>
      <c r="H50" s="293"/>
      <c r="I50" s="293"/>
      <c r="J50" s="293"/>
      <c r="K50" s="293"/>
      <c r="L50" s="293"/>
      <c r="M50" s="293"/>
      <c r="N50" s="293"/>
      <c r="O50" s="293"/>
      <c r="P50" s="293"/>
      <c r="Q50" s="285"/>
      <c r="R50" s="285"/>
      <c r="S50" s="285"/>
      <c r="T50" s="320">
        <f>SUM(J34:P34)/SUM(D34:H34)</f>
        <v>0.15279804679664968</v>
      </c>
      <c r="U50" s="288"/>
      <c r="V50" s="5"/>
    </row>
    <row r="51" spans="1:23" ht="15.6" x14ac:dyDescent="0.3">
      <c r="A51" s="284"/>
      <c r="B51" s="285" t="s">
        <v>177</v>
      </c>
      <c r="C51" s="285"/>
      <c r="D51" s="285"/>
      <c r="E51" s="285"/>
      <c r="F51" s="325"/>
      <c r="G51" s="285"/>
      <c r="H51" s="285"/>
      <c r="I51" s="285"/>
      <c r="J51" s="285"/>
      <c r="K51" s="285"/>
      <c r="L51" s="285"/>
      <c r="M51" s="285"/>
      <c r="N51" s="285"/>
      <c r="O51" s="285"/>
      <c r="P51" s="285"/>
      <c r="Q51" s="285"/>
      <c r="R51" s="285"/>
      <c r="S51" s="285"/>
      <c r="T51" s="320">
        <f>SUM(J36:P36)/SUM(D36:H36)</f>
        <v>0.36239577194173278</v>
      </c>
      <c r="U51" s="288"/>
      <c r="V51" s="5"/>
    </row>
    <row r="52" spans="1:23" ht="15.6" x14ac:dyDescent="0.3">
      <c r="A52" s="284"/>
      <c r="B52" s="285" t="s">
        <v>178</v>
      </c>
      <c r="C52" s="285"/>
      <c r="D52" s="285"/>
      <c r="E52" s="285"/>
      <c r="F52" s="285"/>
      <c r="G52" s="285"/>
      <c r="H52" s="285"/>
      <c r="I52" s="285"/>
      <c r="J52" s="285"/>
      <c r="K52" s="285"/>
      <c r="L52" s="285"/>
      <c r="M52" s="285"/>
      <c r="N52" s="285"/>
      <c r="O52" s="285"/>
      <c r="P52" s="285"/>
      <c r="Q52" s="285"/>
      <c r="R52" s="293" t="s">
        <v>109</v>
      </c>
      <c r="S52" s="293" t="s">
        <v>115</v>
      </c>
      <c r="T52" s="296">
        <f>+T34/2-SUM(J34:P34)</f>
        <v>367473</v>
      </c>
      <c r="U52" s="288"/>
      <c r="V52" s="5"/>
    </row>
    <row r="53" spans="1:23" ht="15.6" x14ac:dyDescent="0.3">
      <c r="A53" s="284"/>
      <c r="B53" s="285"/>
      <c r="C53" s="285"/>
      <c r="D53" s="285"/>
      <c r="E53" s="285"/>
      <c r="F53" s="285"/>
      <c r="G53" s="285"/>
      <c r="H53" s="285"/>
      <c r="I53" s="285"/>
      <c r="J53" s="285"/>
      <c r="K53" s="285"/>
      <c r="L53" s="285"/>
      <c r="M53" s="285"/>
      <c r="N53" s="285"/>
      <c r="O53" s="285"/>
      <c r="P53" s="285"/>
      <c r="Q53" s="285"/>
      <c r="R53" s="285"/>
      <c r="S53" s="285"/>
      <c r="T53" s="326"/>
      <c r="U53" s="288"/>
      <c r="V53" s="5"/>
    </row>
    <row r="54" spans="1:23" ht="15.6" x14ac:dyDescent="0.3">
      <c r="A54" s="284"/>
      <c r="B54" s="285" t="s">
        <v>211</v>
      </c>
      <c r="C54" s="285"/>
      <c r="D54" s="285"/>
      <c r="E54" s="285"/>
      <c r="F54" s="285"/>
      <c r="G54" s="285"/>
      <c r="H54" s="285"/>
      <c r="I54" s="285"/>
      <c r="J54" s="285"/>
      <c r="K54" s="285"/>
      <c r="L54" s="285"/>
      <c r="M54" s="285"/>
      <c r="N54" s="285"/>
      <c r="O54" s="285"/>
      <c r="P54" s="285"/>
      <c r="Q54" s="285"/>
      <c r="R54" s="285"/>
      <c r="S54" s="285"/>
      <c r="T54" s="327" t="s">
        <v>212</v>
      </c>
      <c r="U54" s="288"/>
      <c r="V54" s="5"/>
    </row>
    <row r="55" spans="1:23" ht="15.6" x14ac:dyDescent="0.3">
      <c r="A55" s="284"/>
      <c r="B55" s="285" t="s">
        <v>253</v>
      </c>
      <c r="C55" s="285"/>
      <c r="D55" s="285"/>
      <c r="E55" s="285"/>
      <c r="F55" s="285"/>
      <c r="G55" s="285"/>
      <c r="H55" s="285"/>
      <c r="I55" s="285"/>
      <c r="J55" s="285"/>
      <c r="K55" s="285"/>
      <c r="L55" s="285"/>
      <c r="M55" s="285"/>
      <c r="N55" s="285"/>
      <c r="O55" s="285"/>
      <c r="P55" s="285"/>
      <c r="Q55" s="285"/>
      <c r="R55" s="293"/>
      <c r="S55" s="293"/>
      <c r="T55" s="328" t="s">
        <v>117</v>
      </c>
      <c r="U55" s="288"/>
      <c r="V55" s="5"/>
    </row>
    <row r="56" spans="1:23" ht="15.6" x14ac:dyDescent="0.3">
      <c r="A56" s="284"/>
      <c r="B56" s="292" t="s">
        <v>210</v>
      </c>
      <c r="C56" s="292"/>
      <c r="D56" s="292"/>
      <c r="E56" s="292"/>
      <c r="F56" s="292"/>
      <c r="G56" s="292"/>
      <c r="H56" s="292"/>
      <c r="I56" s="292"/>
      <c r="J56" s="292"/>
      <c r="K56" s="292"/>
      <c r="L56" s="292"/>
      <c r="M56" s="292"/>
      <c r="N56" s="292"/>
      <c r="O56" s="292"/>
      <c r="P56" s="292"/>
      <c r="Q56" s="292"/>
      <c r="R56" s="329"/>
      <c r="S56" s="329"/>
      <c r="T56" s="330">
        <v>42384</v>
      </c>
      <c r="U56" s="288"/>
      <c r="V56" s="5"/>
    </row>
    <row r="57" spans="1:23" ht="15.6" x14ac:dyDescent="0.3">
      <c r="A57" s="284"/>
      <c r="B57" s="285" t="s">
        <v>127</v>
      </c>
      <c r="C57" s="285"/>
      <c r="D57" s="285"/>
      <c r="E57" s="285"/>
      <c r="F57" s="285"/>
      <c r="G57" s="285"/>
      <c r="H57" s="331"/>
      <c r="I57" s="331"/>
      <c r="J57" s="331"/>
      <c r="K57" s="331"/>
      <c r="L57" s="331"/>
      <c r="M57" s="331"/>
      <c r="N57" s="331"/>
      <c r="O57" s="331"/>
      <c r="P57" s="285">
        <f>+T57-R57+1</f>
        <v>92</v>
      </c>
      <c r="Q57" s="331"/>
      <c r="R57" s="332">
        <v>42200</v>
      </c>
      <c r="S57" s="333"/>
      <c r="T57" s="332">
        <v>42291</v>
      </c>
      <c r="U57" s="288"/>
      <c r="V57" s="5"/>
    </row>
    <row r="58" spans="1:23" ht="15.6" x14ac:dyDescent="0.3">
      <c r="A58" s="284"/>
      <c r="B58" s="285" t="s">
        <v>128</v>
      </c>
      <c r="C58" s="285"/>
      <c r="D58" s="285"/>
      <c r="E58" s="285"/>
      <c r="F58" s="285"/>
      <c r="G58" s="285"/>
      <c r="H58" s="285"/>
      <c r="I58" s="285"/>
      <c r="J58" s="285"/>
      <c r="K58" s="285"/>
      <c r="L58" s="285"/>
      <c r="M58" s="285"/>
      <c r="N58" s="285"/>
      <c r="O58" s="285"/>
      <c r="P58" s="285">
        <f>+T58-R58+1</f>
        <v>92</v>
      </c>
      <c r="Q58" s="285"/>
      <c r="R58" s="332">
        <v>42292</v>
      </c>
      <c r="S58" s="333"/>
      <c r="T58" s="332">
        <v>42383</v>
      </c>
      <c r="U58" s="288"/>
      <c r="V58" s="5"/>
    </row>
    <row r="59" spans="1:23" ht="15.6" x14ac:dyDescent="0.3">
      <c r="A59" s="284"/>
      <c r="B59" s="285" t="s">
        <v>209</v>
      </c>
      <c r="C59" s="285"/>
      <c r="D59" s="285"/>
      <c r="E59" s="285"/>
      <c r="F59" s="285"/>
      <c r="G59" s="285"/>
      <c r="H59" s="285"/>
      <c r="I59" s="285"/>
      <c r="J59" s="285"/>
      <c r="K59" s="285"/>
      <c r="L59" s="285"/>
      <c r="M59" s="285"/>
      <c r="N59" s="285"/>
      <c r="O59" s="285"/>
      <c r="P59" s="285"/>
      <c r="Q59" s="285"/>
      <c r="R59" s="332"/>
      <c r="S59" s="333"/>
      <c r="T59" s="332" t="s">
        <v>126</v>
      </c>
      <c r="U59" s="288"/>
      <c r="V59" s="5"/>
    </row>
    <row r="60" spans="1:23" ht="15.6" x14ac:dyDescent="0.3">
      <c r="A60" s="284"/>
      <c r="B60" s="285" t="s">
        <v>249</v>
      </c>
      <c r="C60" s="285"/>
      <c r="D60" s="285"/>
      <c r="E60" s="285"/>
      <c r="F60" s="285"/>
      <c r="G60" s="285"/>
      <c r="H60" s="285"/>
      <c r="I60" s="285"/>
      <c r="J60" s="285"/>
      <c r="K60" s="285"/>
      <c r="L60" s="285"/>
      <c r="M60" s="285"/>
      <c r="N60" s="285"/>
      <c r="O60" s="285"/>
      <c r="P60" s="285"/>
      <c r="Q60" s="285"/>
      <c r="R60" s="332"/>
      <c r="S60" s="333"/>
      <c r="T60" s="332" t="s">
        <v>160</v>
      </c>
      <c r="U60" s="288"/>
      <c r="V60" s="5"/>
      <c r="W60" s="134"/>
    </row>
    <row r="61" spans="1:23" ht="15.6" x14ac:dyDescent="0.3">
      <c r="A61" s="284"/>
      <c r="B61" s="285" t="s">
        <v>16</v>
      </c>
      <c r="C61" s="285"/>
      <c r="D61" s="285"/>
      <c r="E61" s="285"/>
      <c r="F61" s="285"/>
      <c r="G61" s="285"/>
      <c r="H61" s="285"/>
      <c r="I61" s="285"/>
      <c r="J61" s="285"/>
      <c r="K61" s="285"/>
      <c r="L61" s="285"/>
      <c r="M61" s="285"/>
      <c r="N61" s="285"/>
      <c r="O61" s="285"/>
      <c r="P61" s="285"/>
      <c r="Q61" s="285"/>
      <c r="R61" s="332"/>
      <c r="S61" s="333"/>
      <c r="T61" s="332">
        <v>42373</v>
      </c>
      <c r="U61" s="288"/>
      <c r="V61" s="5"/>
    </row>
    <row r="62" spans="1:23" ht="15.6" x14ac:dyDescent="0.3">
      <c r="A62" s="175"/>
      <c r="B62" s="281"/>
      <c r="C62" s="281"/>
      <c r="D62" s="281"/>
      <c r="E62" s="281"/>
      <c r="F62" s="281"/>
      <c r="G62" s="281"/>
      <c r="H62" s="281"/>
      <c r="I62" s="281"/>
      <c r="J62" s="281"/>
      <c r="K62" s="281"/>
      <c r="L62" s="281"/>
      <c r="M62" s="281"/>
      <c r="N62" s="281"/>
      <c r="O62" s="281"/>
      <c r="P62" s="281"/>
      <c r="Q62" s="281"/>
      <c r="R62" s="282"/>
      <c r="S62" s="283"/>
      <c r="T62" s="282"/>
      <c r="U62" s="281"/>
      <c r="V62" s="5"/>
    </row>
    <row r="63" spans="1:23" ht="15.6" x14ac:dyDescent="0.3">
      <c r="A63" s="175"/>
      <c r="B63" s="231"/>
      <c r="C63" s="231"/>
      <c r="D63" s="231"/>
      <c r="E63" s="231"/>
      <c r="F63" s="231"/>
      <c r="G63" s="231"/>
      <c r="H63" s="231"/>
      <c r="I63" s="231"/>
      <c r="J63" s="231"/>
      <c r="K63" s="231"/>
      <c r="L63" s="231"/>
      <c r="M63" s="231"/>
      <c r="N63" s="231"/>
      <c r="O63" s="231"/>
      <c r="P63" s="231"/>
      <c r="Q63" s="231"/>
      <c r="R63" s="244"/>
      <c r="S63" s="245"/>
      <c r="T63" s="244"/>
      <c r="U63" s="231"/>
      <c r="V63" s="5"/>
    </row>
    <row r="64" spans="1:23" ht="18" thickBot="1" x14ac:dyDescent="0.35">
      <c r="A64" s="192"/>
      <c r="B64" s="246" t="s">
        <v>336</v>
      </c>
      <c r="C64" s="247"/>
      <c r="D64" s="247"/>
      <c r="E64" s="247"/>
      <c r="F64" s="247"/>
      <c r="G64" s="247"/>
      <c r="H64" s="247"/>
      <c r="I64" s="247"/>
      <c r="J64" s="247"/>
      <c r="K64" s="247"/>
      <c r="L64" s="247"/>
      <c r="M64" s="247"/>
      <c r="N64" s="247"/>
      <c r="O64" s="247"/>
      <c r="P64" s="247"/>
      <c r="Q64" s="247"/>
      <c r="R64" s="247"/>
      <c r="S64" s="247"/>
      <c r="T64" s="248"/>
      <c r="U64" s="249"/>
      <c r="V64" s="5"/>
    </row>
    <row r="65" spans="1:22" ht="15.6" x14ac:dyDescent="0.3">
      <c r="A65" s="222"/>
      <c r="B65" s="395" t="s">
        <v>17</v>
      </c>
      <c r="C65" s="223"/>
      <c r="D65" s="223"/>
      <c r="E65" s="223"/>
      <c r="F65" s="223"/>
      <c r="G65" s="223"/>
      <c r="H65" s="223"/>
      <c r="I65" s="223"/>
      <c r="J65" s="223"/>
      <c r="K65" s="223"/>
      <c r="L65" s="223"/>
      <c r="M65" s="223"/>
      <c r="N65" s="223"/>
      <c r="O65" s="223"/>
      <c r="P65" s="223"/>
      <c r="Q65" s="223"/>
      <c r="R65" s="223"/>
      <c r="S65" s="223"/>
      <c r="T65" s="250"/>
      <c r="U65" s="223"/>
      <c r="V65" s="5"/>
    </row>
    <row r="66" spans="1:22" ht="15.6" x14ac:dyDescent="0.3">
      <c r="A66" s="175"/>
      <c r="B66" s="183"/>
      <c r="C66" s="177"/>
      <c r="D66" s="177"/>
      <c r="E66" s="177"/>
      <c r="F66" s="177"/>
      <c r="G66" s="177"/>
      <c r="H66" s="177"/>
      <c r="I66" s="177"/>
      <c r="J66" s="177"/>
      <c r="K66" s="177"/>
      <c r="L66" s="177"/>
      <c r="M66" s="177"/>
      <c r="N66" s="177"/>
      <c r="O66" s="177"/>
      <c r="P66" s="177"/>
      <c r="Q66" s="177"/>
      <c r="R66" s="177"/>
      <c r="S66" s="177"/>
      <c r="T66" s="194"/>
      <c r="U66" s="177"/>
      <c r="V66" s="5"/>
    </row>
    <row r="67" spans="1:22" ht="46.8" x14ac:dyDescent="0.3">
      <c r="A67" s="175"/>
      <c r="B67" s="195" t="s">
        <v>18</v>
      </c>
      <c r="C67" s="196"/>
      <c r="D67" s="196"/>
      <c r="E67" s="196"/>
      <c r="F67" s="196"/>
      <c r="G67" s="196"/>
      <c r="H67" s="196"/>
      <c r="I67" s="196"/>
      <c r="J67" s="196" t="s">
        <v>97</v>
      </c>
      <c r="K67" s="196"/>
      <c r="L67" s="196" t="s">
        <v>99</v>
      </c>
      <c r="M67" s="196"/>
      <c r="N67" s="196" t="s">
        <v>101</v>
      </c>
      <c r="O67" s="196"/>
      <c r="P67" s="196" t="s">
        <v>103</v>
      </c>
      <c r="Q67" s="196"/>
      <c r="R67" s="196" t="s">
        <v>110</v>
      </c>
      <c r="S67" s="196"/>
      <c r="T67" s="197" t="s">
        <v>118</v>
      </c>
      <c r="U67" s="198"/>
      <c r="V67" s="5"/>
    </row>
    <row r="68" spans="1:22" ht="15.6" x14ac:dyDescent="0.3">
      <c r="A68" s="337"/>
      <c r="B68" s="285" t="s">
        <v>19</v>
      </c>
      <c r="C68" s="338"/>
      <c r="D68" s="338"/>
      <c r="E68" s="338"/>
      <c r="F68" s="338"/>
      <c r="G68" s="338"/>
      <c r="H68" s="338"/>
      <c r="I68" s="338"/>
      <c r="J68" s="338">
        <v>1000039</v>
      </c>
      <c r="K68" s="338"/>
      <c r="L68" s="339">
        <v>490572</v>
      </c>
      <c r="M68" s="338"/>
      <c r="N68" s="338">
        <f>10377+126</f>
        <v>10503</v>
      </c>
      <c r="O68" s="338"/>
      <c r="P68" s="338">
        <v>126</v>
      </c>
      <c r="Q68" s="338"/>
      <c r="R68" s="338">
        <v>0</v>
      </c>
      <c r="S68" s="338"/>
      <c r="T68" s="339">
        <f>+L68-N68+P68-R68</f>
        <v>480195</v>
      </c>
      <c r="U68" s="288"/>
      <c r="V68" s="5"/>
    </row>
    <row r="69" spans="1:22" ht="15.6" x14ac:dyDescent="0.3">
      <c r="A69" s="337"/>
      <c r="B69" s="285" t="s">
        <v>20</v>
      </c>
      <c r="C69" s="338"/>
      <c r="D69" s="338"/>
      <c r="E69" s="338"/>
      <c r="F69" s="338"/>
      <c r="G69" s="338"/>
      <c r="H69" s="338"/>
      <c r="I69" s="338"/>
      <c r="J69" s="338">
        <v>10</v>
      </c>
      <c r="K69" s="338"/>
      <c r="L69" s="339">
        <v>0</v>
      </c>
      <c r="M69" s="338"/>
      <c r="N69" s="338">
        <v>0</v>
      </c>
      <c r="O69" s="338"/>
      <c r="P69" s="338">
        <v>0</v>
      </c>
      <c r="Q69" s="338"/>
      <c r="R69" s="338">
        <v>0</v>
      </c>
      <c r="S69" s="338"/>
      <c r="T69" s="339">
        <v>0</v>
      </c>
      <c r="U69" s="288"/>
      <c r="V69" s="5"/>
    </row>
    <row r="70" spans="1:22" ht="15.6" x14ac:dyDescent="0.3">
      <c r="A70" s="337"/>
      <c r="B70" s="285"/>
      <c r="C70" s="338"/>
      <c r="D70" s="338"/>
      <c r="E70" s="338"/>
      <c r="F70" s="338"/>
      <c r="G70" s="338"/>
      <c r="H70" s="338"/>
      <c r="I70" s="338"/>
      <c r="J70" s="338"/>
      <c r="K70" s="338"/>
      <c r="L70" s="339"/>
      <c r="M70" s="338"/>
      <c r="N70" s="338"/>
      <c r="O70" s="338"/>
      <c r="P70" s="338"/>
      <c r="Q70" s="338"/>
      <c r="R70" s="338"/>
      <c r="S70" s="338"/>
      <c r="T70" s="339"/>
      <c r="U70" s="288"/>
      <c r="V70" s="5"/>
    </row>
    <row r="71" spans="1:22" ht="15.6" x14ac:dyDescent="0.3">
      <c r="A71" s="337"/>
      <c r="B71" s="285" t="s">
        <v>21</v>
      </c>
      <c r="C71" s="338"/>
      <c r="D71" s="338"/>
      <c r="E71" s="338"/>
      <c r="F71" s="338"/>
      <c r="G71" s="338"/>
      <c r="H71" s="338"/>
      <c r="I71" s="338"/>
      <c r="J71" s="338">
        <f>SUM(J68:J70)</f>
        <v>1000049</v>
      </c>
      <c r="K71" s="338"/>
      <c r="L71" s="338">
        <f>L68+L69</f>
        <v>490572</v>
      </c>
      <c r="M71" s="338"/>
      <c r="N71" s="338">
        <f>SUM(N68:N70)</f>
        <v>10503</v>
      </c>
      <c r="O71" s="338"/>
      <c r="P71" s="338">
        <f>SUM(P68:P70)</f>
        <v>126</v>
      </c>
      <c r="Q71" s="338"/>
      <c r="R71" s="338">
        <f>SUM(R68:R70)</f>
        <v>0</v>
      </c>
      <c r="S71" s="338"/>
      <c r="T71" s="338">
        <f>SUM(T68:T70)</f>
        <v>480195</v>
      </c>
      <c r="U71" s="288"/>
      <c r="V71" s="5"/>
    </row>
    <row r="72" spans="1:22" ht="15.6" x14ac:dyDescent="0.3">
      <c r="A72" s="175"/>
      <c r="B72" s="334"/>
      <c r="C72" s="335"/>
      <c r="D72" s="335"/>
      <c r="E72" s="335"/>
      <c r="F72" s="335"/>
      <c r="G72" s="335"/>
      <c r="H72" s="335"/>
      <c r="I72" s="335"/>
      <c r="J72" s="335"/>
      <c r="K72" s="335"/>
      <c r="L72" s="335"/>
      <c r="M72" s="335"/>
      <c r="N72" s="335"/>
      <c r="O72" s="335"/>
      <c r="P72" s="335"/>
      <c r="Q72" s="335"/>
      <c r="R72" s="335"/>
      <c r="S72" s="335"/>
      <c r="T72" s="336"/>
      <c r="U72" s="334"/>
      <c r="V72" s="5"/>
    </row>
    <row r="73" spans="1:22" ht="15.6" x14ac:dyDescent="0.3">
      <c r="A73" s="175"/>
      <c r="B73" s="179" t="s">
        <v>22</v>
      </c>
      <c r="C73" s="199"/>
      <c r="D73" s="199"/>
      <c r="E73" s="199"/>
      <c r="F73" s="199"/>
      <c r="G73" s="199"/>
      <c r="H73" s="199"/>
      <c r="I73" s="199"/>
      <c r="J73" s="199"/>
      <c r="K73" s="199"/>
      <c r="L73" s="199"/>
      <c r="M73" s="199"/>
      <c r="N73" s="199"/>
      <c r="O73" s="199"/>
      <c r="P73" s="199"/>
      <c r="Q73" s="199"/>
      <c r="R73" s="199"/>
      <c r="S73" s="199"/>
      <c r="T73" s="200"/>
      <c r="U73" s="177"/>
      <c r="V73" s="5"/>
    </row>
    <row r="74" spans="1:22" ht="15.6" x14ac:dyDescent="0.3">
      <c r="A74" s="175"/>
      <c r="B74" s="177"/>
      <c r="C74" s="199"/>
      <c r="D74" s="199"/>
      <c r="E74" s="199"/>
      <c r="F74" s="199"/>
      <c r="G74" s="199"/>
      <c r="H74" s="199"/>
      <c r="I74" s="199"/>
      <c r="J74" s="199"/>
      <c r="K74" s="199"/>
      <c r="L74" s="199"/>
      <c r="M74" s="199"/>
      <c r="N74" s="199"/>
      <c r="O74" s="199"/>
      <c r="P74" s="199"/>
      <c r="Q74" s="199"/>
      <c r="R74" s="199"/>
      <c r="S74" s="199"/>
      <c r="T74" s="200"/>
      <c r="U74" s="177"/>
      <c r="V74" s="5"/>
    </row>
    <row r="75" spans="1:22" ht="15.6" x14ac:dyDescent="0.3">
      <c r="A75" s="284"/>
      <c r="B75" s="285" t="s">
        <v>19</v>
      </c>
      <c r="C75" s="338"/>
      <c r="D75" s="338"/>
      <c r="E75" s="338"/>
      <c r="F75" s="338"/>
      <c r="G75" s="338"/>
      <c r="H75" s="338"/>
      <c r="I75" s="338"/>
      <c r="J75" s="338"/>
      <c r="K75" s="338"/>
      <c r="L75" s="338"/>
      <c r="M75" s="338"/>
      <c r="N75" s="338"/>
      <c r="O75" s="338"/>
      <c r="P75" s="338"/>
      <c r="Q75" s="338"/>
      <c r="R75" s="338"/>
      <c r="S75" s="338"/>
      <c r="T75" s="338"/>
      <c r="U75" s="288"/>
      <c r="V75" s="5"/>
    </row>
    <row r="76" spans="1:22" ht="15.6" x14ac:dyDescent="0.3">
      <c r="A76" s="284"/>
      <c r="B76" s="285" t="s">
        <v>20</v>
      </c>
      <c r="C76" s="338"/>
      <c r="D76" s="338"/>
      <c r="E76" s="338"/>
      <c r="F76" s="338"/>
      <c r="G76" s="338"/>
      <c r="H76" s="338"/>
      <c r="I76" s="338"/>
      <c r="J76" s="338"/>
      <c r="K76" s="338"/>
      <c r="L76" s="338"/>
      <c r="M76" s="338"/>
      <c r="N76" s="338"/>
      <c r="O76" s="338"/>
      <c r="P76" s="338"/>
      <c r="Q76" s="338"/>
      <c r="R76" s="338"/>
      <c r="S76" s="338"/>
      <c r="T76" s="338"/>
      <c r="U76" s="288"/>
      <c r="V76" s="5"/>
    </row>
    <row r="77" spans="1:22" ht="15.6" x14ac:dyDescent="0.3">
      <c r="A77" s="284"/>
      <c r="B77" s="285"/>
      <c r="C77" s="338"/>
      <c r="D77" s="338"/>
      <c r="E77" s="338"/>
      <c r="F77" s="338"/>
      <c r="G77" s="338"/>
      <c r="H77" s="338"/>
      <c r="I77" s="338"/>
      <c r="J77" s="338"/>
      <c r="K77" s="338"/>
      <c r="L77" s="338"/>
      <c r="M77" s="338"/>
      <c r="N77" s="338"/>
      <c r="O77" s="338"/>
      <c r="P77" s="338"/>
      <c r="Q77" s="338"/>
      <c r="R77" s="338"/>
      <c r="S77" s="338"/>
      <c r="T77" s="338"/>
      <c r="U77" s="288"/>
      <c r="V77" s="5"/>
    </row>
    <row r="78" spans="1:22" ht="15.6" x14ac:dyDescent="0.3">
      <c r="A78" s="284"/>
      <c r="B78" s="285" t="s">
        <v>21</v>
      </c>
      <c r="C78" s="338"/>
      <c r="D78" s="338"/>
      <c r="E78" s="338"/>
      <c r="F78" s="338"/>
      <c r="G78" s="338"/>
      <c r="H78" s="338"/>
      <c r="I78" s="338"/>
      <c r="J78" s="338"/>
      <c r="K78" s="338"/>
      <c r="L78" s="338"/>
      <c r="M78" s="338"/>
      <c r="N78" s="338"/>
      <c r="O78" s="338"/>
      <c r="P78" s="338"/>
      <c r="Q78" s="338"/>
      <c r="R78" s="338"/>
      <c r="S78" s="338"/>
      <c r="T78" s="338"/>
      <c r="U78" s="288"/>
      <c r="V78" s="5"/>
    </row>
    <row r="79" spans="1:22" ht="15.6" x14ac:dyDescent="0.3">
      <c r="A79" s="284"/>
      <c r="B79" s="285"/>
      <c r="C79" s="338"/>
      <c r="D79" s="338"/>
      <c r="E79" s="338"/>
      <c r="F79" s="338"/>
      <c r="G79" s="338"/>
      <c r="H79" s="338"/>
      <c r="I79" s="338"/>
      <c r="J79" s="338"/>
      <c r="K79" s="338"/>
      <c r="L79" s="338"/>
      <c r="M79" s="338"/>
      <c r="N79" s="338"/>
      <c r="O79" s="338"/>
      <c r="P79" s="338"/>
      <c r="Q79" s="338"/>
      <c r="R79" s="338"/>
      <c r="S79" s="338"/>
      <c r="T79" s="338"/>
      <c r="U79" s="288"/>
      <c r="V79" s="5"/>
    </row>
    <row r="80" spans="1:22" ht="15.6" x14ac:dyDescent="0.3">
      <c r="A80" s="284"/>
      <c r="B80" s="285" t="s">
        <v>23</v>
      </c>
      <c r="C80" s="338"/>
      <c r="D80" s="338"/>
      <c r="E80" s="338"/>
      <c r="F80" s="338"/>
      <c r="G80" s="338"/>
      <c r="H80" s="338"/>
      <c r="I80" s="338"/>
      <c r="J80" s="338">
        <v>0</v>
      </c>
      <c r="K80" s="338"/>
      <c r="L80" s="338">
        <v>0</v>
      </c>
      <c r="M80" s="338"/>
      <c r="N80" s="338"/>
      <c r="O80" s="338"/>
      <c r="P80" s="338"/>
      <c r="Q80" s="338"/>
      <c r="R80" s="338"/>
      <c r="S80" s="338"/>
      <c r="T80" s="339">
        <v>0</v>
      </c>
      <c r="U80" s="288"/>
      <c r="V80" s="5"/>
    </row>
    <row r="81" spans="1:22" ht="15.6" x14ac:dyDescent="0.3">
      <c r="A81" s="284"/>
      <c r="B81" s="285" t="s">
        <v>123</v>
      </c>
      <c r="C81" s="338"/>
      <c r="D81" s="338"/>
      <c r="E81" s="338"/>
      <c r="F81" s="338"/>
      <c r="G81" s="338"/>
      <c r="H81" s="338"/>
      <c r="I81" s="338"/>
      <c r="J81" s="338">
        <v>0</v>
      </c>
      <c r="K81" s="338"/>
      <c r="L81" s="338">
        <v>0</v>
      </c>
      <c r="M81" s="338"/>
      <c r="N81" s="338"/>
      <c r="O81" s="338"/>
      <c r="P81" s="338"/>
      <c r="Q81" s="338"/>
      <c r="R81" s="338"/>
      <c r="S81" s="338"/>
      <c r="T81" s="338">
        <f>SUM(J81:P81)</f>
        <v>0</v>
      </c>
      <c r="U81" s="288"/>
      <c r="V81" s="5"/>
    </row>
    <row r="82" spans="1:22" ht="15.6" x14ac:dyDescent="0.3">
      <c r="A82" s="284"/>
      <c r="B82" s="285" t="s">
        <v>152</v>
      </c>
      <c r="C82" s="338"/>
      <c r="D82" s="338"/>
      <c r="E82" s="338"/>
      <c r="F82" s="338"/>
      <c r="G82" s="338"/>
      <c r="H82" s="338"/>
      <c r="I82" s="338"/>
      <c r="J82" s="338">
        <v>1</v>
      </c>
      <c r="K82" s="338"/>
      <c r="L82" s="338">
        <v>0</v>
      </c>
      <c r="M82" s="338"/>
      <c r="N82" s="338">
        <v>0</v>
      </c>
      <c r="O82" s="338"/>
      <c r="P82" s="338"/>
      <c r="Q82" s="338"/>
      <c r="R82" s="338"/>
      <c r="S82" s="338"/>
      <c r="T82" s="338">
        <f>+L82+N82</f>
        <v>0</v>
      </c>
      <c r="U82" s="288"/>
      <c r="V82" s="5"/>
    </row>
    <row r="83" spans="1:22" ht="15.6" x14ac:dyDescent="0.3">
      <c r="A83" s="284"/>
      <c r="B83" s="285" t="s">
        <v>25</v>
      </c>
      <c r="C83" s="338"/>
      <c r="D83" s="338"/>
      <c r="E83" s="338"/>
      <c r="F83" s="338"/>
      <c r="G83" s="338"/>
      <c r="H83" s="338"/>
      <c r="I83" s="338"/>
      <c r="J83" s="338">
        <v>0</v>
      </c>
      <c r="K83" s="338"/>
      <c r="L83" s="338">
        <v>0</v>
      </c>
      <c r="M83" s="338"/>
      <c r="N83" s="338"/>
      <c r="O83" s="338"/>
      <c r="P83" s="338"/>
      <c r="Q83" s="338"/>
      <c r="R83" s="338"/>
      <c r="S83" s="338"/>
      <c r="T83" s="338">
        <v>0</v>
      </c>
      <c r="U83" s="288"/>
      <c r="V83" s="5"/>
    </row>
    <row r="84" spans="1:22" ht="15.6" x14ac:dyDescent="0.3">
      <c r="A84" s="284"/>
      <c r="B84" s="285" t="s">
        <v>26</v>
      </c>
      <c r="C84" s="338"/>
      <c r="D84" s="338"/>
      <c r="E84" s="338"/>
      <c r="F84" s="338"/>
      <c r="G84" s="338"/>
      <c r="H84" s="338"/>
      <c r="I84" s="338"/>
      <c r="J84" s="338">
        <f>SUM(J71:J83)</f>
        <v>1000050</v>
      </c>
      <c r="K84" s="338"/>
      <c r="L84" s="338">
        <f>SUM(L71:L83)</f>
        <v>490572</v>
      </c>
      <c r="M84" s="338"/>
      <c r="N84" s="338"/>
      <c r="O84" s="338"/>
      <c r="P84" s="338"/>
      <c r="Q84" s="338"/>
      <c r="R84" s="338"/>
      <c r="S84" s="338"/>
      <c r="T84" s="338">
        <f>SUM(T71:T83)</f>
        <v>480195</v>
      </c>
      <c r="U84" s="288"/>
      <c r="V84" s="5"/>
    </row>
    <row r="85" spans="1:22" ht="15.6" x14ac:dyDescent="0.3">
      <c r="A85" s="175"/>
      <c r="B85" s="334"/>
      <c r="C85" s="335"/>
      <c r="D85" s="335"/>
      <c r="E85" s="335"/>
      <c r="F85" s="335"/>
      <c r="G85" s="335"/>
      <c r="H85" s="335"/>
      <c r="I85" s="335"/>
      <c r="J85" s="335"/>
      <c r="K85" s="335"/>
      <c r="L85" s="335"/>
      <c r="M85" s="335"/>
      <c r="N85" s="335"/>
      <c r="O85" s="335"/>
      <c r="P85" s="335"/>
      <c r="Q85" s="335"/>
      <c r="R85" s="335"/>
      <c r="S85" s="335"/>
      <c r="T85" s="336"/>
      <c r="U85" s="334"/>
      <c r="V85" s="5"/>
    </row>
    <row r="86" spans="1:22" ht="15.6" x14ac:dyDescent="0.3">
      <c r="A86" s="175"/>
      <c r="B86" s="177"/>
      <c r="C86" s="177"/>
      <c r="D86" s="177"/>
      <c r="E86" s="177"/>
      <c r="F86" s="177"/>
      <c r="G86" s="177"/>
      <c r="H86" s="177"/>
      <c r="I86" s="177"/>
      <c r="J86" s="177"/>
      <c r="K86" s="177"/>
      <c r="L86" s="177"/>
      <c r="M86" s="177"/>
      <c r="N86" s="177"/>
      <c r="O86" s="177"/>
      <c r="P86" s="177"/>
      <c r="Q86" s="177"/>
      <c r="R86" s="177"/>
      <c r="S86" s="177"/>
      <c r="T86" s="177"/>
      <c r="U86" s="177"/>
      <c r="V86" s="5"/>
    </row>
    <row r="87" spans="1:22" ht="15.6" x14ac:dyDescent="0.3">
      <c r="A87" s="222"/>
      <c r="B87" s="395" t="s">
        <v>27</v>
      </c>
      <c r="C87" s="395"/>
      <c r="D87" s="395"/>
      <c r="E87" s="395"/>
      <c r="F87" s="395"/>
      <c r="G87" s="395"/>
      <c r="H87" s="396"/>
      <c r="I87" s="396"/>
      <c r="J87" s="397" t="s">
        <v>98</v>
      </c>
      <c r="K87" s="396"/>
      <c r="L87" s="398">
        <f>+R194</f>
        <v>42369</v>
      </c>
      <c r="M87" s="396"/>
      <c r="N87" s="396"/>
      <c r="O87" s="396"/>
      <c r="P87" s="396"/>
      <c r="Q87" s="396"/>
      <c r="R87" s="396" t="s">
        <v>111</v>
      </c>
      <c r="S87" s="396"/>
      <c r="T87" s="396" t="s">
        <v>119</v>
      </c>
      <c r="U87" s="223"/>
      <c r="V87" s="5"/>
    </row>
    <row r="88" spans="1:22" ht="15.6" x14ac:dyDescent="0.3">
      <c r="A88" s="190"/>
      <c r="B88" s="239" t="s">
        <v>28</v>
      </c>
      <c r="C88" s="239"/>
      <c r="D88" s="239"/>
      <c r="E88" s="239"/>
      <c r="F88" s="239"/>
      <c r="G88" s="239"/>
      <c r="H88" s="239"/>
      <c r="I88" s="239"/>
      <c r="J88" s="239"/>
      <c r="K88" s="239"/>
      <c r="L88" s="239"/>
      <c r="M88" s="239"/>
      <c r="N88" s="239"/>
      <c r="O88" s="239"/>
      <c r="P88" s="239"/>
      <c r="Q88" s="239"/>
      <c r="R88" s="243">
        <v>0</v>
      </c>
      <c r="S88" s="239"/>
      <c r="T88" s="251">
        <v>0</v>
      </c>
      <c r="U88" s="239"/>
      <c r="V88" s="5"/>
    </row>
    <row r="89" spans="1:22" ht="15.6" x14ac:dyDescent="0.3">
      <c r="A89" s="284"/>
      <c r="B89" s="285" t="s">
        <v>29</v>
      </c>
      <c r="C89" s="285"/>
      <c r="D89" s="285"/>
      <c r="E89" s="285"/>
      <c r="F89" s="285"/>
      <c r="G89" s="285"/>
      <c r="H89" s="324"/>
      <c r="I89" s="341"/>
      <c r="J89" s="324"/>
      <c r="K89" s="285"/>
      <c r="L89" s="342"/>
      <c r="M89" s="285"/>
      <c r="N89" s="285"/>
      <c r="O89" s="285"/>
      <c r="P89" s="285"/>
      <c r="Q89" s="285"/>
      <c r="R89" s="338">
        <f>10503-97</f>
        <v>10406</v>
      </c>
      <c r="S89" s="285"/>
      <c r="T89" s="339"/>
      <c r="U89" s="288"/>
      <c r="V89" s="5"/>
    </row>
    <row r="90" spans="1:22" ht="15.6" x14ac:dyDescent="0.3">
      <c r="A90" s="284"/>
      <c r="B90" s="285" t="s">
        <v>225</v>
      </c>
      <c r="C90" s="285"/>
      <c r="D90" s="285"/>
      <c r="E90" s="285"/>
      <c r="F90" s="285"/>
      <c r="G90" s="285"/>
      <c r="H90" s="324"/>
      <c r="I90" s="341"/>
      <c r="J90" s="324"/>
      <c r="K90" s="285"/>
      <c r="L90" s="342"/>
      <c r="M90" s="285"/>
      <c r="N90" s="285"/>
      <c r="O90" s="285"/>
      <c r="P90" s="285"/>
      <c r="Q90" s="285"/>
      <c r="R90" s="338"/>
      <c r="S90" s="285"/>
      <c r="T90" s="339">
        <f>1697+1918-396-455</f>
        <v>2764</v>
      </c>
      <c r="U90" s="288"/>
      <c r="V90" s="5"/>
    </row>
    <row r="91" spans="1:22" ht="15.6" x14ac:dyDescent="0.3">
      <c r="A91" s="284"/>
      <c r="B91" s="285" t="s">
        <v>220</v>
      </c>
      <c r="C91" s="285"/>
      <c r="D91" s="285"/>
      <c r="E91" s="285"/>
      <c r="F91" s="285"/>
      <c r="G91" s="285"/>
      <c r="H91" s="324"/>
      <c r="I91" s="341"/>
      <c r="J91" s="324"/>
      <c r="K91" s="285"/>
      <c r="L91" s="342"/>
      <c r="M91" s="285"/>
      <c r="N91" s="285"/>
      <c r="O91" s="285"/>
      <c r="P91" s="285"/>
      <c r="Q91" s="285"/>
      <c r="R91" s="338"/>
      <c r="S91" s="285"/>
      <c r="T91" s="339">
        <f>15+179</f>
        <v>194</v>
      </c>
      <c r="U91" s="288"/>
      <c r="V91" s="5"/>
    </row>
    <row r="92" spans="1:22" ht="15.6" x14ac:dyDescent="0.3">
      <c r="A92" s="284"/>
      <c r="B92" s="285" t="s">
        <v>221</v>
      </c>
      <c r="C92" s="285"/>
      <c r="D92" s="285"/>
      <c r="E92" s="285"/>
      <c r="F92" s="285"/>
      <c r="G92" s="285"/>
      <c r="H92" s="324"/>
      <c r="I92" s="341"/>
      <c r="J92" s="324"/>
      <c r="K92" s="285"/>
      <c r="L92" s="342"/>
      <c r="M92" s="285"/>
      <c r="N92" s="285"/>
      <c r="O92" s="285"/>
      <c r="P92" s="285"/>
      <c r="Q92" s="285"/>
      <c r="R92" s="338"/>
      <c r="S92" s="285"/>
      <c r="T92" s="339">
        <v>32</v>
      </c>
      <c r="U92" s="288"/>
      <c r="V92" s="5"/>
    </row>
    <row r="93" spans="1:22" ht="15.6" x14ac:dyDescent="0.3">
      <c r="A93" s="284"/>
      <c r="B93" s="285" t="s">
        <v>261</v>
      </c>
      <c r="C93" s="285"/>
      <c r="D93" s="285"/>
      <c r="E93" s="285"/>
      <c r="F93" s="285"/>
      <c r="G93" s="285"/>
      <c r="H93" s="324"/>
      <c r="I93" s="341"/>
      <c r="J93" s="324"/>
      <c r="K93" s="285"/>
      <c r="L93" s="342"/>
      <c r="M93" s="285"/>
      <c r="N93" s="285"/>
      <c r="O93" s="285"/>
      <c r="P93" s="285"/>
      <c r="Q93" s="285"/>
      <c r="R93" s="338"/>
      <c r="S93" s="285"/>
      <c r="T93" s="339">
        <v>0</v>
      </c>
      <c r="U93" s="288"/>
      <c r="V93" s="5"/>
    </row>
    <row r="94" spans="1:22" ht="15.6" x14ac:dyDescent="0.3">
      <c r="A94" s="284"/>
      <c r="B94" s="285" t="s">
        <v>141</v>
      </c>
      <c r="C94" s="285"/>
      <c r="D94" s="285"/>
      <c r="E94" s="285"/>
      <c r="F94" s="285"/>
      <c r="G94" s="285"/>
      <c r="H94" s="285"/>
      <c r="I94" s="285"/>
      <c r="J94" s="285"/>
      <c r="K94" s="285"/>
      <c r="L94" s="285"/>
      <c r="M94" s="285"/>
      <c r="N94" s="285"/>
      <c r="O94" s="285"/>
      <c r="P94" s="285"/>
      <c r="Q94" s="285"/>
      <c r="R94" s="338"/>
      <c r="S94" s="285"/>
      <c r="T94" s="339">
        <v>0</v>
      </c>
      <c r="U94" s="288"/>
      <c r="V94" s="5"/>
    </row>
    <row r="95" spans="1:22" ht="15.6" x14ac:dyDescent="0.3">
      <c r="A95" s="284"/>
      <c r="B95" s="285" t="s">
        <v>250</v>
      </c>
      <c r="C95" s="285"/>
      <c r="D95" s="285"/>
      <c r="E95" s="285"/>
      <c r="F95" s="285"/>
      <c r="G95" s="285"/>
      <c r="H95" s="285"/>
      <c r="I95" s="285"/>
      <c r="J95" s="285"/>
      <c r="K95" s="285"/>
      <c r="L95" s="285"/>
      <c r="M95" s="285"/>
      <c r="N95" s="285"/>
      <c r="O95" s="285"/>
      <c r="P95" s="285"/>
      <c r="Q95" s="285"/>
      <c r="R95" s="338"/>
      <c r="S95" s="285"/>
      <c r="T95" s="339">
        <v>87</v>
      </c>
      <c r="U95" s="288"/>
      <c r="V95" s="5"/>
    </row>
    <row r="96" spans="1:22" ht="15.6" x14ac:dyDescent="0.3">
      <c r="A96" s="284"/>
      <c r="B96" s="285" t="s">
        <v>30</v>
      </c>
      <c r="C96" s="285"/>
      <c r="D96" s="285"/>
      <c r="E96" s="285"/>
      <c r="F96" s="285"/>
      <c r="G96" s="285"/>
      <c r="H96" s="285"/>
      <c r="I96" s="285"/>
      <c r="J96" s="285"/>
      <c r="K96" s="285"/>
      <c r="L96" s="285"/>
      <c r="M96" s="285"/>
      <c r="N96" s="285"/>
      <c r="O96" s="285"/>
      <c r="P96" s="285"/>
      <c r="Q96" s="285"/>
      <c r="R96" s="338">
        <f>SUM(R88:R95)</f>
        <v>10406</v>
      </c>
      <c r="S96" s="285"/>
      <c r="T96" s="338">
        <f>SUM(T88:T95)</f>
        <v>3077</v>
      </c>
      <c r="U96" s="288"/>
      <c r="V96" s="5"/>
    </row>
    <row r="97" spans="1:24" ht="15.6" x14ac:dyDescent="0.3">
      <c r="A97" s="284"/>
      <c r="B97" s="285" t="s">
        <v>168</v>
      </c>
      <c r="C97" s="285"/>
      <c r="D97" s="285"/>
      <c r="E97" s="285"/>
      <c r="F97" s="285"/>
      <c r="G97" s="285"/>
      <c r="H97" s="285"/>
      <c r="I97" s="285"/>
      <c r="J97" s="285"/>
      <c r="K97" s="285"/>
      <c r="L97" s="285"/>
      <c r="M97" s="285"/>
      <c r="N97" s="285"/>
      <c r="O97" s="285"/>
      <c r="P97" s="285"/>
      <c r="Q97" s="285"/>
      <c r="R97" s="338">
        <v>0</v>
      </c>
      <c r="S97" s="285"/>
      <c r="T97" s="338">
        <f>-R97</f>
        <v>0</v>
      </c>
      <c r="U97" s="288"/>
      <c r="V97" s="5"/>
    </row>
    <row r="98" spans="1:24" ht="15.6" x14ac:dyDescent="0.3">
      <c r="A98" s="284"/>
      <c r="B98" s="285" t="s">
        <v>31</v>
      </c>
      <c r="C98" s="285"/>
      <c r="D98" s="285"/>
      <c r="E98" s="285"/>
      <c r="F98" s="285"/>
      <c r="G98" s="285"/>
      <c r="H98" s="285"/>
      <c r="I98" s="285"/>
      <c r="J98" s="285"/>
      <c r="K98" s="285"/>
      <c r="L98" s="285"/>
      <c r="M98" s="285"/>
      <c r="N98" s="285"/>
      <c r="O98" s="285"/>
      <c r="P98" s="285"/>
      <c r="Q98" s="285"/>
      <c r="R98" s="338">
        <f>-T98</f>
        <v>0</v>
      </c>
      <c r="S98" s="285"/>
      <c r="T98" s="339">
        <v>0</v>
      </c>
      <c r="U98" s="288"/>
      <c r="V98" s="5"/>
    </row>
    <row r="99" spans="1:24" ht="15.6" x14ac:dyDescent="0.3">
      <c r="A99" s="284"/>
      <c r="B99" s="285" t="s">
        <v>273</v>
      </c>
      <c r="C99" s="285"/>
      <c r="D99" s="285"/>
      <c r="E99" s="285"/>
      <c r="F99" s="285"/>
      <c r="G99" s="285"/>
      <c r="H99" s="285"/>
      <c r="I99" s="285"/>
      <c r="J99" s="285"/>
      <c r="K99" s="285"/>
      <c r="L99" s="285"/>
      <c r="M99" s="285"/>
      <c r="N99" s="285"/>
      <c r="O99" s="285"/>
      <c r="P99" s="285"/>
      <c r="Q99" s="285"/>
      <c r="R99" s="338"/>
      <c r="S99" s="285"/>
      <c r="T99" s="339">
        <v>-114</v>
      </c>
      <c r="U99" s="288"/>
      <c r="V99" s="5"/>
    </row>
    <row r="100" spans="1:24" ht="15.6" x14ac:dyDescent="0.3">
      <c r="A100" s="284"/>
      <c r="B100" s="285" t="s">
        <v>32</v>
      </c>
      <c r="C100" s="285"/>
      <c r="D100" s="285"/>
      <c r="E100" s="285"/>
      <c r="F100" s="285"/>
      <c r="G100" s="285"/>
      <c r="H100" s="285"/>
      <c r="I100" s="285"/>
      <c r="J100" s="285"/>
      <c r="K100" s="285"/>
      <c r="L100" s="285"/>
      <c r="M100" s="285"/>
      <c r="N100" s="285"/>
      <c r="O100" s="285"/>
      <c r="P100" s="285"/>
      <c r="Q100" s="285"/>
      <c r="R100" s="338">
        <f>R96+R98+R97</f>
        <v>10406</v>
      </c>
      <c r="S100" s="285"/>
      <c r="T100" s="338">
        <f>T96+T98+T97+T99</f>
        <v>2963</v>
      </c>
      <c r="U100" s="288"/>
      <c r="V100" s="5"/>
    </row>
    <row r="101" spans="1:24" ht="15.6" x14ac:dyDescent="0.3">
      <c r="A101" s="284"/>
      <c r="B101" s="343" t="s">
        <v>33</v>
      </c>
      <c r="C101" s="311"/>
      <c r="D101" s="311"/>
      <c r="E101" s="311"/>
      <c r="F101" s="311"/>
      <c r="G101" s="311"/>
      <c r="H101" s="311"/>
      <c r="I101" s="311"/>
      <c r="J101" s="311"/>
      <c r="K101" s="311"/>
      <c r="L101" s="311"/>
      <c r="M101" s="311"/>
      <c r="N101" s="311"/>
      <c r="O101" s="311"/>
      <c r="P101" s="311"/>
      <c r="Q101" s="311"/>
      <c r="R101" s="344"/>
      <c r="S101" s="311"/>
      <c r="T101" s="345"/>
      <c r="U101" s="317"/>
      <c r="V101" s="5"/>
    </row>
    <row r="102" spans="1:24" ht="15.6" x14ac:dyDescent="0.3">
      <c r="A102" s="337">
        <v>1</v>
      </c>
      <c r="B102" s="285" t="s">
        <v>34</v>
      </c>
      <c r="C102" s="285"/>
      <c r="D102" s="285"/>
      <c r="E102" s="285"/>
      <c r="F102" s="285"/>
      <c r="G102" s="285"/>
      <c r="H102" s="285"/>
      <c r="I102" s="285"/>
      <c r="J102" s="285"/>
      <c r="K102" s="285"/>
      <c r="L102" s="285"/>
      <c r="M102" s="285"/>
      <c r="N102" s="285"/>
      <c r="O102" s="285"/>
      <c r="P102" s="285"/>
      <c r="Q102" s="285"/>
      <c r="R102" s="285"/>
      <c r="S102" s="285"/>
      <c r="T102" s="339">
        <v>0</v>
      </c>
      <c r="U102" s="288"/>
      <c r="V102" s="5"/>
    </row>
    <row r="103" spans="1:24" ht="15.6" x14ac:dyDescent="0.3">
      <c r="A103" s="337">
        <f>+A102+1</f>
        <v>2</v>
      </c>
      <c r="B103" s="285" t="s">
        <v>312</v>
      </c>
      <c r="C103" s="285"/>
      <c r="D103" s="285"/>
      <c r="E103" s="285"/>
      <c r="F103" s="285"/>
      <c r="G103" s="285"/>
      <c r="H103" s="285"/>
      <c r="I103" s="285"/>
      <c r="J103" s="285"/>
      <c r="K103" s="285"/>
      <c r="L103" s="285"/>
      <c r="M103" s="285"/>
      <c r="N103" s="285"/>
      <c r="O103" s="285"/>
      <c r="P103" s="285"/>
      <c r="Q103" s="285"/>
      <c r="R103" s="285"/>
      <c r="S103" s="285"/>
      <c r="T103" s="339">
        <v>-2</v>
      </c>
      <c r="U103" s="288"/>
      <c r="V103" s="5"/>
    </row>
    <row r="104" spans="1:24" ht="15.6" x14ac:dyDescent="0.3">
      <c r="A104" s="337">
        <f>+A103+1</f>
        <v>3</v>
      </c>
      <c r="B104" s="407" t="s">
        <v>314</v>
      </c>
      <c r="C104" s="285"/>
      <c r="D104" s="285"/>
      <c r="E104" s="285"/>
      <c r="F104" s="285"/>
      <c r="G104" s="285"/>
      <c r="H104" s="285"/>
      <c r="I104" s="285"/>
      <c r="J104" s="285"/>
      <c r="K104" s="285"/>
      <c r="L104" s="285"/>
      <c r="M104" s="285"/>
      <c r="N104" s="285"/>
      <c r="O104" s="285"/>
      <c r="P104" s="285"/>
      <c r="Q104" s="285"/>
      <c r="R104" s="285"/>
      <c r="S104" s="285"/>
      <c r="T104" s="339">
        <f>-188-86-7</f>
        <v>-281</v>
      </c>
      <c r="U104" s="288"/>
      <c r="V104" s="5"/>
    </row>
    <row r="105" spans="1:24" ht="15.6" x14ac:dyDescent="0.3">
      <c r="A105" s="337" t="s">
        <v>133</v>
      </c>
      <c r="B105" s="285" t="s">
        <v>122</v>
      </c>
      <c r="C105" s="285"/>
      <c r="D105" s="285"/>
      <c r="E105" s="285"/>
      <c r="F105" s="285"/>
      <c r="G105" s="285"/>
      <c r="H105" s="285"/>
      <c r="I105" s="285"/>
      <c r="J105" s="285"/>
      <c r="K105" s="285"/>
      <c r="L105" s="285"/>
      <c r="M105" s="285"/>
      <c r="N105" s="285"/>
      <c r="O105" s="285"/>
      <c r="P105" s="285"/>
      <c r="Q105" s="285"/>
      <c r="R105" s="285"/>
      <c r="S105" s="285"/>
      <c r="T105" s="339">
        <v>0</v>
      </c>
      <c r="U105" s="288"/>
      <c r="V105" s="5"/>
    </row>
    <row r="106" spans="1:24" ht="15.6" x14ac:dyDescent="0.3">
      <c r="A106" s="337" t="s">
        <v>134</v>
      </c>
      <c r="B106" s="285" t="s">
        <v>194</v>
      </c>
      <c r="C106" s="285"/>
      <c r="D106" s="285"/>
      <c r="E106" s="285"/>
      <c r="F106" s="285"/>
      <c r="G106" s="285"/>
      <c r="H106" s="285"/>
      <c r="I106" s="285"/>
      <c r="J106" s="285"/>
      <c r="K106" s="285"/>
      <c r="L106" s="285"/>
      <c r="M106" s="285"/>
      <c r="N106" s="285"/>
      <c r="O106" s="285"/>
      <c r="P106" s="285"/>
      <c r="Q106" s="285"/>
      <c r="R106" s="285"/>
      <c r="S106" s="285"/>
      <c r="T106" s="339">
        <f>-674+128</f>
        <v>-546</v>
      </c>
      <c r="U106" s="288"/>
      <c r="V106" s="5"/>
      <c r="W106" s="109"/>
    </row>
    <row r="107" spans="1:24" ht="15.6" x14ac:dyDescent="0.3">
      <c r="A107" s="337" t="s">
        <v>156</v>
      </c>
      <c r="B107" s="285" t="s">
        <v>191</v>
      </c>
      <c r="C107" s="285"/>
      <c r="D107" s="285"/>
      <c r="E107" s="285"/>
      <c r="F107" s="285"/>
      <c r="G107" s="285"/>
      <c r="H107" s="285"/>
      <c r="I107" s="285"/>
      <c r="J107" s="285"/>
      <c r="K107" s="285"/>
      <c r="L107" s="285"/>
      <c r="M107" s="285"/>
      <c r="N107" s="285"/>
      <c r="O107" s="285"/>
      <c r="P107" s="285"/>
      <c r="Q107" s="285"/>
      <c r="R107" s="285"/>
      <c r="S107" s="285"/>
      <c r="T107" s="339">
        <v>-128</v>
      </c>
      <c r="U107" s="288"/>
      <c r="V107" s="5"/>
      <c r="W107" s="109"/>
    </row>
    <row r="108" spans="1:24" ht="15.6" x14ac:dyDescent="0.3">
      <c r="A108" s="337" t="s">
        <v>214</v>
      </c>
      <c r="B108" s="285" t="s">
        <v>192</v>
      </c>
      <c r="C108" s="285"/>
      <c r="D108" s="285"/>
      <c r="E108" s="285"/>
      <c r="F108" s="285"/>
      <c r="G108" s="285"/>
      <c r="H108" s="285"/>
      <c r="I108" s="285"/>
      <c r="J108" s="285"/>
      <c r="K108" s="285"/>
      <c r="L108" s="285"/>
      <c r="M108" s="285"/>
      <c r="N108" s="285"/>
      <c r="O108" s="285"/>
      <c r="P108" s="285"/>
      <c r="Q108" s="285"/>
      <c r="R108" s="285"/>
      <c r="S108" s="285"/>
      <c r="T108" s="339">
        <v>-152</v>
      </c>
      <c r="U108" s="288"/>
      <c r="V108" s="5"/>
      <c r="W108" s="109"/>
      <c r="X108" s="109"/>
    </row>
    <row r="109" spans="1:24" ht="15.6" x14ac:dyDescent="0.3">
      <c r="A109" s="337" t="s">
        <v>215</v>
      </c>
      <c r="B109" s="285" t="s">
        <v>193</v>
      </c>
      <c r="C109" s="285"/>
      <c r="D109" s="285"/>
      <c r="E109" s="285"/>
      <c r="F109" s="285"/>
      <c r="G109" s="285"/>
      <c r="H109" s="285"/>
      <c r="I109" s="285"/>
      <c r="J109" s="285"/>
      <c r="K109" s="285"/>
      <c r="L109" s="285"/>
      <c r="M109" s="285"/>
      <c r="N109" s="285"/>
      <c r="O109" s="285"/>
      <c r="P109" s="285"/>
      <c r="Q109" s="285"/>
      <c r="R109" s="285"/>
      <c r="S109" s="285"/>
      <c r="T109" s="339">
        <v>-42</v>
      </c>
      <c r="U109" s="288"/>
      <c r="V109" s="169"/>
      <c r="W109" s="109"/>
    </row>
    <row r="110" spans="1:24" ht="15.6" x14ac:dyDescent="0.3">
      <c r="A110" s="337" t="s">
        <v>216</v>
      </c>
      <c r="B110" s="285" t="s">
        <v>204</v>
      </c>
      <c r="C110" s="285"/>
      <c r="D110" s="285"/>
      <c r="E110" s="285"/>
      <c r="F110" s="285"/>
      <c r="G110" s="285"/>
      <c r="H110" s="285"/>
      <c r="I110" s="285"/>
      <c r="J110" s="285"/>
      <c r="K110" s="285"/>
      <c r="L110" s="285"/>
      <c r="M110" s="285"/>
      <c r="N110" s="285"/>
      <c r="O110" s="285"/>
      <c r="P110" s="285"/>
      <c r="Q110" s="285"/>
      <c r="R110" s="285"/>
      <c r="S110" s="285"/>
      <c r="T110" s="339">
        <v>-232</v>
      </c>
      <c r="U110" s="288"/>
      <c r="V110" s="5"/>
      <c r="W110" s="109"/>
    </row>
    <row r="111" spans="1:24" ht="15.6" x14ac:dyDescent="0.3">
      <c r="A111" s="406">
        <v>7</v>
      </c>
      <c r="B111" s="407" t="s">
        <v>313</v>
      </c>
      <c r="C111" s="407"/>
      <c r="D111" s="407"/>
      <c r="E111" s="407"/>
      <c r="F111" s="407"/>
      <c r="G111" s="285"/>
      <c r="H111" s="285"/>
      <c r="I111" s="285"/>
      <c r="J111" s="285"/>
      <c r="K111" s="285"/>
      <c r="L111" s="285"/>
      <c r="M111" s="285"/>
      <c r="N111" s="285"/>
      <c r="O111" s="285"/>
      <c r="P111" s="285"/>
      <c r="Q111" s="285"/>
      <c r="R111" s="285"/>
      <c r="S111" s="285"/>
      <c r="T111" s="339">
        <v>0</v>
      </c>
      <c r="U111" s="288"/>
      <c r="V111" s="5"/>
      <c r="W111" s="109"/>
    </row>
    <row r="112" spans="1:24" ht="15.6" x14ac:dyDescent="0.3">
      <c r="A112" s="337">
        <f t="shared" ref="A112:A118" si="0">+A111+1</f>
        <v>8</v>
      </c>
      <c r="B112" s="285" t="s">
        <v>35</v>
      </c>
      <c r="C112" s="285"/>
      <c r="D112" s="285"/>
      <c r="E112" s="285"/>
      <c r="F112" s="285"/>
      <c r="G112" s="285"/>
      <c r="H112" s="285"/>
      <c r="I112" s="285"/>
      <c r="J112" s="285"/>
      <c r="K112" s="285"/>
      <c r="L112" s="285"/>
      <c r="M112" s="285"/>
      <c r="N112" s="285"/>
      <c r="O112" s="285"/>
      <c r="P112" s="285"/>
      <c r="Q112" s="285"/>
      <c r="R112" s="285"/>
      <c r="S112" s="285"/>
      <c r="T112" s="339">
        <v>-10</v>
      </c>
      <c r="U112" s="288"/>
      <c r="V112" s="5"/>
    </row>
    <row r="113" spans="1:22" ht="15.6" x14ac:dyDescent="0.3">
      <c r="A113" s="337">
        <f t="shared" si="0"/>
        <v>9</v>
      </c>
      <c r="B113" s="285" t="s">
        <v>46</v>
      </c>
      <c r="C113" s="285"/>
      <c r="D113" s="285"/>
      <c r="E113" s="285"/>
      <c r="F113" s="285"/>
      <c r="G113" s="285"/>
      <c r="H113" s="285"/>
      <c r="I113" s="285"/>
      <c r="J113" s="285"/>
      <c r="K113" s="285"/>
      <c r="L113" s="285"/>
      <c r="M113" s="285"/>
      <c r="N113" s="285"/>
      <c r="O113" s="285"/>
      <c r="P113" s="285"/>
      <c r="Q113" s="285"/>
      <c r="R113" s="338">
        <f>-T113</f>
        <v>97</v>
      </c>
      <c r="S113" s="285"/>
      <c r="T113" s="339">
        <v>-97</v>
      </c>
      <c r="U113" s="288"/>
      <c r="V113" s="5"/>
    </row>
    <row r="114" spans="1:22" ht="15.6" x14ac:dyDescent="0.3">
      <c r="A114" s="337">
        <f t="shared" si="0"/>
        <v>10</v>
      </c>
      <c r="B114" s="285" t="s">
        <v>131</v>
      </c>
      <c r="C114" s="285"/>
      <c r="D114" s="285"/>
      <c r="E114" s="285"/>
      <c r="F114" s="285"/>
      <c r="G114" s="285"/>
      <c r="H114" s="285"/>
      <c r="I114" s="285"/>
      <c r="J114" s="285"/>
      <c r="K114" s="285"/>
      <c r="L114" s="285"/>
      <c r="M114" s="285"/>
      <c r="N114" s="285"/>
      <c r="O114" s="285"/>
      <c r="P114" s="285"/>
      <c r="Q114" s="285"/>
      <c r="R114" s="285"/>
      <c r="S114" s="285"/>
      <c r="T114" s="339">
        <v>0</v>
      </c>
      <c r="U114" s="288"/>
      <c r="V114" s="5"/>
    </row>
    <row r="115" spans="1:22" ht="15.6" x14ac:dyDescent="0.3">
      <c r="A115" s="337">
        <f t="shared" si="0"/>
        <v>11</v>
      </c>
      <c r="B115" s="285" t="s">
        <v>36</v>
      </c>
      <c r="C115" s="285"/>
      <c r="D115" s="285"/>
      <c r="E115" s="285"/>
      <c r="F115" s="285"/>
      <c r="G115" s="285"/>
      <c r="H115" s="285"/>
      <c r="I115" s="285"/>
      <c r="J115" s="285"/>
      <c r="K115" s="285"/>
      <c r="L115" s="285"/>
      <c r="M115" s="285"/>
      <c r="N115" s="285"/>
      <c r="O115" s="285"/>
      <c r="P115" s="285"/>
      <c r="Q115" s="285"/>
      <c r="R115" s="285"/>
      <c r="S115" s="285"/>
      <c r="T115" s="339">
        <v>0</v>
      </c>
      <c r="U115" s="288"/>
      <c r="V115" s="5"/>
    </row>
    <row r="116" spans="1:22" ht="15.6" x14ac:dyDescent="0.3">
      <c r="A116" s="337">
        <f t="shared" si="0"/>
        <v>12</v>
      </c>
      <c r="B116" s="285" t="s">
        <v>37</v>
      </c>
      <c r="C116" s="285"/>
      <c r="D116" s="285"/>
      <c r="E116" s="285"/>
      <c r="F116" s="285"/>
      <c r="G116" s="285"/>
      <c r="H116" s="285"/>
      <c r="I116" s="285"/>
      <c r="J116" s="285"/>
      <c r="K116" s="285"/>
      <c r="L116" s="285"/>
      <c r="M116" s="285"/>
      <c r="N116" s="285"/>
      <c r="O116" s="285"/>
      <c r="P116" s="285"/>
      <c r="Q116" s="285"/>
      <c r="R116" s="285"/>
      <c r="S116" s="285"/>
      <c r="T116" s="339">
        <v>0</v>
      </c>
      <c r="U116" s="288"/>
      <c r="V116" s="5"/>
    </row>
    <row r="117" spans="1:22" ht="15.6" x14ac:dyDescent="0.3">
      <c r="A117" s="337">
        <f t="shared" si="0"/>
        <v>13</v>
      </c>
      <c r="B117" s="285" t="s">
        <v>155</v>
      </c>
      <c r="C117" s="285"/>
      <c r="D117" s="285"/>
      <c r="E117" s="285"/>
      <c r="F117" s="285"/>
      <c r="G117" s="285"/>
      <c r="H117" s="285"/>
      <c r="I117" s="285"/>
      <c r="J117" s="285"/>
      <c r="K117" s="285"/>
      <c r="L117" s="285"/>
      <c r="M117" s="285"/>
      <c r="N117" s="285"/>
      <c r="O117" s="285"/>
      <c r="P117" s="285"/>
      <c r="Q117" s="285"/>
      <c r="R117" s="285"/>
      <c r="S117" s="285"/>
      <c r="T117" s="339">
        <v>-188</v>
      </c>
      <c r="U117" s="288"/>
      <c r="V117" s="5"/>
    </row>
    <row r="118" spans="1:22" ht="15.6" x14ac:dyDescent="0.3">
      <c r="A118" s="337">
        <f t="shared" si="0"/>
        <v>14</v>
      </c>
      <c r="B118" s="285" t="s">
        <v>132</v>
      </c>
      <c r="C118" s="285"/>
      <c r="D118" s="285"/>
      <c r="E118" s="285"/>
      <c r="F118" s="285"/>
      <c r="G118" s="285"/>
      <c r="H118" s="285"/>
      <c r="I118" s="285"/>
      <c r="J118" s="285"/>
      <c r="K118" s="285"/>
      <c r="L118" s="285"/>
      <c r="M118" s="285"/>
      <c r="N118" s="285"/>
      <c r="O118" s="285"/>
      <c r="P118" s="285"/>
      <c r="Q118" s="285"/>
      <c r="R118" s="285"/>
      <c r="S118" s="285"/>
      <c r="T118" s="339">
        <f>-T100-SUM(T102:T117)</f>
        <v>-1285</v>
      </c>
      <c r="U118" s="288"/>
      <c r="V118" s="5"/>
    </row>
    <row r="119" spans="1:22" ht="15.6" x14ac:dyDescent="0.3">
      <c r="A119" s="284"/>
      <c r="B119" s="343" t="s">
        <v>38</v>
      </c>
      <c r="C119" s="311"/>
      <c r="D119" s="311"/>
      <c r="E119" s="311"/>
      <c r="F119" s="311"/>
      <c r="G119" s="311"/>
      <c r="H119" s="311"/>
      <c r="I119" s="311"/>
      <c r="J119" s="311"/>
      <c r="K119" s="311"/>
      <c r="L119" s="311"/>
      <c r="M119" s="311"/>
      <c r="N119" s="311"/>
      <c r="O119" s="311"/>
      <c r="P119" s="311"/>
      <c r="Q119" s="311"/>
      <c r="R119" s="311"/>
      <c r="S119" s="311"/>
      <c r="T119" s="346"/>
      <c r="U119" s="317"/>
      <c r="V119" s="5"/>
    </row>
    <row r="120" spans="1:22" ht="15.6" x14ac:dyDescent="0.3">
      <c r="A120" s="337"/>
      <c r="B120" s="285" t="s">
        <v>180</v>
      </c>
      <c r="C120" s="285"/>
      <c r="D120" s="285"/>
      <c r="E120" s="285"/>
      <c r="F120" s="285"/>
      <c r="G120" s="285"/>
      <c r="H120" s="285"/>
      <c r="I120" s="285"/>
      <c r="J120" s="285"/>
      <c r="K120" s="285"/>
      <c r="L120" s="285"/>
      <c r="M120" s="285"/>
      <c r="N120" s="285"/>
      <c r="O120" s="285"/>
      <c r="P120" s="285"/>
      <c r="Q120" s="285"/>
      <c r="R120" s="338">
        <f>-R178</f>
        <v>0</v>
      </c>
      <c r="S120" s="338"/>
      <c r="T120" s="339"/>
      <c r="U120" s="288"/>
      <c r="V120" s="5"/>
    </row>
    <row r="121" spans="1:22" ht="15.6" x14ac:dyDescent="0.3">
      <c r="A121" s="337"/>
      <c r="B121" s="285" t="s">
        <v>181</v>
      </c>
      <c r="C121" s="285"/>
      <c r="D121" s="285"/>
      <c r="E121" s="285"/>
      <c r="F121" s="285"/>
      <c r="G121" s="285"/>
      <c r="H121" s="285"/>
      <c r="I121" s="285"/>
      <c r="J121" s="285"/>
      <c r="K121" s="285"/>
      <c r="L121" s="285"/>
      <c r="M121" s="285"/>
      <c r="N121" s="285"/>
      <c r="O121" s="285"/>
      <c r="P121" s="285"/>
      <c r="Q121" s="285"/>
      <c r="R121" s="338">
        <v>0</v>
      </c>
      <c r="S121" s="338"/>
      <c r="T121" s="339"/>
      <c r="U121" s="288"/>
      <c r="V121" s="5"/>
    </row>
    <row r="122" spans="1:22" ht="15.6" x14ac:dyDescent="0.3">
      <c r="A122" s="337"/>
      <c r="B122" s="285" t="s">
        <v>39</v>
      </c>
      <c r="C122" s="285"/>
      <c r="D122" s="285"/>
      <c r="E122" s="285"/>
      <c r="F122" s="285"/>
      <c r="G122" s="285"/>
      <c r="H122" s="285"/>
      <c r="I122" s="285"/>
      <c r="J122" s="285"/>
      <c r="K122" s="285"/>
      <c r="L122" s="285"/>
      <c r="M122" s="285"/>
      <c r="N122" s="285"/>
      <c r="O122" s="285"/>
      <c r="P122" s="285"/>
      <c r="Q122" s="285"/>
      <c r="R122" s="338">
        <f>-Q178</f>
        <v>-126</v>
      </c>
      <c r="S122" s="338"/>
      <c r="T122" s="339"/>
      <c r="U122" s="288"/>
      <c r="V122" s="5"/>
    </row>
    <row r="123" spans="1:22" ht="15.6" x14ac:dyDescent="0.3">
      <c r="A123" s="337"/>
      <c r="B123" s="285" t="s">
        <v>205</v>
      </c>
      <c r="C123" s="285"/>
      <c r="D123" s="285"/>
      <c r="E123" s="285"/>
      <c r="F123" s="285"/>
      <c r="G123" s="285"/>
      <c r="H123" s="285"/>
      <c r="I123" s="285"/>
      <c r="J123" s="285"/>
      <c r="K123" s="285"/>
      <c r="L123" s="285"/>
      <c r="M123" s="285"/>
      <c r="N123" s="285"/>
      <c r="O123" s="285"/>
      <c r="P123" s="285"/>
      <c r="Q123" s="285"/>
      <c r="R123" s="338">
        <v>-4981</v>
      </c>
      <c r="S123" s="338"/>
      <c r="T123" s="339"/>
      <c r="U123" s="288"/>
      <c r="V123" s="5"/>
    </row>
    <row r="124" spans="1:22" ht="15.6" x14ac:dyDescent="0.3">
      <c r="A124" s="337"/>
      <c r="B124" s="285" t="s">
        <v>203</v>
      </c>
      <c r="C124" s="285"/>
      <c r="D124" s="285"/>
      <c r="E124" s="285"/>
      <c r="F124" s="285"/>
      <c r="G124" s="285"/>
      <c r="H124" s="285"/>
      <c r="I124" s="285"/>
      <c r="J124" s="285"/>
      <c r="K124" s="285"/>
      <c r="L124" s="285"/>
      <c r="M124" s="285"/>
      <c r="N124" s="285"/>
      <c r="O124" s="285"/>
      <c r="P124" s="285"/>
      <c r="Q124" s="285"/>
      <c r="R124" s="338">
        <v>-1313</v>
      </c>
      <c r="S124" s="338"/>
      <c r="T124" s="339"/>
      <c r="U124" s="288"/>
      <c r="V124" s="5"/>
    </row>
    <row r="125" spans="1:22" ht="15.6" x14ac:dyDescent="0.3">
      <c r="A125" s="337"/>
      <c r="B125" s="285" t="s">
        <v>202</v>
      </c>
      <c r="C125" s="285"/>
      <c r="D125" s="285"/>
      <c r="E125" s="285"/>
      <c r="F125" s="285"/>
      <c r="G125" s="285"/>
      <c r="H125" s="285"/>
      <c r="I125" s="285"/>
      <c r="J125" s="285"/>
      <c r="K125" s="285"/>
      <c r="L125" s="285"/>
      <c r="M125" s="285"/>
      <c r="N125" s="285"/>
      <c r="O125" s="285"/>
      <c r="P125" s="285"/>
      <c r="Q125" s="285"/>
      <c r="R125" s="338">
        <v>-1323</v>
      </c>
      <c r="S125" s="338"/>
      <c r="T125" s="339"/>
      <c r="U125" s="288"/>
      <c r="V125" s="5"/>
    </row>
    <row r="126" spans="1:22" ht="15.6" x14ac:dyDescent="0.3">
      <c r="A126" s="337"/>
      <c r="B126" s="285" t="s">
        <v>197</v>
      </c>
      <c r="C126" s="285"/>
      <c r="D126" s="285"/>
      <c r="E126" s="285"/>
      <c r="F126" s="285"/>
      <c r="G126" s="285"/>
      <c r="H126" s="285"/>
      <c r="I126" s="285"/>
      <c r="J126" s="285"/>
      <c r="K126" s="285"/>
      <c r="L126" s="285"/>
      <c r="M126" s="285"/>
      <c r="N126" s="285"/>
      <c r="O126" s="285"/>
      <c r="P126" s="285"/>
      <c r="Q126" s="285"/>
      <c r="R126" s="338">
        <v>-333</v>
      </c>
      <c r="S126" s="338"/>
      <c r="T126" s="339"/>
      <c r="U126" s="288"/>
      <c r="V126" s="5"/>
    </row>
    <row r="127" spans="1:22" ht="15.6" x14ac:dyDescent="0.3">
      <c r="A127" s="337"/>
      <c r="B127" s="285" t="s">
        <v>196</v>
      </c>
      <c r="C127" s="285"/>
      <c r="D127" s="285"/>
      <c r="E127" s="285"/>
      <c r="F127" s="285"/>
      <c r="G127" s="285"/>
      <c r="H127" s="285"/>
      <c r="I127" s="285"/>
      <c r="J127" s="285"/>
      <c r="K127" s="285"/>
      <c r="L127" s="285"/>
      <c r="M127" s="285"/>
      <c r="N127" s="285"/>
      <c r="O127" s="285"/>
      <c r="P127" s="285"/>
      <c r="Q127" s="285"/>
      <c r="R127" s="338">
        <v>-1177</v>
      </c>
      <c r="S127" s="338"/>
      <c r="T127" s="339"/>
      <c r="U127" s="288"/>
      <c r="V127" s="5"/>
    </row>
    <row r="128" spans="1:22" ht="15.6" x14ac:dyDescent="0.3">
      <c r="A128" s="337"/>
      <c r="B128" s="285" t="s">
        <v>195</v>
      </c>
      <c r="C128" s="285"/>
      <c r="D128" s="285"/>
      <c r="E128" s="285"/>
      <c r="F128" s="285"/>
      <c r="G128" s="285"/>
      <c r="H128" s="285"/>
      <c r="I128" s="285"/>
      <c r="J128" s="285"/>
      <c r="K128" s="285"/>
      <c r="L128" s="285"/>
      <c r="M128" s="285"/>
      <c r="N128" s="285"/>
      <c r="O128" s="285"/>
      <c r="P128" s="285"/>
      <c r="Q128" s="285"/>
      <c r="R128" s="338">
        <v>-1250</v>
      </c>
      <c r="S128" s="338"/>
      <c r="T128" s="339"/>
      <c r="U128" s="288"/>
      <c r="V128" s="5"/>
    </row>
    <row r="129" spans="1:22" ht="15.6" x14ac:dyDescent="0.3">
      <c r="A129" s="337"/>
      <c r="B129" s="285" t="s">
        <v>40</v>
      </c>
      <c r="C129" s="285"/>
      <c r="D129" s="285"/>
      <c r="E129" s="285"/>
      <c r="F129" s="285"/>
      <c r="G129" s="285"/>
      <c r="H129" s="285"/>
      <c r="I129" s="285"/>
      <c r="J129" s="285"/>
      <c r="K129" s="285"/>
      <c r="L129" s="285"/>
      <c r="M129" s="285"/>
      <c r="N129" s="285"/>
      <c r="O129" s="285"/>
      <c r="P129" s="285"/>
      <c r="Q129" s="285"/>
      <c r="R129" s="338">
        <f>SUM(R120:R128)</f>
        <v>-10503</v>
      </c>
      <c r="S129" s="338"/>
      <c r="T129" s="338">
        <f>SUM(T101:T127)</f>
        <v>-2963</v>
      </c>
      <c r="U129" s="288"/>
      <c r="V129" s="5"/>
    </row>
    <row r="130" spans="1:22" ht="15.6" x14ac:dyDescent="0.3">
      <c r="A130" s="337"/>
      <c r="B130" s="285" t="s">
        <v>41</v>
      </c>
      <c r="C130" s="285"/>
      <c r="D130" s="285"/>
      <c r="E130" s="285"/>
      <c r="F130" s="285"/>
      <c r="G130" s="285"/>
      <c r="H130" s="285"/>
      <c r="I130" s="285"/>
      <c r="J130" s="285"/>
      <c r="K130" s="285"/>
      <c r="L130" s="285"/>
      <c r="M130" s="285"/>
      <c r="N130" s="285"/>
      <c r="O130" s="285"/>
      <c r="P130" s="285"/>
      <c r="Q130" s="285"/>
      <c r="R130" s="338">
        <f>R100+R129+R113</f>
        <v>0</v>
      </c>
      <c r="S130" s="338"/>
      <c r="T130" s="338">
        <f>T100+T129</f>
        <v>0</v>
      </c>
      <c r="U130" s="288"/>
      <c r="V130" s="5"/>
    </row>
    <row r="131" spans="1:22" ht="15.6" x14ac:dyDescent="0.3">
      <c r="A131" s="256"/>
      <c r="B131" s="281"/>
      <c r="C131" s="281"/>
      <c r="D131" s="281"/>
      <c r="E131" s="281"/>
      <c r="F131" s="281"/>
      <c r="G131" s="281"/>
      <c r="H131" s="281"/>
      <c r="I131" s="281"/>
      <c r="J131" s="281"/>
      <c r="K131" s="281"/>
      <c r="L131" s="281"/>
      <c r="M131" s="281"/>
      <c r="N131" s="281"/>
      <c r="O131" s="281"/>
      <c r="P131" s="281"/>
      <c r="Q131" s="281"/>
      <c r="R131" s="340"/>
      <c r="S131" s="340"/>
      <c r="T131" s="340"/>
      <c r="U131" s="281"/>
      <c r="V131" s="5"/>
    </row>
    <row r="132" spans="1:22" ht="15.6" x14ac:dyDescent="0.3">
      <c r="A132" s="256"/>
      <c r="B132" s="231"/>
      <c r="C132" s="231"/>
      <c r="D132" s="231"/>
      <c r="E132" s="231"/>
      <c r="F132" s="231"/>
      <c r="G132" s="231"/>
      <c r="H132" s="231"/>
      <c r="I132" s="231"/>
      <c r="J132" s="231"/>
      <c r="K132" s="231"/>
      <c r="L132" s="231"/>
      <c r="M132" s="231"/>
      <c r="N132" s="231"/>
      <c r="O132" s="231"/>
      <c r="P132" s="231"/>
      <c r="Q132" s="231"/>
      <c r="R132" s="231"/>
      <c r="S132" s="231"/>
      <c r="T132" s="257"/>
      <c r="U132" s="231"/>
      <c r="V132" s="5"/>
    </row>
    <row r="133" spans="1:22" ht="18" thickBot="1" x14ac:dyDescent="0.35">
      <c r="A133" s="258"/>
      <c r="B133" s="246" t="str">
        <f>B64</f>
        <v>PM11 INVESTOR REPORT QUARTER ENDING DECEMBER 2015</v>
      </c>
      <c r="C133" s="247"/>
      <c r="D133" s="247"/>
      <c r="E133" s="247"/>
      <c r="F133" s="247"/>
      <c r="G133" s="247"/>
      <c r="H133" s="247"/>
      <c r="I133" s="247"/>
      <c r="J133" s="247"/>
      <c r="K133" s="247"/>
      <c r="L133" s="247"/>
      <c r="M133" s="247"/>
      <c r="N133" s="247"/>
      <c r="O133" s="247"/>
      <c r="P133" s="247"/>
      <c r="Q133" s="247"/>
      <c r="R133" s="247"/>
      <c r="S133" s="247"/>
      <c r="T133" s="259"/>
      <c r="U133" s="249"/>
      <c r="V133" s="5"/>
    </row>
    <row r="134" spans="1:22" ht="15.6" x14ac:dyDescent="0.3">
      <c r="A134" s="260"/>
      <c r="B134" s="399" t="s">
        <v>42</v>
      </c>
      <c r="C134" s="261"/>
      <c r="D134" s="261"/>
      <c r="E134" s="261"/>
      <c r="F134" s="261"/>
      <c r="G134" s="261"/>
      <c r="H134" s="261"/>
      <c r="I134" s="261"/>
      <c r="J134" s="261"/>
      <c r="K134" s="261"/>
      <c r="L134" s="261"/>
      <c r="M134" s="261"/>
      <c r="N134" s="261"/>
      <c r="O134" s="261"/>
      <c r="P134" s="261"/>
      <c r="Q134" s="261"/>
      <c r="R134" s="261"/>
      <c r="S134" s="261"/>
      <c r="T134" s="262"/>
      <c r="U134" s="261"/>
      <c r="V134" s="5"/>
    </row>
    <row r="135" spans="1:22" ht="15.6" x14ac:dyDescent="0.3">
      <c r="A135" s="175"/>
      <c r="B135" s="187"/>
      <c r="C135" s="177"/>
      <c r="D135" s="177"/>
      <c r="E135" s="177"/>
      <c r="F135" s="177"/>
      <c r="G135" s="177"/>
      <c r="H135" s="177"/>
      <c r="I135" s="177"/>
      <c r="J135" s="177"/>
      <c r="K135" s="177"/>
      <c r="L135" s="177"/>
      <c r="M135" s="177"/>
      <c r="N135" s="177"/>
      <c r="O135" s="177"/>
      <c r="P135" s="177"/>
      <c r="Q135" s="177"/>
      <c r="R135" s="177"/>
      <c r="S135" s="177"/>
      <c r="T135" s="194"/>
      <c r="U135" s="177"/>
      <c r="V135" s="5"/>
    </row>
    <row r="136" spans="1:22" ht="15.6" x14ac:dyDescent="0.3">
      <c r="A136" s="175"/>
      <c r="B136" s="201" t="s">
        <v>43</v>
      </c>
      <c r="C136" s="177"/>
      <c r="D136" s="177"/>
      <c r="E136" s="177"/>
      <c r="F136" s="177"/>
      <c r="G136" s="177"/>
      <c r="H136" s="177"/>
      <c r="I136" s="177"/>
      <c r="J136" s="177"/>
      <c r="K136" s="177"/>
      <c r="L136" s="177"/>
      <c r="M136" s="177"/>
      <c r="N136" s="177"/>
      <c r="O136" s="177"/>
      <c r="P136" s="177"/>
      <c r="Q136" s="177"/>
      <c r="R136" s="177"/>
      <c r="S136" s="177"/>
      <c r="T136" s="194"/>
      <c r="U136" s="177"/>
      <c r="V136" s="5"/>
    </row>
    <row r="137" spans="1:22" ht="15.6" x14ac:dyDescent="0.3">
      <c r="A137" s="284"/>
      <c r="B137" s="285" t="s">
        <v>44</v>
      </c>
      <c r="C137" s="285"/>
      <c r="D137" s="285"/>
      <c r="E137" s="285"/>
      <c r="F137" s="285"/>
      <c r="G137" s="285"/>
      <c r="H137" s="285"/>
      <c r="I137" s="285"/>
      <c r="J137" s="285"/>
      <c r="K137" s="285"/>
      <c r="L137" s="285"/>
      <c r="M137" s="285"/>
      <c r="N137" s="285"/>
      <c r="O137" s="285"/>
      <c r="P137" s="285"/>
      <c r="Q137" s="285"/>
      <c r="R137" s="285"/>
      <c r="S137" s="285"/>
      <c r="T137" s="339">
        <f>+T34*0.019</f>
        <v>19000.95</v>
      </c>
      <c r="U137" s="288"/>
      <c r="V137" s="5"/>
    </row>
    <row r="138" spans="1:22" ht="15.6" x14ac:dyDescent="0.3">
      <c r="A138" s="284"/>
      <c r="B138" s="285" t="s">
        <v>45</v>
      </c>
      <c r="C138" s="285"/>
      <c r="D138" s="285"/>
      <c r="E138" s="285"/>
      <c r="F138" s="285"/>
      <c r="G138" s="285"/>
      <c r="H138" s="285"/>
      <c r="I138" s="285"/>
      <c r="J138" s="285"/>
      <c r="K138" s="285"/>
      <c r="L138" s="285"/>
      <c r="M138" s="285"/>
      <c r="N138" s="285"/>
      <c r="O138" s="285"/>
      <c r="P138" s="285"/>
      <c r="Q138" s="285"/>
      <c r="R138" s="285"/>
      <c r="S138" s="285"/>
      <c r="T138" s="339">
        <v>19001</v>
      </c>
      <c r="U138" s="288"/>
      <c r="V138" s="5"/>
    </row>
    <row r="139" spans="1:22" ht="15.6" x14ac:dyDescent="0.3">
      <c r="A139" s="284"/>
      <c r="B139" s="285" t="s">
        <v>142</v>
      </c>
      <c r="C139" s="285"/>
      <c r="D139" s="285"/>
      <c r="E139" s="285"/>
      <c r="F139" s="285"/>
      <c r="G139" s="285"/>
      <c r="H139" s="285"/>
      <c r="I139" s="285"/>
      <c r="J139" s="285"/>
      <c r="K139" s="285"/>
      <c r="L139" s="285"/>
      <c r="M139" s="285"/>
      <c r="N139" s="285"/>
      <c r="O139" s="285"/>
      <c r="P139" s="285"/>
      <c r="Q139" s="285"/>
      <c r="R139" s="285"/>
      <c r="S139" s="285"/>
      <c r="T139" s="339">
        <v>0</v>
      </c>
      <c r="U139" s="288"/>
      <c r="V139" s="5"/>
    </row>
    <row r="140" spans="1:22" ht="15.6" x14ac:dyDescent="0.3">
      <c r="A140" s="284"/>
      <c r="B140" s="285" t="s">
        <v>129</v>
      </c>
      <c r="C140" s="285"/>
      <c r="D140" s="285"/>
      <c r="E140" s="285"/>
      <c r="F140" s="285"/>
      <c r="G140" s="285"/>
      <c r="H140" s="285"/>
      <c r="I140" s="285"/>
      <c r="J140" s="285"/>
      <c r="K140" s="285"/>
      <c r="L140" s="285"/>
      <c r="M140" s="285"/>
      <c r="N140" s="285"/>
      <c r="O140" s="285"/>
      <c r="P140" s="285"/>
      <c r="Q140" s="285"/>
      <c r="R140" s="285"/>
      <c r="S140" s="285"/>
      <c r="T140" s="339">
        <v>0</v>
      </c>
      <c r="U140" s="288"/>
      <c r="V140" s="5"/>
    </row>
    <row r="141" spans="1:22" ht="15.6" x14ac:dyDescent="0.3">
      <c r="A141" s="284"/>
      <c r="B141" s="285" t="s">
        <v>130</v>
      </c>
      <c r="C141" s="285"/>
      <c r="D141" s="285"/>
      <c r="E141" s="285"/>
      <c r="F141" s="285"/>
      <c r="G141" s="285"/>
      <c r="H141" s="285"/>
      <c r="I141" s="285"/>
      <c r="J141" s="285"/>
      <c r="K141" s="285"/>
      <c r="L141" s="285"/>
      <c r="M141" s="285"/>
      <c r="N141" s="285"/>
      <c r="O141" s="285"/>
      <c r="P141" s="285"/>
      <c r="Q141" s="285"/>
      <c r="R141" s="285"/>
      <c r="S141" s="285"/>
      <c r="T141" s="339">
        <v>0</v>
      </c>
      <c r="U141" s="288"/>
      <c r="V141" s="5"/>
    </row>
    <row r="142" spans="1:22" ht="15.6" x14ac:dyDescent="0.3">
      <c r="A142" s="284"/>
      <c r="B142" s="285" t="s">
        <v>182</v>
      </c>
      <c r="C142" s="285"/>
      <c r="D142" s="285"/>
      <c r="E142" s="285"/>
      <c r="F142" s="285"/>
      <c r="G142" s="285"/>
      <c r="H142" s="285"/>
      <c r="I142" s="285"/>
      <c r="J142" s="285"/>
      <c r="K142" s="285"/>
      <c r="L142" s="285"/>
      <c r="M142" s="285"/>
      <c r="N142" s="285"/>
      <c r="O142" s="285"/>
      <c r="P142" s="285"/>
      <c r="Q142" s="285"/>
      <c r="R142" s="285"/>
      <c r="S142" s="285"/>
      <c r="T142" s="339">
        <v>0</v>
      </c>
      <c r="U142" s="288"/>
      <c r="V142" s="5"/>
    </row>
    <row r="143" spans="1:22" ht="15.6" x14ac:dyDescent="0.3">
      <c r="A143" s="284"/>
      <c r="B143" s="285" t="s">
        <v>46</v>
      </c>
      <c r="C143" s="285"/>
      <c r="D143" s="285"/>
      <c r="E143" s="285"/>
      <c r="F143" s="285"/>
      <c r="G143" s="285"/>
      <c r="H143" s="285"/>
      <c r="I143" s="285"/>
      <c r="J143" s="285"/>
      <c r="K143" s="285"/>
      <c r="L143" s="285"/>
      <c r="M143" s="285"/>
      <c r="N143" s="285"/>
      <c r="O143" s="285"/>
      <c r="P143" s="285"/>
      <c r="Q143" s="285"/>
      <c r="R143" s="285"/>
      <c r="S143" s="285"/>
      <c r="T143" s="339">
        <v>0</v>
      </c>
      <c r="U143" s="288"/>
      <c r="V143" s="5"/>
    </row>
    <row r="144" spans="1:22" ht="15.6" x14ac:dyDescent="0.3">
      <c r="A144" s="284"/>
      <c r="B144" s="285" t="s">
        <v>135</v>
      </c>
      <c r="C144" s="285"/>
      <c r="D144" s="285"/>
      <c r="E144" s="285"/>
      <c r="F144" s="285"/>
      <c r="G144" s="285"/>
      <c r="H144" s="285"/>
      <c r="I144" s="285"/>
      <c r="J144" s="285"/>
      <c r="K144" s="285"/>
      <c r="L144" s="285"/>
      <c r="M144" s="285"/>
      <c r="N144" s="285"/>
      <c r="O144" s="285"/>
      <c r="P144" s="285"/>
      <c r="Q144" s="285"/>
      <c r="R144" s="285"/>
      <c r="S144" s="285"/>
      <c r="T144" s="339">
        <v>0</v>
      </c>
      <c r="U144" s="288"/>
      <c r="V144" s="5"/>
    </row>
    <row r="145" spans="1:23" ht="15.6" x14ac:dyDescent="0.3">
      <c r="A145" s="284"/>
      <c r="B145" s="285" t="s">
        <v>251</v>
      </c>
      <c r="C145" s="285"/>
      <c r="D145" s="285"/>
      <c r="E145" s="285"/>
      <c r="F145" s="285"/>
      <c r="G145" s="285"/>
      <c r="H145" s="285"/>
      <c r="I145" s="285"/>
      <c r="J145" s="285"/>
      <c r="K145" s="285"/>
      <c r="L145" s="285"/>
      <c r="M145" s="285"/>
      <c r="N145" s="285"/>
      <c r="O145" s="285"/>
      <c r="P145" s="285"/>
      <c r="Q145" s="285"/>
      <c r="R145" s="285"/>
      <c r="S145" s="285"/>
      <c r="T145" s="339">
        <v>0</v>
      </c>
      <c r="U145" s="288"/>
      <c r="V145" s="5"/>
      <c r="W145" s="109"/>
    </row>
    <row r="146" spans="1:23" ht="15.6" x14ac:dyDescent="0.3">
      <c r="A146" s="284"/>
      <c r="B146" s="285" t="s">
        <v>47</v>
      </c>
      <c r="C146" s="285"/>
      <c r="D146" s="285"/>
      <c r="E146" s="285"/>
      <c r="F146" s="285"/>
      <c r="G146" s="285"/>
      <c r="H146" s="285"/>
      <c r="I146" s="285"/>
      <c r="J146" s="285"/>
      <c r="K146" s="285"/>
      <c r="L146" s="285"/>
      <c r="M146" s="285"/>
      <c r="N146" s="285"/>
      <c r="O146" s="285"/>
      <c r="P146" s="285"/>
      <c r="Q146" s="285"/>
      <c r="R146" s="285"/>
      <c r="S146" s="285"/>
      <c r="T146" s="339">
        <f>SUM(T138:T145)</f>
        <v>19001</v>
      </c>
      <c r="U146" s="288"/>
      <c r="V146" s="5"/>
    </row>
    <row r="147" spans="1:23" ht="15.6" x14ac:dyDescent="0.3">
      <c r="A147" s="284"/>
      <c r="B147" s="311"/>
      <c r="C147" s="311"/>
      <c r="D147" s="311"/>
      <c r="E147" s="311"/>
      <c r="F147" s="311"/>
      <c r="G147" s="311"/>
      <c r="H147" s="311"/>
      <c r="I147" s="311"/>
      <c r="J147" s="311"/>
      <c r="K147" s="311"/>
      <c r="L147" s="311"/>
      <c r="M147" s="311"/>
      <c r="N147" s="311"/>
      <c r="O147" s="311"/>
      <c r="P147" s="311"/>
      <c r="Q147" s="311"/>
      <c r="R147" s="311"/>
      <c r="S147" s="311"/>
      <c r="T147" s="345"/>
      <c r="U147" s="317"/>
      <c r="V147" s="5"/>
    </row>
    <row r="148" spans="1:23" ht="15.6" x14ac:dyDescent="0.3">
      <c r="A148" s="284"/>
      <c r="B148" s="343" t="s">
        <v>262</v>
      </c>
      <c r="C148" s="311"/>
      <c r="D148" s="311"/>
      <c r="E148" s="311"/>
      <c r="F148" s="311"/>
      <c r="G148" s="311"/>
      <c r="H148" s="311"/>
      <c r="I148" s="311"/>
      <c r="J148" s="311"/>
      <c r="K148" s="311"/>
      <c r="L148" s="311"/>
      <c r="M148" s="311"/>
      <c r="N148" s="311"/>
      <c r="O148" s="311"/>
      <c r="P148" s="311"/>
      <c r="Q148" s="311"/>
      <c r="R148" s="311"/>
      <c r="S148" s="311"/>
      <c r="T148" s="345"/>
      <c r="U148" s="317"/>
      <c r="V148" s="5"/>
    </row>
    <row r="149" spans="1:23" ht="15.6" x14ac:dyDescent="0.3">
      <c r="A149" s="284"/>
      <c r="B149" s="285" t="s">
        <v>263</v>
      </c>
      <c r="C149" s="285"/>
      <c r="D149" s="285"/>
      <c r="E149" s="285"/>
      <c r="F149" s="285"/>
      <c r="G149" s="285"/>
      <c r="H149" s="285"/>
      <c r="I149" s="285"/>
      <c r="J149" s="285"/>
      <c r="K149" s="285"/>
      <c r="L149" s="285"/>
      <c r="M149" s="285"/>
      <c r="N149" s="285"/>
      <c r="O149" s="285"/>
      <c r="P149" s="285"/>
      <c r="Q149" s="285"/>
      <c r="R149" s="285"/>
      <c r="S149" s="285"/>
      <c r="T149" s="339">
        <v>0</v>
      </c>
      <c r="U149" s="288"/>
      <c r="V149" s="5"/>
    </row>
    <row r="150" spans="1:23" ht="15.6" x14ac:dyDescent="0.3">
      <c r="A150" s="284"/>
      <c r="B150" s="285" t="s">
        <v>179</v>
      </c>
      <c r="C150" s="285"/>
      <c r="D150" s="285"/>
      <c r="E150" s="285"/>
      <c r="F150" s="285"/>
      <c r="G150" s="285"/>
      <c r="H150" s="285"/>
      <c r="I150" s="285"/>
      <c r="J150" s="285"/>
      <c r="K150" s="285"/>
      <c r="L150" s="285"/>
      <c r="M150" s="285"/>
      <c r="N150" s="285"/>
      <c r="O150" s="285"/>
      <c r="P150" s="285"/>
      <c r="Q150" s="285"/>
      <c r="R150" s="285"/>
      <c r="S150" s="285"/>
      <c r="T150" s="339">
        <v>0</v>
      </c>
      <c r="U150" s="288"/>
      <c r="V150" s="5"/>
    </row>
    <row r="151" spans="1:23" ht="15.6" x14ac:dyDescent="0.3">
      <c r="A151" s="284"/>
      <c r="B151" s="285" t="s">
        <v>264</v>
      </c>
      <c r="C151" s="285"/>
      <c r="D151" s="285"/>
      <c r="E151" s="285"/>
      <c r="F151" s="285"/>
      <c r="G151" s="285"/>
      <c r="H151" s="285"/>
      <c r="I151" s="285"/>
      <c r="J151" s="285"/>
      <c r="K151" s="285"/>
      <c r="L151" s="285"/>
      <c r="M151" s="285"/>
      <c r="N151" s="285"/>
      <c r="O151" s="285"/>
      <c r="P151" s="285"/>
      <c r="Q151" s="285"/>
      <c r="R151" s="285"/>
      <c r="S151" s="285"/>
      <c r="T151" s="339">
        <v>0</v>
      </c>
      <c r="U151" s="288"/>
      <c r="V151" s="5"/>
    </row>
    <row r="152" spans="1:23" ht="15.6" x14ac:dyDescent="0.3">
      <c r="A152" s="284"/>
      <c r="B152" s="285"/>
      <c r="C152" s="285"/>
      <c r="D152" s="285"/>
      <c r="E152" s="285"/>
      <c r="F152" s="285"/>
      <c r="G152" s="285"/>
      <c r="H152" s="285"/>
      <c r="I152" s="285"/>
      <c r="J152" s="285"/>
      <c r="K152" s="285"/>
      <c r="L152" s="285"/>
      <c r="M152" s="285"/>
      <c r="N152" s="285"/>
      <c r="O152" s="285"/>
      <c r="P152" s="285"/>
      <c r="Q152" s="285"/>
      <c r="R152" s="285"/>
      <c r="S152" s="285"/>
      <c r="T152" s="339"/>
      <c r="U152" s="288"/>
      <c r="V152" s="5"/>
    </row>
    <row r="153" spans="1:23" ht="15.6" x14ac:dyDescent="0.3">
      <c r="A153" s="175"/>
      <c r="B153" s="334"/>
      <c r="C153" s="334"/>
      <c r="D153" s="334"/>
      <c r="E153" s="334"/>
      <c r="F153" s="334"/>
      <c r="G153" s="334"/>
      <c r="H153" s="334"/>
      <c r="I153" s="334"/>
      <c r="J153" s="334"/>
      <c r="K153" s="334"/>
      <c r="L153" s="334"/>
      <c r="M153" s="334"/>
      <c r="N153" s="334"/>
      <c r="O153" s="334"/>
      <c r="P153" s="334"/>
      <c r="Q153" s="334"/>
      <c r="R153" s="334"/>
      <c r="S153" s="334"/>
      <c r="T153" s="347"/>
      <c r="U153" s="334"/>
      <c r="V153" s="5"/>
    </row>
    <row r="154" spans="1:23" ht="15.6" x14ac:dyDescent="0.3">
      <c r="A154" s="175"/>
      <c r="B154" s="201" t="s">
        <v>24</v>
      </c>
      <c r="C154" s="177"/>
      <c r="D154" s="177"/>
      <c r="E154" s="177"/>
      <c r="F154" s="177"/>
      <c r="G154" s="177"/>
      <c r="H154" s="177"/>
      <c r="I154" s="177"/>
      <c r="J154" s="177"/>
      <c r="K154" s="177"/>
      <c r="L154" s="177"/>
      <c r="M154" s="177"/>
      <c r="N154" s="177"/>
      <c r="O154" s="177"/>
      <c r="P154" s="177"/>
      <c r="Q154" s="177"/>
      <c r="R154" s="177"/>
      <c r="S154" s="177"/>
      <c r="T154" s="194"/>
      <c r="U154" s="177"/>
      <c r="V154" s="5"/>
    </row>
    <row r="155" spans="1:23" ht="15.6" x14ac:dyDescent="0.3">
      <c r="A155" s="284"/>
      <c r="B155" s="285" t="s">
        <v>48</v>
      </c>
      <c r="C155" s="285"/>
      <c r="D155" s="285"/>
      <c r="E155" s="285"/>
      <c r="F155" s="285"/>
      <c r="G155" s="285"/>
      <c r="H155" s="285"/>
      <c r="I155" s="285"/>
      <c r="J155" s="285"/>
      <c r="K155" s="285"/>
      <c r="L155" s="285"/>
      <c r="M155" s="285"/>
      <c r="N155" s="285"/>
      <c r="O155" s="285"/>
      <c r="P155" s="285"/>
      <c r="Q155" s="285"/>
      <c r="R155" s="285"/>
      <c r="S155" s="285"/>
      <c r="T155" s="348" t="s">
        <v>124</v>
      </c>
      <c r="U155" s="288"/>
      <c r="V155" s="5"/>
    </row>
    <row r="156" spans="1:23" ht="15.6" x14ac:dyDescent="0.3">
      <c r="A156" s="284"/>
      <c r="B156" s="285" t="s">
        <v>49</v>
      </c>
      <c r="C156" s="287"/>
      <c r="D156" s="287"/>
      <c r="E156" s="287"/>
      <c r="F156" s="287"/>
      <c r="G156" s="287"/>
      <c r="H156" s="287"/>
      <c r="I156" s="287"/>
      <c r="J156" s="287"/>
      <c r="K156" s="287"/>
      <c r="L156" s="287"/>
      <c r="M156" s="287"/>
      <c r="N156" s="287"/>
      <c r="O156" s="287"/>
      <c r="P156" s="287"/>
      <c r="Q156" s="287"/>
      <c r="R156" s="287"/>
      <c r="S156" s="287"/>
      <c r="T156" s="348" t="s">
        <v>124</v>
      </c>
      <c r="U156" s="288"/>
      <c r="V156" s="5"/>
    </row>
    <row r="157" spans="1:23" ht="15.6" x14ac:dyDescent="0.3">
      <c r="A157" s="284"/>
      <c r="B157" s="285" t="s">
        <v>50</v>
      </c>
      <c r="C157" s="285"/>
      <c r="D157" s="285"/>
      <c r="E157" s="285"/>
      <c r="F157" s="285"/>
      <c r="G157" s="285"/>
      <c r="H157" s="285"/>
      <c r="I157" s="285"/>
      <c r="J157" s="285"/>
      <c r="K157" s="285"/>
      <c r="L157" s="285"/>
      <c r="M157" s="285"/>
      <c r="N157" s="285"/>
      <c r="O157" s="285"/>
      <c r="P157" s="285"/>
      <c r="Q157" s="285"/>
      <c r="R157" s="285"/>
      <c r="S157" s="285"/>
      <c r="T157" s="348" t="s">
        <v>124</v>
      </c>
      <c r="U157" s="288"/>
      <c r="V157" s="5"/>
    </row>
    <row r="158" spans="1:23" ht="15.6" x14ac:dyDescent="0.3">
      <c r="A158" s="284"/>
      <c r="B158" s="285" t="s">
        <v>51</v>
      </c>
      <c r="C158" s="285"/>
      <c r="D158" s="285"/>
      <c r="E158" s="285"/>
      <c r="F158" s="285"/>
      <c r="G158" s="285"/>
      <c r="H158" s="285"/>
      <c r="I158" s="285"/>
      <c r="J158" s="285"/>
      <c r="K158" s="285"/>
      <c r="L158" s="285"/>
      <c r="M158" s="285"/>
      <c r="N158" s="285"/>
      <c r="O158" s="285"/>
      <c r="P158" s="285"/>
      <c r="Q158" s="285"/>
      <c r="R158" s="285"/>
      <c r="S158" s="285"/>
      <c r="T158" s="348" t="s">
        <v>124</v>
      </c>
      <c r="U158" s="288"/>
      <c r="V158" s="5"/>
    </row>
    <row r="159" spans="1:23" ht="15.6" x14ac:dyDescent="0.3">
      <c r="A159" s="175"/>
      <c r="B159" s="334"/>
      <c r="C159" s="334"/>
      <c r="D159" s="334"/>
      <c r="E159" s="334"/>
      <c r="F159" s="334"/>
      <c r="G159" s="334"/>
      <c r="H159" s="334"/>
      <c r="I159" s="334"/>
      <c r="J159" s="334"/>
      <c r="K159" s="334"/>
      <c r="L159" s="334"/>
      <c r="M159" s="334"/>
      <c r="N159" s="334"/>
      <c r="O159" s="334"/>
      <c r="P159" s="334"/>
      <c r="Q159" s="334"/>
      <c r="R159" s="334"/>
      <c r="S159" s="334"/>
      <c r="T159" s="347"/>
      <c r="U159" s="334"/>
      <c r="V159" s="5"/>
    </row>
    <row r="160" spans="1:23" ht="15.6" x14ac:dyDescent="0.3">
      <c r="A160" s="175"/>
      <c r="B160" s="201" t="s">
        <v>52</v>
      </c>
      <c r="C160" s="177"/>
      <c r="D160" s="177"/>
      <c r="E160" s="177"/>
      <c r="F160" s="177"/>
      <c r="G160" s="177"/>
      <c r="H160" s="177"/>
      <c r="I160" s="177"/>
      <c r="J160" s="177"/>
      <c r="K160" s="177"/>
      <c r="L160" s="177"/>
      <c r="M160" s="177"/>
      <c r="N160" s="177"/>
      <c r="O160" s="177"/>
      <c r="P160" s="177"/>
      <c r="Q160" s="177"/>
      <c r="R160" s="177"/>
      <c r="S160" s="177"/>
      <c r="T160" s="202"/>
      <c r="U160" s="177"/>
      <c r="V160" s="5"/>
    </row>
    <row r="161" spans="1:22" ht="15.6" x14ac:dyDescent="0.3">
      <c r="A161" s="284"/>
      <c r="B161" s="285" t="s">
        <v>53</v>
      </c>
      <c r="C161" s="285"/>
      <c r="D161" s="285"/>
      <c r="E161" s="285"/>
      <c r="F161" s="285"/>
      <c r="G161" s="285"/>
      <c r="H161" s="285"/>
      <c r="I161" s="285"/>
      <c r="J161" s="285"/>
      <c r="K161" s="285"/>
      <c r="L161" s="285"/>
      <c r="M161" s="285"/>
      <c r="N161" s="285"/>
      <c r="O161" s="285"/>
      <c r="P161" s="285"/>
      <c r="Q161" s="285"/>
      <c r="R161" s="285"/>
      <c r="S161" s="285"/>
      <c r="T161" s="339">
        <v>0</v>
      </c>
      <c r="U161" s="288"/>
      <c r="V161" s="5"/>
    </row>
    <row r="162" spans="1:22" ht="15.6" x14ac:dyDescent="0.3">
      <c r="A162" s="284"/>
      <c r="B162" s="285" t="s">
        <v>54</v>
      </c>
      <c r="C162" s="285"/>
      <c r="D162" s="285"/>
      <c r="E162" s="285"/>
      <c r="F162" s="285"/>
      <c r="G162" s="285"/>
      <c r="H162" s="285"/>
      <c r="I162" s="285"/>
      <c r="J162" s="285"/>
      <c r="K162" s="285"/>
      <c r="L162" s="285"/>
      <c r="M162" s="285"/>
      <c r="N162" s="285"/>
      <c r="O162" s="285"/>
      <c r="P162" s="285"/>
      <c r="Q162" s="285"/>
      <c r="R162" s="285"/>
      <c r="S162" s="285"/>
      <c r="T162" s="339">
        <f>R113</f>
        <v>97</v>
      </c>
      <c r="U162" s="288"/>
      <c r="V162" s="5"/>
    </row>
    <row r="163" spans="1:22" ht="15.6" x14ac:dyDescent="0.3">
      <c r="A163" s="284"/>
      <c r="B163" s="285" t="s">
        <v>55</v>
      </c>
      <c r="C163" s="285"/>
      <c r="D163" s="285"/>
      <c r="E163" s="285"/>
      <c r="F163" s="285"/>
      <c r="G163" s="285"/>
      <c r="H163" s="285"/>
      <c r="I163" s="285"/>
      <c r="J163" s="285"/>
      <c r="K163" s="285"/>
      <c r="L163" s="285"/>
      <c r="M163" s="285"/>
      <c r="N163" s="285"/>
      <c r="O163" s="285"/>
      <c r="P163" s="285"/>
      <c r="Q163" s="285"/>
      <c r="R163" s="285"/>
      <c r="S163" s="285"/>
      <c r="T163" s="339">
        <f>T162+T161</f>
        <v>97</v>
      </c>
      <c r="U163" s="288"/>
      <c r="V163" s="5"/>
    </row>
    <row r="164" spans="1:22" ht="15.6" x14ac:dyDescent="0.3">
      <c r="A164" s="284"/>
      <c r="B164" s="285" t="s">
        <v>301</v>
      </c>
      <c r="C164" s="285"/>
      <c r="D164" s="285"/>
      <c r="E164" s="285"/>
      <c r="F164" s="285"/>
      <c r="G164" s="285"/>
      <c r="H164" s="285"/>
      <c r="I164" s="285"/>
      <c r="J164" s="285"/>
      <c r="K164" s="285"/>
      <c r="L164" s="285"/>
      <c r="M164" s="285"/>
      <c r="N164" s="285"/>
      <c r="O164" s="285"/>
      <c r="P164" s="285"/>
      <c r="Q164" s="285"/>
      <c r="R164" s="285"/>
      <c r="S164" s="285"/>
      <c r="T164" s="339">
        <f>T113</f>
        <v>-97</v>
      </c>
      <c r="U164" s="288"/>
      <c r="V164" s="5"/>
    </row>
    <row r="165" spans="1:22" ht="15.6" x14ac:dyDescent="0.3">
      <c r="A165" s="284"/>
      <c r="B165" s="285" t="s">
        <v>56</v>
      </c>
      <c r="C165" s="285"/>
      <c r="D165" s="285"/>
      <c r="E165" s="285"/>
      <c r="F165" s="285"/>
      <c r="G165" s="285"/>
      <c r="H165" s="285"/>
      <c r="I165" s="285"/>
      <c r="J165" s="285"/>
      <c r="K165" s="285"/>
      <c r="L165" s="285"/>
      <c r="M165" s="285"/>
      <c r="N165" s="285"/>
      <c r="O165" s="285"/>
      <c r="P165" s="285"/>
      <c r="Q165" s="285"/>
      <c r="R165" s="285"/>
      <c r="S165" s="285"/>
      <c r="T165" s="339">
        <f>T163+T164</f>
        <v>0</v>
      </c>
      <c r="U165" s="288"/>
      <c r="V165" s="5"/>
    </row>
    <row r="166" spans="1:22" ht="15.6" x14ac:dyDescent="0.3">
      <c r="A166" s="284"/>
      <c r="B166" s="285" t="s">
        <v>273</v>
      </c>
      <c r="C166" s="285"/>
      <c r="D166" s="285"/>
      <c r="E166" s="285"/>
      <c r="F166" s="285"/>
      <c r="G166" s="285"/>
      <c r="H166" s="285"/>
      <c r="I166" s="285"/>
      <c r="J166" s="285"/>
      <c r="K166" s="285"/>
      <c r="L166" s="285"/>
      <c r="M166" s="285"/>
      <c r="N166" s="285"/>
      <c r="O166" s="285"/>
      <c r="P166" s="285"/>
      <c r="Q166" s="285"/>
      <c r="R166" s="285"/>
      <c r="S166" s="285"/>
      <c r="T166" s="339">
        <f>-T99</f>
        <v>114</v>
      </c>
      <c r="U166" s="288"/>
      <c r="V166" s="5"/>
    </row>
    <row r="167" spans="1:22" ht="16.2" thickBot="1" x14ac:dyDescent="0.35">
      <c r="A167" s="175"/>
      <c r="B167" s="334"/>
      <c r="C167" s="334"/>
      <c r="D167" s="334"/>
      <c r="E167" s="334"/>
      <c r="F167" s="334"/>
      <c r="G167" s="334"/>
      <c r="H167" s="334"/>
      <c r="I167" s="334"/>
      <c r="J167" s="334"/>
      <c r="K167" s="334"/>
      <c r="L167" s="334"/>
      <c r="M167" s="334"/>
      <c r="N167" s="334"/>
      <c r="O167" s="334"/>
      <c r="P167" s="334"/>
      <c r="Q167" s="334"/>
      <c r="R167" s="334"/>
      <c r="S167" s="334"/>
      <c r="T167" s="347"/>
      <c r="U167" s="334"/>
      <c r="V167" s="5"/>
    </row>
    <row r="168" spans="1:22" ht="15.6" x14ac:dyDescent="0.3">
      <c r="A168" s="173"/>
      <c r="B168" s="174"/>
      <c r="C168" s="174"/>
      <c r="D168" s="174"/>
      <c r="E168" s="174"/>
      <c r="F168" s="174"/>
      <c r="G168" s="174"/>
      <c r="H168" s="174"/>
      <c r="I168" s="174"/>
      <c r="J168" s="174"/>
      <c r="K168" s="174"/>
      <c r="L168" s="174"/>
      <c r="M168" s="174"/>
      <c r="N168" s="174"/>
      <c r="O168" s="174"/>
      <c r="P168" s="174"/>
      <c r="Q168" s="174"/>
      <c r="R168" s="174"/>
      <c r="S168" s="174"/>
      <c r="T168" s="193"/>
      <c r="U168" s="174"/>
      <c r="V168" s="5"/>
    </row>
    <row r="169" spans="1:22" ht="15.6" x14ac:dyDescent="0.3">
      <c r="A169" s="175"/>
      <c r="B169" s="201" t="s">
        <v>57</v>
      </c>
      <c r="C169" s="177"/>
      <c r="D169" s="177"/>
      <c r="E169" s="177"/>
      <c r="F169" s="177"/>
      <c r="G169" s="177"/>
      <c r="H169" s="177"/>
      <c r="I169" s="177"/>
      <c r="J169" s="177"/>
      <c r="K169" s="177"/>
      <c r="L169" s="177"/>
      <c r="M169" s="177"/>
      <c r="N169" s="177"/>
      <c r="O169" s="177"/>
      <c r="P169" s="177"/>
      <c r="Q169" s="177"/>
      <c r="R169" s="177"/>
      <c r="S169" s="177"/>
      <c r="T169" s="194"/>
      <c r="U169" s="177"/>
      <c r="V169" s="5"/>
    </row>
    <row r="170" spans="1:22" ht="15.6" x14ac:dyDescent="0.3">
      <c r="A170" s="175"/>
      <c r="B170" s="187"/>
      <c r="C170" s="177"/>
      <c r="D170" s="177"/>
      <c r="E170" s="177"/>
      <c r="F170" s="177"/>
      <c r="G170" s="177"/>
      <c r="H170" s="177"/>
      <c r="I170" s="177"/>
      <c r="J170" s="177"/>
      <c r="K170" s="177"/>
      <c r="L170" s="177"/>
      <c r="M170" s="177"/>
      <c r="N170" s="177"/>
      <c r="O170" s="177"/>
      <c r="P170" s="177"/>
      <c r="Q170" s="177"/>
      <c r="R170" s="177"/>
      <c r="S170" s="177"/>
      <c r="T170" s="194"/>
      <c r="U170" s="177"/>
      <c r="V170" s="5"/>
    </row>
    <row r="171" spans="1:22" ht="15.6" x14ac:dyDescent="0.3">
      <c r="A171" s="284"/>
      <c r="B171" s="285" t="s">
        <v>58</v>
      </c>
      <c r="C171" s="285"/>
      <c r="D171" s="285"/>
      <c r="E171" s="285"/>
      <c r="F171" s="285"/>
      <c r="G171" s="285"/>
      <c r="H171" s="285"/>
      <c r="I171" s="285"/>
      <c r="J171" s="285"/>
      <c r="K171" s="285"/>
      <c r="L171" s="285"/>
      <c r="M171" s="285"/>
      <c r="N171" s="285"/>
      <c r="O171" s="285"/>
      <c r="P171" s="285"/>
      <c r="Q171" s="285"/>
      <c r="R171" s="285"/>
      <c r="S171" s="285"/>
      <c r="T171" s="339">
        <f>T71</f>
        <v>480195</v>
      </c>
      <c r="U171" s="288"/>
      <c r="V171" s="5"/>
    </row>
    <row r="172" spans="1:22" ht="15.6" x14ac:dyDescent="0.3">
      <c r="A172" s="284"/>
      <c r="B172" s="285" t="s">
        <v>59</v>
      </c>
      <c r="C172" s="285"/>
      <c r="D172" s="285"/>
      <c r="E172" s="285"/>
      <c r="F172" s="285"/>
      <c r="G172" s="285"/>
      <c r="H172" s="285"/>
      <c r="I172" s="285"/>
      <c r="J172" s="285"/>
      <c r="K172" s="285"/>
      <c r="L172" s="285"/>
      <c r="M172" s="285"/>
      <c r="N172" s="285"/>
      <c r="O172" s="285"/>
      <c r="P172" s="285"/>
      <c r="Q172" s="285"/>
      <c r="R172" s="285"/>
      <c r="S172" s="285"/>
      <c r="T172" s="339">
        <f>T84</f>
        <v>480195</v>
      </c>
      <c r="U172" s="288"/>
      <c r="V172" s="5"/>
    </row>
    <row r="173" spans="1:22" ht="16.2" thickBot="1" x14ac:dyDescent="0.35">
      <c r="A173" s="175"/>
      <c r="B173" s="334"/>
      <c r="C173" s="334"/>
      <c r="D173" s="334"/>
      <c r="E173" s="334"/>
      <c r="F173" s="334"/>
      <c r="G173" s="334"/>
      <c r="H173" s="334"/>
      <c r="I173" s="334"/>
      <c r="J173" s="334"/>
      <c r="K173" s="334"/>
      <c r="L173" s="334"/>
      <c r="M173" s="334"/>
      <c r="N173" s="334"/>
      <c r="O173" s="334"/>
      <c r="P173" s="334"/>
      <c r="Q173" s="334"/>
      <c r="R173" s="334"/>
      <c r="S173" s="334"/>
      <c r="T173" s="347"/>
      <c r="U173" s="334"/>
      <c r="V173" s="5"/>
    </row>
    <row r="174" spans="1:22" ht="15.6" x14ac:dyDescent="0.3">
      <c r="A174" s="173"/>
      <c r="B174" s="174"/>
      <c r="C174" s="174"/>
      <c r="D174" s="174"/>
      <c r="E174" s="174"/>
      <c r="F174" s="174"/>
      <c r="G174" s="174"/>
      <c r="H174" s="174"/>
      <c r="I174" s="174"/>
      <c r="J174" s="174"/>
      <c r="K174" s="174"/>
      <c r="L174" s="174"/>
      <c r="M174" s="174"/>
      <c r="N174" s="174"/>
      <c r="O174" s="174"/>
      <c r="P174" s="174"/>
      <c r="Q174" s="174"/>
      <c r="R174" s="174"/>
      <c r="S174" s="174"/>
      <c r="T174" s="193"/>
      <c r="U174" s="174"/>
      <c r="V174" s="5"/>
    </row>
    <row r="175" spans="1:22" ht="15.6" x14ac:dyDescent="0.3">
      <c r="A175" s="175"/>
      <c r="B175" s="201" t="s">
        <v>60</v>
      </c>
      <c r="C175" s="198"/>
      <c r="D175" s="198"/>
      <c r="E175" s="198"/>
      <c r="F175" s="198"/>
      <c r="G175" s="198"/>
      <c r="H175" s="203"/>
      <c r="I175" s="203"/>
      <c r="J175" s="203"/>
      <c r="K175" s="203"/>
      <c r="L175" s="203"/>
      <c r="M175" s="203"/>
      <c r="N175" s="203"/>
      <c r="O175" s="203"/>
      <c r="P175" s="203"/>
      <c r="Q175" s="203" t="s">
        <v>104</v>
      </c>
      <c r="R175" s="203" t="s">
        <v>183</v>
      </c>
      <c r="S175" s="179"/>
      <c r="T175" s="204" t="s">
        <v>120</v>
      </c>
      <c r="U175" s="205"/>
      <c r="V175" s="5"/>
    </row>
    <row r="176" spans="1:22" ht="15.6" x14ac:dyDescent="0.3">
      <c r="A176" s="284"/>
      <c r="B176" s="285" t="s">
        <v>61</v>
      </c>
      <c r="C176" s="285"/>
      <c r="D176" s="285"/>
      <c r="E176" s="285"/>
      <c r="F176" s="285"/>
      <c r="G176" s="285"/>
      <c r="H176" s="285"/>
      <c r="I176" s="285"/>
      <c r="J176" s="285"/>
      <c r="K176" s="285"/>
      <c r="L176" s="285"/>
      <c r="M176" s="285"/>
      <c r="N176" s="285"/>
      <c r="O176" s="285"/>
      <c r="P176" s="285"/>
      <c r="Q176" s="339">
        <v>160008</v>
      </c>
      <c r="R176" s="324"/>
      <c r="S176" s="285"/>
      <c r="T176" s="339"/>
      <c r="U176" s="288"/>
      <c r="V176" s="5"/>
    </row>
    <row r="177" spans="1:22" ht="15.6" x14ac:dyDescent="0.3">
      <c r="A177" s="284"/>
      <c r="B177" s="285" t="s">
        <v>62</v>
      </c>
      <c r="C177" s="285"/>
      <c r="D177" s="285"/>
      <c r="E177" s="285"/>
      <c r="F177" s="285"/>
      <c r="G177" s="285"/>
      <c r="H177" s="285"/>
      <c r="I177" s="285"/>
      <c r="J177" s="285"/>
      <c r="K177" s="285"/>
      <c r="L177" s="285"/>
      <c r="M177" s="285"/>
      <c r="N177" s="285"/>
      <c r="O177" s="285"/>
      <c r="P177" s="285"/>
      <c r="Q177" s="339">
        <f>+'Sept 15'!Q179</f>
        <v>38696</v>
      </c>
      <c r="R177" s="339">
        <f>+'Sept 15'!R179</f>
        <v>3447</v>
      </c>
      <c r="S177" s="285"/>
      <c r="T177" s="339">
        <f>Q177+R177</f>
        <v>42143</v>
      </c>
      <c r="U177" s="288"/>
      <c r="V177" s="5"/>
    </row>
    <row r="178" spans="1:22" ht="15.6" x14ac:dyDescent="0.3">
      <c r="A178" s="284"/>
      <c r="B178" s="285" t="s">
        <v>63</v>
      </c>
      <c r="C178" s="285"/>
      <c r="D178" s="285"/>
      <c r="E178" s="285"/>
      <c r="F178" s="285"/>
      <c r="G178" s="285"/>
      <c r="H178" s="285"/>
      <c r="I178" s="285"/>
      <c r="J178" s="285"/>
      <c r="K178" s="285"/>
      <c r="L178" s="285"/>
      <c r="M178" s="285"/>
      <c r="N178" s="285"/>
      <c r="O178" s="285"/>
      <c r="P178" s="285"/>
      <c r="Q178" s="338">
        <v>126</v>
      </c>
      <c r="R178" s="338">
        <v>0</v>
      </c>
      <c r="S178" s="285"/>
      <c r="T178" s="339">
        <f>Q178+R178</f>
        <v>126</v>
      </c>
      <c r="U178" s="288"/>
      <c r="V178" s="5"/>
    </row>
    <row r="179" spans="1:22" ht="15.6" x14ac:dyDescent="0.3">
      <c r="A179" s="284"/>
      <c r="B179" s="285" t="s">
        <v>64</v>
      </c>
      <c r="C179" s="285"/>
      <c r="D179" s="285"/>
      <c r="E179" s="285"/>
      <c r="F179" s="285"/>
      <c r="G179" s="285"/>
      <c r="H179" s="285"/>
      <c r="I179" s="285"/>
      <c r="J179" s="285"/>
      <c r="K179" s="285"/>
      <c r="L179" s="285"/>
      <c r="M179" s="285"/>
      <c r="N179" s="285"/>
      <c r="O179" s="285"/>
      <c r="P179" s="285"/>
      <c r="Q179" s="339">
        <f>Q177+Q178</f>
        <v>38822</v>
      </c>
      <c r="R179" s="339">
        <f>R178+R177</f>
        <v>3447</v>
      </c>
      <c r="S179" s="285"/>
      <c r="T179" s="339">
        <f>Q179+R179</f>
        <v>42269</v>
      </c>
      <c r="U179" s="288"/>
      <c r="V179" s="5"/>
    </row>
    <row r="180" spans="1:22" ht="15.6" x14ac:dyDescent="0.3">
      <c r="A180" s="284"/>
      <c r="B180" s="285" t="s">
        <v>65</v>
      </c>
      <c r="C180" s="285"/>
      <c r="D180" s="285"/>
      <c r="E180" s="285"/>
      <c r="F180" s="285"/>
      <c r="G180" s="285"/>
      <c r="H180" s="285"/>
      <c r="I180" s="285"/>
      <c r="J180" s="285"/>
      <c r="K180" s="285"/>
      <c r="L180" s="285"/>
      <c r="M180" s="285"/>
      <c r="N180" s="285"/>
      <c r="O180" s="285"/>
      <c r="P180" s="285"/>
      <c r="Q180" s="339">
        <f>Q176-Q179-R179</f>
        <v>117739</v>
      </c>
      <c r="R180" s="324"/>
      <c r="S180" s="285"/>
      <c r="T180" s="339"/>
      <c r="U180" s="288"/>
      <c r="V180" s="5"/>
    </row>
    <row r="181" spans="1:22" ht="16.2" thickBot="1" x14ac:dyDescent="0.35">
      <c r="A181" s="175"/>
      <c r="B181" s="334"/>
      <c r="C181" s="334"/>
      <c r="D181" s="334"/>
      <c r="E181" s="334"/>
      <c r="F181" s="334"/>
      <c r="G181" s="334"/>
      <c r="H181" s="334"/>
      <c r="I181" s="334"/>
      <c r="J181" s="334"/>
      <c r="K181" s="334"/>
      <c r="L181" s="334"/>
      <c r="M181" s="334"/>
      <c r="N181" s="334"/>
      <c r="O181" s="334"/>
      <c r="P181" s="334"/>
      <c r="Q181" s="334"/>
      <c r="R181" s="334"/>
      <c r="S181" s="334"/>
      <c r="T181" s="347"/>
      <c r="U181" s="334"/>
      <c r="V181" s="5"/>
    </row>
    <row r="182" spans="1:22" ht="15.6" x14ac:dyDescent="0.3">
      <c r="A182" s="173"/>
      <c r="B182" s="174"/>
      <c r="C182" s="174"/>
      <c r="D182" s="174"/>
      <c r="E182" s="174"/>
      <c r="F182" s="174"/>
      <c r="G182" s="174"/>
      <c r="H182" s="174"/>
      <c r="I182" s="174"/>
      <c r="J182" s="174"/>
      <c r="K182" s="174"/>
      <c r="L182" s="174"/>
      <c r="M182" s="174"/>
      <c r="N182" s="174"/>
      <c r="O182" s="174"/>
      <c r="P182" s="174"/>
      <c r="Q182" s="174"/>
      <c r="R182" s="174"/>
      <c r="S182" s="174"/>
      <c r="T182" s="193"/>
      <c r="U182" s="174"/>
      <c r="V182" s="5"/>
    </row>
    <row r="183" spans="1:22" ht="15.6" x14ac:dyDescent="0.3">
      <c r="A183" s="175"/>
      <c r="B183" s="201" t="s">
        <v>66</v>
      </c>
      <c r="C183" s="177"/>
      <c r="D183" s="177"/>
      <c r="E183" s="177"/>
      <c r="F183" s="177"/>
      <c r="G183" s="177"/>
      <c r="H183" s="177"/>
      <c r="I183" s="177"/>
      <c r="J183" s="177"/>
      <c r="K183" s="177"/>
      <c r="L183" s="177"/>
      <c r="M183" s="177"/>
      <c r="N183" s="177"/>
      <c r="O183" s="177"/>
      <c r="P183" s="177"/>
      <c r="Q183" s="177"/>
      <c r="R183" s="177"/>
      <c r="S183" s="177"/>
      <c r="T183" s="206"/>
      <c r="U183" s="177"/>
      <c r="V183" s="5"/>
    </row>
    <row r="184" spans="1:22" ht="15.6" x14ac:dyDescent="0.3">
      <c r="A184" s="284"/>
      <c r="B184" s="285" t="s">
        <v>67</v>
      </c>
      <c r="C184" s="285"/>
      <c r="D184" s="285"/>
      <c r="E184" s="285"/>
      <c r="F184" s="285"/>
      <c r="G184" s="285"/>
      <c r="H184" s="285"/>
      <c r="I184" s="285"/>
      <c r="J184" s="285"/>
      <c r="K184" s="285"/>
      <c r="L184" s="285"/>
      <c r="M184" s="285"/>
      <c r="N184" s="285"/>
      <c r="O184" s="285"/>
      <c r="P184" s="285"/>
      <c r="Q184" s="285"/>
      <c r="R184" s="285"/>
      <c r="S184" s="285"/>
      <c r="T184" s="348">
        <f>(T100+T102+T103+T104+T105)/-(T106+T107)</f>
        <v>3.9762611275964392</v>
      </c>
      <c r="U184" s="288" t="s">
        <v>121</v>
      </c>
      <c r="V184" s="5"/>
    </row>
    <row r="185" spans="1:22" ht="15.6" x14ac:dyDescent="0.3">
      <c r="A185" s="284"/>
      <c r="B185" s="285" t="s">
        <v>68</v>
      </c>
      <c r="C185" s="285"/>
      <c r="D185" s="285"/>
      <c r="E185" s="285"/>
      <c r="F185" s="285"/>
      <c r="G185" s="285"/>
      <c r="H185" s="285"/>
      <c r="I185" s="285"/>
      <c r="J185" s="285"/>
      <c r="K185" s="285"/>
      <c r="L185" s="285"/>
      <c r="M185" s="285"/>
      <c r="N185" s="285"/>
      <c r="O185" s="285"/>
      <c r="P185" s="285"/>
      <c r="Q185" s="285"/>
      <c r="R185" s="285"/>
      <c r="S185" s="285"/>
      <c r="T185" s="349">
        <v>2.83</v>
      </c>
      <c r="U185" s="288" t="s">
        <v>121</v>
      </c>
      <c r="V185" s="5"/>
    </row>
    <row r="186" spans="1:22" ht="15.6" x14ac:dyDescent="0.3">
      <c r="A186" s="284"/>
      <c r="B186" s="285" t="s">
        <v>69</v>
      </c>
      <c r="C186" s="285"/>
      <c r="D186" s="285"/>
      <c r="E186" s="285"/>
      <c r="F186" s="285"/>
      <c r="G186" s="285"/>
      <c r="H186" s="285"/>
      <c r="I186" s="285"/>
      <c r="J186" s="285"/>
      <c r="K186" s="285"/>
      <c r="L186" s="285"/>
      <c r="M186" s="285"/>
      <c r="N186" s="285"/>
      <c r="O186" s="285"/>
      <c r="P186" s="285"/>
      <c r="Q186" s="285"/>
      <c r="R186" s="285"/>
      <c r="S186" s="285"/>
      <c r="T186" s="348">
        <f>(T100+T102+T103+T104+T105+T106+T107)/-(T108+T109)</f>
        <v>10.340206185567011</v>
      </c>
      <c r="U186" s="288" t="s">
        <v>121</v>
      </c>
      <c r="V186" s="5"/>
    </row>
    <row r="187" spans="1:22" ht="15.6" x14ac:dyDescent="0.3">
      <c r="A187" s="284"/>
      <c r="B187" s="285" t="s">
        <v>70</v>
      </c>
      <c r="C187" s="285"/>
      <c r="D187" s="285"/>
      <c r="E187" s="285"/>
      <c r="F187" s="285"/>
      <c r="G187" s="285"/>
      <c r="H187" s="285"/>
      <c r="I187" s="285"/>
      <c r="J187" s="285"/>
      <c r="K187" s="285"/>
      <c r="L187" s="285"/>
      <c r="M187" s="285"/>
      <c r="N187" s="285"/>
      <c r="O187" s="285"/>
      <c r="P187" s="285"/>
      <c r="Q187" s="285"/>
      <c r="R187" s="285"/>
      <c r="S187" s="285"/>
      <c r="T187" s="349">
        <v>6.6</v>
      </c>
      <c r="U187" s="288" t="s">
        <v>121</v>
      </c>
      <c r="V187" s="5"/>
    </row>
    <row r="188" spans="1:22" ht="15.6" x14ac:dyDescent="0.3">
      <c r="A188" s="284"/>
      <c r="B188" s="285" t="s">
        <v>206</v>
      </c>
      <c r="C188" s="285"/>
      <c r="D188" s="285"/>
      <c r="E188" s="285"/>
      <c r="F188" s="285"/>
      <c r="G188" s="285"/>
      <c r="H188" s="285"/>
      <c r="I188" s="285"/>
      <c r="J188" s="285"/>
      <c r="K188" s="285"/>
      <c r="L188" s="285"/>
      <c r="M188" s="285"/>
      <c r="N188" s="285"/>
      <c r="O188" s="285"/>
      <c r="P188" s="285"/>
      <c r="Q188" s="285"/>
      <c r="R188" s="285"/>
      <c r="S188" s="285"/>
      <c r="T188" s="348">
        <f>(T100+T102+T103+T104+T105+T106+T107+T108+T109)/-(T110)</f>
        <v>7.8103448275862073</v>
      </c>
      <c r="U188" s="288" t="s">
        <v>121</v>
      </c>
      <c r="V188" s="5"/>
    </row>
    <row r="189" spans="1:22" ht="15.6" x14ac:dyDescent="0.3">
      <c r="A189" s="284"/>
      <c r="B189" s="285" t="s">
        <v>207</v>
      </c>
      <c r="C189" s="285"/>
      <c r="D189" s="285"/>
      <c r="E189" s="285"/>
      <c r="F189" s="285"/>
      <c r="G189" s="285"/>
      <c r="H189" s="285"/>
      <c r="I189" s="285"/>
      <c r="J189" s="285"/>
      <c r="K189" s="285"/>
      <c r="L189" s="285"/>
      <c r="M189" s="285"/>
      <c r="N189" s="285"/>
      <c r="O189" s="285"/>
      <c r="P189" s="285"/>
      <c r="Q189" s="285"/>
      <c r="R189" s="285"/>
      <c r="S189" s="285"/>
      <c r="T189" s="349">
        <v>5.94</v>
      </c>
      <c r="U189" s="288" t="s">
        <v>121</v>
      </c>
      <c r="V189" s="5"/>
    </row>
    <row r="190" spans="1:22" ht="15.6" x14ac:dyDescent="0.3">
      <c r="A190" s="284"/>
      <c r="B190" s="311"/>
      <c r="C190" s="311"/>
      <c r="D190" s="311"/>
      <c r="E190" s="311"/>
      <c r="F190" s="311"/>
      <c r="G190" s="311"/>
      <c r="H190" s="311"/>
      <c r="I190" s="311"/>
      <c r="J190" s="311"/>
      <c r="K190" s="311"/>
      <c r="L190" s="311"/>
      <c r="M190" s="311"/>
      <c r="N190" s="311"/>
      <c r="O190" s="311"/>
      <c r="P190" s="311"/>
      <c r="Q190" s="311"/>
      <c r="R190" s="311"/>
      <c r="S190" s="311"/>
      <c r="T190" s="311"/>
      <c r="U190" s="317"/>
      <c r="V190" s="5"/>
    </row>
    <row r="191" spans="1:22" ht="15.6" x14ac:dyDescent="0.3">
      <c r="A191" s="175"/>
      <c r="B191" s="334"/>
      <c r="C191" s="334"/>
      <c r="D191" s="334"/>
      <c r="E191" s="334"/>
      <c r="F191" s="334"/>
      <c r="G191" s="334"/>
      <c r="H191" s="334"/>
      <c r="I191" s="334"/>
      <c r="J191" s="334"/>
      <c r="K191" s="334"/>
      <c r="L191" s="334"/>
      <c r="M191" s="334"/>
      <c r="N191" s="334"/>
      <c r="O191" s="334"/>
      <c r="P191" s="334"/>
      <c r="Q191" s="334"/>
      <c r="R191" s="334"/>
      <c r="S191" s="334"/>
      <c r="T191" s="334"/>
      <c r="U191" s="334"/>
      <c r="V191" s="5"/>
    </row>
    <row r="192" spans="1:22" ht="15.6" x14ac:dyDescent="0.3">
      <c r="A192" s="175"/>
      <c r="B192" s="177"/>
      <c r="C192" s="177"/>
      <c r="D192" s="177"/>
      <c r="E192" s="177"/>
      <c r="F192" s="177"/>
      <c r="G192" s="177"/>
      <c r="H192" s="177"/>
      <c r="I192" s="177"/>
      <c r="J192" s="177"/>
      <c r="K192" s="177"/>
      <c r="L192" s="177"/>
      <c r="M192" s="177"/>
      <c r="N192" s="177"/>
      <c r="O192" s="177"/>
      <c r="P192" s="177"/>
      <c r="Q192" s="177"/>
      <c r="R192" s="177"/>
      <c r="S192" s="177"/>
      <c r="T192" s="177"/>
      <c r="U192" s="177"/>
      <c r="V192" s="5"/>
    </row>
    <row r="193" spans="1:22" ht="18" thickBot="1" x14ac:dyDescent="0.35">
      <c r="A193" s="192"/>
      <c r="B193" s="246" t="str">
        <f>B133</f>
        <v>PM11 INVESTOR REPORT QUARTER ENDING DECEMBER 2015</v>
      </c>
      <c r="C193" s="207"/>
      <c r="D193" s="207"/>
      <c r="E193" s="207"/>
      <c r="F193" s="207"/>
      <c r="G193" s="207"/>
      <c r="H193" s="207"/>
      <c r="I193" s="207"/>
      <c r="J193" s="207"/>
      <c r="K193" s="207"/>
      <c r="L193" s="207"/>
      <c r="M193" s="207"/>
      <c r="N193" s="207"/>
      <c r="O193" s="207"/>
      <c r="P193" s="207"/>
      <c r="Q193" s="207"/>
      <c r="R193" s="207"/>
      <c r="S193" s="207"/>
      <c r="T193" s="207"/>
      <c r="U193" s="208"/>
      <c r="V193" s="5"/>
    </row>
    <row r="194" spans="1:22" ht="15.6" x14ac:dyDescent="0.3">
      <c r="A194" s="260"/>
      <c r="B194" s="399" t="s">
        <v>71</v>
      </c>
      <c r="C194" s="400"/>
      <c r="D194" s="400"/>
      <c r="E194" s="400"/>
      <c r="F194" s="400"/>
      <c r="G194" s="401"/>
      <c r="H194" s="401"/>
      <c r="I194" s="401"/>
      <c r="J194" s="401"/>
      <c r="K194" s="401"/>
      <c r="L194" s="401"/>
      <c r="M194" s="401"/>
      <c r="N194" s="401"/>
      <c r="O194" s="401"/>
      <c r="P194" s="401"/>
      <c r="Q194" s="401"/>
      <c r="R194" s="401">
        <v>42369</v>
      </c>
      <c r="S194" s="261"/>
      <c r="T194" s="261"/>
      <c r="U194" s="261"/>
      <c r="V194" s="5"/>
    </row>
    <row r="195" spans="1:22" ht="15.6" x14ac:dyDescent="0.3">
      <c r="A195" s="209"/>
      <c r="B195" s="210"/>
      <c r="C195" s="211"/>
      <c r="D195" s="211"/>
      <c r="E195" s="211"/>
      <c r="F195" s="211"/>
      <c r="G195" s="212"/>
      <c r="H195" s="212"/>
      <c r="I195" s="212"/>
      <c r="J195" s="212"/>
      <c r="K195" s="212"/>
      <c r="L195" s="212"/>
      <c r="M195" s="212"/>
      <c r="N195" s="212"/>
      <c r="O195" s="212"/>
      <c r="P195" s="212"/>
      <c r="Q195" s="212"/>
      <c r="R195" s="212"/>
      <c r="S195" s="177"/>
      <c r="T195" s="177"/>
      <c r="U195" s="177"/>
      <c r="V195" s="5"/>
    </row>
    <row r="196" spans="1:22" ht="15.6" x14ac:dyDescent="0.3">
      <c r="A196" s="352"/>
      <c r="B196" s="285" t="s">
        <v>72</v>
      </c>
      <c r="C196" s="353"/>
      <c r="D196" s="353"/>
      <c r="E196" s="353"/>
      <c r="F196" s="353"/>
      <c r="G196" s="329"/>
      <c r="H196" s="329"/>
      <c r="I196" s="329"/>
      <c r="J196" s="329"/>
      <c r="K196" s="329"/>
      <c r="L196" s="329"/>
      <c r="M196" s="329"/>
      <c r="N196" s="329"/>
      <c r="O196" s="329"/>
      <c r="P196" s="329"/>
      <c r="Q196" s="329"/>
      <c r="R196" s="320">
        <v>5.1569999999999998E-2</v>
      </c>
      <c r="S196" s="285"/>
      <c r="T196" s="285"/>
      <c r="U196" s="317"/>
      <c r="V196" s="5"/>
    </row>
    <row r="197" spans="1:22" ht="15.6" x14ac:dyDescent="0.3">
      <c r="A197" s="352"/>
      <c r="B197" s="285" t="s">
        <v>157</v>
      </c>
      <c r="C197" s="353"/>
      <c r="D197" s="353"/>
      <c r="E197" s="353"/>
      <c r="F197" s="353"/>
      <c r="G197" s="329"/>
      <c r="H197" s="329"/>
      <c r="I197" s="329"/>
      <c r="J197" s="329"/>
      <c r="K197" s="329"/>
      <c r="L197" s="329"/>
      <c r="M197" s="329"/>
      <c r="N197" s="329"/>
      <c r="O197" s="329"/>
      <c r="P197" s="329"/>
      <c r="Q197" s="329"/>
      <c r="R197" s="320">
        <v>4.6899999999999997E-2</v>
      </c>
      <c r="S197" s="285"/>
      <c r="T197" s="285"/>
      <c r="U197" s="317"/>
      <c r="V197" s="5"/>
    </row>
    <row r="198" spans="1:22" ht="15.6" x14ac:dyDescent="0.3">
      <c r="A198" s="352"/>
      <c r="B198" s="285" t="s">
        <v>73</v>
      </c>
      <c r="C198" s="353"/>
      <c r="D198" s="353"/>
      <c r="E198" s="353"/>
      <c r="F198" s="353"/>
      <c r="G198" s="329"/>
      <c r="H198" s="329"/>
      <c r="I198" s="329"/>
      <c r="J198" s="329"/>
      <c r="K198" s="329"/>
      <c r="L198" s="329"/>
      <c r="M198" s="329"/>
      <c r="N198" s="329"/>
      <c r="O198" s="329"/>
      <c r="P198" s="329"/>
      <c r="Q198" s="329"/>
      <c r="R198" s="320">
        <f>R196-R197</f>
        <v>4.6700000000000005E-3</v>
      </c>
      <c r="S198" s="285"/>
      <c r="T198" s="285"/>
      <c r="U198" s="317"/>
      <c r="V198" s="5"/>
    </row>
    <row r="199" spans="1:22" ht="15.6" x14ac:dyDescent="0.3">
      <c r="A199" s="352"/>
      <c r="B199" s="285" t="s">
        <v>74</v>
      </c>
      <c r="C199" s="353"/>
      <c r="D199" s="353"/>
      <c r="E199" s="353"/>
      <c r="F199" s="353"/>
      <c r="G199" s="329"/>
      <c r="H199" s="329"/>
      <c r="I199" s="329"/>
      <c r="J199" s="329"/>
      <c r="K199" s="329"/>
      <c r="L199" s="329"/>
      <c r="M199" s="329"/>
      <c r="N199" s="329"/>
      <c r="O199" s="329"/>
      <c r="P199" s="329"/>
      <c r="Q199" s="329"/>
      <c r="R199" s="320">
        <v>2.3210000000000001E-2</v>
      </c>
      <c r="S199" s="285"/>
      <c r="T199" s="285"/>
      <c r="U199" s="317"/>
      <c r="V199" s="5"/>
    </row>
    <row r="200" spans="1:22" ht="15.6" x14ac:dyDescent="0.3">
      <c r="A200" s="352"/>
      <c r="B200" s="285" t="s">
        <v>257</v>
      </c>
      <c r="C200" s="353"/>
      <c r="D200" s="353"/>
      <c r="E200" s="353"/>
      <c r="F200" s="353"/>
      <c r="G200" s="329"/>
      <c r="H200" s="329"/>
      <c r="I200" s="329"/>
      <c r="J200" s="329"/>
      <c r="K200" s="329"/>
      <c r="L200" s="329"/>
      <c r="M200" s="329"/>
      <c r="N200" s="329"/>
      <c r="O200" s="329"/>
      <c r="P200" s="329"/>
      <c r="Q200" s="329"/>
      <c r="R200" s="320">
        <f>T43</f>
        <v>8.9112560503511618E-3</v>
      </c>
      <c r="S200" s="285"/>
      <c r="T200" s="285"/>
      <c r="U200" s="317"/>
      <c r="V200" s="5"/>
    </row>
    <row r="201" spans="1:22" ht="15.6" x14ac:dyDescent="0.3">
      <c r="A201" s="352"/>
      <c r="B201" s="285" t="s">
        <v>75</v>
      </c>
      <c r="C201" s="353"/>
      <c r="D201" s="353"/>
      <c r="E201" s="353"/>
      <c r="F201" s="353"/>
      <c r="G201" s="329"/>
      <c r="H201" s="329"/>
      <c r="I201" s="329"/>
      <c r="J201" s="329"/>
      <c r="K201" s="329"/>
      <c r="L201" s="329"/>
      <c r="M201" s="329"/>
      <c r="N201" s="329"/>
      <c r="O201" s="329"/>
      <c r="P201" s="329"/>
      <c r="Q201" s="329"/>
      <c r="R201" s="320">
        <f>R199-R200</f>
        <v>1.429874394964884E-2</v>
      </c>
      <c r="S201" s="285"/>
      <c r="T201" s="285"/>
      <c r="U201" s="317"/>
      <c r="V201" s="5"/>
    </row>
    <row r="202" spans="1:22" ht="15.6" x14ac:dyDescent="0.3">
      <c r="A202" s="352"/>
      <c r="B202" s="285" t="s">
        <v>260</v>
      </c>
      <c r="C202" s="353"/>
      <c r="D202" s="353"/>
      <c r="E202" s="353"/>
      <c r="F202" s="353"/>
      <c r="G202" s="329"/>
      <c r="H202" s="329"/>
      <c r="I202" s="329"/>
      <c r="J202" s="329"/>
      <c r="K202" s="329"/>
      <c r="L202" s="329"/>
      <c r="M202" s="329"/>
      <c r="N202" s="329"/>
      <c r="O202" s="329"/>
      <c r="P202" s="329"/>
      <c r="Q202" s="329"/>
      <c r="R202" s="320">
        <f>+T100/L71</f>
        <v>6.0398881305904128E-3</v>
      </c>
      <c r="S202" s="285"/>
      <c r="T202" s="285"/>
      <c r="U202" s="317"/>
      <c r="V202" s="5"/>
    </row>
    <row r="203" spans="1:22" ht="15.6" x14ac:dyDescent="0.3">
      <c r="A203" s="352"/>
      <c r="B203" s="285" t="s">
        <v>217</v>
      </c>
      <c r="C203" s="353"/>
      <c r="D203" s="353"/>
      <c r="E203" s="353"/>
      <c r="F203" s="353"/>
      <c r="G203" s="329"/>
      <c r="H203" s="329"/>
      <c r="I203" s="329"/>
      <c r="J203" s="329"/>
      <c r="K203" s="329"/>
      <c r="L203" s="329"/>
      <c r="M203" s="329"/>
      <c r="N203" s="329"/>
      <c r="O203" s="329"/>
      <c r="P203" s="329"/>
      <c r="Q203" s="329"/>
      <c r="R203" s="354">
        <v>15250</v>
      </c>
      <c r="S203" s="285"/>
      <c r="T203" s="285"/>
      <c r="U203" s="317"/>
      <c r="V203" s="5"/>
    </row>
    <row r="204" spans="1:22" ht="15.6" x14ac:dyDescent="0.3">
      <c r="A204" s="352"/>
      <c r="B204" s="285" t="s">
        <v>218</v>
      </c>
      <c r="C204" s="353"/>
      <c r="D204" s="353"/>
      <c r="E204" s="353"/>
      <c r="F204" s="353"/>
      <c r="G204" s="329"/>
      <c r="H204" s="329"/>
      <c r="I204" s="329"/>
      <c r="J204" s="329"/>
      <c r="K204" s="329"/>
      <c r="L204" s="329"/>
      <c r="M204" s="329"/>
      <c r="N204" s="329"/>
      <c r="O204" s="329"/>
      <c r="P204" s="329"/>
      <c r="Q204" s="329"/>
      <c r="R204" s="354">
        <v>15250</v>
      </c>
      <c r="S204" s="285"/>
      <c r="T204" s="285"/>
      <c r="U204" s="317"/>
      <c r="V204" s="5"/>
    </row>
    <row r="205" spans="1:22" ht="15.6" x14ac:dyDescent="0.3">
      <c r="A205" s="352"/>
      <c r="B205" s="285" t="s">
        <v>219</v>
      </c>
      <c r="C205" s="353"/>
      <c r="D205" s="353"/>
      <c r="E205" s="353"/>
      <c r="F205" s="353"/>
      <c r="G205" s="329"/>
      <c r="H205" s="329"/>
      <c r="I205" s="329"/>
      <c r="J205" s="329"/>
      <c r="K205" s="329"/>
      <c r="L205" s="329"/>
      <c r="M205" s="329"/>
      <c r="N205" s="329"/>
      <c r="O205" s="329"/>
      <c r="P205" s="329"/>
      <c r="Q205" s="329"/>
      <c r="R205" s="354">
        <v>15250</v>
      </c>
      <c r="S205" s="285"/>
      <c r="T205" s="285"/>
      <c r="U205" s="317"/>
      <c r="V205" s="5"/>
    </row>
    <row r="206" spans="1:22" ht="15.6" x14ac:dyDescent="0.3">
      <c r="A206" s="352"/>
      <c r="B206" s="285" t="s">
        <v>76</v>
      </c>
      <c r="C206" s="353"/>
      <c r="D206" s="353"/>
      <c r="E206" s="353"/>
      <c r="F206" s="353"/>
      <c r="G206" s="329"/>
      <c r="H206" s="329"/>
      <c r="I206" s="329"/>
      <c r="J206" s="329"/>
      <c r="K206" s="329"/>
      <c r="L206" s="329"/>
      <c r="M206" s="329"/>
      <c r="N206" s="329"/>
      <c r="O206" s="329"/>
      <c r="P206" s="329"/>
      <c r="Q206" s="329"/>
      <c r="R206" s="326">
        <v>21.18</v>
      </c>
      <c r="S206" s="285" t="s">
        <v>116</v>
      </c>
      <c r="T206" s="285"/>
      <c r="U206" s="317"/>
      <c r="V206" s="5"/>
    </row>
    <row r="207" spans="1:22" ht="15.6" x14ac:dyDescent="0.3">
      <c r="A207" s="352"/>
      <c r="B207" s="285" t="s">
        <v>77</v>
      </c>
      <c r="C207" s="353"/>
      <c r="D207" s="353"/>
      <c r="E207" s="353"/>
      <c r="F207" s="353"/>
      <c r="G207" s="329"/>
      <c r="H207" s="329"/>
      <c r="I207" s="329"/>
      <c r="J207" s="329"/>
      <c r="K207" s="329"/>
      <c r="L207" s="329"/>
      <c r="M207" s="329"/>
      <c r="N207" s="329"/>
      <c r="O207" s="329"/>
      <c r="P207" s="329"/>
      <c r="Q207" s="329"/>
      <c r="R207" s="326">
        <v>11.9</v>
      </c>
      <c r="S207" s="285" t="s">
        <v>116</v>
      </c>
      <c r="T207" s="285"/>
      <c r="U207" s="317"/>
      <c r="V207" s="5"/>
    </row>
    <row r="208" spans="1:22" ht="15.6" x14ac:dyDescent="0.3">
      <c r="A208" s="352"/>
      <c r="B208" s="285" t="s">
        <v>78</v>
      </c>
      <c r="C208" s="353"/>
      <c r="D208" s="353"/>
      <c r="E208" s="353"/>
      <c r="F208" s="353"/>
      <c r="G208" s="329"/>
      <c r="H208" s="329"/>
      <c r="I208" s="329"/>
      <c r="J208" s="329"/>
      <c r="K208" s="329"/>
      <c r="L208" s="329"/>
      <c r="M208" s="329"/>
      <c r="N208" s="329"/>
      <c r="O208" s="329"/>
      <c r="P208" s="329"/>
      <c r="Q208" s="329"/>
      <c r="R208" s="320">
        <f>N68/L68</f>
        <v>2.1409701328245396E-2</v>
      </c>
      <c r="S208" s="285"/>
      <c r="T208" s="285"/>
      <c r="U208" s="317"/>
      <c r="V208" s="5"/>
    </row>
    <row r="209" spans="1:22" ht="15.6" x14ac:dyDescent="0.3">
      <c r="A209" s="352"/>
      <c r="B209" s="285" t="s">
        <v>79</v>
      </c>
      <c r="C209" s="353"/>
      <c r="D209" s="353"/>
      <c r="E209" s="353"/>
      <c r="F209" s="353"/>
      <c r="G209" s="329"/>
      <c r="H209" s="329"/>
      <c r="I209" s="329"/>
      <c r="J209" s="329"/>
      <c r="K209" s="329"/>
      <c r="L209" s="329"/>
      <c r="M209" s="329"/>
      <c r="N209" s="329"/>
      <c r="O209" s="329"/>
      <c r="P209" s="329"/>
      <c r="Q209" s="329"/>
      <c r="R209" s="320">
        <v>7.7299999999999994E-2</v>
      </c>
      <c r="S209" s="285"/>
      <c r="T209" s="285"/>
      <c r="U209" s="317"/>
      <c r="V209" s="5"/>
    </row>
    <row r="210" spans="1:22" ht="15.6" x14ac:dyDescent="0.3">
      <c r="A210" s="209"/>
      <c r="B210" s="350"/>
      <c r="C210" s="350"/>
      <c r="D210" s="350"/>
      <c r="E210" s="350"/>
      <c r="F210" s="350"/>
      <c r="G210" s="334"/>
      <c r="H210" s="334"/>
      <c r="I210" s="334"/>
      <c r="J210" s="334"/>
      <c r="K210" s="334"/>
      <c r="L210" s="334"/>
      <c r="M210" s="334"/>
      <c r="N210" s="334"/>
      <c r="O210" s="334"/>
      <c r="P210" s="334"/>
      <c r="Q210" s="334"/>
      <c r="R210" s="347"/>
      <c r="S210" s="334"/>
      <c r="T210" s="351"/>
      <c r="U210" s="334"/>
      <c r="V210" s="5"/>
    </row>
    <row r="211" spans="1:22" ht="15.6" x14ac:dyDescent="0.3">
      <c r="A211" s="266"/>
      <c r="B211" s="395" t="s">
        <v>80</v>
      </c>
      <c r="C211" s="396"/>
      <c r="D211" s="396"/>
      <c r="E211" s="396"/>
      <c r="F211" s="402"/>
      <c r="G211" s="396"/>
      <c r="H211" s="396"/>
      <c r="I211" s="396"/>
      <c r="J211" s="396"/>
      <c r="K211" s="396"/>
      <c r="L211" s="396"/>
      <c r="M211" s="396"/>
      <c r="N211" s="396"/>
      <c r="O211" s="396"/>
      <c r="P211" s="396"/>
      <c r="Q211" s="396" t="s">
        <v>105</v>
      </c>
      <c r="R211" s="402" t="s">
        <v>112</v>
      </c>
      <c r="S211" s="223"/>
      <c r="T211" s="223"/>
      <c r="U211" s="223"/>
      <c r="V211" s="5"/>
    </row>
    <row r="212" spans="1:22" ht="15.6" x14ac:dyDescent="0.3">
      <c r="A212" s="214"/>
      <c r="B212" s="239" t="s">
        <v>81</v>
      </c>
      <c r="C212" s="243"/>
      <c r="D212" s="243"/>
      <c r="E212" s="243"/>
      <c r="F212" s="239"/>
      <c r="G212" s="239"/>
      <c r="H212" s="242"/>
      <c r="I212" s="242"/>
      <c r="J212" s="242"/>
      <c r="K212" s="242"/>
      <c r="L212" s="242"/>
      <c r="M212" s="242"/>
      <c r="N212" s="242"/>
      <c r="O212" s="242"/>
      <c r="P212" s="242"/>
      <c r="Q212" s="242">
        <v>0</v>
      </c>
      <c r="R212" s="272">
        <v>0</v>
      </c>
      <c r="S212" s="239"/>
      <c r="T212" s="273"/>
      <c r="U212" s="215"/>
      <c r="V212" s="5"/>
    </row>
    <row r="213" spans="1:22" ht="15.6" x14ac:dyDescent="0.3">
      <c r="A213" s="360"/>
      <c r="B213" s="285" t="s">
        <v>151</v>
      </c>
      <c r="C213" s="338"/>
      <c r="D213" s="338"/>
      <c r="E213" s="338"/>
      <c r="F213" s="285"/>
      <c r="G213" s="285"/>
      <c r="H213" s="293"/>
      <c r="I213" s="293"/>
      <c r="J213" s="293"/>
      <c r="K213" s="293"/>
      <c r="L213" s="293"/>
      <c r="M213" s="293"/>
      <c r="N213" s="293"/>
      <c r="O213" s="293"/>
      <c r="P213" s="293"/>
      <c r="Q213" s="361">
        <f>+P265</f>
        <v>67</v>
      </c>
      <c r="R213" s="362">
        <f>+R265</f>
        <v>9854</v>
      </c>
      <c r="S213" s="285"/>
      <c r="T213" s="363"/>
      <c r="U213" s="364"/>
      <c r="V213" s="5"/>
    </row>
    <row r="214" spans="1:22" ht="15.6" x14ac:dyDescent="0.3">
      <c r="A214" s="360"/>
      <c r="B214" s="285" t="s">
        <v>82</v>
      </c>
      <c r="C214" s="338"/>
      <c r="D214" s="338"/>
      <c r="E214" s="338"/>
      <c r="F214" s="285"/>
      <c r="G214" s="285"/>
      <c r="H214" s="293"/>
      <c r="I214" s="293"/>
      <c r="J214" s="293"/>
      <c r="K214" s="293"/>
      <c r="L214" s="293"/>
      <c r="M214" s="293"/>
      <c r="N214" s="293"/>
      <c r="O214" s="293"/>
      <c r="P214" s="293"/>
      <c r="Q214" s="361">
        <f>+P277</f>
        <v>0</v>
      </c>
      <c r="R214" s="362">
        <f>+R277</f>
        <v>0</v>
      </c>
      <c r="S214" s="285"/>
      <c r="T214" s="363"/>
      <c r="U214" s="364"/>
      <c r="V214" s="5"/>
    </row>
    <row r="215" spans="1:22" ht="15.6" x14ac:dyDescent="0.3">
      <c r="A215" s="360"/>
      <c r="B215" s="310" t="s">
        <v>83</v>
      </c>
      <c r="C215" s="365"/>
      <c r="D215" s="365"/>
      <c r="E215" s="365"/>
      <c r="F215" s="311"/>
      <c r="G215" s="311"/>
      <c r="H215" s="311"/>
      <c r="I215" s="311"/>
      <c r="J215" s="311"/>
      <c r="K215" s="311"/>
      <c r="L215" s="311"/>
      <c r="M215" s="311"/>
      <c r="N215" s="311"/>
      <c r="O215" s="311"/>
      <c r="P215" s="311"/>
      <c r="Q215" s="285"/>
      <c r="R215" s="362">
        <v>0</v>
      </c>
      <c r="S215" s="311"/>
      <c r="T215" s="366"/>
      <c r="U215" s="364"/>
      <c r="V215" s="5"/>
    </row>
    <row r="216" spans="1:22" ht="15.6" x14ac:dyDescent="0.3">
      <c r="A216" s="360"/>
      <c r="B216" s="310" t="s">
        <v>84</v>
      </c>
      <c r="C216" s="365"/>
      <c r="D216" s="365"/>
      <c r="E216" s="365"/>
      <c r="F216" s="311"/>
      <c r="G216" s="311"/>
      <c r="H216" s="311"/>
      <c r="I216" s="311"/>
      <c r="J216" s="311"/>
      <c r="K216" s="311"/>
      <c r="L216" s="311"/>
      <c r="M216" s="311"/>
      <c r="N216" s="311"/>
      <c r="O216" s="311"/>
      <c r="P216" s="311"/>
      <c r="Q216" s="285"/>
      <c r="R216" s="367" t="s">
        <v>113</v>
      </c>
      <c r="S216" s="311"/>
      <c r="T216" s="366"/>
      <c r="U216" s="364"/>
      <c r="V216" s="5"/>
    </row>
    <row r="217" spans="1:22" ht="15.6" x14ac:dyDescent="0.3">
      <c r="A217" s="368"/>
      <c r="B217" s="310" t="s">
        <v>85</v>
      </c>
      <c r="C217" s="369"/>
      <c r="D217" s="369"/>
      <c r="E217" s="369"/>
      <c r="F217" s="369"/>
      <c r="G217" s="311"/>
      <c r="H217" s="311"/>
      <c r="I217" s="311"/>
      <c r="J217" s="311"/>
      <c r="K217" s="311"/>
      <c r="L217" s="311"/>
      <c r="M217" s="311"/>
      <c r="N217" s="311"/>
      <c r="O217" s="311"/>
      <c r="P217" s="311"/>
      <c r="Q217" s="285"/>
      <c r="R217" s="362"/>
      <c r="S217" s="311"/>
      <c r="T217" s="366"/>
      <c r="U217" s="370"/>
      <c r="V217" s="5"/>
    </row>
    <row r="218" spans="1:22" ht="15.6" x14ac:dyDescent="0.3">
      <c r="A218" s="368"/>
      <c r="B218" s="285" t="s">
        <v>86</v>
      </c>
      <c r="C218" s="285"/>
      <c r="D218" s="285"/>
      <c r="E218" s="285"/>
      <c r="F218" s="285"/>
      <c r="G218" s="285"/>
      <c r="H218" s="285"/>
      <c r="I218" s="285"/>
      <c r="J218" s="285"/>
      <c r="K218" s="285"/>
      <c r="L218" s="285"/>
      <c r="M218" s="285"/>
      <c r="N218" s="285"/>
      <c r="O218" s="285"/>
      <c r="P218" s="285"/>
      <c r="Q218" s="293"/>
      <c r="R218" s="362">
        <f>T162</f>
        <v>97</v>
      </c>
      <c r="S218" s="285"/>
      <c r="T218" s="363"/>
      <c r="U218" s="370"/>
      <c r="V218" s="5"/>
    </row>
    <row r="219" spans="1:22" ht="15.6" x14ac:dyDescent="0.3">
      <c r="A219" s="360"/>
      <c r="B219" s="285" t="s">
        <v>87</v>
      </c>
      <c r="C219" s="338"/>
      <c r="D219" s="338"/>
      <c r="E219" s="338"/>
      <c r="F219" s="338"/>
      <c r="G219" s="285"/>
      <c r="H219" s="285"/>
      <c r="I219" s="285"/>
      <c r="J219" s="285"/>
      <c r="K219" s="285"/>
      <c r="L219" s="285"/>
      <c r="M219" s="285"/>
      <c r="N219" s="285"/>
      <c r="O219" s="285"/>
      <c r="P219" s="285"/>
      <c r="Q219" s="293"/>
      <c r="R219" s="362">
        <f>'Sept 15'!R219+R218</f>
        <v>5597</v>
      </c>
      <c r="S219" s="285"/>
      <c r="T219" s="363"/>
      <c r="U219" s="370"/>
      <c r="V219" s="5"/>
    </row>
    <row r="220" spans="1:22" ht="15.6" x14ac:dyDescent="0.3">
      <c r="A220" s="368"/>
      <c r="B220" s="310" t="s">
        <v>282</v>
      </c>
      <c r="C220" s="369"/>
      <c r="D220" s="369"/>
      <c r="E220" s="369"/>
      <c r="F220" s="369"/>
      <c r="G220" s="311"/>
      <c r="H220" s="311"/>
      <c r="I220" s="311"/>
      <c r="J220" s="311"/>
      <c r="K220" s="311"/>
      <c r="L220" s="311"/>
      <c r="M220" s="311"/>
      <c r="N220" s="311"/>
      <c r="O220" s="311"/>
      <c r="P220" s="311"/>
      <c r="Q220" s="293"/>
      <c r="R220" s="362"/>
      <c r="S220" s="311"/>
      <c r="T220" s="366"/>
      <c r="U220" s="370"/>
      <c r="V220" s="5"/>
    </row>
    <row r="221" spans="1:22" ht="15.6" x14ac:dyDescent="0.3">
      <c r="A221" s="368"/>
      <c r="B221" s="285" t="s">
        <v>280</v>
      </c>
      <c r="C221" s="369"/>
      <c r="D221" s="369"/>
      <c r="E221" s="369"/>
      <c r="F221" s="369"/>
      <c r="G221" s="311"/>
      <c r="H221" s="311"/>
      <c r="I221" s="311"/>
      <c r="J221" s="311"/>
      <c r="K221" s="311"/>
      <c r="L221" s="311"/>
      <c r="M221" s="311"/>
      <c r="N221" s="311"/>
      <c r="O221" s="311"/>
      <c r="P221" s="311"/>
      <c r="Q221" s="293">
        <v>0</v>
      </c>
      <c r="R221" s="362">
        <v>0</v>
      </c>
      <c r="S221" s="311"/>
      <c r="T221" s="366"/>
      <c r="U221" s="370"/>
      <c r="V221" s="5"/>
    </row>
    <row r="222" spans="1:22" ht="15.6" x14ac:dyDescent="0.3">
      <c r="A222" s="360"/>
      <c r="B222" s="285" t="s">
        <v>89</v>
      </c>
      <c r="C222" s="373"/>
      <c r="D222" s="373"/>
      <c r="E222" s="373"/>
      <c r="F222" s="374"/>
      <c r="G222" s="311"/>
      <c r="H222" s="311"/>
      <c r="I222" s="311"/>
      <c r="J222" s="311"/>
      <c r="K222" s="311"/>
      <c r="L222" s="311"/>
      <c r="M222" s="311"/>
      <c r="N222" s="311"/>
      <c r="O222" s="311"/>
      <c r="P222" s="311"/>
      <c r="Q222" s="285"/>
      <c r="R222" s="367">
        <v>0</v>
      </c>
      <c r="S222" s="311"/>
      <c r="T222" s="366"/>
      <c r="U222" s="370"/>
      <c r="V222" s="5"/>
    </row>
    <row r="223" spans="1:22" ht="15.6" x14ac:dyDescent="0.3">
      <c r="A223" s="360"/>
      <c r="B223" s="285" t="s">
        <v>90</v>
      </c>
      <c r="C223" s="373"/>
      <c r="D223" s="373"/>
      <c r="E223" s="373"/>
      <c r="F223" s="374"/>
      <c r="G223" s="311"/>
      <c r="H223" s="311"/>
      <c r="I223" s="311"/>
      <c r="J223" s="311"/>
      <c r="K223" s="311"/>
      <c r="L223" s="311"/>
      <c r="M223" s="311"/>
      <c r="N223" s="311"/>
      <c r="O223" s="311"/>
      <c r="P223" s="311"/>
      <c r="Q223" s="285"/>
      <c r="R223" s="367">
        <v>0</v>
      </c>
      <c r="S223" s="311"/>
      <c r="T223" s="366"/>
      <c r="U223" s="370"/>
      <c r="V223" s="5"/>
    </row>
    <row r="224" spans="1:22" ht="15.6" x14ac:dyDescent="0.3">
      <c r="A224" s="360"/>
      <c r="B224" s="310" t="s">
        <v>226</v>
      </c>
      <c r="C224" s="373"/>
      <c r="D224" s="373"/>
      <c r="E224" s="373"/>
      <c r="F224" s="374"/>
      <c r="G224" s="311"/>
      <c r="H224" s="311"/>
      <c r="I224" s="311"/>
      <c r="J224" s="311"/>
      <c r="K224" s="311"/>
      <c r="L224" s="311"/>
      <c r="M224" s="311"/>
      <c r="N224" s="311"/>
      <c r="O224" s="311"/>
      <c r="P224" s="311"/>
      <c r="Q224" s="293"/>
      <c r="R224" s="375"/>
      <c r="S224" s="311"/>
      <c r="T224" s="366"/>
      <c r="U224" s="370"/>
      <c r="V224" s="5"/>
    </row>
    <row r="225" spans="1:23" ht="15.6" x14ac:dyDescent="0.3">
      <c r="A225" s="360"/>
      <c r="B225" s="285" t="s">
        <v>280</v>
      </c>
      <c r="C225" s="373"/>
      <c r="D225" s="373"/>
      <c r="E225" s="373"/>
      <c r="F225" s="374"/>
      <c r="G225" s="311"/>
      <c r="H225" s="311"/>
      <c r="I225" s="311"/>
      <c r="J225" s="311"/>
      <c r="K225" s="311"/>
      <c r="L225" s="311"/>
      <c r="M225" s="311"/>
      <c r="N225" s="311"/>
      <c r="O225" s="311"/>
      <c r="P225" s="311"/>
      <c r="Q225" s="293">
        <v>3</v>
      </c>
      <c r="R225" s="362">
        <v>325</v>
      </c>
      <c r="S225" s="311"/>
      <c r="T225" s="366"/>
      <c r="U225" s="370"/>
      <c r="V225" s="5"/>
    </row>
    <row r="226" spans="1:23" ht="15.6" x14ac:dyDescent="0.3">
      <c r="A226" s="360"/>
      <c r="B226" s="285" t="s">
        <v>227</v>
      </c>
      <c r="C226" s="373"/>
      <c r="D226" s="373"/>
      <c r="E226" s="373"/>
      <c r="F226" s="374"/>
      <c r="G226" s="311"/>
      <c r="H226" s="311"/>
      <c r="I226" s="311"/>
      <c r="J226" s="311"/>
      <c r="K226" s="311"/>
      <c r="L226" s="311"/>
      <c r="M226" s="311"/>
      <c r="N226" s="311"/>
      <c r="O226" s="311"/>
      <c r="P226" s="311"/>
      <c r="Q226" s="293"/>
      <c r="R226" s="367">
        <v>2</v>
      </c>
      <c r="S226" s="311"/>
      <c r="T226" s="366"/>
      <c r="U226" s="370"/>
      <c r="V226" s="5"/>
    </row>
    <row r="227" spans="1:23" ht="15.6" x14ac:dyDescent="0.3">
      <c r="A227" s="360"/>
      <c r="B227" s="369"/>
      <c r="C227" s="373"/>
      <c r="D227" s="373"/>
      <c r="E227" s="373"/>
      <c r="F227" s="374"/>
      <c r="G227" s="311"/>
      <c r="H227" s="311"/>
      <c r="I227" s="311"/>
      <c r="J227" s="311"/>
      <c r="K227" s="311"/>
      <c r="L227" s="311"/>
      <c r="M227" s="311"/>
      <c r="N227" s="311"/>
      <c r="O227" s="311"/>
      <c r="P227" s="311"/>
      <c r="Q227" s="311"/>
      <c r="R227" s="376"/>
      <c r="S227" s="311"/>
      <c r="T227" s="366"/>
      <c r="U227" s="370"/>
      <c r="V227" s="5"/>
    </row>
    <row r="228" spans="1:23" ht="15.6" x14ac:dyDescent="0.3">
      <c r="A228" s="360"/>
      <c r="B228" s="369"/>
      <c r="C228" s="373"/>
      <c r="D228" s="373"/>
      <c r="E228" s="373"/>
      <c r="F228" s="374"/>
      <c r="G228" s="311"/>
      <c r="H228" s="311"/>
      <c r="I228" s="311"/>
      <c r="J228" s="311"/>
      <c r="K228" s="311"/>
      <c r="L228" s="311"/>
      <c r="M228" s="311"/>
      <c r="N228" s="311"/>
      <c r="O228" s="311"/>
      <c r="P228" s="311"/>
      <c r="Q228" s="311"/>
      <c r="R228" s="376"/>
      <c r="S228" s="311"/>
      <c r="T228" s="366"/>
      <c r="U228" s="370"/>
      <c r="V228" s="5"/>
    </row>
    <row r="229" spans="1:23" ht="17.399999999999999" x14ac:dyDescent="0.3">
      <c r="A229" s="360"/>
      <c r="B229" s="377" t="s">
        <v>175</v>
      </c>
      <c r="C229" s="373"/>
      <c r="D229" s="373"/>
      <c r="E229" s="373"/>
      <c r="F229" s="374"/>
      <c r="G229" s="311"/>
      <c r="H229" s="311"/>
      <c r="I229" s="311"/>
      <c r="J229" s="311"/>
      <c r="K229" s="311"/>
      <c r="L229" s="311"/>
      <c r="M229" s="311"/>
      <c r="N229" s="378" t="s">
        <v>174</v>
      </c>
      <c r="O229" s="311"/>
      <c r="P229" s="311"/>
      <c r="Q229" s="311"/>
      <c r="R229" s="376"/>
      <c r="S229" s="311"/>
      <c r="T229" s="366"/>
      <c r="U229" s="370"/>
      <c r="V229" s="5"/>
    </row>
    <row r="230" spans="1:23" ht="15.6" x14ac:dyDescent="0.3">
      <c r="A230" s="355"/>
      <c r="B230" s="350"/>
      <c r="C230" s="356"/>
      <c r="D230" s="356"/>
      <c r="E230" s="356"/>
      <c r="F230" s="357"/>
      <c r="G230" s="334"/>
      <c r="H230" s="334"/>
      <c r="I230" s="334"/>
      <c r="J230" s="334"/>
      <c r="K230" s="334"/>
      <c r="L230" s="334"/>
      <c r="M230" s="334"/>
      <c r="N230" s="334"/>
      <c r="O230" s="334"/>
      <c r="P230" s="334"/>
      <c r="Q230" s="334"/>
      <c r="R230" s="358"/>
      <c r="S230" s="334"/>
      <c r="T230" s="351"/>
      <c r="U230" s="359"/>
      <c r="V230" s="5"/>
    </row>
    <row r="231" spans="1:23" ht="15.6" x14ac:dyDescent="0.3">
      <c r="A231" s="222"/>
      <c r="B231" s="395" t="s">
        <v>295</v>
      </c>
      <c r="C231" s="396"/>
      <c r="D231" s="396"/>
      <c r="E231" s="396"/>
      <c r="F231" s="402"/>
      <c r="G231" s="396"/>
      <c r="H231" s="396"/>
      <c r="I231" s="396"/>
      <c r="J231" s="396"/>
      <c r="K231" s="396"/>
      <c r="L231" s="396"/>
      <c r="M231" s="396"/>
      <c r="N231" s="396"/>
      <c r="O231" s="396"/>
      <c r="P231" s="402" t="s">
        <v>105</v>
      </c>
      <c r="Q231" s="396" t="s">
        <v>106</v>
      </c>
      <c r="R231" s="402" t="s">
        <v>114</v>
      </c>
      <c r="S231" s="396" t="s">
        <v>106</v>
      </c>
      <c r="T231" s="223"/>
      <c r="U231" s="395"/>
      <c r="V231" s="5"/>
    </row>
    <row r="232" spans="1:23" ht="15.6" x14ac:dyDescent="0.3">
      <c r="A232" s="190"/>
      <c r="B232" s="243" t="s">
        <v>91</v>
      </c>
      <c r="C232" s="217"/>
      <c r="D232" s="217"/>
      <c r="E232" s="217"/>
      <c r="F232" s="191"/>
      <c r="G232" s="217"/>
      <c r="H232" s="217"/>
      <c r="I232" s="217"/>
      <c r="J232" s="217"/>
      <c r="K232" s="217"/>
      <c r="L232" s="217"/>
      <c r="M232" s="217"/>
      <c r="N232" s="217"/>
      <c r="O232" s="217"/>
      <c r="P232" s="338">
        <f t="shared" ref="P232:P239" si="1">+P244+P256+P268</f>
        <v>3697</v>
      </c>
      <c r="Q232" s="384">
        <f t="shared" ref="Q232:Q239" si="2">P232/$P$241</f>
        <v>0.99435180204410978</v>
      </c>
      <c r="R232" s="339">
        <f t="shared" ref="R232:R239" si="3">+R244+R256+R268</f>
        <v>477596</v>
      </c>
      <c r="S232" s="384">
        <f t="shared" ref="S232:S239" si="4">R232/$R$241</f>
        <v>0.99458761544789098</v>
      </c>
      <c r="T232" s="213"/>
      <c r="U232" s="216"/>
      <c r="V232" s="5"/>
    </row>
    <row r="233" spans="1:23" ht="15.6" x14ac:dyDescent="0.3">
      <c r="A233" s="284"/>
      <c r="B233" s="338" t="s">
        <v>92</v>
      </c>
      <c r="C233" s="382"/>
      <c r="D233" s="382"/>
      <c r="E233" s="382"/>
      <c r="F233" s="311"/>
      <c r="G233" s="383"/>
      <c r="H233" s="382"/>
      <c r="I233" s="382"/>
      <c r="J233" s="382"/>
      <c r="K233" s="382"/>
      <c r="L233" s="382"/>
      <c r="M233" s="382"/>
      <c r="N233" s="382"/>
      <c r="O233" s="382"/>
      <c r="P233" s="338">
        <f t="shared" si="1"/>
        <v>11</v>
      </c>
      <c r="Q233" s="384">
        <f t="shared" si="2"/>
        <v>2.9585798816568047E-3</v>
      </c>
      <c r="R233" s="339">
        <f t="shared" si="3"/>
        <v>1379</v>
      </c>
      <c r="S233" s="384">
        <f t="shared" si="4"/>
        <v>2.8717500182217641E-3</v>
      </c>
      <c r="T233" s="366"/>
      <c r="U233" s="370"/>
      <c r="V233" s="5"/>
      <c r="W233" s="109"/>
    </row>
    <row r="234" spans="1:23" ht="15.6" x14ac:dyDescent="0.3">
      <c r="A234" s="284"/>
      <c r="B234" s="338" t="s">
        <v>93</v>
      </c>
      <c r="C234" s="382"/>
      <c r="D234" s="382"/>
      <c r="E234" s="382"/>
      <c r="F234" s="311"/>
      <c r="G234" s="383"/>
      <c r="H234" s="382"/>
      <c r="I234" s="382"/>
      <c r="J234" s="382"/>
      <c r="K234" s="382"/>
      <c r="L234" s="382"/>
      <c r="M234" s="382"/>
      <c r="N234" s="382"/>
      <c r="O234" s="382"/>
      <c r="P234" s="338">
        <f t="shared" si="1"/>
        <v>1</v>
      </c>
      <c r="Q234" s="384">
        <f t="shared" si="2"/>
        <v>2.6896180742334586E-4</v>
      </c>
      <c r="R234" s="339">
        <f t="shared" si="3"/>
        <v>299</v>
      </c>
      <c r="S234" s="384">
        <f t="shared" si="4"/>
        <v>6.2266370953466819E-4</v>
      </c>
      <c r="T234" s="366"/>
      <c r="U234" s="370"/>
      <c r="V234" s="5"/>
    </row>
    <row r="235" spans="1:23" ht="15.6" x14ac:dyDescent="0.3">
      <c r="A235" s="284"/>
      <c r="B235" s="338" t="s">
        <v>163</v>
      </c>
      <c r="C235" s="382"/>
      <c r="D235" s="382"/>
      <c r="E235" s="382"/>
      <c r="F235" s="311"/>
      <c r="G235" s="383"/>
      <c r="H235" s="382"/>
      <c r="I235" s="382"/>
      <c r="J235" s="382"/>
      <c r="K235" s="382"/>
      <c r="L235" s="382"/>
      <c r="M235" s="382"/>
      <c r="N235" s="382"/>
      <c r="O235" s="382"/>
      <c r="P235" s="338">
        <f t="shared" si="1"/>
        <v>0</v>
      </c>
      <c r="Q235" s="384">
        <f t="shared" si="2"/>
        <v>0</v>
      </c>
      <c r="R235" s="339">
        <f t="shared" si="3"/>
        <v>0</v>
      </c>
      <c r="S235" s="384">
        <f t="shared" si="4"/>
        <v>0</v>
      </c>
      <c r="T235" s="366"/>
      <c r="U235" s="370"/>
      <c r="V235" s="5"/>
      <c r="W235" s="109"/>
    </row>
    <row r="236" spans="1:23" ht="15.6" x14ac:dyDescent="0.3">
      <c r="A236" s="284"/>
      <c r="B236" s="338" t="s">
        <v>164</v>
      </c>
      <c r="C236" s="382"/>
      <c r="D236" s="382"/>
      <c r="E236" s="382"/>
      <c r="F236" s="311"/>
      <c r="G236" s="383"/>
      <c r="H236" s="382"/>
      <c r="I236" s="382"/>
      <c r="J236" s="382"/>
      <c r="K236" s="382"/>
      <c r="L236" s="382"/>
      <c r="M236" s="382"/>
      <c r="N236" s="382"/>
      <c r="O236" s="382"/>
      <c r="P236" s="338">
        <f t="shared" si="1"/>
        <v>2</v>
      </c>
      <c r="Q236" s="384">
        <f t="shared" si="2"/>
        <v>5.3792361484669173E-4</v>
      </c>
      <c r="R236" s="339">
        <f t="shared" si="3"/>
        <v>174</v>
      </c>
      <c r="S236" s="384">
        <f t="shared" si="4"/>
        <v>3.6235279417736545E-4</v>
      </c>
      <c r="T236" s="366"/>
      <c r="U236" s="370"/>
      <c r="V236" s="5"/>
    </row>
    <row r="237" spans="1:23" ht="15.6" x14ac:dyDescent="0.3">
      <c r="A237" s="284"/>
      <c r="B237" s="338" t="s">
        <v>165</v>
      </c>
      <c r="C237" s="382"/>
      <c r="D237" s="382"/>
      <c r="E237" s="382"/>
      <c r="F237" s="311"/>
      <c r="G237" s="383"/>
      <c r="H237" s="382"/>
      <c r="I237" s="382"/>
      <c r="J237" s="382"/>
      <c r="K237" s="382"/>
      <c r="L237" s="382"/>
      <c r="M237" s="382"/>
      <c r="N237" s="382"/>
      <c r="O237" s="382"/>
      <c r="P237" s="338">
        <f t="shared" si="1"/>
        <v>2</v>
      </c>
      <c r="Q237" s="384">
        <f t="shared" si="2"/>
        <v>5.3792361484669173E-4</v>
      </c>
      <c r="R237" s="339">
        <f t="shared" si="3"/>
        <v>121</v>
      </c>
      <c r="S237" s="384">
        <f t="shared" si="4"/>
        <v>2.5198096606586908E-4</v>
      </c>
      <c r="T237" s="366"/>
      <c r="U237" s="370"/>
      <c r="V237" s="5"/>
      <c r="W237" s="109"/>
    </row>
    <row r="238" spans="1:23" ht="15.6" x14ac:dyDescent="0.3">
      <c r="A238" s="284"/>
      <c r="B238" s="338" t="s">
        <v>166</v>
      </c>
      <c r="C238" s="382"/>
      <c r="D238" s="382"/>
      <c r="E238" s="382"/>
      <c r="F238" s="311"/>
      <c r="G238" s="383"/>
      <c r="H238" s="382"/>
      <c r="I238" s="382"/>
      <c r="J238" s="382"/>
      <c r="K238" s="382"/>
      <c r="L238" s="382"/>
      <c r="M238" s="382"/>
      <c r="N238" s="382"/>
      <c r="O238" s="382"/>
      <c r="P238" s="338">
        <f t="shared" si="1"/>
        <v>2</v>
      </c>
      <c r="Q238" s="384">
        <f t="shared" si="2"/>
        <v>5.3792361484669173E-4</v>
      </c>
      <c r="R238" s="339">
        <f t="shared" si="3"/>
        <v>98</v>
      </c>
      <c r="S238" s="384">
        <f t="shared" si="4"/>
        <v>2.0408375764012536E-4</v>
      </c>
      <c r="T238" s="366"/>
      <c r="U238" s="370"/>
      <c r="V238" s="5"/>
    </row>
    <row r="239" spans="1:23" ht="15.6" x14ac:dyDescent="0.3">
      <c r="A239" s="284"/>
      <c r="B239" s="338" t="s">
        <v>167</v>
      </c>
      <c r="C239" s="382"/>
      <c r="D239" s="382"/>
      <c r="E239" s="382"/>
      <c r="F239" s="311"/>
      <c r="G239" s="383"/>
      <c r="H239" s="382"/>
      <c r="I239" s="382"/>
      <c r="J239" s="382"/>
      <c r="K239" s="382"/>
      <c r="L239" s="382"/>
      <c r="M239" s="382"/>
      <c r="N239" s="382"/>
      <c r="O239" s="382"/>
      <c r="P239" s="338">
        <f t="shared" si="1"/>
        <v>3</v>
      </c>
      <c r="Q239" s="384">
        <f t="shared" si="2"/>
        <v>8.0688542227003765E-4</v>
      </c>
      <c r="R239" s="339">
        <f t="shared" si="3"/>
        <v>528</v>
      </c>
      <c r="S239" s="384">
        <f t="shared" si="4"/>
        <v>1.099553306469247E-3</v>
      </c>
      <c r="T239" s="366"/>
      <c r="U239" s="370"/>
      <c r="V239" s="5"/>
      <c r="W239" s="109"/>
    </row>
    <row r="240" spans="1:23" ht="15.6" x14ac:dyDescent="0.3">
      <c r="A240" s="284"/>
      <c r="B240" s="338"/>
      <c r="C240" s="382"/>
      <c r="D240" s="382"/>
      <c r="E240" s="382"/>
      <c r="F240" s="311"/>
      <c r="G240" s="383"/>
      <c r="H240" s="382"/>
      <c r="I240" s="382"/>
      <c r="J240" s="382"/>
      <c r="K240" s="382"/>
      <c r="L240" s="382"/>
      <c r="M240" s="382"/>
      <c r="N240" s="382"/>
      <c r="O240" s="382"/>
      <c r="P240" s="338"/>
      <c r="Q240" s="384"/>
      <c r="R240" s="339"/>
      <c r="S240" s="384"/>
      <c r="T240" s="366"/>
      <c r="U240" s="370"/>
      <c r="V240" s="5"/>
    </row>
    <row r="241" spans="1:23" ht="15.6" x14ac:dyDescent="0.3">
      <c r="A241" s="284"/>
      <c r="B241" s="285" t="s">
        <v>120</v>
      </c>
      <c r="C241" s="311"/>
      <c r="D241" s="311"/>
      <c r="E241" s="311"/>
      <c r="F241" s="311"/>
      <c r="G241" s="311"/>
      <c r="H241" s="385"/>
      <c r="I241" s="385"/>
      <c r="J241" s="385"/>
      <c r="K241" s="385"/>
      <c r="L241" s="385"/>
      <c r="M241" s="385"/>
      <c r="N241" s="385"/>
      <c r="O241" s="385"/>
      <c r="P241" s="338">
        <f>SUM(P232:P240)</f>
        <v>3718</v>
      </c>
      <c r="Q241" s="384">
        <f>SUM(Q232:Q240)</f>
        <v>1.0000000000000002</v>
      </c>
      <c r="R241" s="339">
        <f>SUM(R232:R240)</f>
        <v>480195</v>
      </c>
      <c r="S241" s="384">
        <f>SUM(S232:S240)</f>
        <v>1</v>
      </c>
      <c r="T241" s="311"/>
      <c r="U241" s="317"/>
      <c r="V241" s="5"/>
    </row>
    <row r="242" spans="1:23" ht="15.6" x14ac:dyDescent="0.3">
      <c r="A242" s="355"/>
      <c r="B242" s="350"/>
      <c r="C242" s="356"/>
      <c r="D242" s="356"/>
      <c r="E242" s="356"/>
      <c r="F242" s="357"/>
      <c r="G242" s="334"/>
      <c r="H242" s="334"/>
      <c r="I242" s="334"/>
      <c r="J242" s="334"/>
      <c r="K242" s="334"/>
      <c r="L242" s="334"/>
      <c r="M242" s="334"/>
      <c r="N242" s="334"/>
      <c r="O242" s="334"/>
      <c r="P242" s="334"/>
      <c r="Q242" s="334"/>
      <c r="R242" s="358"/>
      <c r="S242" s="334"/>
      <c r="T242" s="351"/>
      <c r="U242" s="359"/>
      <c r="V242" s="5"/>
    </row>
    <row r="243" spans="1:23" ht="15.6" x14ac:dyDescent="0.3">
      <c r="A243" s="222"/>
      <c r="B243" s="395" t="s">
        <v>169</v>
      </c>
      <c r="C243" s="396"/>
      <c r="D243" s="396"/>
      <c r="E243" s="396"/>
      <c r="F243" s="402"/>
      <c r="G243" s="396"/>
      <c r="H243" s="396"/>
      <c r="I243" s="396"/>
      <c r="J243" s="396"/>
      <c r="K243" s="396"/>
      <c r="L243" s="396"/>
      <c r="M243" s="396"/>
      <c r="N243" s="396"/>
      <c r="O243" s="396"/>
      <c r="P243" s="402" t="s">
        <v>105</v>
      </c>
      <c r="Q243" s="396" t="s">
        <v>106</v>
      </c>
      <c r="R243" s="402" t="s">
        <v>114</v>
      </c>
      <c r="S243" s="396" t="s">
        <v>106</v>
      </c>
      <c r="T243" s="223"/>
      <c r="U243" s="395"/>
      <c r="V243" s="5"/>
    </row>
    <row r="244" spans="1:23" ht="15.6" x14ac:dyDescent="0.3">
      <c r="A244" s="190"/>
      <c r="B244" s="243" t="s">
        <v>91</v>
      </c>
      <c r="C244" s="217"/>
      <c r="D244" s="217"/>
      <c r="E244" s="217"/>
      <c r="F244" s="191"/>
      <c r="G244" s="217"/>
      <c r="H244" s="217"/>
      <c r="I244" s="217"/>
      <c r="J244" s="217"/>
      <c r="K244" s="217"/>
      <c r="L244" s="217"/>
      <c r="M244" s="217"/>
      <c r="N244" s="217"/>
      <c r="O244" s="217"/>
      <c r="P244" s="243">
        <v>3640</v>
      </c>
      <c r="Q244" s="274">
        <f t="shared" ref="Q244:Q251" si="5">P244/$P$253</f>
        <v>0.99698712681457136</v>
      </c>
      <c r="R244" s="251">
        <v>468961</v>
      </c>
      <c r="S244" s="274">
        <f t="shared" ref="S244:S251" si="6">R244/$R$253</f>
        <v>0.99706595852796165</v>
      </c>
      <c r="T244" s="213"/>
      <c r="U244" s="216"/>
      <c r="V244" s="5"/>
    </row>
    <row r="245" spans="1:23" ht="15.6" x14ac:dyDescent="0.3">
      <c r="A245" s="284"/>
      <c r="B245" s="338" t="s">
        <v>92</v>
      </c>
      <c r="C245" s="382"/>
      <c r="D245" s="382"/>
      <c r="E245" s="382"/>
      <c r="F245" s="311"/>
      <c r="G245" s="383"/>
      <c r="H245" s="382"/>
      <c r="I245" s="382"/>
      <c r="J245" s="382"/>
      <c r="K245" s="382"/>
      <c r="L245" s="382"/>
      <c r="M245" s="382"/>
      <c r="N245" s="382"/>
      <c r="O245" s="382"/>
      <c r="P245" s="338">
        <v>9</v>
      </c>
      <c r="Q245" s="384">
        <f t="shared" si="5"/>
        <v>2.4650780608052587E-3</v>
      </c>
      <c r="R245" s="339">
        <v>1064</v>
      </c>
      <c r="S245" s="384">
        <f t="shared" si="6"/>
        <v>2.2621884972817592E-3</v>
      </c>
      <c r="T245" s="366"/>
      <c r="U245" s="370"/>
      <c r="V245" s="5"/>
      <c r="W245" s="109"/>
    </row>
    <row r="246" spans="1:23" ht="15.6" x14ac:dyDescent="0.3">
      <c r="A246" s="284"/>
      <c r="B246" s="338" t="s">
        <v>93</v>
      </c>
      <c r="C246" s="382"/>
      <c r="D246" s="382"/>
      <c r="E246" s="382"/>
      <c r="F246" s="311"/>
      <c r="G246" s="383"/>
      <c r="H246" s="382"/>
      <c r="I246" s="382"/>
      <c r="J246" s="382"/>
      <c r="K246" s="382"/>
      <c r="L246" s="382"/>
      <c r="M246" s="382"/>
      <c r="N246" s="382"/>
      <c r="O246" s="382"/>
      <c r="P246" s="338">
        <v>1</v>
      </c>
      <c r="Q246" s="384">
        <f t="shared" si="5"/>
        <v>2.7389756231169541E-4</v>
      </c>
      <c r="R246" s="339">
        <v>299</v>
      </c>
      <c r="S246" s="384">
        <f t="shared" si="6"/>
        <v>6.3570898560831395E-4</v>
      </c>
      <c r="T246" s="366"/>
      <c r="U246" s="370"/>
      <c r="V246" s="5"/>
    </row>
    <row r="247" spans="1:23" ht="15.6" x14ac:dyDescent="0.3">
      <c r="A247" s="284"/>
      <c r="B247" s="338" t="s">
        <v>163</v>
      </c>
      <c r="C247" s="382"/>
      <c r="D247" s="382"/>
      <c r="E247" s="382"/>
      <c r="F247" s="311"/>
      <c r="G247" s="383"/>
      <c r="H247" s="382"/>
      <c r="I247" s="382"/>
      <c r="J247" s="382"/>
      <c r="K247" s="382"/>
      <c r="L247" s="382"/>
      <c r="M247" s="382"/>
      <c r="N247" s="382"/>
      <c r="O247" s="382"/>
      <c r="P247" s="338">
        <v>0</v>
      </c>
      <c r="Q247" s="384">
        <f t="shared" si="5"/>
        <v>0</v>
      </c>
      <c r="R247" s="339">
        <v>0</v>
      </c>
      <c r="S247" s="384">
        <f t="shared" si="6"/>
        <v>0</v>
      </c>
      <c r="T247" s="366"/>
      <c r="U247" s="370"/>
      <c r="V247" s="5"/>
      <c r="W247" s="109"/>
    </row>
    <row r="248" spans="1:23" ht="15.6" x14ac:dyDescent="0.3">
      <c r="A248" s="284"/>
      <c r="B248" s="338" t="s">
        <v>164</v>
      </c>
      <c r="C248" s="382"/>
      <c r="D248" s="382"/>
      <c r="E248" s="382"/>
      <c r="F248" s="311"/>
      <c r="G248" s="383"/>
      <c r="H248" s="382"/>
      <c r="I248" s="382"/>
      <c r="J248" s="382"/>
      <c r="K248" s="382"/>
      <c r="L248" s="382"/>
      <c r="M248" s="382"/>
      <c r="N248" s="382"/>
      <c r="O248" s="382"/>
      <c r="P248" s="338">
        <v>0</v>
      </c>
      <c r="Q248" s="384">
        <f t="shared" si="5"/>
        <v>0</v>
      </c>
      <c r="R248" s="339">
        <v>0</v>
      </c>
      <c r="S248" s="384">
        <f t="shared" si="6"/>
        <v>0</v>
      </c>
      <c r="T248" s="366"/>
      <c r="U248" s="370"/>
      <c r="V248" s="5"/>
    </row>
    <row r="249" spans="1:23" ht="15.6" x14ac:dyDescent="0.3">
      <c r="A249" s="284"/>
      <c r="B249" s="338" t="s">
        <v>165</v>
      </c>
      <c r="C249" s="382"/>
      <c r="D249" s="382"/>
      <c r="E249" s="382"/>
      <c r="F249" s="311"/>
      <c r="G249" s="383"/>
      <c r="H249" s="382"/>
      <c r="I249" s="382"/>
      <c r="J249" s="382"/>
      <c r="K249" s="382"/>
      <c r="L249" s="382"/>
      <c r="M249" s="382"/>
      <c r="N249" s="382"/>
      <c r="O249" s="382"/>
      <c r="P249" s="338">
        <v>0</v>
      </c>
      <c r="Q249" s="384">
        <f t="shared" si="5"/>
        <v>0</v>
      </c>
      <c r="R249" s="339">
        <v>0</v>
      </c>
      <c r="S249" s="384">
        <f t="shared" si="6"/>
        <v>0</v>
      </c>
      <c r="T249" s="366"/>
      <c r="U249" s="370"/>
      <c r="V249" s="5"/>
      <c r="W249" s="109"/>
    </row>
    <row r="250" spans="1:23" ht="15.6" x14ac:dyDescent="0.3">
      <c r="A250" s="284"/>
      <c r="B250" s="338" t="s">
        <v>166</v>
      </c>
      <c r="C250" s="382"/>
      <c r="D250" s="382"/>
      <c r="E250" s="382"/>
      <c r="F250" s="311"/>
      <c r="G250" s="383"/>
      <c r="H250" s="382"/>
      <c r="I250" s="382"/>
      <c r="J250" s="382"/>
      <c r="K250" s="382"/>
      <c r="L250" s="382"/>
      <c r="M250" s="382"/>
      <c r="N250" s="382"/>
      <c r="O250" s="382"/>
      <c r="P250" s="338">
        <v>1</v>
      </c>
      <c r="Q250" s="384">
        <f t="shared" si="5"/>
        <v>2.7389756231169541E-4</v>
      </c>
      <c r="R250" s="339">
        <v>17</v>
      </c>
      <c r="S250" s="384">
        <f t="shared" si="6"/>
        <v>3.6143989148298787E-5</v>
      </c>
      <c r="T250" s="366"/>
      <c r="U250" s="370"/>
      <c r="V250" s="5"/>
    </row>
    <row r="251" spans="1:23" ht="15.6" x14ac:dyDescent="0.3">
      <c r="A251" s="284"/>
      <c r="B251" s="338" t="s">
        <v>167</v>
      </c>
      <c r="C251" s="382"/>
      <c r="D251" s="382"/>
      <c r="E251" s="382"/>
      <c r="F251" s="311"/>
      <c r="G251" s="383"/>
      <c r="H251" s="382"/>
      <c r="I251" s="382"/>
      <c r="J251" s="382"/>
      <c r="K251" s="382"/>
      <c r="L251" s="382"/>
      <c r="M251" s="382"/>
      <c r="N251" s="382"/>
      <c r="O251" s="382"/>
      <c r="P251" s="338">
        <v>0</v>
      </c>
      <c r="Q251" s="384">
        <f t="shared" si="5"/>
        <v>0</v>
      </c>
      <c r="R251" s="339">
        <v>0</v>
      </c>
      <c r="S251" s="384">
        <f t="shared" si="6"/>
        <v>0</v>
      </c>
      <c r="T251" s="366"/>
      <c r="U251" s="370"/>
      <c r="V251" s="5"/>
      <c r="W251" s="109"/>
    </row>
    <row r="252" spans="1:23" ht="15.6" x14ac:dyDescent="0.3">
      <c r="A252" s="284"/>
      <c r="B252" s="338"/>
      <c r="C252" s="382"/>
      <c r="D252" s="382"/>
      <c r="E252" s="382"/>
      <c r="F252" s="311"/>
      <c r="G252" s="383"/>
      <c r="H252" s="382"/>
      <c r="I252" s="382"/>
      <c r="J252" s="382"/>
      <c r="K252" s="382"/>
      <c r="L252" s="382"/>
      <c r="M252" s="382"/>
      <c r="N252" s="382"/>
      <c r="O252" s="382"/>
      <c r="P252" s="338"/>
      <c r="Q252" s="384"/>
      <c r="R252" s="339"/>
      <c r="S252" s="384"/>
      <c r="T252" s="366"/>
      <c r="U252" s="370"/>
      <c r="V252" s="5"/>
    </row>
    <row r="253" spans="1:23" ht="15.6" x14ac:dyDescent="0.3">
      <c r="A253" s="284"/>
      <c r="B253" s="285" t="s">
        <v>120</v>
      </c>
      <c r="C253" s="311"/>
      <c r="D253" s="311"/>
      <c r="E253" s="311"/>
      <c r="F253" s="311"/>
      <c r="G253" s="311"/>
      <c r="H253" s="385"/>
      <c r="I253" s="385"/>
      <c r="J253" s="385"/>
      <c r="K253" s="385"/>
      <c r="L253" s="385"/>
      <c r="M253" s="385"/>
      <c r="N253" s="385"/>
      <c r="O253" s="385"/>
      <c r="P253" s="338">
        <f>SUM(P244:P252)</f>
        <v>3651</v>
      </c>
      <c r="Q253" s="384">
        <f>SUM(Q244:Q252)</f>
        <v>0.99999999999999989</v>
      </c>
      <c r="R253" s="339">
        <f>SUM(R244:R252)</f>
        <v>470341</v>
      </c>
      <c r="S253" s="384">
        <f>SUM(S244:S252)</f>
        <v>1</v>
      </c>
      <c r="T253" s="311"/>
      <c r="U253" s="317"/>
      <c r="V253" s="5"/>
    </row>
    <row r="254" spans="1:23" ht="15.6" x14ac:dyDescent="0.3">
      <c r="A254" s="175"/>
      <c r="B254" s="334"/>
      <c r="C254" s="334"/>
      <c r="D254" s="334"/>
      <c r="E254" s="334"/>
      <c r="F254" s="334"/>
      <c r="G254" s="334"/>
      <c r="H254" s="379"/>
      <c r="I254" s="379"/>
      <c r="J254" s="379"/>
      <c r="K254" s="379"/>
      <c r="L254" s="379"/>
      <c r="M254" s="379"/>
      <c r="N254" s="379"/>
      <c r="O254" s="379"/>
      <c r="P254" s="335"/>
      <c r="Q254" s="380"/>
      <c r="R254" s="381"/>
      <c r="S254" s="380"/>
      <c r="T254" s="334"/>
      <c r="U254" s="334"/>
      <c r="V254" s="5"/>
    </row>
    <row r="255" spans="1:23" ht="15.6" x14ac:dyDescent="0.3">
      <c r="A255" s="268"/>
      <c r="B255" s="395" t="s">
        <v>267</v>
      </c>
      <c r="C255" s="396"/>
      <c r="D255" s="396"/>
      <c r="E255" s="396"/>
      <c r="F255" s="402"/>
      <c r="G255" s="396"/>
      <c r="H255" s="396"/>
      <c r="I255" s="396"/>
      <c r="J255" s="396"/>
      <c r="K255" s="396"/>
      <c r="L255" s="396"/>
      <c r="M255" s="396"/>
      <c r="N255" s="396"/>
      <c r="O255" s="396"/>
      <c r="P255" s="402" t="s">
        <v>105</v>
      </c>
      <c r="Q255" s="396" t="s">
        <v>106</v>
      </c>
      <c r="R255" s="402" t="s">
        <v>114</v>
      </c>
      <c r="S255" s="396" t="s">
        <v>106</v>
      </c>
      <c r="T255" s="269"/>
      <c r="U255" s="270"/>
      <c r="V255" s="5"/>
    </row>
    <row r="256" spans="1:23" ht="15.6" x14ac:dyDescent="0.3">
      <c r="A256" s="190"/>
      <c r="B256" s="243" t="s">
        <v>91</v>
      </c>
      <c r="C256" s="217"/>
      <c r="D256" s="217"/>
      <c r="E256" s="217"/>
      <c r="F256" s="191"/>
      <c r="G256" s="217"/>
      <c r="H256" s="217"/>
      <c r="I256" s="217"/>
      <c r="J256" s="217"/>
      <c r="K256" s="217"/>
      <c r="L256" s="217"/>
      <c r="M256" s="217"/>
      <c r="N256" s="217"/>
      <c r="O256" s="217"/>
      <c r="P256" s="243">
        <v>57</v>
      </c>
      <c r="Q256" s="274">
        <f t="shared" ref="Q256:Q263" si="7">P256/$P$265</f>
        <v>0.85074626865671643</v>
      </c>
      <c r="R256" s="251">
        <v>8635</v>
      </c>
      <c r="S256" s="274">
        <f>R256/$R$265</f>
        <v>0.87629389080576414</v>
      </c>
      <c r="T256" s="191"/>
      <c r="U256" s="191"/>
      <c r="V256" s="5"/>
    </row>
    <row r="257" spans="1:22" ht="15.6" x14ac:dyDescent="0.3">
      <c r="A257" s="284"/>
      <c r="B257" s="338" t="s">
        <v>92</v>
      </c>
      <c r="C257" s="382"/>
      <c r="D257" s="382"/>
      <c r="E257" s="382"/>
      <c r="F257" s="311"/>
      <c r="G257" s="383"/>
      <c r="H257" s="382"/>
      <c r="I257" s="382"/>
      <c r="J257" s="382"/>
      <c r="K257" s="382"/>
      <c r="L257" s="382"/>
      <c r="M257" s="382"/>
      <c r="N257" s="382"/>
      <c r="O257" s="382"/>
      <c r="P257" s="338">
        <v>2</v>
      </c>
      <c r="Q257" s="384">
        <f t="shared" si="7"/>
        <v>2.9850746268656716E-2</v>
      </c>
      <c r="R257" s="339">
        <v>315</v>
      </c>
      <c r="S257" s="384">
        <f t="shared" ref="S257:S263" si="8">R257/$R$265</f>
        <v>3.1966714024761519E-2</v>
      </c>
      <c r="T257" s="311"/>
      <c r="U257" s="317"/>
      <c r="V257" s="5"/>
    </row>
    <row r="258" spans="1:22" ht="15.6" x14ac:dyDescent="0.3">
      <c r="A258" s="284"/>
      <c r="B258" s="338" t="s">
        <v>93</v>
      </c>
      <c r="C258" s="382"/>
      <c r="D258" s="382"/>
      <c r="E258" s="382"/>
      <c r="F258" s="311"/>
      <c r="G258" s="383"/>
      <c r="H258" s="382"/>
      <c r="I258" s="382"/>
      <c r="J258" s="382"/>
      <c r="K258" s="382"/>
      <c r="L258" s="382"/>
      <c r="M258" s="382"/>
      <c r="N258" s="382"/>
      <c r="O258" s="382"/>
      <c r="P258" s="338">
        <v>0</v>
      </c>
      <c r="Q258" s="384">
        <f t="shared" si="7"/>
        <v>0</v>
      </c>
      <c r="R258" s="339">
        <v>0</v>
      </c>
      <c r="S258" s="384">
        <f t="shared" si="8"/>
        <v>0</v>
      </c>
      <c r="T258" s="311"/>
      <c r="U258" s="317"/>
      <c r="V258" s="5"/>
    </row>
    <row r="259" spans="1:22" ht="15.6" x14ac:dyDescent="0.3">
      <c r="A259" s="284"/>
      <c r="B259" s="338" t="s">
        <v>163</v>
      </c>
      <c r="C259" s="382"/>
      <c r="D259" s="382"/>
      <c r="E259" s="382"/>
      <c r="F259" s="311"/>
      <c r="G259" s="383"/>
      <c r="H259" s="382"/>
      <c r="I259" s="382"/>
      <c r="J259" s="382"/>
      <c r="K259" s="382"/>
      <c r="L259" s="382"/>
      <c r="M259" s="382"/>
      <c r="N259" s="382"/>
      <c r="O259" s="382"/>
      <c r="P259" s="338">
        <v>0</v>
      </c>
      <c r="Q259" s="384">
        <f t="shared" si="7"/>
        <v>0</v>
      </c>
      <c r="R259" s="339">
        <v>0</v>
      </c>
      <c r="S259" s="384">
        <f t="shared" si="8"/>
        <v>0</v>
      </c>
      <c r="T259" s="311"/>
      <c r="U259" s="317"/>
      <c r="V259" s="5"/>
    </row>
    <row r="260" spans="1:22" ht="15.6" x14ac:dyDescent="0.3">
      <c r="A260" s="284"/>
      <c r="B260" s="338" t="s">
        <v>164</v>
      </c>
      <c r="C260" s="382"/>
      <c r="D260" s="382"/>
      <c r="E260" s="382"/>
      <c r="F260" s="311"/>
      <c r="G260" s="383"/>
      <c r="H260" s="382"/>
      <c r="I260" s="382"/>
      <c r="J260" s="382"/>
      <c r="K260" s="382"/>
      <c r="L260" s="382"/>
      <c r="M260" s="382"/>
      <c r="N260" s="382"/>
      <c r="O260" s="382"/>
      <c r="P260" s="338">
        <v>2</v>
      </c>
      <c r="Q260" s="384">
        <f t="shared" si="7"/>
        <v>2.9850746268656716E-2</v>
      </c>
      <c r="R260" s="339">
        <v>174</v>
      </c>
      <c r="S260" s="384">
        <f t="shared" si="8"/>
        <v>1.7657803937487313E-2</v>
      </c>
      <c r="T260" s="311"/>
      <c r="U260" s="317"/>
      <c r="V260" s="5"/>
    </row>
    <row r="261" spans="1:22" ht="15.6" x14ac:dyDescent="0.3">
      <c r="A261" s="284"/>
      <c r="B261" s="338" t="s">
        <v>165</v>
      </c>
      <c r="C261" s="382"/>
      <c r="D261" s="382"/>
      <c r="E261" s="382"/>
      <c r="F261" s="311"/>
      <c r="G261" s="383"/>
      <c r="H261" s="382"/>
      <c r="I261" s="382"/>
      <c r="J261" s="382"/>
      <c r="K261" s="382"/>
      <c r="L261" s="382"/>
      <c r="M261" s="382"/>
      <c r="N261" s="382"/>
      <c r="O261" s="382"/>
      <c r="P261" s="338">
        <v>2</v>
      </c>
      <c r="Q261" s="384">
        <f t="shared" si="7"/>
        <v>2.9850746268656716E-2</v>
      </c>
      <c r="R261" s="339">
        <v>121</v>
      </c>
      <c r="S261" s="384">
        <f t="shared" si="8"/>
        <v>1.2279277450781409E-2</v>
      </c>
      <c r="T261" s="311"/>
      <c r="U261" s="317"/>
      <c r="V261" s="5"/>
    </row>
    <row r="262" spans="1:22" ht="15.6" x14ac:dyDescent="0.3">
      <c r="A262" s="284"/>
      <c r="B262" s="338" t="s">
        <v>166</v>
      </c>
      <c r="C262" s="382"/>
      <c r="D262" s="382"/>
      <c r="E262" s="382"/>
      <c r="F262" s="311"/>
      <c r="G262" s="383"/>
      <c r="H262" s="382"/>
      <c r="I262" s="382"/>
      <c r="J262" s="382"/>
      <c r="K262" s="382"/>
      <c r="L262" s="382"/>
      <c r="M262" s="382"/>
      <c r="N262" s="382"/>
      <c r="O262" s="382"/>
      <c r="P262" s="338">
        <v>1</v>
      </c>
      <c r="Q262" s="384">
        <f t="shared" si="7"/>
        <v>1.4925373134328358E-2</v>
      </c>
      <c r="R262" s="339">
        <v>81</v>
      </c>
      <c r="S262" s="384">
        <f t="shared" si="8"/>
        <v>8.2200121777958185E-3</v>
      </c>
      <c r="T262" s="311"/>
      <c r="U262" s="317"/>
      <c r="V262" s="5"/>
    </row>
    <row r="263" spans="1:22" ht="15.6" x14ac:dyDescent="0.3">
      <c r="A263" s="284"/>
      <c r="B263" s="338" t="s">
        <v>167</v>
      </c>
      <c r="C263" s="382"/>
      <c r="D263" s="382"/>
      <c r="E263" s="382"/>
      <c r="F263" s="311"/>
      <c r="G263" s="383"/>
      <c r="H263" s="382"/>
      <c r="I263" s="382"/>
      <c r="J263" s="382"/>
      <c r="K263" s="382"/>
      <c r="L263" s="382"/>
      <c r="M263" s="382"/>
      <c r="N263" s="382"/>
      <c r="O263" s="382"/>
      <c r="P263" s="338">
        <v>3</v>
      </c>
      <c r="Q263" s="384">
        <f t="shared" si="7"/>
        <v>4.4776119402985072E-2</v>
      </c>
      <c r="R263" s="339">
        <v>528</v>
      </c>
      <c r="S263" s="384">
        <f t="shared" si="8"/>
        <v>5.3582301603409786E-2</v>
      </c>
      <c r="T263" s="311"/>
      <c r="U263" s="317"/>
      <c r="V263" s="5"/>
    </row>
    <row r="264" spans="1:22" ht="15.6" x14ac:dyDescent="0.3">
      <c r="A264" s="284"/>
      <c r="B264" s="338"/>
      <c r="C264" s="382"/>
      <c r="D264" s="382"/>
      <c r="E264" s="382"/>
      <c r="F264" s="311"/>
      <c r="G264" s="383"/>
      <c r="H264" s="382"/>
      <c r="I264" s="382"/>
      <c r="J264" s="382"/>
      <c r="K264" s="382"/>
      <c r="L264" s="382"/>
      <c r="M264" s="382"/>
      <c r="N264" s="382"/>
      <c r="O264" s="382"/>
      <c r="P264" s="338"/>
      <c r="Q264" s="384"/>
      <c r="R264" s="339"/>
      <c r="S264" s="384"/>
      <c r="T264" s="311"/>
      <c r="U264" s="317"/>
      <c r="V264" s="5"/>
    </row>
    <row r="265" spans="1:22" ht="15.6" x14ac:dyDescent="0.3">
      <c r="A265" s="284"/>
      <c r="B265" s="285" t="s">
        <v>120</v>
      </c>
      <c r="C265" s="311"/>
      <c r="D265" s="311"/>
      <c r="E265" s="311"/>
      <c r="F265" s="311"/>
      <c r="G265" s="311"/>
      <c r="H265" s="385"/>
      <c r="I265" s="385"/>
      <c r="J265" s="385"/>
      <c r="K265" s="385"/>
      <c r="L265" s="385"/>
      <c r="M265" s="385"/>
      <c r="N265" s="385"/>
      <c r="O265" s="385"/>
      <c r="P265" s="338">
        <f>SUM(P256:P264)</f>
        <v>67</v>
      </c>
      <c r="Q265" s="384">
        <f>SUM(Q256:Q264)</f>
        <v>1</v>
      </c>
      <c r="R265" s="339">
        <f>SUM(R256:R264)</f>
        <v>9854</v>
      </c>
      <c r="S265" s="384">
        <f>SUM(S256:S264)</f>
        <v>0.99999999999999989</v>
      </c>
      <c r="T265" s="311"/>
      <c r="U265" s="317"/>
      <c r="V265" s="5"/>
    </row>
    <row r="266" spans="1:22" ht="15.6" x14ac:dyDescent="0.3">
      <c r="A266" s="175"/>
      <c r="B266" s="334"/>
      <c r="C266" s="334"/>
      <c r="D266" s="334"/>
      <c r="E266" s="334"/>
      <c r="F266" s="334"/>
      <c r="G266" s="334"/>
      <c r="H266" s="379"/>
      <c r="I266" s="379"/>
      <c r="J266" s="379"/>
      <c r="K266" s="379"/>
      <c r="L266" s="379"/>
      <c r="M266" s="379"/>
      <c r="N266" s="379"/>
      <c r="O266" s="379"/>
      <c r="P266" s="335"/>
      <c r="Q266" s="380"/>
      <c r="R266" s="381"/>
      <c r="S266" s="380"/>
      <c r="T266" s="334"/>
      <c r="U266" s="334"/>
      <c r="V266" s="5"/>
    </row>
    <row r="267" spans="1:22" ht="15.6" x14ac:dyDescent="0.3">
      <c r="A267" s="268"/>
      <c r="B267" s="395" t="s">
        <v>170</v>
      </c>
      <c r="C267" s="269"/>
      <c r="D267" s="269"/>
      <c r="E267" s="269"/>
      <c r="F267" s="269"/>
      <c r="G267" s="269"/>
      <c r="H267" s="271"/>
      <c r="I267" s="271"/>
      <c r="J267" s="271"/>
      <c r="K267" s="271"/>
      <c r="L267" s="271"/>
      <c r="M267" s="271"/>
      <c r="N267" s="271"/>
      <c r="O267" s="271"/>
      <c r="P267" s="402" t="s">
        <v>105</v>
      </c>
      <c r="Q267" s="396" t="s">
        <v>106</v>
      </c>
      <c r="R267" s="402" t="s">
        <v>114</v>
      </c>
      <c r="S267" s="396" t="s">
        <v>106</v>
      </c>
      <c r="T267" s="269"/>
      <c r="U267" s="270"/>
      <c r="V267" s="5"/>
    </row>
    <row r="268" spans="1:22" ht="15.6" x14ac:dyDescent="0.3">
      <c r="A268" s="190"/>
      <c r="B268" s="243" t="s">
        <v>91</v>
      </c>
      <c r="C268" s="239"/>
      <c r="D268" s="239"/>
      <c r="E268" s="239"/>
      <c r="F268" s="239"/>
      <c r="G268" s="239"/>
      <c r="H268" s="275"/>
      <c r="I268" s="275"/>
      <c r="J268" s="275"/>
      <c r="K268" s="275"/>
      <c r="L268" s="218"/>
      <c r="M268" s="218"/>
      <c r="N268" s="218"/>
      <c r="O268" s="218"/>
      <c r="P268" s="243">
        <v>0</v>
      </c>
      <c r="Q268" s="274">
        <v>0</v>
      </c>
      <c r="R268" s="251">
        <v>0</v>
      </c>
      <c r="S268" s="274">
        <v>0</v>
      </c>
      <c r="T268" s="239"/>
      <c r="U268" s="191"/>
      <c r="V268" s="5"/>
    </row>
    <row r="269" spans="1:22" ht="15.6" x14ac:dyDescent="0.3">
      <c r="A269" s="284"/>
      <c r="B269" s="338" t="s">
        <v>92</v>
      </c>
      <c r="C269" s="285"/>
      <c r="D269" s="285"/>
      <c r="E269" s="285"/>
      <c r="F269" s="285"/>
      <c r="G269" s="285"/>
      <c r="H269" s="387"/>
      <c r="I269" s="387"/>
      <c r="J269" s="387"/>
      <c r="K269" s="387"/>
      <c r="L269" s="385"/>
      <c r="M269" s="385"/>
      <c r="N269" s="385"/>
      <c r="O269" s="385"/>
      <c r="P269" s="338">
        <v>0</v>
      </c>
      <c r="Q269" s="384">
        <v>0</v>
      </c>
      <c r="R269" s="339">
        <v>0</v>
      </c>
      <c r="S269" s="384">
        <v>0</v>
      </c>
      <c r="T269" s="285"/>
      <c r="U269" s="317"/>
      <c r="V269" s="5"/>
    </row>
    <row r="270" spans="1:22" ht="15.6" x14ac:dyDescent="0.3">
      <c r="A270" s="284"/>
      <c r="B270" s="338" t="s">
        <v>93</v>
      </c>
      <c r="C270" s="285"/>
      <c r="D270" s="285"/>
      <c r="E270" s="285"/>
      <c r="F270" s="285"/>
      <c r="G270" s="285"/>
      <c r="H270" s="387"/>
      <c r="I270" s="387"/>
      <c r="J270" s="387"/>
      <c r="K270" s="387"/>
      <c r="L270" s="385"/>
      <c r="M270" s="385"/>
      <c r="N270" s="385"/>
      <c r="O270" s="385"/>
      <c r="P270" s="338">
        <v>0</v>
      </c>
      <c r="Q270" s="384">
        <v>0</v>
      </c>
      <c r="R270" s="339">
        <v>0</v>
      </c>
      <c r="S270" s="384">
        <v>0</v>
      </c>
      <c r="T270" s="285"/>
      <c r="U270" s="317"/>
      <c r="V270" s="5"/>
    </row>
    <row r="271" spans="1:22" ht="15.6" x14ac:dyDescent="0.3">
      <c r="A271" s="284"/>
      <c r="B271" s="338" t="s">
        <v>163</v>
      </c>
      <c r="C271" s="285"/>
      <c r="D271" s="285"/>
      <c r="E271" s="285"/>
      <c r="F271" s="285"/>
      <c r="G271" s="285"/>
      <c r="H271" s="387"/>
      <c r="I271" s="387"/>
      <c r="J271" s="387"/>
      <c r="K271" s="387"/>
      <c r="L271" s="385"/>
      <c r="M271" s="385"/>
      <c r="N271" s="385"/>
      <c r="O271" s="385"/>
      <c r="P271" s="338">
        <v>0</v>
      </c>
      <c r="Q271" s="384">
        <v>0</v>
      </c>
      <c r="R271" s="339">
        <v>0</v>
      </c>
      <c r="S271" s="384">
        <v>0</v>
      </c>
      <c r="T271" s="285"/>
      <c r="U271" s="317"/>
      <c r="V271" s="5"/>
    </row>
    <row r="272" spans="1:22" ht="15.6" x14ac:dyDescent="0.3">
      <c r="A272" s="284"/>
      <c r="B272" s="338" t="s">
        <v>164</v>
      </c>
      <c r="C272" s="285"/>
      <c r="D272" s="285"/>
      <c r="E272" s="285"/>
      <c r="F272" s="285"/>
      <c r="G272" s="285"/>
      <c r="H272" s="387"/>
      <c r="I272" s="387"/>
      <c r="J272" s="387"/>
      <c r="K272" s="387"/>
      <c r="L272" s="385"/>
      <c r="M272" s="385"/>
      <c r="N272" s="385"/>
      <c r="O272" s="385"/>
      <c r="P272" s="338">
        <v>0</v>
      </c>
      <c r="Q272" s="384">
        <v>0</v>
      </c>
      <c r="R272" s="339">
        <v>0</v>
      </c>
      <c r="S272" s="384">
        <v>0</v>
      </c>
      <c r="T272" s="285"/>
      <c r="U272" s="317"/>
      <c r="V272" s="5"/>
    </row>
    <row r="273" spans="1:22" ht="15.6" x14ac:dyDescent="0.3">
      <c r="A273" s="284"/>
      <c r="B273" s="338" t="s">
        <v>165</v>
      </c>
      <c r="C273" s="285"/>
      <c r="D273" s="285"/>
      <c r="E273" s="285"/>
      <c r="F273" s="285"/>
      <c r="G273" s="285"/>
      <c r="H273" s="387"/>
      <c r="I273" s="387"/>
      <c r="J273" s="387"/>
      <c r="K273" s="387"/>
      <c r="L273" s="385"/>
      <c r="M273" s="385"/>
      <c r="N273" s="385"/>
      <c r="O273" s="385"/>
      <c r="P273" s="338">
        <v>0</v>
      </c>
      <c r="Q273" s="384">
        <v>0</v>
      </c>
      <c r="R273" s="339">
        <v>0</v>
      </c>
      <c r="S273" s="384">
        <v>0</v>
      </c>
      <c r="T273" s="285"/>
      <c r="U273" s="317"/>
      <c r="V273" s="5"/>
    </row>
    <row r="274" spans="1:22" ht="15.6" x14ac:dyDescent="0.3">
      <c r="A274" s="284"/>
      <c r="B274" s="338" t="s">
        <v>166</v>
      </c>
      <c r="C274" s="285"/>
      <c r="D274" s="285"/>
      <c r="E274" s="285"/>
      <c r="F274" s="285"/>
      <c r="G274" s="285"/>
      <c r="H274" s="387"/>
      <c r="I274" s="387"/>
      <c r="J274" s="387"/>
      <c r="K274" s="387"/>
      <c r="L274" s="385"/>
      <c r="M274" s="385"/>
      <c r="N274" s="385"/>
      <c r="O274" s="385"/>
      <c r="P274" s="338">
        <v>0</v>
      </c>
      <c r="Q274" s="384">
        <v>0</v>
      </c>
      <c r="R274" s="339">
        <v>0</v>
      </c>
      <c r="S274" s="384">
        <v>0</v>
      </c>
      <c r="T274" s="285"/>
      <c r="U274" s="317"/>
      <c r="V274" s="5"/>
    </row>
    <row r="275" spans="1:22" ht="15.6" x14ac:dyDescent="0.3">
      <c r="A275" s="284"/>
      <c r="B275" s="338" t="s">
        <v>167</v>
      </c>
      <c r="C275" s="285"/>
      <c r="D275" s="285"/>
      <c r="E275" s="285"/>
      <c r="F275" s="285"/>
      <c r="G275" s="285"/>
      <c r="H275" s="387"/>
      <c r="I275" s="387"/>
      <c r="J275" s="387"/>
      <c r="K275" s="387"/>
      <c r="L275" s="385"/>
      <c r="M275" s="385"/>
      <c r="N275" s="385"/>
      <c r="O275" s="385"/>
      <c r="P275" s="338">
        <v>0</v>
      </c>
      <c r="Q275" s="384">
        <v>0</v>
      </c>
      <c r="R275" s="339">
        <v>0</v>
      </c>
      <c r="S275" s="384">
        <v>0</v>
      </c>
      <c r="T275" s="285"/>
      <c r="U275" s="317"/>
      <c r="V275" s="5"/>
    </row>
    <row r="276" spans="1:22" ht="15.6" x14ac:dyDescent="0.3">
      <c r="A276" s="284"/>
      <c r="B276" s="338"/>
      <c r="C276" s="285"/>
      <c r="D276" s="285"/>
      <c r="E276" s="285"/>
      <c r="F276" s="285"/>
      <c r="G276" s="285"/>
      <c r="H276" s="387"/>
      <c r="I276" s="387"/>
      <c r="J276" s="387"/>
      <c r="K276" s="387"/>
      <c r="L276" s="385"/>
      <c r="M276" s="385"/>
      <c r="N276" s="385"/>
      <c r="O276" s="385"/>
      <c r="P276" s="338"/>
      <c r="Q276" s="384"/>
      <c r="R276" s="339"/>
      <c r="S276" s="384"/>
      <c r="T276" s="285"/>
      <c r="U276" s="317"/>
      <c r="V276" s="5"/>
    </row>
    <row r="277" spans="1:22" ht="15.6" x14ac:dyDescent="0.3">
      <c r="A277" s="284"/>
      <c r="B277" s="285" t="s">
        <v>120</v>
      </c>
      <c r="C277" s="285"/>
      <c r="D277" s="285"/>
      <c r="E277" s="285"/>
      <c r="F277" s="285"/>
      <c r="G277" s="285"/>
      <c r="H277" s="387"/>
      <c r="I277" s="387"/>
      <c r="J277" s="387"/>
      <c r="K277" s="387"/>
      <c r="L277" s="385"/>
      <c r="M277" s="385"/>
      <c r="N277" s="385"/>
      <c r="O277" s="385"/>
      <c r="P277" s="338">
        <f>SUM(P268:P275)</f>
        <v>0</v>
      </c>
      <c r="Q277" s="384">
        <f>SUM(Q268:Q276)</f>
        <v>0</v>
      </c>
      <c r="R277" s="339">
        <f>SUM(R268:R275)</f>
        <v>0</v>
      </c>
      <c r="S277" s="384">
        <f>SUM(S268:S276)</f>
        <v>0</v>
      </c>
      <c r="T277" s="285"/>
      <c r="U277" s="317"/>
      <c r="V277" s="5"/>
    </row>
    <row r="278" spans="1:22" ht="15.6" x14ac:dyDescent="0.3">
      <c r="A278" s="284"/>
      <c r="B278" s="285"/>
      <c r="C278" s="285"/>
      <c r="D278" s="285"/>
      <c r="E278" s="285"/>
      <c r="F278" s="285"/>
      <c r="G278" s="285"/>
      <c r="H278" s="387"/>
      <c r="I278" s="387"/>
      <c r="J278" s="387"/>
      <c r="K278" s="387"/>
      <c r="L278" s="385"/>
      <c r="M278" s="385"/>
      <c r="N278" s="385"/>
      <c r="O278" s="385"/>
      <c r="P278" s="344"/>
      <c r="Q278" s="388"/>
      <c r="R278" s="345"/>
      <c r="S278" s="388"/>
      <c r="T278" s="311"/>
      <c r="U278" s="317"/>
      <c r="V278" s="5"/>
    </row>
    <row r="279" spans="1:22" ht="15.6" x14ac:dyDescent="0.3">
      <c r="A279" s="284"/>
      <c r="B279" s="292" t="s">
        <v>171</v>
      </c>
      <c r="C279" s="285"/>
      <c r="D279" s="285"/>
      <c r="E279" s="285"/>
      <c r="F279" s="285"/>
      <c r="G279" s="285"/>
      <c r="H279" s="387"/>
      <c r="I279" s="387"/>
      <c r="J279" s="387"/>
      <c r="K279" s="387"/>
      <c r="L279" s="385"/>
      <c r="M279" s="385"/>
      <c r="N279" s="385"/>
      <c r="O279" s="385"/>
      <c r="P279" s="403">
        <f>P277+P265+P253</f>
        <v>3718</v>
      </c>
      <c r="Q279" s="384"/>
      <c r="R279" s="404">
        <f>+R277+R265+R253</f>
        <v>480195</v>
      </c>
      <c r="S279" s="384"/>
      <c r="T279" s="311"/>
      <c r="U279" s="317"/>
      <c r="V279" s="5"/>
    </row>
    <row r="280" spans="1:22" ht="15.6" x14ac:dyDescent="0.3">
      <c r="A280" s="175"/>
      <c r="B280" s="281"/>
      <c r="C280" s="281"/>
      <c r="D280" s="281"/>
      <c r="E280" s="281"/>
      <c r="F280" s="281"/>
      <c r="G280" s="281"/>
      <c r="H280" s="386"/>
      <c r="I280" s="386"/>
      <c r="J280" s="386"/>
      <c r="K280" s="386"/>
      <c r="L280" s="379"/>
      <c r="M280" s="379"/>
      <c r="N280" s="379"/>
      <c r="O280" s="379"/>
      <c r="P280" s="379"/>
      <c r="Q280" s="379"/>
      <c r="R280" s="381"/>
      <c r="S280" s="379"/>
      <c r="T280" s="334"/>
      <c r="U280" s="334"/>
      <c r="V280" s="5"/>
    </row>
    <row r="281" spans="1:22" ht="15.6" x14ac:dyDescent="0.3">
      <c r="A281" s="175"/>
      <c r="B281" s="231"/>
      <c r="C281" s="231"/>
      <c r="D281" s="231"/>
      <c r="E281" s="231"/>
      <c r="F281" s="231"/>
      <c r="G281" s="231"/>
      <c r="H281" s="276"/>
      <c r="I281" s="276"/>
      <c r="J281" s="276"/>
      <c r="K281" s="276"/>
      <c r="L281" s="219"/>
      <c r="M281" s="219"/>
      <c r="N281" s="219"/>
      <c r="O281" s="219"/>
      <c r="P281" s="219"/>
      <c r="Q281" s="219"/>
      <c r="R281" s="220"/>
      <c r="S281" s="219"/>
      <c r="T281" s="177"/>
      <c r="U281" s="177"/>
      <c r="V281" s="5"/>
    </row>
    <row r="282" spans="1:22" ht="15.6" x14ac:dyDescent="0.3">
      <c r="A282" s="221"/>
      <c r="B282" s="230" t="s">
        <v>94</v>
      </c>
      <c r="C282" s="231"/>
      <c r="D282" s="231"/>
      <c r="E282" s="231"/>
      <c r="F282" s="236" t="s">
        <v>100</v>
      </c>
      <c r="G282" s="231"/>
      <c r="H282" s="230" t="s">
        <v>102</v>
      </c>
      <c r="I282" s="277"/>
      <c r="J282" s="277"/>
      <c r="K282" s="277"/>
      <c r="L282" s="188"/>
      <c r="M282" s="188"/>
      <c r="N282" s="188"/>
      <c r="O282" s="188"/>
      <c r="P282" s="188"/>
      <c r="Q282" s="188"/>
      <c r="R282" s="188"/>
      <c r="S282" s="188"/>
      <c r="T282" s="188"/>
      <c r="U282" s="188"/>
      <c r="V282" s="5"/>
    </row>
    <row r="283" spans="1:22" ht="15.6" x14ac:dyDescent="0.3">
      <c r="A283" s="221"/>
      <c r="B283" s="230" t="s">
        <v>316</v>
      </c>
      <c r="C283" s="230"/>
      <c r="D283" s="230"/>
      <c r="E283" s="230"/>
      <c r="F283" s="278" t="s">
        <v>154</v>
      </c>
      <c r="G283" s="230"/>
      <c r="H283" s="230" t="s">
        <v>158</v>
      </c>
      <c r="I283" s="277"/>
      <c r="J283" s="277"/>
      <c r="K283" s="277"/>
      <c r="L283" s="188"/>
      <c r="M283" s="188"/>
      <c r="N283" s="188"/>
      <c r="O283" s="188"/>
      <c r="P283" s="188"/>
      <c r="Q283" s="188"/>
      <c r="R283" s="188"/>
      <c r="S283" s="188"/>
      <c r="T283" s="188"/>
      <c r="U283" s="188"/>
      <c r="V283" s="5"/>
    </row>
    <row r="284" spans="1:22" ht="15.6" x14ac:dyDescent="0.3">
      <c r="A284" s="221"/>
      <c r="B284" s="230" t="s">
        <v>317</v>
      </c>
      <c r="C284" s="230"/>
      <c r="D284" s="230"/>
      <c r="E284" s="230"/>
      <c r="F284" s="278" t="s">
        <v>269</v>
      </c>
      <c r="G284" s="230"/>
      <c r="H284" s="230" t="s">
        <v>270</v>
      </c>
      <c r="I284" s="277"/>
      <c r="J284" s="277"/>
      <c r="K284" s="277"/>
      <c r="L284" s="188"/>
      <c r="M284" s="188"/>
      <c r="N284" s="188"/>
      <c r="O284" s="188"/>
      <c r="P284" s="188"/>
      <c r="Q284" s="188"/>
      <c r="R284" s="188"/>
      <c r="S284" s="188"/>
      <c r="T284" s="188"/>
      <c r="U284" s="188"/>
      <c r="V284" s="5"/>
    </row>
    <row r="285" spans="1:22" ht="15.6" x14ac:dyDescent="0.3">
      <c r="A285" s="221"/>
      <c r="B285" s="230" t="s">
        <v>318</v>
      </c>
      <c r="C285" s="230"/>
      <c r="D285" s="230"/>
      <c r="E285" s="230"/>
      <c r="F285" s="278" t="s">
        <v>153</v>
      </c>
      <c r="G285" s="230"/>
      <c r="H285" s="230" t="s">
        <v>159</v>
      </c>
      <c r="I285" s="277"/>
      <c r="J285" s="277"/>
      <c r="K285" s="277"/>
      <c r="L285" s="188"/>
      <c r="M285" s="188"/>
      <c r="N285" s="188"/>
      <c r="O285" s="188"/>
      <c r="P285" s="188"/>
      <c r="Q285" s="188"/>
      <c r="R285" s="188"/>
      <c r="S285" s="188"/>
      <c r="T285" s="188"/>
      <c r="U285" s="188"/>
      <c r="V285" s="5"/>
    </row>
    <row r="286" spans="1:22" ht="15.6" x14ac:dyDescent="0.3">
      <c r="A286" s="221"/>
      <c r="B286" s="230"/>
      <c r="C286" s="230"/>
      <c r="D286" s="230"/>
      <c r="E286" s="230"/>
      <c r="F286" s="230"/>
      <c r="G286" s="279"/>
      <c r="H286" s="277"/>
      <c r="I286" s="277"/>
      <c r="J286" s="277"/>
      <c r="K286" s="277"/>
      <c r="L286" s="188"/>
      <c r="M286" s="188"/>
      <c r="N286" s="188"/>
      <c r="O286" s="188"/>
      <c r="P286" s="188"/>
      <c r="Q286" s="188"/>
      <c r="R286" s="188"/>
      <c r="S286" s="188"/>
      <c r="T286" s="188"/>
      <c r="U286" s="188"/>
      <c r="V286" s="5"/>
    </row>
    <row r="287" spans="1:22" ht="15.6" x14ac:dyDescent="0.3">
      <c r="A287" s="221"/>
      <c r="B287" s="230"/>
      <c r="C287" s="230"/>
      <c r="D287" s="230"/>
      <c r="E287" s="230"/>
      <c r="F287" s="230"/>
      <c r="G287" s="279"/>
      <c r="H287" s="277"/>
      <c r="I287" s="277"/>
      <c r="J287" s="277"/>
      <c r="K287" s="277"/>
      <c r="L287" s="188"/>
      <c r="M287" s="188"/>
      <c r="N287" s="188"/>
      <c r="O287" s="188"/>
      <c r="P287" s="188"/>
      <c r="Q287" s="188"/>
      <c r="R287" s="188"/>
      <c r="S287" s="188"/>
      <c r="T287" s="188"/>
      <c r="U287" s="188"/>
      <c r="V287" s="5"/>
    </row>
    <row r="288" spans="1:22" ht="18" thickBot="1" x14ac:dyDescent="0.35">
      <c r="A288" s="221"/>
      <c r="B288" s="280" t="str">
        <f>B193</f>
        <v>PM11 INVESTOR REPORT QUARTER ENDING DECEMBER 2015</v>
      </c>
      <c r="C288" s="230"/>
      <c r="D288" s="230"/>
      <c r="E288" s="230"/>
      <c r="F288" s="230"/>
      <c r="G288" s="279"/>
      <c r="H288" s="277"/>
      <c r="I288" s="277"/>
      <c r="J288" s="277"/>
      <c r="K288" s="277"/>
      <c r="L288" s="188"/>
      <c r="M288" s="188"/>
      <c r="N288" s="188"/>
      <c r="O288" s="188"/>
      <c r="P288" s="188"/>
      <c r="Q288" s="188"/>
      <c r="R288" s="188"/>
      <c r="S288" s="188"/>
      <c r="T288" s="188"/>
      <c r="U288" s="188"/>
      <c r="V288" s="5"/>
    </row>
    <row r="289" spans="1:21" x14ac:dyDescent="0.25">
      <c r="A289" s="100"/>
      <c r="B289" s="100"/>
      <c r="C289" s="100"/>
      <c r="D289" s="100"/>
      <c r="E289" s="100"/>
      <c r="F289" s="100"/>
      <c r="G289" s="100"/>
      <c r="H289" s="100"/>
      <c r="I289" s="100"/>
      <c r="J289" s="100"/>
      <c r="K289" s="100"/>
      <c r="L289" s="100"/>
      <c r="M289" s="100"/>
      <c r="N289" s="100"/>
      <c r="O289" s="100"/>
      <c r="P289" s="100"/>
      <c r="Q289" s="100"/>
      <c r="R289" s="100"/>
      <c r="S289" s="100"/>
      <c r="T289" s="100"/>
      <c r="U289" s="100"/>
    </row>
  </sheetData>
  <hyperlinks>
    <hyperlink ref="N229" r:id="rId1" xr:uid="{00000000-0004-0000-2600-000000000000}"/>
    <hyperlink ref="J9" r:id="rId2" xr:uid="{00000000-0004-0000-26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4" max="20" man="1"/>
    <brk id="133" max="20" man="1"/>
    <brk id="193" max="20" man="1"/>
  </rowBreak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2D2926"/>
  </sheetPr>
  <dimension ref="A1:X276"/>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08984375" style="1" customWidth="1"/>
    <col min="10" max="10" width="17.81640625" style="1" customWidth="1"/>
    <col min="11" max="11" width="2.1796875" style="1" customWidth="1"/>
    <col min="12" max="12" width="14.81640625" style="1" customWidth="1"/>
    <col min="13" max="13" width="2.1796875" style="1" customWidth="1"/>
    <col min="14" max="14" width="15.54296875" style="1" customWidth="1"/>
    <col min="15" max="15" width="2.08984375" style="1" customWidth="1"/>
    <col min="16" max="16" width="15.54296875" style="1" customWidth="1"/>
    <col min="17" max="18" width="12.81640625" style="1" customWidth="1"/>
    <col min="19" max="19" width="7.81640625" style="1" customWidth="1"/>
    <col min="20" max="20" width="14.81640625" style="1" customWidth="1"/>
    <col min="21" max="21" width="11.81640625" style="1" customWidth="1"/>
    <col min="22" max="16384" width="9.81640625" style="1"/>
  </cols>
  <sheetData>
    <row r="1" spans="1:22" ht="20.399999999999999" x14ac:dyDescent="0.35">
      <c r="A1" s="2"/>
      <c r="B1" s="3" t="s">
        <v>228</v>
      </c>
      <c r="C1" s="4"/>
      <c r="D1" s="4"/>
      <c r="E1" s="4"/>
      <c r="F1" s="4"/>
      <c r="G1" s="4"/>
      <c r="H1" s="4"/>
      <c r="I1" s="4"/>
      <c r="J1" s="4"/>
      <c r="K1" s="4"/>
      <c r="L1" s="4"/>
      <c r="M1" s="4"/>
      <c r="N1" s="4"/>
      <c r="O1" s="4"/>
      <c r="P1" s="4"/>
      <c r="Q1" s="4"/>
      <c r="R1" s="4"/>
      <c r="S1" s="4"/>
      <c r="T1" s="4"/>
      <c r="U1" s="4"/>
      <c r="V1" s="5"/>
    </row>
    <row r="2" spans="1:22" ht="15.6" x14ac:dyDescent="0.3">
      <c r="A2" s="6"/>
      <c r="B2" s="7"/>
      <c r="C2" s="8"/>
      <c r="D2" s="8"/>
      <c r="E2" s="8"/>
      <c r="F2" s="8"/>
      <c r="G2" s="8"/>
      <c r="H2" s="8"/>
      <c r="I2" s="8"/>
      <c r="J2" s="8"/>
      <c r="K2" s="8"/>
      <c r="L2" s="8"/>
      <c r="M2" s="8"/>
      <c r="N2" s="8"/>
      <c r="O2" s="8"/>
      <c r="P2" s="8"/>
      <c r="Q2" s="8"/>
      <c r="R2" s="8"/>
      <c r="S2" s="8"/>
      <c r="T2" s="8"/>
      <c r="U2" s="8"/>
      <c r="V2" s="5"/>
    </row>
    <row r="3" spans="1:22" ht="15.6" x14ac:dyDescent="0.3">
      <c r="A3" s="9"/>
      <c r="B3" s="111" t="s">
        <v>229</v>
      </c>
      <c r="C3" s="8"/>
      <c r="D3" s="8"/>
      <c r="E3" s="8"/>
      <c r="F3" s="8"/>
      <c r="G3" s="8"/>
      <c r="H3" s="8"/>
      <c r="I3" s="8"/>
      <c r="J3" s="8"/>
      <c r="K3" s="8"/>
      <c r="L3" s="8"/>
      <c r="M3" s="8"/>
      <c r="N3" s="8"/>
      <c r="O3" s="8"/>
      <c r="P3" s="8"/>
      <c r="Q3" s="8"/>
      <c r="R3" s="8"/>
      <c r="S3" s="8"/>
      <c r="T3" s="8"/>
      <c r="U3" s="8"/>
      <c r="V3" s="5"/>
    </row>
    <row r="4" spans="1:22" ht="15.6" x14ac:dyDescent="0.3">
      <c r="A4" s="6"/>
      <c r="B4" s="7"/>
      <c r="C4" s="8"/>
      <c r="D4" s="8"/>
      <c r="E4" s="8"/>
      <c r="F4" s="8"/>
      <c r="G4" s="8"/>
      <c r="H4" s="8"/>
      <c r="I4" s="8"/>
      <c r="J4" s="8"/>
      <c r="K4" s="8"/>
      <c r="L4" s="8"/>
      <c r="M4" s="8"/>
      <c r="N4" s="8"/>
      <c r="O4" s="8"/>
      <c r="P4" s="8"/>
      <c r="Q4" s="8"/>
      <c r="R4" s="8"/>
      <c r="S4" s="8"/>
      <c r="T4" s="8"/>
      <c r="U4" s="8"/>
      <c r="V4" s="5"/>
    </row>
    <row r="5" spans="1:22" ht="15.6" x14ac:dyDescent="0.3">
      <c r="A5" s="6"/>
      <c r="B5" s="11" t="s">
        <v>143</v>
      </c>
      <c r="C5" s="8"/>
      <c r="D5" s="8"/>
      <c r="E5" s="8"/>
      <c r="F5" s="8"/>
      <c r="G5" s="8"/>
      <c r="H5" s="8"/>
      <c r="I5" s="8"/>
      <c r="J5" s="8"/>
      <c r="K5" s="8"/>
      <c r="L5" s="8"/>
      <c r="M5" s="8"/>
      <c r="N5" s="8"/>
      <c r="O5" s="8"/>
      <c r="P5" s="8"/>
      <c r="Q5" s="8"/>
      <c r="R5" s="8"/>
      <c r="S5" s="8"/>
      <c r="T5" s="8"/>
      <c r="U5" s="8"/>
      <c r="V5" s="5"/>
    </row>
    <row r="6" spans="1:22" ht="15.6" x14ac:dyDescent="0.3">
      <c r="A6" s="6"/>
      <c r="B6" s="11" t="s">
        <v>145</v>
      </c>
      <c r="C6" s="8"/>
      <c r="D6" s="8"/>
      <c r="E6" s="8"/>
      <c r="F6" s="8"/>
      <c r="G6" s="8"/>
      <c r="H6" s="8"/>
      <c r="I6" s="8"/>
      <c r="J6" s="8"/>
      <c r="K6" s="8"/>
      <c r="L6" s="8"/>
      <c r="M6" s="8"/>
      <c r="N6" s="8"/>
      <c r="O6" s="8"/>
      <c r="P6" s="8"/>
      <c r="Q6" s="8"/>
      <c r="R6" s="8"/>
      <c r="S6" s="8"/>
      <c r="T6" s="8"/>
      <c r="U6" s="8"/>
      <c r="V6" s="5"/>
    </row>
    <row r="7" spans="1:22" ht="15.6" x14ac:dyDescent="0.3">
      <c r="A7" s="6"/>
      <c r="B7" s="11" t="s">
        <v>144</v>
      </c>
      <c r="C7" s="8"/>
      <c r="D7" s="8"/>
      <c r="E7" s="8"/>
      <c r="F7" s="8"/>
      <c r="G7" s="8"/>
      <c r="H7" s="8"/>
      <c r="I7" s="8"/>
      <c r="J7" s="8"/>
      <c r="K7" s="8"/>
      <c r="L7" s="8"/>
      <c r="M7" s="8"/>
      <c r="N7" s="8"/>
      <c r="O7" s="8"/>
      <c r="P7" s="8"/>
      <c r="Q7" s="8"/>
      <c r="R7" s="8"/>
      <c r="S7" s="8"/>
      <c r="T7" s="8"/>
      <c r="U7" s="8"/>
      <c r="V7" s="5"/>
    </row>
    <row r="8" spans="1:22" ht="15.6" x14ac:dyDescent="0.3">
      <c r="A8" s="6"/>
      <c r="B8" s="11"/>
      <c r="C8" s="8"/>
      <c r="D8" s="8"/>
      <c r="E8" s="8"/>
      <c r="F8" s="8"/>
      <c r="G8" s="8"/>
      <c r="H8" s="8"/>
      <c r="I8" s="8"/>
      <c r="J8" s="8"/>
      <c r="K8" s="8"/>
      <c r="L8" s="8"/>
      <c r="M8" s="8"/>
      <c r="N8" s="8"/>
      <c r="O8" s="8"/>
      <c r="P8" s="8"/>
      <c r="Q8" s="8"/>
      <c r="R8" s="8"/>
      <c r="S8" s="8"/>
      <c r="T8" s="8"/>
      <c r="U8" s="8"/>
      <c r="V8" s="5"/>
    </row>
    <row r="9" spans="1:22" ht="17.399999999999999" x14ac:dyDescent="0.3">
      <c r="A9" s="6"/>
      <c r="B9" s="147" t="s">
        <v>173</v>
      </c>
      <c r="C9" s="8"/>
      <c r="D9" s="8"/>
      <c r="E9" s="8"/>
      <c r="F9" s="8"/>
      <c r="G9" s="8"/>
      <c r="H9" s="8"/>
      <c r="I9" s="8"/>
      <c r="J9" s="148" t="s">
        <v>174</v>
      </c>
      <c r="K9" s="8"/>
      <c r="L9" s="148"/>
      <c r="M9" s="8"/>
      <c r="N9" s="8"/>
      <c r="O9" s="8"/>
      <c r="P9" s="8"/>
      <c r="Q9" s="8"/>
      <c r="R9" s="8"/>
      <c r="S9" s="8"/>
      <c r="T9" s="8"/>
      <c r="U9" s="8"/>
      <c r="V9" s="5"/>
    </row>
    <row r="10" spans="1:22" ht="15.6" x14ac:dyDescent="0.3">
      <c r="A10" s="6"/>
      <c r="B10" s="11"/>
      <c r="C10" s="13"/>
      <c r="D10" s="13"/>
      <c r="E10" s="13"/>
      <c r="F10" s="8"/>
      <c r="G10" s="8"/>
      <c r="H10" s="8"/>
      <c r="I10" s="8"/>
      <c r="J10" s="8"/>
      <c r="K10" s="8"/>
      <c r="L10" s="8"/>
      <c r="M10" s="8"/>
      <c r="N10" s="8"/>
      <c r="O10" s="8"/>
      <c r="P10" s="8"/>
      <c r="Q10" s="8"/>
      <c r="R10" s="8"/>
      <c r="S10" s="8"/>
      <c r="T10" s="8"/>
      <c r="U10" s="8"/>
      <c r="V10" s="5"/>
    </row>
    <row r="11" spans="1:22" ht="15.6" x14ac:dyDescent="0.3">
      <c r="A11" s="6"/>
      <c r="B11" s="14" t="s">
        <v>0</v>
      </c>
      <c r="C11" s="8"/>
      <c r="D11" s="8"/>
      <c r="E11" s="8"/>
      <c r="F11" s="8"/>
      <c r="G11" s="8"/>
      <c r="H11" s="8"/>
      <c r="I11" s="8"/>
      <c r="J11" s="8"/>
      <c r="K11" s="8"/>
      <c r="L11" s="8"/>
      <c r="M11" s="8"/>
      <c r="N11" s="8"/>
      <c r="O11" s="8"/>
      <c r="P11" s="8"/>
      <c r="Q11" s="8"/>
      <c r="R11" s="8"/>
      <c r="S11" s="8"/>
      <c r="T11" s="8"/>
      <c r="U11" s="8"/>
      <c r="V11" s="5"/>
    </row>
    <row r="12" spans="1:22" ht="16.2" thickBot="1" x14ac:dyDescent="0.35">
      <c r="A12" s="6"/>
      <c r="B12" s="13"/>
      <c r="C12" s="8"/>
      <c r="D12" s="8"/>
      <c r="E12" s="8"/>
      <c r="F12" s="8"/>
      <c r="G12" s="8"/>
      <c r="H12" s="8"/>
      <c r="I12" s="8"/>
      <c r="J12" s="8"/>
      <c r="K12" s="8"/>
      <c r="L12" s="8"/>
      <c r="M12" s="8"/>
      <c r="N12" s="8"/>
      <c r="O12" s="8"/>
      <c r="P12" s="8"/>
      <c r="Q12" s="8"/>
      <c r="R12" s="8"/>
      <c r="S12" s="8"/>
      <c r="T12" s="8"/>
      <c r="U12" s="8"/>
      <c r="V12" s="5"/>
    </row>
    <row r="13" spans="1:22" ht="15.6" x14ac:dyDescent="0.3">
      <c r="A13" s="2"/>
      <c r="B13" s="4"/>
      <c r="C13" s="4"/>
      <c r="D13" s="4"/>
      <c r="E13" s="4"/>
      <c r="F13" s="4"/>
      <c r="G13" s="4"/>
      <c r="H13" s="4"/>
      <c r="I13" s="4"/>
      <c r="J13" s="4"/>
      <c r="K13" s="4"/>
      <c r="L13" s="4"/>
      <c r="M13" s="4"/>
      <c r="N13" s="4"/>
      <c r="O13" s="4"/>
      <c r="P13" s="4"/>
      <c r="Q13" s="4"/>
      <c r="R13" s="4"/>
      <c r="S13" s="4"/>
      <c r="T13" s="4"/>
      <c r="U13" s="4"/>
      <c r="V13" s="5"/>
    </row>
    <row r="14" spans="1:22" ht="15.6" x14ac:dyDescent="0.3">
      <c r="A14" s="6"/>
      <c r="B14" s="14" t="s">
        <v>1</v>
      </c>
      <c r="C14" s="15"/>
      <c r="D14" s="15"/>
      <c r="E14" s="15"/>
      <c r="F14" s="15"/>
      <c r="G14" s="15"/>
      <c r="H14" s="15"/>
      <c r="I14" s="15"/>
      <c r="J14" s="15"/>
      <c r="K14" s="15"/>
      <c r="L14" s="15"/>
      <c r="M14" s="15"/>
      <c r="N14" s="15"/>
      <c r="O14" s="15"/>
      <c r="P14" s="15"/>
      <c r="Q14" s="15"/>
      <c r="R14" s="15"/>
      <c r="S14" s="15"/>
      <c r="T14" s="16" t="s">
        <v>230</v>
      </c>
      <c r="U14" s="15"/>
      <c r="V14" s="5"/>
    </row>
    <row r="15" spans="1:22" ht="15.6" x14ac:dyDescent="0.3">
      <c r="A15" s="6"/>
      <c r="B15" s="14" t="s">
        <v>2</v>
      </c>
      <c r="C15" s="15"/>
      <c r="D15" s="15"/>
      <c r="E15" s="15"/>
      <c r="F15" s="15"/>
      <c r="G15" s="15"/>
      <c r="H15" s="18"/>
      <c r="I15" s="18"/>
      <c r="J15" s="18"/>
      <c r="K15" s="18"/>
      <c r="L15" s="18"/>
      <c r="M15" s="18"/>
      <c r="N15" s="18"/>
      <c r="O15" s="18"/>
      <c r="P15" s="18" t="s">
        <v>107</v>
      </c>
      <c r="Q15" s="137">
        <v>0.40749999999999997</v>
      </c>
      <c r="R15" s="17" t="s">
        <v>146</v>
      </c>
      <c r="S15" s="137">
        <v>0.59250000000000003</v>
      </c>
      <c r="T15" s="16"/>
      <c r="U15" s="15"/>
      <c r="V15" s="5"/>
    </row>
    <row r="16" spans="1:22" ht="15.6" x14ac:dyDescent="0.3">
      <c r="A16" s="6"/>
      <c r="B16" s="14" t="s">
        <v>3</v>
      </c>
      <c r="C16" s="15"/>
      <c r="D16" s="15"/>
      <c r="E16" s="15"/>
      <c r="F16" s="15"/>
      <c r="G16" s="15"/>
      <c r="H16" s="18"/>
      <c r="I16" s="18"/>
      <c r="J16" s="18"/>
      <c r="K16" s="18"/>
      <c r="L16" s="18"/>
      <c r="M16" s="18"/>
      <c r="N16" s="18"/>
      <c r="O16" s="18"/>
      <c r="P16" s="18" t="s">
        <v>107</v>
      </c>
      <c r="Q16" s="137">
        <v>0.38779999999999998</v>
      </c>
      <c r="R16" s="17" t="s">
        <v>146</v>
      </c>
      <c r="S16" s="137">
        <v>0.61219999999999997</v>
      </c>
      <c r="T16" s="16"/>
      <c r="U16" s="15"/>
      <c r="V16" s="5"/>
    </row>
    <row r="17" spans="1:22" ht="15.6" x14ac:dyDescent="0.3">
      <c r="A17" s="6"/>
      <c r="B17" s="14" t="s">
        <v>4</v>
      </c>
      <c r="C17" s="15"/>
      <c r="D17" s="15"/>
      <c r="E17" s="15"/>
      <c r="F17" s="15"/>
      <c r="G17" s="15"/>
      <c r="H17" s="15"/>
      <c r="I17" s="15"/>
      <c r="J17" s="15"/>
      <c r="K17" s="15"/>
      <c r="L17" s="15"/>
      <c r="M17" s="15"/>
      <c r="N17" s="15"/>
      <c r="O17" s="15"/>
      <c r="P17" s="15"/>
      <c r="Q17" s="15"/>
      <c r="R17" s="15"/>
      <c r="S17" s="15"/>
      <c r="T17" s="19">
        <v>38799</v>
      </c>
      <c r="U17" s="15"/>
      <c r="V17" s="5"/>
    </row>
    <row r="18" spans="1:22" ht="15.6" x14ac:dyDescent="0.3">
      <c r="A18" s="6"/>
      <c r="B18" s="14" t="s">
        <v>5</v>
      </c>
      <c r="C18" s="15"/>
      <c r="D18" s="15"/>
      <c r="E18" s="15"/>
      <c r="F18" s="15"/>
      <c r="G18" s="15"/>
      <c r="H18" s="15"/>
      <c r="I18" s="15"/>
      <c r="J18" s="15"/>
      <c r="K18" s="15"/>
      <c r="L18" s="15"/>
      <c r="M18" s="15"/>
      <c r="N18" s="15"/>
      <c r="O18" s="15"/>
      <c r="P18" s="15"/>
      <c r="Q18" s="15"/>
      <c r="R18" s="15"/>
      <c r="S18" s="15"/>
      <c r="T18" s="19">
        <v>39196</v>
      </c>
      <c r="U18" s="15"/>
      <c r="V18" s="5"/>
    </row>
    <row r="19" spans="1:22" ht="15.6" x14ac:dyDescent="0.3">
      <c r="A19" s="6"/>
      <c r="B19" s="8"/>
      <c r="C19" s="8"/>
      <c r="D19" s="8"/>
      <c r="E19" s="8"/>
      <c r="F19" s="8"/>
      <c r="G19" s="8"/>
      <c r="H19" s="8"/>
      <c r="I19" s="8"/>
      <c r="J19" s="8"/>
      <c r="K19" s="8"/>
      <c r="L19" s="8"/>
      <c r="M19" s="8"/>
      <c r="N19" s="8"/>
      <c r="O19" s="8"/>
      <c r="P19" s="8"/>
      <c r="Q19" s="8"/>
      <c r="R19" s="8"/>
      <c r="S19" s="8"/>
      <c r="T19" s="20"/>
      <c r="U19" s="8"/>
      <c r="V19" s="5"/>
    </row>
    <row r="20" spans="1:22" ht="15.6" x14ac:dyDescent="0.3">
      <c r="A20" s="6"/>
      <c r="B20" s="21" t="s">
        <v>6</v>
      </c>
      <c r="C20" s="8"/>
      <c r="D20" s="8"/>
      <c r="E20" s="8"/>
      <c r="F20" s="8"/>
      <c r="G20" s="8"/>
      <c r="H20" s="8"/>
      <c r="I20" s="8"/>
      <c r="J20" s="8"/>
      <c r="K20" s="8"/>
      <c r="L20" s="8"/>
      <c r="M20" s="8"/>
      <c r="N20" s="8"/>
      <c r="O20" s="8"/>
      <c r="P20" s="8"/>
      <c r="Q20" s="8"/>
      <c r="R20" s="20" t="s">
        <v>108</v>
      </c>
      <c r="S20" s="8"/>
      <c r="T20" s="162"/>
      <c r="U20" s="8"/>
      <c r="V20" s="5"/>
    </row>
    <row r="21" spans="1:22" ht="15.6" x14ac:dyDescent="0.3">
      <c r="A21" s="6"/>
      <c r="B21" s="8"/>
      <c r="C21" s="8"/>
      <c r="D21" s="8"/>
      <c r="E21" s="8"/>
      <c r="F21" s="8"/>
      <c r="G21" s="8"/>
      <c r="H21" s="8"/>
      <c r="I21" s="8"/>
      <c r="J21" s="8"/>
      <c r="K21" s="8"/>
      <c r="L21" s="8"/>
      <c r="M21" s="8"/>
      <c r="N21" s="8"/>
      <c r="O21" s="8"/>
      <c r="P21" s="8"/>
      <c r="Q21" s="8"/>
      <c r="R21" s="8"/>
      <c r="S21" s="8"/>
      <c r="T21" s="22"/>
      <c r="U21" s="8"/>
      <c r="V21" s="5"/>
    </row>
    <row r="22" spans="1:22" ht="15.6" x14ac:dyDescent="0.3">
      <c r="A22" s="6"/>
      <c r="B22" s="8"/>
      <c r="C22" s="112"/>
      <c r="D22" s="112" t="s">
        <v>184</v>
      </c>
      <c r="E22" s="112"/>
      <c r="F22" s="112" t="s">
        <v>185</v>
      </c>
      <c r="G22" s="112"/>
      <c r="H22" s="112" t="s">
        <v>186</v>
      </c>
      <c r="I22" s="112"/>
      <c r="J22" s="112" t="s">
        <v>187</v>
      </c>
      <c r="K22" s="112"/>
      <c r="L22" s="112" t="s">
        <v>188</v>
      </c>
      <c r="M22" s="112"/>
      <c r="N22" s="112" t="s">
        <v>189</v>
      </c>
      <c r="O22" s="112"/>
      <c r="P22" s="112"/>
      <c r="Q22" s="113"/>
      <c r="R22" s="23"/>
      <c r="S22" s="162"/>
      <c r="T22" s="162"/>
      <c r="U22" s="8"/>
      <c r="V22" s="5"/>
    </row>
    <row r="23" spans="1:22" ht="15.6" x14ac:dyDescent="0.3">
      <c r="A23" s="24"/>
      <c r="B23" s="25" t="s">
        <v>7</v>
      </c>
      <c r="C23" s="26"/>
      <c r="D23" s="26" t="s">
        <v>222</v>
      </c>
      <c r="E23" s="26"/>
      <c r="F23" s="26" t="s">
        <v>147</v>
      </c>
      <c r="G23" s="26"/>
      <c r="H23" s="26" t="s">
        <v>147</v>
      </c>
      <c r="I23" s="26"/>
      <c r="J23" s="26" t="s">
        <v>190</v>
      </c>
      <c r="K23" s="26"/>
      <c r="L23" s="26" t="s">
        <v>190</v>
      </c>
      <c r="M23" s="26"/>
      <c r="N23" s="26" t="s">
        <v>148</v>
      </c>
      <c r="O23" s="26"/>
      <c r="P23" s="26"/>
      <c r="Q23" s="26"/>
      <c r="R23" s="26"/>
      <c r="S23" s="163"/>
      <c r="T23" s="163"/>
      <c r="U23" s="25"/>
      <c r="V23" s="5"/>
    </row>
    <row r="24" spans="1:22" ht="15.6" x14ac:dyDescent="0.3">
      <c r="A24" s="24"/>
      <c r="B24" s="25" t="s">
        <v>8</v>
      </c>
      <c r="C24" s="26"/>
      <c r="D24" s="26" t="s">
        <v>223</v>
      </c>
      <c r="E24" s="26"/>
      <c r="F24" s="26" t="s">
        <v>149</v>
      </c>
      <c r="G24" s="26"/>
      <c r="H24" s="26" t="s">
        <v>149</v>
      </c>
      <c r="I24" s="26"/>
      <c r="J24" s="26" t="s">
        <v>172</v>
      </c>
      <c r="K24" s="26"/>
      <c r="L24" s="26" t="s">
        <v>172</v>
      </c>
      <c r="M24" s="26"/>
      <c r="N24" s="26" t="s">
        <v>150</v>
      </c>
      <c r="O24" s="26"/>
      <c r="P24" s="26"/>
      <c r="Q24" s="26"/>
      <c r="R24" s="26"/>
      <c r="S24" s="163"/>
      <c r="T24" s="163"/>
      <c r="U24" s="25"/>
      <c r="V24" s="5"/>
    </row>
    <row r="25" spans="1:22" ht="15.6" x14ac:dyDescent="0.3">
      <c r="A25" s="28"/>
      <c r="B25" s="131" t="s">
        <v>198</v>
      </c>
      <c r="C25" s="123"/>
      <c r="D25" s="26" t="s">
        <v>224</v>
      </c>
      <c r="E25" s="26"/>
      <c r="F25" s="26" t="s">
        <v>149</v>
      </c>
      <c r="G25" s="26"/>
      <c r="H25" s="26" t="s">
        <v>149</v>
      </c>
      <c r="I25" s="26"/>
      <c r="J25" s="26" t="s">
        <v>172</v>
      </c>
      <c r="K25" s="26"/>
      <c r="L25" s="26" t="s">
        <v>172</v>
      </c>
      <c r="M25" s="26"/>
      <c r="N25" s="26" t="s">
        <v>150</v>
      </c>
      <c r="O25" s="26"/>
      <c r="P25" s="26"/>
      <c r="Q25" s="123"/>
      <c r="R25" s="26"/>
      <c r="S25" s="163"/>
      <c r="T25" s="163"/>
      <c r="U25" s="25"/>
      <c r="V25" s="5"/>
    </row>
    <row r="26" spans="1:22" ht="15.6" x14ac:dyDescent="0.3">
      <c r="A26" s="28"/>
      <c r="B26" s="29" t="s">
        <v>9</v>
      </c>
      <c r="C26" s="123"/>
      <c r="D26" s="123" t="s">
        <v>222</v>
      </c>
      <c r="E26" s="123"/>
      <c r="F26" s="123" t="s">
        <v>147</v>
      </c>
      <c r="G26" s="123"/>
      <c r="H26" s="123" t="s">
        <v>147</v>
      </c>
      <c r="I26" s="123"/>
      <c r="J26" s="123" t="s">
        <v>190</v>
      </c>
      <c r="K26" s="123"/>
      <c r="L26" s="123" t="s">
        <v>190</v>
      </c>
      <c r="M26" s="123"/>
      <c r="N26" s="123" t="s">
        <v>148</v>
      </c>
      <c r="O26" s="123"/>
      <c r="P26" s="123"/>
      <c r="Q26" s="123"/>
      <c r="R26" s="26"/>
      <c r="S26" s="163"/>
      <c r="T26" s="163"/>
      <c r="U26" s="25"/>
      <c r="V26" s="5"/>
    </row>
    <row r="27" spans="1:22" ht="15.6" x14ac:dyDescent="0.3">
      <c r="A27" s="24"/>
      <c r="B27" s="29" t="s">
        <v>199</v>
      </c>
      <c r="C27" s="26"/>
      <c r="D27" s="123" t="s">
        <v>223</v>
      </c>
      <c r="E27" s="123"/>
      <c r="F27" s="123" t="s">
        <v>149</v>
      </c>
      <c r="G27" s="123"/>
      <c r="H27" s="123" t="s">
        <v>149</v>
      </c>
      <c r="I27" s="123"/>
      <c r="J27" s="123" t="s">
        <v>172</v>
      </c>
      <c r="K27" s="123"/>
      <c r="L27" s="123" t="s">
        <v>172</v>
      </c>
      <c r="M27" s="123"/>
      <c r="N27" s="123" t="s">
        <v>150</v>
      </c>
      <c r="O27" s="123"/>
      <c r="P27" s="123"/>
      <c r="Q27" s="26"/>
      <c r="R27" s="30"/>
      <c r="S27" s="163"/>
      <c r="T27" s="163"/>
      <c r="U27" s="25"/>
      <c r="V27" s="5"/>
    </row>
    <row r="28" spans="1:22" ht="15.6" x14ac:dyDescent="0.3">
      <c r="A28" s="24"/>
      <c r="B28" s="153" t="s">
        <v>200</v>
      </c>
      <c r="C28" s="26"/>
      <c r="D28" s="123" t="s">
        <v>224</v>
      </c>
      <c r="E28" s="123"/>
      <c r="F28" s="123" t="s">
        <v>149</v>
      </c>
      <c r="G28" s="123"/>
      <c r="H28" s="123" t="s">
        <v>149</v>
      </c>
      <c r="I28" s="123"/>
      <c r="J28" s="123" t="s">
        <v>172</v>
      </c>
      <c r="K28" s="123"/>
      <c r="L28" s="123" t="s">
        <v>172</v>
      </c>
      <c r="M28" s="123"/>
      <c r="N28" s="123" t="s">
        <v>150</v>
      </c>
      <c r="O28" s="123"/>
      <c r="P28" s="123"/>
      <c r="Q28" s="26"/>
      <c r="R28" s="30"/>
      <c r="S28" s="163"/>
      <c r="T28" s="163"/>
      <c r="U28" s="25"/>
      <c r="V28" s="5"/>
    </row>
    <row r="29" spans="1:22" ht="15.6" x14ac:dyDescent="0.3">
      <c r="A29" s="24"/>
      <c r="B29" s="25" t="s">
        <v>10</v>
      </c>
      <c r="C29" s="32"/>
      <c r="D29" s="26" t="s">
        <v>237</v>
      </c>
      <c r="E29" s="26"/>
      <c r="F29" s="30" t="s">
        <v>238</v>
      </c>
      <c r="G29" s="26"/>
      <c r="H29" s="26" t="s">
        <v>239</v>
      </c>
      <c r="I29" s="26"/>
      <c r="J29" s="26" t="s">
        <v>240</v>
      </c>
      <c r="K29" s="26"/>
      <c r="L29" s="26" t="s">
        <v>241</v>
      </c>
      <c r="M29" s="26"/>
      <c r="N29" s="26" t="s">
        <v>242</v>
      </c>
      <c r="O29" s="26"/>
      <c r="P29" s="26"/>
      <c r="Q29" s="31"/>
      <c r="R29" s="31"/>
      <c r="S29" s="164"/>
      <c r="T29" s="31"/>
      <c r="U29" s="34"/>
      <c r="V29" s="5"/>
    </row>
    <row r="30" spans="1:22" ht="15.6" x14ac:dyDescent="0.3">
      <c r="A30" s="24"/>
      <c r="B30" s="25" t="s">
        <v>10</v>
      </c>
      <c r="C30" s="32"/>
      <c r="D30" s="26" t="s">
        <v>236</v>
      </c>
      <c r="E30" s="26"/>
      <c r="F30" s="30" t="s">
        <v>124</v>
      </c>
      <c r="G30" s="26"/>
      <c r="H30" s="26" t="s">
        <v>124</v>
      </c>
      <c r="I30" s="26"/>
      <c r="J30" s="26" t="s">
        <v>124</v>
      </c>
      <c r="K30" s="26"/>
      <c r="L30" s="26" t="s">
        <v>124</v>
      </c>
      <c r="M30" s="26"/>
      <c r="N30" s="26" t="s">
        <v>124</v>
      </c>
      <c r="O30" s="26"/>
      <c r="P30" s="26"/>
      <c r="Q30" s="31"/>
      <c r="R30" s="31"/>
      <c r="S30" s="164"/>
      <c r="T30" s="31"/>
      <c r="U30" s="34"/>
      <c r="V30" s="5"/>
    </row>
    <row r="31" spans="1:22" ht="15.6" x14ac:dyDescent="0.3">
      <c r="A31" s="28"/>
      <c r="B31" s="25" t="s">
        <v>139</v>
      </c>
      <c r="C31" s="36"/>
      <c r="D31" s="146">
        <v>985000</v>
      </c>
      <c r="E31" s="32"/>
      <c r="F31" s="31">
        <v>149500</v>
      </c>
      <c r="G31" s="31"/>
      <c r="H31" s="124">
        <v>219700</v>
      </c>
      <c r="I31" s="31"/>
      <c r="J31" s="31">
        <v>16000</v>
      </c>
      <c r="K31" s="31"/>
      <c r="L31" s="124">
        <v>82400</v>
      </c>
      <c r="M31" s="31"/>
      <c r="N31" s="124">
        <v>87500</v>
      </c>
      <c r="O31" s="31"/>
      <c r="P31" s="124"/>
      <c r="Q31" s="35"/>
      <c r="R31" s="35"/>
      <c r="S31" s="37"/>
      <c r="T31" s="35"/>
      <c r="U31" s="34"/>
      <c r="V31" s="5"/>
    </row>
    <row r="32" spans="1:22" ht="15.6" x14ac:dyDescent="0.3">
      <c r="A32" s="24"/>
      <c r="B32" s="25" t="s">
        <v>138</v>
      </c>
      <c r="C32" s="32"/>
      <c r="D32" s="146">
        <f>D38*D31</f>
        <v>929604.58499999996</v>
      </c>
      <c r="E32" s="32"/>
      <c r="F32" s="31">
        <f>F38*F31</f>
        <v>141092.26949999999</v>
      </c>
      <c r="G32" s="31"/>
      <c r="H32" s="124">
        <f>H38*H31</f>
        <v>207344.2917</v>
      </c>
      <c r="I32" s="31"/>
      <c r="J32" s="31">
        <f>+J31</f>
        <v>16000</v>
      </c>
      <c r="K32" s="31"/>
      <c r="L32" s="124">
        <f>+L31</f>
        <v>82400</v>
      </c>
      <c r="M32" s="31"/>
      <c r="N32" s="124">
        <f>+N31</f>
        <v>87500</v>
      </c>
      <c r="O32" s="31"/>
      <c r="P32" s="124"/>
      <c r="Q32" s="31"/>
      <c r="R32" s="31"/>
      <c r="S32" s="164"/>
      <c r="T32" s="31"/>
      <c r="U32" s="34"/>
      <c r="V32" s="5"/>
    </row>
    <row r="33" spans="1:22" ht="15.6" x14ac:dyDescent="0.3">
      <c r="A33" s="24"/>
      <c r="B33" s="29" t="s">
        <v>140</v>
      </c>
      <c r="C33" s="32"/>
      <c r="D33" s="151">
        <f>D37*D31</f>
        <v>908399.505</v>
      </c>
      <c r="E33" s="36"/>
      <c r="F33" s="35">
        <f>F37*F31</f>
        <v>137873.83350000001</v>
      </c>
      <c r="G33" s="35"/>
      <c r="H33" s="125">
        <f>H31*H37</f>
        <v>202614.5901</v>
      </c>
      <c r="I33" s="35"/>
      <c r="J33" s="35">
        <f>J31*J37</f>
        <v>16000</v>
      </c>
      <c r="K33" s="35"/>
      <c r="L33" s="125">
        <f>L31*L37</f>
        <v>82400</v>
      </c>
      <c r="M33" s="35"/>
      <c r="N33" s="125">
        <f>N31*N37</f>
        <v>87500</v>
      </c>
      <c r="O33" s="35"/>
      <c r="P33" s="125"/>
      <c r="Q33" s="31"/>
      <c r="R33" s="31"/>
      <c r="S33" s="164"/>
      <c r="T33" s="31"/>
      <c r="U33" s="34"/>
      <c r="V33" s="5"/>
    </row>
    <row r="34" spans="1:22" ht="15.6" x14ac:dyDescent="0.3">
      <c r="A34" s="28"/>
      <c r="B34" s="25" t="s">
        <v>283</v>
      </c>
      <c r="C34" s="36"/>
      <c r="D34" s="31">
        <v>567282</v>
      </c>
      <c r="E34" s="32"/>
      <c r="F34" s="31">
        <v>149500</v>
      </c>
      <c r="G34" s="31"/>
      <c r="H34" s="31">
        <v>150716</v>
      </c>
      <c r="I34" s="31"/>
      <c r="J34" s="31">
        <v>16000</v>
      </c>
      <c r="K34" s="31"/>
      <c r="L34" s="31">
        <v>56527</v>
      </c>
      <c r="M34" s="31"/>
      <c r="N34" s="31">
        <v>60025</v>
      </c>
      <c r="O34" s="31"/>
      <c r="P34" s="31"/>
      <c r="Q34" s="35"/>
      <c r="R34" s="35"/>
      <c r="S34" s="37"/>
      <c r="T34" s="154">
        <f>SUM(C34:P34)</f>
        <v>1000050</v>
      </c>
      <c r="U34" s="34"/>
      <c r="V34" s="5"/>
    </row>
    <row r="35" spans="1:22" ht="15.6" x14ac:dyDescent="0.3">
      <c r="A35" s="28"/>
      <c r="B35" s="25" t="s">
        <v>284</v>
      </c>
      <c r="C35" s="126"/>
      <c r="D35" s="31">
        <f>D38*D34</f>
        <v>535378.62760200002</v>
      </c>
      <c r="E35" s="32"/>
      <c r="F35" s="31">
        <f>F38*F34</f>
        <v>141092.26949999999</v>
      </c>
      <c r="G35" s="31"/>
      <c r="H35" s="31">
        <f>H38*H34</f>
        <v>142239.88287599999</v>
      </c>
      <c r="I35" s="31"/>
      <c r="J35" s="31">
        <f>+J34</f>
        <v>16000</v>
      </c>
      <c r="K35" s="31"/>
      <c r="L35" s="31">
        <f>+L34</f>
        <v>56527</v>
      </c>
      <c r="M35" s="31"/>
      <c r="N35" s="31">
        <f>+N34</f>
        <v>60025</v>
      </c>
      <c r="O35" s="31"/>
      <c r="P35" s="31"/>
      <c r="Q35" s="31"/>
      <c r="R35" s="31"/>
      <c r="S35" s="164"/>
      <c r="T35" s="154">
        <f>SUM(C35:P35)</f>
        <v>951262.77997799998</v>
      </c>
      <c r="U35" s="34"/>
      <c r="V35" s="5"/>
    </row>
    <row r="36" spans="1:22" ht="15.6" x14ac:dyDescent="0.3">
      <c r="A36" s="28"/>
      <c r="B36" s="29" t="s">
        <v>285</v>
      </c>
      <c r="C36" s="126"/>
      <c r="D36" s="35">
        <f>D37*D34</f>
        <v>523166.18070599996</v>
      </c>
      <c r="E36" s="36"/>
      <c r="F36" s="35">
        <f>F37*F34</f>
        <v>137873.83350000001</v>
      </c>
      <c r="G36" s="35"/>
      <c r="H36" s="35">
        <f>H37*H34</f>
        <v>138995.268828</v>
      </c>
      <c r="I36" s="35"/>
      <c r="J36" s="35">
        <f>+J34</f>
        <v>16000</v>
      </c>
      <c r="K36" s="35"/>
      <c r="L36" s="35">
        <f>+L34</f>
        <v>56527</v>
      </c>
      <c r="M36" s="35"/>
      <c r="N36" s="35">
        <f>+N34</f>
        <v>60025</v>
      </c>
      <c r="O36" s="35"/>
      <c r="P36" s="35"/>
      <c r="Q36" s="128"/>
      <c r="R36" s="128"/>
      <c r="S36" s="164"/>
      <c r="T36" s="155">
        <f>SUM(C36:P36)</f>
        <v>932587.28303399985</v>
      </c>
      <c r="U36" s="34"/>
      <c r="V36" s="5"/>
    </row>
    <row r="37" spans="1:22" ht="15.6" x14ac:dyDescent="0.3">
      <c r="A37" s="24"/>
      <c r="B37" s="122" t="s">
        <v>136</v>
      </c>
      <c r="C37" s="25"/>
      <c r="D37" s="135">
        <v>0.92223299999999997</v>
      </c>
      <c r="E37" s="136"/>
      <c r="F37" s="135">
        <v>0.92223299999999997</v>
      </c>
      <c r="G37" s="135"/>
      <c r="H37" s="135">
        <v>0.92223299999999997</v>
      </c>
      <c r="I37" s="135"/>
      <c r="J37" s="135">
        <v>1</v>
      </c>
      <c r="K37" s="135"/>
      <c r="L37" s="135">
        <v>1</v>
      </c>
      <c r="M37" s="135"/>
      <c r="N37" s="135">
        <v>1</v>
      </c>
      <c r="O37" s="135"/>
      <c r="P37" s="135"/>
      <c r="Q37" s="30"/>
      <c r="R37" s="30"/>
      <c r="S37" s="163"/>
      <c r="T37" s="163"/>
      <c r="U37" s="25"/>
      <c r="V37" s="5"/>
    </row>
    <row r="38" spans="1:22" ht="15.6" x14ac:dyDescent="0.3">
      <c r="A38" s="24"/>
      <c r="B38" s="122" t="s">
        <v>137</v>
      </c>
      <c r="C38" s="25"/>
      <c r="D38" s="135">
        <v>0.94376099999999996</v>
      </c>
      <c r="E38" s="136"/>
      <c r="F38" s="135">
        <v>0.94376099999999996</v>
      </c>
      <c r="G38" s="135"/>
      <c r="H38" s="135">
        <v>0.94376099999999996</v>
      </c>
      <c r="I38" s="135"/>
      <c r="J38" s="135">
        <v>1</v>
      </c>
      <c r="K38" s="135"/>
      <c r="L38" s="135">
        <v>1</v>
      </c>
      <c r="M38" s="135"/>
      <c r="N38" s="135">
        <v>1</v>
      </c>
      <c r="O38" s="135"/>
      <c r="P38" s="135"/>
      <c r="Q38" s="39"/>
      <c r="R38" s="38"/>
      <c r="S38" s="163"/>
      <c r="T38" s="39"/>
      <c r="U38" s="25"/>
      <c r="V38" s="5"/>
    </row>
    <row r="39" spans="1:22" ht="15.6" x14ac:dyDescent="0.3">
      <c r="A39" s="24"/>
      <c r="B39" s="25" t="s">
        <v>11</v>
      </c>
      <c r="C39" s="25"/>
      <c r="D39" s="30" t="s">
        <v>252</v>
      </c>
      <c r="E39" s="25"/>
      <c r="F39" s="30" t="s">
        <v>231</v>
      </c>
      <c r="G39" s="30"/>
      <c r="H39" s="30" t="s">
        <v>231</v>
      </c>
      <c r="I39" s="30"/>
      <c r="J39" s="30" t="s">
        <v>232</v>
      </c>
      <c r="K39" s="30"/>
      <c r="L39" s="30" t="s">
        <v>232</v>
      </c>
      <c r="M39" s="30"/>
      <c r="N39" s="30" t="s">
        <v>233</v>
      </c>
      <c r="O39" s="30"/>
      <c r="P39" s="30"/>
      <c r="Q39" s="39"/>
      <c r="R39" s="38"/>
      <c r="S39" s="163"/>
      <c r="T39" s="163"/>
      <c r="U39" s="25"/>
      <c r="V39" s="5"/>
    </row>
    <row r="40" spans="1:22" ht="15.6" x14ac:dyDescent="0.3">
      <c r="A40" s="24"/>
      <c r="B40" s="25" t="s">
        <v>12</v>
      </c>
      <c r="C40" s="25"/>
      <c r="D40" s="38">
        <v>5.3100000000000001E-2</v>
      </c>
      <c r="E40" s="25"/>
      <c r="F40" s="38">
        <v>5.6731299999999998E-2</v>
      </c>
      <c r="G40" s="39"/>
      <c r="H40" s="38">
        <v>3.8649999999999997E-2</v>
      </c>
      <c r="I40" s="39"/>
      <c r="J40" s="38">
        <v>5.7931299999999998E-2</v>
      </c>
      <c r="K40" s="39"/>
      <c r="L40" s="38">
        <v>3.9849999999999997E-2</v>
      </c>
      <c r="M40" s="39"/>
      <c r="N40" s="38">
        <v>4.1950000000000001E-2</v>
      </c>
      <c r="O40" s="39"/>
      <c r="P40" s="38"/>
      <c r="Q40" s="39"/>
      <c r="R40" s="38"/>
      <c r="S40" s="163"/>
      <c r="T40" s="30"/>
      <c r="U40" s="25"/>
      <c r="V40" s="5"/>
    </row>
    <row r="41" spans="1:22" ht="15.6" x14ac:dyDescent="0.3">
      <c r="A41" s="24"/>
      <c r="B41" s="25" t="s">
        <v>13</v>
      </c>
      <c r="C41" s="25"/>
      <c r="D41" s="38">
        <v>5.3400000000000003E-2</v>
      </c>
      <c r="E41" s="25"/>
      <c r="F41" s="38">
        <v>5.2406300000000003E-2</v>
      </c>
      <c r="G41" s="39"/>
      <c r="H41" s="38">
        <v>3.6139999999999999E-2</v>
      </c>
      <c r="I41" s="39"/>
      <c r="J41" s="38">
        <v>5.3606300000000003E-2</v>
      </c>
      <c r="K41" s="39"/>
      <c r="L41" s="38">
        <v>3.7339999999999998E-2</v>
      </c>
      <c r="M41" s="39"/>
      <c r="N41" s="38">
        <v>3.9440000000000003E-2</v>
      </c>
      <c r="O41" s="38"/>
      <c r="P41" s="38"/>
      <c r="Q41" s="39"/>
      <c r="R41" s="38"/>
      <c r="S41" s="163"/>
      <c r="T41" s="39" t="s">
        <v>201</v>
      </c>
      <c r="U41" s="25"/>
      <c r="V41" s="5"/>
    </row>
    <row r="42" spans="1:22" ht="15.6" x14ac:dyDescent="0.3">
      <c r="A42" s="24"/>
      <c r="B42" s="25" t="s">
        <v>286</v>
      </c>
      <c r="C42" s="25"/>
      <c r="D42" s="30" t="s">
        <v>256</v>
      </c>
      <c r="E42" s="25"/>
      <c r="F42" s="30" t="s">
        <v>231</v>
      </c>
      <c r="G42" s="30"/>
      <c r="H42" s="30" t="s">
        <v>243</v>
      </c>
      <c r="I42" s="30"/>
      <c r="J42" s="30" t="s">
        <v>232</v>
      </c>
      <c r="K42" s="30"/>
      <c r="L42" s="30" t="s">
        <v>244</v>
      </c>
      <c r="M42" s="30"/>
      <c r="N42" s="30" t="s">
        <v>246</v>
      </c>
      <c r="O42" s="30"/>
      <c r="P42" s="30"/>
      <c r="Q42" s="39"/>
      <c r="R42" s="38"/>
      <c r="S42" s="163"/>
      <c r="T42" s="163"/>
      <c r="U42" s="25"/>
      <c r="V42" s="5"/>
    </row>
    <row r="43" spans="1:22" ht="15.6" x14ac:dyDescent="0.3">
      <c r="A43" s="24"/>
      <c r="B43" s="25" t="s">
        <v>287</v>
      </c>
      <c r="C43" s="110"/>
      <c r="D43" s="38">
        <v>5.5658300000000001E-2</v>
      </c>
      <c r="E43" s="38"/>
      <c r="F43" s="38">
        <f>+F40</f>
        <v>5.6731299999999998E-2</v>
      </c>
      <c r="G43" s="38"/>
      <c r="H43" s="38">
        <v>5.6729300000000003E-2</v>
      </c>
      <c r="I43" s="38"/>
      <c r="J43" s="38">
        <f>+J40</f>
        <v>5.7931299999999998E-2</v>
      </c>
      <c r="K43" s="38"/>
      <c r="L43" s="38">
        <v>5.8084299999999998E-2</v>
      </c>
      <c r="M43" s="38"/>
      <c r="N43" s="38">
        <v>6.0436299999999998E-2</v>
      </c>
      <c r="O43" s="39"/>
      <c r="P43" s="38"/>
      <c r="Q43" s="30"/>
      <c r="R43" s="30"/>
      <c r="S43" s="163"/>
      <c r="T43" s="39">
        <f>SUMPRODUCT(D43:N43,D35:N35)/T35</f>
        <v>5.6461477510793993E-2</v>
      </c>
      <c r="U43" s="25"/>
      <c r="V43" s="5"/>
    </row>
    <row r="44" spans="1:22" ht="15.6" x14ac:dyDescent="0.3">
      <c r="A44" s="24"/>
      <c r="B44" s="25" t="s">
        <v>288</v>
      </c>
      <c r="C44" s="110"/>
      <c r="D44" s="38">
        <v>5.1333299999999998E-2</v>
      </c>
      <c r="E44" s="38"/>
      <c r="F44" s="38">
        <v>5.2406300000000003E-2</v>
      </c>
      <c r="G44" s="38"/>
      <c r="H44" s="38">
        <v>5.2404300000000001E-2</v>
      </c>
      <c r="I44" s="38"/>
      <c r="J44" s="38">
        <v>5.3606300000000003E-2</v>
      </c>
      <c r="K44" s="38"/>
      <c r="L44" s="38">
        <v>5.3759300000000003E-2</v>
      </c>
      <c r="M44" s="38"/>
      <c r="N44" s="38">
        <v>5.6111300000000003E-2</v>
      </c>
      <c r="O44" s="39"/>
      <c r="P44" s="38"/>
      <c r="Q44" s="30"/>
      <c r="R44" s="30"/>
      <c r="S44" s="163"/>
      <c r="T44" s="163"/>
      <c r="U44" s="25"/>
      <c r="V44" s="5"/>
    </row>
    <row r="45" spans="1:22" ht="15.6" x14ac:dyDescent="0.3">
      <c r="A45" s="24"/>
      <c r="B45" s="25" t="s">
        <v>14</v>
      </c>
      <c r="C45" s="25"/>
      <c r="D45" s="110">
        <v>40283</v>
      </c>
      <c r="E45" s="110"/>
      <c r="F45" s="110">
        <v>40283</v>
      </c>
      <c r="G45" s="110"/>
      <c r="H45" s="110">
        <v>40283</v>
      </c>
      <c r="I45" s="110"/>
      <c r="J45" s="110">
        <v>40283</v>
      </c>
      <c r="K45" s="110"/>
      <c r="L45" s="110">
        <v>40283</v>
      </c>
      <c r="M45" s="110"/>
      <c r="N45" s="110">
        <v>40283</v>
      </c>
      <c r="O45" s="110"/>
      <c r="P45" s="110"/>
      <c r="Q45" s="30"/>
      <c r="R45" s="30"/>
      <c r="S45" s="163"/>
      <c r="T45" s="163"/>
      <c r="U45" s="25"/>
      <c r="V45" s="5"/>
    </row>
    <row r="46" spans="1:22" ht="15.6" x14ac:dyDescent="0.3">
      <c r="A46" s="24"/>
      <c r="B46" s="25" t="s">
        <v>15</v>
      </c>
      <c r="C46" s="25"/>
      <c r="D46" s="110">
        <v>40648</v>
      </c>
      <c r="E46" s="110"/>
      <c r="F46" s="110">
        <v>40648</v>
      </c>
      <c r="G46" s="110"/>
      <c r="H46" s="110">
        <v>40648</v>
      </c>
      <c r="I46" s="30"/>
      <c r="J46" s="110">
        <v>40648</v>
      </c>
      <c r="K46" s="30"/>
      <c r="L46" s="110">
        <v>40648</v>
      </c>
      <c r="M46" s="30"/>
      <c r="N46" s="110">
        <v>40648</v>
      </c>
      <c r="O46" s="30"/>
      <c r="P46" s="110"/>
      <c r="Q46" s="30"/>
      <c r="R46" s="30"/>
      <c r="S46" s="163"/>
      <c r="T46" s="163"/>
      <c r="U46" s="25"/>
      <c r="V46" s="5"/>
    </row>
    <row r="47" spans="1:22" ht="15.6" x14ac:dyDescent="0.3">
      <c r="A47" s="24"/>
      <c r="B47" s="25" t="s">
        <v>125</v>
      </c>
      <c r="C47" s="25"/>
      <c r="D47" s="160" t="s">
        <v>124</v>
      </c>
      <c r="E47" s="25"/>
      <c r="F47" s="30" t="s">
        <v>232</v>
      </c>
      <c r="G47" s="30"/>
      <c r="H47" s="30" t="s">
        <v>232</v>
      </c>
      <c r="I47" s="30"/>
      <c r="J47" s="30" t="s">
        <v>234</v>
      </c>
      <c r="K47" s="30"/>
      <c r="L47" s="30" t="s">
        <v>234</v>
      </c>
      <c r="M47" s="30"/>
      <c r="N47" s="30" t="s">
        <v>235</v>
      </c>
      <c r="O47" s="30"/>
      <c r="P47" s="30"/>
      <c r="Q47" s="40"/>
      <c r="R47" s="40"/>
      <c r="S47" s="40"/>
      <c r="T47" s="40"/>
      <c r="U47" s="25"/>
      <c r="V47" s="5"/>
    </row>
    <row r="48" spans="1:22" ht="15.6" x14ac:dyDescent="0.3">
      <c r="A48" s="24"/>
      <c r="B48" s="25" t="s">
        <v>289</v>
      </c>
      <c r="C48" s="25"/>
      <c r="D48" s="30" t="s">
        <v>208</v>
      </c>
      <c r="E48" s="25"/>
      <c r="F48" s="30" t="s">
        <v>232</v>
      </c>
      <c r="G48" s="30"/>
      <c r="H48" s="30" t="s">
        <v>232</v>
      </c>
      <c r="I48" s="30"/>
      <c r="J48" s="30" t="s">
        <v>234</v>
      </c>
      <c r="K48" s="30"/>
      <c r="L48" s="30" t="s">
        <v>245</v>
      </c>
      <c r="M48" s="30"/>
      <c r="N48" s="30" t="s">
        <v>247</v>
      </c>
      <c r="O48" s="30"/>
      <c r="P48" s="30"/>
      <c r="Q48" s="25"/>
      <c r="R48" s="25"/>
      <c r="S48" s="25"/>
      <c r="T48" s="39"/>
      <c r="U48" s="25"/>
      <c r="V48" s="5"/>
    </row>
    <row r="49" spans="1:23" ht="15.6" x14ac:dyDescent="0.3">
      <c r="A49" s="24"/>
      <c r="B49" s="25"/>
      <c r="C49" s="25"/>
      <c r="D49" s="30"/>
      <c r="E49" s="25"/>
      <c r="F49" s="30"/>
      <c r="G49" s="30"/>
      <c r="H49" s="30"/>
      <c r="I49" s="30"/>
      <c r="J49" s="30"/>
      <c r="K49" s="30"/>
      <c r="L49" s="30"/>
      <c r="M49" s="30"/>
      <c r="N49" s="30"/>
      <c r="O49" s="30"/>
      <c r="P49" s="30"/>
      <c r="Q49" s="25"/>
      <c r="R49" s="25"/>
      <c r="S49" s="25"/>
      <c r="T49" s="39" t="s">
        <v>201</v>
      </c>
      <c r="U49" s="25"/>
      <c r="V49" s="5"/>
    </row>
    <row r="50" spans="1:23" ht="15.6" x14ac:dyDescent="0.3">
      <c r="A50" s="24"/>
      <c r="B50" s="25" t="s">
        <v>176</v>
      </c>
      <c r="C50" s="25"/>
      <c r="D50" s="30"/>
      <c r="E50" s="25"/>
      <c r="F50" s="30"/>
      <c r="G50" s="30"/>
      <c r="H50" s="30"/>
      <c r="I50" s="30"/>
      <c r="J50" s="30"/>
      <c r="K50" s="30"/>
      <c r="L50" s="30"/>
      <c r="M50" s="30"/>
      <c r="N50" s="30"/>
      <c r="O50" s="30"/>
      <c r="P50" s="30"/>
      <c r="Q50" s="25"/>
      <c r="R50" s="25"/>
      <c r="S50" s="25"/>
      <c r="T50" s="39">
        <f>SUM(J34:P34)/SUM(D34:H34)</f>
        <v>0.15279804679664968</v>
      </c>
      <c r="U50" s="25"/>
      <c r="V50" s="5"/>
    </row>
    <row r="51" spans="1:23" ht="15.6" x14ac:dyDescent="0.3">
      <c r="A51" s="24"/>
      <c r="B51" s="25" t="s">
        <v>177</v>
      </c>
      <c r="C51" s="25"/>
      <c r="D51" s="25"/>
      <c r="E51" s="25"/>
      <c r="F51" s="41"/>
      <c r="G51" s="25"/>
      <c r="H51" s="25"/>
      <c r="I51" s="25"/>
      <c r="J51" s="25"/>
      <c r="K51" s="25"/>
      <c r="L51" s="25"/>
      <c r="M51" s="25"/>
      <c r="N51" s="25"/>
      <c r="O51" s="25"/>
      <c r="P51" s="25"/>
      <c r="Q51" s="25"/>
      <c r="R51" s="25"/>
      <c r="S51" s="25"/>
      <c r="T51" s="39">
        <f>SUM(J36:P36)/SUM(D36:H36)</f>
        <v>0.1656826927648975</v>
      </c>
      <c r="U51" s="25"/>
      <c r="V51" s="5"/>
    </row>
    <row r="52" spans="1:23" ht="15.6" x14ac:dyDescent="0.3">
      <c r="A52" s="24"/>
      <c r="B52" s="25" t="s">
        <v>178</v>
      </c>
      <c r="C52" s="25"/>
      <c r="D52" s="25"/>
      <c r="E52" s="25"/>
      <c r="F52" s="25"/>
      <c r="G52" s="25"/>
      <c r="H52" s="25"/>
      <c r="I52" s="25"/>
      <c r="J52" s="25"/>
      <c r="K52" s="25"/>
      <c r="L52" s="25"/>
      <c r="M52" s="25"/>
      <c r="N52" s="25"/>
      <c r="O52" s="25"/>
      <c r="P52" s="25"/>
      <c r="Q52" s="25"/>
      <c r="R52" s="30" t="s">
        <v>109</v>
      </c>
      <c r="S52" s="30" t="s">
        <v>115</v>
      </c>
      <c r="T52" s="31">
        <f>+T34/2-SUM(J34:P34)</f>
        <v>367473</v>
      </c>
      <c r="U52" s="25"/>
      <c r="V52" s="5"/>
    </row>
    <row r="53" spans="1:23" ht="15.6" x14ac:dyDescent="0.3">
      <c r="A53" s="24"/>
      <c r="B53" s="25"/>
      <c r="C53" s="25"/>
      <c r="D53" s="25"/>
      <c r="E53" s="25"/>
      <c r="F53" s="25"/>
      <c r="G53" s="25"/>
      <c r="H53" s="25"/>
      <c r="I53" s="25"/>
      <c r="J53" s="25"/>
      <c r="K53" s="25"/>
      <c r="L53" s="25"/>
      <c r="M53" s="25"/>
      <c r="N53" s="25"/>
      <c r="O53" s="25"/>
      <c r="P53" s="25"/>
      <c r="Q53" s="25"/>
      <c r="R53" s="25"/>
      <c r="S53" s="25"/>
      <c r="T53" s="42"/>
      <c r="U53" s="25"/>
      <c r="V53" s="5"/>
    </row>
    <row r="54" spans="1:23" ht="15.6" x14ac:dyDescent="0.3">
      <c r="A54" s="24"/>
      <c r="B54" s="25" t="s">
        <v>211</v>
      </c>
      <c r="C54" s="25"/>
      <c r="D54" s="25"/>
      <c r="E54" s="25"/>
      <c r="F54" s="25"/>
      <c r="G54" s="25"/>
      <c r="H54" s="25"/>
      <c r="I54" s="25"/>
      <c r="J54" s="25"/>
      <c r="K54" s="25"/>
      <c r="L54" s="25"/>
      <c r="M54" s="25"/>
      <c r="N54" s="25"/>
      <c r="O54" s="25"/>
      <c r="P54" s="25"/>
      <c r="Q54" s="25"/>
      <c r="R54" s="25"/>
      <c r="S54" s="25"/>
      <c r="T54" s="156" t="s">
        <v>212</v>
      </c>
      <c r="U54" s="25"/>
      <c r="V54" s="5"/>
    </row>
    <row r="55" spans="1:23" ht="15.6" x14ac:dyDescent="0.3">
      <c r="A55" s="24"/>
      <c r="B55" s="25" t="s">
        <v>253</v>
      </c>
      <c r="C55" s="25"/>
      <c r="D55" s="25"/>
      <c r="E55" s="25"/>
      <c r="F55" s="25"/>
      <c r="G55" s="25"/>
      <c r="H55" s="25"/>
      <c r="I55" s="25"/>
      <c r="J55" s="25"/>
      <c r="K55" s="25"/>
      <c r="L55" s="25"/>
      <c r="M55" s="25"/>
      <c r="N55" s="25"/>
      <c r="O55" s="25"/>
      <c r="P55" s="25"/>
      <c r="Q55" s="25"/>
      <c r="R55" s="30"/>
      <c r="S55" s="30"/>
      <c r="T55" s="157" t="s">
        <v>117</v>
      </c>
      <c r="U55" s="25"/>
      <c r="V55" s="5"/>
    </row>
    <row r="56" spans="1:23" ht="15.6" x14ac:dyDescent="0.3">
      <c r="A56" s="24"/>
      <c r="B56" s="29" t="s">
        <v>210</v>
      </c>
      <c r="C56" s="29"/>
      <c r="D56" s="29"/>
      <c r="E56" s="29"/>
      <c r="F56" s="29"/>
      <c r="G56" s="29"/>
      <c r="H56" s="29"/>
      <c r="I56" s="29"/>
      <c r="J56" s="29"/>
      <c r="K56" s="29"/>
      <c r="L56" s="29"/>
      <c r="M56" s="29"/>
      <c r="N56" s="29"/>
      <c r="O56" s="29"/>
      <c r="P56" s="29"/>
      <c r="Q56" s="29"/>
      <c r="R56" s="43"/>
      <c r="S56" s="43"/>
      <c r="T56" s="44">
        <v>39188</v>
      </c>
      <c r="U56" s="25"/>
      <c r="V56" s="5"/>
    </row>
    <row r="57" spans="1:23" ht="15.6" x14ac:dyDescent="0.3">
      <c r="A57" s="24"/>
      <c r="B57" s="25" t="s">
        <v>127</v>
      </c>
      <c r="C57" s="25"/>
      <c r="D57" s="25"/>
      <c r="E57" s="25"/>
      <c r="F57" s="25"/>
      <c r="G57" s="25"/>
      <c r="H57" s="58"/>
      <c r="I57" s="58"/>
      <c r="J57" s="58"/>
      <c r="K57" s="58"/>
      <c r="L57" s="58"/>
      <c r="M57" s="58"/>
      <c r="N57" s="58"/>
      <c r="O57" s="58"/>
      <c r="P57" s="25">
        <f>+T57-R57+1</f>
        <v>92</v>
      </c>
      <c r="Q57" s="58"/>
      <c r="R57" s="45">
        <v>39006</v>
      </c>
      <c r="S57" s="46"/>
      <c r="T57" s="45">
        <v>39097</v>
      </c>
      <c r="U57" s="25"/>
      <c r="V57" s="5"/>
    </row>
    <row r="58" spans="1:23" ht="15.6" x14ac:dyDescent="0.3">
      <c r="A58" s="24"/>
      <c r="B58" s="25" t="s">
        <v>128</v>
      </c>
      <c r="C58" s="25"/>
      <c r="D58" s="25"/>
      <c r="E58" s="25"/>
      <c r="F58" s="25"/>
      <c r="G58" s="25"/>
      <c r="H58" s="25"/>
      <c r="I58" s="25"/>
      <c r="J58" s="25"/>
      <c r="K58" s="25"/>
      <c r="L58" s="25"/>
      <c r="M58" s="25"/>
      <c r="N58" s="25"/>
      <c r="O58" s="25"/>
      <c r="P58" s="25">
        <f>+T58-R58+1</f>
        <v>90</v>
      </c>
      <c r="Q58" s="25"/>
      <c r="R58" s="45">
        <v>39098</v>
      </c>
      <c r="S58" s="46"/>
      <c r="T58" s="45">
        <v>39187</v>
      </c>
      <c r="U58" s="25"/>
      <c r="V58" s="5"/>
    </row>
    <row r="59" spans="1:23" ht="15.6" x14ac:dyDescent="0.3">
      <c r="A59" s="24"/>
      <c r="B59" s="25" t="s">
        <v>209</v>
      </c>
      <c r="C59" s="25"/>
      <c r="D59" s="25"/>
      <c r="E59" s="25"/>
      <c r="F59" s="25"/>
      <c r="G59" s="25"/>
      <c r="H59" s="25"/>
      <c r="I59" s="25"/>
      <c r="J59" s="25"/>
      <c r="K59" s="25"/>
      <c r="L59" s="25"/>
      <c r="M59" s="25"/>
      <c r="N59" s="25"/>
      <c r="O59" s="25"/>
      <c r="P59" s="25"/>
      <c r="Q59" s="25"/>
      <c r="R59" s="45"/>
      <c r="S59" s="46"/>
      <c r="T59" s="45" t="s">
        <v>126</v>
      </c>
      <c r="U59" s="25"/>
      <c r="V59" s="5"/>
    </row>
    <row r="60" spans="1:23" ht="15.6" x14ac:dyDescent="0.3">
      <c r="A60" s="24"/>
      <c r="B60" s="25" t="s">
        <v>249</v>
      </c>
      <c r="C60" s="25"/>
      <c r="D60" s="25"/>
      <c r="E60" s="25"/>
      <c r="F60" s="25"/>
      <c r="G60" s="25"/>
      <c r="H60" s="25"/>
      <c r="I60" s="25"/>
      <c r="J60" s="25"/>
      <c r="K60" s="25"/>
      <c r="L60" s="25"/>
      <c r="M60" s="25"/>
      <c r="N60" s="25"/>
      <c r="O60" s="25"/>
      <c r="P60" s="25"/>
      <c r="Q60" s="25"/>
      <c r="R60" s="45"/>
      <c r="S60" s="46"/>
      <c r="T60" s="45" t="s">
        <v>160</v>
      </c>
      <c r="U60" s="25"/>
      <c r="V60" s="5"/>
      <c r="W60" s="134"/>
    </row>
    <row r="61" spans="1:23" ht="15.6" x14ac:dyDescent="0.3">
      <c r="A61" s="24"/>
      <c r="B61" s="25" t="s">
        <v>16</v>
      </c>
      <c r="C61" s="25"/>
      <c r="D61" s="25"/>
      <c r="E61" s="25"/>
      <c r="F61" s="25"/>
      <c r="G61" s="25"/>
      <c r="H61" s="25"/>
      <c r="I61" s="25"/>
      <c r="J61" s="25"/>
      <c r="K61" s="25"/>
      <c r="L61" s="25"/>
      <c r="M61" s="25"/>
      <c r="N61" s="25"/>
      <c r="O61" s="25"/>
      <c r="P61" s="25"/>
      <c r="Q61" s="25"/>
      <c r="R61" s="45"/>
      <c r="S61" s="46"/>
      <c r="T61" s="45">
        <v>39174</v>
      </c>
      <c r="U61" s="25"/>
      <c r="V61" s="5"/>
    </row>
    <row r="62" spans="1:23" ht="15.6" x14ac:dyDescent="0.3">
      <c r="A62" s="24"/>
      <c r="B62" s="25"/>
      <c r="C62" s="25"/>
      <c r="D62" s="25"/>
      <c r="E62" s="25"/>
      <c r="F62" s="25"/>
      <c r="G62" s="25"/>
      <c r="H62" s="25"/>
      <c r="I62" s="25"/>
      <c r="J62" s="25"/>
      <c r="K62" s="25"/>
      <c r="L62" s="25"/>
      <c r="M62" s="25"/>
      <c r="N62" s="25"/>
      <c r="O62" s="25"/>
      <c r="P62" s="25"/>
      <c r="Q62" s="25"/>
      <c r="R62" s="45"/>
      <c r="S62" s="46"/>
      <c r="T62" s="45"/>
      <c r="U62" s="25"/>
      <c r="V62" s="5"/>
    </row>
    <row r="63" spans="1:23" ht="15.6" x14ac:dyDescent="0.3">
      <c r="A63" s="6"/>
      <c r="B63" s="8"/>
      <c r="C63" s="8"/>
      <c r="D63" s="8"/>
      <c r="E63" s="8"/>
      <c r="F63" s="8"/>
      <c r="G63" s="8"/>
      <c r="H63" s="8"/>
      <c r="I63" s="8"/>
      <c r="J63" s="8"/>
      <c r="K63" s="8"/>
      <c r="L63" s="8"/>
      <c r="M63" s="8"/>
      <c r="N63" s="8"/>
      <c r="O63" s="8"/>
      <c r="P63" s="8"/>
      <c r="Q63" s="8"/>
      <c r="R63" s="47"/>
      <c r="S63" s="48"/>
      <c r="T63" s="47"/>
      <c r="U63" s="8"/>
      <c r="V63" s="5"/>
    </row>
    <row r="64" spans="1:23" ht="18" thickBot="1" x14ac:dyDescent="0.35">
      <c r="A64" s="101"/>
      <c r="B64" s="102" t="s">
        <v>265</v>
      </c>
      <c r="C64" s="103"/>
      <c r="D64" s="103"/>
      <c r="E64" s="103"/>
      <c r="F64" s="103"/>
      <c r="G64" s="103"/>
      <c r="H64" s="103"/>
      <c r="I64" s="103"/>
      <c r="J64" s="103"/>
      <c r="K64" s="103"/>
      <c r="L64" s="103"/>
      <c r="M64" s="103"/>
      <c r="N64" s="103"/>
      <c r="O64" s="103"/>
      <c r="P64" s="103"/>
      <c r="Q64" s="103"/>
      <c r="R64" s="103"/>
      <c r="S64" s="103"/>
      <c r="T64" s="104"/>
      <c r="U64" s="105"/>
      <c r="V64" s="5"/>
    </row>
    <row r="65" spans="1:22" ht="15.6" x14ac:dyDescent="0.3">
      <c r="A65" s="2"/>
      <c r="B65" s="4"/>
      <c r="C65" s="4"/>
      <c r="D65" s="4"/>
      <c r="E65" s="4"/>
      <c r="F65" s="4"/>
      <c r="G65" s="4"/>
      <c r="H65" s="4"/>
      <c r="I65" s="4"/>
      <c r="J65" s="4"/>
      <c r="K65" s="4"/>
      <c r="L65" s="4"/>
      <c r="M65" s="4"/>
      <c r="N65" s="4"/>
      <c r="O65" s="4"/>
      <c r="P65" s="4"/>
      <c r="Q65" s="4"/>
      <c r="R65" s="4"/>
      <c r="S65" s="4"/>
      <c r="T65" s="50"/>
      <c r="U65" s="4"/>
      <c r="V65" s="5"/>
    </row>
    <row r="66" spans="1:22" ht="15.6" x14ac:dyDescent="0.3">
      <c r="A66" s="6"/>
      <c r="B66" s="51" t="s">
        <v>17</v>
      </c>
      <c r="C66" s="8"/>
      <c r="D66" s="8"/>
      <c r="E66" s="8"/>
      <c r="F66" s="8"/>
      <c r="G66" s="8"/>
      <c r="H66" s="8"/>
      <c r="I66" s="8"/>
      <c r="J66" s="8"/>
      <c r="K66" s="8"/>
      <c r="L66" s="8"/>
      <c r="M66" s="8"/>
      <c r="N66" s="8"/>
      <c r="O66" s="8"/>
      <c r="P66" s="8"/>
      <c r="Q66" s="8"/>
      <c r="R66" s="8"/>
      <c r="S66" s="8"/>
      <c r="T66" s="52"/>
      <c r="U66" s="8"/>
      <c r="V66" s="5"/>
    </row>
    <row r="67" spans="1:22" ht="15.6" x14ac:dyDescent="0.3">
      <c r="A67" s="6"/>
      <c r="B67" s="13"/>
      <c r="C67" s="8"/>
      <c r="D67" s="8"/>
      <c r="E67" s="8"/>
      <c r="F67" s="8"/>
      <c r="G67" s="8"/>
      <c r="H67" s="8"/>
      <c r="I67" s="8"/>
      <c r="J67" s="8"/>
      <c r="K67" s="8"/>
      <c r="L67" s="8"/>
      <c r="M67" s="8"/>
      <c r="N67" s="8"/>
      <c r="O67" s="8"/>
      <c r="P67" s="8"/>
      <c r="Q67" s="8"/>
      <c r="R67" s="8"/>
      <c r="S67" s="8"/>
      <c r="T67" s="52"/>
      <c r="U67" s="8"/>
      <c r="V67" s="5"/>
    </row>
    <row r="68" spans="1:22" ht="46.8" x14ac:dyDescent="0.3">
      <c r="A68" s="6"/>
      <c r="B68" s="114" t="s">
        <v>18</v>
      </c>
      <c r="C68" s="115"/>
      <c r="D68" s="115"/>
      <c r="E68" s="115"/>
      <c r="F68" s="115"/>
      <c r="G68" s="115"/>
      <c r="H68" s="115"/>
      <c r="I68" s="115"/>
      <c r="J68" s="115" t="s">
        <v>97</v>
      </c>
      <c r="K68" s="115"/>
      <c r="L68" s="115" t="s">
        <v>99</v>
      </c>
      <c r="M68" s="115"/>
      <c r="N68" s="115" t="s">
        <v>101</v>
      </c>
      <c r="O68" s="115"/>
      <c r="P68" s="115" t="s">
        <v>103</v>
      </c>
      <c r="Q68" s="115"/>
      <c r="R68" s="115" t="s">
        <v>110</v>
      </c>
      <c r="S68" s="115"/>
      <c r="T68" s="116" t="s">
        <v>118</v>
      </c>
      <c r="U68" s="117"/>
      <c r="V68" s="5"/>
    </row>
    <row r="69" spans="1:22" ht="15.6" x14ac:dyDescent="0.3">
      <c r="A69" s="24"/>
      <c r="B69" s="25" t="s">
        <v>19</v>
      </c>
      <c r="C69" s="34"/>
      <c r="D69" s="34"/>
      <c r="E69" s="34"/>
      <c r="F69" s="34"/>
      <c r="G69" s="34"/>
      <c r="H69" s="34"/>
      <c r="I69" s="34"/>
      <c r="J69" s="34">
        <v>1000039</v>
      </c>
      <c r="K69" s="34"/>
      <c r="L69" s="53">
        <v>951263</v>
      </c>
      <c r="M69" s="34"/>
      <c r="N69" s="34">
        <f>18676+2431+655</f>
        <v>21762</v>
      </c>
      <c r="O69" s="34"/>
      <c r="P69" s="34">
        <f>2431+655</f>
        <v>3086</v>
      </c>
      <c r="Q69" s="34"/>
      <c r="R69" s="34">
        <v>0</v>
      </c>
      <c r="S69" s="34"/>
      <c r="T69" s="53">
        <f>+L69-N69+P69-R69</f>
        <v>932587</v>
      </c>
      <c r="U69" s="25"/>
      <c r="V69" s="5"/>
    </row>
    <row r="70" spans="1:22" ht="15.6" x14ac:dyDescent="0.3">
      <c r="A70" s="24"/>
      <c r="B70" s="25" t="s">
        <v>20</v>
      </c>
      <c r="C70" s="34"/>
      <c r="D70" s="34"/>
      <c r="E70" s="34"/>
      <c r="F70" s="34"/>
      <c r="G70" s="34"/>
      <c r="H70" s="34"/>
      <c r="I70" s="34"/>
      <c r="J70" s="34">
        <v>10</v>
      </c>
      <c r="K70" s="34"/>
      <c r="L70" s="53">
        <v>0</v>
      </c>
      <c r="M70" s="34"/>
      <c r="N70" s="34">
        <v>0</v>
      </c>
      <c r="O70" s="34"/>
      <c r="P70" s="34">
        <v>0</v>
      </c>
      <c r="Q70" s="34"/>
      <c r="R70" s="34">
        <v>0</v>
      </c>
      <c r="S70" s="34"/>
      <c r="T70" s="53">
        <v>0</v>
      </c>
      <c r="U70" s="25"/>
      <c r="V70" s="5"/>
    </row>
    <row r="71" spans="1:22" ht="15.6" x14ac:dyDescent="0.3">
      <c r="A71" s="24"/>
      <c r="B71" s="25"/>
      <c r="C71" s="34"/>
      <c r="D71" s="34"/>
      <c r="E71" s="34"/>
      <c r="F71" s="34"/>
      <c r="G71" s="34"/>
      <c r="H71" s="34"/>
      <c r="I71" s="34"/>
      <c r="J71" s="34"/>
      <c r="K71" s="34"/>
      <c r="L71" s="53"/>
      <c r="M71" s="34"/>
      <c r="N71" s="34"/>
      <c r="O71" s="34"/>
      <c r="P71" s="34"/>
      <c r="Q71" s="34"/>
      <c r="R71" s="34"/>
      <c r="S71" s="34"/>
      <c r="T71" s="53"/>
      <c r="U71" s="25"/>
      <c r="V71" s="5"/>
    </row>
    <row r="72" spans="1:22" ht="15.6" x14ac:dyDescent="0.3">
      <c r="A72" s="24"/>
      <c r="B72" s="25" t="s">
        <v>21</v>
      </c>
      <c r="C72" s="34"/>
      <c r="D72" s="34"/>
      <c r="E72" s="34"/>
      <c r="F72" s="34"/>
      <c r="G72" s="34"/>
      <c r="H72" s="34"/>
      <c r="I72" s="34"/>
      <c r="J72" s="34">
        <f>SUM(J69:J71)</f>
        <v>1000049</v>
      </c>
      <c r="K72" s="34"/>
      <c r="L72" s="54">
        <f>L69+L70</f>
        <v>951263</v>
      </c>
      <c r="M72" s="34"/>
      <c r="N72" s="34">
        <f>SUM(N69:N71)</f>
        <v>21762</v>
      </c>
      <c r="O72" s="34"/>
      <c r="P72" s="34">
        <f>SUM(P69:P71)</f>
        <v>3086</v>
      </c>
      <c r="Q72" s="34"/>
      <c r="R72" s="34">
        <f>SUM(R69:R71)</f>
        <v>0</v>
      </c>
      <c r="S72" s="34"/>
      <c r="T72" s="54">
        <f>SUM(T69:T71)</f>
        <v>932587</v>
      </c>
      <c r="U72" s="25"/>
      <c r="V72" s="5"/>
    </row>
    <row r="73" spans="1:22" ht="15.6" x14ac:dyDescent="0.3">
      <c r="A73" s="24"/>
      <c r="B73" s="25"/>
      <c r="C73" s="34"/>
      <c r="D73" s="34"/>
      <c r="E73" s="34"/>
      <c r="F73" s="34"/>
      <c r="G73" s="34"/>
      <c r="H73" s="34"/>
      <c r="I73" s="34"/>
      <c r="J73" s="34"/>
      <c r="K73" s="34"/>
      <c r="L73" s="34"/>
      <c r="M73" s="34"/>
      <c r="N73" s="34"/>
      <c r="O73" s="34"/>
      <c r="P73" s="34"/>
      <c r="Q73" s="34"/>
      <c r="R73" s="34"/>
      <c r="S73" s="34"/>
      <c r="T73" s="54"/>
      <c r="U73" s="25"/>
      <c r="V73" s="5"/>
    </row>
    <row r="74" spans="1:22" ht="15.6" x14ac:dyDescent="0.3">
      <c r="A74" s="6"/>
      <c r="B74" s="111" t="s">
        <v>22</v>
      </c>
      <c r="C74" s="55"/>
      <c r="D74" s="55"/>
      <c r="E74" s="55"/>
      <c r="F74" s="55"/>
      <c r="G74" s="55"/>
      <c r="H74" s="55"/>
      <c r="I74" s="55"/>
      <c r="J74" s="55"/>
      <c r="K74" s="55"/>
      <c r="L74" s="55"/>
      <c r="M74" s="55"/>
      <c r="N74" s="55"/>
      <c r="O74" s="55"/>
      <c r="P74" s="55"/>
      <c r="Q74" s="55"/>
      <c r="R74" s="55"/>
      <c r="S74" s="55"/>
      <c r="T74" s="56"/>
      <c r="U74" s="8"/>
      <c r="V74" s="5"/>
    </row>
    <row r="75" spans="1:22" ht="15.6" x14ac:dyDescent="0.3">
      <c r="A75" s="6"/>
      <c r="B75" s="8"/>
      <c r="C75" s="55"/>
      <c r="D75" s="55"/>
      <c r="E75" s="55"/>
      <c r="F75" s="55"/>
      <c r="G75" s="55"/>
      <c r="H75" s="55"/>
      <c r="I75" s="55"/>
      <c r="J75" s="55"/>
      <c r="K75" s="55"/>
      <c r="L75" s="55"/>
      <c r="M75" s="55"/>
      <c r="N75" s="55"/>
      <c r="O75" s="55"/>
      <c r="P75" s="55"/>
      <c r="Q75" s="55"/>
      <c r="R75" s="55"/>
      <c r="S75" s="55"/>
      <c r="T75" s="56"/>
      <c r="U75" s="8"/>
      <c r="V75" s="5"/>
    </row>
    <row r="76" spans="1:22" ht="15.6" x14ac:dyDescent="0.3">
      <c r="A76" s="24"/>
      <c r="B76" s="25" t="s">
        <v>19</v>
      </c>
      <c r="C76" s="34"/>
      <c r="D76" s="34"/>
      <c r="E76" s="34"/>
      <c r="F76" s="34"/>
      <c r="G76" s="34"/>
      <c r="H76" s="34"/>
      <c r="I76" s="34"/>
      <c r="J76" s="34"/>
      <c r="K76" s="34"/>
      <c r="L76" s="34"/>
      <c r="M76" s="34"/>
      <c r="N76" s="34"/>
      <c r="O76" s="34"/>
      <c r="P76" s="34"/>
      <c r="Q76" s="34"/>
      <c r="R76" s="34"/>
      <c r="S76" s="34"/>
      <c r="T76" s="54"/>
      <c r="U76" s="25"/>
      <c r="V76" s="5"/>
    </row>
    <row r="77" spans="1:22" ht="15.6" x14ac:dyDescent="0.3">
      <c r="A77" s="24"/>
      <c r="B77" s="25" t="s">
        <v>20</v>
      </c>
      <c r="C77" s="34"/>
      <c r="D77" s="34"/>
      <c r="E77" s="34"/>
      <c r="F77" s="34"/>
      <c r="G77" s="34"/>
      <c r="H77" s="34"/>
      <c r="I77" s="34"/>
      <c r="J77" s="34"/>
      <c r="K77" s="34"/>
      <c r="L77" s="34"/>
      <c r="M77" s="34"/>
      <c r="N77" s="34"/>
      <c r="O77" s="34"/>
      <c r="P77" s="34"/>
      <c r="Q77" s="34"/>
      <c r="R77" s="34"/>
      <c r="S77" s="34"/>
      <c r="T77" s="54"/>
      <c r="U77" s="25"/>
      <c r="V77" s="5"/>
    </row>
    <row r="78" spans="1:22" ht="15.6" x14ac:dyDescent="0.3">
      <c r="A78" s="24"/>
      <c r="B78" s="25"/>
      <c r="C78" s="34"/>
      <c r="D78" s="34"/>
      <c r="E78" s="34"/>
      <c r="F78" s="34"/>
      <c r="G78" s="34"/>
      <c r="H78" s="34"/>
      <c r="I78" s="34"/>
      <c r="J78" s="34"/>
      <c r="K78" s="34"/>
      <c r="L78" s="34"/>
      <c r="M78" s="34"/>
      <c r="N78" s="34"/>
      <c r="O78" s="34"/>
      <c r="P78" s="34"/>
      <c r="Q78" s="34"/>
      <c r="R78" s="34"/>
      <c r="S78" s="34"/>
      <c r="T78" s="54"/>
      <c r="U78" s="25"/>
      <c r="V78" s="5"/>
    </row>
    <row r="79" spans="1:22" ht="15.6" x14ac:dyDescent="0.3">
      <c r="A79" s="24"/>
      <c r="B79" s="25" t="s">
        <v>21</v>
      </c>
      <c r="C79" s="34"/>
      <c r="D79" s="34"/>
      <c r="E79" s="34"/>
      <c r="F79" s="34"/>
      <c r="G79" s="34"/>
      <c r="H79" s="34"/>
      <c r="I79" s="34"/>
      <c r="J79" s="34"/>
      <c r="K79" s="34"/>
      <c r="L79" s="34"/>
      <c r="M79" s="34"/>
      <c r="N79" s="34"/>
      <c r="O79" s="34"/>
      <c r="P79" s="34"/>
      <c r="Q79" s="34"/>
      <c r="R79" s="34"/>
      <c r="S79" s="34"/>
      <c r="T79" s="34"/>
      <c r="U79" s="25"/>
      <c r="V79" s="5"/>
    </row>
    <row r="80" spans="1:22" ht="15.6" x14ac:dyDescent="0.3">
      <c r="A80" s="24"/>
      <c r="B80" s="25"/>
      <c r="C80" s="34"/>
      <c r="D80" s="34"/>
      <c r="E80" s="34"/>
      <c r="F80" s="34"/>
      <c r="G80" s="34"/>
      <c r="H80" s="34"/>
      <c r="I80" s="34"/>
      <c r="J80" s="34"/>
      <c r="K80" s="34"/>
      <c r="L80" s="34"/>
      <c r="M80" s="34"/>
      <c r="N80" s="34"/>
      <c r="O80" s="34"/>
      <c r="P80" s="34"/>
      <c r="Q80" s="34"/>
      <c r="R80" s="34"/>
      <c r="S80" s="34"/>
      <c r="T80" s="34"/>
      <c r="U80" s="25"/>
      <c r="V80" s="5"/>
    </row>
    <row r="81" spans="1:22" ht="15.6" x14ac:dyDescent="0.3">
      <c r="A81" s="24"/>
      <c r="B81" s="25" t="s">
        <v>23</v>
      </c>
      <c r="C81" s="34"/>
      <c r="D81" s="34"/>
      <c r="E81" s="34"/>
      <c r="F81" s="34"/>
      <c r="G81" s="34"/>
      <c r="H81" s="34"/>
      <c r="I81" s="34"/>
      <c r="J81" s="34">
        <v>0</v>
      </c>
      <c r="K81" s="34"/>
      <c r="L81" s="34">
        <v>0</v>
      </c>
      <c r="M81" s="34"/>
      <c r="N81" s="34"/>
      <c r="O81" s="34"/>
      <c r="P81" s="34"/>
      <c r="Q81" s="34"/>
      <c r="R81" s="34"/>
      <c r="S81" s="34"/>
      <c r="T81" s="53">
        <v>0</v>
      </c>
      <c r="U81" s="25"/>
      <c r="V81" s="5"/>
    </row>
    <row r="82" spans="1:22" ht="15.6" x14ac:dyDescent="0.3">
      <c r="A82" s="24"/>
      <c r="B82" s="25" t="s">
        <v>123</v>
      </c>
      <c r="C82" s="34"/>
      <c r="D82" s="34"/>
      <c r="E82" s="34"/>
      <c r="F82" s="34"/>
      <c r="G82" s="34"/>
      <c r="H82" s="34"/>
      <c r="I82" s="34"/>
      <c r="J82" s="34">
        <v>0</v>
      </c>
      <c r="K82" s="34"/>
      <c r="L82" s="34">
        <v>0</v>
      </c>
      <c r="M82" s="34"/>
      <c r="N82" s="34"/>
      <c r="O82" s="34"/>
      <c r="P82" s="34"/>
      <c r="Q82" s="34"/>
      <c r="R82" s="34"/>
      <c r="S82" s="34"/>
      <c r="T82" s="54">
        <f>SUM(J82:P82)</f>
        <v>0</v>
      </c>
      <c r="U82" s="25"/>
      <c r="V82" s="5"/>
    </row>
    <row r="83" spans="1:22" ht="15.6" x14ac:dyDescent="0.3">
      <c r="A83" s="24"/>
      <c r="B83" s="25" t="s">
        <v>152</v>
      </c>
      <c r="C83" s="34"/>
      <c r="D83" s="34"/>
      <c r="E83" s="34"/>
      <c r="F83" s="34"/>
      <c r="G83" s="34"/>
      <c r="H83" s="34"/>
      <c r="I83" s="34"/>
      <c r="J83" s="34">
        <v>1</v>
      </c>
      <c r="K83" s="34"/>
      <c r="L83" s="34">
        <v>0</v>
      </c>
      <c r="M83" s="34"/>
      <c r="N83" s="34">
        <v>0</v>
      </c>
      <c r="O83" s="34"/>
      <c r="P83" s="34"/>
      <c r="Q83" s="34"/>
      <c r="R83" s="34"/>
      <c r="S83" s="34"/>
      <c r="T83" s="54">
        <f>+L83+N83</f>
        <v>0</v>
      </c>
      <c r="U83" s="25"/>
      <c r="V83" s="5"/>
    </row>
    <row r="84" spans="1:22" ht="15.6" x14ac:dyDescent="0.3">
      <c r="A84" s="24"/>
      <c r="B84" s="25" t="s">
        <v>25</v>
      </c>
      <c r="C84" s="34"/>
      <c r="D84" s="34"/>
      <c r="E84" s="34"/>
      <c r="F84" s="34"/>
      <c r="G84" s="34"/>
      <c r="H84" s="34"/>
      <c r="I84" s="34"/>
      <c r="J84" s="34">
        <v>0</v>
      </c>
      <c r="K84" s="34"/>
      <c r="L84" s="34">
        <v>0</v>
      </c>
      <c r="M84" s="34"/>
      <c r="N84" s="34"/>
      <c r="O84" s="34"/>
      <c r="P84" s="34"/>
      <c r="Q84" s="34"/>
      <c r="R84" s="34"/>
      <c r="S84" s="34"/>
      <c r="T84" s="54">
        <v>0</v>
      </c>
      <c r="U84" s="25"/>
      <c r="V84" s="5"/>
    </row>
    <row r="85" spans="1:22" ht="15.6" x14ac:dyDescent="0.3">
      <c r="A85" s="24"/>
      <c r="B85" s="25" t="s">
        <v>26</v>
      </c>
      <c r="C85" s="34"/>
      <c r="D85" s="34"/>
      <c r="E85" s="34"/>
      <c r="F85" s="54"/>
      <c r="G85" s="34"/>
      <c r="H85" s="54"/>
      <c r="I85" s="54"/>
      <c r="J85" s="54">
        <f>SUM(J72:J84)</f>
        <v>1000050</v>
      </c>
      <c r="K85" s="34"/>
      <c r="L85" s="54">
        <f>SUM(L72:L84)</f>
        <v>951263</v>
      </c>
      <c r="M85" s="34"/>
      <c r="N85" s="34"/>
      <c r="O85" s="34"/>
      <c r="P85" s="34"/>
      <c r="Q85" s="34"/>
      <c r="R85" s="54"/>
      <c r="S85" s="34"/>
      <c r="T85" s="54">
        <f>SUM(T72:T84)</f>
        <v>932587</v>
      </c>
      <c r="U85" s="25"/>
      <c r="V85" s="5"/>
    </row>
    <row r="86" spans="1:22" ht="15.6" x14ac:dyDescent="0.3">
      <c r="A86" s="24"/>
      <c r="B86" s="25"/>
      <c r="C86" s="34"/>
      <c r="D86" s="34"/>
      <c r="E86" s="34"/>
      <c r="F86" s="34"/>
      <c r="G86" s="34"/>
      <c r="H86" s="34"/>
      <c r="I86" s="34"/>
      <c r="J86" s="34"/>
      <c r="K86" s="34"/>
      <c r="L86" s="34"/>
      <c r="M86" s="34"/>
      <c r="N86" s="34"/>
      <c r="O86" s="34"/>
      <c r="P86" s="34"/>
      <c r="Q86" s="34"/>
      <c r="R86" s="34"/>
      <c r="S86" s="34"/>
      <c r="T86" s="54"/>
      <c r="U86" s="25"/>
      <c r="V86" s="5"/>
    </row>
    <row r="87" spans="1:22" ht="15.6" x14ac:dyDescent="0.3">
      <c r="A87" s="6"/>
      <c r="B87" s="8"/>
      <c r="C87" s="8"/>
      <c r="D87" s="8"/>
      <c r="E87" s="8"/>
      <c r="F87" s="8"/>
      <c r="G87" s="8"/>
      <c r="H87" s="8"/>
      <c r="I87" s="8"/>
      <c r="J87" s="8"/>
      <c r="K87" s="8"/>
      <c r="L87" s="8"/>
      <c r="M87" s="8"/>
      <c r="N87" s="8"/>
      <c r="O87" s="8"/>
      <c r="P87" s="8"/>
      <c r="Q87" s="8"/>
      <c r="R87" s="8"/>
      <c r="S87" s="8"/>
      <c r="T87" s="8"/>
      <c r="U87" s="8"/>
      <c r="V87" s="5"/>
    </row>
    <row r="88" spans="1:22" ht="15.6" x14ac:dyDescent="0.3">
      <c r="A88" s="6"/>
      <c r="B88" s="51" t="s">
        <v>27</v>
      </c>
      <c r="C88" s="14"/>
      <c r="D88" s="14"/>
      <c r="E88" s="14"/>
      <c r="F88" s="14"/>
      <c r="G88" s="14"/>
      <c r="H88" s="17"/>
      <c r="I88" s="17"/>
      <c r="J88" s="159" t="s">
        <v>98</v>
      </c>
      <c r="K88" s="17"/>
      <c r="L88" s="158">
        <f>+R192</f>
        <v>39171</v>
      </c>
      <c r="M88" s="17"/>
      <c r="N88" s="17"/>
      <c r="O88" s="17"/>
      <c r="P88" s="17"/>
      <c r="Q88" s="17"/>
      <c r="R88" s="17" t="s">
        <v>111</v>
      </c>
      <c r="S88" s="17"/>
      <c r="T88" s="17" t="s">
        <v>119</v>
      </c>
      <c r="U88" s="8"/>
      <c r="V88" s="5"/>
    </row>
    <row r="89" spans="1:22" ht="15.6" x14ac:dyDescent="0.3">
      <c r="A89" s="24"/>
      <c r="B89" s="25" t="s">
        <v>28</v>
      </c>
      <c r="C89" s="25"/>
      <c r="D89" s="25"/>
      <c r="E89" s="25"/>
      <c r="F89" s="25"/>
      <c r="G89" s="25"/>
      <c r="H89" s="25"/>
      <c r="I89" s="25"/>
      <c r="J89" s="25"/>
      <c r="K89" s="25"/>
      <c r="L89" s="25"/>
      <c r="M89" s="25"/>
      <c r="N89" s="25"/>
      <c r="O89" s="25"/>
      <c r="P89" s="25"/>
      <c r="Q89" s="25"/>
      <c r="R89" s="34">
        <v>0</v>
      </c>
      <c r="S89" s="25"/>
      <c r="T89" s="53">
        <v>0</v>
      </c>
      <c r="U89" s="25"/>
      <c r="V89" s="5"/>
    </row>
    <row r="90" spans="1:22" ht="15.6" x14ac:dyDescent="0.3">
      <c r="A90" s="24"/>
      <c r="B90" s="25" t="s">
        <v>29</v>
      </c>
      <c r="C90" s="25"/>
      <c r="D90" s="25"/>
      <c r="E90" s="25"/>
      <c r="F90" s="25"/>
      <c r="G90" s="25"/>
      <c r="H90" s="40"/>
      <c r="I90" s="57"/>
      <c r="J90" s="40"/>
      <c r="K90" s="25"/>
      <c r="L90" s="127"/>
      <c r="M90" s="25"/>
      <c r="N90" s="25"/>
      <c r="O90" s="25"/>
      <c r="P90" s="25"/>
      <c r="Q90" s="25"/>
      <c r="R90" s="34">
        <v>21762</v>
      </c>
      <c r="S90" s="25"/>
      <c r="T90" s="53"/>
      <c r="U90" s="25"/>
      <c r="V90" s="5"/>
    </row>
    <row r="91" spans="1:22" ht="15.6" x14ac:dyDescent="0.3">
      <c r="A91" s="24"/>
      <c r="B91" s="25" t="s">
        <v>225</v>
      </c>
      <c r="C91" s="25"/>
      <c r="D91" s="25"/>
      <c r="E91" s="25"/>
      <c r="F91" s="25"/>
      <c r="G91" s="25"/>
      <c r="H91" s="40"/>
      <c r="I91" s="57"/>
      <c r="J91" s="40"/>
      <c r="K91" s="25"/>
      <c r="L91" s="127"/>
      <c r="M91" s="25"/>
      <c r="N91" s="25"/>
      <c r="O91" s="25"/>
      <c r="P91" s="25"/>
      <c r="Q91" s="25"/>
      <c r="R91" s="34"/>
      <c r="S91" s="25"/>
      <c r="T91" s="53">
        <f>5844+7248-563-369</f>
        <v>12160</v>
      </c>
      <c r="U91" s="25"/>
      <c r="V91" s="5"/>
    </row>
    <row r="92" spans="1:22" ht="15.6" x14ac:dyDescent="0.3">
      <c r="A92" s="24"/>
      <c r="B92" s="25" t="s">
        <v>220</v>
      </c>
      <c r="C92" s="25"/>
      <c r="D92" s="25"/>
      <c r="E92" s="25"/>
      <c r="F92" s="25"/>
      <c r="G92" s="25"/>
      <c r="H92" s="40"/>
      <c r="I92" s="57"/>
      <c r="J92" s="40"/>
      <c r="K92" s="25"/>
      <c r="L92" s="127"/>
      <c r="M92" s="25"/>
      <c r="N92" s="25"/>
      <c r="O92" s="25"/>
      <c r="P92" s="25"/>
      <c r="Q92" s="25"/>
      <c r="R92" s="34"/>
      <c r="S92" s="25"/>
      <c r="T92" s="53">
        <f>164+288</f>
        <v>452</v>
      </c>
      <c r="U92" s="25"/>
      <c r="V92" s="5"/>
    </row>
    <row r="93" spans="1:22" ht="15.6" x14ac:dyDescent="0.3">
      <c r="A93" s="24"/>
      <c r="B93" s="25" t="s">
        <v>221</v>
      </c>
      <c r="C93" s="25"/>
      <c r="D93" s="25"/>
      <c r="E93" s="25"/>
      <c r="F93" s="25"/>
      <c r="G93" s="25"/>
      <c r="H93" s="40"/>
      <c r="I93" s="57"/>
      <c r="J93" s="40"/>
      <c r="K93" s="25"/>
      <c r="L93" s="127"/>
      <c r="M93" s="25"/>
      <c r="N93" s="25"/>
      <c r="O93" s="25"/>
      <c r="P93" s="25"/>
      <c r="Q93" s="25"/>
      <c r="R93" s="34"/>
      <c r="S93" s="25"/>
      <c r="T93" s="53">
        <v>487</v>
      </c>
      <c r="U93" s="25"/>
      <c r="V93" s="5"/>
    </row>
    <row r="94" spans="1:22" ht="15.6" x14ac:dyDescent="0.3">
      <c r="A94" s="24"/>
      <c r="B94" s="25" t="s">
        <v>261</v>
      </c>
      <c r="C94" s="25"/>
      <c r="D94" s="25"/>
      <c r="E94" s="25"/>
      <c r="F94" s="25"/>
      <c r="G94" s="25"/>
      <c r="H94" s="40"/>
      <c r="I94" s="57"/>
      <c r="J94" s="40"/>
      <c r="K94" s="25"/>
      <c r="L94" s="127"/>
      <c r="M94" s="25"/>
      <c r="N94" s="25"/>
      <c r="O94" s="25"/>
      <c r="P94" s="25"/>
      <c r="Q94" s="25"/>
      <c r="R94" s="34"/>
      <c r="S94" s="25"/>
      <c r="T94" s="53">
        <v>1667</v>
      </c>
      <c r="U94" s="25"/>
      <c r="V94" s="5"/>
    </row>
    <row r="95" spans="1:22" ht="15.6" x14ac:dyDescent="0.3">
      <c r="A95" s="24"/>
      <c r="B95" s="25" t="s">
        <v>141</v>
      </c>
      <c r="C95" s="25"/>
      <c r="D95" s="25"/>
      <c r="E95" s="25"/>
      <c r="F95" s="25"/>
      <c r="G95" s="25"/>
      <c r="H95" s="25"/>
      <c r="I95" s="25"/>
      <c r="J95" s="25"/>
      <c r="K95" s="25"/>
      <c r="L95" s="25"/>
      <c r="M95" s="25"/>
      <c r="N95" s="25"/>
      <c r="O95" s="25"/>
      <c r="P95" s="25"/>
      <c r="Q95" s="25"/>
      <c r="R95" s="34"/>
      <c r="S95" s="25"/>
      <c r="T95" s="53">
        <v>0</v>
      </c>
      <c r="U95" s="25"/>
      <c r="V95" s="5"/>
    </row>
    <row r="96" spans="1:22" ht="15.6" x14ac:dyDescent="0.3">
      <c r="A96" s="24"/>
      <c r="B96" s="25" t="s">
        <v>250</v>
      </c>
      <c r="C96" s="25"/>
      <c r="D96" s="25"/>
      <c r="E96" s="25"/>
      <c r="F96" s="25"/>
      <c r="G96" s="25"/>
      <c r="H96" s="25"/>
      <c r="I96" s="25"/>
      <c r="J96" s="25"/>
      <c r="K96" s="25"/>
      <c r="L96" s="25"/>
      <c r="M96" s="25"/>
      <c r="N96" s="25"/>
      <c r="O96" s="25"/>
      <c r="P96" s="25"/>
      <c r="Q96" s="25"/>
      <c r="R96" s="34"/>
      <c r="S96" s="25"/>
      <c r="T96" s="53">
        <v>2224</v>
      </c>
      <c r="U96" s="25"/>
      <c r="V96" s="5"/>
    </row>
    <row r="97" spans="1:24" ht="15.6" x14ac:dyDescent="0.3">
      <c r="A97" s="24"/>
      <c r="B97" s="25" t="s">
        <v>30</v>
      </c>
      <c r="C97" s="25"/>
      <c r="D97" s="25"/>
      <c r="E97" s="25"/>
      <c r="F97" s="25"/>
      <c r="G97" s="25"/>
      <c r="H97" s="25"/>
      <c r="I97" s="25"/>
      <c r="J97" s="25"/>
      <c r="K97" s="25"/>
      <c r="L97" s="25"/>
      <c r="M97" s="25"/>
      <c r="N97" s="25"/>
      <c r="O97" s="25"/>
      <c r="P97" s="25"/>
      <c r="Q97" s="25"/>
      <c r="R97" s="34">
        <f>SUM(R89:R96)</f>
        <v>21762</v>
      </c>
      <c r="S97" s="25"/>
      <c r="T97" s="54">
        <f>SUM(T89:T96)</f>
        <v>16990</v>
      </c>
      <c r="U97" s="25"/>
      <c r="V97" s="5"/>
    </row>
    <row r="98" spans="1:24" ht="15.6" x14ac:dyDescent="0.3">
      <c r="A98" s="24"/>
      <c r="B98" s="25" t="s">
        <v>168</v>
      </c>
      <c r="C98" s="25"/>
      <c r="D98" s="25"/>
      <c r="E98" s="25"/>
      <c r="F98" s="25"/>
      <c r="G98" s="25"/>
      <c r="H98" s="25"/>
      <c r="I98" s="25"/>
      <c r="J98" s="25"/>
      <c r="K98" s="25"/>
      <c r="L98" s="25"/>
      <c r="M98" s="25"/>
      <c r="N98" s="25"/>
      <c r="O98" s="25"/>
      <c r="P98" s="25"/>
      <c r="Q98" s="25"/>
      <c r="R98" s="34">
        <f>-T98</f>
        <v>-22</v>
      </c>
      <c r="S98" s="25"/>
      <c r="T98" s="54">
        <v>22</v>
      </c>
      <c r="U98" s="25"/>
      <c r="V98" s="5"/>
    </row>
    <row r="99" spans="1:24" ht="15.6" x14ac:dyDescent="0.3">
      <c r="A99" s="24"/>
      <c r="B99" s="25" t="s">
        <v>31</v>
      </c>
      <c r="C99" s="25"/>
      <c r="D99" s="25"/>
      <c r="E99" s="25"/>
      <c r="F99" s="25"/>
      <c r="G99" s="25"/>
      <c r="H99" s="25"/>
      <c r="I99" s="25"/>
      <c r="J99" s="25"/>
      <c r="K99" s="25"/>
      <c r="L99" s="25"/>
      <c r="M99" s="25"/>
      <c r="N99" s="25"/>
      <c r="O99" s="25"/>
      <c r="P99" s="25"/>
      <c r="Q99" s="25"/>
      <c r="R99" s="34">
        <f>-T99</f>
        <v>0</v>
      </c>
      <c r="S99" s="25"/>
      <c r="T99" s="53">
        <v>0</v>
      </c>
      <c r="U99" s="25"/>
      <c r="V99" s="5"/>
    </row>
    <row r="100" spans="1:24" ht="15.6" x14ac:dyDescent="0.3">
      <c r="A100" s="24"/>
      <c r="B100" s="25" t="s">
        <v>32</v>
      </c>
      <c r="C100" s="25"/>
      <c r="D100" s="25"/>
      <c r="E100" s="25"/>
      <c r="F100" s="25"/>
      <c r="G100" s="25"/>
      <c r="H100" s="25"/>
      <c r="I100" s="25"/>
      <c r="J100" s="25"/>
      <c r="K100" s="25"/>
      <c r="L100" s="25"/>
      <c r="M100" s="25"/>
      <c r="N100" s="25"/>
      <c r="O100" s="25"/>
      <c r="P100" s="25"/>
      <c r="Q100" s="25"/>
      <c r="R100" s="34">
        <f>R97+R99+R98</f>
        <v>21740</v>
      </c>
      <c r="S100" s="25"/>
      <c r="T100" s="54">
        <f>T97+T99+T98</f>
        <v>17012</v>
      </c>
      <c r="U100" s="25"/>
      <c r="V100" s="5"/>
    </row>
    <row r="101" spans="1:24" ht="15.6" x14ac:dyDescent="0.3">
      <c r="A101" s="24"/>
      <c r="B101" s="118" t="s">
        <v>33</v>
      </c>
      <c r="C101" s="25"/>
      <c r="D101" s="25"/>
      <c r="E101" s="25"/>
      <c r="F101" s="25"/>
      <c r="G101" s="25"/>
      <c r="H101" s="25"/>
      <c r="I101" s="25"/>
      <c r="J101" s="25"/>
      <c r="K101" s="25"/>
      <c r="L101" s="25"/>
      <c r="M101" s="25"/>
      <c r="N101" s="25"/>
      <c r="O101" s="25"/>
      <c r="P101" s="25"/>
      <c r="Q101" s="25"/>
      <c r="R101" s="34"/>
      <c r="S101" s="25"/>
      <c r="T101" s="53"/>
      <c r="U101" s="25"/>
      <c r="V101" s="5"/>
    </row>
    <row r="102" spans="1:24" ht="15.6" x14ac:dyDescent="0.3">
      <c r="A102" s="24">
        <v>1</v>
      </c>
      <c r="B102" s="25" t="s">
        <v>34</v>
      </c>
      <c r="C102" s="25"/>
      <c r="D102" s="25"/>
      <c r="E102" s="25"/>
      <c r="F102" s="25"/>
      <c r="G102" s="25"/>
      <c r="H102" s="25"/>
      <c r="I102" s="25"/>
      <c r="J102" s="25"/>
      <c r="K102" s="25"/>
      <c r="L102" s="25"/>
      <c r="M102" s="25"/>
      <c r="N102" s="25"/>
      <c r="O102" s="25"/>
      <c r="P102" s="25"/>
      <c r="Q102" s="25"/>
      <c r="R102" s="25"/>
      <c r="S102" s="25"/>
      <c r="T102" s="53">
        <v>0</v>
      </c>
      <c r="U102" s="25"/>
      <c r="V102" s="5"/>
    </row>
    <row r="103" spans="1:24" ht="15.6" x14ac:dyDescent="0.3">
      <c r="A103" s="24">
        <f>+A102+1</f>
        <v>2</v>
      </c>
      <c r="B103" s="25" t="s">
        <v>255</v>
      </c>
      <c r="C103" s="25"/>
      <c r="D103" s="25"/>
      <c r="E103" s="25"/>
      <c r="F103" s="25"/>
      <c r="G103" s="25"/>
      <c r="H103" s="25"/>
      <c r="I103" s="25"/>
      <c r="J103" s="25"/>
      <c r="K103" s="25"/>
      <c r="L103" s="25"/>
      <c r="M103" s="25"/>
      <c r="N103" s="25"/>
      <c r="O103" s="25"/>
      <c r="P103" s="25"/>
      <c r="Q103" s="25"/>
      <c r="R103" s="25"/>
      <c r="S103" s="25"/>
      <c r="T103" s="53">
        <v>-2</v>
      </c>
      <c r="U103" s="25"/>
      <c r="V103" s="5"/>
    </row>
    <row r="104" spans="1:24" ht="15.6" x14ac:dyDescent="0.3">
      <c r="A104" s="24">
        <f>+A103+1</f>
        <v>3</v>
      </c>
      <c r="B104" s="25" t="s">
        <v>213</v>
      </c>
      <c r="C104" s="25"/>
      <c r="D104" s="25"/>
      <c r="E104" s="25"/>
      <c r="F104" s="25"/>
      <c r="G104" s="25"/>
      <c r="H104" s="25"/>
      <c r="I104" s="25"/>
      <c r="J104" s="25"/>
      <c r="K104" s="25"/>
      <c r="L104" s="25"/>
      <c r="M104" s="25"/>
      <c r="N104" s="25"/>
      <c r="O104" s="25"/>
      <c r="P104" s="25"/>
      <c r="Q104" s="25"/>
      <c r="R104" s="25"/>
      <c r="S104" s="25"/>
      <c r="T104" s="53">
        <f>-354-4-11</f>
        <v>-369</v>
      </c>
      <c r="U104" s="25"/>
      <c r="V104" s="5"/>
    </row>
    <row r="105" spans="1:24" ht="15.6" x14ac:dyDescent="0.3">
      <c r="A105" s="24" t="s">
        <v>133</v>
      </c>
      <c r="B105" s="25" t="s">
        <v>122</v>
      </c>
      <c r="C105" s="25"/>
      <c r="D105" s="25"/>
      <c r="E105" s="25"/>
      <c r="F105" s="25"/>
      <c r="G105" s="25"/>
      <c r="H105" s="25"/>
      <c r="I105" s="25"/>
      <c r="J105" s="25"/>
      <c r="K105" s="25"/>
      <c r="L105" s="25"/>
      <c r="M105" s="25"/>
      <c r="N105" s="25"/>
      <c r="O105" s="25"/>
      <c r="P105" s="25"/>
      <c r="Q105" s="25"/>
      <c r="R105" s="25"/>
      <c r="S105" s="25"/>
      <c r="T105" s="53">
        <v>0</v>
      </c>
      <c r="U105" s="25"/>
      <c r="V105" s="5"/>
    </row>
    <row r="106" spans="1:24" ht="15.6" x14ac:dyDescent="0.3">
      <c r="A106" s="24" t="s">
        <v>134</v>
      </c>
      <c r="B106" s="25" t="s">
        <v>194</v>
      </c>
      <c r="C106" s="25"/>
      <c r="D106" s="25"/>
      <c r="E106" s="25"/>
      <c r="F106" s="25"/>
      <c r="G106" s="25"/>
      <c r="H106" s="25"/>
      <c r="I106" s="25"/>
      <c r="J106" s="25"/>
      <c r="K106" s="25"/>
      <c r="L106" s="25"/>
      <c r="M106" s="25"/>
      <c r="N106" s="25"/>
      <c r="O106" s="25"/>
      <c r="P106" s="25"/>
      <c r="Q106" s="25"/>
      <c r="R106" s="25"/>
      <c r="S106" s="25"/>
      <c r="T106" s="53">
        <f>-7347-1990</f>
        <v>-9337</v>
      </c>
      <c r="U106" s="25"/>
      <c r="V106" s="5"/>
      <c r="W106" s="109"/>
    </row>
    <row r="107" spans="1:24" ht="15.6" x14ac:dyDescent="0.3">
      <c r="A107" s="24" t="s">
        <v>156</v>
      </c>
      <c r="B107" s="25" t="s">
        <v>191</v>
      </c>
      <c r="C107" s="25"/>
      <c r="D107" s="25"/>
      <c r="E107" s="25"/>
      <c r="F107" s="25"/>
      <c r="G107" s="25"/>
      <c r="H107" s="25"/>
      <c r="I107" s="25"/>
      <c r="J107" s="25"/>
      <c r="K107" s="25"/>
      <c r="L107" s="25"/>
      <c r="M107" s="25"/>
      <c r="N107" s="25"/>
      <c r="O107" s="25"/>
      <c r="P107" s="25"/>
      <c r="Q107" s="25"/>
      <c r="R107" s="25"/>
      <c r="S107" s="25"/>
      <c r="T107" s="53">
        <v>-1974</v>
      </c>
      <c r="U107" s="25"/>
      <c r="V107" s="5"/>
      <c r="W107" s="109"/>
    </row>
    <row r="108" spans="1:24" ht="15.6" x14ac:dyDescent="0.3">
      <c r="A108" s="24" t="s">
        <v>214</v>
      </c>
      <c r="B108" s="25" t="s">
        <v>192</v>
      </c>
      <c r="C108" s="25"/>
      <c r="D108" s="25"/>
      <c r="E108" s="25"/>
      <c r="F108" s="25"/>
      <c r="G108" s="25"/>
      <c r="H108" s="25"/>
      <c r="I108" s="25"/>
      <c r="J108" s="25"/>
      <c r="K108" s="25"/>
      <c r="L108" s="25"/>
      <c r="M108" s="25"/>
      <c r="N108" s="25"/>
      <c r="O108" s="25"/>
      <c r="P108" s="25"/>
      <c r="Q108" s="25"/>
      <c r="R108" s="25"/>
      <c r="S108" s="25"/>
      <c r="T108" s="53">
        <v>-809</v>
      </c>
      <c r="U108" s="25"/>
      <c r="V108" s="5"/>
      <c r="W108" s="109"/>
      <c r="X108" s="109"/>
    </row>
    <row r="109" spans="1:24" ht="15.6" x14ac:dyDescent="0.3">
      <c r="A109" s="24" t="s">
        <v>215</v>
      </c>
      <c r="B109" s="25" t="s">
        <v>193</v>
      </c>
      <c r="C109" s="25"/>
      <c r="D109" s="25"/>
      <c r="E109" s="25"/>
      <c r="F109" s="25"/>
      <c r="G109" s="25"/>
      <c r="H109" s="25"/>
      <c r="I109" s="25"/>
      <c r="J109" s="25"/>
      <c r="K109" s="25"/>
      <c r="L109" s="25"/>
      <c r="M109" s="25"/>
      <c r="N109" s="25"/>
      <c r="O109" s="25"/>
      <c r="P109" s="25"/>
      <c r="Q109" s="25"/>
      <c r="R109" s="25"/>
      <c r="S109" s="25"/>
      <c r="T109" s="53">
        <v>-229</v>
      </c>
      <c r="U109" s="25"/>
      <c r="V109" s="5"/>
      <c r="W109" s="109"/>
    </row>
    <row r="110" spans="1:24" ht="15.6" x14ac:dyDescent="0.3">
      <c r="A110" s="24" t="s">
        <v>216</v>
      </c>
      <c r="B110" s="25" t="s">
        <v>204</v>
      </c>
      <c r="C110" s="25"/>
      <c r="D110" s="25"/>
      <c r="E110" s="25"/>
      <c r="F110" s="25"/>
      <c r="G110" s="25"/>
      <c r="H110" s="25"/>
      <c r="I110" s="25"/>
      <c r="J110" s="25"/>
      <c r="K110" s="25"/>
      <c r="L110" s="25"/>
      <c r="M110" s="25"/>
      <c r="N110" s="25"/>
      <c r="O110" s="25"/>
      <c r="P110" s="25"/>
      <c r="Q110" s="25"/>
      <c r="R110" s="25"/>
      <c r="S110" s="25"/>
      <c r="T110" s="53">
        <v>-894</v>
      </c>
      <c r="U110" s="25"/>
      <c r="V110" s="5"/>
      <c r="W110" s="109"/>
    </row>
    <row r="111" spans="1:24" ht="15.6" x14ac:dyDescent="0.3">
      <c r="A111" s="24">
        <v>7</v>
      </c>
      <c r="B111" s="25" t="s">
        <v>35</v>
      </c>
      <c r="C111" s="25"/>
      <c r="D111" s="25"/>
      <c r="E111" s="25"/>
      <c r="F111" s="25"/>
      <c r="G111" s="25"/>
      <c r="H111" s="25"/>
      <c r="I111" s="25"/>
      <c r="J111" s="25"/>
      <c r="K111" s="25"/>
      <c r="L111" s="25"/>
      <c r="M111" s="25"/>
      <c r="N111" s="25"/>
      <c r="O111" s="25"/>
      <c r="P111" s="25"/>
      <c r="Q111" s="25"/>
      <c r="R111" s="25"/>
      <c r="S111" s="25"/>
      <c r="T111" s="53">
        <v>-10</v>
      </c>
      <c r="U111" s="25"/>
      <c r="V111" s="5"/>
    </row>
    <row r="112" spans="1:24" ht="15.6" x14ac:dyDescent="0.3">
      <c r="A112" s="24">
        <f t="shared" ref="A112:A117" si="0">+A111+1</f>
        <v>8</v>
      </c>
      <c r="B112" s="25" t="s">
        <v>46</v>
      </c>
      <c r="C112" s="25"/>
      <c r="D112" s="25"/>
      <c r="E112" s="25"/>
      <c r="F112" s="25"/>
      <c r="G112" s="25"/>
      <c r="H112" s="25"/>
      <c r="I112" s="25"/>
      <c r="J112" s="25"/>
      <c r="K112" s="25"/>
      <c r="L112" s="25"/>
      <c r="M112" s="25"/>
      <c r="N112" s="25"/>
      <c r="O112" s="25"/>
      <c r="P112" s="25"/>
      <c r="Q112" s="25"/>
      <c r="R112" s="25"/>
      <c r="S112" s="25"/>
      <c r="T112" s="53">
        <v>0</v>
      </c>
      <c r="U112" s="25"/>
      <c r="V112" s="5"/>
    </row>
    <row r="113" spans="1:22" ht="15.6" x14ac:dyDescent="0.3">
      <c r="A113" s="24">
        <f t="shared" si="0"/>
        <v>9</v>
      </c>
      <c r="B113" s="25" t="s">
        <v>131</v>
      </c>
      <c r="C113" s="25"/>
      <c r="D113" s="25"/>
      <c r="E113" s="25"/>
      <c r="F113" s="25"/>
      <c r="G113" s="25"/>
      <c r="H113" s="25"/>
      <c r="I113" s="25"/>
      <c r="J113" s="25"/>
      <c r="K113" s="25"/>
      <c r="L113" s="25"/>
      <c r="M113" s="25"/>
      <c r="N113" s="25"/>
      <c r="O113" s="25"/>
      <c r="P113" s="25"/>
      <c r="Q113" s="25"/>
      <c r="R113" s="25"/>
      <c r="S113" s="25"/>
      <c r="T113" s="53">
        <v>0</v>
      </c>
      <c r="U113" s="25"/>
      <c r="V113" s="5"/>
    </row>
    <row r="114" spans="1:22" ht="15.6" x14ac:dyDescent="0.3">
      <c r="A114" s="24">
        <f t="shared" si="0"/>
        <v>10</v>
      </c>
      <c r="B114" s="25" t="s">
        <v>36</v>
      </c>
      <c r="C114" s="25"/>
      <c r="D114" s="25"/>
      <c r="E114" s="25"/>
      <c r="F114" s="25"/>
      <c r="G114" s="25"/>
      <c r="H114" s="25"/>
      <c r="I114" s="25"/>
      <c r="J114" s="25"/>
      <c r="K114" s="25"/>
      <c r="L114" s="25"/>
      <c r="M114" s="25"/>
      <c r="N114" s="25"/>
      <c r="O114" s="25"/>
      <c r="P114" s="25"/>
      <c r="Q114" s="25"/>
      <c r="R114" s="25"/>
      <c r="S114" s="25"/>
      <c r="T114" s="53">
        <v>0</v>
      </c>
      <c r="U114" s="25"/>
      <c r="V114" s="5"/>
    </row>
    <row r="115" spans="1:22" ht="15.6" x14ac:dyDescent="0.3">
      <c r="A115" s="24">
        <f t="shared" si="0"/>
        <v>11</v>
      </c>
      <c r="B115" s="25" t="s">
        <v>37</v>
      </c>
      <c r="C115" s="25"/>
      <c r="D115" s="25"/>
      <c r="E115" s="25"/>
      <c r="F115" s="25"/>
      <c r="G115" s="25"/>
      <c r="H115" s="25"/>
      <c r="I115" s="25"/>
      <c r="J115" s="25"/>
      <c r="K115" s="25"/>
      <c r="L115" s="25"/>
      <c r="M115" s="25"/>
      <c r="N115" s="25"/>
      <c r="O115" s="25"/>
      <c r="P115" s="25"/>
      <c r="Q115" s="25"/>
      <c r="R115" s="25"/>
      <c r="S115" s="25"/>
      <c r="T115" s="53">
        <v>0</v>
      </c>
      <c r="U115" s="25"/>
      <c r="V115" s="5"/>
    </row>
    <row r="116" spans="1:22" ht="15.6" x14ac:dyDescent="0.3">
      <c r="A116" s="24">
        <f t="shared" si="0"/>
        <v>12</v>
      </c>
      <c r="B116" s="25" t="s">
        <v>155</v>
      </c>
      <c r="C116" s="25"/>
      <c r="D116" s="25"/>
      <c r="E116" s="25"/>
      <c r="F116" s="25"/>
      <c r="G116" s="25"/>
      <c r="H116" s="25"/>
      <c r="I116" s="25"/>
      <c r="J116" s="25"/>
      <c r="K116" s="25"/>
      <c r="L116" s="25"/>
      <c r="M116" s="25"/>
      <c r="N116" s="25"/>
      <c r="O116" s="25"/>
      <c r="P116" s="25"/>
      <c r="Q116" s="25"/>
      <c r="R116" s="25"/>
      <c r="S116" s="25"/>
      <c r="T116" s="53">
        <v>-353</v>
      </c>
      <c r="U116" s="25"/>
      <c r="V116" s="5"/>
    </row>
    <row r="117" spans="1:22" ht="15.6" x14ac:dyDescent="0.3">
      <c r="A117" s="24">
        <f t="shared" si="0"/>
        <v>13</v>
      </c>
      <c r="B117" s="25" t="s">
        <v>132</v>
      </c>
      <c r="C117" s="25"/>
      <c r="D117" s="25"/>
      <c r="E117" s="25"/>
      <c r="F117" s="25"/>
      <c r="G117" s="25"/>
      <c r="H117" s="25"/>
      <c r="I117" s="25"/>
      <c r="J117" s="25"/>
      <c r="K117" s="25"/>
      <c r="L117" s="25"/>
      <c r="M117" s="25"/>
      <c r="N117" s="25"/>
      <c r="O117" s="25"/>
      <c r="P117" s="25"/>
      <c r="Q117" s="25"/>
      <c r="R117" s="25"/>
      <c r="S117" s="25"/>
      <c r="T117" s="53">
        <f>-T100-SUM(T102:T116)</f>
        <v>-3035</v>
      </c>
      <c r="U117" s="25"/>
      <c r="V117" s="5"/>
    </row>
    <row r="118" spans="1:22" ht="15.6" x14ac:dyDescent="0.3">
      <c r="A118" s="24"/>
      <c r="B118" s="118" t="s">
        <v>38</v>
      </c>
      <c r="C118" s="25"/>
      <c r="D118" s="25"/>
      <c r="E118" s="25"/>
      <c r="F118" s="25"/>
      <c r="G118" s="25"/>
      <c r="H118" s="25"/>
      <c r="I118" s="25"/>
      <c r="J118" s="25"/>
      <c r="K118" s="25"/>
      <c r="L118" s="25"/>
      <c r="M118" s="25"/>
      <c r="N118" s="25"/>
      <c r="O118" s="25"/>
      <c r="P118" s="25"/>
      <c r="Q118" s="25"/>
      <c r="R118" s="25"/>
      <c r="S118" s="25"/>
      <c r="T118" s="59"/>
      <c r="U118" s="25"/>
      <c r="V118" s="5"/>
    </row>
    <row r="119" spans="1:22" ht="15.6" x14ac:dyDescent="0.3">
      <c r="A119" s="24"/>
      <c r="B119" s="25" t="s">
        <v>180</v>
      </c>
      <c r="C119" s="25"/>
      <c r="D119" s="25"/>
      <c r="E119" s="25"/>
      <c r="F119" s="25"/>
      <c r="G119" s="25"/>
      <c r="H119" s="25"/>
      <c r="I119" s="25"/>
      <c r="J119" s="25"/>
      <c r="K119" s="25"/>
      <c r="L119" s="25"/>
      <c r="M119" s="25"/>
      <c r="N119" s="25"/>
      <c r="O119" s="25"/>
      <c r="P119" s="25"/>
      <c r="Q119" s="25"/>
      <c r="R119" s="34">
        <f>-R176</f>
        <v>-40</v>
      </c>
      <c r="S119" s="34"/>
      <c r="T119" s="53"/>
      <c r="U119" s="25"/>
      <c r="V119" s="5"/>
    </row>
    <row r="120" spans="1:22" ht="15.6" x14ac:dyDescent="0.3">
      <c r="A120" s="24"/>
      <c r="B120" s="25" t="s">
        <v>181</v>
      </c>
      <c r="C120" s="25"/>
      <c r="D120" s="25"/>
      <c r="E120" s="25"/>
      <c r="F120" s="25"/>
      <c r="G120" s="25"/>
      <c r="H120" s="25"/>
      <c r="I120" s="25"/>
      <c r="J120" s="25"/>
      <c r="K120" s="25"/>
      <c r="L120" s="25"/>
      <c r="M120" s="25"/>
      <c r="N120" s="25"/>
      <c r="O120" s="25"/>
      <c r="P120" s="25"/>
      <c r="Q120" s="25"/>
      <c r="R120" s="34">
        <v>-81</v>
      </c>
      <c r="S120" s="34"/>
      <c r="T120" s="53"/>
      <c r="U120" s="25"/>
      <c r="V120" s="5"/>
    </row>
    <row r="121" spans="1:22" ht="15.6" x14ac:dyDescent="0.3">
      <c r="A121" s="24"/>
      <c r="B121" s="25" t="s">
        <v>39</v>
      </c>
      <c r="C121" s="25"/>
      <c r="D121" s="25"/>
      <c r="E121" s="25"/>
      <c r="F121" s="25"/>
      <c r="G121" s="25"/>
      <c r="H121" s="25"/>
      <c r="I121" s="25"/>
      <c r="J121" s="25"/>
      <c r="K121" s="25"/>
      <c r="L121" s="25"/>
      <c r="M121" s="25"/>
      <c r="N121" s="25"/>
      <c r="O121" s="25"/>
      <c r="P121" s="25"/>
      <c r="Q121" s="25"/>
      <c r="R121" s="34">
        <f>-Q176</f>
        <v>-2943</v>
      </c>
      <c r="S121" s="34"/>
      <c r="T121" s="53"/>
      <c r="U121" s="25"/>
      <c r="V121" s="5"/>
    </row>
    <row r="122" spans="1:22" ht="15.6" x14ac:dyDescent="0.3">
      <c r="A122" s="24"/>
      <c r="B122" s="25" t="s">
        <v>205</v>
      </c>
      <c r="C122" s="25"/>
      <c r="D122" s="25"/>
      <c r="E122" s="25"/>
      <c r="F122" s="25"/>
      <c r="G122" s="25"/>
      <c r="H122" s="25"/>
      <c r="I122" s="25"/>
      <c r="J122" s="25"/>
      <c r="K122" s="25"/>
      <c r="L122" s="25"/>
      <c r="M122" s="25"/>
      <c r="N122" s="25"/>
      <c r="O122" s="25"/>
      <c r="P122" s="25"/>
      <c r="Q122" s="25"/>
      <c r="R122" s="34">
        <v>-12213</v>
      </c>
      <c r="S122" s="34"/>
      <c r="T122" s="53"/>
      <c r="U122" s="25"/>
      <c r="V122" s="5"/>
    </row>
    <row r="123" spans="1:22" ht="15.6" x14ac:dyDescent="0.3">
      <c r="A123" s="24"/>
      <c r="B123" s="25" t="s">
        <v>203</v>
      </c>
      <c r="C123" s="25"/>
      <c r="D123" s="25"/>
      <c r="E123" s="25"/>
      <c r="F123" s="25"/>
      <c r="G123" s="25"/>
      <c r="H123" s="25"/>
      <c r="I123" s="25"/>
      <c r="J123" s="25"/>
      <c r="K123" s="25"/>
      <c r="L123" s="25"/>
      <c r="M123" s="25"/>
      <c r="N123" s="25"/>
      <c r="O123" s="25"/>
      <c r="P123" s="25"/>
      <c r="Q123" s="25"/>
      <c r="R123" s="34">
        <v>-3218</v>
      </c>
      <c r="S123" s="34"/>
      <c r="T123" s="53"/>
      <c r="U123" s="25"/>
      <c r="V123" s="5"/>
    </row>
    <row r="124" spans="1:22" ht="15.6" x14ac:dyDescent="0.3">
      <c r="A124" s="24"/>
      <c r="B124" s="25" t="s">
        <v>202</v>
      </c>
      <c r="C124" s="25"/>
      <c r="D124" s="25"/>
      <c r="E124" s="25"/>
      <c r="F124" s="25"/>
      <c r="G124" s="25"/>
      <c r="H124" s="25"/>
      <c r="I124" s="25"/>
      <c r="J124" s="25"/>
      <c r="K124" s="25"/>
      <c r="L124" s="25"/>
      <c r="M124" s="25"/>
      <c r="N124" s="25"/>
      <c r="O124" s="25"/>
      <c r="P124" s="25"/>
      <c r="Q124" s="25"/>
      <c r="R124" s="34">
        <v>-3245</v>
      </c>
      <c r="S124" s="34"/>
      <c r="T124" s="53"/>
      <c r="U124" s="25"/>
      <c r="V124" s="5"/>
    </row>
    <row r="125" spans="1:22" ht="15.6" x14ac:dyDescent="0.3">
      <c r="A125" s="24"/>
      <c r="B125" s="25" t="s">
        <v>197</v>
      </c>
      <c r="C125" s="25"/>
      <c r="D125" s="25"/>
      <c r="E125" s="25"/>
      <c r="F125" s="25"/>
      <c r="G125" s="25"/>
      <c r="H125" s="25"/>
      <c r="I125" s="25"/>
      <c r="J125" s="25"/>
      <c r="K125" s="25"/>
      <c r="L125" s="25"/>
      <c r="M125" s="25"/>
      <c r="N125" s="25"/>
      <c r="O125" s="25"/>
      <c r="P125" s="25"/>
      <c r="Q125" s="25"/>
      <c r="R125" s="34">
        <v>0</v>
      </c>
      <c r="S125" s="34"/>
      <c r="T125" s="53"/>
      <c r="U125" s="25"/>
      <c r="V125" s="5"/>
    </row>
    <row r="126" spans="1:22" ht="15.6" x14ac:dyDescent="0.3">
      <c r="A126" s="24"/>
      <c r="B126" s="25" t="s">
        <v>196</v>
      </c>
      <c r="C126" s="25"/>
      <c r="D126" s="25"/>
      <c r="E126" s="25"/>
      <c r="F126" s="25"/>
      <c r="G126" s="25"/>
      <c r="H126" s="25"/>
      <c r="I126" s="25"/>
      <c r="J126" s="25"/>
      <c r="K126" s="25"/>
      <c r="L126" s="25"/>
      <c r="M126" s="25"/>
      <c r="N126" s="25"/>
      <c r="O126" s="25"/>
      <c r="P126" s="25"/>
      <c r="Q126" s="25"/>
      <c r="R126" s="34">
        <v>0</v>
      </c>
      <c r="S126" s="34"/>
      <c r="T126" s="53"/>
      <c r="U126" s="25"/>
      <c r="V126" s="5"/>
    </row>
    <row r="127" spans="1:22" ht="15.6" x14ac:dyDescent="0.3">
      <c r="A127" s="24"/>
      <c r="B127" s="25" t="s">
        <v>195</v>
      </c>
      <c r="C127" s="25"/>
      <c r="D127" s="25"/>
      <c r="E127" s="25"/>
      <c r="F127" s="25"/>
      <c r="G127" s="25"/>
      <c r="H127" s="25"/>
      <c r="I127" s="25"/>
      <c r="J127" s="25"/>
      <c r="K127" s="25"/>
      <c r="L127" s="25"/>
      <c r="M127" s="25"/>
      <c r="N127" s="25"/>
      <c r="O127" s="25"/>
      <c r="P127" s="25"/>
      <c r="Q127" s="25"/>
      <c r="R127" s="34">
        <v>0</v>
      </c>
      <c r="S127" s="34"/>
      <c r="T127" s="53"/>
      <c r="U127" s="25"/>
      <c r="V127" s="5"/>
    </row>
    <row r="128" spans="1:22" ht="15.6" x14ac:dyDescent="0.3">
      <c r="A128" s="24"/>
      <c r="B128" s="25" t="s">
        <v>40</v>
      </c>
      <c r="C128" s="25"/>
      <c r="D128" s="25"/>
      <c r="E128" s="25"/>
      <c r="F128" s="25"/>
      <c r="G128" s="25"/>
      <c r="H128" s="25"/>
      <c r="I128" s="25"/>
      <c r="J128" s="25"/>
      <c r="K128" s="25"/>
      <c r="L128" s="25"/>
      <c r="M128" s="25"/>
      <c r="N128" s="25"/>
      <c r="O128" s="25"/>
      <c r="P128" s="25"/>
      <c r="Q128" s="25"/>
      <c r="R128" s="34">
        <f>SUM(R119:R127)</f>
        <v>-21740</v>
      </c>
      <c r="S128" s="34"/>
      <c r="T128" s="34">
        <f>SUM(T101:T126)</f>
        <v>-17012</v>
      </c>
      <c r="U128" s="25"/>
      <c r="V128" s="5"/>
    </row>
    <row r="129" spans="1:23" ht="15.6" x14ac:dyDescent="0.3">
      <c r="A129" s="24"/>
      <c r="B129" s="25" t="s">
        <v>41</v>
      </c>
      <c r="C129" s="25"/>
      <c r="D129" s="25"/>
      <c r="E129" s="25"/>
      <c r="F129" s="25"/>
      <c r="G129" s="25"/>
      <c r="H129" s="25"/>
      <c r="I129" s="25"/>
      <c r="J129" s="25"/>
      <c r="K129" s="25"/>
      <c r="L129" s="25"/>
      <c r="M129" s="25"/>
      <c r="N129" s="25"/>
      <c r="O129" s="25"/>
      <c r="P129" s="25"/>
      <c r="Q129" s="25"/>
      <c r="R129" s="34">
        <f>R100+R128</f>
        <v>0</v>
      </c>
      <c r="S129" s="34"/>
      <c r="T129" s="34">
        <f>T100+T128</f>
        <v>0</v>
      </c>
      <c r="U129" s="25"/>
      <c r="V129" s="5"/>
    </row>
    <row r="130" spans="1:23" ht="15.6" x14ac:dyDescent="0.3">
      <c r="A130" s="24"/>
      <c r="B130" s="25"/>
      <c r="C130" s="25"/>
      <c r="D130" s="25"/>
      <c r="E130" s="25"/>
      <c r="F130" s="25"/>
      <c r="G130" s="25"/>
      <c r="H130" s="25"/>
      <c r="I130" s="25"/>
      <c r="J130" s="25"/>
      <c r="K130" s="25"/>
      <c r="L130" s="25"/>
      <c r="M130" s="25"/>
      <c r="N130" s="25"/>
      <c r="O130" s="25"/>
      <c r="P130" s="25"/>
      <c r="Q130" s="25"/>
      <c r="R130" s="34"/>
      <c r="S130" s="34"/>
      <c r="T130" s="34"/>
      <c r="U130" s="25"/>
      <c r="V130" s="5"/>
    </row>
    <row r="131" spans="1:23" ht="15.6" x14ac:dyDescent="0.3">
      <c r="A131" s="6"/>
      <c r="B131" s="8"/>
      <c r="C131" s="8"/>
      <c r="D131" s="8"/>
      <c r="E131" s="8"/>
      <c r="F131" s="8"/>
      <c r="G131" s="8"/>
      <c r="H131" s="8"/>
      <c r="I131" s="8"/>
      <c r="J131" s="8"/>
      <c r="K131" s="8"/>
      <c r="L131" s="8"/>
      <c r="M131" s="8"/>
      <c r="N131" s="8"/>
      <c r="O131" s="8"/>
      <c r="P131" s="8"/>
      <c r="Q131" s="8"/>
      <c r="R131" s="8"/>
      <c r="S131" s="8"/>
      <c r="T131" s="52"/>
      <c r="U131" s="8"/>
      <c r="V131" s="5"/>
    </row>
    <row r="132" spans="1:23" ht="18" thickBot="1" x14ac:dyDescent="0.35">
      <c r="A132" s="101"/>
      <c r="B132" s="102" t="str">
        <f>B64</f>
        <v>PM11 INVESTOR REPORT QUARTER ENDING MARCH 2007</v>
      </c>
      <c r="C132" s="103"/>
      <c r="D132" s="103"/>
      <c r="E132" s="103"/>
      <c r="F132" s="103"/>
      <c r="G132" s="103"/>
      <c r="H132" s="103"/>
      <c r="I132" s="103"/>
      <c r="J132" s="103"/>
      <c r="K132" s="103"/>
      <c r="L132" s="103"/>
      <c r="M132" s="103"/>
      <c r="N132" s="103"/>
      <c r="O132" s="103"/>
      <c r="P132" s="103"/>
      <c r="Q132" s="103"/>
      <c r="R132" s="103"/>
      <c r="S132" s="103"/>
      <c r="T132" s="106"/>
      <c r="U132" s="105"/>
      <c r="V132" s="5"/>
    </row>
    <row r="133" spans="1:23" ht="15.6" x14ac:dyDescent="0.3">
      <c r="A133" s="2"/>
      <c r="B133" s="60" t="s">
        <v>42</v>
      </c>
      <c r="C133" s="4"/>
      <c r="D133" s="4"/>
      <c r="E133" s="4"/>
      <c r="F133" s="4"/>
      <c r="G133" s="4"/>
      <c r="H133" s="4"/>
      <c r="I133" s="4"/>
      <c r="J133" s="4"/>
      <c r="K133" s="4"/>
      <c r="L133" s="4"/>
      <c r="M133" s="4"/>
      <c r="N133" s="4"/>
      <c r="O133" s="4"/>
      <c r="P133" s="4"/>
      <c r="Q133" s="4"/>
      <c r="R133" s="4"/>
      <c r="S133" s="4"/>
      <c r="T133" s="50"/>
      <c r="U133" s="4"/>
      <c r="V133" s="5"/>
    </row>
    <row r="134" spans="1:23" ht="15.6" x14ac:dyDescent="0.3">
      <c r="A134" s="6"/>
      <c r="B134" s="21"/>
      <c r="C134" s="8"/>
      <c r="D134" s="8"/>
      <c r="E134" s="8"/>
      <c r="F134" s="8"/>
      <c r="G134" s="8"/>
      <c r="H134" s="8"/>
      <c r="I134" s="8"/>
      <c r="J134" s="8"/>
      <c r="K134" s="8"/>
      <c r="L134" s="8"/>
      <c r="M134" s="8"/>
      <c r="N134" s="8"/>
      <c r="O134" s="8"/>
      <c r="P134" s="8"/>
      <c r="Q134" s="8"/>
      <c r="R134" s="8"/>
      <c r="S134" s="8"/>
      <c r="T134" s="52"/>
      <c r="U134" s="8"/>
      <c r="V134" s="5"/>
    </row>
    <row r="135" spans="1:23" ht="15.6" x14ac:dyDescent="0.3">
      <c r="A135" s="6"/>
      <c r="B135" s="119" t="s">
        <v>43</v>
      </c>
      <c r="C135" s="8"/>
      <c r="D135" s="8"/>
      <c r="E135" s="8"/>
      <c r="F135" s="8"/>
      <c r="G135" s="8"/>
      <c r="H135" s="8"/>
      <c r="I135" s="8"/>
      <c r="J135" s="8"/>
      <c r="K135" s="8"/>
      <c r="L135" s="8"/>
      <c r="M135" s="8"/>
      <c r="N135" s="8"/>
      <c r="O135" s="8"/>
      <c r="P135" s="8"/>
      <c r="Q135" s="8"/>
      <c r="R135" s="8"/>
      <c r="S135" s="8"/>
      <c r="T135" s="52"/>
      <c r="U135" s="8"/>
      <c r="V135" s="5"/>
    </row>
    <row r="136" spans="1:23" ht="15.6" x14ac:dyDescent="0.3">
      <c r="A136" s="24"/>
      <c r="B136" s="25" t="s">
        <v>44</v>
      </c>
      <c r="C136" s="25"/>
      <c r="D136" s="25"/>
      <c r="E136" s="25"/>
      <c r="F136" s="25"/>
      <c r="G136" s="25"/>
      <c r="H136" s="25"/>
      <c r="I136" s="25"/>
      <c r="J136" s="25"/>
      <c r="K136" s="25"/>
      <c r="L136" s="25"/>
      <c r="M136" s="25"/>
      <c r="N136" s="25"/>
      <c r="O136" s="25"/>
      <c r="P136" s="25"/>
      <c r="Q136" s="25"/>
      <c r="R136" s="25"/>
      <c r="S136" s="25"/>
      <c r="T136" s="53">
        <f>+T34*0.019</f>
        <v>19000.95</v>
      </c>
      <c r="U136" s="25"/>
      <c r="V136" s="5"/>
    </row>
    <row r="137" spans="1:23" ht="15.6" x14ac:dyDescent="0.3">
      <c r="A137" s="24"/>
      <c r="B137" s="25" t="s">
        <v>45</v>
      </c>
      <c r="C137" s="25"/>
      <c r="D137" s="25"/>
      <c r="E137" s="25"/>
      <c r="F137" s="25"/>
      <c r="G137" s="25"/>
      <c r="H137" s="25"/>
      <c r="I137" s="25"/>
      <c r="J137" s="25"/>
      <c r="K137" s="25"/>
      <c r="L137" s="25"/>
      <c r="M137" s="25"/>
      <c r="N137" s="25"/>
      <c r="O137" s="25"/>
      <c r="P137" s="25"/>
      <c r="Q137" s="25"/>
      <c r="R137" s="25"/>
      <c r="S137" s="25"/>
      <c r="T137" s="53">
        <v>19001</v>
      </c>
      <c r="U137" s="25"/>
      <c r="V137" s="5"/>
    </row>
    <row r="138" spans="1:23" ht="15.6" x14ac:dyDescent="0.3">
      <c r="A138" s="24"/>
      <c r="B138" s="25" t="s">
        <v>142</v>
      </c>
      <c r="C138" s="25"/>
      <c r="D138" s="25"/>
      <c r="E138" s="25"/>
      <c r="F138" s="25"/>
      <c r="G138" s="25"/>
      <c r="H138" s="25"/>
      <c r="I138" s="25"/>
      <c r="J138" s="25"/>
      <c r="K138" s="25"/>
      <c r="L138" s="25"/>
      <c r="M138" s="25"/>
      <c r="N138" s="25"/>
      <c r="O138" s="25"/>
      <c r="P138" s="25"/>
      <c r="Q138" s="25"/>
      <c r="R138" s="25"/>
      <c r="S138" s="25"/>
      <c r="T138" s="53">
        <v>0</v>
      </c>
      <c r="U138" s="25"/>
      <c r="V138" s="5"/>
    </row>
    <row r="139" spans="1:23" ht="15.6" x14ac:dyDescent="0.3">
      <c r="A139" s="24"/>
      <c r="B139" s="25" t="s">
        <v>129</v>
      </c>
      <c r="C139" s="25"/>
      <c r="D139" s="25"/>
      <c r="E139" s="25"/>
      <c r="F139" s="25"/>
      <c r="G139" s="25"/>
      <c r="H139" s="25"/>
      <c r="I139" s="25"/>
      <c r="J139" s="25"/>
      <c r="K139" s="25"/>
      <c r="L139" s="25"/>
      <c r="M139" s="25"/>
      <c r="N139" s="25"/>
      <c r="O139" s="25"/>
      <c r="P139" s="25"/>
      <c r="Q139" s="25"/>
      <c r="R139" s="25"/>
      <c r="S139" s="25"/>
      <c r="T139" s="53">
        <v>0</v>
      </c>
      <c r="U139" s="25"/>
      <c r="V139" s="5"/>
    </row>
    <row r="140" spans="1:23" ht="15.6" x14ac:dyDescent="0.3">
      <c r="A140" s="24"/>
      <c r="B140" s="25" t="s">
        <v>130</v>
      </c>
      <c r="C140" s="25"/>
      <c r="D140" s="25"/>
      <c r="E140" s="25"/>
      <c r="F140" s="25"/>
      <c r="G140" s="25"/>
      <c r="H140" s="25"/>
      <c r="I140" s="25"/>
      <c r="J140" s="25"/>
      <c r="K140" s="25"/>
      <c r="L140" s="25"/>
      <c r="M140" s="25"/>
      <c r="N140" s="25"/>
      <c r="O140" s="25"/>
      <c r="P140" s="25"/>
      <c r="Q140" s="25"/>
      <c r="R140" s="25"/>
      <c r="S140" s="25"/>
      <c r="T140" s="53">
        <v>0</v>
      </c>
      <c r="U140" s="25"/>
      <c r="V140" s="5"/>
    </row>
    <row r="141" spans="1:23" ht="15.6" x14ac:dyDescent="0.3">
      <c r="A141" s="24"/>
      <c r="B141" s="25" t="s">
        <v>182</v>
      </c>
      <c r="C141" s="25"/>
      <c r="D141" s="25"/>
      <c r="E141" s="25"/>
      <c r="F141" s="25"/>
      <c r="G141" s="25"/>
      <c r="H141" s="25"/>
      <c r="I141" s="25"/>
      <c r="J141" s="25"/>
      <c r="K141" s="25"/>
      <c r="L141" s="25"/>
      <c r="M141" s="25"/>
      <c r="N141" s="25"/>
      <c r="O141" s="25"/>
      <c r="P141" s="25"/>
      <c r="Q141" s="25"/>
      <c r="R141" s="25"/>
      <c r="S141" s="25"/>
      <c r="T141" s="53">
        <v>0</v>
      </c>
      <c r="U141" s="25"/>
      <c r="V141" s="5"/>
    </row>
    <row r="142" spans="1:23" ht="15.6" x14ac:dyDescent="0.3">
      <c r="A142" s="24"/>
      <c r="B142" s="25" t="s">
        <v>46</v>
      </c>
      <c r="C142" s="25"/>
      <c r="D142" s="25"/>
      <c r="E142" s="25"/>
      <c r="F142" s="25"/>
      <c r="G142" s="25"/>
      <c r="H142" s="25"/>
      <c r="I142" s="25"/>
      <c r="J142" s="25"/>
      <c r="K142" s="25"/>
      <c r="L142" s="25"/>
      <c r="M142" s="25"/>
      <c r="N142" s="25"/>
      <c r="O142" s="25"/>
      <c r="P142" s="25"/>
      <c r="Q142" s="25"/>
      <c r="R142" s="25"/>
      <c r="S142" s="25"/>
      <c r="T142" s="53">
        <v>0</v>
      </c>
      <c r="U142" s="25"/>
      <c r="V142" s="5"/>
    </row>
    <row r="143" spans="1:23" ht="15.6" x14ac:dyDescent="0.3">
      <c r="A143" s="24"/>
      <c r="B143" s="25" t="s">
        <v>135</v>
      </c>
      <c r="C143" s="25"/>
      <c r="D143" s="25"/>
      <c r="E143" s="25"/>
      <c r="F143" s="25"/>
      <c r="G143" s="25"/>
      <c r="H143" s="25"/>
      <c r="I143" s="25"/>
      <c r="J143" s="25"/>
      <c r="K143" s="25"/>
      <c r="L143" s="25"/>
      <c r="M143" s="25"/>
      <c r="N143" s="25"/>
      <c r="O143" s="25"/>
      <c r="P143" s="25"/>
      <c r="Q143" s="25"/>
      <c r="R143" s="25"/>
      <c r="S143" s="25"/>
      <c r="T143" s="53">
        <v>0</v>
      </c>
      <c r="U143" s="25"/>
      <c r="V143" s="5"/>
    </row>
    <row r="144" spans="1:23" ht="15.6" x14ac:dyDescent="0.3">
      <c r="A144" s="24"/>
      <c r="B144" s="25" t="s">
        <v>251</v>
      </c>
      <c r="C144" s="25"/>
      <c r="D144" s="25"/>
      <c r="E144" s="25"/>
      <c r="F144" s="25"/>
      <c r="G144" s="25"/>
      <c r="H144" s="25"/>
      <c r="I144" s="25"/>
      <c r="J144" s="25"/>
      <c r="K144" s="25"/>
      <c r="L144" s="25"/>
      <c r="M144" s="25"/>
      <c r="N144" s="25"/>
      <c r="O144" s="25"/>
      <c r="P144" s="25"/>
      <c r="Q144" s="25"/>
      <c r="R144" s="25"/>
      <c r="S144" s="25"/>
      <c r="T144" s="53">
        <v>0</v>
      </c>
      <c r="U144" s="25"/>
      <c r="V144" s="5"/>
      <c r="W144" s="109"/>
    </row>
    <row r="145" spans="1:22" ht="15.6" x14ac:dyDescent="0.3">
      <c r="A145" s="24"/>
      <c r="B145" s="25" t="s">
        <v>47</v>
      </c>
      <c r="C145" s="25"/>
      <c r="D145" s="25"/>
      <c r="E145" s="25"/>
      <c r="F145" s="25"/>
      <c r="G145" s="25"/>
      <c r="H145" s="25"/>
      <c r="I145" s="25"/>
      <c r="J145" s="25"/>
      <c r="K145" s="25"/>
      <c r="L145" s="25"/>
      <c r="M145" s="25"/>
      <c r="N145" s="25"/>
      <c r="O145" s="25"/>
      <c r="P145" s="25"/>
      <c r="Q145" s="25"/>
      <c r="R145" s="25"/>
      <c r="S145" s="25"/>
      <c r="T145" s="53">
        <f>SUM(T137:T144)</f>
        <v>19001</v>
      </c>
      <c r="U145" s="25"/>
      <c r="V145" s="5"/>
    </row>
    <row r="146" spans="1:22" ht="15.6" x14ac:dyDescent="0.3">
      <c r="A146" s="24"/>
      <c r="B146" s="25"/>
      <c r="C146" s="25"/>
      <c r="D146" s="25"/>
      <c r="E146" s="25"/>
      <c r="F146" s="25"/>
      <c r="G146" s="25"/>
      <c r="H146" s="25"/>
      <c r="I146" s="25"/>
      <c r="J146" s="25"/>
      <c r="K146" s="25"/>
      <c r="L146" s="25"/>
      <c r="M146" s="25"/>
      <c r="N146" s="25"/>
      <c r="O146" s="25"/>
      <c r="P146" s="25"/>
      <c r="Q146" s="25"/>
      <c r="R146" s="25"/>
      <c r="S146" s="25"/>
      <c r="T146" s="53"/>
      <c r="U146" s="25"/>
      <c r="V146" s="5"/>
    </row>
    <row r="147" spans="1:22" ht="15.6" x14ac:dyDescent="0.3">
      <c r="A147" s="24"/>
      <c r="B147" s="138" t="s">
        <v>262</v>
      </c>
      <c r="C147" s="25"/>
      <c r="D147" s="25"/>
      <c r="E147" s="25"/>
      <c r="F147" s="25"/>
      <c r="G147" s="25"/>
      <c r="H147" s="25"/>
      <c r="I147" s="25"/>
      <c r="J147" s="25"/>
      <c r="K147" s="25"/>
      <c r="L147" s="25"/>
      <c r="M147" s="25"/>
      <c r="N147" s="25"/>
      <c r="O147" s="25"/>
      <c r="P147" s="25"/>
      <c r="Q147" s="25"/>
      <c r="R147" s="25"/>
      <c r="S147" s="25"/>
      <c r="T147" s="53"/>
      <c r="U147" s="25"/>
      <c r="V147" s="5"/>
    </row>
    <row r="148" spans="1:22" ht="15.6" x14ac:dyDescent="0.3">
      <c r="A148" s="24"/>
      <c r="B148" s="25" t="s">
        <v>263</v>
      </c>
      <c r="C148" s="25"/>
      <c r="D148" s="25"/>
      <c r="E148" s="25"/>
      <c r="F148" s="25"/>
      <c r="G148" s="25"/>
      <c r="H148" s="25"/>
      <c r="I148" s="25"/>
      <c r="J148" s="25"/>
      <c r="K148" s="25"/>
      <c r="L148" s="25"/>
      <c r="M148" s="25"/>
      <c r="N148" s="25"/>
      <c r="O148" s="25"/>
      <c r="P148" s="25"/>
      <c r="Q148" s="25"/>
      <c r="R148" s="25"/>
      <c r="S148" s="25"/>
      <c r="T148" s="53">
        <v>0</v>
      </c>
      <c r="U148" s="25"/>
      <c r="V148" s="5"/>
    </row>
    <row r="149" spans="1:22" ht="15.6" x14ac:dyDescent="0.3">
      <c r="A149" s="24"/>
      <c r="B149" s="25" t="s">
        <v>179</v>
      </c>
      <c r="C149" s="25"/>
      <c r="D149" s="25"/>
      <c r="E149" s="25"/>
      <c r="F149" s="25"/>
      <c r="G149" s="25"/>
      <c r="H149" s="25"/>
      <c r="I149" s="25"/>
      <c r="J149" s="25"/>
      <c r="K149" s="25"/>
      <c r="L149" s="25"/>
      <c r="M149" s="25"/>
      <c r="N149" s="25"/>
      <c r="O149" s="25"/>
      <c r="P149" s="25"/>
      <c r="Q149" s="25"/>
      <c r="R149" s="25"/>
      <c r="S149" s="25"/>
      <c r="T149" s="53">
        <v>0</v>
      </c>
      <c r="U149" s="25"/>
      <c r="V149" s="5"/>
    </row>
    <row r="150" spans="1:22" ht="15.6" x14ac:dyDescent="0.3">
      <c r="A150" s="24"/>
      <c r="B150" s="25" t="s">
        <v>264</v>
      </c>
      <c r="C150" s="25"/>
      <c r="D150" s="25"/>
      <c r="E150" s="25"/>
      <c r="F150" s="25"/>
      <c r="G150" s="25"/>
      <c r="H150" s="25"/>
      <c r="I150" s="25"/>
      <c r="J150" s="25"/>
      <c r="K150" s="25"/>
      <c r="L150" s="25"/>
      <c r="M150" s="25"/>
      <c r="N150" s="25"/>
      <c r="O150" s="25"/>
      <c r="P150" s="25"/>
      <c r="Q150" s="25"/>
      <c r="R150" s="25"/>
      <c r="S150" s="25"/>
      <c r="T150" s="53">
        <v>0</v>
      </c>
      <c r="U150" s="25"/>
      <c r="V150" s="5"/>
    </row>
    <row r="151" spans="1:22" ht="15.6" x14ac:dyDescent="0.3">
      <c r="A151" s="24"/>
      <c r="B151" s="25"/>
      <c r="C151" s="25"/>
      <c r="D151" s="25"/>
      <c r="E151" s="25"/>
      <c r="F151" s="25"/>
      <c r="G151" s="25"/>
      <c r="H151" s="25"/>
      <c r="I151" s="25"/>
      <c r="J151" s="25"/>
      <c r="K151" s="25"/>
      <c r="L151" s="25"/>
      <c r="M151" s="25"/>
      <c r="N151" s="25"/>
      <c r="O151" s="25"/>
      <c r="P151" s="25"/>
      <c r="Q151" s="25"/>
      <c r="R151" s="25"/>
      <c r="S151" s="25"/>
      <c r="T151" s="53"/>
      <c r="U151" s="25"/>
      <c r="V151" s="5"/>
    </row>
    <row r="152" spans="1:22" ht="15.6" x14ac:dyDescent="0.3">
      <c r="A152" s="24"/>
      <c r="B152" s="25"/>
      <c r="C152" s="25"/>
      <c r="D152" s="25"/>
      <c r="E152" s="25"/>
      <c r="F152" s="25"/>
      <c r="G152" s="25"/>
      <c r="H152" s="25"/>
      <c r="I152" s="25"/>
      <c r="J152" s="25"/>
      <c r="K152" s="25"/>
      <c r="L152" s="25"/>
      <c r="M152" s="25"/>
      <c r="N152" s="25"/>
      <c r="O152" s="25"/>
      <c r="P152" s="25"/>
      <c r="Q152" s="25"/>
      <c r="R152" s="25"/>
      <c r="S152" s="25"/>
      <c r="T152" s="61"/>
      <c r="U152" s="25"/>
      <c r="V152" s="5"/>
    </row>
    <row r="153" spans="1:22" ht="15.6" x14ac:dyDescent="0.3">
      <c r="A153" s="6"/>
      <c r="B153" s="119" t="s">
        <v>24</v>
      </c>
      <c r="C153" s="8"/>
      <c r="D153" s="8"/>
      <c r="E153" s="8"/>
      <c r="F153" s="8"/>
      <c r="G153" s="8"/>
      <c r="H153" s="8"/>
      <c r="I153" s="8"/>
      <c r="J153" s="8"/>
      <c r="K153" s="8"/>
      <c r="L153" s="8"/>
      <c r="M153" s="8"/>
      <c r="N153" s="8"/>
      <c r="O153" s="8"/>
      <c r="P153" s="8"/>
      <c r="Q153" s="8"/>
      <c r="R153" s="8"/>
      <c r="S153" s="8"/>
      <c r="T153" s="52"/>
      <c r="U153" s="8"/>
      <c r="V153" s="5"/>
    </row>
    <row r="154" spans="1:22" ht="15.6" x14ac:dyDescent="0.3">
      <c r="A154" s="24"/>
      <c r="B154" s="25" t="s">
        <v>48</v>
      </c>
      <c r="C154" s="25"/>
      <c r="D154" s="25"/>
      <c r="E154" s="25"/>
      <c r="F154" s="25"/>
      <c r="G154" s="25"/>
      <c r="H154" s="25"/>
      <c r="I154" s="25"/>
      <c r="J154" s="25"/>
      <c r="K154" s="25"/>
      <c r="L154" s="25"/>
      <c r="M154" s="25"/>
      <c r="N154" s="25"/>
      <c r="O154" s="25"/>
      <c r="P154" s="25"/>
      <c r="Q154" s="25"/>
      <c r="R154" s="25"/>
      <c r="S154" s="25"/>
      <c r="T154" s="59" t="s">
        <v>124</v>
      </c>
      <c r="U154" s="25"/>
      <c r="V154" s="5"/>
    </row>
    <row r="155" spans="1:22" ht="15.6" x14ac:dyDescent="0.3">
      <c r="A155" s="24"/>
      <c r="B155" s="25" t="s">
        <v>49</v>
      </c>
      <c r="C155" s="163"/>
      <c r="D155" s="163"/>
      <c r="E155" s="163"/>
      <c r="F155" s="163"/>
      <c r="G155" s="163"/>
      <c r="H155" s="163"/>
      <c r="I155" s="163"/>
      <c r="J155" s="163"/>
      <c r="K155" s="163"/>
      <c r="L155" s="163"/>
      <c r="M155" s="163"/>
      <c r="N155" s="163"/>
      <c r="O155" s="163"/>
      <c r="P155" s="163"/>
      <c r="Q155" s="163"/>
      <c r="R155" s="163"/>
      <c r="S155" s="163"/>
      <c r="T155" s="59" t="s">
        <v>124</v>
      </c>
      <c r="U155" s="25"/>
      <c r="V155" s="5"/>
    </row>
    <row r="156" spans="1:22" ht="15.6" x14ac:dyDescent="0.3">
      <c r="A156" s="24"/>
      <c r="B156" s="25" t="s">
        <v>50</v>
      </c>
      <c r="C156" s="25"/>
      <c r="D156" s="25"/>
      <c r="E156" s="25"/>
      <c r="F156" s="25"/>
      <c r="G156" s="25"/>
      <c r="H156" s="25"/>
      <c r="I156" s="25"/>
      <c r="J156" s="25"/>
      <c r="K156" s="25"/>
      <c r="L156" s="25"/>
      <c r="M156" s="25"/>
      <c r="N156" s="25"/>
      <c r="O156" s="25"/>
      <c r="P156" s="25"/>
      <c r="Q156" s="25"/>
      <c r="R156" s="25"/>
      <c r="S156" s="25"/>
      <c r="T156" s="59" t="s">
        <v>124</v>
      </c>
      <c r="U156" s="25"/>
      <c r="V156" s="5"/>
    </row>
    <row r="157" spans="1:22" ht="15.6" x14ac:dyDescent="0.3">
      <c r="A157" s="24"/>
      <c r="B157" s="25" t="s">
        <v>51</v>
      </c>
      <c r="C157" s="25"/>
      <c r="D157" s="25"/>
      <c r="E157" s="25"/>
      <c r="F157" s="25"/>
      <c r="G157" s="25"/>
      <c r="H157" s="25"/>
      <c r="I157" s="25"/>
      <c r="J157" s="25"/>
      <c r="K157" s="25"/>
      <c r="L157" s="25"/>
      <c r="M157" s="25"/>
      <c r="N157" s="25"/>
      <c r="O157" s="25"/>
      <c r="P157" s="25"/>
      <c r="Q157" s="25"/>
      <c r="R157" s="25"/>
      <c r="S157" s="25"/>
      <c r="T157" s="59" t="s">
        <v>124</v>
      </c>
      <c r="U157" s="25"/>
      <c r="V157" s="5"/>
    </row>
    <row r="158" spans="1:22" ht="15.6" x14ac:dyDescent="0.3">
      <c r="A158" s="24"/>
      <c r="B158" s="25"/>
      <c r="C158" s="25"/>
      <c r="D158" s="25"/>
      <c r="E158" s="25"/>
      <c r="F158" s="25"/>
      <c r="G158" s="25"/>
      <c r="H158" s="25"/>
      <c r="I158" s="25"/>
      <c r="J158" s="25"/>
      <c r="K158" s="25"/>
      <c r="L158" s="25"/>
      <c r="M158" s="25"/>
      <c r="N158" s="25"/>
      <c r="O158" s="25"/>
      <c r="P158" s="25"/>
      <c r="Q158" s="25"/>
      <c r="R158" s="25"/>
      <c r="S158" s="25"/>
      <c r="T158" s="61"/>
      <c r="U158" s="25"/>
      <c r="V158" s="5"/>
    </row>
    <row r="159" spans="1:22" ht="15.6" x14ac:dyDescent="0.3">
      <c r="A159" s="6"/>
      <c r="B159" s="119" t="s">
        <v>52</v>
      </c>
      <c r="C159" s="8"/>
      <c r="D159" s="8"/>
      <c r="E159" s="8"/>
      <c r="F159" s="8"/>
      <c r="G159" s="8"/>
      <c r="H159" s="8"/>
      <c r="I159" s="8"/>
      <c r="J159" s="8"/>
      <c r="K159" s="8"/>
      <c r="L159" s="8"/>
      <c r="M159" s="8"/>
      <c r="N159" s="8"/>
      <c r="O159" s="8"/>
      <c r="P159" s="8"/>
      <c r="Q159" s="8"/>
      <c r="R159" s="8"/>
      <c r="S159" s="8"/>
      <c r="T159" s="63"/>
      <c r="U159" s="8"/>
      <c r="V159" s="5"/>
    </row>
    <row r="160" spans="1:22" ht="15.6" x14ac:dyDescent="0.3">
      <c r="A160" s="24"/>
      <c r="B160" s="25" t="s">
        <v>53</v>
      </c>
      <c r="C160" s="25"/>
      <c r="D160" s="25"/>
      <c r="E160" s="25"/>
      <c r="F160" s="25"/>
      <c r="G160" s="25"/>
      <c r="H160" s="25"/>
      <c r="I160" s="25"/>
      <c r="J160" s="25"/>
      <c r="K160" s="25"/>
      <c r="L160" s="25"/>
      <c r="M160" s="25"/>
      <c r="N160" s="25"/>
      <c r="O160" s="25"/>
      <c r="P160" s="25"/>
      <c r="Q160" s="25"/>
      <c r="R160" s="25"/>
      <c r="S160" s="25"/>
      <c r="T160" s="53">
        <v>0</v>
      </c>
      <c r="U160" s="25"/>
      <c r="V160" s="5"/>
    </row>
    <row r="161" spans="1:22" ht="15.6" x14ac:dyDescent="0.3">
      <c r="A161" s="24"/>
      <c r="B161" s="25" t="s">
        <v>54</v>
      </c>
      <c r="C161" s="25"/>
      <c r="D161" s="25"/>
      <c r="E161" s="25"/>
      <c r="F161" s="25"/>
      <c r="G161" s="25"/>
      <c r="H161" s="25"/>
      <c r="I161" s="25"/>
      <c r="J161" s="25"/>
      <c r="K161" s="25"/>
      <c r="L161" s="25"/>
      <c r="M161" s="25"/>
      <c r="N161" s="25"/>
      <c r="O161" s="25"/>
      <c r="P161" s="25"/>
      <c r="Q161" s="25"/>
      <c r="R161" s="25"/>
      <c r="S161" s="25"/>
      <c r="T161" s="53">
        <f>R112</f>
        <v>0</v>
      </c>
      <c r="U161" s="25"/>
      <c r="V161" s="5"/>
    </row>
    <row r="162" spans="1:22" ht="15.6" x14ac:dyDescent="0.3">
      <c r="A162" s="24"/>
      <c r="B162" s="25" t="s">
        <v>55</v>
      </c>
      <c r="C162" s="25"/>
      <c r="D162" s="25"/>
      <c r="E162" s="25"/>
      <c r="F162" s="25"/>
      <c r="G162" s="25"/>
      <c r="H162" s="25"/>
      <c r="I162" s="25"/>
      <c r="J162" s="25"/>
      <c r="K162" s="25"/>
      <c r="L162" s="25"/>
      <c r="M162" s="25"/>
      <c r="N162" s="25"/>
      <c r="O162" s="25"/>
      <c r="P162" s="25"/>
      <c r="Q162" s="25"/>
      <c r="R162" s="25"/>
      <c r="S162" s="25"/>
      <c r="T162" s="53">
        <f>T161+T160</f>
        <v>0</v>
      </c>
      <c r="U162" s="25"/>
      <c r="V162" s="5"/>
    </row>
    <row r="163" spans="1:22" ht="15.6" x14ac:dyDescent="0.3">
      <c r="A163" s="24"/>
      <c r="B163" s="405" t="s">
        <v>301</v>
      </c>
      <c r="C163" s="25"/>
      <c r="D163" s="25"/>
      <c r="E163" s="25"/>
      <c r="F163" s="25"/>
      <c r="G163" s="25"/>
      <c r="H163" s="25"/>
      <c r="I163" s="25"/>
      <c r="J163" s="25"/>
      <c r="K163" s="25"/>
      <c r="L163" s="25"/>
      <c r="M163" s="25"/>
      <c r="N163" s="25"/>
      <c r="O163" s="25"/>
      <c r="P163" s="25"/>
      <c r="Q163" s="25"/>
      <c r="R163" s="25"/>
      <c r="S163" s="25"/>
      <c r="T163" s="53">
        <f>T112</f>
        <v>0</v>
      </c>
      <c r="U163" s="25"/>
      <c r="V163" s="5"/>
    </row>
    <row r="164" spans="1:22" ht="15.6" x14ac:dyDescent="0.3">
      <c r="A164" s="24"/>
      <c r="B164" s="25" t="s">
        <v>56</v>
      </c>
      <c r="C164" s="25"/>
      <c r="D164" s="25"/>
      <c r="E164" s="25"/>
      <c r="F164" s="25"/>
      <c r="G164" s="25"/>
      <c r="H164" s="25"/>
      <c r="I164" s="25"/>
      <c r="J164" s="25"/>
      <c r="K164" s="25"/>
      <c r="L164" s="25"/>
      <c r="M164" s="25"/>
      <c r="N164" s="25"/>
      <c r="O164" s="25"/>
      <c r="P164" s="25"/>
      <c r="Q164" s="25"/>
      <c r="R164" s="25"/>
      <c r="S164" s="25"/>
      <c r="T164" s="53">
        <f>T162+T163</f>
        <v>0</v>
      </c>
      <c r="U164" s="25"/>
      <c r="V164" s="5"/>
    </row>
    <row r="165" spans="1:22" ht="16.2" thickBot="1" x14ac:dyDescent="0.35">
      <c r="A165" s="24"/>
      <c r="B165" s="25"/>
      <c r="C165" s="25"/>
      <c r="D165" s="25"/>
      <c r="E165" s="25"/>
      <c r="F165" s="25"/>
      <c r="G165" s="25"/>
      <c r="H165" s="25"/>
      <c r="I165" s="25"/>
      <c r="J165" s="25"/>
      <c r="K165" s="25"/>
      <c r="L165" s="25"/>
      <c r="M165" s="25"/>
      <c r="N165" s="25"/>
      <c r="O165" s="25"/>
      <c r="P165" s="25"/>
      <c r="Q165" s="25"/>
      <c r="R165" s="25"/>
      <c r="S165" s="25"/>
      <c r="T165" s="61"/>
      <c r="U165" s="25"/>
      <c r="V165" s="5"/>
    </row>
    <row r="166" spans="1:22" ht="15.6" x14ac:dyDescent="0.3">
      <c r="A166" s="2"/>
      <c r="B166" s="4"/>
      <c r="C166" s="4"/>
      <c r="D166" s="4"/>
      <c r="E166" s="4"/>
      <c r="F166" s="4"/>
      <c r="G166" s="4"/>
      <c r="H166" s="4"/>
      <c r="I166" s="4"/>
      <c r="J166" s="4"/>
      <c r="K166" s="4"/>
      <c r="L166" s="4"/>
      <c r="M166" s="4"/>
      <c r="N166" s="4"/>
      <c r="O166" s="4"/>
      <c r="P166" s="4"/>
      <c r="Q166" s="4"/>
      <c r="R166" s="4"/>
      <c r="S166" s="4"/>
      <c r="T166" s="50"/>
      <c r="U166" s="4"/>
      <c r="V166" s="5"/>
    </row>
    <row r="167" spans="1:22" ht="15.6" x14ac:dyDescent="0.3">
      <c r="A167" s="6"/>
      <c r="B167" s="119" t="s">
        <v>57</v>
      </c>
      <c r="C167" s="8"/>
      <c r="D167" s="8"/>
      <c r="E167" s="8"/>
      <c r="F167" s="8"/>
      <c r="G167" s="8"/>
      <c r="H167" s="8"/>
      <c r="I167" s="8"/>
      <c r="J167" s="8"/>
      <c r="K167" s="8"/>
      <c r="L167" s="8"/>
      <c r="M167" s="8"/>
      <c r="N167" s="8"/>
      <c r="O167" s="8"/>
      <c r="P167" s="8"/>
      <c r="Q167" s="8"/>
      <c r="R167" s="8"/>
      <c r="S167" s="8"/>
      <c r="T167" s="52"/>
      <c r="U167" s="8"/>
      <c r="V167" s="5"/>
    </row>
    <row r="168" spans="1:22" ht="15.6" x14ac:dyDescent="0.3">
      <c r="A168" s="6"/>
      <c r="B168" s="21"/>
      <c r="C168" s="8"/>
      <c r="D168" s="8"/>
      <c r="E168" s="8"/>
      <c r="F168" s="8"/>
      <c r="G168" s="8"/>
      <c r="H168" s="8"/>
      <c r="I168" s="8"/>
      <c r="J168" s="8"/>
      <c r="K168" s="8"/>
      <c r="L168" s="8"/>
      <c r="M168" s="8"/>
      <c r="N168" s="8"/>
      <c r="O168" s="8"/>
      <c r="P168" s="8"/>
      <c r="Q168" s="8"/>
      <c r="R168" s="8"/>
      <c r="S168" s="8"/>
      <c r="T168" s="52"/>
      <c r="U168" s="8"/>
      <c r="V168" s="5"/>
    </row>
    <row r="169" spans="1:22" ht="15.6" x14ac:dyDescent="0.3">
      <c r="A169" s="24"/>
      <c r="B169" s="25" t="s">
        <v>58</v>
      </c>
      <c r="C169" s="25"/>
      <c r="D169" s="25"/>
      <c r="E169" s="25"/>
      <c r="F169" s="25"/>
      <c r="G169" s="25"/>
      <c r="H169" s="25"/>
      <c r="I169" s="25"/>
      <c r="J169" s="25"/>
      <c r="K169" s="25"/>
      <c r="L169" s="25"/>
      <c r="M169" s="25"/>
      <c r="N169" s="25"/>
      <c r="O169" s="25"/>
      <c r="P169" s="25"/>
      <c r="Q169" s="25"/>
      <c r="R169" s="25"/>
      <c r="S169" s="25"/>
      <c r="T169" s="53">
        <f>T72</f>
        <v>932587</v>
      </c>
      <c r="U169" s="25"/>
      <c r="V169" s="5"/>
    </row>
    <row r="170" spans="1:22" ht="15.6" x14ac:dyDescent="0.3">
      <c r="A170" s="24"/>
      <c r="B170" s="25" t="s">
        <v>59</v>
      </c>
      <c r="C170" s="25"/>
      <c r="D170" s="25"/>
      <c r="E170" s="25"/>
      <c r="F170" s="25"/>
      <c r="G170" s="25"/>
      <c r="H170" s="25"/>
      <c r="I170" s="25"/>
      <c r="J170" s="25"/>
      <c r="K170" s="25"/>
      <c r="L170" s="25"/>
      <c r="M170" s="25"/>
      <c r="N170" s="25"/>
      <c r="O170" s="25"/>
      <c r="P170" s="25"/>
      <c r="Q170" s="25"/>
      <c r="R170" s="25"/>
      <c r="S170" s="25"/>
      <c r="T170" s="53">
        <f>T85</f>
        <v>932587</v>
      </c>
      <c r="U170" s="25"/>
      <c r="V170" s="5"/>
    </row>
    <row r="171" spans="1:22" ht="16.2" thickBot="1" x14ac:dyDescent="0.35">
      <c r="A171" s="24"/>
      <c r="B171" s="25"/>
      <c r="C171" s="25"/>
      <c r="D171" s="25"/>
      <c r="E171" s="25"/>
      <c r="F171" s="25"/>
      <c r="G171" s="25"/>
      <c r="H171" s="25"/>
      <c r="I171" s="25"/>
      <c r="J171" s="25"/>
      <c r="K171" s="25"/>
      <c r="L171" s="25"/>
      <c r="M171" s="25"/>
      <c r="N171" s="25"/>
      <c r="O171" s="25"/>
      <c r="P171" s="25"/>
      <c r="Q171" s="25"/>
      <c r="R171" s="25"/>
      <c r="S171" s="25"/>
      <c r="T171" s="61"/>
      <c r="U171" s="25"/>
      <c r="V171" s="5"/>
    </row>
    <row r="172" spans="1:22" ht="15.6" x14ac:dyDescent="0.3">
      <c r="A172" s="2"/>
      <c r="B172" s="4"/>
      <c r="C172" s="4"/>
      <c r="D172" s="4"/>
      <c r="E172" s="4"/>
      <c r="F172" s="4"/>
      <c r="G172" s="4"/>
      <c r="H172" s="4"/>
      <c r="I172" s="4"/>
      <c r="J172" s="4"/>
      <c r="K172" s="4"/>
      <c r="L172" s="4"/>
      <c r="M172" s="4"/>
      <c r="N172" s="4"/>
      <c r="O172" s="4"/>
      <c r="P172" s="4"/>
      <c r="Q172" s="4"/>
      <c r="R172" s="4"/>
      <c r="S172" s="4"/>
      <c r="T172" s="50"/>
      <c r="U172" s="4"/>
      <c r="V172" s="5"/>
    </row>
    <row r="173" spans="1:22" ht="15.6" x14ac:dyDescent="0.3">
      <c r="A173" s="6"/>
      <c r="B173" s="119" t="s">
        <v>60</v>
      </c>
      <c r="C173" s="117"/>
      <c r="D173" s="117"/>
      <c r="E173" s="117"/>
      <c r="F173" s="117"/>
      <c r="G173" s="117"/>
      <c r="H173" s="120"/>
      <c r="I173" s="120"/>
      <c r="J173" s="120"/>
      <c r="K173" s="120"/>
      <c r="L173" s="120"/>
      <c r="M173" s="120"/>
      <c r="N173" s="120"/>
      <c r="O173" s="120"/>
      <c r="P173" s="120"/>
      <c r="Q173" s="120" t="s">
        <v>104</v>
      </c>
      <c r="R173" s="120" t="s">
        <v>183</v>
      </c>
      <c r="S173" s="111"/>
      <c r="T173" s="121" t="s">
        <v>120</v>
      </c>
      <c r="U173" s="10"/>
      <c r="V173" s="5"/>
    </row>
    <row r="174" spans="1:22" ht="15.6" x14ac:dyDescent="0.3">
      <c r="A174" s="24"/>
      <c r="B174" s="25" t="s">
        <v>61</v>
      </c>
      <c r="C174" s="25"/>
      <c r="D174" s="25"/>
      <c r="E174" s="25"/>
      <c r="F174" s="25"/>
      <c r="G174" s="25"/>
      <c r="H174" s="25"/>
      <c r="I174" s="25"/>
      <c r="J174" s="25"/>
      <c r="K174" s="25"/>
      <c r="L174" s="25"/>
      <c r="M174" s="25"/>
      <c r="N174" s="25"/>
      <c r="O174" s="25"/>
      <c r="P174" s="25"/>
      <c r="Q174" s="53">
        <v>160008</v>
      </c>
      <c r="R174" s="40"/>
      <c r="S174" s="25"/>
      <c r="T174" s="53"/>
      <c r="U174" s="25"/>
      <c r="V174" s="5"/>
    </row>
    <row r="175" spans="1:22" ht="15.6" x14ac:dyDescent="0.3">
      <c r="A175" s="24"/>
      <c r="B175" s="25" t="s">
        <v>62</v>
      </c>
      <c r="C175" s="25"/>
      <c r="D175" s="25"/>
      <c r="E175" s="25"/>
      <c r="F175" s="25"/>
      <c r="G175" s="25"/>
      <c r="H175" s="25"/>
      <c r="I175" s="25"/>
      <c r="J175" s="25"/>
      <c r="K175" s="25"/>
      <c r="L175" s="25"/>
      <c r="M175" s="25"/>
      <c r="N175" s="25"/>
      <c r="O175" s="25"/>
      <c r="P175" s="25"/>
      <c r="Q175" s="53">
        <f>+'Dec 06'!Q177</f>
        <v>13209</v>
      </c>
      <c r="R175" s="53">
        <f>+'Dec 06'!R177</f>
        <v>2888</v>
      </c>
      <c r="S175" s="25"/>
      <c r="T175" s="53">
        <f>Q175+R175</f>
        <v>16097</v>
      </c>
      <c r="U175" s="25"/>
      <c r="V175" s="5"/>
    </row>
    <row r="176" spans="1:22" ht="15.6" x14ac:dyDescent="0.3">
      <c r="A176" s="24"/>
      <c r="B176" s="25" t="s">
        <v>63</v>
      </c>
      <c r="C176" s="25"/>
      <c r="D176" s="25"/>
      <c r="E176" s="25"/>
      <c r="F176" s="25"/>
      <c r="G176" s="25"/>
      <c r="H176" s="25"/>
      <c r="I176" s="25"/>
      <c r="J176" s="25"/>
      <c r="K176" s="25"/>
      <c r="L176" s="25"/>
      <c r="M176" s="25"/>
      <c r="N176" s="25"/>
      <c r="O176" s="25"/>
      <c r="P176" s="25"/>
      <c r="Q176" s="34">
        <v>2943</v>
      </c>
      <c r="R176" s="34">
        <v>40</v>
      </c>
      <c r="S176" s="25"/>
      <c r="T176" s="53">
        <f>Q176+R176</f>
        <v>2983</v>
      </c>
      <c r="U176" s="25"/>
      <c r="V176" s="5"/>
    </row>
    <row r="177" spans="1:22" ht="15.6" x14ac:dyDescent="0.3">
      <c r="A177" s="24"/>
      <c r="B177" s="25" t="s">
        <v>64</v>
      </c>
      <c r="C177" s="25"/>
      <c r="D177" s="25"/>
      <c r="E177" s="25"/>
      <c r="F177" s="25"/>
      <c r="G177" s="25"/>
      <c r="H177" s="25"/>
      <c r="I177" s="25"/>
      <c r="J177" s="25"/>
      <c r="K177" s="25"/>
      <c r="L177" s="25"/>
      <c r="M177" s="25"/>
      <c r="N177" s="25"/>
      <c r="O177" s="25"/>
      <c r="P177" s="25"/>
      <c r="Q177" s="53">
        <f>Q175+Q176</f>
        <v>16152</v>
      </c>
      <c r="R177" s="53">
        <f>R176+R175</f>
        <v>2928</v>
      </c>
      <c r="S177" s="25"/>
      <c r="T177" s="53">
        <f>Q177+R177</f>
        <v>19080</v>
      </c>
      <c r="U177" s="25"/>
      <c r="V177" s="5"/>
    </row>
    <row r="178" spans="1:22" ht="15.6" x14ac:dyDescent="0.3">
      <c r="A178" s="24"/>
      <c r="B178" s="25" t="s">
        <v>65</v>
      </c>
      <c r="C178" s="25"/>
      <c r="D178" s="25"/>
      <c r="E178" s="25"/>
      <c r="F178" s="25"/>
      <c r="G178" s="25"/>
      <c r="H178" s="25"/>
      <c r="I178" s="25"/>
      <c r="J178" s="25"/>
      <c r="K178" s="25"/>
      <c r="L178" s="25"/>
      <c r="M178" s="25"/>
      <c r="N178" s="25"/>
      <c r="O178" s="25"/>
      <c r="P178" s="25"/>
      <c r="Q178" s="53">
        <f>Q174-Q177-R177</f>
        <v>140928</v>
      </c>
      <c r="R178" s="40"/>
      <c r="S178" s="25"/>
      <c r="T178" s="53"/>
      <c r="U178" s="25"/>
      <c r="V178" s="5"/>
    </row>
    <row r="179" spans="1:22" ht="16.2" thickBot="1" x14ac:dyDescent="0.35">
      <c r="A179" s="24"/>
      <c r="B179" s="25"/>
      <c r="C179" s="25"/>
      <c r="D179" s="25"/>
      <c r="E179" s="25"/>
      <c r="F179" s="25"/>
      <c r="G179" s="25"/>
      <c r="H179" s="25"/>
      <c r="I179" s="25"/>
      <c r="J179" s="25"/>
      <c r="K179" s="25"/>
      <c r="L179" s="25"/>
      <c r="M179" s="25"/>
      <c r="N179" s="25"/>
      <c r="O179" s="25"/>
      <c r="P179" s="25"/>
      <c r="Q179" s="25"/>
      <c r="R179" s="25"/>
      <c r="S179" s="25"/>
      <c r="T179" s="61"/>
      <c r="U179" s="25"/>
      <c r="V179" s="5"/>
    </row>
    <row r="180" spans="1:22" ht="15.6" x14ac:dyDescent="0.3">
      <c r="A180" s="2"/>
      <c r="B180" s="4"/>
      <c r="C180" s="4"/>
      <c r="D180" s="4"/>
      <c r="E180" s="4"/>
      <c r="F180" s="4"/>
      <c r="G180" s="4"/>
      <c r="H180" s="4"/>
      <c r="I180" s="4"/>
      <c r="J180" s="4"/>
      <c r="K180" s="4"/>
      <c r="L180" s="4"/>
      <c r="M180" s="4"/>
      <c r="N180" s="4"/>
      <c r="O180" s="4"/>
      <c r="P180" s="4"/>
      <c r="Q180" s="4"/>
      <c r="R180" s="4"/>
      <c r="S180" s="4"/>
      <c r="T180" s="50"/>
      <c r="U180" s="4"/>
      <c r="V180" s="5"/>
    </row>
    <row r="181" spans="1:22" ht="15.6" x14ac:dyDescent="0.3">
      <c r="A181" s="6"/>
      <c r="B181" s="119" t="s">
        <v>66</v>
      </c>
      <c r="C181" s="8"/>
      <c r="D181" s="8"/>
      <c r="E181" s="8"/>
      <c r="F181" s="8"/>
      <c r="G181" s="8"/>
      <c r="H181" s="8"/>
      <c r="I181" s="8"/>
      <c r="J181" s="8"/>
      <c r="K181" s="8"/>
      <c r="L181" s="8"/>
      <c r="M181" s="8"/>
      <c r="N181" s="8"/>
      <c r="O181" s="8"/>
      <c r="P181" s="8"/>
      <c r="Q181" s="8"/>
      <c r="R181" s="8"/>
      <c r="S181" s="8"/>
      <c r="T181" s="65"/>
      <c r="U181" s="8"/>
      <c r="V181" s="5"/>
    </row>
    <row r="182" spans="1:22" ht="15.6" x14ac:dyDescent="0.3">
      <c r="A182" s="24"/>
      <c r="B182" s="25" t="s">
        <v>67</v>
      </c>
      <c r="C182" s="25"/>
      <c r="D182" s="25"/>
      <c r="E182" s="25"/>
      <c r="F182" s="25"/>
      <c r="G182" s="25"/>
      <c r="H182" s="25"/>
      <c r="I182" s="25"/>
      <c r="J182" s="25"/>
      <c r="K182" s="25"/>
      <c r="L182" s="25"/>
      <c r="M182" s="25"/>
      <c r="N182" s="25"/>
      <c r="O182" s="25"/>
      <c r="P182" s="25"/>
      <c r="Q182" s="25"/>
      <c r="R182" s="25"/>
      <c r="S182" s="25"/>
      <c r="T182" s="59">
        <f>(T100+T102+T103+T104+T105)/-(T106+T107)</f>
        <v>1.4712227035629033</v>
      </c>
      <c r="U182" s="25" t="s">
        <v>121</v>
      </c>
      <c r="V182" s="5"/>
    </row>
    <row r="183" spans="1:22" ht="15.6" x14ac:dyDescent="0.3">
      <c r="A183" s="24"/>
      <c r="B183" s="25" t="s">
        <v>68</v>
      </c>
      <c r="C183" s="25"/>
      <c r="D183" s="25"/>
      <c r="E183" s="25"/>
      <c r="F183" s="25"/>
      <c r="G183" s="25"/>
      <c r="H183" s="25"/>
      <c r="I183" s="25"/>
      <c r="J183" s="25"/>
      <c r="K183" s="25"/>
      <c r="L183" s="25"/>
      <c r="M183" s="25"/>
      <c r="N183" s="25"/>
      <c r="O183" s="25"/>
      <c r="P183" s="25"/>
      <c r="Q183" s="25"/>
      <c r="R183" s="25"/>
      <c r="S183" s="25"/>
      <c r="T183" s="66">
        <v>1.43</v>
      </c>
      <c r="U183" s="25" t="s">
        <v>121</v>
      </c>
      <c r="V183" s="5"/>
    </row>
    <row r="184" spans="1:22" ht="15.6" x14ac:dyDescent="0.3">
      <c r="A184" s="24"/>
      <c r="B184" s="25" t="s">
        <v>69</v>
      </c>
      <c r="C184" s="25"/>
      <c r="D184" s="25"/>
      <c r="E184" s="25"/>
      <c r="F184" s="25"/>
      <c r="G184" s="25"/>
      <c r="H184" s="25"/>
      <c r="I184" s="25"/>
      <c r="J184" s="25"/>
      <c r="K184" s="25"/>
      <c r="L184" s="25"/>
      <c r="M184" s="25"/>
      <c r="N184" s="25"/>
      <c r="O184" s="25"/>
      <c r="P184" s="25"/>
      <c r="Q184" s="25"/>
      <c r="R184" s="25"/>
      <c r="S184" s="25"/>
      <c r="T184" s="59">
        <f>(T100+T102+T103+T104+T105+T106+T107)/-(T108+T109)</f>
        <v>5.1348747591522157</v>
      </c>
      <c r="U184" s="25" t="s">
        <v>121</v>
      </c>
      <c r="V184" s="5"/>
    </row>
    <row r="185" spans="1:22" ht="15.6" x14ac:dyDescent="0.3">
      <c r="A185" s="24"/>
      <c r="B185" s="25" t="s">
        <v>70</v>
      </c>
      <c r="C185" s="25"/>
      <c r="D185" s="25"/>
      <c r="E185" s="25"/>
      <c r="F185" s="25"/>
      <c r="G185" s="25"/>
      <c r="H185" s="25"/>
      <c r="I185" s="25"/>
      <c r="J185" s="25"/>
      <c r="K185" s="25"/>
      <c r="L185" s="25"/>
      <c r="M185" s="25"/>
      <c r="N185" s="25"/>
      <c r="O185" s="25"/>
      <c r="P185" s="25"/>
      <c r="Q185" s="25"/>
      <c r="R185" s="25"/>
      <c r="S185" s="25"/>
      <c r="T185" s="66">
        <v>4.8</v>
      </c>
      <c r="U185" s="25" t="s">
        <v>121</v>
      </c>
      <c r="V185" s="5"/>
    </row>
    <row r="186" spans="1:22" ht="15.6" x14ac:dyDescent="0.3">
      <c r="A186" s="24"/>
      <c r="B186" s="25" t="s">
        <v>206</v>
      </c>
      <c r="C186" s="25"/>
      <c r="D186" s="25"/>
      <c r="E186" s="25"/>
      <c r="F186" s="25"/>
      <c r="G186" s="25"/>
      <c r="H186" s="25"/>
      <c r="I186" s="25"/>
      <c r="J186" s="25"/>
      <c r="K186" s="25"/>
      <c r="L186" s="25"/>
      <c r="M186" s="25"/>
      <c r="N186" s="25"/>
      <c r="O186" s="25"/>
      <c r="P186" s="25"/>
      <c r="Q186" s="25"/>
      <c r="R186" s="25"/>
      <c r="S186" s="25"/>
      <c r="T186" s="59">
        <f>(T100+T102+T103+T104+T105+T106+T107+T108+T109)/-(T110)</f>
        <v>4.8008948545861294</v>
      </c>
      <c r="U186" s="25" t="s">
        <v>121</v>
      </c>
      <c r="V186" s="5"/>
    </row>
    <row r="187" spans="1:22" ht="15.6" x14ac:dyDescent="0.3">
      <c r="A187" s="24"/>
      <c r="B187" s="25" t="s">
        <v>207</v>
      </c>
      <c r="C187" s="25"/>
      <c r="D187" s="25"/>
      <c r="E187" s="25"/>
      <c r="F187" s="25"/>
      <c r="G187" s="25"/>
      <c r="H187" s="25"/>
      <c r="I187" s="25"/>
      <c r="J187" s="25"/>
      <c r="K187" s="25"/>
      <c r="L187" s="25"/>
      <c r="M187" s="25"/>
      <c r="N187" s="25"/>
      <c r="O187" s="25"/>
      <c r="P187" s="25"/>
      <c r="Q187" s="25"/>
      <c r="R187" s="25"/>
      <c r="S187" s="25"/>
      <c r="T187" s="66">
        <v>4.3899999999999997</v>
      </c>
      <c r="U187" s="25" t="s">
        <v>121</v>
      </c>
      <c r="V187" s="5"/>
    </row>
    <row r="188" spans="1:22" ht="15.6" x14ac:dyDescent="0.3">
      <c r="A188" s="24"/>
      <c r="B188" s="25"/>
      <c r="C188" s="25"/>
      <c r="D188" s="25"/>
      <c r="E188" s="25"/>
      <c r="F188" s="25"/>
      <c r="G188" s="25"/>
      <c r="H188" s="25"/>
      <c r="I188" s="25"/>
      <c r="J188" s="25"/>
      <c r="K188" s="25"/>
      <c r="L188" s="25"/>
      <c r="M188" s="25"/>
      <c r="N188" s="25"/>
      <c r="O188" s="25"/>
      <c r="P188" s="25"/>
      <c r="Q188" s="25"/>
      <c r="R188" s="25"/>
      <c r="S188" s="25"/>
      <c r="T188" s="25"/>
      <c r="U188" s="25"/>
      <c r="V188" s="5"/>
    </row>
    <row r="189" spans="1:22" ht="15.6" x14ac:dyDescent="0.3">
      <c r="A189" s="24"/>
      <c r="B189" s="25"/>
      <c r="C189" s="25"/>
      <c r="D189" s="25"/>
      <c r="E189" s="25"/>
      <c r="F189" s="25"/>
      <c r="G189" s="25"/>
      <c r="H189" s="25"/>
      <c r="I189" s="25"/>
      <c r="J189" s="25"/>
      <c r="K189" s="25"/>
      <c r="L189" s="25"/>
      <c r="M189" s="25"/>
      <c r="N189" s="25"/>
      <c r="O189" s="25"/>
      <c r="P189" s="25"/>
      <c r="Q189" s="25"/>
      <c r="R189" s="25"/>
      <c r="S189" s="25"/>
      <c r="T189" s="25"/>
      <c r="U189" s="25"/>
      <c r="V189" s="5"/>
    </row>
    <row r="190" spans="1:22" ht="15.6" x14ac:dyDescent="0.3">
      <c r="A190" s="6"/>
      <c r="B190" s="8"/>
      <c r="C190" s="8"/>
      <c r="D190" s="8"/>
      <c r="E190" s="8"/>
      <c r="F190" s="8"/>
      <c r="G190" s="8"/>
      <c r="H190" s="8"/>
      <c r="I190" s="8"/>
      <c r="J190" s="8"/>
      <c r="K190" s="8"/>
      <c r="L190" s="8"/>
      <c r="M190" s="8"/>
      <c r="N190" s="8"/>
      <c r="O190" s="8"/>
      <c r="P190" s="8"/>
      <c r="Q190" s="8"/>
      <c r="R190" s="8"/>
      <c r="S190" s="8"/>
      <c r="T190" s="8"/>
      <c r="U190" s="8"/>
      <c r="V190" s="5"/>
    </row>
    <row r="191" spans="1:22" ht="18" thickBot="1" x14ac:dyDescent="0.35">
      <c r="A191" s="101"/>
      <c r="B191" s="102" t="str">
        <f>B132</f>
        <v>PM11 INVESTOR REPORT QUARTER ENDING MARCH 2007</v>
      </c>
      <c r="C191" s="165"/>
      <c r="D191" s="165"/>
      <c r="E191" s="165"/>
      <c r="F191" s="165"/>
      <c r="G191" s="165"/>
      <c r="H191" s="165"/>
      <c r="I191" s="165"/>
      <c r="J191" s="165"/>
      <c r="K191" s="165"/>
      <c r="L191" s="165"/>
      <c r="M191" s="165"/>
      <c r="N191" s="165"/>
      <c r="O191" s="165"/>
      <c r="P191" s="165"/>
      <c r="Q191" s="165"/>
      <c r="R191" s="165"/>
      <c r="S191" s="165"/>
      <c r="T191" s="165"/>
      <c r="U191" s="166"/>
      <c r="V191" s="5"/>
    </row>
    <row r="192" spans="1:22" ht="15.6" x14ac:dyDescent="0.3">
      <c r="A192" s="67"/>
      <c r="B192" s="60" t="s">
        <v>71</v>
      </c>
      <c r="C192" s="68"/>
      <c r="D192" s="68"/>
      <c r="E192" s="68"/>
      <c r="F192" s="68"/>
      <c r="G192" s="69"/>
      <c r="H192" s="69"/>
      <c r="I192" s="69"/>
      <c r="J192" s="69"/>
      <c r="K192" s="69"/>
      <c r="L192" s="69"/>
      <c r="M192" s="69"/>
      <c r="N192" s="69"/>
      <c r="O192" s="69"/>
      <c r="P192" s="69"/>
      <c r="Q192" s="69"/>
      <c r="R192" s="70">
        <v>39171</v>
      </c>
      <c r="S192" s="4"/>
      <c r="T192" s="4"/>
      <c r="U192" s="4"/>
      <c r="V192" s="5"/>
    </row>
    <row r="193" spans="1:22" ht="15.6" x14ac:dyDescent="0.3">
      <c r="A193" s="71"/>
      <c r="B193" s="72"/>
      <c r="C193" s="73"/>
      <c r="D193" s="73"/>
      <c r="E193" s="73"/>
      <c r="F193" s="73"/>
      <c r="G193" s="74"/>
      <c r="H193" s="74"/>
      <c r="I193" s="74"/>
      <c r="J193" s="74"/>
      <c r="K193" s="74"/>
      <c r="L193" s="74"/>
      <c r="M193" s="74"/>
      <c r="N193" s="74"/>
      <c r="O193" s="74"/>
      <c r="P193" s="74"/>
      <c r="Q193" s="74"/>
      <c r="R193" s="74"/>
      <c r="S193" s="8"/>
      <c r="T193" s="8"/>
      <c r="U193" s="8"/>
      <c r="V193" s="5"/>
    </row>
    <row r="194" spans="1:22" ht="15.6" x14ac:dyDescent="0.3">
      <c r="A194" s="75"/>
      <c r="B194" s="76" t="s">
        <v>72</v>
      </c>
      <c r="C194" s="77"/>
      <c r="D194" s="77"/>
      <c r="E194" s="77"/>
      <c r="F194" s="77"/>
      <c r="G194" s="64"/>
      <c r="H194" s="64"/>
      <c r="I194" s="64"/>
      <c r="J194" s="64"/>
      <c r="K194" s="64"/>
      <c r="L194" s="64"/>
      <c r="M194" s="64"/>
      <c r="N194" s="64"/>
      <c r="O194" s="64"/>
      <c r="P194" s="64"/>
      <c r="Q194" s="64"/>
      <c r="R194" s="78">
        <v>5.1569999999999998E-2</v>
      </c>
      <c r="S194" s="25"/>
      <c r="T194" s="25"/>
      <c r="U194" s="25"/>
      <c r="V194" s="5"/>
    </row>
    <row r="195" spans="1:22" ht="15.6" x14ac:dyDescent="0.3">
      <c r="A195" s="75"/>
      <c r="B195" s="76" t="s">
        <v>157</v>
      </c>
      <c r="C195" s="77"/>
      <c r="D195" s="77"/>
      <c r="E195" s="77"/>
      <c r="F195" s="77"/>
      <c r="G195" s="64"/>
      <c r="H195" s="64"/>
      <c r="I195" s="64"/>
      <c r="J195" s="64"/>
      <c r="K195" s="64"/>
      <c r="L195" s="64"/>
      <c r="M195" s="64"/>
      <c r="N195" s="64"/>
      <c r="O195" s="64"/>
      <c r="P195" s="64"/>
      <c r="Q195" s="64"/>
      <c r="R195" s="39">
        <v>4.6899999999999997E-2</v>
      </c>
      <c r="S195" s="25"/>
      <c r="T195" s="25"/>
      <c r="U195" s="25"/>
      <c r="V195" s="5"/>
    </row>
    <row r="196" spans="1:22" ht="15.6" x14ac:dyDescent="0.3">
      <c r="A196" s="75"/>
      <c r="B196" s="76" t="s">
        <v>73</v>
      </c>
      <c r="C196" s="77"/>
      <c r="D196" s="77"/>
      <c r="E196" s="77"/>
      <c r="F196" s="77"/>
      <c r="G196" s="64"/>
      <c r="H196" s="64"/>
      <c r="I196" s="64"/>
      <c r="J196" s="64"/>
      <c r="K196" s="64"/>
      <c r="L196" s="64"/>
      <c r="M196" s="64"/>
      <c r="N196" s="64"/>
      <c r="O196" s="64"/>
      <c r="P196" s="64"/>
      <c r="Q196" s="64"/>
      <c r="R196" s="78">
        <f>R194-R195</f>
        <v>4.6700000000000005E-3</v>
      </c>
      <c r="S196" s="25"/>
      <c r="T196" s="25"/>
      <c r="U196" s="25"/>
      <c r="V196" s="5"/>
    </row>
    <row r="197" spans="1:22" ht="15.6" x14ac:dyDescent="0.3">
      <c r="A197" s="75"/>
      <c r="B197" s="76" t="s">
        <v>74</v>
      </c>
      <c r="C197" s="77"/>
      <c r="D197" s="77"/>
      <c r="E197" s="77"/>
      <c r="F197" s="77"/>
      <c r="G197" s="64"/>
      <c r="H197" s="64"/>
      <c r="I197" s="64"/>
      <c r="J197" s="64"/>
      <c r="K197" s="64"/>
      <c r="L197" s="64"/>
      <c r="M197" s="64"/>
      <c r="N197" s="64"/>
      <c r="O197" s="64"/>
      <c r="P197" s="64"/>
      <c r="Q197" s="64"/>
      <c r="R197" s="78">
        <v>5.2740000000000002E-2</v>
      </c>
      <c r="S197" s="25"/>
      <c r="T197" s="25"/>
      <c r="U197" s="25"/>
      <c r="V197" s="5"/>
    </row>
    <row r="198" spans="1:22" ht="15.6" x14ac:dyDescent="0.3">
      <c r="A198" s="75"/>
      <c r="B198" s="76" t="s">
        <v>257</v>
      </c>
      <c r="C198" s="77"/>
      <c r="D198" s="77"/>
      <c r="E198" s="77"/>
      <c r="F198" s="77"/>
      <c r="G198" s="64"/>
      <c r="H198" s="64"/>
      <c r="I198" s="64"/>
      <c r="J198" s="64"/>
      <c r="K198" s="64"/>
      <c r="L198" s="64"/>
      <c r="M198" s="64"/>
      <c r="N198" s="64"/>
      <c r="O198" s="64"/>
      <c r="P198" s="64"/>
      <c r="Q198" s="64"/>
      <c r="R198" s="78">
        <f>T43</f>
        <v>5.6461477510793993E-2</v>
      </c>
      <c r="S198" s="25"/>
      <c r="T198" s="25"/>
      <c r="U198" s="25"/>
      <c r="V198" s="5"/>
    </row>
    <row r="199" spans="1:22" ht="15.6" x14ac:dyDescent="0.3">
      <c r="A199" s="75"/>
      <c r="B199" s="76" t="s">
        <v>75</v>
      </c>
      <c r="C199" s="77"/>
      <c r="D199" s="77"/>
      <c r="E199" s="77"/>
      <c r="F199" s="77"/>
      <c r="G199" s="64"/>
      <c r="H199" s="64"/>
      <c r="I199" s="64"/>
      <c r="J199" s="64"/>
      <c r="K199" s="64"/>
      <c r="L199" s="64"/>
      <c r="M199" s="64"/>
      <c r="N199" s="64"/>
      <c r="O199" s="64"/>
      <c r="P199" s="64"/>
      <c r="Q199" s="64"/>
      <c r="R199" s="78">
        <f>R197-R198</f>
        <v>-3.7214775107939913E-3</v>
      </c>
      <c r="S199" s="25"/>
      <c r="T199" s="25"/>
      <c r="U199" s="25"/>
      <c r="V199" s="5"/>
    </row>
    <row r="200" spans="1:22" ht="15.6" x14ac:dyDescent="0.3">
      <c r="A200" s="75"/>
      <c r="B200" s="76" t="s">
        <v>260</v>
      </c>
      <c r="C200" s="77"/>
      <c r="D200" s="77"/>
      <c r="E200" s="77"/>
      <c r="F200" s="77"/>
      <c r="G200" s="64"/>
      <c r="H200" s="64"/>
      <c r="I200" s="64"/>
      <c r="J200" s="64"/>
      <c r="K200" s="64"/>
      <c r="L200" s="64"/>
      <c r="M200" s="64"/>
      <c r="N200" s="64"/>
      <c r="O200" s="64"/>
      <c r="P200" s="64"/>
      <c r="Q200" s="64"/>
      <c r="R200" s="78">
        <f>+T100/L72</f>
        <v>1.788359265523835E-2</v>
      </c>
      <c r="S200" s="25"/>
      <c r="T200" s="25"/>
      <c r="U200" s="25"/>
      <c r="V200" s="5"/>
    </row>
    <row r="201" spans="1:22" ht="15.6" x14ac:dyDescent="0.3">
      <c r="A201" s="75"/>
      <c r="B201" s="76" t="s">
        <v>217</v>
      </c>
      <c r="C201" s="77"/>
      <c r="D201" s="77"/>
      <c r="E201" s="77"/>
      <c r="F201" s="77"/>
      <c r="G201" s="64"/>
      <c r="H201" s="64"/>
      <c r="I201" s="64"/>
      <c r="J201" s="64"/>
      <c r="K201" s="64"/>
      <c r="L201" s="64"/>
      <c r="M201" s="64"/>
      <c r="N201" s="64"/>
      <c r="O201" s="64"/>
      <c r="P201" s="64"/>
      <c r="Q201" s="64"/>
      <c r="R201" s="129">
        <v>15250</v>
      </c>
      <c r="S201" s="25"/>
      <c r="T201" s="25"/>
      <c r="U201" s="25"/>
      <c r="V201" s="5"/>
    </row>
    <row r="202" spans="1:22" ht="15.6" x14ac:dyDescent="0.3">
      <c r="A202" s="75"/>
      <c r="B202" s="76" t="s">
        <v>218</v>
      </c>
      <c r="C202" s="77"/>
      <c r="D202" s="77"/>
      <c r="E202" s="77"/>
      <c r="F202" s="77"/>
      <c r="G202" s="64"/>
      <c r="H202" s="64"/>
      <c r="I202" s="64"/>
      <c r="J202" s="64"/>
      <c r="K202" s="64"/>
      <c r="L202" s="64"/>
      <c r="M202" s="64"/>
      <c r="N202" s="64"/>
      <c r="O202" s="64"/>
      <c r="P202" s="64"/>
      <c r="Q202" s="64"/>
      <c r="R202" s="129">
        <v>15250</v>
      </c>
      <c r="S202" s="25"/>
      <c r="T202" s="25"/>
      <c r="U202" s="25"/>
      <c r="V202" s="5"/>
    </row>
    <row r="203" spans="1:22" ht="15.6" x14ac:dyDescent="0.3">
      <c r="A203" s="75"/>
      <c r="B203" s="76" t="s">
        <v>219</v>
      </c>
      <c r="C203" s="77"/>
      <c r="D203" s="77"/>
      <c r="E203" s="77"/>
      <c r="F203" s="77"/>
      <c r="G203" s="64"/>
      <c r="H203" s="64"/>
      <c r="I203" s="64"/>
      <c r="J203" s="64"/>
      <c r="K203" s="64"/>
      <c r="L203" s="64"/>
      <c r="M203" s="64"/>
      <c r="N203" s="64"/>
      <c r="O203" s="64"/>
      <c r="P203" s="64"/>
      <c r="Q203" s="64"/>
      <c r="R203" s="129">
        <v>15250</v>
      </c>
      <c r="S203" s="25"/>
      <c r="T203" s="25"/>
      <c r="U203" s="25"/>
      <c r="V203" s="5"/>
    </row>
    <row r="204" spans="1:22" ht="15.6" x14ac:dyDescent="0.3">
      <c r="A204" s="75"/>
      <c r="B204" s="76" t="s">
        <v>76</v>
      </c>
      <c r="C204" s="77"/>
      <c r="D204" s="77"/>
      <c r="E204" s="77"/>
      <c r="F204" s="77"/>
      <c r="G204" s="64"/>
      <c r="H204" s="64"/>
      <c r="I204" s="64"/>
      <c r="J204" s="64"/>
      <c r="K204" s="64"/>
      <c r="L204" s="64"/>
      <c r="M204" s="64"/>
      <c r="N204" s="64"/>
      <c r="O204" s="64"/>
      <c r="P204" s="64"/>
      <c r="Q204" s="64"/>
      <c r="R204" s="133">
        <v>21.18</v>
      </c>
      <c r="S204" s="25" t="s">
        <v>116</v>
      </c>
      <c r="T204" s="25"/>
      <c r="U204" s="25"/>
      <c r="V204" s="5"/>
    </row>
    <row r="205" spans="1:22" ht="15.6" x14ac:dyDescent="0.3">
      <c r="A205" s="75"/>
      <c r="B205" s="76" t="s">
        <v>77</v>
      </c>
      <c r="C205" s="77"/>
      <c r="D205" s="77"/>
      <c r="E205" s="77"/>
      <c r="F205" s="77"/>
      <c r="G205" s="64"/>
      <c r="H205" s="64"/>
      <c r="I205" s="64"/>
      <c r="J205" s="64"/>
      <c r="K205" s="64"/>
      <c r="L205" s="64"/>
      <c r="M205" s="64"/>
      <c r="N205" s="64"/>
      <c r="O205" s="64"/>
      <c r="P205" s="64"/>
      <c r="Q205" s="64"/>
      <c r="R205" s="133">
        <v>20.22</v>
      </c>
      <c r="S205" s="25" t="s">
        <v>116</v>
      </c>
      <c r="T205" s="25"/>
      <c r="U205" s="25"/>
      <c r="V205" s="5"/>
    </row>
    <row r="206" spans="1:22" ht="15.6" x14ac:dyDescent="0.3">
      <c r="A206" s="75"/>
      <c r="B206" s="76" t="s">
        <v>78</v>
      </c>
      <c r="C206" s="77"/>
      <c r="D206" s="77"/>
      <c r="E206" s="77"/>
      <c r="F206" s="77"/>
      <c r="G206" s="64"/>
      <c r="H206" s="64"/>
      <c r="I206" s="64"/>
      <c r="J206" s="64"/>
      <c r="K206" s="64"/>
      <c r="L206" s="64"/>
      <c r="M206" s="64"/>
      <c r="N206" s="64"/>
      <c r="O206" s="64"/>
      <c r="P206" s="64"/>
      <c r="Q206" s="64"/>
      <c r="R206" s="78">
        <f>+N69/L69</f>
        <v>2.2876954112585057E-2</v>
      </c>
      <c r="S206" s="25"/>
      <c r="T206" s="25"/>
      <c r="U206" s="25"/>
      <c r="V206" s="5"/>
    </row>
    <row r="207" spans="1:22" ht="15.6" x14ac:dyDescent="0.3">
      <c r="A207" s="75"/>
      <c r="B207" s="76" t="s">
        <v>79</v>
      </c>
      <c r="C207" s="77"/>
      <c r="D207" s="77"/>
      <c r="E207" s="77"/>
      <c r="F207" s="77"/>
      <c r="G207" s="64"/>
      <c r="H207" s="64"/>
      <c r="I207" s="64"/>
      <c r="J207" s="64"/>
      <c r="K207" s="64"/>
      <c r="L207" s="64"/>
      <c r="M207" s="64"/>
      <c r="N207" s="64"/>
      <c r="O207" s="64"/>
      <c r="P207" s="64"/>
      <c r="Q207" s="64"/>
      <c r="R207" s="78">
        <v>8.4099999999999994E-2</v>
      </c>
      <c r="S207" s="25"/>
      <c r="T207" s="25"/>
      <c r="U207" s="25"/>
      <c r="V207" s="5"/>
    </row>
    <row r="208" spans="1:22" ht="15.6" x14ac:dyDescent="0.3">
      <c r="A208" s="75"/>
      <c r="B208" s="76"/>
      <c r="C208" s="76"/>
      <c r="D208" s="76"/>
      <c r="E208" s="76"/>
      <c r="F208" s="76"/>
      <c r="G208" s="25"/>
      <c r="H208" s="25"/>
      <c r="I208" s="25"/>
      <c r="J208" s="25"/>
      <c r="K208" s="25"/>
      <c r="L208" s="25"/>
      <c r="M208" s="25"/>
      <c r="N208" s="25"/>
      <c r="O208" s="25"/>
      <c r="P208" s="25"/>
      <c r="Q208" s="25"/>
      <c r="R208" s="61"/>
      <c r="S208" s="25"/>
      <c r="T208" s="79"/>
      <c r="U208" s="25"/>
      <c r="V208" s="5"/>
    </row>
    <row r="209" spans="1:22" ht="15.6" x14ac:dyDescent="0.3">
      <c r="A209" s="80"/>
      <c r="B209" s="14" t="s">
        <v>80</v>
      </c>
      <c r="C209" s="81"/>
      <c r="D209" s="81"/>
      <c r="E209" s="81"/>
      <c r="F209" s="82"/>
      <c r="G209" s="81"/>
      <c r="H209" s="17"/>
      <c r="I209" s="17"/>
      <c r="J209" s="17"/>
      <c r="K209" s="17"/>
      <c r="L209" s="17"/>
      <c r="M209" s="17"/>
      <c r="N209" s="17"/>
      <c r="O209" s="17"/>
      <c r="P209" s="17"/>
      <c r="Q209" s="17" t="s">
        <v>105</v>
      </c>
      <c r="R209" s="83" t="s">
        <v>112</v>
      </c>
      <c r="S209" s="8"/>
      <c r="T209" s="8"/>
      <c r="U209" s="8"/>
      <c r="V209" s="5"/>
    </row>
    <row r="210" spans="1:22" ht="15.6" x14ac:dyDescent="0.3">
      <c r="A210" s="84"/>
      <c r="B210" s="76" t="s">
        <v>81</v>
      </c>
      <c r="C210" s="54"/>
      <c r="D210" s="54"/>
      <c r="E210" s="54"/>
      <c r="F210" s="25"/>
      <c r="G210" s="25"/>
      <c r="H210" s="30"/>
      <c r="I210" s="30"/>
      <c r="J210" s="30"/>
      <c r="K210" s="30"/>
      <c r="L210" s="30"/>
      <c r="M210" s="30"/>
      <c r="N210" s="30"/>
      <c r="O210" s="30"/>
      <c r="P210" s="30"/>
      <c r="Q210" s="30">
        <v>0</v>
      </c>
      <c r="R210" s="85">
        <v>0</v>
      </c>
      <c r="S210" s="25"/>
      <c r="T210" s="79"/>
      <c r="U210" s="86"/>
      <c r="V210" s="5"/>
    </row>
    <row r="211" spans="1:22" ht="15.6" x14ac:dyDescent="0.3">
      <c r="A211" s="84"/>
      <c r="B211" s="76" t="s">
        <v>151</v>
      </c>
      <c r="C211" s="54"/>
      <c r="D211" s="54"/>
      <c r="E211" s="54"/>
      <c r="F211" s="25"/>
      <c r="G211" s="25"/>
      <c r="H211" s="30"/>
      <c r="I211" s="30"/>
      <c r="J211" s="30"/>
      <c r="K211" s="30"/>
      <c r="L211" s="30"/>
      <c r="M211" s="30"/>
      <c r="N211" s="30"/>
      <c r="O211" s="30"/>
      <c r="P211" s="30"/>
      <c r="Q211" s="152">
        <f>+P252</f>
        <v>14</v>
      </c>
      <c r="R211" s="85">
        <f>+R252</f>
        <v>1999</v>
      </c>
      <c r="S211" s="25"/>
      <c r="T211" s="79"/>
      <c r="U211" s="86"/>
      <c r="V211" s="5"/>
    </row>
    <row r="212" spans="1:22" ht="15.6" x14ac:dyDescent="0.3">
      <c r="A212" s="84"/>
      <c r="B212" s="76" t="s">
        <v>82</v>
      </c>
      <c r="C212" s="54"/>
      <c r="D212" s="54"/>
      <c r="E212" s="54"/>
      <c r="F212" s="25"/>
      <c r="G212" s="25"/>
      <c r="H212" s="30"/>
      <c r="I212" s="30"/>
      <c r="J212" s="30"/>
      <c r="K212" s="30"/>
      <c r="L212" s="30"/>
      <c r="M212" s="30"/>
      <c r="N212" s="30"/>
      <c r="O212" s="30"/>
      <c r="P212" s="30"/>
      <c r="Q212" s="30">
        <v>0</v>
      </c>
      <c r="R212" s="85">
        <v>0</v>
      </c>
      <c r="S212" s="25"/>
      <c r="T212" s="79"/>
      <c r="U212" s="86"/>
      <c r="V212" s="5"/>
    </row>
    <row r="213" spans="1:22" ht="15.6" x14ac:dyDescent="0.3">
      <c r="A213" s="84"/>
      <c r="B213" s="122" t="s">
        <v>83</v>
      </c>
      <c r="C213" s="54"/>
      <c r="D213" s="54"/>
      <c r="E213" s="54"/>
      <c r="F213" s="25"/>
      <c r="G213" s="25"/>
      <c r="H213" s="25"/>
      <c r="I213" s="25"/>
      <c r="J213" s="25"/>
      <c r="K213" s="25"/>
      <c r="L213" s="25"/>
      <c r="M213" s="25"/>
      <c r="N213" s="25"/>
      <c r="O213" s="25"/>
      <c r="P213" s="25"/>
      <c r="Q213" s="25"/>
      <c r="R213" s="85">
        <v>0</v>
      </c>
      <c r="S213" s="25"/>
      <c r="T213" s="79"/>
      <c r="U213" s="86"/>
      <c r="V213" s="5"/>
    </row>
    <row r="214" spans="1:22" ht="15.6" x14ac:dyDescent="0.3">
      <c r="A214" s="84"/>
      <c r="B214" s="122" t="s">
        <v>84</v>
      </c>
      <c r="C214" s="54"/>
      <c r="D214" s="54"/>
      <c r="E214" s="54"/>
      <c r="F214" s="25"/>
      <c r="G214" s="25"/>
      <c r="H214" s="25"/>
      <c r="I214" s="25"/>
      <c r="J214" s="25"/>
      <c r="K214" s="25"/>
      <c r="L214" s="25"/>
      <c r="M214" s="25"/>
      <c r="N214" s="25"/>
      <c r="O214" s="25"/>
      <c r="P214" s="25"/>
      <c r="Q214" s="25"/>
      <c r="R214" s="62" t="s">
        <v>113</v>
      </c>
      <c r="S214" s="25"/>
      <c r="T214" s="79"/>
      <c r="U214" s="86"/>
      <c r="V214" s="5"/>
    </row>
    <row r="215" spans="1:22" ht="15.6" x14ac:dyDescent="0.3">
      <c r="A215" s="87"/>
      <c r="B215" s="122" t="s">
        <v>85</v>
      </c>
      <c r="C215" s="76"/>
      <c r="D215" s="76"/>
      <c r="E215" s="76"/>
      <c r="F215" s="76"/>
      <c r="G215" s="25"/>
      <c r="H215" s="25"/>
      <c r="I215" s="25"/>
      <c r="J215" s="25"/>
      <c r="K215" s="25"/>
      <c r="L215" s="25"/>
      <c r="M215" s="25"/>
      <c r="N215" s="25"/>
      <c r="O215" s="25"/>
      <c r="P215" s="25"/>
      <c r="Q215" s="25"/>
      <c r="R215" s="85"/>
      <c r="S215" s="25"/>
      <c r="T215" s="79"/>
      <c r="U215" s="88"/>
      <c r="V215" s="5"/>
    </row>
    <row r="216" spans="1:22" ht="15.6" x14ac:dyDescent="0.3">
      <c r="A216" s="87"/>
      <c r="B216" s="131" t="s">
        <v>86</v>
      </c>
      <c r="C216" s="76"/>
      <c r="D216" s="76"/>
      <c r="E216" s="76"/>
      <c r="F216" s="76"/>
      <c r="G216" s="25"/>
      <c r="H216" s="25"/>
      <c r="I216" s="25"/>
      <c r="J216" s="25"/>
      <c r="K216" s="25"/>
      <c r="L216" s="25"/>
      <c r="M216" s="25"/>
      <c r="N216" s="25"/>
      <c r="O216" s="25"/>
      <c r="P216" s="25"/>
      <c r="Q216" s="30">
        <v>0</v>
      </c>
      <c r="R216" s="85">
        <f>T161</f>
        <v>0</v>
      </c>
      <c r="S216" s="25"/>
      <c r="T216" s="79"/>
      <c r="U216" s="88"/>
      <c r="V216" s="5"/>
    </row>
    <row r="217" spans="1:22" ht="15.6" x14ac:dyDescent="0.3">
      <c r="A217" s="84"/>
      <c r="B217" s="76" t="s">
        <v>87</v>
      </c>
      <c r="C217" s="54"/>
      <c r="D217" s="54"/>
      <c r="E217" s="54"/>
      <c r="F217" s="54"/>
      <c r="G217" s="25"/>
      <c r="H217" s="25"/>
      <c r="I217" s="25"/>
      <c r="J217" s="25"/>
      <c r="K217" s="25"/>
      <c r="L217" s="25"/>
      <c r="M217" s="25"/>
      <c r="N217" s="25"/>
      <c r="O217" s="25"/>
      <c r="P217" s="25"/>
      <c r="Q217" s="30">
        <v>0</v>
      </c>
      <c r="R217" s="85">
        <f>+'Dec 06'!R217+R216</f>
        <v>0</v>
      </c>
      <c r="S217" s="25"/>
      <c r="T217" s="79"/>
      <c r="U217" s="88"/>
      <c r="V217" s="5"/>
    </row>
    <row r="218" spans="1:22" ht="15.6" x14ac:dyDescent="0.3">
      <c r="A218" s="84"/>
      <c r="B218" s="76" t="s">
        <v>88</v>
      </c>
      <c r="C218" s="54"/>
      <c r="D218" s="54"/>
      <c r="E218" s="54"/>
      <c r="F218" s="54"/>
      <c r="G218" s="25"/>
      <c r="H218" s="25"/>
      <c r="I218" s="25"/>
      <c r="J218" s="25"/>
      <c r="K218" s="25"/>
      <c r="L218" s="25"/>
      <c r="M218" s="25"/>
      <c r="N218" s="25"/>
      <c r="O218" s="25"/>
      <c r="P218" s="25"/>
      <c r="Q218" s="30"/>
      <c r="R218" s="85">
        <v>0</v>
      </c>
      <c r="S218" s="25"/>
      <c r="T218" s="79"/>
      <c r="U218" s="88"/>
      <c r="V218" s="5"/>
    </row>
    <row r="219" spans="1:22" ht="15.6" x14ac:dyDescent="0.3">
      <c r="A219" s="87"/>
      <c r="B219" s="122" t="s">
        <v>282</v>
      </c>
      <c r="C219" s="76"/>
      <c r="D219" s="76"/>
      <c r="E219" s="76"/>
      <c r="F219" s="76"/>
      <c r="G219" s="25"/>
      <c r="H219" s="25"/>
      <c r="I219" s="25"/>
      <c r="J219" s="25"/>
      <c r="K219" s="25"/>
      <c r="L219" s="25"/>
      <c r="M219" s="25"/>
      <c r="N219" s="25"/>
      <c r="O219" s="25"/>
      <c r="P219" s="25"/>
      <c r="Q219" s="30"/>
      <c r="R219" s="85"/>
      <c r="S219" s="25"/>
      <c r="T219" s="79"/>
      <c r="U219" s="88"/>
      <c r="V219" s="5"/>
    </row>
    <row r="220" spans="1:22" ht="15.6" x14ac:dyDescent="0.3">
      <c r="A220" s="87"/>
      <c r="B220" s="76" t="s">
        <v>280</v>
      </c>
      <c r="C220" s="76"/>
      <c r="D220" s="76"/>
      <c r="E220" s="76"/>
      <c r="F220" s="76"/>
      <c r="G220" s="25"/>
      <c r="H220" s="25"/>
      <c r="I220" s="25"/>
      <c r="J220" s="25"/>
      <c r="K220" s="25"/>
      <c r="L220" s="25"/>
      <c r="M220" s="25"/>
      <c r="N220" s="25"/>
      <c r="O220" s="25"/>
      <c r="P220" s="25"/>
      <c r="Q220" s="30">
        <v>0</v>
      </c>
      <c r="R220" s="85">
        <v>0</v>
      </c>
      <c r="S220" s="25"/>
      <c r="T220" s="79"/>
      <c r="U220" s="88"/>
      <c r="V220" s="5"/>
    </row>
    <row r="221" spans="1:22" ht="15.6" x14ac:dyDescent="0.3">
      <c r="A221" s="84"/>
      <c r="B221" s="76" t="s">
        <v>89</v>
      </c>
      <c r="C221" s="89"/>
      <c r="D221" s="89"/>
      <c r="E221" s="89"/>
      <c r="F221" s="90"/>
      <c r="G221" s="25"/>
      <c r="H221" s="25"/>
      <c r="I221" s="25"/>
      <c r="J221" s="25"/>
      <c r="K221" s="25"/>
      <c r="L221" s="25"/>
      <c r="M221" s="25"/>
      <c r="N221" s="25"/>
      <c r="O221" s="25"/>
      <c r="P221" s="25"/>
      <c r="Q221" s="25"/>
      <c r="R221" s="62">
        <v>0</v>
      </c>
      <c r="S221" s="25"/>
      <c r="T221" s="79"/>
      <c r="U221" s="88"/>
      <c r="V221" s="5"/>
    </row>
    <row r="222" spans="1:22" ht="15.6" x14ac:dyDescent="0.3">
      <c r="A222" s="84"/>
      <c r="B222" s="76" t="s">
        <v>90</v>
      </c>
      <c r="C222" s="89"/>
      <c r="D222" s="89"/>
      <c r="E222" s="89"/>
      <c r="F222" s="90"/>
      <c r="G222" s="25"/>
      <c r="H222" s="25"/>
      <c r="I222" s="25"/>
      <c r="J222" s="25"/>
      <c r="K222" s="25"/>
      <c r="L222" s="25"/>
      <c r="M222" s="25"/>
      <c r="N222" s="25"/>
      <c r="O222" s="25"/>
      <c r="P222" s="25"/>
      <c r="Q222" s="25"/>
      <c r="R222" s="62">
        <v>0</v>
      </c>
      <c r="S222" s="25"/>
      <c r="T222" s="79"/>
      <c r="U222" s="88"/>
      <c r="V222" s="5"/>
    </row>
    <row r="223" spans="1:22" ht="15.6" x14ac:dyDescent="0.3">
      <c r="A223" s="84"/>
      <c r="B223" s="122" t="s">
        <v>226</v>
      </c>
      <c r="C223" s="89"/>
      <c r="D223" s="89"/>
      <c r="E223" s="89"/>
      <c r="F223" s="90"/>
      <c r="G223" s="25"/>
      <c r="H223" s="25"/>
      <c r="I223" s="25"/>
      <c r="J223" s="25"/>
      <c r="K223" s="25"/>
      <c r="L223" s="25"/>
      <c r="M223" s="25"/>
      <c r="N223" s="25"/>
      <c r="O223" s="25"/>
      <c r="P223" s="25"/>
      <c r="Q223" s="30"/>
      <c r="R223" s="91"/>
      <c r="S223" s="25"/>
      <c r="T223" s="79"/>
      <c r="U223" s="88"/>
      <c r="V223" s="5"/>
    </row>
    <row r="224" spans="1:22" ht="15.6" x14ac:dyDescent="0.3">
      <c r="A224" s="84"/>
      <c r="B224" s="76" t="s">
        <v>280</v>
      </c>
      <c r="C224" s="89"/>
      <c r="D224" s="89"/>
      <c r="E224" s="89"/>
      <c r="F224" s="90"/>
      <c r="G224" s="25"/>
      <c r="H224" s="25"/>
      <c r="I224" s="25"/>
      <c r="J224" s="25"/>
      <c r="K224" s="25"/>
      <c r="L224" s="25"/>
      <c r="M224" s="25"/>
      <c r="N224" s="25"/>
      <c r="O224" s="25"/>
      <c r="P224" s="25"/>
      <c r="Q224" s="30">
        <v>2</v>
      </c>
      <c r="R224" s="85">
        <v>266</v>
      </c>
      <c r="S224" s="25"/>
      <c r="T224" s="79"/>
      <c r="U224" s="88"/>
      <c r="V224" s="5"/>
    </row>
    <row r="225" spans="1:23" ht="15.6" x14ac:dyDescent="0.3">
      <c r="A225" s="84"/>
      <c r="B225" s="76" t="s">
        <v>227</v>
      </c>
      <c r="C225" s="89"/>
      <c r="D225" s="89"/>
      <c r="E225" s="89"/>
      <c r="F225" s="90"/>
      <c r="G225" s="25"/>
      <c r="H225" s="25"/>
      <c r="I225" s="25"/>
      <c r="J225" s="25"/>
      <c r="K225" s="25"/>
      <c r="L225" s="25"/>
      <c r="M225" s="25"/>
      <c r="N225" s="25"/>
      <c r="O225" s="25"/>
      <c r="P225" s="25"/>
      <c r="Q225" s="30"/>
      <c r="R225" s="62">
        <v>6.95</v>
      </c>
      <c r="S225" s="25"/>
      <c r="T225" s="79"/>
      <c r="U225" s="88"/>
      <c r="V225" s="5"/>
    </row>
    <row r="226" spans="1:23" ht="15.6" x14ac:dyDescent="0.3">
      <c r="A226" s="84"/>
      <c r="B226" s="76"/>
      <c r="C226" s="89"/>
      <c r="D226" s="89"/>
      <c r="E226" s="89"/>
      <c r="F226" s="90"/>
      <c r="G226" s="25"/>
      <c r="H226" s="25"/>
      <c r="I226" s="25"/>
      <c r="J226" s="25"/>
      <c r="K226" s="25"/>
      <c r="L226" s="25"/>
      <c r="M226" s="25"/>
      <c r="N226" s="25"/>
      <c r="O226" s="25"/>
      <c r="P226" s="25"/>
      <c r="Q226" s="25"/>
      <c r="R226" s="91"/>
      <c r="S226" s="25"/>
      <c r="T226" s="79"/>
      <c r="U226" s="88"/>
      <c r="V226" s="5"/>
    </row>
    <row r="227" spans="1:23" ht="15.6" x14ac:dyDescent="0.3">
      <c r="A227" s="84"/>
      <c r="B227" s="76"/>
      <c r="C227" s="89"/>
      <c r="D227" s="89"/>
      <c r="E227" s="89"/>
      <c r="F227" s="90"/>
      <c r="G227" s="25"/>
      <c r="H227" s="25"/>
      <c r="I227" s="25"/>
      <c r="J227" s="25"/>
      <c r="K227" s="25"/>
      <c r="L227" s="25"/>
      <c r="M227" s="25"/>
      <c r="N227" s="25"/>
      <c r="O227" s="25"/>
      <c r="P227" s="25"/>
      <c r="Q227" s="25"/>
      <c r="R227" s="91"/>
      <c r="S227" s="25"/>
      <c r="T227" s="79"/>
      <c r="U227" s="88"/>
      <c r="V227" s="5"/>
    </row>
    <row r="228" spans="1:23" ht="17.399999999999999" x14ac:dyDescent="0.3">
      <c r="A228" s="84"/>
      <c r="B228" s="149" t="s">
        <v>175</v>
      </c>
      <c r="C228" s="89"/>
      <c r="D228" s="89"/>
      <c r="E228" s="89"/>
      <c r="F228" s="90"/>
      <c r="G228" s="25"/>
      <c r="H228" s="25"/>
      <c r="I228" s="25"/>
      <c r="J228" s="25"/>
      <c r="K228" s="25"/>
      <c r="L228" s="25"/>
      <c r="M228" s="25"/>
      <c r="N228" s="150" t="s">
        <v>174</v>
      </c>
      <c r="O228" s="25"/>
      <c r="P228" s="25"/>
      <c r="Q228" s="25"/>
      <c r="R228" s="91"/>
      <c r="S228" s="25"/>
      <c r="T228" s="79"/>
      <c r="U228" s="88"/>
      <c r="V228" s="5"/>
    </row>
    <row r="229" spans="1:23" ht="15.6" x14ac:dyDescent="0.3">
      <c r="A229" s="84"/>
      <c r="B229" s="76"/>
      <c r="C229" s="89"/>
      <c r="D229" s="89"/>
      <c r="E229" s="89"/>
      <c r="F229" s="90"/>
      <c r="G229" s="25"/>
      <c r="H229" s="25"/>
      <c r="I229" s="25"/>
      <c r="J229" s="25"/>
      <c r="K229" s="25"/>
      <c r="L229" s="25"/>
      <c r="M229" s="25"/>
      <c r="N229" s="25"/>
      <c r="O229" s="25"/>
      <c r="P229" s="25"/>
      <c r="Q229" s="25"/>
      <c r="R229" s="91"/>
      <c r="S229" s="25"/>
      <c r="T229" s="79"/>
      <c r="U229" s="88"/>
      <c r="V229" s="5"/>
    </row>
    <row r="230" spans="1:23" ht="15.6" x14ac:dyDescent="0.3">
      <c r="A230" s="6"/>
      <c r="B230" s="14" t="s">
        <v>169</v>
      </c>
      <c r="C230" s="81"/>
      <c r="D230" s="81"/>
      <c r="E230" s="81"/>
      <c r="F230" s="82"/>
      <c r="G230" s="81"/>
      <c r="H230" s="17"/>
      <c r="I230" s="17"/>
      <c r="J230" s="17"/>
      <c r="K230" s="17"/>
      <c r="L230" s="17"/>
      <c r="M230" s="17"/>
      <c r="N230" s="17"/>
      <c r="O230" s="17"/>
      <c r="P230" s="83" t="s">
        <v>105</v>
      </c>
      <c r="Q230" s="17" t="s">
        <v>106</v>
      </c>
      <c r="R230" s="83" t="s">
        <v>114</v>
      </c>
      <c r="S230" s="17" t="s">
        <v>106</v>
      </c>
      <c r="T230" s="8"/>
      <c r="U230" s="92"/>
      <c r="V230" s="5"/>
    </row>
    <row r="231" spans="1:23" ht="15.6" x14ac:dyDescent="0.3">
      <c r="A231" s="24"/>
      <c r="B231" s="54" t="s">
        <v>91</v>
      </c>
      <c r="C231" s="93"/>
      <c r="D231" s="93"/>
      <c r="E231" s="93"/>
      <c r="F231" s="25"/>
      <c r="G231" s="93"/>
      <c r="H231" s="93"/>
      <c r="I231" s="93"/>
      <c r="J231" s="93"/>
      <c r="K231" s="93"/>
      <c r="L231" s="93"/>
      <c r="M231" s="93"/>
      <c r="N231" s="93"/>
      <c r="O231" s="93"/>
      <c r="P231" s="54">
        <v>7021</v>
      </c>
      <c r="Q231" s="94">
        <f t="shared" ref="Q231:Q238" si="1">P231/$P$240</f>
        <v>0.99461680124663554</v>
      </c>
      <c r="R231" s="53">
        <v>925184</v>
      </c>
      <c r="S231" s="132">
        <f t="shared" ref="S231:S238" si="2">R231/$R$240</f>
        <v>0.99419291888569372</v>
      </c>
      <c r="T231" s="79"/>
      <c r="U231" s="88"/>
      <c r="V231" s="5"/>
    </row>
    <row r="232" spans="1:23" ht="15.6" x14ac:dyDescent="0.3">
      <c r="A232" s="24"/>
      <c r="B232" s="54" t="s">
        <v>92</v>
      </c>
      <c r="C232" s="93"/>
      <c r="D232" s="93"/>
      <c r="E232" s="93"/>
      <c r="F232" s="25"/>
      <c r="G232" s="94"/>
      <c r="H232" s="93"/>
      <c r="I232" s="93"/>
      <c r="J232" s="93"/>
      <c r="K232" s="93"/>
      <c r="L232" s="93"/>
      <c r="M232" s="93"/>
      <c r="N232" s="93"/>
      <c r="O232" s="93"/>
      <c r="P232" s="54">
        <v>22</v>
      </c>
      <c r="Q232" s="94">
        <f t="shared" si="1"/>
        <v>3.1165887519478681E-3</v>
      </c>
      <c r="R232" s="53">
        <v>3775</v>
      </c>
      <c r="S232" s="132">
        <f t="shared" si="2"/>
        <v>4.0565749826991107E-3</v>
      </c>
      <c r="T232" s="79"/>
      <c r="U232" s="88"/>
      <c r="V232" s="5"/>
      <c r="W232" s="109"/>
    </row>
    <row r="233" spans="1:23" ht="15.6" x14ac:dyDescent="0.3">
      <c r="A233" s="24"/>
      <c r="B233" s="54" t="s">
        <v>93</v>
      </c>
      <c r="C233" s="93"/>
      <c r="D233" s="93"/>
      <c r="E233" s="93"/>
      <c r="F233" s="25"/>
      <c r="G233" s="94"/>
      <c r="H233" s="93"/>
      <c r="I233" s="93"/>
      <c r="J233" s="93"/>
      <c r="K233" s="93"/>
      <c r="L233" s="93"/>
      <c r="M233" s="93"/>
      <c r="N233" s="93"/>
      <c r="O233" s="93"/>
      <c r="P233" s="54">
        <v>6</v>
      </c>
      <c r="Q233" s="94">
        <f t="shared" si="1"/>
        <v>8.499787505312367E-4</v>
      </c>
      <c r="R233" s="53">
        <v>1135</v>
      </c>
      <c r="S233" s="132">
        <f t="shared" si="2"/>
        <v>1.2196589683082094E-3</v>
      </c>
      <c r="T233" s="79"/>
      <c r="U233" s="88"/>
      <c r="V233" s="5"/>
    </row>
    <row r="234" spans="1:23" ht="15.6" x14ac:dyDescent="0.3">
      <c r="A234" s="24"/>
      <c r="B234" s="54" t="s">
        <v>163</v>
      </c>
      <c r="C234" s="93"/>
      <c r="D234" s="93"/>
      <c r="E234" s="93"/>
      <c r="F234" s="25"/>
      <c r="G234" s="94"/>
      <c r="H234" s="93"/>
      <c r="I234" s="93"/>
      <c r="J234" s="93"/>
      <c r="K234" s="93"/>
      <c r="L234" s="93"/>
      <c r="M234" s="93"/>
      <c r="N234" s="93"/>
      <c r="O234" s="93"/>
      <c r="P234" s="54">
        <v>10</v>
      </c>
      <c r="Q234" s="94">
        <f t="shared" si="1"/>
        <v>1.4166312508853945E-3</v>
      </c>
      <c r="R234" s="53">
        <v>494</v>
      </c>
      <c r="S234" s="132">
        <f t="shared" si="2"/>
        <v>5.3084716329890346E-4</v>
      </c>
      <c r="T234" s="79"/>
      <c r="U234" s="88"/>
      <c r="V234" s="5"/>
      <c r="W234" s="109"/>
    </row>
    <row r="235" spans="1:23" ht="15.6" x14ac:dyDescent="0.3">
      <c r="A235" s="24"/>
      <c r="B235" s="54" t="s">
        <v>164</v>
      </c>
      <c r="C235" s="93"/>
      <c r="D235" s="93"/>
      <c r="E235" s="93"/>
      <c r="F235" s="25"/>
      <c r="G235" s="94"/>
      <c r="H235" s="93"/>
      <c r="I235" s="93"/>
      <c r="J235" s="93"/>
      <c r="K235" s="93"/>
      <c r="L235" s="93"/>
      <c r="M235" s="93"/>
      <c r="N235" s="93"/>
      <c r="O235" s="93"/>
      <c r="P235" s="54">
        <v>0</v>
      </c>
      <c r="Q235" s="94">
        <f t="shared" si="1"/>
        <v>0</v>
      </c>
      <c r="R235" s="53">
        <v>0</v>
      </c>
      <c r="S235" s="132">
        <f t="shared" si="2"/>
        <v>0</v>
      </c>
      <c r="T235" s="79"/>
      <c r="U235" s="88"/>
      <c r="V235" s="5"/>
    </row>
    <row r="236" spans="1:23" ht="15.6" x14ac:dyDescent="0.3">
      <c r="A236" s="24"/>
      <c r="B236" s="54" t="s">
        <v>165</v>
      </c>
      <c r="C236" s="93"/>
      <c r="D236" s="93"/>
      <c r="E236" s="93"/>
      <c r="F236" s="25"/>
      <c r="G236" s="94"/>
      <c r="H236" s="93"/>
      <c r="I236" s="93"/>
      <c r="J236" s="93"/>
      <c r="K236" s="93"/>
      <c r="L236" s="93"/>
      <c r="M236" s="93"/>
      <c r="N236" s="93"/>
      <c r="O236" s="93"/>
      <c r="P236" s="54">
        <v>0</v>
      </c>
      <c r="Q236" s="94">
        <f t="shared" si="1"/>
        <v>0</v>
      </c>
      <c r="R236" s="53">
        <v>0</v>
      </c>
      <c r="S236" s="132">
        <f t="shared" si="2"/>
        <v>0</v>
      </c>
      <c r="T236" s="79"/>
      <c r="U236" s="88"/>
      <c r="V236" s="5"/>
      <c r="W236" s="109"/>
    </row>
    <row r="237" spans="1:23" ht="15.6" x14ac:dyDescent="0.3">
      <c r="A237" s="24"/>
      <c r="B237" s="54" t="s">
        <v>166</v>
      </c>
      <c r="C237" s="93"/>
      <c r="D237" s="93"/>
      <c r="E237" s="93"/>
      <c r="F237" s="25"/>
      <c r="G237" s="94"/>
      <c r="H237" s="93"/>
      <c r="I237" s="93"/>
      <c r="J237" s="93"/>
      <c r="K237" s="93"/>
      <c r="L237" s="93"/>
      <c r="M237" s="93"/>
      <c r="N237" s="93"/>
      <c r="O237" s="93"/>
      <c r="P237" s="54">
        <v>0</v>
      </c>
      <c r="Q237" s="94">
        <f t="shared" si="1"/>
        <v>0</v>
      </c>
      <c r="R237" s="53">
        <v>0</v>
      </c>
      <c r="S237" s="132">
        <f t="shared" si="2"/>
        <v>0</v>
      </c>
      <c r="T237" s="79"/>
      <c r="U237" s="88"/>
      <c r="V237" s="5"/>
    </row>
    <row r="238" spans="1:23" ht="15.6" x14ac:dyDescent="0.3">
      <c r="A238" s="24"/>
      <c r="B238" s="54" t="s">
        <v>167</v>
      </c>
      <c r="C238" s="93"/>
      <c r="D238" s="93"/>
      <c r="E238" s="93"/>
      <c r="F238" s="25"/>
      <c r="G238" s="94"/>
      <c r="H238" s="93"/>
      <c r="I238" s="93"/>
      <c r="J238" s="93"/>
      <c r="K238" s="93"/>
      <c r="L238" s="93"/>
      <c r="M238" s="93"/>
      <c r="N238" s="93"/>
      <c r="O238" s="93"/>
      <c r="P238" s="54">
        <v>0</v>
      </c>
      <c r="Q238" s="94">
        <f t="shared" si="1"/>
        <v>0</v>
      </c>
      <c r="R238" s="53">
        <v>0</v>
      </c>
      <c r="S238" s="132">
        <f t="shared" si="2"/>
        <v>0</v>
      </c>
      <c r="T238" s="79"/>
      <c r="U238" s="88"/>
      <c r="V238" s="5"/>
      <c r="W238" s="109"/>
    </row>
    <row r="239" spans="1:23" ht="15.6" x14ac:dyDescent="0.3">
      <c r="A239" s="24"/>
      <c r="B239" s="54"/>
      <c r="C239" s="93"/>
      <c r="D239" s="93"/>
      <c r="E239" s="93"/>
      <c r="F239" s="25"/>
      <c r="G239" s="94"/>
      <c r="H239" s="93"/>
      <c r="I239" s="93"/>
      <c r="J239" s="93"/>
      <c r="K239" s="93"/>
      <c r="L239" s="93"/>
      <c r="M239" s="93"/>
      <c r="N239" s="93"/>
      <c r="O239" s="93"/>
      <c r="P239" s="54"/>
      <c r="Q239" s="94"/>
      <c r="R239" s="53"/>
      <c r="S239" s="132"/>
      <c r="T239" s="79"/>
      <c r="U239" s="88"/>
      <c r="V239" s="5"/>
    </row>
    <row r="240" spans="1:23" ht="15.6" x14ac:dyDescent="0.3">
      <c r="A240" s="24"/>
      <c r="B240" s="25"/>
      <c r="C240" s="25"/>
      <c r="D240" s="25"/>
      <c r="E240" s="25"/>
      <c r="F240" s="25"/>
      <c r="G240" s="25"/>
      <c r="H240" s="95"/>
      <c r="I240" s="95"/>
      <c r="J240" s="95"/>
      <c r="K240" s="95"/>
      <c r="L240" s="95"/>
      <c r="M240" s="95"/>
      <c r="N240" s="95"/>
      <c r="O240" s="95"/>
      <c r="P240" s="34">
        <f>SUM(P231:P239)</f>
        <v>7059</v>
      </c>
      <c r="Q240" s="132">
        <f>SUM(Q231:Q239)</f>
        <v>1</v>
      </c>
      <c r="R240" s="53">
        <f>SUM(R231:R239)</f>
        <v>930588</v>
      </c>
      <c r="S240" s="132">
        <f>SUM(S231:S239)</f>
        <v>0.99999999999999989</v>
      </c>
      <c r="T240" s="25"/>
      <c r="U240" s="25"/>
      <c r="V240" s="5"/>
    </row>
    <row r="241" spans="1:22" ht="15.6" x14ac:dyDescent="0.3">
      <c r="A241" s="24"/>
      <c r="B241" s="25"/>
      <c r="C241" s="25"/>
      <c r="D241" s="25"/>
      <c r="E241" s="25"/>
      <c r="F241" s="25"/>
      <c r="G241" s="25"/>
      <c r="H241" s="95"/>
      <c r="I241" s="95"/>
      <c r="J241" s="95"/>
      <c r="K241" s="95"/>
      <c r="L241" s="95"/>
      <c r="M241" s="95"/>
      <c r="N241" s="95"/>
      <c r="O241" s="95"/>
      <c r="P241" s="34"/>
      <c r="Q241" s="132"/>
      <c r="R241" s="53"/>
      <c r="S241" s="132"/>
      <c r="T241" s="25"/>
      <c r="U241" s="25"/>
      <c r="V241" s="5"/>
    </row>
    <row r="242" spans="1:22" ht="15.6" x14ac:dyDescent="0.3">
      <c r="A242" s="141"/>
      <c r="B242" s="14" t="s">
        <v>267</v>
      </c>
      <c r="C242" s="81"/>
      <c r="D242" s="81"/>
      <c r="E242" s="81"/>
      <c r="F242" s="82"/>
      <c r="G242" s="81"/>
      <c r="H242" s="17"/>
      <c r="I242" s="17"/>
      <c r="J242" s="17"/>
      <c r="K242" s="17"/>
      <c r="L242" s="17"/>
      <c r="M242" s="17"/>
      <c r="N242" s="17"/>
      <c r="O242" s="17"/>
      <c r="P242" s="83" t="s">
        <v>105</v>
      </c>
      <c r="Q242" s="17" t="s">
        <v>106</v>
      </c>
      <c r="R242" s="83" t="s">
        <v>114</v>
      </c>
      <c r="S242" s="17" t="s">
        <v>106</v>
      </c>
      <c r="T242" s="139"/>
      <c r="U242" s="140"/>
      <c r="V242" s="5"/>
    </row>
    <row r="243" spans="1:22" ht="15.6" x14ac:dyDescent="0.3">
      <c r="A243" s="24"/>
      <c r="B243" s="54" t="s">
        <v>91</v>
      </c>
      <c r="C243" s="93"/>
      <c r="D243" s="93"/>
      <c r="E243" s="93"/>
      <c r="F243" s="25"/>
      <c r="G243" s="93"/>
      <c r="H243" s="93"/>
      <c r="I243" s="93"/>
      <c r="J243" s="93"/>
      <c r="K243" s="93"/>
      <c r="L243" s="93"/>
      <c r="M243" s="93"/>
      <c r="N243" s="93"/>
      <c r="O243" s="93"/>
      <c r="P243" s="54">
        <v>3</v>
      </c>
      <c r="Q243" s="94">
        <f t="shared" ref="Q243:Q250" si="3">P243/$P$252</f>
        <v>0.21428571428571427</v>
      </c>
      <c r="R243" s="53">
        <v>356</v>
      </c>
      <c r="S243" s="132">
        <f t="shared" ref="S243:S250" si="4">R243/$R$252</f>
        <v>0.17808904452226113</v>
      </c>
      <c r="T243" s="25"/>
      <c r="U243" s="25"/>
      <c r="V243" s="5"/>
    </row>
    <row r="244" spans="1:22" ht="15.6" x14ac:dyDescent="0.3">
      <c r="A244" s="24"/>
      <c r="B244" s="54" t="s">
        <v>92</v>
      </c>
      <c r="C244" s="93"/>
      <c r="D244" s="93"/>
      <c r="E244" s="93"/>
      <c r="F244" s="25"/>
      <c r="G244" s="94"/>
      <c r="H244" s="93"/>
      <c r="I244" s="93"/>
      <c r="J244" s="93"/>
      <c r="K244" s="93"/>
      <c r="L244" s="93"/>
      <c r="M244" s="93"/>
      <c r="N244" s="93"/>
      <c r="O244" s="93"/>
      <c r="P244" s="54">
        <v>1</v>
      </c>
      <c r="Q244" s="94">
        <f t="shared" si="3"/>
        <v>7.1428571428571425E-2</v>
      </c>
      <c r="R244" s="53">
        <v>41</v>
      </c>
      <c r="S244" s="132">
        <f t="shared" si="4"/>
        <v>2.0510255127563781E-2</v>
      </c>
      <c r="T244" s="25"/>
      <c r="U244" s="25"/>
      <c r="V244" s="5"/>
    </row>
    <row r="245" spans="1:22" ht="15.6" x14ac:dyDescent="0.3">
      <c r="A245" s="24"/>
      <c r="B245" s="54" t="s">
        <v>93</v>
      </c>
      <c r="C245" s="93"/>
      <c r="D245" s="93"/>
      <c r="E245" s="93"/>
      <c r="F245" s="25"/>
      <c r="G245" s="94"/>
      <c r="H245" s="93"/>
      <c r="I245" s="93"/>
      <c r="J245" s="93"/>
      <c r="K245" s="93"/>
      <c r="L245" s="93"/>
      <c r="M245" s="93"/>
      <c r="N245" s="93"/>
      <c r="O245" s="93"/>
      <c r="P245" s="54">
        <v>1</v>
      </c>
      <c r="Q245" s="94">
        <f t="shared" si="3"/>
        <v>7.1428571428571425E-2</v>
      </c>
      <c r="R245" s="53">
        <v>246</v>
      </c>
      <c r="S245" s="132">
        <f t="shared" si="4"/>
        <v>0.12306153076538269</v>
      </c>
      <c r="T245" s="25"/>
      <c r="U245" s="25"/>
      <c r="V245" s="5"/>
    </row>
    <row r="246" spans="1:22" ht="15.6" x14ac:dyDescent="0.3">
      <c r="A246" s="24"/>
      <c r="B246" s="54" t="s">
        <v>163</v>
      </c>
      <c r="C246" s="93"/>
      <c r="D246" s="93"/>
      <c r="E246" s="93"/>
      <c r="F246" s="25"/>
      <c r="G246" s="94"/>
      <c r="H246" s="93"/>
      <c r="I246" s="93"/>
      <c r="J246" s="93"/>
      <c r="K246" s="93"/>
      <c r="L246" s="93"/>
      <c r="M246" s="93"/>
      <c r="N246" s="93"/>
      <c r="O246" s="93"/>
      <c r="P246" s="54">
        <v>1</v>
      </c>
      <c r="Q246" s="94">
        <f t="shared" si="3"/>
        <v>7.1428571428571425E-2</v>
      </c>
      <c r="R246" s="53">
        <v>248</v>
      </c>
      <c r="S246" s="132">
        <f t="shared" si="4"/>
        <v>0.12406203101550775</v>
      </c>
      <c r="T246" s="25"/>
      <c r="U246" s="25"/>
      <c r="V246" s="5"/>
    </row>
    <row r="247" spans="1:22" ht="15.6" x14ac:dyDescent="0.3">
      <c r="A247" s="24"/>
      <c r="B247" s="54" t="s">
        <v>164</v>
      </c>
      <c r="C247" s="93"/>
      <c r="D247" s="93"/>
      <c r="E247" s="93"/>
      <c r="F247" s="25"/>
      <c r="G247" s="94"/>
      <c r="H247" s="93"/>
      <c r="I247" s="93"/>
      <c r="J247" s="93"/>
      <c r="K247" s="93"/>
      <c r="L247" s="93"/>
      <c r="M247" s="93"/>
      <c r="N247" s="93"/>
      <c r="O247" s="93"/>
      <c r="P247" s="54">
        <v>1</v>
      </c>
      <c r="Q247" s="94">
        <f t="shared" si="3"/>
        <v>7.1428571428571425E-2</v>
      </c>
      <c r="R247" s="53">
        <v>115</v>
      </c>
      <c r="S247" s="132">
        <f t="shared" si="4"/>
        <v>5.7528764382191094E-2</v>
      </c>
      <c r="T247" s="25"/>
      <c r="U247" s="25"/>
      <c r="V247" s="5"/>
    </row>
    <row r="248" spans="1:22" ht="15.6" x14ac:dyDescent="0.3">
      <c r="A248" s="24"/>
      <c r="B248" s="54" t="s">
        <v>165</v>
      </c>
      <c r="C248" s="93"/>
      <c r="D248" s="93"/>
      <c r="E248" s="93"/>
      <c r="F248" s="25"/>
      <c r="G248" s="94"/>
      <c r="H248" s="93"/>
      <c r="I248" s="93"/>
      <c r="J248" s="93"/>
      <c r="K248" s="93"/>
      <c r="L248" s="93"/>
      <c r="M248" s="93"/>
      <c r="N248" s="93"/>
      <c r="O248" s="93"/>
      <c r="P248" s="54">
        <v>2</v>
      </c>
      <c r="Q248" s="94">
        <f t="shared" si="3"/>
        <v>0.14285714285714285</v>
      </c>
      <c r="R248" s="53">
        <v>378</v>
      </c>
      <c r="S248" s="132">
        <f t="shared" si="4"/>
        <v>0.18909454727363681</v>
      </c>
      <c r="T248" s="25"/>
      <c r="U248" s="25"/>
      <c r="V248" s="5"/>
    </row>
    <row r="249" spans="1:22" ht="15.6" x14ac:dyDescent="0.3">
      <c r="A249" s="24"/>
      <c r="B249" s="54" t="s">
        <v>166</v>
      </c>
      <c r="C249" s="93"/>
      <c r="D249" s="93"/>
      <c r="E249" s="93"/>
      <c r="F249" s="25"/>
      <c r="G249" s="94"/>
      <c r="H249" s="93"/>
      <c r="I249" s="93"/>
      <c r="J249" s="93"/>
      <c r="K249" s="93"/>
      <c r="L249" s="93"/>
      <c r="M249" s="93"/>
      <c r="N249" s="93"/>
      <c r="O249" s="93"/>
      <c r="P249" s="54">
        <v>5</v>
      </c>
      <c r="Q249" s="94">
        <f t="shared" si="3"/>
        <v>0.35714285714285715</v>
      </c>
      <c r="R249" s="53">
        <v>615</v>
      </c>
      <c r="S249" s="132">
        <f t="shared" si="4"/>
        <v>0.30765382691345672</v>
      </c>
      <c r="T249" s="25"/>
      <c r="U249" s="25"/>
      <c r="V249" s="5"/>
    </row>
    <row r="250" spans="1:22" ht="15.6" x14ac:dyDescent="0.3">
      <c r="A250" s="24"/>
      <c r="B250" s="54" t="s">
        <v>167</v>
      </c>
      <c r="C250" s="93"/>
      <c r="D250" s="93"/>
      <c r="E250" s="93"/>
      <c r="F250" s="25"/>
      <c r="G250" s="94"/>
      <c r="H250" s="93"/>
      <c r="I250" s="93"/>
      <c r="J250" s="93"/>
      <c r="K250" s="93"/>
      <c r="L250" s="93"/>
      <c r="M250" s="93"/>
      <c r="N250" s="93"/>
      <c r="O250" s="93"/>
      <c r="P250" s="54">
        <v>0</v>
      </c>
      <c r="Q250" s="94">
        <f t="shared" si="3"/>
        <v>0</v>
      </c>
      <c r="R250" s="53">
        <v>0</v>
      </c>
      <c r="S250" s="132">
        <f t="shared" si="4"/>
        <v>0</v>
      </c>
      <c r="T250" s="25"/>
      <c r="U250" s="25"/>
      <c r="V250" s="5"/>
    </row>
    <row r="251" spans="1:22" ht="15.6" x14ac:dyDescent="0.3">
      <c r="A251" s="24"/>
      <c r="B251" s="54"/>
      <c r="C251" s="93"/>
      <c r="D251" s="93"/>
      <c r="E251" s="93"/>
      <c r="F251" s="25"/>
      <c r="G251" s="94"/>
      <c r="H251" s="93"/>
      <c r="I251" s="93"/>
      <c r="J251" s="93"/>
      <c r="K251" s="93"/>
      <c r="L251" s="93"/>
      <c r="M251" s="93"/>
      <c r="N251" s="93"/>
      <c r="O251" s="93"/>
      <c r="P251" s="54"/>
      <c r="Q251" s="94"/>
      <c r="R251" s="53"/>
      <c r="S251" s="132"/>
      <c r="T251" s="25"/>
      <c r="U251" s="25"/>
      <c r="V251" s="5"/>
    </row>
    <row r="252" spans="1:22" ht="15.6" x14ac:dyDescent="0.3">
      <c r="A252" s="24"/>
      <c r="B252" s="25"/>
      <c r="C252" s="25"/>
      <c r="D252" s="25"/>
      <c r="E252" s="25"/>
      <c r="F252" s="25"/>
      <c r="G252" s="25"/>
      <c r="H252" s="95"/>
      <c r="I252" s="95"/>
      <c r="J252" s="95"/>
      <c r="K252" s="95"/>
      <c r="L252" s="95"/>
      <c r="M252" s="95"/>
      <c r="N252" s="95"/>
      <c r="O252" s="95"/>
      <c r="P252" s="34">
        <f>SUM(P243:P251)</f>
        <v>14</v>
      </c>
      <c r="Q252" s="132">
        <f>SUM(Q243:Q251)</f>
        <v>1</v>
      </c>
      <c r="R252" s="53">
        <f>SUM(R243:R251)</f>
        <v>1999</v>
      </c>
      <c r="S252" s="132">
        <f>SUM(S243:S251)</f>
        <v>1</v>
      </c>
      <c r="T252" s="25"/>
      <c r="U252" s="25"/>
      <c r="V252" s="5"/>
    </row>
    <row r="253" spans="1:22" ht="15.6" x14ac:dyDescent="0.3">
      <c r="A253" s="24"/>
      <c r="B253" s="25"/>
      <c r="C253" s="25"/>
      <c r="D253" s="25"/>
      <c r="E253" s="25"/>
      <c r="F253" s="25"/>
      <c r="G253" s="25"/>
      <c r="H253" s="95"/>
      <c r="I253" s="95"/>
      <c r="J253" s="95"/>
      <c r="K253" s="95"/>
      <c r="L253" s="95"/>
      <c r="M253" s="95"/>
      <c r="N253" s="95"/>
      <c r="O253" s="95"/>
      <c r="P253" s="34"/>
      <c r="Q253" s="132"/>
      <c r="R253" s="53"/>
      <c r="S253" s="132"/>
      <c r="T253" s="25"/>
      <c r="U253" s="25"/>
      <c r="V253" s="5"/>
    </row>
    <row r="254" spans="1:22" ht="15.6" x14ac:dyDescent="0.3">
      <c r="A254" s="141"/>
      <c r="B254" s="14" t="s">
        <v>170</v>
      </c>
      <c r="C254" s="139"/>
      <c r="D254" s="139"/>
      <c r="E254" s="139"/>
      <c r="F254" s="139"/>
      <c r="G254" s="139"/>
      <c r="H254" s="145"/>
      <c r="I254" s="145"/>
      <c r="J254" s="145"/>
      <c r="K254" s="145"/>
      <c r="L254" s="145"/>
      <c r="M254" s="145"/>
      <c r="N254" s="145"/>
      <c r="O254" s="145"/>
      <c r="P254" s="83" t="s">
        <v>105</v>
      </c>
      <c r="Q254" s="17" t="s">
        <v>106</v>
      </c>
      <c r="R254" s="83" t="s">
        <v>114</v>
      </c>
      <c r="S254" s="17" t="s">
        <v>106</v>
      </c>
      <c r="T254" s="139"/>
      <c r="U254" s="140"/>
      <c r="V254" s="5"/>
    </row>
    <row r="255" spans="1:22" ht="15.6" x14ac:dyDescent="0.3">
      <c r="A255" s="24"/>
      <c r="B255" s="54" t="s">
        <v>91</v>
      </c>
      <c r="C255" s="25"/>
      <c r="D255" s="25"/>
      <c r="E255" s="25"/>
      <c r="F255" s="25"/>
      <c r="G255" s="25"/>
      <c r="H255" s="95"/>
      <c r="I255" s="95"/>
      <c r="J255" s="95"/>
      <c r="K255" s="95"/>
      <c r="L255" s="95"/>
      <c r="M255" s="95"/>
      <c r="N255" s="95"/>
      <c r="O255" s="95"/>
      <c r="P255" s="54">
        <v>0</v>
      </c>
      <c r="Q255" s="94">
        <v>0</v>
      </c>
      <c r="R255" s="53">
        <v>0</v>
      </c>
      <c r="S255" s="132">
        <v>0</v>
      </c>
      <c r="T255" s="25"/>
      <c r="U255" s="25"/>
      <c r="V255" s="5"/>
    </row>
    <row r="256" spans="1:22" ht="15.6" x14ac:dyDescent="0.3">
      <c r="A256" s="24"/>
      <c r="B256" s="54" t="s">
        <v>92</v>
      </c>
      <c r="C256" s="25"/>
      <c r="D256" s="25"/>
      <c r="E256" s="25"/>
      <c r="F256" s="25"/>
      <c r="G256" s="25"/>
      <c r="H256" s="95"/>
      <c r="I256" s="95"/>
      <c r="J256" s="95"/>
      <c r="K256" s="95"/>
      <c r="L256" s="95"/>
      <c r="M256" s="95"/>
      <c r="N256" s="95"/>
      <c r="O256" s="95"/>
      <c r="P256" s="54">
        <v>0</v>
      </c>
      <c r="Q256" s="94">
        <v>0</v>
      </c>
      <c r="R256" s="53">
        <v>0</v>
      </c>
      <c r="S256" s="132">
        <v>0</v>
      </c>
      <c r="T256" s="25"/>
      <c r="U256" s="25"/>
      <c r="V256" s="5"/>
    </row>
    <row r="257" spans="1:22" ht="15.6" x14ac:dyDescent="0.3">
      <c r="A257" s="24"/>
      <c r="B257" s="54" t="s">
        <v>93</v>
      </c>
      <c r="C257" s="25"/>
      <c r="D257" s="25"/>
      <c r="E257" s="25"/>
      <c r="F257" s="25"/>
      <c r="G257" s="25"/>
      <c r="H257" s="95"/>
      <c r="I257" s="95"/>
      <c r="J257" s="95"/>
      <c r="K257" s="95"/>
      <c r="L257" s="95"/>
      <c r="M257" s="95"/>
      <c r="N257" s="95"/>
      <c r="O257" s="95"/>
      <c r="P257" s="54">
        <v>0</v>
      </c>
      <c r="Q257" s="94">
        <v>0</v>
      </c>
      <c r="R257" s="53">
        <v>0</v>
      </c>
      <c r="S257" s="132">
        <v>0</v>
      </c>
      <c r="T257" s="25"/>
      <c r="U257" s="25"/>
      <c r="V257" s="5"/>
    </row>
    <row r="258" spans="1:22" ht="15.6" x14ac:dyDescent="0.3">
      <c r="A258" s="24"/>
      <c r="B258" s="54" t="s">
        <v>163</v>
      </c>
      <c r="C258" s="25"/>
      <c r="D258" s="25"/>
      <c r="E258" s="25"/>
      <c r="F258" s="25"/>
      <c r="G258" s="25"/>
      <c r="H258" s="95"/>
      <c r="I258" s="95"/>
      <c r="J258" s="95"/>
      <c r="K258" s="95"/>
      <c r="L258" s="95"/>
      <c r="M258" s="95"/>
      <c r="N258" s="95"/>
      <c r="O258" s="95"/>
      <c r="P258" s="54">
        <v>0</v>
      </c>
      <c r="Q258" s="94">
        <v>0</v>
      </c>
      <c r="R258" s="53">
        <v>0</v>
      </c>
      <c r="S258" s="132">
        <v>0</v>
      </c>
      <c r="T258" s="25"/>
      <c r="U258" s="25"/>
      <c r="V258" s="5"/>
    </row>
    <row r="259" spans="1:22" ht="15.6" x14ac:dyDescent="0.3">
      <c r="A259" s="24"/>
      <c r="B259" s="54" t="s">
        <v>164</v>
      </c>
      <c r="C259" s="25"/>
      <c r="D259" s="25"/>
      <c r="E259" s="25"/>
      <c r="F259" s="25"/>
      <c r="G259" s="25"/>
      <c r="H259" s="95"/>
      <c r="I259" s="95"/>
      <c r="J259" s="95"/>
      <c r="K259" s="95"/>
      <c r="L259" s="95"/>
      <c r="M259" s="95"/>
      <c r="N259" s="95"/>
      <c r="O259" s="95"/>
      <c r="P259" s="54">
        <v>0</v>
      </c>
      <c r="Q259" s="94">
        <v>0</v>
      </c>
      <c r="R259" s="53">
        <v>0</v>
      </c>
      <c r="S259" s="132">
        <v>0</v>
      </c>
      <c r="T259" s="25"/>
      <c r="U259" s="25"/>
      <c r="V259" s="5"/>
    </row>
    <row r="260" spans="1:22" ht="15.6" x14ac:dyDescent="0.3">
      <c r="A260" s="24"/>
      <c r="B260" s="54" t="s">
        <v>165</v>
      </c>
      <c r="C260" s="25"/>
      <c r="D260" s="25"/>
      <c r="E260" s="25"/>
      <c r="F260" s="25"/>
      <c r="G260" s="25"/>
      <c r="H260" s="95"/>
      <c r="I260" s="95"/>
      <c r="J260" s="95"/>
      <c r="K260" s="95"/>
      <c r="L260" s="95"/>
      <c r="M260" s="95"/>
      <c r="N260" s="95"/>
      <c r="O260" s="95"/>
      <c r="P260" s="54">
        <v>0</v>
      </c>
      <c r="Q260" s="94">
        <v>0</v>
      </c>
      <c r="R260" s="53">
        <v>0</v>
      </c>
      <c r="S260" s="132">
        <v>0</v>
      </c>
      <c r="T260" s="25"/>
      <c r="U260" s="25"/>
      <c r="V260" s="5"/>
    </row>
    <row r="261" spans="1:22" ht="15.6" x14ac:dyDescent="0.3">
      <c r="A261" s="24"/>
      <c r="B261" s="54" t="s">
        <v>166</v>
      </c>
      <c r="C261" s="25"/>
      <c r="D261" s="25"/>
      <c r="E261" s="25"/>
      <c r="F261" s="25"/>
      <c r="G261" s="25"/>
      <c r="H261" s="95"/>
      <c r="I261" s="95"/>
      <c r="J261" s="95"/>
      <c r="K261" s="95"/>
      <c r="L261" s="95"/>
      <c r="M261" s="95"/>
      <c r="N261" s="95"/>
      <c r="O261" s="95"/>
      <c r="P261" s="54">
        <v>0</v>
      </c>
      <c r="Q261" s="94">
        <v>0</v>
      </c>
      <c r="R261" s="53">
        <v>0</v>
      </c>
      <c r="S261" s="132">
        <v>0</v>
      </c>
      <c r="T261" s="25"/>
      <c r="U261" s="25"/>
      <c r="V261" s="5"/>
    </row>
    <row r="262" spans="1:22" ht="15.6" x14ac:dyDescent="0.3">
      <c r="A262" s="24"/>
      <c r="B262" s="54" t="s">
        <v>167</v>
      </c>
      <c r="C262" s="25"/>
      <c r="D262" s="25"/>
      <c r="E262" s="25"/>
      <c r="F262" s="25"/>
      <c r="G262" s="25"/>
      <c r="H262" s="95"/>
      <c r="I262" s="95"/>
      <c r="J262" s="95"/>
      <c r="K262" s="95"/>
      <c r="L262" s="95"/>
      <c r="M262" s="95"/>
      <c r="N262" s="95"/>
      <c r="O262" s="95"/>
      <c r="P262" s="54">
        <v>0</v>
      </c>
      <c r="Q262" s="94">
        <v>0</v>
      </c>
      <c r="R262" s="53">
        <v>0</v>
      </c>
      <c r="S262" s="132">
        <v>0</v>
      </c>
      <c r="T262" s="25"/>
      <c r="U262" s="25"/>
      <c r="V262" s="5"/>
    </row>
    <row r="263" spans="1:22" ht="15.6" x14ac:dyDescent="0.3">
      <c r="A263" s="24"/>
      <c r="B263" s="54"/>
      <c r="C263" s="25"/>
      <c r="D263" s="25"/>
      <c r="E263" s="25"/>
      <c r="F263" s="25"/>
      <c r="G263" s="25"/>
      <c r="H263" s="95"/>
      <c r="I263" s="95"/>
      <c r="J263" s="95"/>
      <c r="K263" s="95"/>
      <c r="L263" s="95"/>
      <c r="M263" s="95"/>
      <c r="N263" s="95"/>
      <c r="O263" s="95"/>
      <c r="P263" s="54"/>
      <c r="Q263" s="94"/>
      <c r="R263" s="53"/>
      <c r="S263" s="132"/>
      <c r="T263" s="25"/>
      <c r="U263" s="25"/>
      <c r="V263" s="5"/>
    </row>
    <row r="264" spans="1:22" ht="15.6" x14ac:dyDescent="0.3">
      <c r="A264" s="24"/>
      <c r="B264" s="25" t="s">
        <v>120</v>
      </c>
      <c r="C264" s="25"/>
      <c r="D264" s="25"/>
      <c r="E264" s="25"/>
      <c r="F264" s="25"/>
      <c r="G264" s="25"/>
      <c r="H264" s="95"/>
      <c r="I264" s="95"/>
      <c r="J264" s="95"/>
      <c r="K264" s="95"/>
      <c r="L264" s="95"/>
      <c r="M264" s="95"/>
      <c r="N264" s="95"/>
      <c r="O264" s="95"/>
      <c r="P264" s="34">
        <f>SUM(P255:P262)</f>
        <v>0</v>
      </c>
      <c r="Q264" s="94">
        <f>SUM(Q255:Q262)</f>
        <v>0</v>
      </c>
      <c r="R264" s="53">
        <f>SUM(R255:R262)</f>
        <v>0</v>
      </c>
      <c r="S264" s="132">
        <f>SUM(S255:S262)</f>
        <v>0</v>
      </c>
      <c r="T264" s="25"/>
      <c r="U264" s="25"/>
      <c r="V264" s="5"/>
    </row>
    <row r="265" spans="1:22" ht="15.6" x14ac:dyDescent="0.3">
      <c r="A265" s="24"/>
      <c r="B265" s="25"/>
      <c r="C265" s="25"/>
      <c r="D265" s="25"/>
      <c r="E265" s="25"/>
      <c r="F265" s="25"/>
      <c r="G265" s="25"/>
      <c r="H265" s="95"/>
      <c r="I265" s="95"/>
      <c r="J265" s="95"/>
      <c r="K265" s="95"/>
      <c r="L265" s="95"/>
      <c r="M265" s="95"/>
      <c r="N265" s="95"/>
      <c r="O265" s="95"/>
      <c r="P265" s="34"/>
      <c r="Q265" s="132"/>
      <c r="R265" s="53"/>
      <c r="S265" s="132"/>
      <c r="T265" s="25"/>
      <c r="U265" s="25"/>
      <c r="V265" s="5"/>
    </row>
    <row r="266" spans="1:22" ht="15.6" x14ac:dyDescent="0.3">
      <c r="A266" s="24"/>
      <c r="B266" s="142" t="s">
        <v>171</v>
      </c>
      <c r="C266" s="25"/>
      <c r="D266" s="25"/>
      <c r="E266" s="25"/>
      <c r="F266" s="25"/>
      <c r="G266" s="25"/>
      <c r="H266" s="95"/>
      <c r="I266" s="95"/>
      <c r="J266" s="95"/>
      <c r="K266" s="95"/>
      <c r="L266" s="95"/>
      <c r="M266" s="95"/>
      <c r="N266" s="95"/>
      <c r="O266" s="95"/>
      <c r="P266" s="161">
        <f>P264+P252+P240</f>
        <v>7073</v>
      </c>
      <c r="Q266" s="143"/>
      <c r="R266" s="144">
        <f>+R264+R252+R240</f>
        <v>932587</v>
      </c>
      <c r="S266" s="143"/>
      <c r="T266" s="25"/>
      <c r="U266" s="25"/>
      <c r="V266" s="5"/>
    </row>
    <row r="267" spans="1:22" ht="15.6" x14ac:dyDescent="0.3">
      <c r="A267" s="24"/>
      <c r="B267" s="25"/>
      <c r="C267" s="25"/>
      <c r="D267" s="25"/>
      <c r="E267" s="25"/>
      <c r="F267" s="25"/>
      <c r="G267" s="25"/>
      <c r="H267" s="95"/>
      <c r="I267" s="95"/>
      <c r="J267" s="95"/>
      <c r="K267" s="95"/>
      <c r="L267" s="95"/>
      <c r="M267" s="95"/>
      <c r="N267" s="95"/>
      <c r="O267" s="95"/>
      <c r="P267" s="95"/>
      <c r="Q267" s="95"/>
      <c r="R267" s="53"/>
      <c r="S267" s="95"/>
      <c r="T267" s="25"/>
      <c r="U267" s="25"/>
      <c r="V267" s="5"/>
    </row>
    <row r="268" spans="1:22" ht="15.6" x14ac:dyDescent="0.3">
      <c r="A268" s="6"/>
      <c r="B268" s="8"/>
      <c r="C268" s="8"/>
      <c r="D268" s="8"/>
      <c r="E268" s="8"/>
      <c r="F268" s="8"/>
      <c r="G268" s="8"/>
      <c r="H268" s="96"/>
      <c r="I268" s="96"/>
      <c r="J268" s="96"/>
      <c r="K268" s="96"/>
      <c r="L268" s="96"/>
      <c r="M268" s="96"/>
      <c r="N268" s="96"/>
      <c r="O268" s="96"/>
      <c r="P268" s="96"/>
      <c r="Q268" s="96"/>
      <c r="R268" s="97"/>
      <c r="S268" s="96"/>
      <c r="T268" s="8"/>
      <c r="U268" s="8"/>
      <c r="V268" s="5"/>
    </row>
    <row r="269" spans="1:22" ht="15.6" x14ac:dyDescent="0.3">
      <c r="A269" s="167"/>
      <c r="B269" s="14" t="s">
        <v>94</v>
      </c>
      <c r="C269" s="15"/>
      <c r="D269" s="15"/>
      <c r="E269" s="15"/>
      <c r="F269" s="17" t="s">
        <v>100</v>
      </c>
      <c r="G269" s="15"/>
      <c r="H269" s="14" t="s">
        <v>102</v>
      </c>
      <c r="I269" s="162"/>
      <c r="J269" s="162"/>
      <c r="K269" s="162"/>
      <c r="L269" s="162"/>
      <c r="M269" s="162"/>
      <c r="N269" s="162"/>
      <c r="O269" s="162"/>
      <c r="P269" s="162"/>
      <c r="Q269" s="162"/>
      <c r="R269" s="162"/>
      <c r="S269" s="162"/>
      <c r="T269" s="162"/>
      <c r="U269" s="162"/>
      <c r="V269" s="5"/>
    </row>
    <row r="270" spans="1:22" ht="15.6" x14ac:dyDescent="0.3">
      <c r="A270" s="167"/>
      <c r="B270" s="13" t="s">
        <v>95</v>
      </c>
      <c r="C270" s="13"/>
      <c r="D270" s="13"/>
      <c r="E270" s="13"/>
      <c r="F270" s="130" t="s">
        <v>154</v>
      </c>
      <c r="G270" s="13"/>
      <c r="H270" s="13" t="s">
        <v>158</v>
      </c>
      <c r="I270" s="162"/>
      <c r="J270" s="162"/>
      <c r="K270" s="162"/>
      <c r="L270" s="162"/>
      <c r="M270" s="162"/>
      <c r="N270" s="162"/>
      <c r="O270" s="162"/>
      <c r="P270" s="162"/>
      <c r="Q270" s="162"/>
      <c r="R270" s="162"/>
      <c r="S270" s="162"/>
      <c r="T270" s="162"/>
      <c r="U270" s="162"/>
      <c r="V270" s="5"/>
    </row>
    <row r="271" spans="1:22" ht="15.6" x14ac:dyDescent="0.3">
      <c r="A271" s="167"/>
      <c r="B271" s="13" t="s">
        <v>268</v>
      </c>
      <c r="C271" s="13"/>
      <c r="D271" s="13"/>
      <c r="E271" s="13"/>
      <c r="F271" s="130" t="s">
        <v>269</v>
      </c>
      <c r="G271" s="13"/>
      <c r="H271" s="13" t="s">
        <v>270</v>
      </c>
      <c r="I271" s="162"/>
      <c r="J271" s="162"/>
      <c r="K271" s="162"/>
      <c r="L271" s="162"/>
      <c r="M271" s="162"/>
      <c r="N271" s="162"/>
      <c r="O271" s="162"/>
      <c r="P271" s="162"/>
      <c r="Q271" s="162"/>
      <c r="R271" s="162"/>
      <c r="S271" s="162"/>
      <c r="T271" s="162"/>
      <c r="U271" s="162"/>
      <c r="V271" s="5"/>
    </row>
    <row r="272" spans="1:22" ht="15.6" x14ac:dyDescent="0.3">
      <c r="A272" s="167"/>
      <c r="B272" s="13" t="s">
        <v>96</v>
      </c>
      <c r="C272" s="13"/>
      <c r="D272" s="13"/>
      <c r="E272" s="13"/>
      <c r="F272" s="130" t="s">
        <v>153</v>
      </c>
      <c r="G272" s="13"/>
      <c r="H272" s="13" t="s">
        <v>159</v>
      </c>
      <c r="I272" s="162"/>
      <c r="J272" s="162"/>
      <c r="K272" s="162"/>
      <c r="L272" s="162"/>
      <c r="M272" s="162"/>
      <c r="N272" s="162"/>
      <c r="O272" s="162"/>
      <c r="P272" s="162"/>
      <c r="Q272" s="162"/>
      <c r="R272" s="162"/>
      <c r="S272" s="162"/>
      <c r="T272" s="162"/>
      <c r="U272" s="162"/>
      <c r="V272" s="5"/>
    </row>
    <row r="273" spans="1:22" ht="15.6" x14ac:dyDescent="0.3">
      <c r="A273" s="167"/>
      <c r="B273" s="13"/>
      <c r="C273" s="13"/>
      <c r="D273" s="13"/>
      <c r="E273" s="13"/>
      <c r="F273" s="13"/>
      <c r="G273" s="99"/>
      <c r="H273" s="162"/>
      <c r="I273" s="162"/>
      <c r="J273" s="162"/>
      <c r="K273" s="162"/>
      <c r="L273" s="162"/>
      <c r="M273" s="162"/>
      <c r="N273" s="162"/>
      <c r="O273" s="162"/>
      <c r="P273" s="162"/>
      <c r="Q273" s="162"/>
      <c r="R273" s="162"/>
      <c r="S273" s="162"/>
      <c r="T273" s="162"/>
      <c r="U273" s="162"/>
      <c r="V273" s="5"/>
    </row>
    <row r="274" spans="1:22" ht="15.6" x14ac:dyDescent="0.3">
      <c r="A274" s="167"/>
      <c r="B274" s="13"/>
      <c r="C274" s="13"/>
      <c r="D274" s="13"/>
      <c r="E274" s="13"/>
      <c r="F274" s="13"/>
      <c r="G274" s="99"/>
      <c r="H274" s="162"/>
      <c r="I274" s="162"/>
      <c r="J274" s="162"/>
      <c r="K274" s="162"/>
      <c r="L274" s="162"/>
      <c r="M274" s="162"/>
      <c r="N274" s="162"/>
      <c r="O274" s="162"/>
      <c r="P274" s="162"/>
      <c r="Q274" s="162"/>
      <c r="R274" s="162"/>
      <c r="S274" s="162"/>
      <c r="T274" s="162"/>
      <c r="U274" s="162"/>
      <c r="V274" s="5"/>
    </row>
    <row r="275" spans="1:22" ht="18" thickBot="1" x14ac:dyDescent="0.35">
      <c r="A275" s="167"/>
      <c r="B275" s="49" t="str">
        <f>B191</f>
        <v>PM11 INVESTOR REPORT QUARTER ENDING MARCH 2007</v>
      </c>
      <c r="C275" s="13"/>
      <c r="D275" s="13"/>
      <c r="E275" s="13"/>
      <c r="F275" s="13"/>
      <c r="G275" s="99"/>
      <c r="H275" s="162"/>
      <c r="I275" s="162"/>
      <c r="J275" s="162"/>
      <c r="K275" s="162"/>
      <c r="L275" s="162"/>
      <c r="M275" s="162"/>
      <c r="N275" s="162"/>
      <c r="O275" s="162"/>
      <c r="P275" s="162"/>
      <c r="Q275" s="162"/>
      <c r="R275" s="162"/>
      <c r="S275" s="162"/>
      <c r="T275" s="162"/>
      <c r="U275" s="162"/>
      <c r="V275" s="5"/>
    </row>
    <row r="276" spans="1:22" x14ac:dyDescent="0.25">
      <c r="A276" s="100"/>
      <c r="B276" s="100"/>
      <c r="C276" s="100"/>
      <c r="D276" s="100"/>
      <c r="E276" s="100"/>
      <c r="F276" s="100"/>
      <c r="G276" s="100"/>
      <c r="H276" s="100"/>
      <c r="I276" s="100"/>
      <c r="J276" s="100"/>
      <c r="K276" s="100"/>
      <c r="L276" s="100"/>
      <c r="M276" s="100"/>
      <c r="N276" s="100"/>
      <c r="O276" s="100"/>
      <c r="P276" s="100"/>
      <c r="Q276" s="100"/>
      <c r="R276" s="100"/>
      <c r="S276" s="100"/>
      <c r="T276" s="100"/>
      <c r="U276" s="100"/>
    </row>
  </sheetData>
  <phoneticPr fontId="0" type="noConversion"/>
  <hyperlinks>
    <hyperlink ref="N228" r:id="rId1" xr:uid="{00000000-0004-0000-0300-000000000000}"/>
    <hyperlink ref="J9" r:id="rId2" xr:uid="{00000000-0004-0000-03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4" max="14" man="1"/>
    <brk id="132" max="14" man="1"/>
    <brk id="191" max="14" man="1"/>
  </rowBreaks>
  <drawing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2D2926"/>
  </sheetPr>
  <dimension ref="A1:X289"/>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08984375" style="1" customWidth="1"/>
    <col min="10" max="10" width="17.81640625" style="1" customWidth="1"/>
    <col min="11" max="11" width="2.1796875" style="1" customWidth="1"/>
    <col min="12" max="12" width="14.81640625" style="1" customWidth="1"/>
    <col min="13" max="13" width="2.1796875" style="1" customWidth="1"/>
    <col min="14" max="14" width="15.54296875" style="1" customWidth="1"/>
    <col min="15" max="15" width="2.08984375" style="1" customWidth="1"/>
    <col min="16" max="16" width="15.54296875" style="1" customWidth="1"/>
    <col min="17" max="18" width="12.81640625" style="1" customWidth="1"/>
    <col min="19" max="19" width="7.81640625" style="1" customWidth="1"/>
    <col min="20" max="20" width="14.81640625" style="1" customWidth="1"/>
    <col min="21" max="21" width="11.81640625" style="1" customWidth="1"/>
    <col min="22" max="16384" width="9.81640625" style="1"/>
  </cols>
  <sheetData>
    <row r="1" spans="1:22" ht="20.399999999999999" x14ac:dyDescent="0.35">
      <c r="A1" s="173"/>
      <c r="B1" s="228" t="s">
        <v>228</v>
      </c>
      <c r="C1" s="174"/>
      <c r="D1" s="174"/>
      <c r="E1" s="174"/>
      <c r="F1" s="174"/>
      <c r="G1" s="174"/>
      <c r="H1" s="174"/>
      <c r="I1" s="174"/>
      <c r="J1" s="174"/>
      <c r="K1" s="174"/>
      <c r="L1" s="174"/>
      <c r="M1" s="174"/>
      <c r="N1" s="174"/>
      <c r="O1" s="174"/>
      <c r="P1" s="174"/>
      <c r="Q1" s="174"/>
      <c r="R1" s="174"/>
      <c r="S1" s="174"/>
      <c r="T1" s="174"/>
      <c r="U1" s="174"/>
      <c r="V1" s="5"/>
    </row>
    <row r="2" spans="1:22" ht="15.6" x14ac:dyDescent="0.3">
      <c r="A2" s="175"/>
      <c r="B2" s="176"/>
      <c r="C2" s="177"/>
      <c r="D2" s="177"/>
      <c r="E2" s="177"/>
      <c r="F2" s="177"/>
      <c r="G2" s="177"/>
      <c r="H2" s="177"/>
      <c r="I2" s="177"/>
      <c r="J2" s="177"/>
      <c r="K2" s="177"/>
      <c r="L2" s="177"/>
      <c r="M2" s="177"/>
      <c r="N2" s="177"/>
      <c r="O2" s="177"/>
      <c r="P2" s="177"/>
      <c r="Q2" s="177"/>
      <c r="R2" s="177"/>
      <c r="S2" s="177"/>
      <c r="T2" s="177"/>
      <c r="U2" s="177"/>
      <c r="V2" s="5"/>
    </row>
    <row r="3" spans="1:22" ht="15.6" x14ac:dyDescent="0.3">
      <c r="A3" s="178"/>
      <c r="B3" s="179" t="s">
        <v>229</v>
      </c>
      <c r="C3" s="177"/>
      <c r="D3" s="177"/>
      <c r="E3" s="177"/>
      <c r="F3" s="177"/>
      <c r="G3" s="177"/>
      <c r="H3" s="177"/>
      <c r="I3" s="177"/>
      <c r="J3" s="177"/>
      <c r="K3" s="177"/>
      <c r="L3" s="177"/>
      <c r="M3" s="177"/>
      <c r="N3" s="177"/>
      <c r="O3" s="177"/>
      <c r="P3" s="177"/>
      <c r="Q3" s="177"/>
      <c r="R3" s="177"/>
      <c r="S3" s="177"/>
      <c r="T3" s="177"/>
      <c r="U3" s="177"/>
      <c r="V3" s="5"/>
    </row>
    <row r="4" spans="1:22" ht="15.6" x14ac:dyDescent="0.3">
      <c r="A4" s="175"/>
      <c r="B4" s="176"/>
      <c r="C4" s="177"/>
      <c r="D4" s="177"/>
      <c r="E4" s="177"/>
      <c r="F4" s="177"/>
      <c r="G4" s="177"/>
      <c r="H4" s="177"/>
      <c r="I4" s="177"/>
      <c r="J4" s="177"/>
      <c r="K4" s="177"/>
      <c r="L4" s="177"/>
      <c r="M4" s="177"/>
      <c r="N4" s="177"/>
      <c r="O4" s="177"/>
      <c r="P4" s="177"/>
      <c r="Q4" s="177"/>
      <c r="R4" s="177"/>
      <c r="S4" s="177"/>
      <c r="T4" s="177"/>
      <c r="U4" s="177"/>
      <c r="V4" s="5"/>
    </row>
    <row r="5" spans="1:22" ht="15.6" x14ac:dyDescent="0.3">
      <c r="A5" s="175"/>
      <c r="B5" s="229" t="s">
        <v>143</v>
      </c>
      <c r="C5" s="177"/>
      <c r="D5" s="177"/>
      <c r="E5" s="177"/>
      <c r="F5" s="177"/>
      <c r="G5" s="177"/>
      <c r="H5" s="177"/>
      <c r="I5" s="177"/>
      <c r="J5" s="177"/>
      <c r="K5" s="177"/>
      <c r="L5" s="177"/>
      <c r="M5" s="177"/>
      <c r="N5" s="177"/>
      <c r="O5" s="177"/>
      <c r="P5" s="177"/>
      <c r="Q5" s="177"/>
      <c r="R5" s="177"/>
      <c r="S5" s="177"/>
      <c r="T5" s="177"/>
      <c r="U5" s="177"/>
      <c r="V5" s="5"/>
    </row>
    <row r="6" spans="1:22" ht="15.6" x14ac:dyDescent="0.3">
      <c r="A6" s="175"/>
      <c r="B6" s="229" t="s">
        <v>145</v>
      </c>
      <c r="C6" s="177"/>
      <c r="D6" s="177"/>
      <c r="E6" s="177"/>
      <c r="F6" s="177"/>
      <c r="G6" s="177"/>
      <c r="H6" s="177"/>
      <c r="I6" s="177"/>
      <c r="J6" s="177"/>
      <c r="K6" s="177"/>
      <c r="L6" s="177"/>
      <c r="M6" s="177"/>
      <c r="N6" s="177"/>
      <c r="O6" s="177"/>
      <c r="P6" s="177"/>
      <c r="Q6" s="177"/>
      <c r="R6" s="177"/>
      <c r="S6" s="177"/>
      <c r="T6" s="177"/>
      <c r="U6" s="177"/>
      <c r="V6" s="5"/>
    </row>
    <row r="7" spans="1:22" ht="15.6" x14ac:dyDescent="0.3">
      <c r="A7" s="175"/>
      <c r="B7" s="229" t="s">
        <v>144</v>
      </c>
      <c r="C7" s="177"/>
      <c r="D7" s="177"/>
      <c r="E7" s="177"/>
      <c r="F7" s="177"/>
      <c r="G7" s="177"/>
      <c r="H7" s="177"/>
      <c r="I7" s="177"/>
      <c r="J7" s="177"/>
      <c r="K7" s="177"/>
      <c r="L7" s="177"/>
      <c r="M7" s="177"/>
      <c r="N7" s="177"/>
      <c r="O7" s="177"/>
      <c r="P7" s="177"/>
      <c r="Q7" s="177"/>
      <c r="R7" s="177"/>
      <c r="S7" s="177"/>
      <c r="T7" s="177"/>
      <c r="U7" s="177"/>
      <c r="V7" s="5"/>
    </row>
    <row r="8" spans="1:22" ht="15.6" x14ac:dyDescent="0.3">
      <c r="A8" s="175"/>
      <c r="B8" s="180"/>
      <c r="C8" s="177"/>
      <c r="D8" s="177"/>
      <c r="E8" s="177"/>
      <c r="F8" s="177"/>
      <c r="G8" s="177"/>
      <c r="H8" s="177"/>
      <c r="I8" s="177"/>
      <c r="J8" s="177"/>
      <c r="K8" s="177"/>
      <c r="L8" s="177"/>
      <c r="M8" s="177"/>
      <c r="N8" s="177"/>
      <c r="O8" s="177"/>
      <c r="P8" s="177"/>
      <c r="Q8" s="177"/>
      <c r="R8" s="177"/>
      <c r="S8" s="177"/>
      <c r="T8" s="177"/>
      <c r="U8" s="177"/>
      <c r="V8" s="5"/>
    </row>
    <row r="9" spans="1:22" ht="17.399999999999999" x14ac:dyDescent="0.3">
      <c r="A9" s="175"/>
      <c r="B9" s="181" t="s">
        <v>173</v>
      </c>
      <c r="C9" s="177"/>
      <c r="D9" s="177"/>
      <c r="E9" s="177"/>
      <c r="F9" s="177"/>
      <c r="G9" s="177"/>
      <c r="H9" s="177"/>
      <c r="I9" s="177"/>
      <c r="J9" s="182" t="s">
        <v>174</v>
      </c>
      <c r="K9" s="177"/>
      <c r="L9" s="182"/>
      <c r="M9" s="177"/>
      <c r="N9" s="177"/>
      <c r="O9" s="177"/>
      <c r="P9" s="177"/>
      <c r="Q9" s="177"/>
      <c r="R9" s="177"/>
      <c r="S9" s="177"/>
      <c r="T9" s="177"/>
      <c r="U9" s="177"/>
      <c r="V9" s="5"/>
    </row>
    <row r="10" spans="1:22" ht="15.6" x14ac:dyDescent="0.3">
      <c r="A10" s="175"/>
      <c r="B10" s="180"/>
      <c r="C10" s="183"/>
      <c r="D10" s="183"/>
      <c r="E10" s="183"/>
      <c r="F10" s="177"/>
      <c r="G10" s="177"/>
      <c r="H10" s="177"/>
      <c r="I10" s="177"/>
      <c r="J10" s="177"/>
      <c r="K10" s="177"/>
      <c r="L10" s="177"/>
      <c r="M10" s="177"/>
      <c r="N10" s="177"/>
      <c r="O10" s="177"/>
      <c r="P10" s="177"/>
      <c r="Q10" s="177"/>
      <c r="R10" s="177"/>
      <c r="S10" s="177"/>
      <c r="T10" s="177"/>
      <c r="U10" s="177"/>
      <c r="V10" s="5"/>
    </row>
    <row r="11" spans="1:22" ht="15.6" x14ac:dyDescent="0.3">
      <c r="A11" s="175"/>
      <c r="B11" s="230" t="s">
        <v>0</v>
      </c>
      <c r="C11" s="177"/>
      <c r="D11" s="177"/>
      <c r="E11" s="177"/>
      <c r="F11" s="177"/>
      <c r="G11" s="177"/>
      <c r="H11" s="177"/>
      <c r="I11" s="177"/>
      <c r="J11" s="177"/>
      <c r="K11" s="177"/>
      <c r="L11" s="177"/>
      <c r="M11" s="177"/>
      <c r="N11" s="177"/>
      <c r="O11" s="177"/>
      <c r="P11" s="177"/>
      <c r="Q11" s="177"/>
      <c r="R11" s="177"/>
      <c r="S11" s="177"/>
      <c r="T11" s="177"/>
      <c r="U11" s="177"/>
      <c r="V11" s="5"/>
    </row>
    <row r="12" spans="1:22" ht="16.2" thickBot="1" x14ac:dyDescent="0.35">
      <c r="A12" s="175"/>
      <c r="B12" s="183"/>
      <c r="C12" s="177"/>
      <c r="D12" s="177"/>
      <c r="E12" s="177"/>
      <c r="F12" s="177"/>
      <c r="G12" s="177"/>
      <c r="H12" s="177"/>
      <c r="I12" s="177"/>
      <c r="J12" s="177"/>
      <c r="K12" s="177"/>
      <c r="L12" s="177"/>
      <c r="M12" s="177"/>
      <c r="N12" s="177"/>
      <c r="O12" s="177"/>
      <c r="P12" s="177"/>
      <c r="Q12" s="177"/>
      <c r="R12" s="177"/>
      <c r="S12" s="177"/>
      <c r="T12" s="177"/>
      <c r="U12" s="177"/>
      <c r="V12" s="5"/>
    </row>
    <row r="13" spans="1:22" ht="15.6" x14ac:dyDescent="0.3">
      <c r="A13" s="173"/>
      <c r="B13" s="174"/>
      <c r="C13" s="174"/>
      <c r="D13" s="174"/>
      <c r="E13" s="174"/>
      <c r="F13" s="174"/>
      <c r="G13" s="174"/>
      <c r="H13" s="174"/>
      <c r="I13" s="174"/>
      <c r="J13" s="174"/>
      <c r="K13" s="174"/>
      <c r="L13" s="174"/>
      <c r="M13" s="174"/>
      <c r="N13" s="174"/>
      <c r="O13" s="174"/>
      <c r="P13" s="174"/>
      <c r="Q13" s="174"/>
      <c r="R13" s="174"/>
      <c r="S13" s="174"/>
      <c r="T13" s="174"/>
      <c r="U13" s="174"/>
      <c r="V13" s="5"/>
    </row>
    <row r="14" spans="1:22" ht="15.6" x14ac:dyDescent="0.3">
      <c r="A14" s="175"/>
      <c r="B14" s="230" t="s">
        <v>1</v>
      </c>
      <c r="C14" s="184"/>
      <c r="D14" s="184"/>
      <c r="E14" s="184"/>
      <c r="F14" s="184"/>
      <c r="G14" s="184"/>
      <c r="H14" s="184"/>
      <c r="I14" s="184"/>
      <c r="J14" s="184"/>
      <c r="K14" s="184"/>
      <c r="L14" s="184"/>
      <c r="M14" s="184"/>
      <c r="N14" s="184"/>
      <c r="O14" s="184"/>
      <c r="P14" s="231"/>
      <c r="Q14" s="231"/>
      <c r="R14" s="231"/>
      <c r="S14" s="231"/>
      <c r="T14" s="233" t="s">
        <v>230</v>
      </c>
      <c r="U14" s="184"/>
      <c r="V14" s="5"/>
    </row>
    <row r="15" spans="1:22" ht="15.6" x14ac:dyDescent="0.3">
      <c r="A15" s="175"/>
      <c r="B15" s="230" t="s">
        <v>2</v>
      </c>
      <c r="C15" s="184"/>
      <c r="D15" s="184"/>
      <c r="E15" s="184"/>
      <c r="F15" s="184"/>
      <c r="G15" s="184"/>
      <c r="H15" s="185"/>
      <c r="I15" s="185"/>
      <c r="J15" s="185"/>
      <c r="K15" s="185"/>
      <c r="L15" s="185"/>
      <c r="M15" s="185"/>
      <c r="N15" s="185"/>
      <c r="O15" s="185"/>
      <c r="P15" s="234" t="s">
        <v>107</v>
      </c>
      <c r="Q15" s="235">
        <v>0.40749999999999997</v>
      </c>
      <c r="R15" s="236" t="s">
        <v>146</v>
      </c>
      <c r="S15" s="235">
        <v>0.59250000000000003</v>
      </c>
      <c r="T15" s="233"/>
      <c r="U15" s="184"/>
      <c r="V15" s="5"/>
    </row>
    <row r="16" spans="1:22" ht="15.6" x14ac:dyDescent="0.3">
      <c r="A16" s="175"/>
      <c r="B16" s="230" t="s">
        <v>3</v>
      </c>
      <c r="C16" s="184"/>
      <c r="D16" s="184"/>
      <c r="E16" s="184"/>
      <c r="F16" s="184"/>
      <c r="G16" s="184"/>
      <c r="H16" s="185"/>
      <c r="I16" s="185"/>
      <c r="J16" s="185"/>
      <c r="K16" s="185"/>
      <c r="L16" s="185"/>
      <c r="M16" s="185"/>
      <c r="N16" s="185"/>
      <c r="O16" s="185"/>
      <c r="P16" s="234" t="s">
        <v>107</v>
      </c>
      <c r="Q16" s="235">
        <v>0.4748</v>
      </c>
      <c r="R16" s="236" t="s">
        <v>146</v>
      </c>
      <c r="S16" s="235">
        <v>0.5252</v>
      </c>
      <c r="T16" s="233"/>
      <c r="U16" s="184"/>
      <c r="V16" s="5"/>
    </row>
    <row r="17" spans="1:22" ht="15.6" x14ac:dyDescent="0.3">
      <c r="A17" s="175"/>
      <c r="B17" s="230" t="s">
        <v>4</v>
      </c>
      <c r="C17" s="184"/>
      <c r="D17" s="184"/>
      <c r="E17" s="184"/>
      <c r="F17" s="184"/>
      <c r="G17" s="184"/>
      <c r="H17" s="184"/>
      <c r="I17" s="184"/>
      <c r="J17" s="184"/>
      <c r="K17" s="184"/>
      <c r="L17" s="184"/>
      <c r="M17" s="184"/>
      <c r="N17" s="184"/>
      <c r="O17" s="184"/>
      <c r="P17" s="231"/>
      <c r="Q17" s="231"/>
      <c r="R17" s="231"/>
      <c r="S17" s="231"/>
      <c r="T17" s="237">
        <v>38799</v>
      </c>
      <c r="U17" s="184"/>
      <c r="V17" s="5"/>
    </row>
    <row r="18" spans="1:22" ht="15.6" x14ac:dyDescent="0.3">
      <c r="A18" s="175"/>
      <c r="B18" s="230" t="s">
        <v>5</v>
      </c>
      <c r="C18" s="184"/>
      <c r="D18" s="184"/>
      <c r="E18" s="184"/>
      <c r="F18" s="184"/>
      <c r="G18" s="184"/>
      <c r="H18" s="184"/>
      <c r="I18" s="184"/>
      <c r="J18" s="184"/>
      <c r="K18" s="184"/>
      <c r="L18" s="184"/>
      <c r="M18" s="184"/>
      <c r="N18" s="184"/>
      <c r="O18" s="184"/>
      <c r="P18" s="231"/>
      <c r="Q18" s="231"/>
      <c r="R18" s="231"/>
      <c r="S18" s="231"/>
      <c r="T18" s="237">
        <v>42481</v>
      </c>
      <c r="U18" s="184"/>
      <c r="V18" s="5"/>
    </row>
    <row r="19" spans="1:22" ht="15.6" x14ac:dyDescent="0.3">
      <c r="A19" s="175"/>
      <c r="B19" s="177"/>
      <c r="C19" s="177"/>
      <c r="D19" s="177"/>
      <c r="E19" s="177"/>
      <c r="F19" s="177"/>
      <c r="G19" s="177"/>
      <c r="H19" s="177"/>
      <c r="I19" s="177"/>
      <c r="J19" s="177"/>
      <c r="K19" s="177"/>
      <c r="L19" s="177"/>
      <c r="M19" s="177"/>
      <c r="N19" s="177"/>
      <c r="O19" s="177"/>
      <c r="P19" s="177"/>
      <c r="Q19" s="177"/>
      <c r="R19" s="177"/>
      <c r="S19" s="177"/>
      <c r="T19" s="186"/>
      <c r="U19" s="177"/>
      <c r="V19" s="5"/>
    </row>
    <row r="20" spans="1:22" ht="15.6" x14ac:dyDescent="0.3">
      <c r="A20" s="175"/>
      <c r="B20" s="232" t="s">
        <v>6</v>
      </c>
      <c r="C20" s="177"/>
      <c r="D20" s="177"/>
      <c r="E20" s="177"/>
      <c r="F20" s="177"/>
      <c r="G20" s="177"/>
      <c r="H20" s="177"/>
      <c r="I20" s="177"/>
      <c r="J20" s="177"/>
      <c r="K20" s="177"/>
      <c r="L20" s="177"/>
      <c r="M20" s="177"/>
      <c r="N20" s="177"/>
      <c r="O20" s="177"/>
      <c r="P20" s="177"/>
      <c r="Q20" s="177"/>
      <c r="R20" s="238" t="s">
        <v>108</v>
      </c>
      <c r="S20" s="177"/>
      <c r="T20" s="188"/>
      <c r="U20" s="177"/>
      <c r="V20" s="5"/>
    </row>
    <row r="21" spans="1:22" ht="15.6" x14ac:dyDescent="0.3">
      <c r="A21" s="175"/>
      <c r="B21" s="177"/>
      <c r="C21" s="177"/>
      <c r="D21" s="177"/>
      <c r="E21" s="177"/>
      <c r="F21" s="177"/>
      <c r="G21" s="177"/>
      <c r="H21" s="177"/>
      <c r="I21" s="177"/>
      <c r="J21" s="177"/>
      <c r="K21" s="177"/>
      <c r="L21" s="177"/>
      <c r="M21" s="177"/>
      <c r="N21" s="177"/>
      <c r="O21" s="177"/>
      <c r="P21" s="177"/>
      <c r="Q21" s="177"/>
      <c r="R21" s="177"/>
      <c r="S21" s="177"/>
      <c r="T21" s="189"/>
      <c r="U21" s="177"/>
      <c r="V21" s="5"/>
    </row>
    <row r="22" spans="1:22" ht="15.6" x14ac:dyDescent="0.3">
      <c r="A22" s="222"/>
      <c r="B22" s="223"/>
      <c r="C22" s="224"/>
      <c r="D22" s="224" t="s">
        <v>184</v>
      </c>
      <c r="E22" s="224"/>
      <c r="F22" s="224" t="s">
        <v>185</v>
      </c>
      <c r="G22" s="224"/>
      <c r="H22" s="224" t="s">
        <v>186</v>
      </c>
      <c r="I22" s="224"/>
      <c r="J22" s="224" t="s">
        <v>187</v>
      </c>
      <c r="K22" s="224"/>
      <c r="L22" s="224" t="s">
        <v>188</v>
      </c>
      <c r="M22" s="224"/>
      <c r="N22" s="224" t="s">
        <v>189</v>
      </c>
      <c r="O22" s="224"/>
      <c r="P22" s="224"/>
      <c r="Q22" s="226"/>
      <c r="R22" s="226"/>
      <c r="S22" s="227"/>
      <c r="T22" s="227"/>
      <c r="U22" s="223"/>
      <c r="V22" s="5"/>
    </row>
    <row r="23" spans="1:22" ht="15.6" x14ac:dyDescent="0.3">
      <c r="A23" s="190"/>
      <c r="B23" s="239" t="s">
        <v>7</v>
      </c>
      <c r="C23" s="240"/>
      <c r="D23" s="240" t="s">
        <v>222</v>
      </c>
      <c r="E23" s="240"/>
      <c r="F23" s="240" t="s">
        <v>147</v>
      </c>
      <c r="G23" s="240"/>
      <c r="H23" s="240" t="s">
        <v>147</v>
      </c>
      <c r="I23" s="240"/>
      <c r="J23" s="240" t="s">
        <v>190</v>
      </c>
      <c r="K23" s="240"/>
      <c r="L23" s="240" t="s">
        <v>190</v>
      </c>
      <c r="M23" s="240"/>
      <c r="N23" s="240" t="s">
        <v>148</v>
      </c>
      <c r="O23" s="240"/>
      <c r="P23" s="240"/>
      <c r="Q23" s="240"/>
      <c r="R23" s="240"/>
      <c r="S23" s="241"/>
      <c r="T23" s="241"/>
      <c r="U23" s="239"/>
      <c r="V23" s="5"/>
    </row>
    <row r="24" spans="1:22" ht="15.6" x14ac:dyDescent="0.3">
      <c r="A24" s="284"/>
      <c r="B24" s="285" t="s">
        <v>8</v>
      </c>
      <c r="C24" s="286"/>
      <c r="D24" s="286" t="s">
        <v>223</v>
      </c>
      <c r="E24" s="286"/>
      <c r="F24" s="286" t="s">
        <v>149</v>
      </c>
      <c r="G24" s="286"/>
      <c r="H24" s="286" t="s">
        <v>149</v>
      </c>
      <c r="I24" s="286"/>
      <c r="J24" s="286" t="s">
        <v>172</v>
      </c>
      <c r="K24" s="286"/>
      <c r="L24" s="286" t="s">
        <v>172</v>
      </c>
      <c r="M24" s="286"/>
      <c r="N24" s="286" t="s">
        <v>150</v>
      </c>
      <c r="O24" s="286"/>
      <c r="P24" s="286"/>
      <c r="Q24" s="286"/>
      <c r="R24" s="286"/>
      <c r="S24" s="287"/>
      <c r="T24" s="287"/>
      <c r="U24" s="288"/>
      <c r="V24" s="5"/>
    </row>
    <row r="25" spans="1:22" ht="15.6" x14ac:dyDescent="0.3">
      <c r="A25" s="289"/>
      <c r="B25" s="285" t="s">
        <v>198</v>
      </c>
      <c r="C25" s="394"/>
      <c r="D25" s="286" t="s">
        <v>224</v>
      </c>
      <c r="E25" s="286"/>
      <c r="F25" s="286" t="s">
        <v>149</v>
      </c>
      <c r="G25" s="286"/>
      <c r="H25" s="286" t="s">
        <v>149</v>
      </c>
      <c r="I25" s="286"/>
      <c r="J25" s="286" t="s">
        <v>172</v>
      </c>
      <c r="K25" s="286"/>
      <c r="L25" s="286" t="s">
        <v>172</v>
      </c>
      <c r="M25" s="286"/>
      <c r="N25" s="286" t="s">
        <v>150</v>
      </c>
      <c r="O25" s="286"/>
      <c r="P25" s="286"/>
      <c r="Q25" s="394"/>
      <c r="R25" s="286"/>
      <c r="S25" s="287"/>
      <c r="T25" s="287"/>
      <c r="U25" s="288"/>
      <c r="V25" s="5"/>
    </row>
    <row r="26" spans="1:22" ht="15.6" x14ac:dyDescent="0.3">
      <c r="A26" s="289"/>
      <c r="B26" s="292" t="s">
        <v>9</v>
      </c>
      <c r="C26" s="394"/>
      <c r="D26" s="394" t="s">
        <v>326</v>
      </c>
      <c r="E26" s="394"/>
      <c r="F26" s="394" t="s">
        <v>327</v>
      </c>
      <c r="G26" s="394"/>
      <c r="H26" s="394" t="s">
        <v>327</v>
      </c>
      <c r="I26" s="394"/>
      <c r="J26" s="394" t="s">
        <v>190</v>
      </c>
      <c r="K26" s="394"/>
      <c r="L26" s="394" t="s">
        <v>190</v>
      </c>
      <c r="M26" s="394"/>
      <c r="N26" s="394" t="s">
        <v>148</v>
      </c>
      <c r="O26" s="394"/>
      <c r="P26" s="394"/>
      <c r="Q26" s="394"/>
      <c r="R26" s="286"/>
      <c r="S26" s="287"/>
      <c r="T26" s="287"/>
      <c r="U26" s="288"/>
      <c r="V26" s="5"/>
    </row>
    <row r="27" spans="1:22" ht="15.6" x14ac:dyDescent="0.3">
      <c r="A27" s="284"/>
      <c r="B27" s="292" t="s">
        <v>199</v>
      </c>
      <c r="C27" s="286"/>
      <c r="D27" s="394" t="s">
        <v>334</v>
      </c>
      <c r="E27" s="394"/>
      <c r="F27" s="394" t="s">
        <v>322</v>
      </c>
      <c r="G27" s="394"/>
      <c r="H27" s="394" t="s">
        <v>322</v>
      </c>
      <c r="I27" s="394"/>
      <c r="J27" s="394" t="s">
        <v>150</v>
      </c>
      <c r="K27" s="394"/>
      <c r="L27" s="394" t="s">
        <v>150</v>
      </c>
      <c r="M27" s="394"/>
      <c r="N27" s="394" t="s">
        <v>333</v>
      </c>
      <c r="O27" s="394"/>
      <c r="P27" s="394"/>
      <c r="Q27" s="286"/>
      <c r="R27" s="293"/>
      <c r="S27" s="287"/>
      <c r="T27" s="287"/>
      <c r="U27" s="288"/>
      <c r="V27" s="5"/>
    </row>
    <row r="28" spans="1:22" ht="15.6" x14ac:dyDescent="0.3">
      <c r="A28" s="284"/>
      <c r="B28" s="292" t="s">
        <v>200</v>
      </c>
      <c r="C28" s="286"/>
      <c r="D28" s="394" t="s">
        <v>332</v>
      </c>
      <c r="E28" s="394"/>
      <c r="F28" s="394" t="s">
        <v>149</v>
      </c>
      <c r="G28" s="394"/>
      <c r="H28" s="394" t="s">
        <v>149</v>
      </c>
      <c r="I28" s="394"/>
      <c r="J28" s="394" t="s">
        <v>149</v>
      </c>
      <c r="K28" s="394"/>
      <c r="L28" s="394" t="s">
        <v>149</v>
      </c>
      <c r="M28" s="394"/>
      <c r="N28" s="394" t="s">
        <v>150</v>
      </c>
      <c r="O28" s="394"/>
      <c r="P28" s="394"/>
      <c r="Q28" s="286"/>
      <c r="R28" s="293"/>
      <c r="S28" s="287"/>
      <c r="T28" s="287"/>
      <c r="U28" s="288"/>
      <c r="V28" s="5"/>
    </row>
    <row r="29" spans="1:22" ht="15.6" x14ac:dyDescent="0.3">
      <c r="A29" s="284"/>
      <c r="B29" s="285" t="s">
        <v>10</v>
      </c>
      <c r="C29" s="295"/>
      <c r="D29" s="286" t="s">
        <v>237</v>
      </c>
      <c r="E29" s="286"/>
      <c r="F29" s="293" t="s">
        <v>238</v>
      </c>
      <c r="G29" s="286"/>
      <c r="H29" s="286" t="s">
        <v>239</v>
      </c>
      <c r="I29" s="286"/>
      <c r="J29" s="286" t="s">
        <v>240</v>
      </c>
      <c r="K29" s="286"/>
      <c r="L29" s="286" t="s">
        <v>241</v>
      </c>
      <c r="M29" s="286"/>
      <c r="N29" s="286" t="s">
        <v>242</v>
      </c>
      <c r="O29" s="286"/>
      <c r="P29" s="286"/>
      <c r="Q29" s="296"/>
      <c r="R29" s="296"/>
      <c r="S29" s="297"/>
      <c r="T29" s="296"/>
      <c r="U29" s="298"/>
      <c r="V29" s="5"/>
    </row>
    <row r="30" spans="1:22" ht="15.6" x14ac:dyDescent="0.3">
      <c r="A30" s="284"/>
      <c r="B30" s="285" t="s">
        <v>10</v>
      </c>
      <c r="C30" s="295"/>
      <c r="D30" s="286" t="s">
        <v>236</v>
      </c>
      <c r="E30" s="286"/>
      <c r="F30" s="293" t="s">
        <v>124</v>
      </c>
      <c r="G30" s="286"/>
      <c r="H30" s="286" t="s">
        <v>124</v>
      </c>
      <c r="I30" s="286"/>
      <c r="J30" s="286" t="s">
        <v>124</v>
      </c>
      <c r="K30" s="286"/>
      <c r="L30" s="286" t="s">
        <v>124</v>
      </c>
      <c r="M30" s="286"/>
      <c r="N30" s="286" t="s">
        <v>124</v>
      </c>
      <c r="O30" s="286"/>
      <c r="P30" s="286"/>
      <c r="Q30" s="296"/>
      <c r="R30" s="296"/>
      <c r="S30" s="297"/>
      <c r="T30" s="296"/>
      <c r="U30" s="298"/>
      <c r="V30" s="5"/>
    </row>
    <row r="31" spans="1:22" ht="15.6" x14ac:dyDescent="0.3">
      <c r="A31" s="289"/>
      <c r="B31" s="285" t="s">
        <v>139</v>
      </c>
      <c r="C31" s="299"/>
      <c r="D31" s="300">
        <v>985000</v>
      </c>
      <c r="E31" s="295"/>
      <c r="F31" s="296">
        <v>149500</v>
      </c>
      <c r="G31" s="296"/>
      <c r="H31" s="301">
        <v>219700</v>
      </c>
      <c r="I31" s="296"/>
      <c r="J31" s="296">
        <v>16000</v>
      </c>
      <c r="K31" s="296"/>
      <c r="L31" s="301">
        <v>82400</v>
      </c>
      <c r="M31" s="296"/>
      <c r="N31" s="301">
        <v>87500</v>
      </c>
      <c r="O31" s="296"/>
      <c r="P31" s="301"/>
      <c r="Q31" s="302"/>
      <c r="R31" s="302"/>
      <c r="S31" s="303"/>
      <c r="T31" s="302"/>
      <c r="U31" s="298"/>
      <c r="V31" s="5"/>
    </row>
    <row r="32" spans="1:22" ht="15.6" x14ac:dyDescent="0.3">
      <c r="A32" s="284"/>
      <c r="B32" s="285" t="s">
        <v>138</v>
      </c>
      <c r="C32" s="295"/>
      <c r="D32" s="300">
        <f>D38*D31</f>
        <v>400203.23449999996</v>
      </c>
      <c r="E32" s="295"/>
      <c r="F32" s="296">
        <f>F38*F31</f>
        <v>60741.760299999994</v>
      </c>
      <c r="G32" s="296"/>
      <c r="H32" s="301">
        <f>H38*H31</f>
        <v>89263.978179999991</v>
      </c>
      <c r="I32" s="296"/>
      <c r="J32" s="296">
        <f>J31*J38</f>
        <v>15418.08</v>
      </c>
      <c r="K32" s="296"/>
      <c r="L32" s="301">
        <f>L31*L38</f>
        <v>79403.111999999994</v>
      </c>
      <c r="M32" s="296"/>
      <c r="N32" s="301">
        <f>N31*N38</f>
        <v>84317.625</v>
      </c>
      <c r="O32" s="296"/>
      <c r="P32" s="301"/>
      <c r="Q32" s="296"/>
      <c r="R32" s="296"/>
      <c r="S32" s="297"/>
      <c r="T32" s="296"/>
      <c r="U32" s="298"/>
      <c r="V32" s="5"/>
    </row>
    <row r="33" spans="1:22" ht="15.6" x14ac:dyDescent="0.3">
      <c r="A33" s="284"/>
      <c r="B33" s="292" t="s">
        <v>140</v>
      </c>
      <c r="C33" s="295"/>
      <c r="D33" s="304">
        <f>D37*D31</f>
        <v>392188.09249999997</v>
      </c>
      <c r="E33" s="299"/>
      <c r="F33" s="302">
        <f>F37*F31</f>
        <v>59525.248900000006</v>
      </c>
      <c r="G33" s="302"/>
      <c r="H33" s="305">
        <f>H31*H37</f>
        <v>87476.235339999999</v>
      </c>
      <c r="I33" s="302"/>
      <c r="J33" s="302">
        <f>J31*J37</f>
        <v>15109.2896</v>
      </c>
      <c r="K33" s="302"/>
      <c r="L33" s="305">
        <f>L31*L37</f>
        <v>77812.841440000004</v>
      </c>
      <c r="M33" s="302"/>
      <c r="N33" s="305">
        <f>N31*N37</f>
        <v>82628.927500000005</v>
      </c>
      <c r="O33" s="302"/>
      <c r="P33" s="305"/>
      <c r="Q33" s="296"/>
      <c r="R33" s="296"/>
      <c r="S33" s="297"/>
      <c r="T33" s="296"/>
      <c r="U33" s="298"/>
      <c r="V33" s="5"/>
    </row>
    <row r="34" spans="1:22" ht="15.6" x14ac:dyDescent="0.3">
      <c r="A34" s="289"/>
      <c r="B34" s="285" t="s">
        <v>283</v>
      </c>
      <c r="C34" s="299"/>
      <c r="D34" s="296">
        <v>567282</v>
      </c>
      <c r="E34" s="295"/>
      <c r="F34" s="296">
        <v>149500</v>
      </c>
      <c r="G34" s="296"/>
      <c r="H34" s="296">
        <v>150716</v>
      </c>
      <c r="I34" s="296"/>
      <c r="J34" s="296">
        <v>16000</v>
      </c>
      <c r="K34" s="296"/>
      <c r="L34" s="296">
        <v>56527</v>
      </c>
      <c r="M34" s="296"/>
      <c r="N34" s="296">
        <v>60025</v>
      </c>
      <c r="O34" s="296"/>
      <c r="P34" s="296"/>
      <c r="Q34" s="302"/>
      <c r="R34" s="302"/>
      <c r="S34" s="303"/>
      <c r="T34" s="296">
        <f>SUM(C34:P34)</f>
        <v>1000050</v>
      </c>
      <c r="U34" s="298"/>
      <c r="V34" s="5"/>
    </row>
    <row r="35" spans="1:22" ht="15.6" x14ac:dyDescent="0.3">
      <c r="A35" s="289"/>
      <c r="B35" s="285" t="s">
        <v>284</v>
      </c>
      <c r="C35" s="299"/>
      <c r="D35" s="296">
        <f>D38*D34</f>
        <v>230485.37185139998</v>
      </c>
      <c r="E35" s="295"/>
      <c r="F35" s="296">
        <f>F38*F34</f>
        <v>60741.760299999994</v>
      </c>
      <c r="G35" s="296"/>
      <c r="H35" s="296">
        <f>H38*H34</f>
        <v>61235.820370399997</v>
      </c>
      <c r="I35" s="296"/>
      <c r="J35" s="296">
        <f>J34*J38</f>
        <v>15418.08</v>
      </c>
      <c r="K35" s="296"/>
      <c r="L35" s="296">
        <f>L34*L38</f>
        <v>54471.113010000001</v>
      </c>
      <c r="M35" s="296"/>
      <c r="N35" s="296">
        <f>N34*N38</f>
        <v>57841.890749999999</v>
      </c>
      <c r="O35" s="296"/>
      <c r="P35" s="296"/>
      <c r="Q35" s="296"/>
      <c r="R35" s="296"/>
      <c r="S35" s="297"/>
      <c r="T35" s="296">
        <f>SUM(C35:P35)+1</f>
        <v>480195.03628180001</v>
      </c>
      <c r="U35" s="298"/>
      <c r="V35" s="5"/>
    </row>
    <row r="36" spans="1:22" ht="15.6" x14ac:dyDescent="0.3">
      <c r="A36" s="289"/>
      <c r="B36" s="292" t="s">
        <v>285</v>
      </c>
      <c r="C36" s="299"/>
      <c r="D36" s="302">
        <f>D37*D34</f>
        <v>225869.28476099999</v>
      </c>
      <c r="E36" s="299"/>
      <c r="F36" s="302">
        <f>F37*F34</f>
        <v>59525.248900000006</v>
      </c>
      <c r="G36" s="302"/>
      <c r="H36" s="302">
        <f>H37*H34</f>
        <v>60009.414135200001</v>
      </c>
      <c r="I36" s="302"/>
      <c r="J36" s="302">
        <f>J37*J34</f>
        <v>15109.2896</v>
      </c>
      <c r="K36" s="302"/>
      <c r="L36" s="302">
        <f>L37*L34</f>
        <v>53380.1758262</v>
      </c>
      <c r="M36" s="302"/>
      <c r="N36" s="302">
        <f>N37*N34</f>
        <v>56683.444264999998</v>
      </c>
      <c r="O36" s="302"/>
      <c r="P36" s="302"/>
      <c r="Q36" s="327"/>
      <c r="R36" s="327"/>
      <c r="S36" s="297"/>
      <c r="T36" s="302">
        <f>SUM(C36:P36)+1</f>
        <v>470577.85748739995</v>
      </c>
      <c r="U36" s="298"/>
      <c r="V36" s="5"/>
    </row>
    <row r="37" spans="1:22" ht="15.6" x14ac:dyDescent="0.3">
      <c r="A37" s="284"/>
      <c r="B37" s="310" t="s">
        <v>136</v>
      </c>
      <c r="C37" s="311"/>
      <c r="D37" s="312">
        <v>0.39816049999999997</v>
      </c>
      <c r="E37" s="313"/>
      <c r="F37" s="312">
        <v>0.39816220000000002</v>
      </c>
      <c r="G37" s="314"/>
      <c r="H37" s="312">
        <v>0.39816220000000002</v>
      </c>
      <c r="I37" s="314"/>
      <c r="J37" s="312">
        <v>0.94433060000000002</v>
      </c>
      <c r="K37" s="314"/>
      <c r="L37" s="312">
        <v>0.94433060000000002</v>
      </c>
      <c r="M37" s="314"/>
      <c r="N37" s="312">
        <v>0.94433060000000002</v>
      </c>
      <c r="O37" s="314"/>
      <c r="P37" s="314"/>
      <c r="Q37" s="315"/>
      <c r="R37" s="315"/>
      <c r="S37" s="316"/>
      <c r="T37" s="316"/>
      <c r="U37" s="317"/>
      <c r="V37" s="5"/>
    </row>
    <row r="38" spans="1:22" ht="15.6" x14ac:dyDescent="0.3">
      <c r="A38" s="284"/>
      <c r="B38" s="310" t="s">
        <v>137</v>
      </c>
      <c r="C38" s="311"/>
      <c r="D38" s="312">
        <v>0.40629769999999998</v>
      </c>
      <c r="E38" s="313"/>
      <c r="F38" s="312">
        <v>0.40629939999999998</v>
      </c>
      <c r="G38" s="314"/>
      <c r="H38" s="312">
        <v>0.40629939999999998</v>
      </c>
      <c r="I38" s="314"/>
      <c r="J38" s="312">
        <v>0.96362999999999999</v>
      </c>
      <c r="K38" s="314"/>
      <c r="L38" s="312">
        <v>0.96362999999999999</v>
      </c>
      <c r="M38" s="314"/>
      <c r="N38" s="312">
        <v>0.96362999999999999</v>
      </c>
      <c r="O38" s="314"/>
      <c r="P38" s="314"/>
      <c r="Q38" s="318"/>
      <c r="R38" s="319"/>
      <c r="S38" s="316"/>
      <c r="T38" s="318"/>
      <c r="U38" s="317"/>
      <c r="V38" s="5"/>
    </row>
    <row r="39" spans="1:22" ht="15.6" x14ac:dyDescent="0.3">
      <c r="A39" s="284"/>
      <c r="B39" s="285" t="s">
        <v>11</v>
      </c>
      <c r="C39" s="285"/>
      <c r="D39" s="293" t="s">
        <v>275</v>
      </c>
      <c r="E39" s="285"/>
      <c r="F39" s="293" t="s">
        <v>232</v>
      </c>
      <c r="G39" s="293"/>
      <c r="H39" s="293" t="s">
        <v>232</v>
      </c>
      <c r="I39" s="293"/>
      <c r="J39" s="293" t="s">
        <v>234</v>
      </c>
      <c r="K39" s="293"/>
      <c r="L39" s="293" t="s">
        <v>234</v>
      </c>
      <c r="M39" s="293"/>
      <c r="N39" s="293" t="s">
        <v>235</v>
      </c>
      <c r="O39" s="293"/>
      <c r="P39" s="293"/>
      <c r="Q39" s="320"/>
      <c r="R39" s="321"/>
      <c r="S39" s="287"/>
      <c r="T39" s="287"/>
      <c r="U39" s="288"/>
      <c r="V39" s="5"/>
    </row>
    <row r="40" spans="1:22" ht="15.6" x14ac:dyDescent="0.3">
      <c r="A40" s="284"/>
      <c r="B40" s="285" t="s">
        <v>12</v>
      </c>
      <c r="C40" s="285"/>
      <c r="D40" s="321">
        <v>5.3619999999999996E-3</v>
      </c>
      <c r="E40" s="285"/>
      <c r="F40" s="321">
        <v>8.3063000000000008E-3</v>
      </c>
      <c r="G40" s="320"/>
      <c r="H40" s="321">
        <v>9.6000000000000002E-4</v>
      </c>
      <c r="I40" s="320"/>
      <c r="J40" s="321">
        <v>1.07063E-2</v>
      </c>
      <c r="K40" s="320"/>
      <c r="L40" s="321">
        <v>3.3600000000000001E-3</v>
      </c>
      <c r="M40" s="320"/>
      <c r="N40" s="321">
        <v>7.5599999999999999E-3</v>
      </c>
      <c r="O40" s="320"/>
      <c r="P40" s="321"/>
      <c r="Q40" s="320"/>
      <c r="R40" s="321"/>
      <c r="S40" s="287"/>
      <c r="T40" s="293"/>
      <c r="U40" s="288"/>
      <c r="V40" s="5"/>
    </row>
    <row r="41" spans="1:22" ht="15.6" x14ac:dyDescent="0.3">
      <c r="A41" s="284"/>
      <c r="B41" s="285" t="s">
        <v>13</v>
      </c>
      <c r="C41" s="285"/>
      <c r="D41" s="321">
        <v>4.3049999999999998E-3</v>
      </c>
      <c r="E41" s="285"/>
      <c r="F41" s="321">
        <v>8.1937999999999993E-3</v>
      </c>
      <c r="G41" s="320"/>
      <c r="H41" s="321">
        <v>1.91E-3</v>
      </c>
      <c r="I41" s="320"/>
      <c r="J41" s="321">
        <v>1.05938E-2</v>
      </c>
      <c r="K41" s="320"/>
      <c r="L41" s="321">
        <v>4.3099999999999996E-3</v>
      </c>
      <c r="M41" s="320"/>
      <c r="N41" s="321">
        <v>8.5100000000000002E-3</v>
      </c>
      <c r="O41" s="320"/>
      <c r="P41" s="321"/>
      <c r="Q41" s="320"/>
      <c r="R41" s="321"/>
      <c r="S41" s="287"/>
      <c r="T41" s="320" t="s">
        <v>201</v>
      </c>
      <c r="U41" s="288"/>
      <c r="V41" s="5"/>
    </row>
    <row r="42" spans="1:22" ht="15.6" x14ac:dyDescent="0.3">
      <c r="A42" s="284"/>
      <c r="B42" s="285" t="s">
        <v>286</v>
      </c>
      <c r="C42" s="285"/>
      <c r="D42" s="293" t="s">
        <v>231</v>
      </c>
      <c r="E42" s="285"/>
      <c r="F42" s="293" t="s">
        <v>232</v>
      </c>
      <c r="G42" s="293"/>
      <c r="H42" s="293" t="s">
        <v>232</v>
      </c>
      <c r="I42" s="293"/>
      <c r="J42" s="293" t="s">
        <v>234</v>
      </c>
      <c r="K42" s="293"/>
      <c r="L42" s="293" t="s">
        <v>245</v>
      </c>
      <c r="M42" s="293"/>
      <c r="N42" s="293" t="s">
        <v>247</v>
      </c>
      <c r="O42" s="293"/>
      <c r="P42" s="293"/>
      <c r="Q42" s="320"/>
      <c r="R42" s="321"/>
      <c r="S42" s="287"/>
      <c r="T42" s="287"/>
      <c r="U42" s="288"/>
      <c r="V42" s="5"/>
    </row>
    <row r="43" spans="1:22" ht="15.6" x14ac:dyDescent="0.3">
      <c r="A43" s="284"/>
      <c r="B43" s="285" t="s">
        <v>287</v>
      </c>
      <c r="C43" s="322"/>
      <c r="D43" s="321">
        <v>7.1425000000000004E-3</v>
      </c>
      <c r="E43" s="321"/>
      <c r="F43" s="321">
        <f>+F40</f>
        <v>8.3063000000000008E-3</v>
      </c>
      <c r="G43" s="321"/>
      <c r="H43" s="321">
        <v>8.3023000000000003E-3</v>
      </c>
      <c r="I43" s="321"/>
      <c r="J43" s="321">
        <f>+J40</f>
        <v>1.07063E-2</v>
      </c>
      <c r="K43" s="321"/>
      <c r="L43" s="321">
        <v>1.1012299999999999E-2</v>
      </c>
      <c r="M43" s="321"/>
      <c r="N43" s="321">
        <v>1.5716299999999999E-2</v>
      </c>
      <c r="O43" s="320"/>
      <c r="P43" s="321"/>
      <c r="Q43" s="293"/>
      <c r="R43" s="293"/>
      <c r="S43" s="287"/>
      <c r="T43" s="320">
        <f>SUMPRODUCT(D43:N43,D35:N35)/T35</f>
        <v>9.0237553731085211E-3</v>
      </c>
      <c r="U43" s="288"/>
      <c r="V43" s="5"/>
    </row>
    <row r="44" spans="1:22" ht="15.6" x14ac:dyDescent="0.3">
      <c r="A44" s="284"/>
      <c r="B44" s="285" t="s">
        <v>288</v>
      </c>
      <c r="C44" s="322"/>
      <c r="D44" s="321">
        <v>7.0299999999999998E-3</v>
      </c>
      <c r="E44" s="321"/>
      <c r="F44" s="321">
        <f>+F41</f>
        <v>8.1937999999999993E-3</v>
      </c>
      <c r="G44" s="321"/>
      <c r="H44" s="321">
        <v>8.1898000000000006E-3</v>
      </c>
      <c r="I44" s="321"/>
      <c r="J44" s="321">
        <f>+J41</f>
        <v>1.05938E-2</v>
      </c>
      <c r="K44" s="321"/>
      <c r="L44" s="321">
        <v>1.0899799999999999E-2</v>
      </c>
      <c r="M44" s="321"/>
      <c r="N44" s="321">
        <v>1.5603799999999999E-2</v>
      </c>
      <c r="O44" s="320"/>
      <c r="P44" s="321"/>
      <c r="Q44" s="293"/>
      <c r="R44" s="293"/>
      <c r="S44" s="287"/>
      <c r="T44" s="287"/>
      <c r="U44" s="288"/>
      <c r="V44" s="5"/>
    </row>
    <row r="45" spans="1:22" ht="15.6" x14ac:dyDescent="0.3">
      <c r="A45" s="284"/>
      <c r="B45" s="285" t="s">
        <v>14</v>
      </c>
      <c r="C45" s="285"/>
      <c r="D45" s="322">
        <v>40283</v>
      </c>
      <c r="E45" s="322"/>
      <c r="F45" s="322">
        <v>40283</v>
      </c>
      <c r="G45" s="322"/>
      <c r="H45" s="322">
        <v>40283</v>
      </c>
      <c r="I45" s="322"/>
      <c r="J45" s="322">
        <v>40283</v>
      </c>
      <c r="K45" s="322"/>
      <c r="L45" s="322">
        <v>40283</v>
      </c>
      <c r="M45" s="322"/>
      <c r="N45" s="322">
        <v>40283</v>
      </c>
      <c r="O45" s="322"/>
      <c r="P45" s="322"/>
      <c r="Q45" s="293"/>
      <c r="R45" s="293"/>
      <c r="S45" s="287"/>
      <c r="T45" s="287"/>
      <c r="U45" s="288"/>
      <c r="V45" s="5"/>
    </row>
    <row r="46" spans="1:22" ht="15.6" x14ac:dyDescent="0.3">
      <c r="A46" s="284"/>
      <c r="B46" s="285" t="s">
        <v>15</v>
      </c>
      <c r="C46" s="285"/>
      <c r="D46" s="322">
        <v>40648</v>
      </c>
      <c r="E46" s="322"/>
      <c r="F46" s="322">
        <v>40648</v>
      </c>
      <c r="G46" s="322"/>
      <c r="H46" s="322">
        <v>40648</v>
      </c>
      <c r="I46" s="293"/>
      <c r="J46" s="322">
        <v>40648</v>
      </c>
      <c r="K46" s="293"/>
      <c r="L46" s="322">
        <v>40648</v>
      </c>
      <c r="M46" s="293"/>
      <c r="N46" s="322">
        <v>40648</v>
      </c>
      <c r="O46" s="293"/>
      <c r="P46" s="322"/>
      <c r="Q46" s="293"/>
      <c r="R46" s="293"/>
      <c r="S46" s="287"/>
      <c r="T46" s="287"/>
      <c r="U46" s="288"/>
      <c r="V46" s="5"/>
    </row>
    <row r="47" spans="1:22" ht="15.6" x14ac:dyDescent="0.3">
      <c r="A47" s="284"/>
      <c r="B47" s="285" t="s">
        <v>125</v>
      </c>
      <c r="C47" s="285"/>
      <c r="D47" s="293" t="s">
        <v>124</v>
      </c>
      <c r="E47" s="285"/>
      <c r="F47" s="293" t="s">
        <v>232</v>
      </c>
      <c r="G47" s="293"/>
      <c r="H47" s="293" t="s">
        <v>232</v>
      </c>
      <c r="I47" s="293"/>
      <c r="J47" s="293" t="s">
        <v>234</v>
      </c>
      <c r="K47" s="293"/>
      <c r="L47" s="293" t="s">
        <v>234</v>
      </c>
      <c r="M47" s="293"/>
      <c r="N47" s="293" t="s">
        <v>235</v>
      </c>
      <c r="O47" s="293"/>
      <c r="P47" s="293"/>
      <c r="Q47" s="324"/>
      <c r="R47" s="324"/>
      <c r="S47" s="324"/>
      <c r="T47" s="324"/>
      <c r="U47" s="288"/>
      <c r="V47" s="5"/>
    </row>
    <row r="48" spans="1:22" ht="15.6" x14ac:dyDescent="0.3">
      <c r="A48" s="284"/>
      <c r="B48" s="285" t="s">
        <v>289</v>
      </c>
      <c r="C48" s="285"/>
      <c r="D48" s="293" t="s">
        <v>208</v>
      </c>
      <c r="E48" s="285"/>
      <c r="F48" s="293" t="s">
        <v>232</v>
      </c>
      <c r="G48" s="293"/>
      <c r="H48" s="293" t="s">
        <v>232</v>
      </c>
      <c r="I48" s="293"/>
      <c r="J48" s="293" t="s">
        <v>234</v>
      </c>
      <c r="K48" s="293"/>
      <c r="L48" s="293" t="s">
        <v>245</v>
      </c>
      <c r="M48" s="293"/>
      <c r="N48" s="293" t="s">
        <v>247</v>
      </c>
      <c r="O48" s="293"/>
      <c r="P48" s="293"/>
      <c r="Q48" s="285"/>
      <c r="R48" s="285"/>
      <c r="S48" s="285"/>
      <c r="T48" s="320"/>
      <c r="U48" s="288"/>
      <c r="V48" s="5"/>
    </row>
    <row r="49" spans="1:23" ht="15.6" x14ac:dyDescent="0.3">
      <c r="A49" s="284"/>
      <c r="B49" s="285"/>
      <c r="C49" s="285"/>
      <c r="D49" s="293"/>
      <c r="E49" s="285"/>
      <c r="F49" s="293"/>
      <c r="G49" s="293"/>
      <c r="H49" s="293"/>
      <c r="I49" s="293"/>
      <c r="J49" s="293"/>
      <c r="K49" s="293"/>
      <c r="L49" s="293"/>
      <c r="M49" s="293"/>
      <c r="N49" s="293"/>
      <c r="O49" s="293"/>
      <c r="P49" s="293"/>
      <c r="Q49" s="285"/>
      <c r="R49" s="285"/>
      <c r="S49" s="285"/>
      <c r="T49" s="320" t="s">
        <v>201</v>
      </c>
      <c r="U49" s="288"/>
      <c r="V49" s="5"/>
    </row>
    <row r="50" spans="1:23" ht="15.6" x14ac:dyDescent="0.3">
      <c r="A50" s="284"/>
      <c r="B50" s="285" t="s">
        <v>176</v>
      </c>
      <c r="C50" s="285"/>
      <c r="D50" s="293"/>
      <c r="E50" s="285"/>
      <c r="F50" s="293"/>
      <c r="G50" s="293"/>
      <c r="H50" s="293"/>
      <c r="I50" s="293"/>
      <c r="J50" s="293"/>
      <c r="K50" s="293"/>
      <c r="L50" s="293"/>
      <c r="M50" s="293"/>
      <c r="N50" s="293"/>
      <c r="O50" s="293"/>
      <c r="P50" s="293"/>
      <c r="Q50" s="285"/>
      <c r="R50" s="285"/>
      <c r="S50" s="285"/>
      <c r="T50" s="320">
        <f>SUM(J34:P34)/SUM(D34:H34)</f>
        <v>0.15279804679664968</v>
      </c>
      <c r="U50" s="288"/>
      <c r="V50" s="5"/>
    </row>
    <row r="51" spans="1:23" ht="15.6" x14ac:dyDescent="0.3">
      <c r="A51" s="284"/>
      <c r="B51" s="285" t="s">
        <v>177</v>
      </c>
      <c r="C51" s="285"/>
      <c r="D51" s="285"/>
      <c r="E51" s="285"/>
      <c r="F51" s="325"/>
      <c r="G51" s="285"/>
      <c r="H51" s="285"/>
      <c r="I51" s="285"/>
      <c r="J51" s="285"/>
      <c r="K51" s="285"/>
      <c r="L51" s="285"/>
      <c r="M51" s="285"/>
      <c r="N51" s="285"/>
      <c r="O51" s="285"/>
      <c r="P51" s="285"/>
      <c r="Q51" s="285"/>
      <c r="R51" s="285"/>
      <c r="S51" s="285"/>
      <c r="T51" s="320">
        <f>SUM(J36:P36)/SUM(D36:H36)</f>
        <v>0.36239571229526379</v>
      </c>
      <c r="U51" s="288"/>
      <c r="V51" s="5"/>
    </row>
    <row r="52" spans="1:23" ht="15.6" x14ac:dyDescent="0.3">
      <c r="A52" s="284"/>
      <c r="B52" s="285" t="s">
        <v>178</v>
      </c>
      <c r="C52" s="285"/>
      <c r="D52" s="285"/>
      <c r="E52" s="285"/>
      <c r="F52" s="285"/>
      <c r="G52" s="285"/>
      <c r="H52" s="285"/>
      <c r="I52" s="285"/>
      <c r="J52" s="285"/>
      <c r="K52" s="285"/>
      <c r="L52" s="285"/>
      <c r="M52" s="285"/>
      <c r="N52" s="285"/>
      <c r="O52" s="285"/>
      <c r="P52" s="285"/>
      <c r="Q52" s="285"/>
      <c r="R52" s="293" t="s">
        <v>109</v>
      </c>
      <c r="S52" s="293" t="s">
        <v>115</v>
      </c>
      <c r="T52" s="296">
        <f>+T34/2-SUM(J34:P34)</f>
        <v>367473</v>
      </c>
      <c r="U52" s="288"/>
      <c r="V52" s="5"/>
    </row>
    <row r="53" spans="1:23" ht="15.6" x14ac:dyDescent="0.3">
      <c r="A53" s="284"/>
      <c r="B53" s="285"/>
      <c r="C53" s="285"/>
      <c r="D53" s="285"/>
      <c r="E53" s="285"/>
      <c r="F53" s="285"/>
      <c r="G53" s="285"/>
      <c r="H53" s="285"/>
      <c r="I53" s="285"/>
      <c r="J53" s="285"/>
      <c r="K53" s="285"/>
      <c r="L53" s="285"/>
      <c r="M53" s="285"/>
      <c r="N53" s="285"/>
      <c r="O53" s="285"/>
      <c r="P53" s="285"/>
      <c r="Q53" s="285"/>
      <c r="R53" s="285"/>
      <c r="S53" s="285"/>
      <c r="T53" s="326"/>
      <c r="U53" s="288"/>
      <c r="V53" s="5"/>
    </row>
    <row r="54" spans="1:23" ht="15.6" x14ac:dyDescent="0.3">
      <c r="A54" s="284"/>
      <c r="B54" s="285" t="s">
        <v>211</v>
      </c>
      <c r="C54" s="285"/>
      <c r="D54" s="285"/>
      <c r="E54" s="285"/>
      <c r="F54" s="285"/>
      <c r="G54" s="285"/>
      <c r="H54" s="285"/>
      <c r="I54" s="285"/>
      <c r="J54" s="285"/>
      <c r="K54" s="285"/>
      <c r="L54" s="285"/>
      <c r="M54" s="285"/>
      <c r="N54" s="285"/>
      <c r="O54" s="285"/>
      <c r="P54" s="285"/>
      <c r="Q54" s="285"/>
      <c r="R54" s="285"/>
      <c r="S54" s="285"/>
      <c r="T54" s="327" t="s">
        <v>212</v>
      </c>
      <c r="U54" s="288"/>
      <c r="V54" s="5"/>
    </row>
    <row r="55" spans="1:23" ht="15.6" x14ac:dyDescent="0.3">
      <c r="A55" s="284"/>
      <c r="B55" s="285" t="s">
        <v>253</v>
      </c>
      <c r="C55" s="285"/>
      <c r="D55" s="285"/>
      <c r="E55" s="285"/>
      <c r="F55" s="285"/>
      <c r="G55" s="285"/>
      <c r="H55" s="285"/>
      <c r="I55" s="285"/>
      <c r="J55" s="285"/>
      <c r="K55" s="285"/>
      <c r="L55" s="285"/>
      <c r="M55" s="285"/>
      <c r="N55" s="285"/>
      <c r="O55" s="285"/>
      <c r="P55" s="285"/>
      <c r="Q55" s="285"/>
      <c r="R55" s="293"/>
      <c r="S55" s="293"/>
      <c r="T55" s="328" t="s">
        <v>117</v>
      </c>
      <c r="U55" s="288"/>
      <c r="V55" s="5"/>
    </row>
    <row r="56" spans="1:23" ht="15.6" x14ac:dyDescent="0.3">
      <c r="A56" s="284"/>
      <c r="B56" s="292" t="s">
        <v>210</v>
      </c>
      <c r="C56" s="292"/>
      <c r="D56" s="292"/>
      <c r="E56" s="292"/>
      <c r="F56" s="292"/>
      <c r="G56" s="292"/>
      <c r="H56" s="292"/>
      <c r="I56" s="292"/>
      <c r="J56" s="292"/>
      <c r="K56" s="292"/>
      <c r="L56" s="292"/>
      <c r="M56" s="292"/>
      <c r="N56" s="292"/>
      <c r="O56" s="292"/>
      <c r="P56" s="292"/>
      <c r="Q56" s="292"/>
      <c r="R56" s="329"/>
      <c r="S56" s="329"/>
      <c r="T56" s="330">
        <v>42475</v>
      </c>
      <c r="U56" s="288"/>
      <c r="V56" s="5"/>
    </row>
    <row r="57" spans="1:23" ht="15.6" x14ac:dyDescent="0.3">
      <c r="A57" s="284"/>
      <c r="B57" s="285" t="s">
        <v>127</v>
      </c>
      <c r="C57" s="285"/>
      <c r="D57" s="285"/>
      <c r="E57" s="285"/>
      <c r="F57" s="285"/>
      <c r="G57" s="285"/>
      <c r="H57" s="331"/>
      <c r="I57" s="331"/>
      <c r="J57" s="331"/>
      <c r="K57" s="331"/>
      <c r="L57" s="331"/>
      <c r="M57" s="331"/>
      <c r="N57" s="331"/>
      <c r="O57" s="331"/>
      <c r="P57" s="285">
        <f>+T57-R57+1</f>
        <v>92</v>
      </c>
      <c r="Q57" s="331"/>
      <c r="R57" s="332">
        <v>42292</v>
      </c>
      <c r="S57" s="333"/>
      <c r="T57" s="332">
        <v>42383</v>
      </c>
      <c r="U57" s="288"/>
      <c r="V57" s="5"/>
    </row>
    <row r="58" spans="1:23" ht="15.6" x14ac:dyDescent="0.3">
      <c r="A58" s="284"/>
      <c r="B58" s="285" t="s">
        <v>128</v>
      </c>
      <c r="C58" s="285"/>
      <c r="D58" s="285"/>
      <c r="E58" s="285"/>
      <c r="F58" s="285"/>
      <c r="G58" s="285"/>
      <c r="H58" s="285"/>
      <c r="I58" s="285"/>
      <c r="J58" s="285"/>
      <c r="K58" s="285"/>
      <c r="L58" s="285"/>
      <c r="M58" s="285"/>
      <c r="N58" s="285"/>
      <c r="O58" s="285"/>
      <c r="P58" s="285">
        <f>+T58-R58+1</f>
        <v>91</v>
      </c>
      <c r="Q58" s="285"/>
      <c r="R58" s="332">
        <v>42384</v>
      </c>
      <c r="S58" s="333"/>
      <c r="T58" s="332">
        <v>42474</v>
      </c>
      <c r="U58" s="288"/>
      <c r="V58" s="5"/>
    </row>
    <row r="59" spans="1:23" ht="15.6" x14ac:dyDescent="0.3">
      <c r="A59" s="284"/>
      <c r="B59" s="285" t="s">
        <v>209</v>
      </c>
      <c r="C59" s="285"/>
      <c r="D59" s="285"/>
      <c r="E59" s="285"/>
      <c r="F59" s="285"/>
      <c r="G59" s="285"/>
      <c r="H59" s="285"/>
      <c r="I59" s="285"/>
      <c r="J59" s="285"/>
      <c r="K59" s="285"/>
      <c r="L59" s="285"/>
      <c r="M59" s="285"/>
      <c r="N59" s="285"/>
      <c r="O59" s="285"/>
      <c r="P59" s="285"/>
      <c r="Q59" s="285"/>
      <c r="R59" s="332"/>
      <c r="S59" s="333"/>
      <c r="T59" s="332" t="s">
        <v>126</v>
      </c>
      <c r="U59" s="288"/>
      <c r="V59" s="5"/>
    </row>
    <row r="60" spans="1:23" ht="15.6" x14ac:dyDescent="0.3">
      <c r="A60" s="284"/>
      <c r="B60" s="285" t="s">
        <v>249</v>
      </c>
      <c r="C60" s="285"/>
      <c r="D60" s="285"/>
      <c r="E60" s="285"/>
      <c r="F60" s="285"/>
      <c r="G60" s="285"/>
      <c r="H60" s="285"/>
      <c r="I60" s="285"/>
      <c r="J60" s="285"/>
      <c r="K60" s="285"/>
      <c r="L60" s="285"/>
      <c r="M60" s="285"/>
      <c r="N60" s="285"/>
      <c r="O60" s="285"/>
      <c r="P60" s="285"/>
      <c r="Q60" s="285"/>
      <c r="R60" s="332"/>
      <c r="S60" s="333"/>
      <c r="T60" s="332" t="s">
        <v>160</v>
      </c>
      <c r="U60" s="288"/>
      <c r="V60" s="5"/>
      <c r="W60" s="134"/>
    </row>
    <row r="61" spans="1:23" ht="15.6" x14ac:dyDescent="0.3">
      <c r="A61" s="284"/>
      <c r="B61" s="285" t="s">
        <v>16</v>
      </c>
      <c r="C61" s="285"/>
      <c r="D61" s="285"/>
      <c r="E61" s="285"/>
      <c r="F61" s="285"/>
      <c r="G61" s="285"/>
      <c r="H61" s="285"/>
      <c r="I61" s="285"/>
      <c r="J61" s="285"/>
      <c r="K61" s="285"/>
      <c r="L61" s="285"/>
      <c r="M61" s="285"/>
      <c r="N61" s="285"/>
      <c r="O61" s="285"/>
      <c r="P61" s="285"/>
      <c r="Q61" s="285"/>
      <c r="R61" s="332"/>
      <c r="S61" s="333"/>
      <c r="T61" s="332">
        <v>42461</v>
      </c>
      <c r="U61" s="288"/>
      <c r="V61" s="5"/>
    </row>
    <row r="62" spans="1:23" ht="15.6" x14ac:dyDescent="0.3">
      <c r="A62" s="175"/>
      <c r="B62" s="281"/>
      <c r="C62" s="281"/>
      <c r="D62" s="281"/>
      <c r="E62" s="281"/>
      <c r="F62" s="281"/>
      <c r="G62" s="281"/>
      <c r="H62" s="281"/>
      <c r="I62" s="281"/>
      <c r="J62" s="281"/>
      <c r="K62" s="281"/>
      <c r="L62" s="281"/>
      <c r="M62" s="281"/>
      <c r="N62" s="281"/>
      <c r="O62" s="281"/>
      <c r="P62" s="281"/>
      <c r="Q62" s="281"/>
      <c r="R62" s="282"/>
      <c r="S62" s="283"/>
      <c r="T62" s="282"/>
      <c r="U62" s="281"/>
      <c r="V62" s="5"/>
    </row>
    <row r="63" spans="1:23" ht="15.6" x14ac:dyDescent="0.3">
      <c r="A63" s="175"/>
      <c r="B63" s="231"/>
      <c r="C63" s="231"/>
      <c r="D63" s="231"/>
      <c r="E63" s="231"/>
      <c r="F63" s="231"/>
      <c r="G63" s="231"/>
      <c r="H63" s="231"/>
      <c r="I63" s="231"/>
      <c r="J63" s="231"/>
      <c r="K63" s="231"/>
      <c r="L63" s="231"/>
      <c r="M63" s="231"/>
      <c r="N63" s="231"/>
      <c r="O63" s="231"/>
      <c r="P63" s="231"/>
      <c r="Q63" s="231"/>
      <c r="R63" s="244"/>
      <c r="S63" s="245"/>
      <c r="T63" s="244"/>
      <c r="U63" s="231"/>
      <c r="V63" s="5"/>
    </row>
    <row r="64" spans="1:23" ht="18" thickBot="1" x14ac:dyDescent="0.35">
      <c r="A64" s="192"/>
      <c r="B64" s="246" t="s">
        <v>337</v>
      </c>
      <c r="C64" s="247"/>
      <c r="D64" s="247"/>
      <c r="E64" s="247"/>
      <c r="F64" s="247"/>
      <c r="G64" s="247"/>
      <c r="H64" s="247"/>
      <c r="I64" s="247"/>
      <c r="J64" s="247"/>
      <c r="K64" s="247"/>
      <c r="L64" s="247"/>
      <c r="M64" s="247"/>
      <c r="N64" s="247"/>
      <c r="O64" s="247"/>
      <c r="P64" s="247"/>
      <c r="Q64" s="247"/>
      <c r="R64" s="247"/>
      <c r="S64" s="247"/>
      <c r="T64" s="248"/>
      <c r="U64" s="249"/>
      <c r="V64" s="5"/>
    </row>
    <row r="65" spans="1:22" ht="15.6" x14ac:dyDescent="0.3">
      <c r="A65" s="222"/>
      <c r="B65" s="395" t="s">
        <v>17</v>
      </c>
      <c r="C65" s="223"/>
      <c r="D65" s="223"/>
      <c r="E65" s="223"/>
      <c r="F65" s="223"/>
      <c r="G65" s="223"/>
      <c r="H65" s="223"/>
      <c r="I65" s="223"/>
      <c r="J65" s="223"/>
      <c r="K65" s="223"/>
      <c r="L65" s="223"/>
      <c r="M65" s="223"/>
      <c r="N65" s="223"/>
      <c r="O65" s="223"/>
      <c r="P65" s="223"/>
      <c r="Q65" s="223"/>
      <c r="R65" s="223"/>
      <c r="S65" s="223"/>
      <c r="T65" s="250"/>
      <c r="U65" s="223"/>
      <c r="V65" s="5"/>
    </row>
    <row r="66" spans="1:22" ht="15.6" x14ac:dyDescent="0.3">
      <c r="A66" s="175"/>
      <c r="B66" s="183"/>
      <c r="C66" s="177"/>
      <c r="D66" s="177"/>
      <c r="E66" s="177"/>
      <c r="F66" s="177"/>
      <c r="G66" s="177"/>
      <c r="H66" s="177"/>
      <c r="I66" s="177"/>
      <c r="J66" s="177"/>
      <c r="K66" s="177"/>
      <c r="L66" s="177"/>
      <c r="M66" s="177"/>
      <c r="N66" s="177"/>
      <c r="O66" s="177"/>
      <c r="P66" s="177"/>
      <c r="Q66" s="177"/>
      <c r="R66" s="177"/>
      <c r="S66" s="177"/>
      <c r="T66" s="194"/>
      <c r="U66" s="177"/>
      <c r="V66" s="5"/>
    </row>
    <row r="67" spans="1:22" ht="46.8" x14ac:dyDescent="0.3">
      <c r="A67" s="175"/>
      <c r="B67" s="195" t="s">
        <v>18</v>
      </c>
      <c r="C67" s="196"/>
      <c r="D67" s="196"/>
      <c r="E67" s="196"/>
      <c r="F67" s="196"/>
      <c r="G67" s="196"/>
      <c r="H67" s="196"/>
      <c r="I67" s="196"/>
      <c r="J67" s="196" t="s">
        <v>97</v>
      </c>
      <c r="K67" s="196"/>
      <c r="L67" s="196" t="s">
        <v>99</v>
      </c>
      <c r="M67" s="196"/>
      <c r="N67" s="196" t="s">
        <v>101</v>
      </c>
      <c r="O67" s="196"/>
      <c r="P67" s="196" t="s">
        <v>103</v>
      </c>
      <c r="Q67" s="196"/>
      <c r="R67" s="196" t="s">
        <v>110</v>
      </c>
      <c r="S67" s="196"/>
      <c r="T67" s="197" t="s">
        <v>118</v>
      </c>
      <c r="U67" s="198"/>
      <c r="V67" s="5"/>
    </row>
    <row r="68" spans="1:22" ht="15.6" x14ac:dyDescent="0.3">
      <c r="A68" s="337"/>
      <c r="B68" s="285" t="s">
        <v>19</v>
      </c>
      <c r="C68" s="338"/>
      <c r="D68" s="338"/>
      <c r="E68" s="338"/>
      <c r="F68" s="338"/>
      <c r="G68" s="338"/>
      <c r="H68" s="338"/>
      <c r="I68" s="338"/>
      <c r="J68" s="338">
        <v>1000039</v>
      </c>
      <c r="K68" s="338"/>
      <c r="L68" s="339">
        <v>480195</v>
      </c>
      <c r="M68" s="338"/>
      <c r="N68" s="338">
        <f>9617+50+62</f>
        <v>9729</v>
      </c>
      <c r="O68" s="338"/>
      <c r="P68" s="338">
        <f>50+62</f>
        <v>112</v>
      </c>
      <c r="Q68" s="338"/>
      <c r="R68" s="338">
        <v>0</v>
      </c>
      <c r="S68" s="338"/>
      <c r="T68" s="339">
        <f>+L68-N68+P68-R68</f>
        <v>470578</v>
      </c>
      <c r="U68" s="288"/>
      <c r="V68" s="5"/>
    </row>
    <row r="69" spans="1:22" ht="15.6" x14ac:dyDescent="0.3">
      <c r="A69" s="337"/>
      <c r="B69" s="285" t="s">
        <v>20</v>
      </c>
      <c r="C69" s="338"/>
      <c r="D69" s="338"/>
      <c r="E69" s="338"/>
      <c r="F69" s="338"/>
      <c r="G69" s="338"/>
      <c r="H69" s="338"/>
      <c r="I69" s="338"/>
      <c r="J69" s="338">
        <v>10</v>
      </c>
      <c r="K69" s="338"/>
      <c r="L69" s="339">
        <v>0</v>
      </c>
      <c r="M69" s="338"/>
      <c r="N69" s="338">
        <v>0</v>
      </c>
      <c r="O69" s="338"/>
      <c r="P69" s="338">
        <v>0</v>
      </c>
      <c r="Q69" s="338"/>
      <c r="R69" s="338">
        <v>0</v>
      </c>
      <c r="S69" s="338"/>
      <c r="T69" s="339">
        <v>0</v>
      </c>
      <c r="U69" s="288"/>
      <c r="V69" s="5"/>
    </row>
    <row r="70" spans="1:22" ht="15.6" x14ac:dyDescent="0.3">
      <c r="A70" s="337"/>
      <c r="B70" s="285"/>
      <c r="C70" s="338"/>
      <c r="D70" s="338"/>
      <c r="E70" s="338"/>
      <c r="F70" s="338"/>
      <c r="G70" s="338"/>
      <c r="H70" s="338"/>
      <c r="I70" s="338"/>
      <c r="J70" s="338"/>
      <c r="K70" s="338"/>
      <c r="L70" s="339"/>
      <c r="M70" s="338"/>
      <c r="N70" s="338"/>
      <c r="O70" s="338"/>
      <c r="P70" s="338"/>
      <c r="Q70" s="338"/>
      <c r="R70" s="338"/>
      <c r="S70" s="338"/>
      <c r="T70" s="339"/>
      <c r="U70" s="288"/>
      <c r="V70" s="5"/>
    </row>
    <row r="71" spans="1:22" ht="15.6" x14ac:dyDescent="0.3">
      <c r="A71" s="337"/>
      <c r="B71" s="285" t="s">
        <v>21</v>
      </c>
      <c r="C71" s="338"/>
      <c r="D71" s="338"/>
      <c r="E71" s="338"/>
      <c r="F71" s="338"/>
      <c r="G71" s="338"/>
      <c r="H71" s="338"/>
      <c r="I71" s="338"/>
      <c r="J71" s="338">
        <f>SUM(J68:J70)</f>
        <v>1000049</v>
      </c>
      <c r="K71" s="338"/>
      <c r="L71" s="338">
        <f>L68+L69</f>
        <v>480195</v>
      </c>
      <c r="M71" s="338"/>
      <c r="N71" s="338">
        <f>SUM(N68:N70)</f>
        <v>9729</v>
      </c>
      <c r="O71" s="338"/>
      <c r="P71" s="338">
        <f>SUM(P68:P70)</f>
        <v>112</v>
      </c>
      <c r="Q71" s="338"/>
      <c r="R71" s="338">
        <f>SUM(R68:R70)</f>
        <v>0</v>
      </c>
      <c r="S71" s="338"/>
      <c r="T71" s="338">
        <f>SUM(T68:T70)</f>
        <v>470578</v>
      </c>
      <c r="U71" s="288"/>
      <c r="V71" s="5"/>
    </row>
    <row r="72" spans="1:22" ht="15.6" x14ac:dyDescent="0.3">
      <c r="A72" s="175"/>
      <c r="B72" s="334"/>
      <c r="C72" s="335"/>
      <c r="D72" s="335"/>
      <c r="E72" s="335"/>
      <c r="F72" s="335"/>
      <c r="G72" s="335"/>
      <c r="H72" s="335"/>
      <c r="I72" s="335"/>
      <c r="J72" s="335"/>
      <c r="K72" s="335"/>
      <c r="L72" s="335"/>
      <c r="M72" s="335"/>
      <c r="N72" s="335"/>
      <c r="O72" s="335"/>
      <c r="P72" s="335"/>
      <c r="Q72" s="335"/>
      <c r="R72" s="335"/>
      <c r="S72" s="335"/>
      <c r="T72" s="336"/>
      <c r="U72" s="334"/>
      <c r="V72" s="5"/>
    </row>
    <row r="73" spans="1:22" ht="15.6" x14ac:dyDescent="0.3">
      <c r="A73" s="175"/>
      <c r="B73" s="179" t="s">
        <v>22</v>
      </c>
      <c r="C73" s="199"/>
      <c r="D73" s="199"/>
      <c r="E73" s="199"/>
      <c r="F73" s="199"/>
      <c r="G73" s="199"/>
      <c r="H73" s="199"/>
      <c r="I73" s="199"/>
      <c r="J73" s="199"/>
      <c r="K73" s="199"/>
      <c r="L73" s="199"/>
      <c r="M73" s="199"/>
      <c r="N73" s="199"/>
      <c r="O73" s="199"/>
      <c r="P73" s="199"/>
      <c r="Q73" s="199"/>
      <c r="R73" s="199"/>
      <c r="S73" s="199"/>
      <c r="T73" s="200"/>
      <c r="U73" s="177"/>
      <c r="V73" s="5"/>
    </row>
    <row r="74" spans="1:22" ht="15.6" x14ac:dyDescent="0.3">
      <c r="A74" s="175"/>
      <c r="B74" s="177"/>
      <c r="C74" s="199"/>
      <c r="D74" s="199"/>
      <c r="E74" s="199"/>
      <c r="F74" s="199"/>
      <c r="G74" s="199"/>
      <c r="H74" s="199"/>
      <c r="I74" s="199"/>
      <c r="J74" s="199"/>
      <c r="K74" s="199"/>
      <c r="L74" s="199"/>
      <c r="M74" s="199"/>
      <c r="N74" s="199"/>
      <c r="O74" s="199"/>
      <c r="P74" s="199"/>
      <c r="Q74" s="199"/>
      <c r="R74" s="199"/>
      <c r="S74" s="199"/>
      <c r="T74" s="200"/>
      <c r="U74" s="177"/>
      <c r="V74" s="5"/>
    </row>
    <row r="75" spans="1:22" ht="15.6" x14ac:dyDescent="0.3">
      <c r="A75" s="284"/>
      <c r="B75" s="285" t="s">
        <v>19</v>
      </c>
      <c r="C75" s="338"/>
      <c r="D75" s="338"/>
      <c r="E75" s="338"/>
      <c r="F75" s="338"/>
      <c r="G75" s="338"/>
      <c r="H75" s="338"/>
      <c r="I75" s="338"/>
      <c r="J75" s="338"/>
      <c r="K75" s="338"/>
      <c r="L75" s="338"/>
      <c r="M75" s="338"/>
      <c r="N75" s="338"/>
      <c r="O75" s="338"/>
      <c r="P75" s="338"/>
      <c r="Q75" s="338"/>
      <c r="R75" s="338"/>
      <c r="S75" s="338"/>
      <c r="T75" s="338"/>
      <c r="U75" s="288"/>
      <c r="V75" s="5"/>
    </row>
    <row r="76" spans="1:22" ht="15.6" x14ac:dyDescent="0.3">
      <c r="A76" s="284"/>
      <c r="B76" s="285" t="s">
        <v>20</v>
      </c>
      <c r="C76" s="338"/>
      <c r="D76" s="338"/>
      <c r="E76" s="338"/>
      <c r="F76" s="338"/>
      <c r="G76" s="338"/>
      <c r="H76" s="338"/>
      <c r="I76" s="338"/>
      <c r="J76" s="338"/>
      <c r="K76" s="338"/>
      <c r="L76" s="338"/>
      <c r="M76" s="338"/>
      <c r="N76" s="338"/>
      <c r="O76" s="338"/>
      <c r="P76" s="338"/>
      <c r="Q76" s="338"/>
      <c r="R76" s="338"/>
      <c r="S76" s="338"/>
      <c r="T76" s="338"/>
      <c r="U76" s="288"/>
      <c r="V76" s="5"/>
    </row>
    <row r="77" spans="1:22" ht="15.6" x14ac:dyDescent="0.3">
      <c r="A77" s="284"/>
      <c r="B77" s="285"/>
      <c r="C77" s="338"/>
      <c r="D77" s="338"/>
      <c r="E77" s="338"/>
      <c r="F77" s="338"/>
      <c r="G77" s="338"/>
      <c r="H77" s="338"/>
      <c r="I77" s="338"/>
      <c r="J77" s="338"/>
      <c r="K77" s="338"/>
      <c r="L77" s="338"/>
      <c r="M77" s="338"/>
      <c r="N77" s="338"/>
      <c r="O77" s="338"/>
      <c r="P77" s="338"/>
      <c r="Q77" s="338"/>
      <c r="R77" s="338"/>
      <c r="S77" s="338"/>
      <c r="T77" s="338"/>
      <c r="U77" s="288"/>
      <c r="V77" s="5"/>
    </row>
    <row r="78" spans="1:22" ht="15.6" x14ac:dyDescent="0.3">
      <c r="A78" s="284"/>
      <c r="B78" s="285" t="s">
        <v>21</v>
      </c>
      <c r="C78" s="338"/>
      <c r="D78" s="338"/>
      <c r="E78" s="338"/>
      <c r="F78" s="338"/>
      <c r="G78" s="338"/>
      <c r="H78" s="338"/>
      <c r="I78" s="338"/>
      <c r="J78" s="338"/>
      <c r="K78" s="338"/>
      <c r="L78" s="338"/>
      <c r="M78" s="338"/>
      <c r="N78" s="338"/>
      <c r="O78" s="338"/>
      <c r="P78" s="338"/>
      <c r="Q78" s="338"/>
      <c r="R78" s="338"/>
      <c r="S78" s="338"/>
      <c r="T78" s="338"/>
      <c r="U78" s="288"/>
      <c r="V78" s="5"/>
    </row>
    <row r="79" spans="1:22" ht="15.6" x14ac:dyDescent="0.3">
      <c r="A79" s="284"/>
      <c r="B79" s="285"/>
      <c r="C79" s="338"/>
      <c r="D79" s="338"/>
      <c r="E79" s="338"/>
      <c r="F79" s="338"/>
      <c r="G79" s="338"/>
      <c r="H79" s="338"/>
      <c r="I79" s="338"/>
      <c r="J79" s="338"/>
      <c r="K79" s="338"/>
      <c r="L79" s="338"/>
      <c r="M79" s="338"/>
      <c r="N79" s="338"/>
      <c r="O79" s="338"/>
      <c r="P79" s="338"/>
      <c r="Q79" s="338"/>
      <c r="R79" s="338"/>
      <c r="S79" s="338"/>
      <c r="T79" s="338"/>
      <c r="U79" s="288"/>
      <c r="V79" s="5"/>
    </row>
    <row r="80" spans="1:22" ht="15.6" x14ac:dyDescent="0.3">
      <c r="A80" s="284"/>
      <c r="B80" s="285" t="s">
        <v>23</v>
      </c>
      <c r="C80" s="338"/>
      <c r="D80" s="338"/>
      <c r="E80" s="338"/>
      <c r="F80" s="338"/>
      <c r="G80" s="338"/>
      <c r="H80" s="338"/>
      <c r="I80" s="338"/>
      <c r="J80" s="338">
        <v>0</v>
      </c>
      <c r="K80" s="338"/>
      <c r="L80" s="338">
        <v>0</v>
      </c>
      <c r="M80" s="338"/>
      <c r="N80" s="338"/>
      <c r="O80" s="338"/>
      <c r="P80" s="338"/>
      <c r="Q80" s="338"/>
      <c r="R80" s="338"/>
      <c r="S80" s="338"/>
      <c r="T80" s="339">
        <v>0</v>
      </c>
      <c r="U80" s="288"/>
      <c r="V80" s="5"/>
    </row>
    <row r="81" spans="1:22" ht="15.6" x14ac:dyDescent="0.3">
      <c r="A81" s="284"/>
      <c r="B81" s="285" t="s">
        <v>123</v>
      </c>
      <c r="C81" s="338"/>
      <c r="D81" s="338"/>
      <c r="E81" s="338"/>
      <c r="F81" s="338"/>
      <c r="G81" s="338"/>
      <c r="H81" s="338"/>
      <c r="I81" s="338"/>
      <c r="J81" s="338">
        <v>0</v>
      </c>
      <c r="K81" s="338"/>
      <c r="L81" s="338">
        <v>0</v>
      </c>
      <c r="M81" s="338"/>
      <c r="N81" s="338"/>
      <c r="O81" s="338"/>
      <c r="P81" s="338"/>
      <c r="Q81" s="338"/>
      <c r="R81" s="338"/>
      <c r="S81" s="338"/>
      <c r="T81" s="338">
        <f>SUM(J81:P81)</f>
        <v>0</v>
      </c>
      <c r="U81" s="288"/>
      <c r="V81" s="5"/>
    </row>
    <row r="82" spans="1:22" ht="15.6" x14ac:dyDescent="0.3">
      <c r="A82" s="284"/>
      <c r="B82" s="285" t="s">
        <v>152</v>
      </c>
      <c r="C82" s="338"/>
      <c r="D82" s="338"/>
      <c r="E82" s="338"/>
      <c r="F82" s="338"/>
      <c r="G82" s="338"/>
      <c r="H82" s="338"/>
      <c r="I82" s="338"/>
      <c r="J82" s="338">
        <v>1</v>
      </c>
      <c r="K82" s="338"/>
      <c r="L82" s="338">
        <v>0</v>
      </c>
      <c r="M82" s="338"/>
      <c r="N82" s="338">
        <v>0</v>
      </c>
      <c r="O82" s="338"/>
      <c r="P82" s="338"/>
      <c r="Q82" s="338"/>
      <c r="R82" s="338"/>
      <c r="S82" s="338"/>
      <c r="T82" s="338">
        <f>+L82+N82</f>
        <v>0</v>
      </c>
      <c r="U82" s="288"/>
      <c r="V82" s="5"/>
    </row>
    <row r="83" spans="1:22" ht="15.6" x14ac:dyDescent="0.3">
      <c r="A83" s="284"/>
      <c r="B83" s="285" t="s">
        <v>25</v>
      </c>
      <c r="C83" s="338"/>
      <c r="D83" s="338"/>
      <c r="E83" s="338"/>
      <c r="F83" s="338"/>
      <c r="G83" s="338"/>
      <c r="H83" s="338"/>
      <c r="I83" s="338"/>
      <c r="J83" s="338">
        <v>0</v>
      </c>
      <c r="K83" s="338"/>
      <c r="L83" s="338">
        <v>0</v>
      </c>
      <c r="M83" s="338"/>
      <c r="N83" s="338"/>
      <c r="O83" s="338"/>
      <c r="P83" s="338"/>
      <c r="Q83" s="338"/>
      <c r="R83" s="338"/>
      <c r="S83" s="338"/>
      <c r="T83" s="338">
        <v>0</v>
      </c>
      <c r="U83" s="288"/>
      <c r="V83" s="5"/>
    </row>
    <row r="84" spans="1:22" ht="15.6" x14ac:dyDescent="0.3">
      <c r="A84" s="284"/>
      <c r="B84" s="285" t="s">
        <v>26</v>
      </c>
      <c r="C84" s="338"/>
      <c r="D84" s="338"/>
      <c r="E84" s="338"/>
      <c r="F84" s="338"/>
      <c r="G84" s="338"/>
      <c r="H84" s="338"/>
      <c r="I84" s="338"/>
      <c r="J84" s="338">
        <f>SUM(J71:J83)</f>
        <v>1000050</v>
      </c>
      <c r="K84" s="338"/>
      <c r="L84" s="338">
        <f>SUM(L71:L83)</f>
        <v>480195</v>
      </c>
      <c r="M84" s="338"/>
      <c r="N84" s="338"/>
      <c r="O84" s="338"/>
      <c r="P84" s="338"/>
      <c r="Q84" s="338"/>
      <c r="R84" s="338"/>
      <c r="S84" s="338"/>
      <c r="T84" s="338">
        <f>SUM(T71:T83)</f>
        <v>470578</v>
      </c>
      <c r="U84" s="288"/>
      <c r="V84" s="5"/>
    </row>
    <row r="85" spans="1:22" ht="15.6" x14ac:dyDescent="0.3">
      <c r="A85" s="175"/>
      <c r="B85" s="334"/>
      <c r="C85" s="335"/>
      <c r="D85" s="335"/>
      <c r="E85" s="335"/>
      <c r="F85" s="335"/>
      <c r="G85" s="335"/>
      <c r="H85" s="335"/>
      <c r="I85" s="335"/>
      <c r="J85" s="335"/>
      <c r="K85" s="335"/>
      <c r="L85" s="335"/>
      <c r="M85" s="335"/>
      <c r="N85" s="335"/>
      <c r="O85" s="335"/>
      <c r="P85" s="335"/>
      <c r="Q85" s="335"/>
      <c r="R85" s="335"/>
      <c r="S85" s="335"/>
      <c r="T85" s="336"/>
      <c r="U85" s="334"/>
      <c r="V85" s="5"/>
    </row>
    <row r="86" spans="1:22" ht="15.6" x14ac:dyDescent="0.3">
      <c r="A86" s="175"/>
      <c r="B86" s="177"/>
      <c r="C86" s="177"/>
      <c r="D86" s="177"/>
      <c r="E86" s="177"/>
      <c r="F86" s="177"/>
      <c r="G86" s="177"/>
      <c r="H86" s="177"/>
      <c r="I86" s="177"/>
      <c r="J86" s="177"/>
      <c r="K86" s="177"/>
      <c r="L86" s="177"/>
      <c r="M86" s="177"/>
      <c r="N86" s="177"/>
      <c r="O86" s="177"/>
      <c r="P86" s="177"/>
      <c r="Q86" s="177"/>
      <c r="R86" s="177"/>
      <c r="S86" s="177"/>
      <c r="T86" s="177"/>
      <c r="U86" s="177"/>
      <c r="V86" s="5"/>
    </row>
    <row r="87" spans="1:22" ht="15.6" x14ac:dyDescent="0.3">
      <c r="A87" s="222"/>
      <c r="B87" s="395" t="s">
        <v>27</v>
      </c>
      <c r="C87" s="395"/>
      <c r="D87" s="395"/>
      <c r="E87" s="395"/>
      <c r="F87" s="395"/>
      <c r="G87" s="395"/>
      <c r="H87" s="396"/>
      <c r="I87" s="396"/>
      <c r="J87" s="397" t="s">
        <v>98</v>
      </c>
      <c r="K87" s="396"/>
      <c r="L87" s="398">
        <f>+R194</f>
        <v>42460</v>
      </c>
      <c r="M87" s="396"/>
      <c r="N87" s="396"/>
      <c r="O87" s="396"/>
      <c r="P87" s="396"/>
      <c r="Q87" s="396"/>
      <c r="R87" s="396" t="s">
        <v>111</v>
      </c>
      <c r="S87" s="396"/>
      <c r="T87" s="396" t="s">
        <v>119</v>
      </c>
      <c r="U87" s="223"/>
      <c r="V87" s="5"/>
    </row>
    <row r="88" spans="1:22" ht="15.6" x14ac:dyDescent="0.3">
      <c r="A88" s="190"/>
      <c r="B88" s="239" t="s">
        <v>28</v>
      </c>
      <c r="C88" s="239"/>
      <c r="D88" s="239"/>
      <c r="E88" s="239"/>
      <c r="F88" s="239"/>
      <c r="G88" s="239"/>
      <c r="H88" s="239"/>
      <c r="I88" s="239"/>
      <c r="J88" s="239"/>
      <c r="K88" s="239"/>
      <c r="L88" s="239"/>
      <c r="M88" s="239"/>
      <c r="N88" s="239"/>
      <c r="O88" s="239"/>
      <c r="P88" s="239"/>
      <c r="Q88" s="239"/>
      <c r="R88" s="243">
        <v>0</v>
      </c>
      <c r="S88" s="239"/>
      <c r="T88" s="251">
        <v>0</v>
      </c>
      <c r="U88" s="239"/>
      <c r="V88" s="5"/>
    </row>
    <row r="89" spans="1:22" ht="15.6" x14ac:dyDescent="0.3">
      <c r="A89" s="284"/>
      <c r="B89" s="285" t="s">
        <v>29</v>
      </c>
      <c r="C89" s="285"/>
      <c r="D89" s="285"/>
      <c r="E89" s="285"/>
      <c r="F89" s="285"/>
      <c r="G89" s="285"/>
      <c r="H89" s="324"/>
      <c r="I89" s="341"/>
      <c r="J89" s="324"/>
      <c r="K89" s="285"/>
      <c r="L89" s="342"/>
      <c r="M89" s="285"/>
      <c r="N89" s="285"/>
      <c r="O89" s="285"/>
      <c r="P89" s="285"/>
      <c r="Q89" s="285"/>
      <c r="R89" s="338">
        <f>9729-17</f>
        <v>9712</v>
      </c>
      <c r="S89" s="285"/>
      <c r="T89" s="339"/>
      <c r="U89" s="288"/>
      <c r="V89" s="5"/>
    </row>
    <row r="90" spans="1:22" ht="15.6" x14ac:dyDescent="0.3">
      <c r="A90" s="284"/>
      <c r="B90" s="285" t="s">
        <v>225</v>
      </c>
      <c r="C90" s="285"/>
      <c r="D90" s="285"/>
      <c r="E90" s="285"/>
      <c r="F90" s="285"/>
      <c r="G90" s="285"/>
      <c r="H90" s="324"/>
      <c r="I90" s="341"/>
      <c r="J90" s="324"/>
      <c r="K90" s="285"/>
      <c r="L90" s="342"/>
      <c r="M90" s="285"/>
      <c r="N90" s="285"/>
      <c r="O90" s="285"/>
      <c r="P90" s="285"/>
      <c r="Q90" s="285"/>
      <c r="R90" s="338"/>
      <c r="S90" s="285"/>
      <c r="T90" s="339">
        <f>1657+2179-357-474</f>
        <v>3005</v>
      </c>
      <c r="U90" s="288"/>
      <c r="V90" s="5"/>
    </row>
    <row r="91" spans="1:22" ht="15.6" x14ac:dyDescent="0.3">
      <c r="A91" s="284"/>
      <c r="B91" s="285" t="s">
        <v>220</v>
      </c>
      <c r="C91" s="285"/>
      <c r="D91" s="285"/>
      <c r="E91" s="285"/>
      <c r="F91" s="285"/>
      <c r="G91" s="285"/>
      <c r="H91" s="324"/>
      <c r="I91" s="341"/>
      <c r="J91" s="324"/>
      <c r="K91" s="285"/>
      <c r="L91" s="342"/>
      <c r="M91" s="285"/>
      <c r="N91" s="285"/>
      <c r="O91" s="285"/>
      <c r="P91" s="285"/>
      <c r="Q91" s="285"/>
      <c r="R91" s="338"/>
      <c r="S91" s="285"/>
      <c r="T91" s="339">
        <f>36+41</f>
        <v>77</v>
      </c>
      <c r="U91" s="288"/>
      <c r="V91" s="5"/>
    </row>
    <row r="92" spans="1:22" ht="15.6" x14ac:dyDescent="0.3">
      <c r="A92" s="284"/>
      <c r="B92" s="285" t="s">
        <v>221</v>
      </c>
      <c r="C92" s="285"/>
      <c r="D92" s="285"/>
      <c r="E92" s="285"/>
      <c r="F92" s="285"/>
      <c r="G92" s="285"/>
      <c r="H92" s="324"/>
      <c r="I92" s="341"/>
      <c r="J92" s="324"/>
      <c r="K92" s="285"/>
      <c r="L92" s="342"/>
      <c r="M92" s="285"/>
      <c r="N92" s="285"/>
      <c r="O92" s="285"/>
      <c r="P92" s="285"/>
      <c r="Q92" s="285"/>
      <c r="R92" s="338"/>
      <c r="S92" s="285"/>
      <c r="T92" s="339">
        <v>36</v>
      </c>
      <c r="U92" s="288"/>
      <c r="V92" s="5"/>
    </row>
    <row r="93" spans="1:22" ht="15.6" x14ac:dyDescent="0.3">
      <c r="A93" s="284"/>
      <c r="B93" s="285" t="s">
        <v>261</v>
      </c>
      <c r="C93" s="285"/>
      <c r="D93" s="285"/>
      <c r="E93" s="285"/>
      <c r="F93" s="285"/>
      <c r="G93" s="285"/>
      <c r="H93" s="324"/>
      <c r="I93" s="341"/>
      <c r="J93" s="324"/>
      <c r="K93" s="285"/>
      <c r="L93" s="342"/>
      <c r="M93" s="285"/>
      <c r="N93" s="285"/>
      <c r="O93" s="285"/>
      <c r="P93" s="285"/>
      <c r="Q93" s="285"/>
      <c r="R93" s="338"/>
      <c r="S93" s="285"/>
      <c r="T93" s="339">
        <v>0</v>
      </c>
      <c r="U93" s="288"/>
      <c r="V93" s="5"/>
    </row>
    <row r="94" spans="1:22" ht="15.6" x14ac:dyDescent="0.3">
      <c r="A94" s="284"/>
      <c r="B94" s="285" t="s">
        <v>141</v>
      </c>
      <c r="C94" s="285"/>
      <c r="D94" s="285"/>
      <c r="E94" s="285"/>
      <c r="F94" s="285"/>
      <c r="G94" s="285"/>
      <c r="H94" s="285"/>
      <c r="I94" s="285"/>
      <c r="J94" s="285"/>
      <c r="K94" s="285"/>
      <c r="L94" s="285"/>
      <c r="M94" s="285"/>
      <c r="N94" s="285"/>
      <c r="O94" s="285"/>
      <c r="P94" s="285"/>
      <c r="Q94" s="285"/>
      <c r="R94" s="338"/>
      <c r="S94" s="285"/>
      <c r="T94" s="339">
        <v>0</v>
      </c>
      <c r="U94" s="288"/>
      <c r="V94" s="5"/>
    </row>
    <row r="95" spans="1:22" ht="15.6" x14ac:dyDescent="0.3">
      <c r="A95" s="284"/>
      <c r="B95" s="285" t="s">
        <v>250</v>
      </c>
      <c r="C95" s="285"/>
      <c r="D95" s="285"/>
      <c r="E95" s="285"/>
      <c r="F95" s="285"/>
      <c r="G95" s="285"/>
      <c r="H95" s="285"/>
      <c r="I95" s="285"/>
      <c r="J95" s="285"/>
      <c r="K95" s="285"/>
      <c r="L95" s="285"/>
      <c r="M95" s="285"/>
      <c r="N95" s="285"/>
      <c r="O95" s="285"/>
      <c r="P95" s="285"/>
      <c r="Q95" s="285"/>
      <c r="R95" s="338"/>
      <c r="S95" s="285"/>
      <c r="T95" s="339">
        <v>181</v>
      </c>
      <c r="U95" s="288"/>
      <c r="V95" s="5"/>
    </row>
    <row r="96" spans="1:22" ht="15.6" x14ac:dyDescent="0.3">
      <c r="A96" s="284"/>
      <c r="B96" s="285" t="s">
        <v>30</v>
      </c>
      <c r="C96" s="285"/>
      <c r="D96" s="285"/>
      <c r="E96" s="285"/>
      <c r="F96" s="285"/>
      <c r="G96" s="285"/>
      <c r="H96" s="285"/>
      <c r="I96" s="285"/>
      <c r="J96" s="285"/>
      <c r="K96" s="285"/>
      <c r="L96" s="285"/>
      <c r="M96" s="285"/>
      <c r="N96" s="285"/>
      <c r="O96" s="285"/>
      <c r="P96" s="285"/>
      <c r="Q96" s="285"/>
      <c r="R96" s="338">
        <f>SUM(R88:R95)</f>
        <v>9712</v>
      </c>
      <c r="S96" s="285"/>
      <c r="T96" s="338">
        <f>SUM(T88:T95)</f>
        <v>3299</v>
      </c>
      <c r="U96" s="288"/>
      <c r="V96" s="5"/>
    </row>
    <row r="97" spans="1:24" ht="15.6" x14ac:dyDescent="0.3">
      <c r="A97" s="284"/>
      <c r="B97" s="285" t="s">
        <v>168</v>
      </c>
      <c r="C97" s="285"/>
      <c r="D97" s="285"/>
      <c r="E97" s="285"/>
      <c r="F97" s="285"/>
      <c r="G97" s="285"/>
      <c r="H97" s="285"/>
      <c r="I97" s="285"/>
      <c r="J97" s="285"/>
      <c r="K97" s="285"/>
      <c r="L97" s="285"/>
      <c r="M97" s="285"/>
      <c r="N97" s="285"/>
      <c r="O97" s="285"/>
      <c r="P97" s="285"/>
      <c r="Q97" s="285"/>
      <c r="R97" s="338">
        <v>0</v>
      </c>
      <c r="S97" s="285"/>
      <c r="T97" s="338">
        <f>-R97</f>
        <v>0</v>
      </c>
      <c r="U97" s="288"/>
      <c r="V97" s="5"/>
    </row>
    <row r="98" spans="1:24" ht="15.6" x14ac:dyDescent="0.3">
      <c r="A98" s="284"/>
      <c r="B98" s="285" t="s">
        <v>31</v>
      </c>
      <c r="C98" s="285"/>
      <c r="D98" s="285"/>
      <c r="E98" s="285"/>
      <c r="F98" s="285"/>
      <c r="G98" s="285"/>
      <c r="H98" s="285"/>
      <c r="I98" s="285"/>
      <c r="J98" s="285"/>
      <c r="K98" s="285"/>
      <c r="L98" s="285"/>
      <c r="M98" s="285"/>
      <c r="N98" s="285"/>
      <c r="O98" s="285"/>
      <c r="P98" s="285"/>
      <c r="Q98" s="285"/>
      <c r="R98" s="338">
        <f>-T98</f>
        <v>0</v>
      </c>
      <c r="S98" s="285"/>
      <c r="T98" s="339">
        <v>0</v>
      </c>
      <c r="U98" s="288"/>
      <c r="V98" s="5"/>
    </row>
    <row r="99" spans="1:24" ht="15.6" x14ac:dyDescent="0.3">
      <c r="A99" s="284"/>
      <c r="B99" s="285" t="s">
        <v>273</v>
      </c>
      <c r="C99" s="285"/>
      <c r="D99" s="285"/>
      <c r="E99" s="285"/>
      <c r="F99" s="285"/>
      <c r="G99" s="285"/>
      <c r="H99" s="285"/>
      <c r="I99" s="285"/>
      <c r="J99" s="285"/>
      <c r="K99" s="285"/>
      <c r="L99" s="285"/>
      <c r="M99" s="285"/>
      <c r="N99" s="285"/>
      <c r="O99" s="285"/>
      <c r="P99" s="285"/>
      <c r="Q99" s="285"/>
      <c r="R99" s="338"/>
      <c r="S99" s="285"/>
      <c r="T99" s="339">
        <v>-31</v>
      </c>
      <c r="U99" s="288"/>
      <c r="V99" s="5"/>
    </row>
    <row r="100" spans="1:24" ht="15.6" x14ac:dyDescent="0.3">
      <c r="A100" s="284"/>
      <c r="B100" s="285" t="s">
        <v>32</v>
      </c>
      <c r="C100" s="285"/>
      <c r="D100" s="285"/>
      <c r="E100" s="285"/>
      <c r="F100" s="285"/>
      <c r="G100" s="285"/>
      <c r="H100" s="285"/>
      <c r="I100" s="285"/>
      <c r="J100" s="285"/>
      <c r="K100" s="285"/>
      <c r="L100" s="285"/>
      <c r="M100" s="285"/>
      <c r="N100" s="285"/>
      <c r="O100" s="285"/>
      <c r="P100" s="285"/>
      <c r="Q100" s="285"/>
      <c r="R100" s="338">
        <f>R96+R98+R97</f>
        <v>9712</v>
      </c>
      <c r="S100" s="285"/>
      <c r="T100" s="338">
        <f>T96+T98+T97+T99</f>
        <v>3268</v>
      </c>
      <c r="U100" s="288"/>
      <c r="V100" s="5"/>
    </row>
    <row r="101" spans="1:24" ht="15.6" x14ac:dyDescent="0.3">
      <c r="A101" s="284"/>
      <c r="B101" s="343" t="s">
        <v>33</v>
      </c>
      <c r="C101" s="311"/>
      <c r="D101" s="311"/>
      <c r="E101" s="311"/>
      <c r="F101" s="311"/>
      <c r="G101" s="311"/>
      <c r="H101" s="311"/>
      <c r="I101" s="311"/>
      <c r="J101" s="311"/>
      <c r="K101" s="311"/>
      <c r="L101" s="311"/>
      <c r="M101" s="311"/>
      <c r="N101" s="311"/>
      <c r="O101" s="311"/>
      <c r="P101" s="311"/>
      <c r="Q101" s="311"/>
      <c r="R101" s="344"/>
      <c r="S101" s="311"/>
      <c r="T101" s="345"/>
      <c r="U101" s="317"/>
      <c r="V101" s="5"/>
    </row>
    <row r="102" spans="1:24" ht="15.6" x14ac:dyDescent="0.3">
      <c r="A102" s="337">
        <v>1</v>
      </c>
      <c r="B102" s="285" t="s">
        <v>34</v>
      </c>
      <c r="C102" s="285"/>
      <c r="D102" s="285"/>
      <c r="E102" s="285"/>
      <c r="F102" s="285"/>
      <c r="G102" s="285"/>
      <c r="H102" s="285"/>
      <c r="I102" s="285"/>
      <c r="J102" s="285"/>
      <c r="K102" s="285"/>
      <c r="L102" s="285"/>
      <c r="M102" s="285"/>
      <c r="N102" s="285"/>
      <c r="O102" s="285"/>
      <c r="P102" s="285"/>
      <c r="Q102" s="285"/>
      <c r="R102" s="285"/>
      <c r="S102" s="285"/>
      <c r="T102" s="339">
        <v>0</v>
      </c>
      <c r="U102" s="288"/>
      <c r="V102" s="5"/>
    </row>
    <row r="103" spans="1:24" ht="15.6" x14ac:dyDescent="0.3">
      <c r="A103" s="337">
        <f>+A102+1</f>
        <v>2</v>
      </c>
      <c r="B103" s="285" t="s">
        <v>312</v>
      </c>
      <c r="C103" s="285"/>
      <c r="D103" s="285"/>
      <c r="E103" s="285"/>
      <c r="F103" s="285"/>
      <c r="G103" s="285"/>
      <c r="H103" s="285"/>
      <c r="I103" s="285"/>
      <c r="J103" s="285"/>
      <c r="K103" s="285"/>
      <c r="L103" s="285"/>
      <c r="M103" s="285"/>
      <c r="N103" s="285"/>
      <c r="O103" s="285"/>
      <c r="P103" s="285"/>
      <c r="Q103" s="285"/>
      <c r="R103" s="285"/>
      <c r="S103" s="285"/>
      <c r="T103" s="339">
        <v>-2</v>
      </c>
      <c r="U103" s="288"/>
      <c r="V103" s="5"/>
    </row>
    <row r="104" spans="1:24" ht="15.6" x14ac:dyDescent="0.3">
      <c r="A104" s="337">
        <f>+A103+1</f>
        <v>3</v>
      </c>
      <c r="B104" s="407" t="s">
        <v>314</v>
      </c>
      <c r="C104" s="285"/>
      <c r="D104" s="285"/>
      <c r="E104" s="285"/>
      <c r="F104" s="285"/>
      <c r="G104" s="285"/>
      <c r="H104" s="285"/>
      <c r="I104" s="285"/>
      <c r="J104" s="285"/>
      <c r="K104" s="285"/>
      <c r="L104" s="285"/>
      <c r="M104" s="285"/>
      <c r="N104" s="285"/>
      <c r="O104" s="285"/>
      <c r="P104" s="285"/>
      <c r="Q104" s="285"/>
      <c r="R104" s="285"/>
      <c r="S104" s="285"/>
      <c r="T104" s="339">
        <f>-182-133-6</f>
        <v>-321</v>
      </c>
      <c r="U104" s="288"/>
      <c r="V104" s="5"/>
    </row>
    <row r="105" spans="1:24" ht="15.6" x14ac:dyDescent="0.3">
      <c r="A105" s="337" t="s">
        <v>133</v>
      </c>
      <c r="B105" s="285" t="s">
        <v>122</v>
      </c>
      <c r="C105" s="285"/>
      <c r="D105" s="285"/>
      <c r="E105" s="285"/>
      <c r="F105" s="285"/>
      <c r="G105" s="285"/>
      <c r="H105" s="285"/>
      <c r="I105" s="285"/>
      <c r="J105" s="285"/>
      <c r="K105" s="285"/>
      <c r="L105" s="285"/>
      <c r="M105" s="285"/>
      <c r="N105" s="285"/>
      <c r="O105" s="285"/>
      <c r="P105" s="285"/>
      <c r="Q105" s="285"/>
      <c r="R105" s="285"/>
      <c r="S105" s="285"/>
      <c r="T105" s="339">
        <v>0</v>
      </c>
      <c r="U105" s="288"/>
      <c r="V105" s="5"/>
    </row>
    <row r="106" spans="1:24" ht="15.6" x14ac:dyDescent="0.3">
      <c r="A106" s="337" t="s">
        <v>134</v>
      </c>
      <c r="B106" s="285" t="s">
        <v>194</v>
      </c>
      <c r="C106" s="285"/>
      <c r="D106" s="285"/>
      <c r="E106" s="285"/>
      <c r="F106" s="285"/>
      <c r="G106" s="285"/>
      <c r="H106" s="285"/>
      <c r="I106" s="285"/>
      <c r="J106" s="285"/>
      <c r="K106" s="285"/>
      <c r="L106" s="285"/>
      <c r="M106" s="285"/>
      <c r="N106" s="285"/>
      <c r="O106" s="285"/>
      <c r="P106" s="285"/>
      <c r="Q106" s="285"/>
      <c r="R106" s="285"/>
      <c r="S106" s="285"/>
      <c r="T106" s="339">
        <f>-663+126</f>
        <v>-537</v>
      </c>
      <c r="U106" s="288"/>
      <c r="V106" s="5"/>
      <c r="W106" s="109"/>
    </row>
    <row r="107" spans="1:24" ht="15.6" x14ac:dyDescent="0.3">
      <c r="A107" s="337" t="s">
        <v>156</v>
      </c>
      <c r="B107" s="285" t="s">
        <v>191</v>
      </c>
      <c r="C107" s="285"/>
      <c r="D107" s="285"/>
      <c r="E107" s="285"/>
      <c r="F107" s="285"/>
      <c r="G107" s="285"/>
      <c r="H107" s="285"/>
      <c r="I107" s="285"/>
      <c r="J107" s="285"/>
      <c r="K107" s="285"/>
      <c r="L107" s="285"/>
      <c r="M107" s="285"/>
      <c r="N107" s="285"/>
      <c r="O107" s="285"/>
      <c r="P107" s="285"/>
      <c r="Q107" s="285"/>
      <c r="R107" s="285"/>
      <c r="S107" s="285"/>
      <c r="T107" s="339">
        <v>-126</v>
      </c>
      <c r="U107" s="288"/>
      <c r="V107" s="5"/>
      <c r="W107" s="109"/>
    </row>
    <row r="108" spans="1:24" ht="15.6" x14ac:dyDescent="0.3">
      <c r="A108" s="337" t="s">
        <v>214</v>
      </c>
      <c r="B108" s="285" t="s">
        <v>192</v>
      </c>
      <c r="C108" s="285"/>
      <c r="D108" s="285"/>
      <c r="E108" s="285"/>
      <c r="F108" s="285"/>
      <c r="G108" s="285"/>
      <c r="H108" s="285"/>
      <c r="I108" s="285"/>
      <c r="J108" s="285"/>
      <c r="K108" s="285"/>
      <c r="L108" s="285"/>
      <c r="M108" s="285"/>
      <c r="N108" s="285"/>
      <c r="O108" s="285"/>
      <c r="P108" s="285"/>
      <c r="Q108" s="285"/>
      <c r="R108" s="285"/>
      <c r="S108" s="285"/>
      <c r="T108" s="339">
        <v>-150</v>
      </c>
      <c r="U108" s="288"/>
      <c r="V108" s="5"/>
      <c r="W108" s="109"/>
      <c r="X108" s="109"/>
    </row>
    <row r="109" spans="1:24" ht="15.6" x14ac:dyDescent="0.3">
      <c r="A109" s="337" t="s">
        <v>215</v>
      </c>
      <c r="B109" s="285" t="s">
        <v>193</v>
      </c>
      <c r="C109" s="285"/>
      <c r="D109" s="285"/>
      <c r="E109" s="285"/>
      <c r="F109" s="285"/>
      <c r="G109" s="285"/>
      <c r="H109" s="285"/>
      <c r="I109" s="285"/>
      <c r="J109" s="285"/>
      <c r="K109" s="285"/>
      <c r="L109" s="285"/>
      <c r="M109" s="285"/>
      <c r="N109" s="285"/>
      <c r="O109" s="285"/>
      <c r="P109" s="285"/>
      <c r="Q109" s="285"/>
      <c r="R109" s="285"/>
      <c r="S109" s="285"/>
      <c r="T109" s="339">
        <v>-41</v>
      </c>
      <c r="U109" s="288"/>
      <c r="V109" s="169"/>
      <c r="W109" s="109"/>
    </row>
    <row r="110" spans="1:24" ht="15.6" x14ac:dyDescent="0.3">
      <c r="A110" s="337" t="s">
        <v>216</v>
      </c>
      <c r="B110" s="285" t="s">
        <v>204</v>
      </c>
      <c r="C110" s="285"/>
      <c r="D110" s="285"/>
      <c r="E110" s="285"/>
      <c r="F110" s="285"/>
      <c r="G110" s="285"/>
      <c r="H110" s="285"/>
      <c r="I110" s="285"/>
      <c r="J110" s="285"/>
      <c r="K110" s="285"/>
      <c r="L110" s="285"/>
      <c r="M110" s="285"/>
      <c r="N110" s="285"/>
      <c r="O110" s="285"/>
      <c r="P110" s="285"/>
      <c r="Q110" s="285"/>
      <c r="R110" s="285"/>
      <c r="S110" s="285"/>
      <c r="T110" s="339">
        <v>-227</v>
      </c>
      <c r="U110" s="288"/>
      <c r="V110" s="5"/>
      <c r="W110" s="109"/>
    </row>
    <row r="111" spans="1:24" ht="15.6" x14ac:dyDescent="0.3">
      <c r="A111" s="406">
        <v>7</v>
      </c>
      <c r="B111" s="407" t="s">
        <v>313</v>
      </c>
      <c r="C111" s="407"/>
      <c r="D111" s="407"/>
      <c r="E111" s="407"/>
      <c r="F111" s="407"/>
      <c r="G111" s="285"/>
      <c r="H111" s="285"/>
      <c r="I111" s="285"/>
      <c r="J111" s="285"/>
      <c r="K111" s="285"/>
      <c r="L111" s="285"/>
      <c r="M111" s="285"/>
      <c r="N111" s="285"/>
      <c r="O111" s="285"/>
      <c r="P111" s="285"/>
      <c r="Q111" s="285"/>
      <c r="R111" s="285"/>
      <c r="S111" s="285"/>
      <c r="T111" s="339">
        <v>0</v>
      </c>
      <c r="U111" s="288"/>
      <c r="V111" s="5"/>
      <c r="W111" s="109"/>
    </row>
    <row r="112" spans="1:24" ht="15.6" x14ac:dyDescent="0.3">
      <c r="A112" s="337">
        <f t="shared" ref="A112:A118" si="0">+A111+1</f>
        <v>8</v>
      </c>
      <c r="B112" s="285" t="s">
        <v>35</v>
      </c>
      <c r="C112" s="285"/>
      <c r="D112" s="285"/>
      <c r="E112" s="285"/>
      <c r="F112" s="285"/>
      <c r="G112" s="285"/>
      <c r="H112" s="285"/>
      <c r="I112" s="285"/>
      <c r="J112" s="285"/>
      <c r="K112" s="285"/>
      <c r="L112" s="285"/>
      <c r="M112" s="285"/>
      <c r="N112" s="285"/>
      <c r="O112" s="285"/>
      <c r="P112" s="285"/>
      <c r="Q112" s="285"/>
      <c r="R112" s="285"/>
      <c r="S112" s="285"/>
      <c r="T112" s="339">
        <v>-10</v>
      </c>
      <c r="U112" s="288"/>
      <c r="V112" s="5"/>
    </row>
    <row r="113" spans="1:22" ht="15.6" x14ac:dyDescent="0.3">
      <c r="A113" s="337">
        <f t="shared" si="0"/>
        <v>9</v>
      </c>
      <c r="B113" s="285" t="s">
        <v>46</v>
      </c>
      <c r="C113" s="285"/>
      <c r="D113" s="285"/>
      <c r="E113" s="285"/>
      <c r="F113" s="285"/>
      <c r="G113" s="285"/>
      <c r="H113" s="285"/>
      <c r="I113" s="285"/>
      <c r="J113" s="285"/>
      <c r="K113" s="285"/>
      <c r="L113" s="285"/>
      <c r="M113" s="285"/>
      <c r="N113" s="285"/>
      <c r="O113" s="285"/>
      <c r="P113" s="285"/>
      <c r="Q113" s="285"/>
      <c r="R113" s="338">
        <f>-T113</f>
        <v>17</v>
      </c>
      <c r="S113" s="285"/>
      <c r="T113" s="339">
        <v>-17</v>
      </c>
      <c r="U113" s="288"/>
      <c r="V113" s="5"/>
    </row>
    <row r="114" spans="1:22" ht="15.6" x14ac:dyDescent="0.3">
      <c r="A114" s="337">
        <f t="shared" si="0"/>
        <v>10</v>
      </c>
      <c r="B114" s="285" t="s">
        <v>131</v>
      </c>
      <c r="C114" s="285"/>
      <c r="D114" s="285"/>
      <c r="E114" s="285"/>
      <c r="F114" s="285"/>
      <c r="G114" s="285"/>
      <c r="H114" s="285"/>
      <c r="I114" s="285"/>
      <c r="J114" s="285"/>
      <c r="K114" s="285"/>
      <c r="L114" s="285"/>
      <c r="M114" s="285"/>
      <c r="N114" s="285"/>
      <c r="O114" s="285"/>
      <c r="P114" s="285"/>
      <c r="Q114" s="285"/>
      <c r="R114" s="285"/>
      <c r="S114" s="285"/>
      <c r="T114" s="339">
        <v>0</v>
      </c>
      <c r="U114" s="288"/>
      <c r="V114" s="5"/>
    </row>
    <row r="115" spans="1:22" ht="15.6" x14ac:dyDescent="0.3">
      <c r="A115" s="337">
        <f t="shared" si="0"/>
        <v>11</v>
      </c>
      <c r="B115" s="285" t="s">
        <v>36</v>
      </c>
      <c r="C115" s="285"/>
      <c r="D115" s="285"/>
      <c r="E115" s="285"/>
      <c r="F115" s="285"/>
      <c r="G115" s="285"/>
      <c r="H115" s="285"/>
      <c r="I115" s="285"/>
      <c r="J115" s="285"/>
      <c r="K115" s="285"/>
      <c r="L115" s="285"/>
      <c r="M115" s="285"/>
      <c r="N115" s="285"/>
      <c r="O115" s="285"/>
      <c r="P115" s="285"/>
      <c r="Q115" s="285"/>
      <c r="R115" s="285"/>
      <c r="S115" s="285"/>
      <c r="T115" s="339">
        <v>0</v>
      </c>
      <c r="U115" s="288"/>
      <c r="V115" s="5"/>
    </row>
    <row r="116" spans="1:22" ht="15.6" x14ac:dyDescent="0.3">
      <c r="A116" s="337">
        <f t="shared" si="0"/>
        <v>12</v>
      </c>
      <c r="B116" s="285" t="s">
        <v>37</v>
      </c>
      <c r="C116" s="285"/>
      <c r="D116" s="285"/>
      <c r="E116" s="285"/>
      <c r="F116" s="285"/>
      <c r="G116" s="285"/>
      <c r="H116" s="285"/>
      <c r="I116" s="285"/>
      <c r="J116" s="285"/>
      <c r="K116" s="285"/>
      <c r="L116" s="285"/>
      <c r="M116" s="285"/>
      <c r="N116" s="285"/>
      <c r="O116" s="285"/>
      <c r="P116" s="285"/>
      <c r="Q116" s="285"/>
      <c r="R116" s="285"/>
      <c r="S116" s="285"/>
      <c r="T116" s="339">
        <v>0</v>
      </c>
      <c r="U116" s="288"/>
      <c r="V116" s="5"/>
    </row>
    <row r="117" spans="1:22" ht="15.6" x14ac:dyDescent="0.3">
      <c r="A117" s="337">
        <f t="shared" si="0"/>
        <v>13</v>
      </c>
      <c r="B117" s="285" t="s">
        <v>155</v>
      </c>
      <c r="C117" s="285"/>
      <c r="D117" s="285"/>
      <c r="E117" s="285"/>
      <c r="F117" s="285"/>
      <c r="G117" s="285"/>
      <c r="H117" s="285"/>
      <c r="I117" s="285"/>
      <c r="J117" s="285"/>
      <c r="K117" s="285"/>
      <c r="L117" s="285"/>
      <c r="M117" s="285"/>
      <c r="N117" s="285"/>
      <c r="O117" s="285"/>
      <c r="P117" s="285"/>
      <c r="Q117" s="285"/>
      <c r="R117" s="285"/>
      <c r="S117" s="285"/>
      <c r="T117" s="339">
        <v>-182</v>
      </c>
      <c r="U117" s="288"/>
      <c r="V117" s="5"/>
    </row>
    <row r="118" spans="1:22" ht="15.6" x14ac:dyDescent="0.3">
      <c r="A118" s="337">
        <f t="shared" si="0"/>
        <v>14</v>
      </c>
      <c r="B118" s="285" t="s">
        <v>132</v>
      </c>
      <c r="C118" s="285"/>
      <c r="D118" s="285"/>
      <c r="E118" s="285"/>
      <c r="F118" s="285"/>
      <c r="G118" s="285"/>
      <c r="H118" s="285"/>
      <c r="I118" s="285"/>
      <c r="J118" s="285"/>
      <c r="K118" s="285"/>
      <c r="L118" s="285"/>
      <c r="M118" s="285"/>
      <c r="N118" s="285"/>
      <c r="O118" s="285"/>
      <c r="P118" s="285"/>
      <c r="Q118" s="285"/>
      <c r="R118" s="285"/>
      <c r="S118" s="285"/>
      <c r="T118" s="339">
        <f>-T100-SUM(T102:T117)</f>
        <v>-1655</v>
      </c>
      <c r="U118" s="288"/>
      <c r="V118" s="5"/>
    </row>
    <row r="119" spans="1:22" ht="15.6" x14ac:dyDescent="0.3">
      <c r="A119" s="284"/>
      <c r="B119" s="343" t="s">
        <v>38</v>
      </c>
      <c r="C119" s="311"/>
      <c r="D119" s="311"/>
      <c r="E119" s="311"/>
      <c r="F119" s="311"/>
      <c r="G119" s="311"/>
      <c r="H119" s="311"/>
      <c r="I119" s="311"/>
      <c r="J119" s="311"/>
      <c r="K119" s="311"/>
      <c r="L119" s="311"/>
      <c r="M119" s="311"/>
      <c r="N119" s="311"/>
      <c r="O119" s="311"/>
      <c r="P119" s="311"/>
      <c r="Q119" s="311"/>
      <c r="R119" s="311"/>
      <c r="S119" s="311"/>
      <c r="T119" s="346"/>
      <c r="U119" s="317"/>
      <c r="V119" s="5"/>
    </row>
    <row r="120" spans="1:22" ht="15.6" x14ac:dyDescent="0.3">
      <c r="A120" s="337"/>
      <c r="B120" s="285" t="s">
        <v>180</v>
      </c>
      <c r="C120" s="285"/>
      <c r="D120" s="285"/>
      <c r="E120" s="285"/>
      <c r="F120" s="285"/>
      <c r="G120" s="285"/>
      <c r="H120" s="285"/>
      <c r="I120" s="285"/>
      <c r="J120" s="285"/>
      <c r="K120" s="285"/>
      <c r="L120" s="285"/>
      <c r="M120" s="285"/>
      <c r="N120" s="285"/>
      <c r="O120" s="285"/>
      <c r="P120" s="285"/>
      <c r="Q120" s="285"/>
      <c r="R120" s="338">
        <f>-R178</f>
        <v>0</v>
      </c>
      <c r="S120" s="338"/>
      <c r="T120" s="339"/>
      <c r="U120" s="288"/>
      <c r="V120" s="5"/>
    </row>
    <row r="121" spans="1:22" ht="15.6" x14ac:dyDescent="0.3">
      <c r="A121" s="337"/>
      <c r="B121" s="285" t="s">
        <v>181</v>
      </c>
      <c r="C121" s="285"/>
      <c r="D121" s="285"/>
      <c r="E121" s="285"/>
      <c r="F121" s="285"/>
      <c r="G121" s="285"/>
      <c r="H121" s="285"/>
      <c r="I121" s="285"/>
      <c r="J121" s="285"/>
      <c r="K121" s="285"/>
      <c r="L121" s="285"/>
      <c r="M121" s="285"/>
      <c r="N121" s="285"/>
      <c r="O121" s="285"/>
      <c r="P121" s="285"/>
      <c r="Q121" s="285"/>
      <c r="R121" s="338">
        <v>0</v>
      </c>
      <c r="S121" s="338"/>
      <c r="T121" s="339"/>
      <c r="U121" s="288"/>
      <c r="V121" s="5"/>
    </row>
    <row r="122" spans="1:22" ht="15.6" x14ac:dyDescent="0.3">
      <c r="A122" s="337"/>
      <c r="B122" s="285" t="s">
        <v>39</v>
      </c>
      <c r="C122" s="285"/>
      <c r="D122" s="285"/>
      <c r="E122" s="285"/>
      <c r="F122" s="285"/>
      <c r="G122" s="285"/>
      <c r="H122" s="285"/>
      <c r="I122" s="285"/>
      <c r="J122" s="285"/>
      <c r="K122" s="285"/>
      <c r="L122" s="285"/>
      <c r="M122" s="285"/>
      <c r="N122" s="285"/>
      <c r="O122" s="285"/>
      <c r="P122" s="285"/>
      <c r="Q122" s="285"/>
      <c r="R122" s="338">
        <f>-Q178</f>
        <v>-112</v>
      </c>
      <c r="S122" s="338"/>
      <c r="T122" s="339"/>
      <c r="U122" s="288"/>
      <c r="V122" s="5"/>
    </row>
    <row r="123" spans="1:22" ht="15.6" x14ac:dyDescent="0.3">
      <c r="A123" s="337"/>
      <c r="B123" s="285" t="s">
        <v>205</v>
      </c>
      <c r="C123" s="285"/>
      <c r="D123" s="285"/>
      <c r="E123" s="285"/>
      <c r="F123" s="285"/>
      <c r="G123" s="285"/>
      <c r="H123" s="285"/>
      <c r="I123" s="285"/>
      <c r="J123" s="285"/>
      <c r="K123" s="285"/>
      <c r="L123" s="285"/>
      <c r="M123" s="285"/>
      <c r="N123" s="285"/>
      <c r="O123" s="285"/>
      <c r="P123" s="285"/>
      <c r="Q123" s="285"/>
      <c r="R123" s="338">
        <v>-4616</v>
      </c>
      <c r="S123" s="338"/>
      <c r="T123" s="339"/>
      <c r="U123" s="288"/>
      <c r="V123" s="5"/>
    </row>
    <row r="124" spans="1:22" ht="15.6" x14ac:dyDescent="0.3">
      <c r="A124" s="337"/>
      <c r="B124" s="285" t="s">
        <v>203</v>
      </c>
      <c r="C124" s="285"/>
      <c r="D124" s="285"/>
      <c r="E124" s="285"/>
      <c r="F124" s="285"/>
      <c r="G124" s="285"/>
      <c r="H124" s="285"/>
      <c r="I124" s="285"/>
      <c r="J124" s="285"/>
      <c r="K124" s="285"/>
      <c r="L124" s="285"/>
      <c r="M124" s="285"/>
      <c r="N124" s="285"/>
      <c r="O124" s="285"/>
      <c r="P124" s="285"/>
      <c r="Q124" s="285"/>
      <c r="R124" s="338">
        <v>-1217</v>
      </c>
      <c r="S124" s="338"/>
      <c r="T124" s="339"/>
      <c r="U124" s="288"/>
      <c r="V124" s="5"/>
    </row>
    <row r="125" spans="1:22" ht="15.6" x14ac:dyDescent="0.3">
      <c r="A125" s="337"/>
      <c r="B125" s="285" t="s">
        <v>202</v>
      </c>
      <c r="C125" s="285"/>
      <c r="D125" s="285"/>
      <c r="E125" s="285"/>
      <c r="F125" s="285"/>
      <c r="G125" s="285"/>
      <c r="H125" s="285"/>
      <c r="I125" s="285"/>
      <c r="J125" s="285"/>
      <c r="K125" s="285"/>
      <c r="L125" s="285"/>
      <c r="M125" s="285"/>
      <c r="N125" s="285"/>
      <c r="O125" s="285"/>
      <c r="P125" s="285"/>
      <c r="Q125" s="285"/>
      <c r="R125" s="338">
        <v>-1226</v>
      </c>
      <c r="S125" s="338"/>
      <c r="T125" s="339"/>
      <c r="U125" s="288"/>
      <c r="V125" s="5"/>
    </row>
    <row r="126" spans="1:22" ht="15.6" x14ac:dyDescent="0.3">
      <c r="A126" s="337"/>
      <c r="B126" s="285" t="s">
        <v>197</v>
      </c>
      <c r="C126" s="285"/>
      <c r="D126" s="285"/>
      <c r="E126" s="285"/>
      <c r="F126" s="285"/>
      <c r="G126" s="285"/>
      <c r="H126" s="285"/>
      <c r="I126" s="285"/>
      <c r="J126" s="285"/>
      <c r="K126" s="285"/>
      <c r="L126" s="285"/>
      <c r="M126" s="285"/>
      <c r="N126" s="285"/>
      <c r="O126" s="285"/>
      <c r="P126" s="285"/>
      <c r="Q126" s="285"/>
      <c r="R126" s="338">
        <v>-309</v>
      </c>
      <c r="S126" s="338"/>
      <c r="T126" s="339"/>
      <c r="U126" s="288"/>
      <c r="V126" s="5"/>
    </row>
    <row r="127" spans="1:22" ht="15.6" x14ac:dyDescent="0.3">
      <c r="A127" s="337"/>
      <c r="B127" s="285" t="s">
        <v>196</v>
      </c>
      <c r="C127" s="285"/>
      <c r="D127" s="285"/>
      <c r="E127" s="285"/>
      <c r="F127" s="285"/>
      <c r="G127" s="285"/>
      <c r="H127" s="285"/>
      <c r="I127" s="285"/>
      <c r="J127" s="285"/>
      <c r="K127" s="285"/>
      <c r="L127" s="285"/>
      <c r="M127" s="285"/>
      <c r="N127" s="285"/>
      <c r="O127" s="285"/>
      <c r="P127" s="285"/>
      <c r="Q127" s="285"/>
      <c r="R127" s="338">
        <v>-1091</v>
      </c>
      <c r="S127" s="338"/>
      <c r="T127" s="339"/>
      <c r="U127" s="288"/>
      <c r="V127" s="5"/>
    </row>
    <row r="128" spans="1:22" ht="15.6" x14ac:dyDescent="0.3">
      <c r="A128" s="337"/>
      <c r="B128" s="285" t="s">
        <v>195</v>
      </c>
      <c r="C128" s="285"/>
      <c r="D128" s="285"/>
      <c r="E128" s="285"/>
      <c r="F128" s="285"/>
      <c r="G128" s="285"/>
      <c r="H128" s="285"/>
      <c r="I128" s="285"/>
      <c r="J128" s="285"/>
      <c r="K128" s="285"/>
      <c r="L128" s="285"/>
      <c r="M128" s="285"/>
      <c r="N128" s="285"/>
      <c r="O128" s="285"/>
      <c r="P128" s="285"/>
      <c r="Q128" s="285"/>
      <c r="R128" s="338">
        <v>-1158</v>
      </c>
      <c r="S128" s="338"/>
      <c r="T128" s="339"/>
      <c r="U128" s="288"/>
      <c r="V128" s="5"/>
    </row>
    <row r="129" spans="1:22" ht="15.6" x14ac:dyDescent="0.3">
      <c r="A129" s="337"/>
      <c r="B129" s="285" t="s">
        <v>40</v>
      </c>
      <c r="C129" s="285"/>
      <c r="D129" s="285"/>
      <c r="E129" s="285"/>
      <c r="F129" s="285"/>
      <c r="G129" s="285"/>
      <c r="H129" s="285"/>
      <c r="I129" s="285"/>
      <c r="J129" s="285"/>
      <c r="K129" s="285"/>
      <c r="L129" s="285"/>
      <c r="M129" s="285"/>
      <c r="N129" s="285"/>
      <c r="O129" s="285"/>
      <c r="P129" s="285"/>
      <c r="Q129" s="285"/>
      <c r="R129" s="338">
        <f>SUM(R120:R128)</f>
        <v>-9729</v>
      </c>
      <c r="S129" s="338"/>
      <c r="T129" s="338">
        <f>SUM(T101:T127)</f>
        <v>-3268</v>
      </c>
      <c r="U129" s="288"/>
      <c r="V129" s="5"/>
    </row>
    <row r="130" spans="1:22" ht="15.6" x14ac:dyDescent="0.3">
      <c r="A130" s="337"/>
      <c r="B130" s="285" t="s">
        <v>41</v>
      </c>
      <c r="C130" s="285"/>
      <c r="D130" s="285"/>
      <c r="E130" s="285"/>
      <c r="F130" s="285"/>
      <c r="G130" s="285"/>
      <c r="H130" s="285"/>
      <c r="I130" s="285"/>
      <c r="J130" s="285"/>
      <c r="K130" s="285"/>
      <c r="L130" s="285"/>
      <c r="M130" s="285"/>
      <c r="N130" s="285"/>
      <c r="O130" s="285"/>
      <c r="P130" s="285"/>
      <c r="Q130" s="285"/>
      <c r="R130" s="338">
        <f>R100+R129+R113</f>
        <v>0</v>
      </c>
      <c r="S130" s="338"/>
      <c r="T130" s="338">
        <f>T100+T129</f>
        <v>0</v>
      </c>
      <c r="U130" s="288"/>
      <c r="V130" s="5"/>
    </row>
    <row r="131" spans="1:22" ht="15.6" x14ac:dyDescent="0.3">
      <c r="A131" s="256"/>
      <c r="B131" s="281"/>
      <c r="C131" s="281"/>
      <c r="D131" s="281"/>
      <c r="E131" s="281"/>
      <c r="F131" s="281"/>
      <c r="G131" s="281"/>
      <c r="H131" s="281"/>
      <c r="I131" s="281"/>
      <c r="J131" s="281"/>
      <c r="K131" s="281"/>
      <c r="L131" s="281"/>
      <c r="M131" s="281"/>
      <c r="N131" s="281"/>
      <c r="O131" s="281"/>
      <c r="P131" s="281"/>
      <c r="Q131" s="281"/>
      <c r="R131" s="340"/>
      <c r="S131" s="340"/>
      <c r="T131" s="340"/>
      <c r="U131" s="281"/>
      <c r="V131" s="5"/>
    </row>
    <row r="132" spans="1:22" ht="15.6" x14ac:dyDescent="0.3">
      <c r="A132" s="256"/>
      <c r="B132" s="231"/>
      <c r="C132" s="231"/>
      <c r="D132" s="231"/>
      <c r="E132" s="231"/>
      <c r="F132" s="231"/>
      <c r="G132" s="231"/>
      <c r="H132" s="231"/>
      <c r="I132" s="231"/>
      <c r="J132" s="231"/>
      <c r="K132" s="231"/>
      <c r="L132" s="231"/>
      <c r="M132" s="231"/>
      <c r="N132" s="231"/>
      <c r="O132" s="231"/>
      <c r="P132" s="231"/>
      <c r="Q132" s="231"/>
      <c r="R132" s="231"/>
      <c r="S132" s="231"/>
      <c r="T132" s="257"/>
      <c r="U132" s="231"/>
      <c r="V132" s="5"/>
    </row>
    <row r="133" spans="1:22" ht="18" thickBot="1" x14ac:dyDescent="0.35">
      <c r="A133" s="258"/>
      <c r="B133" s="246" t="str">
        <f>B64</f>
        <v>PM11 INVESTOR REPORT QUARTER ENDING MARCH 2016</v>
      </c>
      <c r="C133" s="247"/>
      <c r="D133" s="247"/>
      <c r="E133" s="247"/>
      <c r="F133" s="247"/>
      <c r="G133" s="247"/>
      <c r="H133" s="247"/>
      <c r="I133" s="247"/>
      <c r="J133" s="247"/>
      <c r="K133" s="247"/>
      <c r="L133" s="247"/>
      <c r="M133" s="247"/>
      <c r="N133" s="247"/>
      <c r="O133" s="247"/>
      <c r="P133" s="247"/>
      <c r="Q133" s="247"/>
      <c r="R133" s="247"/>
      <c r="S133" s="247"/>
      <c r="T133" s="259"/>
      <c r="U133" s="249"/>
      <c r="V133" s="5"/>
    </row>
    <row r="134" spans="1:22" ht="15.6" x14ac:dyDescent="0.3">
      <c r="A134" s="260"/>
      <c r="B134" s="399" t="s">
        <v>42</v>
      </c>
      <c r="C134" s="261"/>
      <c r="D134" s="261"/>
      <c r="E134" s="261"/>
      <c r="F134" s="261"/>
      <c r="G134" s="261"/>
      <c r="H134" s="261"/>
      <c r="I134" s="261"/>
      <c r="J134" s="261"/>
      <c r="K134" s="261"/>
      <c r="L134" s="261"/>
      <c r="M134" s="261"/>
      <c r="N134" s="261"/>
      <c r="O134" s="261"/>
      <c r="P134" s="261"/>
      <c r="Q134" s="261"/>
      <c r="R134" s="261"/>
      <c r="S134" s="261"/>
      <c r="T134" s="262"/>
      <c r="U134" s="261"/>
      <c r="V134" s="5"/>
    </row>
    <row r="135" spans="1:22" ht="15.6" x14ac:dyDescent="0.3">
      <c r="A135" s="175"/>
      <c r="B135" s="187"/>
      <c r="C135" s="177"/>
      <c r="D135" s="177"/>
      <c r="E135" s="177"/>
      <c r="F135" s="177"/>
      <c r="G135" s="177"/>
      <c r="H135" s="177"/>
      <c r="I135" s="177"/>
      <c r="J135" s="177"/>
      <c r="K135" s="177"/>
      <c r="L135" s="177"/>
      <c r="M135" s="177"/>
      <c r="N135" s="177"/>
      <c r="O135" s="177"/>
      <c r="P135" s="177"/>
      <c r="Q135" s="177"/>
      <c r="R135" s="177"/>
      <c r="S135" s="177"/>
      <c r="T135" s="194"/>
      <c r="U135" s="177"/>
      <c r="V135" s="5"/>
    </row>
    <row r="136" spans="1:22" ht="15.6" x14ac:dyDescent="0.3">
      <c r="A136" s="175"/>
      <c r="B136" s="201" t="s">
        <v>43</v>
      </c>
      <c r="C136" s="177"/>
      <c r="D136" s="177"/>
      <c r="E136" s="177"/>
      <c r="F136" s="177"/>
      <c r="G136" s="177"/>
      <c r="H136" s="177"/>
      <c r="I136" s="177"/>
      <c r="J136" s="177"/>
      <c r="K136" s="177"/>
      <c r="L136" s="177"/>
      <c r="M136" s="177"/>
      <c r="N136" s="177"/>
      <c r="O136" s="177"/>
      <c r="P136" s="177"/>
      <c r="Q136" s="177"/>
      <c r="R136" s="177"/>
      <c r="S136" s="177"/>
      <c r="T136" s="194"/>
      <c r="U136" s="177"/>
      <c r="V136" s="5"/>
    </row>
    <row r="137" spans="1:22" ht="15.6" x14ac:dyDescent="0.3">
      <c r="A137" s="284"/>
      <c r="B137" s="285" t="s">
        <v>44</v>
      </c>
      <c r="C137" s="285"/>
      <c r="D137" s="285"/>
      <c r="E137" s="285"/>
      <c r="F137" s="285"/>
      <c r="G137" s="285"/>
      <c r="H137" s="285"/>
      <c r="I137" s="285"/>
      <c r="J137" s="285"/>
      <c r="K137" s="285"/>
      <c r="L137" s="285"/>
      <c r="M137" s="285"/>
      <c r="N137" s="285"/>
      <c r="O137" s="285"/>
      <c r="P137" s="285"/>
      <c r="Q137" s="285"/>
      <c r="R137" s="285"/>
      <c r="S137" s="285"/>
      <c r="T137" s="339">
        <f>+T34*0.019</f>
        <v>19000.95</v>
      </c>
      <c r="U137" s="288"/>
      <c r="V137" s="5"/>
    </row>
    <row r="138" spans="1:22" ht="15.6" x14ac:dyDescent="0.3">
      <c r="A138" s="284"/>
      <c r="B138" s="285" t="s">
        <v>45</v>
      </c>
      <c r="C138" s="285"/>
      <c r="D138" s="285"/>
      <c r="E138" s="285"/>
      <c r="F138" s="285"/>
      <c r="G138" s="285"/>
      <c r="H138" s="285"/>
      <c r="I138" s="285"/>
      <c r="J138" s="285"/>
      <c r="K138" s="285"/>
      <c r="L138" s="285"/>
      <c r="M138" s="285"/>
      <c r="N138" s="285"/>
      <c r="O138" s="285"/>
      <c r="P138" s="285"/>
      <c r="Q138" s="285"/>
      <c r="R138" s="285"/>
      <c r="S138" s="285"/>
      <c r="T138" s="339">
        <v>19001</v>
      </c>
      <c r="U138" s="288"/>
      <c r="V138" s="5"/>
    </row>
    <row r="139" spans="1:22" ht="15.6" x14ac:dyDescent="0.3">
      <c r="A139" s="284"/>
      <c r="B139" s="285" t="s">
        <v>142</v>
      </c>
      <c r="C139" s="285"/>
      <c r="D139" s="285"/>
      <c r="E139" s="285"/>
      <c r="F139" s="285"/>
      <c r="G139" s="285"/>
      <c r="H139" s="285"/>
      <c r="I139" s="285"/>
      <c r="J139" s="285"/>
      <c r="K139" s="285"/>
      <c r="L139" s="285"/>
      <c r="M139" s="285"/>
      <c r="N139" s="285"/>
      <c r="O139" s="285"/>
      <c r="P139" s="285"/>
      <c r="Q139" s="285"/>
      <c r="R139" s="285"/>
      <c r="S139" s="285"/>
      <c r="T139" s="339">
        <v>0</v>
      </c>
      <c r="U139" s="288"/>
      <c r="V139" s="5"/>
    </row>
    <row r="140" spans="1:22" ht="15.6" x14ac:dyDescent="0.3">
      <c r="A140" s="284"/>
      <c r="B140" s="285" t="s">
        <v>129</v>
      </c>
      <c r="C140" s="285"/>
      <c r="D140" s="285"/>
      <c r="E140" s="285"/>
      <c r="F140" s="285"/>
      <c r="G140" s="285"/>
      <c r="H140" s="285"/>
      <c r="I140" s="285"/>
      <c r="J140" s="285"/>
      <c r="K140" s="285"/>
      <c r="L140" s="285"/>
      <c r="M140" s="285"/>
      <c r="N140" s="285"/>
      <c r="O140" s="285"/>
      <c r="P140" s="285"/>
      <c r="Q140" s="285"/>
      <c r="R140" s="285"/>
      <c r="S140" s="285"/>
      <c r="T140" s="339">
        <v>0</v>
      </c>
      <c r="U140" s="288"/>
      <c r="V140" s="5"/>
    </row>
    <row r="141" spans="1:22" ht="15.6" x14ac:dyDescent="0.3">
      <c r="A141" s="284"/>
      <c r="B141" s="285" t="s">
        <v>130</v>
      </c>
      <c r="C141" s="285"/>
      <c r="D141" s="285"/>
      <c r="E141" s="285"/>
      <c r="F141" s="285"/>
      <c r="G141" s="285"/>
      <c r="H141" s="285"/>
      <c r="I141" s="285"/>
      <c r="J141" s="285"/>
      <c r="K141" s="285"/>
      <c r="L141" s="285"/>
      <c r="M141" s="285"/>
      <c r="N141" s="285"/>
      <c r="O141" s="285"/>
      <c r="P141" s="285"/>
      <c r="Q141" s="285"/>
      <c r="R141" s="285"/>
      <c r="S141" s="285"/>
      <c r="T141" s="339">
        <v>0</v>
      </c>
      <c r="U141" s="288"/>
      <c r="V141" s="5"/>
    </row>
    <row r="142" spans="1:22" ht="15.6" x14ac:dyDescent="0.3">
      <c r="A142" s="284"/>
      <c r="B142" s="285" t="s">
        <v>182</v>
      </c>
      <c r="C142" s="285"/>
      <c r="D142" s="285"/>
      <c r="E142" s="285"/>
      <c r="F142" s="285"/>
      <c r="G142" s="285"/>
      <c r="H142" s="285"/>
      <c r="I142" s="285"/>
      <c r="J142" s="285"/>
      <c r="K142" s="285"/>
      <c r="L142" s="285"/>
      <c r="M142" s="285"/>
      <c r="N142" s="285"/>
      <c r="O142" s="285"/>
      <c r="P142" s="285"/>
      <c r="Q142" s="285"/>
      <c r="R142" s="285"/>
      <c r="S142" s="285"/>
      <c r="T142" s="339">
        <v>0</v>
      </c>
      <c r="U142" s="288"/>
      <c r="V142" s="5"/>
    </row>
    <row r="143" spans="1:22" ht="15.6" x14ac:dyDescent="0.3">
      <c r="A143" s="284"/>
      <c r="B143" s="285" t="s">
        <v>46</v>
      </c>
      <c r="C143" s="285"/>
      <c r="D143" s="285"/>
      <c r="E143" s="285"/>
      <c r="F143" s="285"/>
      <c r="G143" s="285"/>
      <c r="H143" s="285"/>
      <c r="I143" s="285"/>
      <c r="J143" s="285"/>
      <c r="K143" s="285"/>
      <c r="L143" s="285"/>
      <c r="M143" s="285"/>
      <c r="N143" s="285"/>
      <c r="O143" s="285"/>
      <c r="P143" s="285"/>
      <c r="Q143" s="285"/>
      <c r="R143" s="285"/>
      <c r="S143" s="285"/>
      <c r="T143" s="339">
        <v>0</v>
      </c>
      <c r="U143" s="288"/>
      <c r="V143" s="5"/>
    </row>
    <row r="144" spans="1:22" ht="15.6" x14ac:dyDescent="0.3">
      <c r="A144" s="284"/>
      <c r="B144" s="285" t="s">
        <v>135</v>
      </c>
      <c r="C144" s="285"/>
      <c r="D144" s="285"/>
      <c r="E144" s="285"/>
      <c r="F144" s="285"/>
      <c r="G144" s="285"/>
      <c r="H144" s="285"/>
      <c r="I144" s="285"/>
      <c r="J144" s="285"/>
      <c r="K144" s="285"/>
      <c r="L144" s="285"/>
      <c r="M144" s="285"/>
      <c r="N144" s="285"/>
      <c r="O144" s="285"/>
      <c r="P144" s="285"/>
      <c r="Q144" s="285"/>
      <c r="R144" s="285"/>
      <c r="S144" s="285"/>
      <c r="T144" s="339">
        <v>0</v>
      </c>
      <c r="U144" s="288"/>
      <c r="V144" s="5"/>
    </row>
    <row r="145" spans="1:23" ht="15.6" x14ac:dyDescent="0.3">
      <c r="A145" s="284"/>
      <c r="B145" s="285" t="s">
        <v>251</v>
      </c>
      <c r="C145" s="285"/>
      <c r="D145" s="285"/>
      <c r="E145" s="285"/>
      <c r="F145" s="285"/>
      <c r="G145" s="285"/>
      <c r="H145" s="285"/>
      <c r="I145" s="285"/>
      <c r="J145" s="285"/>
      <c r="K145" s="285"/>
      <c r="L145" s="285"/>
      <c r="M145" s="285"/>
      <c r="N145" s="285"/>
      <c r="O145" s="285"/>
      <c r="P145" s="285"/>
      <c r="Q145" s="285"/>
      <c r="R145" s="285"/>
      <c r="S145" s="285"/>
      <c r="T145" s="339">
        <v>0</v>
      </c>
      <c r="U145" s="288"/>
      <c r="V145" s="5"/>
      <c r="W145" s="109"/>
    </row>
    <row r="146" spans="1:23" ht="15.6" x14ac:dyDescent="0.3">
      <c r="A146" s="284"/>
      <c r="B146" s="285" t="s">
        <v>47</v>
      </c>
      <c r="C146" s="285"/>
      <c r="D146" s="285"/>
      <c r="E146" s="285"/>
      <c r="F146" s="285"/>
      <c r="G146" s="285"/>
      <c r="H146" s="285"/>
      <c r="I146" s="285"/>
      <c r="J146" s="285"/>
      <c r="K146" s="285"/>
      <c r="L146" s="285"/>
      <c r="M146" s="285"/>
      <c r="N146" s="285"/>
      <c r="O146" s="285"/>
      <c r="P146" s="285"/>
      <c r="Q146" s="285"/>
      <c r="R146" s="285"/>
      <c r="S146" s="285"/>
      <c r="T146" s="339">
        <f>SUM(T138:T145)</f>
        <v>19001</v>
      </c>
      <c r="U146" s="288"/>
      <c r="V146" s="5"/>
    </row>
    <row r="147" spans="1:23" ht="15.6" x14ac:dyDescent="0.3">
      <c r="A147" s="284"/>
      <c r="B147" s="311"/>
      <c r="C147" s="311"/>
      <c r="D147" s="311"/>
      <c r="E147" s="311"/>
      <c r="F147" s="311"/>
      <c r="G147" s="311"/>
      <c r="H147" s="311"/>
      <c r="I147" s="311"/>
      <c r="J147" s="311"/>
      <c r="K147" s="311"/>
      <c r="L147" s="311"/>
      <c r="M147" s="311"/>
      <c r="N147" s="311"/>
      <c r="O147" s="311"/>
      <c r="P147" s="311"/>
      <c r="Q147" s="311"/>
      <c r="R147" s="311"/>
      <c r="S147" s="311"/>
      <c r="T147" s="345"/>
      <c r="U147" s="317"/>
      <c r="V147" s="5"/>
    </row>
    <row r="148" spans="1:23" ht="15.6" x14ac:dyDescent="0.3">
      <c r="A148" s="284"/>
      <c r="B148" s="343" t="s">
        <v>262</v>
      </c>
      <c r="C148" s="311"/>
      <c r="D148" s="311"/>
      <c r="E148" s="311"/>
      <c r="F148" s="311"/>
      <c r="G148" s="311"/>
      <c r="H148" s="311"/>
      <c r="I148" s="311"/>
      <c r="J148" s="311"/>
      <c r="K148" s="311"/>
      <c r="L148" s="311"/>
      <c r="M148" s="311"/>
      <c r="N148" s="311"/>
      <c r="O148" s="311"/>
      <c r="P148" s="311"/>
      <c r="Q148" s="311"/>
      <c r="R148" s="311"/>
      <c r="S148" s="311"/>
      <c r="T148" s="345"/>
      <c r="U148" s="317"/>
      <c r="V148" s="5"/>
    </row>
    <row r="149" spans="1:23" ht="15.6" x14ac:dyDescent="0.3">
      <c r="A149" s="284"/>
      <c r="B149" s="285" t="s">
        <v>263</v>
      </c>
      <c r="C149" s="285"/>
      <c r="D149" s="285"/>
      <c r="E149" s="285"/>
      <c r="F149" s="285"/>
      <c r="G149" s="285"/>
      <c r="H149" s="285"/>
      <c r="I149" s="285"/>
      <c r="J149" s="285"/>
      <c r="K149" s="285"/>
      <c r="L149" s="285"/>
      <c r="M149" s="285"/>
      <c r="N149" s="285"/>
      <c r="O149" s="285"/>
      <c r="P149" s="285"/>
      <c r="Q149" s="285"/>
      <c r="R149" s="285"/>
      <c r="S149" s="285"/>
      <c r="T149" s="339">
        <v>0</v>
      </c>
      <c r="U149" s="288"/>
      <c r="V149" s="5"/>
    </row>
    <row r="150" spans="1:23" ht="15.6" x14ac:dyDescent="0.3">
      <c r="A150" s="284"/>
      <c r="B150" s="285" t="s">
        <v>179</v>
      </c>
      <c r="C150" s="285"/>
      <c r="D150" s="285"/>
      <c r="E150" s="285"/>
      <c r="F150" s="285"/>
      <c r="G150" s="285"/>
      <c r="H150" s="285"/>
      <c r="I150" s="285"/>
      <c r="J150" s="285"/>
      <c r="K150" s="285"/>
      <c r="L150" s="285"/>
      <c r="M150" s="285"/>
      <c r="N150" s="285"/>
      <c r="O150" s="285"/>
      <c r="P150" s="285"/>
      <c r="Q150" s="285"/>
      <c r="R150" s="285"/>
      <c r="S150" s="285"/>
      <c r="T150" s="339">
        <v>0</v>
      </c>
      <c r="U150" s="288"/>
      <c r="V150" s="5"/>
    </row>
    <row r="151" spans="1:23" ht="15.6" x14ac:dyDescent="0.3">
      <c r="A151" s="284"/>
      <c r="B151" s="285" t="s">
        <v>264</v>
      </c>
      <c r="C151" s="285"/>
      <c r="D151" s="285"/>
      <c r="E151" s="285"/>
      <c r="F151" s="285"/>
      <c r="G151" s="285"/>
      <c r="H151" s="285"/>
      <c r="I151" s="285"/>
      <c r="J151" s="285"/>
      <c r="K151" s="285"/>
      <c r="L151" s="285"/>
      <c r="M151" s="285"/>
      <c r="N151" s="285"/>
      <c r="O151" s="285"/>
      <c r="P151" s="285"/>
      <c r="Q151" s="285"/>
      <c r="R151" s="285"/>
      <c r="S151" s="285"/>
      <c r="T151" s="339">
        <v>0</v>
      </c>
      <c r="U151" s="288"/>
      <c r="V151" s="5"/>
    </row>
    <row r="152" spans="1:23" ht="15.6" x14ac:dyDescent="0.3">
      <c r="A152" s="284"/>
      <c r="B152" s="285"/>
      <c r="C152" s="285"/>
      <c r="D152" s="285"/>
      <c r="E152" s="285"/>
      <c r="F152" s="285"/>
      <c r="G152" s="285"/>
      <c r="H152" s="285"/>
      <c r="I152" s="285"/>
      <c r="J152" s="285"/>
      <c r="K152" s="285"/>
      <c r="L152" s="285"/>
      <c r="M152" s="285"/>
      <c r="N152" s="285"/>
      <c r="O152" s="285"/>
      <c r="P152" s="285"/>
      <c r="Q152" s="285"/>
      <c r="R152" s="285"/>
      <c r="S152" s="285"/>
      <c r="T152" s="339"/>
      <c r="U152" s="288"/>
      <c r="V152" s="5"/>
    </row>
    <row r="153" spans="1:23" ht="15.6" x14ac:dyDescent="0.3">
      <c r="A153" s="175"/>
      <c r="B153" s="334"/>
      <c r="C153" s="334"/>
      <c r="D153" s="334"/>
      <c r="E153" s="334"/>
      <c r="F153" s="334"/>
      <c r="G153" s="334"/>
      <c r="H153" s="334"/>
      <c r="I153" s="334"/>
      <c r="J153" s="334"/>
      <c r="K153" s="334"/>
      <c r="L153" s="334"/>
      <c r="M153" s="334"/>
      <c r="N153" s="334"/>
      <c r="O153" s="334"/>
      <c r="P153" s="334"/>
      <c r="Q153" s="334"/>
      <c r="R153" s="334"/>
      <c r="S153" s="334"/>
      <c r="T153" s="347"/>
      <c r="U153" s="334"/>
      <c r="V153" s="5"/>
    </row>
    <row r="154" spans="1:23" ht="15.6" x14ac:dyDescent="0.3">
      <c r="A154" s="175"/>
      <c r="B154" s="201" t="s">
        <v>24</v>
      </c>
      <c r="C154" s="177"/>
      <c r="D154" s="177"/>
      <c r="E154" s="177"/>
      <c r="F154" s="177"/>
      <c r="G154" s="177"/>
      <c r="H154" s="177"/>
      <c r="I154" s="177"/>
      <c r="J154" s="177"/>
      <c r="K154" s="177"/>
      <c r="L154" s="177"/>
      <c r="M154" s="177"/>
      <c r="N154" s="177"/>
      <c r="O154" s="177"/>
      <c r="P154" s="177"/>
      <c r="Q154" s="177"/>
      <c r="R154" s="177"/>
      <c r="S154" s="177"/>
      <c r="T154" s="194"/>
      <c r="U154" s="177"/>
      <c r="V154" s="5"/>
    </row>
    <row r="155" spans="1:23" ht="15.6" x14ac:dyDescent="0.3">
      <c r="A155" s="284"/>
      <c r="B155" s="285" t="s">
        <v>48</v>
      </c>
      <c r="C155" s="285"/>
      <c r="D155" s="285"/>
      <c r="E155" s="285"/>
      <c r="F155" s="285"/>
      <c r="G155" s="285"/>
      <c r="H155" s="285"/>
      <c r="I155" s="285"/>
      <c r="J155" s="285"/>
      <c r="K155" s="285"/>
      <c r="L155" s="285"/>
      <c r="M155" s="285"/>
      <c r="N155" s="285"/>
      <c r="O155" s="285"/>
      <c r="P155" s="285"/>
      <c r="Q155" s="285"/>
      <c r="R155" s="285"/>
      <c r="S155" s="285"/>
      <c r="T155" s="348" t="s">
        <v>124</v>
      </c>
      <c r="U155" s="288"/>
      <c r="V155" s="5"/>
    </row>
    <row r="156" spans="1:23" ht="15.6" x14ac:dyDescent="0.3">
      <c r="A156" s="284"/>
      <c r="B156" s="285" t="s">
        <v>49</v>
      </c>
      <c r="C156" s="287"/>
      <c r="D156" s="287"/>
      <c r="E156" s="287"/>
      <c r="F156" s="287"/>
      <c r="G156" s="287"/>
      <c r="H156" s="287"/>
      <c r="I156" s="287"/>
      <c r="J156" s="287"/>
      <c r="K156" s="287"/>
      <c r="L156" s="287"/>
      <c r="M156" s="287"/>
      <c r="N156" s="287"/>
      <c r="O156" s="287"/>
      <c r="P156" s="287"/>
      <c r="Q156" s="287"/>
      <c r="R156" s="287"/>
      <c r="S156" s="287"/>
      <c r="T156" s="348" t="s">
        <v>124</v>
      </c>
      <c r="U156" s="288"/>
      <c r="V156" s="5"/>
    </row>
    <row r="157" spans="1:23" ht="15.6" x14ac:dyDescent="0.3">
      <c r="A157" s="284"/>
      <c r="B157" s="285" t="s">
        <v>50</v>
      </c>
      <c r="C157" s="285"/>
      <c r="D157" s="285"/>
      <c r="E157" s="285"/>
      <c r="F157" s="285"/>
      <c r="G157" s="285"/>
      <c r="H157" s="285"/>
      <c r="I157" s="285"/>
      <c r="J157" s="285"/>
      <c r="K157" s="285"/>
      <c r="L157" s="285"/>
      <c r="M157" s="285"/>
      <c r="N157" s="285"/>
      <c r="O157" s="285"/>
      <c r="P157" s="285"/>
      <c r="Q157" s="285"/>
      <c r="R157" s="285"/>
      <c r="S157" s="285"/>
      <c r="T157" s="348" t="s">
        <v>124</v>
      </c>
      <c r="U157" s="288"/>
      <c r="V157" s="5"/>
    </row>
    <row r="158" spans="1:23" ht="15.6" x14ac:dyDescent="0.3">
      <c r="A158" s="284"/>
      <c r="B158" s="285" t="s">
        <v>51</v>
      </c>
      <c r="C158" s="285"/>
      <c r="D158" s="285"/>
      <c r="E158" s="285"/>
      <c r="F158" s="285"/>
      <c r="G158" s="285"/>
      <c r="H158" s="285"/>
      <c r="I158" s="285"/>
      <c r="J158" s="285"/>
      <c r="K158" s="285"/>
      <c r="L158" s="285"/>
      <c r="M158" s="285"/>
      <c r="N158" s="285"/>
      <c r="O158" s="285"/>
      <c r="P158" s="285"/>
      <c r="Q158" s="285"/>
      <c r="R158" s="285"/>
      <c r="S158" s="285"/>
      <c r="T158" s="348" t="s">
        <v>124</v>
      </c>
      <c r="U158" s="288"/>
      <c r="V158" s="5"/>
    </row>
    <row r="159" spans="1:23" ht="15.6" x14ac:dyDescent="0.3">
      <c r="A159" s="175"/>
      <c r="B159" s="334"/>
      <c r="C159" s="334"/>
      <c r="D159" s="334"/>
      <c r="E159" s="334"/>
      <c r="F159" s="334"/>
      <c r="G159" s="334"/>
      <c r="H159" s="334"/>
      <c r="I159" s="334"/>
      <c r="J159" s="334"/>
      <c r="K159" s="334"/>
      <c r="L159" s="334"/>
      <c r="M159" s="334"/>
      <c r="N159" s="334"/>
      <c r="O159" s="334"/>
      <c r="P159" s="334"/>
      <c r="Q159" s="334"/>
      <c r="R159" s="334"/>
      <c r="S159" s="334"/>
      <c r="T159" s="347"/>
      <c r="U159" s="334"/>
      <c r="V159" s="5"/>
    </row>
    <row r="160" spans="1:23" ht="15.6" x14ac:dyDescent="0.3">
      <c r="A160" s="175"/>
      <c r="B160" s="201" t="s">
        <v>52</v>
      </c>
      <c r="C160" s="177"/>
      <c r="D160" s="177"/>
      <c r="E160" s="177"/>
      <c r="F160" s="177"/>
      <c r="G160" s="177"/>
      <c r="H160" s="177"/>
      <c r="I160" s="177"/>
      <c r="J160" s="177"/>
      <c r="K160" s="177"/>
      <c r="L160" s="177"/>
      <c r="M160" s="177"/>
      <c r="N160" s="177"/>
      <c r="O160" s="177"/>
      <c r="P160" s="177"/>
      <c r="Q160" s="177"/>
      <c r="R160" s="177"/>
      <c r="S160" s="177"/>
      <c r="T160" s="202"/>
      <c r="U160" s="177"/>
      <c r="V160" s="5"/>
    </row>
    <row r="161" spans="1:22" ht="15.6" x14ac:dyDescent="0.3">
      <c r="A161" s="284"/>
      <c r="B161" s="285" t="s">
        <v>53</v>
      </c>
      <c r="C161" s="285"/>
      <c r="D161" s="285"/>
      <c r="E161" s="285"/>
      <c r="F161" s="285"/>
      <c r="G161" s="285"/>
      <c r="H161" s="285"/>
      <c r="I161" s="285"/>
      <c r="J161" s="285"/>
      <c r="K161" s="285"/>
      <c r="L161" s="285"/>
      <c r="M161" s="285"/>
      <c r="N161" s="285"/>
      <c r="O161" s="285"/>
      <c r="P161" s="285"/>
      <c r="Q161" s="285"/>
      <c r="R161" s="285"/>
      <c r="S161" s="285"/>
      <c r="T161" s="339">
        <v>0</v>
      </c>
      <c r="U161" s="288"/>
      <c r="V161" s="5"/>
    </row>
    <row r="162" spans="1:22" ht="15.6" x14ac:dyDescent="0.3">
      <c r="A162" s="284"/>
      <c r="B162" s="285" t="s">
        <v>54</v>
      </c>
      <c r="C162" s="285"/>
      <c r="D162" s="285"/>
      <c r="E162" s="285"/>
      <c r="F162" s="285"/>
      <c r="G162" s="285"/>
      <c r="H162" s="285"/>
      <c r="I162" s="285"/>
      <c r="J162" s="285"/>
      <c r="K162" s="285"/>
      <c r="L162" s="285"/>
      <c r="M162" s="285"/>
      <c r="N162" s="285"/>
      <c r="O162" s="285"/>
      <c r="P162" s="285"/>
      <c r="Q162" s="285"/>
      <c r="R162" s="285"/>
      <c r="S162" s="285"/>
      <c r="T162" s="339">
        <f>R113</f>
        <v>17</v>
      </c>
      <c r="U162" s="288"/>
      <c r="V162" s="5"/>
    </row>
    <row r="163" spans="1:22" ht="15.6" x14ac:dyDescent="0.3">
      <c r="A163" s="284"/>
      <c r="B163" s="285" t="s">
        <v>55</v>
      </c>
      <c r="C163" s="285"/>
      <c r="D163" s="285"/>
      <c r="E163" s="285"/>
      <c r="F163" s="285"/>
      <c r="G163" s="285"/>
      <c r="H163" s="285"/>
      <c r="I163" s="285"/>
      <c r="J163" s="285"/>
      <c r="K163" s="285"/>
      <c r="L163" s="285"/>
      <c r="M163" s="285"/>
      <c r="N163" s="285"/>
      <c r="O163" s="285"/>
      <c r="P163" s="285"/>
      <c r="Q163" s="285"/>
      <c r="R163" s="285"/>
      <c r="S163" s="285"/>
      <c r="T163" s="339">
        <f>T162+T161</f>
        <v>17</v>
      </c>
      <c r="U163" s="288"/>
      <c r="V163" s="5"/>
    </row>
    <row r="164" spans="1:22" ht="15.6" x14ac:dyDescent="0.3">
      <c r="A164" s="284"/>
      <c r="B164" s="285" t="s">
        <v>301</v>
      </c>
      <c r="C164" s="285"/>
      <c r="D164" s="285"/>
      <c r="E164" s="285"/>
      <c r="F164" s="285"/>
      <c r="G164" s="285"/>
      <c r="H164" s="285"/>
      <c r="I164" s="285"/>
      <c r="J164" s="285"/>
      <c r="K164" s="285"/>
      <c r="L164" s="285"/>
      <c r="M164" s="285"/>
      <c r="N164" s="285"/>
      <c r="O164" s="285"/>
      <c r="P164" s="285"/>
      <c r="Q164" s="285"/>
      <c r="R164" s="285"/>
      <c r="S164" s="285"/>
      <c r="T164" s="339">
        <f>T113</f>
        <v>-17</v>
      </c>
      <c r="U164" s="288"/>
      <c r="V164" s="5"/>
    </row>
    <row r="165" spans="1:22" ht="15.6" x14ac:dyDescent="0.3">
      <c r="A165" s="284"/>
      <c r="B165" s="285" t="s">
        <v>56</v>
      </c>
      <c r="C165" s="285"/>
      <c r="D165" s="285"/>
      <c r="E165" s="285"/>
      <c r="F165" s="285"/>
      <c r="G165" s="285"/>
      <c r="H165" s="285"/>
      <c r="I165" s="285"/>
      <c r="J165" s="285"/>
      <c r="K165" s="285"/>
      <c r="L165" s="285"/>
      <c r="M165" s="285"/>
      <c r="N165" s="285"/>
      <c r="O165" s="285"/>
      <c r="P165" s="285"/>
      <c r="Q165" s="285"/>
      <c r="R165" s="285"/>
      <c r="S165" s="285"/>
      <c r="T165" s="339">
        <f>T163+T164</f>
        <v>0</v>
      </c>
      <c r="U165" s="288"/>
      <c r="V165" s="5"/>
    </row>
    <row r="166" spans="1:22" ht="15.6" x14ac:dyDescent="0.3">
      <c r="A166" s="284"/>
      <c r="B166" s="285" t="s">
        <v>273</v>
      </c>
      <c r="C166" s="285"/>
      <c r="D166" s="285"/>
      <c r="E166" s="285"/>
      <c r="F166" s="285"/>
      <c r="G166" s="285"/>
      <c r="H166" s="285"/>
      <c r="I166" s="285"/>
      <c r="J166" s="285"/>
      <c r="K166" s="285"/>
      <c r="L166" s="285"/>
      <c r="M166" s="285"/>
      <c r="N166" s="285"/>
      <c r="O166" s="285"/>
      <c r="P166" s="285"/>
      <c r="Q166" s="285"/>
      <c r="R166" s="285"/>
      <c r="S166" s="285"/>
      <c r="T166" s="339">
        <f>-T99</f>
        <v>31</v>
      </c>
      <c r="U166" s="288"/>
      <c r="V166" s="5"/>
    </row>
    <row r="167" spans="1:22" ht="16.2" thickBot="1" x14ac:dyDescent="0.35">
      <c r="A167" s="175"/>
      <c r="B167" s="334"/>
      <c r="C167" s="334"/>
      <c r="D167" s="334"/>
      <c r="E167" s="334"/>
      <c r="F167" s="334"/>
      <c r="G167" s="334"/>
      <c r="H167" s="334"/>
      <c r="I167" s="334"/>
      <c r="J167" s="334"/>
      <c r="K167" s="334"/>
      <c r="L167" s="334"/>
      <c r="M167" s="334"/>
      <c r="N167" s="334"/>
      <c r="O167" s="334"/>
      <c r="P167" s="334"/>
      <c r="Q167" s="334"/>
      <c r="R167" s="334"/>
      <c r="S167" s="334"/>
      <c r="T167" s="347"/>
      <c r="U167" s="334"/>
      <c r="V167" s="5"/>
    </row>
    <row r="168" spans="1:22" ht="15.6" x14ac:dyDescent="0.3">
      <c r="A168" s="173"/>
      <c r="B168" s="174"/>
      <c r="C168" s="174"/>
      <c r="D168" s="174"/>
      <c r="E168" s="174"/>
      <c r="F168" s="174"/>
      <c r="G168" s="174"/>
      <c r="H168" s="174"/>
      <c r="I168" s="174"/>
      <c r="J168" s="174"/>
      <c r="K168" s="174"/>
      <c r="L168" s="174"/>
      <c r="M168" s="174"/>
      <c r="N168" s="174"/>
      <c r="O168" s="174"/>
      <c r="P168" s="174"/>
      <c r="Q168" s="174"/>
      <c r="R168" s="174"/>
      <c r="S168" s="174"/>
      <c r="T168" s="193"/>
      <c r="U168" s="174"/>
      <c r="V168" s="5"/>
    </row>
    <row r="169" spans="1:22" ht="15.6" x14ac:dyDescent="0.3">
      <c r="A169" s="175"/>
      <c r="B169" s="201" t="s">
        <v>57</v>
      </c>
      <c r="C169" s="177"/>
      <c r="D169" s="177"/>
      <c r="E169" s="177"/>
      <c r="F169" s="177"/>
      <c r="G169" s="177"/>
      <c r="H169" s="177"/>
      <c r="I169" s="177"/>
      <c r="J169" s="177"/>
      <c r="K169" s="177"/>
      <c r="L169" s="177"/>
      <c r="M169" s="177"/>
      <c r="N169" s="177"/>
      <c r="O169" s="177"/>
      <c r="P169" s="177"/>
      <c r="Q169" s="177"/>
      <c r="R169" s="177"/>
      <c r="S169" s="177"/>
      <c r="T169" s="194"/>
      <c r="U169" s="177"/>
      <c r="V169" s="5"/>
    </row>
    <row r="170" spans="1:22" ht="15.6" x14ac:dyDescent="0.3">
      <c r="A170" s="175"/>
      <c r="B170" s="187"/>
      <c r="C170" s="177"/>
      <c r="D170" s="177"/>
      <c r="E170" s="177"/>
      <c r="F170" s="177"/>
      <c r="G170" s="177"/>
      <c r="H170" s="177"/>
      <c r="I170" s="177"/>
      <c r="J170" s="177"/>
      <c r="K170" s="177"/>
      <c r="L170" s="177"/>
      <c r="M170" s="177"/>
      <c r="N170" s="177"/>
      <c r="O170" s="177"/>
      <c r="P170" s="177"/>
      <c r="Q170" s="177"/>
      <c r="R170" s="177"/>
      <c r="S170" s="177"/>
      <c r="T170" s="194"/>
      <c r="U170" s="177"/>
      <c r="V170" s="5"/>
    </row>
    <row r="171" spans="1:22" ht="15.6" x14ac:dyDescent="0.3">
      <c r="A171" s="284"/>
      <c r="B171" s="285" t="s">
        <v>58</v>
      </c>
      <c r="C171" s="285"/>
      <c r="D171" s="285"/>
      <c r="E171" s="285"/>
      <c r="F171" s="285"/>
      <c r="G171" s="285"/>
      <c r="H171" s="285"/>
      <c r="I171" s="285"/>
      <c r="J171" s="285"/>
      <c r="K171" s="285"/>
      <c r="L171" s="285"/>
      <c r="M171" s="285"/>
      <c r="N171" s="285"/>
      <c r="O171" s="285"/>
      <c r="P171" s="285"/>
      <c r="Q171" s="285"/>
      <c r="R171" s="285"/>
      <c r="S171" s="285"/>
      <c r="T171" s="339">
        <f>T71</f>
        <v>470578</v>
      </c>
      <c r="U171" s="288"/>
      <c r="V171" s="5"/>
    </row>
    <row r="172" spans="1:22" ht="15.6" x14ac:dyDescent="0.3">
      <c r="A172" s="284"/>
      <c r="B172" s="285" t="s">
        <v>59</v>
      </c>
      <c r="C172" s="285"/>
      <c r="D172" s="285"/>
      <c r="E172" s="285"/>
      <c r="F172" s="285"/>
      <c r="G172" s="285"/>
      <c r="H172" s="285"/>
      <c r="I172" s="285"/>
      <c r="J172" s="285"/>
      <c r="K172" s="285"/>
      <c r="L172" s="285"/>
      <c r="M172" s="285"/>
      <c r="N172" s="285"/>
      <c r="O172" s="285"/>
      <c r="P172" s="285"/>
      <c r="Q172" s="285"/>
      <c r="R172" s="285"/>
      <c r="S172" s="285"/>
      <c r="T172" s="339">
        <f>T84</f>
        <v>470578</v>
      </c>
      <c r="U172" s="288"/>
      <c r="V172" s="5"/>
    </row>
    <row r="173" spans="1:22" ht="16.2" thickBot="1" x14ac:dyDescent="0.35">
      <c r="A173" s="175"/>
      <c r="B173" s="334"/>
      <c r="C173" s="334"/>
      <c r="D173" s="334"/>
      <c r="E173" s="334"/>
      <c r="F173" s="334"/>
      <c r="G173" s="334"/>
      <c r="H173" s="334"/>
      <c r="I173" s="334"/>
      <c r="J173" s="334"/>
      <c r="K173" s="334"/>
      <c r="L173" s="334"/>
      <c r="M173" s="334"/>
      <c r="N173" s="334"/>
      <c r="O173" s="334"/>
      <c r="P173" s="334"/>
      <c r="Q173" s="334"/>
      <c r="R173" s="334"/>
      <c r="S173" s="334"/>
      <c r="T173" s="347"/>
      <c r="U173" s="334"/>
      <c r="V173" s="5"/>
    </row>
    <row r="174" spans="1:22" ht="15.6" x14ac:dyDescent="0.3">
      <c r="A174" s="173"/>
      <c r="B174" s="174"/>
      <c r="C174" s="174"/>
      <c r="D174" s="174"/>
      <c r="E174" s="174"/>
      <c r="F174" s="174"/>
      <c r="G174" s="174"/>
      <c r="H174" s="174"/>
      <c r="I174" s="174"/>
      <c r="J174" s="174"/>
      <c r="K174" s="174"/>
      <c r="L174" s="174"/>
      <c r="M174" s="174"/>
      <c r="N174" s="174"/>
      <c r="O174" s="174"/>
      <c r="P174" s="174"/>
      <c r="Q174" s="174"/>
      <c r="R174" s="174"/>
      <c r="S174" s="174"/>
      <c r="T174" s="193"/>
      <c r="U174" s="174"/>
      <c r="V174" s="5"/>
    </row>
    <row r="175" spans="1:22" ht="15.6" x14ac:dyDescent="0.3">
      <c r="A175" s="175"/>
      <c r="B175" s="201" t="s">
        <v>60</v>
      </c>
      <c r="C175" s="198"/>
      <c r="D175" s="198"/>
      <c r="E175" s="198"/>
      <c r="F175" s="198"/>
      <c r="G175" s="198"/>
      <c r="H175" s="203"/>
      <c r="I175" s="203"/>
      <c r="J175" s="203"/>
      <c r="K175" s="203"/>
      <c r="L175" s="203"/>
      <c r="M175" s="203"/>
      <c r="N175" s="203"/>
      <c r="O175" s="203"/>
      <c r="P175" s="203"/>
      <c r="Q175" s="203" t="s">
        <v>104</v>
      </c>
      <c r="R175" s="203" t="s">
        <v>183</v>
      </c>
      <c r="S175" s="179"/>
      <c r="T175" s="204" t="s">
        <v>120</v>
      </c>
      <c r="U175" s="205"/>
      <c r="V175" s="5"/>
    </row>
    <row r="176" spans="1:22" ht="15.6" x14ac:dyDescent="0.3">
      <c r="A176" s="284"/>
      <c r="B176" s="285" t="s">
        <v>61</v>
      </c>
      <c r="C176" s="285"/>
      <c r="D176" s="285"/>
      <c r="E176" s="285"/>
      <c r="F176" s="285"/>
      <c r="G176" s="285"/>
      <c r="H176" s="285"/>
      <c r="I176" s="285"/>
      <c r="J176" s="285"/>
      <c r="K176" s="285"/>
      <c r="L176" s="285"/>
      <c r="M176" s="285"/>
      <c r="N176" s="285"/>
      <c r="O176" s="285"/>
      <c r="P176" s="285"/>
      <c r="Q176" s="339">
        <v>160008</v>
      </c>
      <c r="R176" s="324"/>
      <c r="S176" s="285"/>
      <c r="T176" s="339"/>
      <c r="U176" s="288"/>
      <c r="V176" s="5"/>
    </row>
    <row r="177" spans="1:22" ht="15.6" x14ac:dyDescent="0.3">
      <c r="A177" s="284"/>
      <c r="B177" s="285" t="s">
        <v>62</v>
      </c>
      <c r="C177" s="285"/>
      <c r="D177" s="285"/>
      <c r="E177" s="285"/>
      <c r="F177" s="285"/>
      <c r="G177" s="285"/>
      <c r="H177" s="285"/>
      <c r="I177" s="285"/>
      <c r="J177" s="285"/>
      <c r="K177" s="285"/>
      <c r="L177" s="285"/>
      <c r="M177" s="285"/>
      <c r="N177" s="285"/>
      <c r="O177" s="285"/>
      <c r="P177" s="285"/>
      <c r="Q177" s="339">
        <f>+'Dec 15'!Q179</f>
        <v>38822</v>
      </c>
      <c r="R177" s="339">
        <f>+'Dec 15'!R179</f>
        <v>3447</v>
      </c>
      <c r="S177" s="285"/>
      <c r="T177" s="339">
        <f>Q177+R177</f>
        <v>42269</v>
      </c>
      <c r="U177" s="288"/>
      <c r="V177" s="5"/>
    </row>
    <row r="178" spans="1:22" ht="15.6" x14ac:dyDescent="0.3">
      <c r="A178" s="284"/>
      <c r="B178" s="285" t="s">
        <v>63</v>
      </c>
      <c r="C178" s="285"/>
      <c r="D178" s="285"/>
      <c r="E178" s="285"/>
      <c r="F178" s="285"/>
      <c r="G178" s="285"/>
      <c r="H178" s="285"/>
      <c r="I178" s="285"/>
      <c r="J178" s="285"/>
      <c r="K178" s="285"/>
      <c r="L178" s="285"/>
      <c r="M178" s="285"/>
      <c r="N178" s="285"/>
      <c r="O178" s="285"/>
      <c r="P178" s="285"/>
      <c r="Q178" s="338">
        <f>50+62</f>
        <v>112</v>
      </c>
      <c r="R178" s="338">
        <v>0</v>
      </c>
      <c r="S178" s="285"/>
      <c r="T178" s="339">
        <f>Q178+R178</f>
        <v>112</v>
      </c>
      <c r="U178" s="288"/>
      <c r="V178" s="5"/>
    </row>
    <row r="179" spans="1:22" ht="15.6" x14ac:dyDescent="0.3">
      <c r="A179" s="284"/>
      <c r="B179" s="285" t="s">
        <v>64</v>
      </c>
      <c r="C179" s="285"/>
      <c r="D179" s="285"/>
      <c r="E179" s="285"/>
      <c r="F179" s="285"/>
      <c r="G179" s="285"/>
      <c r="H179" s="285"/>
      <c r="I179" s="285"/>
      <c r="J179" s="285"/>
      <c r="K179" s="285"/>
      <c r="L179" s="285"/>
      <c r="M179" s="285"/>
      <c r="N179" s="285"/>
      <c r="O179" s="285"/>
      <c r="P179" s="285"/>
      <c r="Q179" s="339">
        <f>Q177+Q178</f>
        <v>38934</v>
      </c>
      <c r="R179" s="339">
        <f>R178+R177</f>
        <v>3447</v>
      </c>
      <c r="S179" s="285"/>
      <c r="T179" s="339">
        <f>Q179+R179</f>
        <v>42381</v>
      </c>
      <c r="U179" s="288"/>
      <c r="V179" s="5"/>
    </row>
    <row r="180" spans="1:22" ht="15.6" x14ac:dyDescent="0.3">
      <c r="A180" s="284"/>
      <c r="B180" s="285" t="s">
        <v>65</v>
      </c>
      <c r="C180" s="285"/>
      <c r="D180" s="285"/>
      <c r="E180" s="285"/>
      <c r="F180" s="285"/>
      <c r="G180" s="285"/>
      <c r="H180" s="285"/>
      <c r="I180" s="285"/>
      <c r="J180" s="285"/>
      <c r="K180" s="285"/>
      <c r="L180" s="285"/>
      <c r="M180" s="285"/>
      <c r="N180" s="285"/>
      <c r="O180" s="285"/>
      <c r="P180" s="285"/>
      <c r="Q180" s="339">
        <f>Q176-Q179-R179</f>
        <v>117627</v>
      </c>
      <c r="R180" s="324"/>
      <c r="S180" s="285"/>
      <c r="T180" s="339"/>
      <c r="U180" s="288"/>
      <c r="V180" s="5"/>
    </row>
    <row r="181" spans="1:22" ht="16.2" thickBot="1" x14ac:dyDescent="0.35">
      <c r="A181" s="175"/>
      <c r="B181" s="334"/>
      <c r="C181" s="334"/>
      <c r="D181" s="334"/>
      <c r="E181" s="334"/>
      <c r="F181" s="334"/>
      <c r="G181" s="334"/>
      <c r="H181" s="334"/>
      <c r="I181" s="334"/>
      <c r="J181" s="334"/>
      <c r="K181" s="334"/>
      <c r="L181" s="334"/>
      <c r="M181" s="334"/>
      <c r="N181" s="334"/>
      <c r="O181" s="334"/>
      <c r="P181" s="334"/>
      <c r="Q181" s="334"/>
      <c r="R181" s="334"/>
      <c r="S181" s="334"/>
      <c r="T181" s="347"/>
      <c r="U181" s="334"/>
      <c r="V181" s="5"/>
    </row>
    <row r="182" spans="1:22" ht="15.6" x14ac:dyDescent="0.3">
      <c r="A182" s="173"/>
      <c r="B182" s="174"/>
      <c r="C182" s="174"/>
      <c r="D182" s="174"/>
      <c r="E182" s="174"/>
      <c r="F182" s="174"/>
      <c r="G182" s="174"/>
      <c r="H182" s="174"/>
      <c r="I182" s="174"/>
      <c r="J182" s="174"/>
      <c r="K182" s="174"/>
      <c r="L182" s="174"/>
      <c r="M182" s="174"/>
      <c r="N182" s="174"/>
      <c r="O182" s="174"/>
      <c r="P182" s="174"/>
      <c r="Q182" s="174"/>
      <c r="R182" s="174"/>
      <c r="S182" s="174"/>
      <c r="T182" s="193"/>
      <c r="U182" s="174"/>
      <c r="V182" s="5"/>
    </row>
    <row r="183" spans="1:22" ht="15.6" x14ac:dyDescent="0.3">
      <c r="A183" s="175"/>
      <c r="B183" s="201" t="s">
        <v>66</v>
      </c>
      <c r="C183" s="177"/>
      <c r="D183" s="177"/>
      <c r="E183" s="177"/>
      <c r="F183" s="177"/>
      <c r="G183" s="177"/>
      <c r="H183" s="177"/>
      <c r="I183" s="177"/>
      <c r="J183" s="177"/>
      <c r="K183" s="177"/>
      <c r="L183" s="177"/>
      <c r="M183" s="177"/>
      <c r="N183" s="177"/>
      <c r="O183" s="177"/>
      <c r="P183" s="177"/>
      <c r="Q183" s="177"/>
      <c r="R183" s="177"/>
      <c r="S183" s="177"/>
      <c r="T183" s="206"/>
      <c r="U183" s="177"/>
      <c r="V183" s="5"/>
    </row>
    <row r="184" spans="1:22" ht="15.6" x14ac:dyDescent="0.3">
      <c r="A184" s="284"/>
      <c r="B184" s="285" t="s">
        <v>67</v>
      </c>
      <c r="C184" s="285"/>
      <c r="D184" s="285"/>
      <c r="E184" s="285"/>
      <c r="F184" s="285"/>
      <c r="G184" s="285"/>
      <c r="H184" s="285"/>
      <c r="I184" s="285"/>
      <c r="J184" s="285"/>
      <c r="K184" s="285"/>
      <c r="L184" s="285"/>
      <c r="M184" s="285"/>
      <c r="N184" s="285"/>
      <c r="O184" s="285"/>
      <c r="P184" s="285"/>
      <c r="Q184" s="285"/>
      <c r="R184" s="285"/>
      <c r="S184" s="285"/>
      <c r="T184" s="348">
        <f>(T100+T102+T103+T104+T105)/-(T106+T107)</f>
        <v>4.4419306184012068</v>
      </c>
      <c r="U184" s="288" t="s">
        <v>121</v>
      </c>
      <c r="V184" s="5"/>
    </row>
    <row r="185" spans="1:22" ht="15.6" x14ac:dyDescent="0.3">
      <c r="A185" s="284"/>
      <c r="B185" s="285" t="s">
        <v>68</v>
      </c>
      <c r="C185" s="285"/>
      <c r="D185" s="285"/>
      <c r="E185" s="285"/>
      <c r="F185" s="285"/>
      <c r="G185" s="285"/>
      <c r="H185" s="285"/>
      <c r="I185" s="285"/>
      <c r="J185" s="285"/>
      <c r="K185" s="285"/>
      <c r="L185" s="285"/>
      <c r="M185" s="285"/>
      <c r="N185" s="285"/>
      <c r="O185" s="285"/>
      <c r="P185" s="285"/>
      <c r="Q185" s="285"/>
      <c r="R185" s="285"/>
      <c r="S185" s="285"/>
      <c r="T185" s="349">
        <v>1.84</v>
      </c>
      <c r="U185" s="288" t="s">
        <v>121</v>
      </c>
      <c r="V185" s="5"/>
    </row>
    <row r="186" spans="1:22" ht="15.6" x14ac:dyDescent="0.3">
      <c r="A186" s="284"/>
      <c r="B186" s="285" t="s">
        <v>69</v>
      </c>
      <c r="C186" s="285"/>
      <c r="D186" s="285"/>
      <c r="E186" s="285"/>
      <c r="F186" s="285"/>
      <c r="G186" s="285"/>
      <c r="H186" s="285"/>
      <c r="I186" s="285"/>
      <c r="J186" s="285"/>
      <c r="K186" s="285"/>
      <c r="L186" s="285"/>
      <c r="M186" s="285"/>
      <c r="N186" s="285"/>
      <c r="O186" s="285"/>
      <c r="P186" s="285"/>
      <c r="Q186" s="285"/>
      <c r="R186" s="285"/>
      <c r="S186" s="285"/>
      <c r="T186" s="348">
        <f>(T100+T102+T103+T104+T105+T106+T107)/-(T108+T109)</f>
        <v>11.947643979057592</v>
      </c>
      <c r="U186" s="288" t="s">
        <v>121</v>
      </c>
      <c r="V186" s="5"/>
    </row>
    <row r="187" spans="1:22" ht="15.6" x14ac:dyDescent="0.3">
      <c r="A187" s="284"/>
      <c r="B187" s="285" t="s">
        <v>70</v>
      </c>
      <c r="C187" s="285"/>
      <c r="D187" s="285"/>
      <c r="E187" s="285"/>
      <c r="F187" s="285"/>
      <c r="G187" s="285"/>
      <c r="H187" s="285"/>
      <c r="I187" s="285"/>
      <c r="J187" s="285"/>
      <c r="K187" s="285"/>
      <c r="L187" s="285"/>
      <c r="M187" s="285"/>
      <c r="N187" s="285"/>
      <c r="O187" s="285"/>
      <c r="P187" s="285"/>
      <c r="Q187" s="285"/>
      <c r="R187" s="285"/>
      <c r="S187" s="285"/>
      <c r="T187" s="349">
        <v>6.66</v>
      </c>
      <c r="U187" s="288" t="s">
        <v>121</v>
      </c>
      <c r="V187" s="5"/>
    </row>
    <row r="188" spans="1:22" ht="15.6" x14ac:dyDescent="0.3">
      <c r="A188" s="284"/>
      <c r="B188" s="285" t="s">
        <v>206</v>
      </c>
      <c r="C188" s="285"/>
      <c r="D188" s="285"/>
      <c r="E188" s="285"/>
      <c r="F188" s="285"/>
      <c r="G188" s="285"/>
      <c r="H188" s="285"/>
      <c r="I188" s="285"/>
      <c r="J188" s="285"/>
      <c r="K188" s="285"/>
      <c r="L188" s="285"/>
      <c r="M188" s="285"/>
      <c r="N188" s="285"/>
      <c r="O188" s="285"/>
      <c r="P188" s="285"/>
      <c r="Q188" s="285"/>
      <c r="R188" s="285"/>
      <c r="S188" s="285"/>
      <c r="T188" s="348">
        <f>(T100+T102+T103+T104+T105+T106+T107+T108+T109)/-(T110)</f>
        <v>9.2114537444933919</v>
      </c>
      <c r="U188" s="288" t="s">
        <v>121</v>
      </c>
      <c r="V188" s="5"/>
    </row>
    <row r="189" spans="1:22" ht="15.6" x14ac:dyDescent="0.3">
      <c r="A189" s="284"/>
      <c r="B189" s="285" t="s">
        <v>207</v>
      </c>
      <c r="C189" s="285"/>
      <c r="D189" s="285"/>
      <c r="E189" s="285"/>
      <c r="F189" s="285"/>
      <c r="G189" s="285"/>
      <c r="H189" s="285"/>
      <c r="I189" s="285"/>
      <c r="J189" s="285"/>
      <c r="K189" s="285"/>
      <c r="L189" s="285"/>
      <c r="M189" s="285"/>
      <c r="N189" s="285"/>
      <c r="O189" s="285"/>
      <c r="P189" s="285"/>
      <c r="Q189" s="285"/>
      <c r="R189" s="285"/>
      <c r="S189" s="285"/>
      <c r="T189" s="349">
        <v>5.98</v>
      </c>
      <c r="U189" s="288" t="s">
        <v>121</v>
      </c>
      <c r="V189" s="5"/>
    </row>
    <row r="190" spans="1:22" ht="15.6" x14ac:dyDescent="0.3">
      <c r="A190" s="284"/>
      <c r="B190" s="311"/>
      <c r="C190" s="311"/>
      <c r="D190" s="311"/>
      <c r="E190" s="311"/>
      <c r="F190" s="311"/>
      <c r="G190" s="311"/>
      <c r="H190" s="311"/>
      <c r="I190" s="311"/>
      <c r="J190" s="311"/>
      <c r="K190" s="311"/>
      <c r="L190" s="311"/>
      <c r="M190" s="311"/>
      <c r="N190" s="311"/>
      <c r="O190" s="311"/>
      <c r="P190" s="311"/>
      <c r="Q190" s="311"/>
      <c r="R190" s="311"/>
      <c r="S190" s="311"/>
      <c r="T190" s="311"/>
      <c r="U190" s="317"/>
      <c r="V190" s="5"/>
    </row>
    <row r="191" spans="1:22" ht="15.6" x14ac:dyDescent="0.3">
      <c r="A191" s="175"/>
      <c r="B191" s="334"/>
      <c r="C191" s="334"/>
      <c r="D191" s="334"/>
      <c r="E191" s="334"/>
      <c r="F191" s="334"/>
      <c r="G191" s="334"/>
      <c r="H191" s="334"/>
      <c r="I191" s="334"/>
      <c r="J191" s="334"/>
      <c r="K191" s="334"/>
      <c r="L191" s="334"/>
      <c r="M191" s="334"/>
      <c r="N191" s="334"/>
      <c r="O191" s="334"/>
      <c r="P191" s="334"/>
      <c r="Q191" s="334"/>
      <c r="R191" s="334"/>
      <c r="S191" s="334"/>
      <c r="T191" s="334"/>
      <c r="U191" s="334"/>
      <c r="V191" s="5"/>
    </row>
    <row r="192" spans="1:22" ht="15.6" x14ac:dyDescent="0.3">
      <c r="A192" s="175"/>
      <c r="B192" s="177"/>
      <c r="C192" s="177"/>
      <c r="D192" s="177"/>
      <c r="E192" s="177"/>
      <c r="F192" s="177"/>
      <c r="G192" s="177"/>
      <c r="H192" s="177"/>
      <c r="I192" s="177"/>
      <c r="J192" s="177"/>
      <c r="K192" s="177"/>
      <c r="L192" s="177"/>
      <c r="M192" s="177"/>
      <c r="N192" s="177"/>
      <c r="O192" s="177"/>
      <c r="P192" s="177"/>
      <c r="Q192" s="177"/>
      <c r="R192" s="177"/>
      <c r="S192" s="177"/>
      <c r="T192" s="177"/>
      <c r="U192" s="177"/>
      <c r="V192" s="5"/>
    </row>
    <row r="193" spans="1:22" ht="18" thickBot="1" x14ac:dyDescent="0.35">
      <c r="A193" s="192"/>
      <c r="B193" s="246" t="str">
        <f>B133</f>
        <v>PM11 INVESTOR REPORT QUARTER ENDING MARCH 2016</v>
      </c>
      <c r="C193" s="207"/>
      <c r="D193" s="207"/>
      <c r="E193" s="207"/>
      <c r="F193" s="207"/>
      <c r="G193" s="207"/>
      <c r="H193" s="207"/>
      <c r="I193" s="207"/>
      <c r="J193" s="207"/>
      <c r="K193" s="207"/>
      <c r="L193" s="207"/>
      <c r="M193" s="207"/>
      <c r="N193" s="207"/>
      <c r="O193" s="207"/>
      <c r="P193" s="207"/>
      <c r="Q193" s="207"/>
      <c r="R193" s="207"/>
      <c r="S193" s="207"/>
      <c r="T193" s="207"/>
      <c r="U193" s="208"/>
      <c r="V193" s="5"/>
    </row>
    <row r="194" spans="1:22" ht="15.6" x14ac:dyDescent="0.3">
      <c r="A194" s="260"/>
      <c r="B194" s="399" t="s">
        <v>71</v>
      </c>
      <c r="C194" s="400"/>
      <c r="D194" s="400"/>
      <c r="E194" s="400"/>
      <c r="F194" s="400"/>
      <c r="G194" s="401"/>
      <c r="H194" s="401"/>
      <c r="I194" s="401"/>
      <c r="J194" s="401"/>
      <c r="K194" s="401"/>
      <c r="L194" s="401"/>
      <c r="M194" s="401"/>
      <c r="N194" s="401"/>
      <c r="O194" s="401"/>
      <c r="P194" s="401"/>
      <c r="Q194" s="401"/>
      <c r="R194" s="401">
        <v>42460</v>
      </c>
      <c r="S194" s="261"/>
      <c r="T194" s="261"/>
      <c r="U194" s="261"/>
      <c r="V194" s="5"/>
    </row>
    <row r="195" spans="1:22" ht="15.6" x14ac:dyDescent="0.3">
      <c r="A195" s="209"/>
      <c r="B195" s="210"/>
      <c r="C195" s="211"/>
      <c r="D195" s="211"/>
      <c r="E195" s="211"/>
      <c r="F195" s="211"/>
      <c r="G195" s="212"/>
      <c r="H195" s="212"/>
      <c r="I195" s="212"/>
      <c r="J195" s="212"/>
      <c r="K195" s="212"/>
      <c r="L195" s="212"/>
      <c r="M195" s="212"/>
      <c r="N195" s="212"/>
      <c r="O195" s="212"/>
      <c r="P195" s="212"/>
      <c r="Q195" s="212"/>
      <c r="R195" s="212"/>
      <c r="S195" s="177"/>
      <c r="T195" s="177"/>
      <c r="U195" s="177"/>
      <c r="V195" s="5"/>
    </row>
    <row r="196" spans="1:22" ht="15.6" x14ac:dyDescent="0.3">
      <c r="A196" s="352"/>
      <c r="B196" s="285" t="s">
        <v>72</v>
      </c>
      <c r="C196" s="353"/>
      <c r="D196" s="353"/>
      <c r="E196" s="353"/>
      <c r="F196" s="353"/>
      <c r="G196" s="329"/>
      <c r="H196" s="329"/>
      <c r="I196" s="329"/>
      <c r="J196" s="329"/>
      <c r="K196" s="329"/>
      <c r="L196" s="329"/>
      <c r="M196" s="329"/>
      <c r="N196" s="329"/>
      <c r="O196" s="329"/>
      <c r="P196" s="329"/>
      <c r="Q196" s="329"/>
      <c r="R196" s="320">
        <v>5.1569999999999998E-2</v>
      </c>
      <c r="S196" s="285"/>
      <c r="T196" s="285"/>
      <c r="U196" s="317"/>
      <c r="V196" s="5"/>
    </row>
    <row r="197" spans="1:22" ht="15.6" x14ac:dyDescent="0.3">
      <c r="A197" s="352"/>
      <c r="B197" s="285" t="s">
        <v>157</v>
      </c>
      <c r="C197" s="353"/>
      <c r="D197" s="353"/>
      <c r="E197" s="353"/>
      <c r="F197" s="353"/>
      <c r="G197" s="329"/>
      <c r="H197" s="329"/>
      <c r="I197" s="329"/>
      <c r="J197" s="329"/>
      <c r="K197" s="329"/>
      <c r="L197" s="329"/>
      <c r="M197" s="329"/>
      <c r="N197" s="329"/>
      <c r="O197" s="329"/>
      <c r="P197" s="329"/>
      <c r="Q197" s="329"/>
      <c r="R197" s="320">
        <v>4.6899999999999997E-2</v>
      </c>
      <c r="S197" s="285"/>
      <c r="T197" s="285"/>
      <c r="U197" s="317"/>
      <c r="V197" s="5"/>
    </row>
    <row r="198" spans="1:22" ht="15.6" x14ac:dyDescent="0.3">
      <c r="A198" s="352"/>
      <c r="B198" s="285" t="s">
        <v>73</v>
      </c>
      <c r="C198" s="353"/>
      <c r="D198" s="353"/>
      <c r="E198" s="353"/>
      <c r="F198" s="353"/>
      <c r="G198" s="329"/>
      <c r="H198" s="329"/>
      <c r="I198" s="329"/>
      <c r="J198" s="329"/>
      <c r="K198" s="329"/>
      <c r="L198" s="329"/>
      <c r="M198" s="329"/>
      <c r="N198" s="329"/>
      <c r="O198" s="329"/>
      <c r="P198" s="329"/>
      <c r="Q198" s="329"/>
      <c r="R198" s="320">
        <f>R196-R197</f>
        <v>4.6700000000000005E-3</v>
      </c>
      <c r="S198" s="285"/>
      <c r="T198" s="285"/>
      <c r="U198" s="317"/>
      <c r="V198" s="5"/>
    </row>
    <row r="199" spans="1:22" ht="15.6" x14ac:dyDescent="0.3">
      <c r="A199" s="352"/>
      <c r="B199" s="285" t="s">
        <v>74</v>
      </c>
      <c r="C199" s="353"/>
      <c r="D199" s="353"/>
      <c r="E199" s="353"/>
      <c r="F199" s="353"/>
      <c r="G199" s="329"/>
      <c r="H199" s="329"/>
      <c r="I199" s="329"/>
      <c r="J199" s="329"/>
      <c r="K199" s="329"/>
      <c r="L199" s="329"/>
      <c r="M199" s="329"/>
      <c r="N199" s="329"/>
      <c r="O199" s="329"/>
      <c r="P199" s="329"/>
      <c r="Q199" s="329"/>
      <c r="R199" s="320">
        <v>2.351E-2</v>
      </c>
      <c r="S199" s="285"/>
      <c r="T199" s="285"/>
      <c r="U199" s="317"/>
      <c r="V199" s="5"/>
    </row>
    <row r="200" spans="1:22" ht="15.6" x14ac:dyDescent="0.3">
      <c r="A200" s="352"/>
      <c r="B200" s="285" t="s">
        <v>257</v>
      </c>
      <c r="C200" s="353"/>
      <c r="D200" s="353"/>
      <c r="E200" s="353"/>
      <c r="F200" s="353"/>
      <c r="G200" s="329"/>
      <c r="H200" s="329"/>
      <c r="I200" s="329"/>
      <c r="J200" s="329"/>
      <c r="K200" s="329"/>
      <c r="L200" s="329"/>
      <c r="M200" s="329"/>
      <c r="N200" s="329"/>
      <c r="O200" s="329"/>
      <c r="P200" s="329"/>
      <c r="Q200" s="329"/>
      <c r="R200" s="320">
        <f>T43</f>
        <v>9.0237553731085211E-3</v>
      </c>
      <c r="S200" s="285"/>
      <c r="T200" s="285"/>
      <c r="U200" s="317"/>
      <c r="V200" s="5"/>
    </row>
    <row r="201" spans="1:22" ht="15.6" x14ac:dyDescent="0.3">
      <c r="A201" s="352"/>
      <c r="B201" s="285" t="s">
        <v>75</v>
      </c>
      <c r="C201" s="353"/>
      <c r="D201" s="353"/>
      <c r="E201" s="353"/>
      <c r="F201" s="353"/>
      <c r="G201" s="329"/>
      <c r="H201" s="329"/>
      <c r="I201" s="329"/>
      <c r="J201" s="329"/>
      <c r="K201" s="329"/>
      <c r="L201" s="329"/>
      <c r="M201" s="329"/>
      <c r="N201" s="329"/>
      <c r="O201" s="329"/>
      <c r="P201" s="329"/>
      <c r="Q201" s="329"/>
      <c r="R201" s="320">
        <f>R199-R200</f>
        <v>1.4486244626891479E-2</v>
      </c>
      <c r="S201" s="285"/>
      <c r="T201" s="285"/>
      <c r="U201" s="317"/>
      <c r="V201" s="5"/>
    </row>
    <row r="202" spans="1:22" ht="15.6" x14ac:dyDescent="0.3">
      <c r="A202" s="352"/>
      <c r="B202" s="285" t="s">
        <v>260</v>
      </c>
      <c r="C202" s="353"/>
      <c r="D202" s="353"/>
      <c r="E202" s="353"/>
      <c r="F202" s="353"/>
      <c r="G202" s="329"/>
      <c r="H202" s="329"/>
      <c r="I202" s="329"/>
      <c r="J202" s="329"/>
      <c r="K202" s="329"/>
      <c r="L202" s="329"/>
      <c r="M202" s="329"/>
      <c r="N202" s="329"/>
      <c r="O202" s="329"/>
      <c r="P202" s="329"/>
      <c r="Q202" s="329"/>
      <c r="R202" s="320">
        <f>+T100/L71</f>
        <v>6.805568571101323E-3</v>
      </c>
      <c r="S202" s="285"/>
      <c r="T202" s="285"/>
      <c r="U202" s="317"/>
      <c r="V202" s="5"/>
    </row>
    <row r="203" spans="1:22" ht="15.6" x14ac:dyDescent="0.3">
      <c r="A203" s="352"/>
      <c r="B203" s="285" t="s">
        <v>217</v>
      </c>
      <c r="C203" s="353"/>
      <c r="D203" s="353"/>
      <c r="E203" s="353"/>
      <c r="F203" s="353"/>
      <c r="G203" s="329"/>
      <c r="H203" s="329"/>
      <c r="I203" s="329"/>
      <c r="J203" s="329"/>
      <c r="K203" s="329"/>
      <c r="L203" s="329"/>
      <c r="M203" s="329"/>
      <c r="N203" s="329"/>
      <c r="O203" s="329"/>
      <c r="P203" s="329"/>
      <c r="Q203" s="329"/>
      <c r="R203" s="354">
        <v>15250</v>
      </c>
      <c r="S203" s="285"/>
      <c r="T203" s="285"/>
      <c r="U203" s="317"/>
      <c r="V203" s="5"/>
    </row>
    <row r="204" spans="1:22" ht="15.6" x14ac:dyDescent="0.3">
      <c r="A204" s="352"/>
      <c r="B204" s="285" t="s">
        <v>218</v>
      </c>
      <c r="C204" s="353"/>
      <c r="D204" s="353"/>
      <c r="E204" s="353"/>
      <c r="F204" s="353"/>
      <c r="G204" s="329"/>
      <c r="H204" s="329"/>
      <c r="I204" s="329"/>
      <c r="J204" s="329"/>
      <c r="K204" s="329"/>
      <c r="L204" s="329"/>
      <c r="M204" s="329"/>
      <c r="N204" s="329"/>
      <c r="O204" s="329"/>
      <c r="P204" s="329"/>
      <c r="Q204" s="329"/>
      <c r="R204" s="354">
        <v>15250</v>
      </c>
      <c r="S204" s="285"/>
      <c r="T204" s="285"/>
      <c r="U204" s="317"/>
      <c r="V204" s="5"/>
    </row>
    <row r="205" spans="1:22" ht="15.6" x14ac:dyDescent="0.3">
      <c r="A205" s="352"/>
      <c r="B205" s="285" t="s">
        <v>219</v>
      </c>
      <c r="C205" s="353"/>
      <c r="D205" s="353"/>
      <c r="E205" s="353"/>
      <c r="F205" s="353"/>
      <c r="G205" s="329"/>
      <c r="H205" s="329"/>
      <c r="I205" s="329"/>
      <c r="J205" s="329"/>
      <c r="K205" s="329"/>
      <c r="L205" s="329"/>
      <c r="M205" s="329"/>
      <c r="N205" s="329"/>
      <c r="O205" s="329"/>
      <c r="P205" s="329"/>
      <c r="Q205" s="329"/>
      <c r="R205" s="354">
        <v>15250</v>
      </c>
      <c r="S205" s="285"/>
      <c r="T205" s="285"/>
      <c r="U205" s="317"/>
      <c r="V205" s="5"/>
    </row>
    <row r="206" spans="1:22" ht="15.6" x14ac:dyDescent="0.3">
      <c r="A206" s="352"/>
      <c r="B206" s="285" t="s">
        <v>76</v>
      </c>
      <c r="C206" s="353"/>
      <c r="D206" s="353"/>
      <c r="E206" s="353"/>
      <c r="F206" s="353"/>
      <c r="G206" s="329"/>
      <c r="H206" s="329"/>
      <c r="I206" s="329"/>
      <c r="J206" s="329"/>
      <c r="K206" s="329"/>
      <c r="L206" s="329"/>
      <c r="M206" s="329"/>
      <c r="N206" s="329"/>
      <c r="O206" s="329"/>
      <c r="P206" s="329"/>
      <c r="Q206" s="329"/>
      <c r="R206" s="326">
        <v>21.18</v>
      </c>
      <c r="S206" s="285" t="s">
        <v>116</v>
      </c>
      <c r="T206" s="285"/>
      <c r="U206" s="317"/>
      <c r="V206" s="5"/>
    </row>
    <row r="207" spans="1:22" ht="15.6" x14ac:dyDescent="0.3">
      <c r="A207" s="352"/>
      <c r="B207" s="285" t="s">
        <v>77</v>
      </c>
      <c r="C207" s="353"/>
      <c r="D207" s="353"/>
      <c r="E207" s="353"/>
      <c r="F207" s="353"/>
      <c r="G207" s="329"/>
      <c r="H207" s="329"/>
      <c r="I207" s="329"/>
      <c r="J207" s="329"/>
      <c r="K207" s="329"/>
      <c r="L207" s="329"/>
      <c r="M207" s="329"/>
      <c r="N207" s="329"/>
      <c r="O207" s="329"/>
      <c r="P207" s="329"/>
      <c r="Q207" s="329"/>
      <c r="R207" s="326">
        <v>11.7</v>
      </c>
      <c r="S207" s="285" t="s">
        <v>116</v>
      </c>
      <c r="T207" s="285"/>
      <c r="U207" s="317"/>
      <c r="V207" s="5"/>
    </row>
    <row r="208" spans="1:22" ht="15.6" x14ac:dyDescent="0.3">
      <c r="A208" s="352"/>
      <c r="B208" s="285" t="s">
        <v>78</v>
      </c>
      <c r="C208" s="353"/>
      <c r="D208" s="353"/>
      <c r="E208" s="353"/>
      <c r="F208" s="353"/>
      <c r="G208" s="329"/>
      <c r="H208" s="329"/>
      <c r="I208" s="329"/>
      <c r="J208" s="329"/>
      <c r="K208" s="329"/>
      <c r="L208" s="329"/>
      <c r="M208" s="329"/>
      <c r="N208" s="329"/>
      <c r="O208" s="329"/>
      <c r="P208" s="329"/>
      <c r="Q208" s="329"/>
      <c r="R208" s="320">
        <f>N68/L68</f>
        <v>2.026051916408959E-2</v>
      </c>
      <c r="S208" s="285"/>
      <c r="T208" s="285"/>
      <c r="U208" s="317"/>
      <c r="V208" s="5"/>
    </row>
    <row r="209" spans="1:22" ht="15.6" x14ac:dyDescent="0.3">
      <c r="A209" s="352"/>
      <c r="B209" s="285" t="s">
        <v>79</v>
      </c>
      <c r="C209" s="353"/>
      <c r="D209" s="353"/>
      <c r="E209" s="353"/>
      <c r="F209" s="353"/>
      <c r="G209" s="329"/>
      <c r="H209" s="329"/>
      <c r="I209" s="329"/>
      <c r="J209" s="329"/>
      <c r="K209" s="329"/>
      <c r="L209" s="329"/>
      <c r="M209" s="329"/>
      <c r="N209" s="329"/>
      <c r="O209" s="329"/>
      <c r="P209" s="329"/>
      <c r="Q209" s="329"/>
      <c r="R209" s="320">
        <v>7.7299999999999994E-2</v>
      </c>
      <c r="S209" s="285"/>
      <c r="T209" s="285"/>
      <c r="U209" s="317"/>
      <c r="V209" s="5"/>
    </row>
    <row r="210" spans="1:22" ht="15.6" x14ac:dyDescent="0.3">
      <c r="A210" s="209"/>
      <c r="B210" s="350"/>
      <c r="C210" s="350"/>
      <c r="D210" s="350"/>
      <c r="E210" s="350"/>
      <c r="F210" s="350"/>
      <c r="G210" s="334"/>
      <c r="H210" s="334"/>
      <c r="I210" s="334"/>
      <c r="J210" s="334"/>
      <c r="K210" s="334"/>
      <c r="L210" s="334"/>
      <c r="M210" s="334"/>
      <c r="N210" s="334"/>
      <c r="O210" s="334"/>
      <c r="P210" s="334"/>
      <c r="Q210" s="334"/>
      <c r="R210" s="347"/>
      <c r="S210" s="334"/>
      <c r="T210" s="351"/>
      <c r="U210" s="334"/>
      <c r="V210" s="5"/>
    </row>
    <row r="211" spans="1:22" ht="15.6" x14ac:dyDescent="0.3">
      <c r="A211" s="266"/>
      <c r="B211" s="395" t="s">
        <v>80</v>
      </c>
      <c r="C211" s="396"/>
      <c r="D211" s="396"/>
      <c r="E211" s="396"/>
      <c r="F211" s="402"/>
      <c r="G211" s="396"/>
      <c r="H211" s="396"/>
      <c r="I211" s="396"/>
      <c r="J211" s="396"/>
      <c r="K211" s="396"/>
      <c r="L211" s="396"/>
      <c r="M211" s="396"/>
      <c r="N211" s="396"/>
      <c r="O211" s="396"/>
      <c r="P211" s="396"/>
      <c r="Q211" s="396" t="s">
        <v>105</v>
      </c>
      <c r="R211" s="402" t="s">
        <v>112</v>
      </c>
      <c r="S211" s="223"/>
      <c r="T211" s="223"/>
      <c r="U211" s="223"/>
      <c r="V211" s="5"/>
    </row>
    <row r="212" spans="1:22" ht="15.6" x14ac:dyDescent="0.3">
      <c r="A212" s="214"/>
      <c r="B212" s="239" t="s">
        <v>81</v>
      </c>
      <c r="C212" s="243"/>
      <c r="D212" s="243"/>
      <c r="E212" s="243"/>
      <c r="F212" s="239"/>
      <c r="G212" s="239"/>
      <c r="H212" s="242"/>
      <c r="I212" s="242"/>
      <c r="J212" s="242"/>
      <c r="K212" s="242"/>
      <c r="L212" s="242"/>
      <c r="M212" s="242"/>
      <c r="N212" s="242"/>
      <c r="O212" s="242"/>
      <c r="P212" s="242"/>
      <c r="Q212" s="242">
        <v>0</v>
      </c>
      <c r="R212" s="272">
        <v>0</v>
      </c>
      <c r="S212" s="239"/>
      <c r="T212" s="273"/>
      <c r="U212" s="215"/>
      <c r="V212" s="5"/>
    </row>
    <row r="213" spans="1:22" ht="15.6" x14ac:dyDescent="0.3">
      <c r="A213" s="360"/>
      <c r="B213" s="285" t="s">
        <v>151</v>
      </c>
      <c r="C213" s="338"/>
      <c r="D213" s="338"/>
      <c r="E213" s="338"/>
      <c r="F213" s="285"/>
      <c r="G213" s="285"/>
      <c r="H213" s="293"/>
      <c r="I213" s="293"/>
      <c r="J213" s="293"/>
      <c r="K213" s="293"/>
      <c r="L213" s="293"/>
      <c r="M213" s="293"/>
      <c r="N213" s="293"/>
      <c r="O213" s="293"/>
      <c r="P213" s="293"/>
      <c r="Q213" s="361">
        <f>+P265</f>
        <v>65</v>
      </c>
      <c r="R213" s="362">
        <f>+R265</f>
        <v>9618</v>
      </c>
      <c r="S213" s="285"/>
      <c r="T213" s="363"/>
      <c r="U213" s="364"/>
      <c r="V213" s="5"/>
    </row>
    <row r="214" spans="1:22" ht="15.6" x14ac:dyDescent="0.3">
      <c r="A214" s="360"/>
      <c r="B214" s="285" t="s">
        <v>82</v>
      </c>
      <c r="C214" s="338"/>
      <c r="D214" s="338"/>
      <c r="E214" s="338"/>
      <c r="F214" s="285"/>
      <c r="G214" s="285"/>
      <c r="H214" s="293"/>
      <c r="I214" s="293"/>
      <c r="J214" s="293"/>
      <c r="K214" s="293"/>
      <c r="L214" s="293"/>
      <c r="M214" s="293"/>
      <c r="N214" s="293"/>
      <c r="O214" s="293"/>
      <c r="P214" s="293"/>
      <c r="Q214" s="361">
        <f>+P277</f>
        <v>0</v>
      </c>
      <c r="R214" s="362">
        <f>+R277</f>
        <v>0</v>
      </c>
      <c r="S214" s="285"/>
      <c r="T214" s="363"/>
      <c r="U214" s="364"/>
      <c r="V214" s="5"/>
    </row>
    <row r="215" spans="1:22" ht="15.6" x14ac:dyDescent="0.3">
      <c r="A215" s="360"/>
      <c r="B215" s="310" t="s">
        <v>83</v>
      </c>
      <c r="C215" s="365"/>
      <c r="D215" s="365"/>
      <c r="E215" s="365"/>
      <c r="F215" s="311"/>
      <c r="G215" s="311"/>
      <c r="H215" s="311"/>
      <c r="I215" s="311"/>
      <c r="J215" s="311"/>
      <c r="K215" s="311"/>
      <c r="L215" s="311"/>
      <c r="M215" s="311"/>
      <c r="N215" s="311"/>
      <c r="O215" s="311"/>
      <c r="P215" s="311"/>
      <c r="Q215" s="285"/>
      <c r="R215" s="362">
        <v>0</v>
      </c>
      <c r="S215" s="311"/>
      <c r="T215" s="366"/>
      <c r="U215" s="364"/>
      <c r="V215" s="5"/>
    </row>
    <row r="216" spans="1:22" ht="15.6" x14ac:dyDescent="0.3">
      <c r="A216" s="360"/>
      <c r="B216" s="310" t="s">
        <v>84</v>
      </c>
      <c r="C216" s="365"/>
      <c r="D216" s="365"/>
      <c r="E216" s="365"/>
      <c r="F216" s="311"/>
      <c r="G216" s="311"/>
      <c r="H216" s="311"/>
      <c r="I216" s="311"/>
      <c r="J216" s="311"/>
      <c r="K216" s="311"/>
      <c r="L216" s="311"/>
      <c r="M216" s="311"/>
      <c r="N216" s="311"/>
      <c r="O216" s="311"/>
      <c r="P216" s="311"/>
      <c r="Q216" s="285"/>
      <c r="R216" s="367" t="s">
        <v>113</v>
      </c>
      <c r="S216" s="311"/>
      <c r="T216" s="366"/>
      <c r="U216" s="364"/>
      <c r="V216" s="5"/>
    </row>
    <row r="217" spans="1:22" ht="15.6" x14ac:dyDescent="0.3">
      <c r="A217" s="368"/>
      <c r="B217" s="310" t="s">
        <v>85</v>
      </c>
      <c r="C217" s="369"/>
      <c r="D217" s="369"/>
      <c r="E217" s="369"/>
      <c r="F217" s="369"/>
      <c r="G217" s="311"/>
      <c r="H217" s="311"/>
      <c r="I217" s="311"/>
      <c r="J217" s="311"/>
      <c r="K217" s="311"/>
      <c r="L217" s="311"/>
      <c r="M217" s="311"/>
      <c r="N217" s="311"/>
      <c r="O217" s="311"/>
      <c r="P217" s="311"/>
      <c r="Q217" s="285"/>
      <c r="R217" s="362"/>
      <c r="S217" s="311"/>
      <c r="T217" s="366"/>
      <c r="U217" s="370"/>
      <c r="V217" s="5"/>
    </row>
    <row r="218" spans="1:22" ht="15.6" x14ac:dyDescent="0.3">
      <c r="A218" s="368"/>
      <c r="B218" s="285" t="s">
        <v>86</v>
      </c>
      <c r="C218" s="285"/>
      <c r="D218" s="285"/>
      <c r="E218" s="285"/>
      <c r="F218" s="285"/>
      <c r="G218" s="285"/>
      <c r="H218" s="285"/>
      <c r="I218" s="285"/>
      <c r="J218" s="285"/>
      <c r="K218" s="285"/>
      <c r="L218" s="285"/>
      <c r="M218" s="285"/>
      <c r="N218" s="285"/>
      <c r="O218" s="285"/>
      <c r="P218" s="285"/>
      <c r="Q218" s="293"/>
      <c r="R218" s="362">
        <f>T162</f>
        <v>17</v>
      </c>
      <c r="S218" s="285"/>
      <c r="T218" s="363"/>
      <c r="U218" s="370"/>
      <c r="V218" s="5"/>
    </row>
    <row r="219" spans="1:22" ht="15.6" x14ac:dyDescent="0.3">
      <c r="A219" s="360"/>
      <c r="B219" s="285" t="s">
        <v>87</v>
      </c>
      <c r="C219" s="338"/>
      <c r="D219" s="338"/>
      <c r="E219" s="338"/>
      <c r="F219" s="338"/>
      <c r="G219" s="285"/>
      <c r="H219" s="285"/>
      <c r="I219" s="285"/>
      <c r="J219" s="285"/>
      <c r="K219" s="285"/>
      <c r="L219" s="285"/>
      <c r="M219" s="285"/>
      <c r="N219" s="285"/>
      <c r="O219" s="285"/>
      <c r="P219" s="285"/>
      <c r="Q219" s="293"/>
      <c r="R219" s="362">
        <f>'Dec 15'!R219+R218</f>
        <v>5614</v>
      </c>
      <c r="S219" s="285"/>
      <c r="T219" s="363"/>
      <c r="U219" s="370"/>
      <c r="V219" s="5"/>
    </row>
    <row r="220" spans="1:22" ht="15.6" x14ac:dyDescent="0.3">
      <c r="A220" s="368"/>
      <c r="B220" s="310" t="s">
        <v>282</v>
      </c>
      <c r="C220" s="369"/>
      <c r="D220" s="369"/>
      <c r="E220" s="369"/>
      <c r="F220" s="369"/>
      <c r="G220" s="311"/>
      <c r="H220" s="311"/>
      <c r="I220" s="311"/>
      <c r="J220" s="311"/>
      <c r="K220" s="311"/>
      <c r="L220" s="311"/>
      <c r="M220" s="311"/>
      <c r="N220" s="311"/>
      <c r="O220" s="311"/>
      <c r="P220" s="311"/>
      <c r="Q220" s="293"/>
      <c r="R220" s="362"/>
      <c r="S220" s="311"/>
      <c r="T220" s="366"/>
      <c r="U220" s="370"/>
      <c r="V220" s="5"/>
    </row>
    <row r="221" spans="1:22" ht="15.6" x14ac:dyDescent="0.3">
      <c r="A221" s="368"/>
      <c r="B221" s="285" t="s">
        <v>280</v>
      </c>
      <c r="C221" s="369"/>
      <c r="D221" s="369"/>
      <c r="E221" s="369"/>
      <c r="F221" s="369"/>
      <c r="G221" s="311"/>
      <c r="H221" s="311"/>
      <c r="I221" s="311"/>
      <c r="J221" s="311"/>
      <c r="K221" s="311"/>
      <c r="L221" s="311"/>
      <c r="M221" s="311"/>
      <c r="N221" s="311"/>
      <c r="O221" s="311"/>
      <c r="P221" s="311"/>
      <c r="Q221" s="293">
        <v>0</v>
      </c>
      <c r="R221" s="362">
        <v>0</v>
      </c>
      <c r="S221" s="311"/>
      <c r="T221" s="366"/>
      <c r="U221" s="370"/>
      <c r="V221" s="5"/>
    </row>
    <row r="222" spans="1:22" ht="15.6" x14ac:dyDescent="0.3">
      <c r="A222" s="360"/>
      <c r="B222" s="285" t="s">
        <v>89</v>
      </c>
      <c r="C222" s="373"/>
      <c r="D222" s="373"/>
      <c r="E222" s="373"/>
      <c r="F222" s="374"/>
      <c r="G222" s="311"/>
      <c r="H222" s="311"/>
      <c r="I222" s="311"/>
      <c r="J222" s="311"/>
      <c r="K222" s="311"/>
      <c r="L222" s="311"/>
      <c r="M222" s="311"/>
      <c r="N222" s="311"/>
      <c r="O222" s="311"/>
      <c r="P222" s="311"/>
      <c r="Q222" s="285"/>
      <c r="R222" s="367">
        <v>0</v>
      </c>
      <c r="S222" s="311"/>
      <c r="T222" s="366"/>
      <c r="U222" s="370"/>
      <c r="V222" s="5"/>
    </row>
    <row r="223" spans="1:22" ht="15.6" x14ac:dyDescent="0.3">
      <c r="A223" s="360"/>
      <c r="B223" s="285" t="s">
        <v>90</v>
      </c>
      <c r="C223" s="373"/>
      <c r="D223" s="373"/>
      <c r="E223" s="373"/>
      <c r="F223" s="374"/>
      <c r="G223" s="311"/>
      <c r="H223" s="311"/>
      <c r="I223" s="311"/>
      <c r="J223" s="311"/>
      <c r="K223" s="311"/>
      <c r="L223" s="311"/>
      <c r="M223" s="311"/>
      <c r="N223" s="311"/>
      <c r="O223" s="311"/>
      <c r="P223" s="311"/>
      <c r="Q223" s="285"/>
      <c r="R223" s="367">
        <v>0</v>
      </c>
      <c r="S223" s="311"/>
      <c r="T223" s="366"/>
      <c r="U223" s="370"/>
      <c r="V223" s="5"/>
    </row>
    <row r="224" spans="1:22" ht="15.6" x14ac:dyDescent="0.3">
      <c r="A224" s="360"/>
      <c r="B224" s="310" t="s">
        <v>226</v>
      </c>
      <c r="C224" s="373"/>
      <c r="D224" s="373"/>
      <c r="E224" s="373"/>
      <c r="F224" s="374"/>
      <c r="G224" s="311"/>
      <c r="H224" s="311"/>
      <c r="I224" s="311"/>
      <c r="J224" s="311"/>
      <c r="K224" s="311"/>
      <c r="L224" s="311"/>
      <c r="M224" s="311"/>
      <c r="N224" s="311"/>
      <c r="O224" s="311"/>
      <c r="P224" s="311"/>
      <c r="Q224" s="293"/>
      <c r="R224" s="375"/>
      <c r="S224" s="311"/>
      <c r="T224" s="366"/>
      <c r="U224" s="370"/>
      <c r="V224" s="5"/>
    </row>
    <row r="225" spans="1:23" ht="15.6" x14ac:dyDescent="0.3">
      <c r="A225" s="360"/>
      <c r="B225" s="285" t="s">
        <v>280</v>
      </c>
      <c r="C225" s="373"/>
      <c r="D225" s="373"/>
      <c r="E225" s="373"/>
      <c r="F225" s="374"/>
      <c r="G225" s="311"/>
      <c r="H225" s="311"/>
      <c r="I225" s="311"/>
      <c r="J225" s="311"/>
      <c r="K225" s="311"/>
      <c r="L225" s="311"/>
      <c r="M225" s="311"/>
      <c r="N225" s="311"/>
      <c r="O225" s="311"/>
      <c r="P225" s="311"/>
      <c r="Q225" s="293">
        <v>2</v>
      </c>
      <c r="R225" s="362">
        <v>203</v>
      </c>
      <c r="S225" s="311"/>
      <c r="T225" s="366"/>
      <c r="U225" s="370"/>
      <c r="V225" s="5"/>
    </row>
    <row r="226" spans="1:23" ht="15.6" x14ac:dyDescent="0.3">
      <c r="A226" s="360"/>
      <c r="B226" s="285" t="s">
        <v>227</v>
      </c>
      <c r="C226" s="373"/>
      <c r="D226" s="373"/>
      <c r="E226" s="373"/>
      <c r="F226" s="374"/>
      <c r="G226" s="311"/>
      <c r="H226" s="311"/>
      <c r="I226" s="311"/>
      <c r="J226" s="311"/>
      <c r="K226" s="311"/>
      <c r="L226" s="311"/>
      <c r="M226" s="311"/>
      <c r="N226" s="311"/>
      <c r="O226" s="311"/>
      <c r="P226" s="311"/>
      <c r="Q226" s="293"/>
      <c r="R226" s="367">
        <v>0</v>
      </c>
      <c r="S226" s="311"/>
      <c r="T226" s="366"/>
      <c r="U226" s="370"/>
      <c r="V226" s="5"/>
    </row>
    <row r="227" spans="1:23" ht="15.6" x14ac:dyDescent="0.3">
      <c r="A227" s="360"/>
      <c r="B227" s="369"/>
      <c r="C227" s="373"/>
      <c r="D227" s="373"/>
      <c r="E227" s="373"/>
      <c r="F227" s="374"/>
      <c r="G227" s="311"/>
      <c r="H227" s="311"/>
      <c r="I227" s="311"/>
      <c r="J227" s="311"/>
      <c r="K227" s="311"/>
      <c r="L227" s="311"/>
      <c r="M227" s="311"/>
      <c r="N227" s="311"/>
      <c r="O227" s="311"/>
      <c r="P227" s="311"/>
      <c r="Q227" s="311"/>
      <c r="R227" s="376"/>
      <c r="S227" s="311"/>
      <c r="T227" s="366"/>
      <c r="U227" s="370"/>
      <c r="V227" s="5"/>
    </row>
    <row r="228" spans="1:23" ht="15.6" x14ac:dyDescent="0.3">
      <c r="A228" s="360"/>
      <c r="B228" s="369"/>
      <c r="C228" s="373"/>
      <c r="D228" s="373"/>
      <c r="E228" s="373"/>
      <c r="F228" s="374"/>
      <c r="G228" s="311"/>
      <c r="H228" s="311"/>
      <c r="I228" s="311"/>
      <c r="J228" s="311"/>
      <c r="K228" s="311"/>
      <c r="L228" s="311"/>
      <c r="M228" s="311"/>
      <c r="N228" s="311"/>
      <c r="O228" s="311"/>
      <c r="P228" s="311"/>
      <c r="Q228" s="311"/>
      <c r="R228" s="376"/>
      <c r="S228" s="311"/>
      <c r="T228" s="366"/>
      <c r="U228" s="370"/>
      <c r="V228" s="5"/>
    </row>
    <row r="229" spans="1:23" ht="17.399999999999999" x14ac:dyDescent="0.3">
      <c r="A229" s="360"/>
      <c r="B229" s="377" t="s">
        <v>175</v>
      </c>
      <c r="C229" s="373"/>
      <c r="D229" s="373"/>
      <c r="E229" s="373"/>
      <c r="F229" s="374"/>
      <c r="G229" s="311"/>
      <c r="H229" s="311"/>
      <c r="I229" s="311"/>
      <c r="J229" s="311"/>
      <c r="K229" s="311"/>
      <c r="L229" s="311"/>
      <c r="M229" s="311"/>
      <c r="N229" s="378" t="s">
        <v>174</v>
      </c>
      <c r="O229" s="311"/>
      <c r="P229" s="311"/>
      <c r="Q229" s="311"/>
      <c r="R229" s="376"/>
      <c r="S229" s="311"/>
      <c r="T229" s="366"/>
      <c r="U229" s="370"/>
      <c r="V229" s="5"/>
    </row>
    <row r="230" spans="1:23" ht="15.6" x14ac:dyDescent="0.3">
      <c r="A230" s="355"/>
      <c r="B230" s="350"/>
      <c r="C230" s="356"/>
      <c r="D230" s="356"/>
      <c r="E230" s="356"/>
      <c r="F230" s="357"/>
      <c r="G230" s="334"/>
      <c r="H230" s="334"/>
      <c r="I230" s="334"/>
      <c r="J230" s="334"/>
      <c r="K230" s="334"/>
      <c r="L230" s="334"/>
      <c r="M230" s="334"/>
      <c r="N230" s="334"/>
      <c r="O230" s="334"/>
      <c r="P230" s="334"/>
      <c r="Q230" s="334"/>
      <c r="R230" s="358"/>
      <c r="S230" s="334"/>
      <c r="T230" s="351"/>
      <c r="U230" s="359"/>
      <c r="V230" s="5"/>
    </row>
    <row r="231" spans="1:23" ht="15.6" x14ac:dyDescent="0.3">
      <c r="A231" s="222"/>
      <c r="B231" s="395" t="s">
        <v>295</v>
      </c>
      <c r="C231" s="396"/>
      <c r="D231" s="396"/>
      <c r="E231" s="396"/>
      <c r="F231" s="402"/>
      <c r="G231" s="396"/>
      <c r="H231" s="396"/>
      <c r="I231" s="396"/>
      <c r="J231" s="396"/>
      <c r="K231" s="396"/>
      <c r="L231" s="396"/>
      <c r="M231" s="396"/>
      <c r="N231" s="396"/>
      <c r="O231" s="396"/>
      <c r="P231" s="402" t="s">
        <v>105</v>
      </c>
      <c r="Q231" s="396" t="s">
        <v>106</v>
      </c>
      <c r="R231" s="402" t="s">
        <v>114</v>
      </c>
      <c r="S231" s="396" t="s">
        <v>106</v>
      </c>
      <c r="T231" s="223"/>
      <c r="U231" s="395"/>
      <c r="V231" s="5"/>
    </row>
    <row r="232" spans="1:23" ht="15.6" x14ac:dyDescent="0.3">
      <c r="A232" s="190"/>
      <c r="B232" s="243" t="s">
        <v>91</v>
      </c>
      <c r="C232" s="217"/>
      <c r="D232" s="217"/>
      <c r="E232" s="217"/>
      <c r="F232" s="191"/>
      <c r="G232" s="217"/>
      <c r="H232" s="217"/>
      <c r="I232" s="217"/>
      <c r="J232" s="217"/>
      <c r="K232" s="217"/>
      <c r="L232" s="217"/>
      <c r="M232" s="217"/>
      <c r="N232" s="217"/>
      <c r="O232" s="217"/>
      <c r="P232" s="338">
        <f t="shared" ref="P232:P239" si="1">+P244+P256+P268</f>
        <v>3635</v>
      </c>
      <c r="Q232" s="384">
        <f t="shared" ref="Q232:Q239" si="2">P232/$P$241</f>
        <v>0.99698299506308286</v>
      </c>
      <c r="R232" s="339">
        <f t="shared" ref="R232:R239" si="3">+R244+R256+R268</f>
        <v>469232</v>
      </c>
      <c r="S232" s="384">
        <f t="shared" ref="S232:S239" si="4">R232/$R$241</f>
        <v>0.99713968778820938</v>
      </c>
      <c r="T232" s="213"/>
      <c r="U232" s="216"/>
      <c r="V232" s="5"/>
    </row>
    <row r="233" spans="1:23" ht="15.6" x14ac:dyDescent="0.3">
      <c r="A233" s="284"/>
      <c r="B233" s="338" t="s">
        <v>92</v>
      </c>
      <c r="C233" s="382"/>
      <c r="D233" s="382"/>
      <c r="E233" s="382"/>
      <c r="F233" s="311"/>
      <c r="G233" s="383"/>
      <c r="H233" s="382"/>
      <c r="I233" s="382"/>
      <c r="J233" s="382"/>
      <c r="K233" s="382"/>
      <c r="L233" s="382"/>
      <c r="M233" s="382"/>
      <c r="N233" s="382"/>
      <c r="O233" s="382"/>
      <c r="P233" s="338">
        <f t="shared" si="1"/>
        <v>3</v>
      </c>
      <c r="Q233" s="384">
        <f t="shared" si="2"/>
        <v>8.2281952825013713E-4</v>
      </c>
      <c r="R233" s="339">
        <f t="shared" si="3"/>
        <v>441</v>
      </c>
      <c r="S233" s="384">
        <f t="shared" si="4"/>
        <v>9.3714538291207836E-4</v>
      </c>
      <c r="T233" s="366"/>
      <c r="U233" s="370"/>
      <c r="V233" s="5"/>
      <c r="W233" s="109"/>
    </row>
    <row r="234" spans="1:23" ht="15.6" x14ac:dyDescent="0.3">
      <c r="A234" s="284"/>
      <c r="B234" s="338" t="s">
        <v>93</v>
      </c>
      <c r="C234" s="382"/>
      <c r="D234" s="382"/>
      <c r="E234" s="382"/>
      <c r="F234" s="311"/>
      <c r="G234" s="383"/>
      <c r="H234" s="382"/>
      <c r="I234" s="382"/>
      <c r="J234" s="382"/>
      <c r="K234" s="382"/>
      <c r="L234" s="382"/>
      <c r="M234" s="382"/>
      <c r="N234" s="382"/>
      <c r="O234" s="382"/>
      <c r="P234" s="338">
        <f t="shared" si="1"/>
        <v>1</v>
      </c>
      <c r="Q234" s="384">
        <f t="shared" si="2"/>
        <v>2.7427317608337906E-4</v>
      </c>
      <c r="R234" s="339">
        <f t="shared" si="3"/>
        <v>52</v>
      </c>
      <c r="S234" s="384">
        <f t="shared" si="4"/>
        <v>1.1050240342727454E-4</v>
      </c>
      <c r="T234" s="366"/>
      <c r="U234" s="370"/>
      <c r="V234" s="5"/>
    </row>
    <row r="235" spans="1:23" ht="15.6" x14ac:dyDescent="0.3">
      <c r="A235" s="284"/>
      <c r="B235" s="338" t="s">
        <v>163</v>
      </c>
      <c r="C235" s="382"/>
      <c r="D235" s="382"/>
      <c r="E235" s="382"/>
      <c r="F235" s="311"/>
      <c r="G235" s="383"/>
      <c r="H235" s="382"/>
      <c r="I235" s="382"/>
      <c r="J235" s="382"/>
      <c r="K235" s="382"/>
      <c r="L235" s="382"/>
      <c r="M235" s="382"/>
      <c r="N235" s="382"/>
      <c r="O235" s="382"/>
      <c r="P235" s="338">
        <f t="shared" si="1"/>
        <v>0</v>
      </c>
      <c r="Q235" s="384">
        <f t="shared" si="2"/>
        <v>0</v>
      </c>
      <c r="R235" s="339">
        <f t="shared" si="3"/>
        <v>0</v>
      </c>
      <c r="S235" s="384">
        <f t="shared" si="4"/>
        <v>0</v>
      </c>
      <c r="T235" s="366"/>
      <c r="U235" s="370"/>
      <c r="V235" s="5"/>
      <c r="W235" s="109"/>
    </row>
    <row r="236" spans="1:23" ht="15.6" x14ac:dyDescent="0.3">
      <c r="A236" s="284"/>
      <c r="B236" s="338" t="s">
        <v>164</v>
      </c>
      <c r="C236" s="382"/>
      <c r="D236" s="382"/>
      <c r="E236" s="382"/>
      <c r="F236" s="311"/>
      <c r="G236" s="383"/>
      <c r="H236" s="382"/>
      <c r="I236" s="382"/>
      <c r="J236" s="382"/>
      <c r="K236" s="382"/>
      <c r="L236" s="382"/>
      <c r="M236" s="382"/>
      <c r="N236" s="382"/>
      <c r="O236" s="382"/>
      <c r="P236" s="338">
        <f t="shared" si="1"/>
        <v>0</v>
      </c>
      <c r="Q236" s="384">
        <f t="shared" si="2"/>
        <v>0</v>
      </c>
      <c r="R236" s="339">
        <f t="shared" si="3"/>
        <v>0</v>
      </c>
      <c r="S236" s="384">
        <f t="shared" si="4"/>
        <v>0</v>
      </c>
      <c r="T236" s="366"/>
      <c r="U236" s="370"/>
      <c r="V236" s="5"/>
    </row>
    <row r="237" spans="1:23" ht="15.6" x14ac:dyDescent="0.3">
      <c r="A237" s="284"/>
      <c r="B237" s="338" t="s">
        <v>165</v>
      </c>
      <c r="C237" s="382"/>
      <c r="D237" s="382"/>
      <c r="E237" s="382"/>
      <c r="F237" s="311"/>
      <c r="G237" s="383"/>
      <c r="H237" s="382"/>
      <c r="I237" s="382"/>
      <c r="J237" s="382"/>
      <c r="K237" s="382"/>
      <c r="L237" s="382"/>
      <c r="M237" s="382"/>
      <c r="N237" s="382"/>
      <c r="O237" s="382"/>
      <c r="P237" s="338">
        <f t="shared" si="1"/>
        <v>0</v>
      </c>
      <c r="Q237" s="384">
        <f t="shared" si="2"/>
        <v>0</v>
      </c>
      <c r="R237" s="339">
        <f t="shared" si="3"/>
        <v>0</v>
      </c>
      <c r="S237" s="384">
        <f t="shared" si="4"/>
        <v>0</v>
      </c>
      <c r="T237" s="366"/>
      <c r="U237" s="370"/>
      <c r="V237" s="5"/>
      <c r="W237" s="109"/>
    </row>
    <row r="238" spans="1:23" ht="15.6" x14ac:dyDescent="0.3">
      <c r="A238" s="284"/>
      <c r="B238" s="338" t="s">
        <v>166</v>
      </c>
      <c r="C238" s="382"/>
      <c r="D238" s="382"/>
      <c r="E238" s="382"/>
      <c r="F238" s="311"/>
      <c r="G238" s="383"/>
      <c r="H238" s="382"/>
      <c r="I238" s="382"/>
      <c r="J238" s="382"/>
      <c r="K238" s="382"/>
      <c r="L238" s="382"/>
      <c r="M238" s="382"/>
      <c r="N238" s="382"/>
      <c r="O238" s="382"/>
      <c r="P238" s="338">
        <f t="shared" si="1"/>
        <v>3</v>
      </c>
      <c r="Q238" s="384">
        <f t="shared" si="2"/>
        <v>8.2281952825013713E-4</v>
      </c>
      <c r="R238" s="339">
        <f t="shared" si="3"/>
        <v>243</v>
      </c>
      <c r="S238" s="384">
        <f t="shared" si="4"/>
        <v>5.1638623140053293E-4</v>
      </c>
      <c r="T238" s="366"/>
      <c r="U238" s="370"/>
      <c r="V238" s="5"/>
    </row>
    <row r="239" spans="1:23" ht="15.6" x14ac:dyDescent="0.3">
      <c r="A239" s="284"/>
      <c r="B239" s="338" t="s">
        <v>167</v>
      </c>
      <c r="C239" s="382"/>
      <c r="D239" s="382"/>
      <c r="E239" s="382"/>
      <c r="F239" s="311"/>
      <c r="G239" s="383"/>
      <c r="H239" s="382"/>
      <c r="I239" s="382"/>
      <c r="J239" s="382"/>
      <c r="K239" s="382"/>
      <c r="L239" s="382"/>
      <c r="M239" s="382"/>
      <c r="N239" s="382"/>
      <c r="O239" s="382"/>
      <c r="P239" s="338">
        <f t="shared" si="1"/>
        <v>4</v>
      </c>
      <c r="Q239" s="384">
        <f t="shared" si="2"/>
        <v>1.0970927043335162E-3</v>
      </c>
      <c r="R239" s="339">
        <f t="shared" si="3"/>
        <v>610</v>
      </c>
      <c r="S239" s="384">
        <f t="shared" si="4"/>
        <v>1.2962781940507207E-3</v>
      </c>
      <c r="T239" s="366"/>
      <c r="U239" s="370"/>
      <c r="V239" s="5"/>
      <c r="W239" s="109"/>
    </row>
    <row r="240" spans="1:23" ht="15.6" x14ac:dyDescent="0.3">
      <c r="A240" s="284"/>
      <c r="B240" s="338"/>
      <c r="C240" s="382"/>
      <c r="D240" s="382"/>
      <c r="E240" s="382"/>
      <c r="F240" s="311"/>
      <c r="G240" s="383"/>
      <c r="H240" s="382"/>
      <c r="I240" s="382"/>
      <c r="J240" s="382"/>
      <c r="K240" s="382"/>
      <c r="L240" s="382"/>
      <c r="M240" s="382"/>
      <c r="N240" s="382"/>
      <c r="O240" s="382"/>
      <c r="P240" s="338"/>
      <c r="Q240" s="384"/>
      <c r="R240" s="339"/>
      <c r="S240" s="384"/>
      <c r="T240" s="366"/>
      <c r="U240" s="370"/>
      <c r="V240" s="5"/>
    </row>
    <row r="241" spans="1:23" ht="15.6" x14ac:dyDescent="0.3">
      <c r="A241" s="284"/>
      <c r="B241" s="285" t="s">
        <v>120</v>
      </c>
      <c r="C241" s="311"/>
      <c r="D241" s="311"/>
      <c r="E241" s="311"/>
      <c r="F241" s="311"/>
      <c r="G241" s="311"/>
      <c r="H241" s="385"/>
      <c r="I241" s="385"/>
      <c r="J241" s="385"/>
      <c r="K241" s="385"/>
      <c r="L241" s="385"/>
      <c r="M241" s="385"/>
      <c r="N241" s="385"/>
      <c r="O241" s="385"/>
      <c r="P241" s="338">
        <f>SUM(P232:P240)</f>
        <v>3646</v>
      </c>
      <c r="Q241" s="384">
        <f>SUM(Q232:Q240)</f>
        <v>1</v>
      </c>
      <c r="R241" s="339">
        <f>SUM(R232:R240)</f>
        <v>470578</v>
      </c>
      <c r="S241" s="384">
        <f>SUM(S232:S240)</f>
        <v>1</v>
      </c>
      <c r="T241" s="311"/>
      <c r="U241" s="317"/>
      <c r="V241" s="5"/>
    </row>
    <row r="242" spans="1:23" ht="15.6" x14ac:dyDescent="0.3">
      <c r="A242" s="355"/>
      <c r="B242" s="350"/>
      <c r="C242" s="356"/>
      <c r="D242" s="356"/>
      <c r="E242" s="356"/>
      <c r="F242" s="357"/>
      <c r="G242" s="334"/>
      <c r="H242" s="334"/>
      <c r="I242" s="334"/>
      <c r="J242" s="334"/>
      <c r="K242" s="334"/>
      <c r="L242" s="334"/>
      <c r="M242" s="334"/>
      <c r="N242" s="334"/>
      <c r="O242" s="334"/>
      <c r="P242" s="334"/>
      <c r="Q242" s="334"/>
      <c r="R242" s="358"/>
      <c r="S242" s="334"/>
      <c r="T242" s="351"/>
      <c r="U242" s="359"/>
      <c r="V242" s="5"/>
    </row>
    <row r="243" spans="1:23" ht="15.6" x14ac:dyDescent="0.3">
      <c r="A243" s="222"/>
      <c r="B243" s="395" t="s">
        <v>169</v>
      </c>
      <c r="C243" s="396"/>
      <c r="D243" s="396"/>
      <c r="E243" s="396"/>
      <c r="F243" s="402"/>
      <c r="G243" s="396"/>
      <c r="H243" s="396"/>
      <c r="I243" s="396"/>
      <c r="J243" s="396"/>
      <c r="K243" s="396"/>
      <c r="L243" s="396"/>
      <c r="M243" s="396"/>
      <c r="N243" s="396"/>
      <c r="O243" s="396"/>
      <c r="P243" s="402" t="s">
        <v>105</v>
      </c>
      <c r="Q243" s="396" t="s">
        <v>106</v>
      </c>
      <c r="R243" s="402" t="s">
        <v>114</v>
      </c>
      <c r="S243" s="396" t="s">
        <v>106</v>
      </c>
      <c r="T243" s="223"/>
      <c r="U243" s="395"/>
      <c r="V243" s="5"/>
    </row>
    <row r="244" spans="1:23" ht="15.6" x14ac:dyDescent="0.3">
      <c r="A244" s="190"/>
      <c r="B244" s="243" t="s">
        <v>91</v>
      </c>
      <c r="C244" s="217"/>
      <c r="D244" s="217"/>
      <c r="E244" s="217"/>
      <c r="F244" s="191"/>
      <c r="G244" s="217"/>
      <c r="H244" s="217"/>
      <c r="I244" s="217"/>
      <c r="J244" s="217"/>
      <c r="K244" s="217"/>
      <c r="L244" s="217"/>
      <c r="M244" s="217"/>
      <c r="N244" s="217"/>
      <c r="O244" s="217"/>
      <c r="P244" s="243">
        <v>3580</v>
      </c>
      <c r="Q244" s="274">
        <f t="shared" ref="Q244:Q251" si="5">P244/$P$253</f>
        <v>0.99972074839430325</v>
      </c>
      <c r="R244" s="251">
        <v>460855</v>
      </c>
      <c r="S244" s="274">
        <f t="shared" ref="S244:S251" si="6">R244/$R$253</f>
        <v>0.99977221450885112</v>
      </c>
      <c r="T244" s="213"/>
      <c r="U244" s="216"/>
      <c r="V244" s="5"/>
    </row>
    <row r="245" spans="1:23" ht="15.6" x14ac:dyDescent="0.3">
      <c r="A245" s="284"/>
      <c r="B245" s="338" t="s">
        <v>92</v>
      </c>
      <c r="C245" s="382"/>
      <c r="D245" s="382"/>
      <c r="E245" s="382"/>
      <c r="F245" s="311"/>
      <c r="G245" s="383"/>
      <c r="H245" s="382"/>
      <c r="I245" s="382"/>
      <c r="J245" s="382"/>
      <c r="K245" s="382"/>
      <c r="L245" s="382"/>
      <c r="M245" s="382"/>
      <c r="N245" s="382"/>
      <c r="O245" s="382"/>
      <c r="P245" s="338">
        <v>1</v>
      </c>
      <c r="Q245" s="384">
        <f t="shared" si="5"/>
        <v>2.7925160569673273E-4</v>
      </c>
      <c r="R245" s="339">
        <v>105</v>
      </c>
      <c r="S245" s="384">
        <f t="shared" si="6"/>
        <v>2.2778549114890664E-4</v>
      </c>
      <c r="T245" s="366"/>
      <c r="U245" s="370"/>
      <c r="V245" s="5"/>
      <c r="W245" s="109"/>
    </row>
    <row r="246" spans="1:23" ht="15.6" x14ac:dyDescent="0.3">
      <c r="A246" s="284"/>
      <c r="B246" s="338" t="s">
        <v>93</v>
      </c>
      <c r="C246" s="382"/>
      <c r="D246" s="382"/>
      <c r="E246" s="382"/>
      <c r="F246" s="311"/>
      <c r="G246" s="383"/>
      <c r="H246" s="382"/>
      <c r="I246" s="382"/>
      <c r="J246" s="382"/>
      <c r="K246" s="382"/>
      <c r="L246" s="382"/>
      <c r="M246" s="382"/>
      <c r="N246" s="382"/>
      <c r="O246" s="382"/>
      <c r="P246" s="338">
        <v>0</v>
      </c>
      <c r="Q246" s="384">
        <f t="shared" si="5"/>
        <v>0</v>
      </c>
      <c r="R246" s="339">
        <v>0</v>
      </c>
      <c r="S246" s="384">
        <f t="shared" si="6"/>
        <v>0</v>
      </c>
      <c r="T246" s="366"/>
      <c r="U246" s="370"/>
      <c r="V246" s="5"/>
    </row>
    <row r="247" spans="1:23" ht="15.6" x14ac:dyDescent="0.3">
      <c r="A247" s="284"/>
      <c r="B247" s="338" t="s">
        <v>163</v>
      </c>
      <c r="C247" s="382"/>
      <c r="D247" s="382"/>
      <c r="E247" s="382"/>
      <c r="F247" s="311"/>
      <c r="G247" s="383"/>
      <c r="H247" s="382"/>
      <c r="I247" s="382"/>
      <c r="J247" s="382"/>
      <c r="K247" s="382"/>
      <c r="L247" s="382"/>
      <c r="M247" s="382"/>
      <c r="N247" s="382"/>
      <c r="O247" s="382"/>
      <c r="P247" s="338">
        <v>0</v>
      </c>
      <c r="Q247" s="384">
        <f t="shared" si="5"/>
        <v>0</v>
      </c>
      <c r="R247" s="339">
        <v>0</v>
      </c>
      <c r="S247" s="384">
        <f t="shared" si="6"/>
        <v>0</v>
      </c>
      <c r="T247" s="366"/>
      <c r="U247" s="370"/>
      <c r="V247" s="5"/>
      <c r="W247" s="109"/>
    </row>
    <row r="248" spans="1:23" ht="15.6" x14ac:dyDescent="0.3">
      <c r="A248" s="284"/>
      <c r="B248" s="338" t="s">
        <v>164</v>
      </c>
      <c r="C248" s="382"/>
      <c r="D248" s="382"/>
      <c r="E248" s="382"/>
      <c r="F248" s="311"/>
      <c r="G248" s="383"/>
      <c r="H248" s="382"/>
      <c r="I248" s="382"/>
      <c r="J248" s="382"/>
      <c r="K248" s="382"/>
      <c r="L248" s="382"/>
      <c r="M248" s="382"/>
      <c r="N248" s="382"/>
      <c r="O248" s="382"/>
      <c r="P248" s="338">
        <v>0</v>
      </c>
      <c r="Q248" s="384">
        <f t="shared" si="5"/>
        <v>0</v>
      </c>
      <c r="R248" s="339">
        <v>0</v>
      </c>
      <c r="S248" s="384">
        <f t="shared" si="6"/>
        <v>0</v>
      </c>
      <c r="T248" s="366"/>
      <c r="U248" s="370"/>
      <c r="V248" s="5"/>
    </row>
    <row r="249" spans="1:23" ht="15.6" x14ac:dyDescent="0.3">
      <c r="A249" s="284"/>
      <c r="B249" s="338" t="s">
        <v>165</v>
      </c>
      <c r="C249" s="382"/>
      <c r="D249" s="382"/>
      <c r="E249" s="382"/>
      <c r="F249" s="311"/>
      <c r="G249" s="383"/>
      <c r="H249" s="382"/>
      <c r="I249" s="382"/>
      <c r="J249" s="382"/>
      <c r="K249" s="382"/>
      <c r="L249" s="382"/>
      <c r="M249" s="382"/>
      <c r="N249" s="382"/>
      <c r="O249" s="382"/>
      <c r="P249" s="338">
        <v>0</v>
      </c>
      <c r="Q249" s="384">
        <f t="shared" si="5"/>
        <v>0</v>
      </c>
      <c r="R249" s="339">
        <v>0</v>
      </c>
      <c r="S249" s="384">
        <f t="shared" si="6"/>
        <v>0</v>
      </c>
      <c r="T249" s="366"/>
      <c r="U249" s="370"/>
      <c r="V249" s="5"/>
      <c r="W249" s="109"/>
    </row>
    <row r="250" spans="1:23" ht="15.6" x14ac:dyDescent="0.3">
      <c r="A250" s="284"/>
      <c r="B250" s="338" t="s">
        <v>166</v>
      </c>
      <c r="C250" s="382"/>
      <c r="D250" s="382"/>
      <c r="E250" s="382"/>
      <c r="F250" s="311"/>
      <c r="G250" s="383"/>
      <c r="H250" s="382"/>
      <c r="I250" s="382"/>
      <c r="J250" s="382"/>
      <c r="K250" s="382"/>
      <c r="L250" s="382"/>
      <c r="M250" s="382"/>
      <c r="N250" s="382"/>
      <c r="O250" s="382"/>
      <c r="P250" s="338">
        <v>0</v>
      </c>
      <c r="Q250" s="384">
        <f t="shared" si="5"/>
        <v>0</v>
      </c>
      <c r="R250" s="339">
        <v>0</v>
      </c>
      <c r="S250" s="384">
        <f t="shared" si="6"/>
        <v>0</v>
      </c>
      <c r="T250" s="366"/>
      <c r="U250" s="370"/>
      <c r="V250" s="5"/>
    </row>
    <row r="251" spans="1:23" ht="15.6" x14ac:dyDescent="0.3">
      <c r="A251" s="284"/>
      <c r="B251" s="338" t="s">
        <v>167</v>
      </c>
      <c r="C251" s="382"/>
      <c r="D251" s="382"/>
      <c r="E251" s="382"/>
      <c r="F251" s="311"/>
      <c r="G251" s="383"/>
      <c r="H251" s="382"/>
      <c r="I251" s="382"/>
      <c r="J251" s="382"/>
      <c r="K251" s="382"/>
      <c r="L251" s="382"/>
      <c r="M251" s="382"/>
      <c r="N251" s="382"/>
      <c r="O251" s="382"/>
      <c r="P251" s="338">
        <v>0</v>
      </c>
      <c r="Q251" s="384">
        <f t="shared" si="5"/>
        <v>0</v>
      </c>
      <c r="R251" s="339">
        <v>0</v>
      </c>
      <c r="S251" s="384">
        <f t="shared" si="6"/>
        <v>0</v>
      </c>
      <c r="T251" s="366"/>
      <c r="U251" s="370"/>
      <c r="V251" s="5"/>
      <c r="W251" s="109"/>
    </row>
    <row r="252" spans="1:23" ht="15.6" x14ac:dyDescent="0.3">
      <c r="A252" s="284"/>
      <c r="B252" s="338"/>
      <c r="C252" s="382"/>
      <c r="D252" s="382"/>
      <c r="E252" s="382"/>
      <c r="F252" s="311"/>
      <c r="G252" s="383"/>
      <c r="H252" s="382"/>
      <c r="I252" s="382"/>
      <c r="J252" s="382"/>
      <c r="K252" s="382"/>
      <c r="L252" s="382"/>
      <c r="M252" s="382"/>
      <c r="N252" s="382"/>
      <c r="O252" s="382"/>
      <c r="P252" s="338"/>
      <c r="Q252" s="384"/>
      <c r="R252" s="339"/>
      <c r="S252" s="384"/>
      <c r="T252" s="366"/>
      <c r="U252" s="370"/>
      <c r="V252" s="5"/>
    </row>
    <row r="253" spans="1:23" ht="15.6" x14ac:dyDescent="0.3">
      <c r="A253" s="284"/>
      <c r="B253" s="285" t="s">
        <v>120</v>
      </c>
      <c r="C253" s="311"/>
      <c r="D253" s="311"/>
      <c r="E253" s="311"/>
      <c r="F253" s="311"/>
      <c r="G253" s="311"/>
      <c r="H253" s="385"/>
      <c r="I253" s="385"/>
      <c r="J253" s="385"/>
      <c r="K253" s="385"/>
      <c r="L253" s="385"/>
      <c r="M253" s="385"/>
      <c r="N253" s="385"/>
      <c r="O253" s="385"/>
      <c r="P253" s="338">
        <f>SUM(P244:P252)</f>
        <v>3581</v>
      </c>
      <c r="Q253" s="384">
        <f>SUM(Q244:Q252)</f>
        <v>1</v>
      </c>
      <c r="R253" s="339">
        <f>SUM(R244:R252)</f>
        <v>460960</v>
      </c>
      <c r="S253" s="384">
        <f>SUM(S244:S252)</f>
        <v>1</v>
      </c>
      <c r="T253" s="311"/>
      <c r="U253" s="317"/>
      <c r="V253" s="5"/>
    </row>
    <row r="254" spans="1:23" ht="15.6" x14ac:dyDescent="0.3">
      <c r="A254" s="175"/>
      <c r="B254" s="334"/>
      <c r="C254" s="334"/>
      <c r="D254" s="334"/>
      <c r="E254" s="334"/>
      <c r="F254" s="334"/>
      <c r="G254" s="334"/>
      <c r="H254" s="379"/>
      <c r="I254" s="379"/>
      <c r="J254" s="379"/>
      <c r="K254" s="379"/>
      <c r="L254" s="379"/>
      <c r="M254" s="379"/>
      <c r="N254" s="379"/>
      <c r="O254" s="379"/>
      <c r="P254" s="335"/>
      <c r="Q254" s="380"/>
      <c r="R254" s="381"/>
      <c r="S254" s="380"/>
      <c r="T254" s="334"/>
      <c r="U254" s="334"/>
      <c r="V254" s="5"/>
    </row>
    <row r="255" spans="1:23" ht="15.6" x14ac:dyDescent="0.3">
      <c r="A255" s="268"/>
      <c r="B255" s="395" t="s">
        <v>267</v>
      </c>
      <c r="C255" s="396"/>
      <c r="D255" s="396"/>
      <c r="E255" s="396"/>
      <c r="F255" s="402"/>
      <c r="G255" s="396"/>
      <c r="H255" s="396"/>
      <c r="I255" s="396"/>
      <c r="J255" s="396"/>
      <c r="K255" s="396"/>
      <c r="L255" s="396"/>
      <c r="M255" s="396"/>
      <c r="N255" s="396"/>
      <c r="O255" s="396"/>
      <c r="P255" s="402" t="s">
        <v>105</v>
      </c>
      <c r="Q255" s="396" t="s">
        <v>106</v>
      </c>
      <c r="R255" s="402" t="s">
        <v>114</v>
      </c>
      <c r="S255" s="396" t="s">
        <v>106</v>
      </c>
      <c r="T255" s="269"/>
      <c r="U255" s="270"/>
      <c r="V255" s="5"/>
    </row>
    <row r="256" spans="1:23" ht="15.6" x14ac:dyDescent="0.3">
      <c r="A256" s="190"/>
      <c r="B256" s="243" t="s">
        <v>91</v>
      </c>
      <c r="C256" s="217"/>
      <c r="D256" s="217"/>
      <c r="E256" s="217"/>
      <c r="F256" s="191"/>
      <c r="G256" s="217"/>
      <c r="H256" s="217"/>
      <c r="I256" s="217"/>
      <c r="J256" s="217"/>
      <c r="K256" s="217"/>
      <c r="L256" s="217"/>
      <c r="M256" s="217"/>
      <c r="N256" s="217"/>
      <c r="O256" s="217"/>
      <c r="P256" s="243">
        <v>55</v>
      </c>
      <c r="Q256" s="274">
        <f t="shared" ref="Q256:Q263" si="7">P256/$P$265</f>
        <v>0.84615384615384615</v>
      </c>
      <c r="R256" s="251">
        <v>8377</v>
      </c>
      <c r="S256" s="274">
        <f>R256/$R$265</f>
        <v>0.87097109586192556</v>
      </c>
      <c r="T256" s="191"/>
      <c r="U256" s="191"/>
      <c r="V256" s="5"/>
    </row>
    <row r="257" spans="1:22" ht="15.6" x14ac:dyDescent="0.3">
      <c r="A257" s="284"/>
      <c r="B257" s="338" t="s">
        <v>92</v>
      </c>
      <c r="C257" s="382"/>
      <c r="D257" s="382"/>
      <c r="E257" s="382"/>
      <c r="F257" s="311"/>
      <c r="G257" s="383"/>
      <c r="H257" s="382"/>
      <c r="I257" s="382"/>
      <c r="J257" s="382"/>
      <c r="K257" s="382"/>
      <c r="L257" s="382"/>
      <c r="M257" s="382"/>
      <c r="N257" s="382"/>
      <c r="O257" s="382"/>
      <c r="P257" s="338">
        <v>2</v>
      </c>
      <c r="Q257" s="384">
        <f t="shared" si="7"/>
        <v>3.0769230769230771E-2</v>
      </c>
      <c r="R257" s="339">
        <v>336</v>
      </c>
      <c r="S257" s="384">
        <f t="shared" ref="S257:S263" si="8">R257/$R$265</f>
        <v>3.4934497816593885E-2</v>
      </c>
      <c r="T257" s="311"/>
      <c r="U257" s="317"/>
      <c r="V257" s="5"/>
    </row>
    <row r="258" spans="1:22" ht="15.6" x14ac:dyDescent="0.3">
      <c r="A258" s="284"/>
      <c r="B258" s="338" t="s">
        <v>93</v>
      </c>
      <c r="C258" s="382"/>
      <c r="D258" s="382"/>
      <c r="E258" s="382"/>
      <c r="F258" s="311"/>
      <c r="G258" s="383"/>
      <c r="H258" s="382"/>
      <c r="I258" s="382"/>
      <c r="J258" s="382"/>
      <c r="K258" s="382"/>
      <c r="L258" s="382"/>
      <c r="M258" s="382"/>
      <c r="N258" s="382"/>
      <c r="O258" s="382"/>
      <c r="P258" s="338">
        <v>1</v>
      </c>
      <c r="Q258" s="384">
        <f t="shared" si="7"/>
        <v>1.5384615384615385E-2</v>
      </c>
      <c r="R258" s="339">
        <v>52</v>
      </c>
      <c r="S258" s="384">
        <f t="shared" si="8"/>
        <v>5.406529423996673E-3</v>
      </c>
      <c r="T258" s="311"/>
      <c r="U258" s="317"/>
      <c r="V258" s="5"/>
    </row>
    <row r="259" spans="1:22" ht="15.6" x14ac:dyDescent="0.3">
      <c r="A259" s="284"/>
      <c r="B259" s="338" t="s">
        <v>163</v>
      </c>
      <c r="C259" s="382"/>
      <c r="D259" s="382"/>
      <c r="E259" s="382"/>
      <c r="F259" s="311"/>
      <c r="G259" s="383"/>
      <c r="H259" s="382"/>
      <c r="I259" s="382"/>
      <c r="J259" s="382"/>
      <c r="K259" s="382"/>
      <c r="L259" s="382"/>
      <c r="M259" s="382"/>
      <c r="N259" s="382"/>
      <c r="O259" s="382"/>
      <c r="P259" s="338">
        <v>0</v>
      </c>
      <c r="Q259" s="384">
        <f t="shared" si="7"/>
        <v>0</v>
      </c>
      <c r="R259" s="339">
        <v>0</v>
      </c>
      <c r="S259" s="384">
        <f t="shared" si="8"/>
        <v>0</v>
      </c>
      <c r="T259" s="311"/>
      <c r="U259" s="317"/>
      <c r="V259" s="5"/>
    </row>
    <row r="260" spans="1:22" ht="15.6" x14ac:dyDescent="0.3">
      <c r="A260" s="284"/>
      <c r="B260" s="338" t="s">
        <v>164</v>
      </c>
      <c r="C260" s="382"/>
      <c r="D260" s="382"/>
      <c r="E260" s="382"/>
      <c r="F260" s="311"/>
      <c r="G260" s="383"/>
      <c r="H260" s="382"/>
      <c r="I260" s="382"/>
      <c r="J260" s="382"/>
      <c r="K260" s="382"/>
      <c r="L260" s="382"/>
      <c r="M260" s="382"/>
      <c r="N260" s="382"/>
      <c r="O260" s="382"/>
      <c r="P260" s="338">
        <v>0</v>
      </c>
      <c r="Q260" s="384">
        <f t="shared" si="7"/>
        <v>0</v>
      </c>
      <c r="R260" s="339">
        <v>0</v>
      </c>
      <c r="S260" s="384">
        <f t="shared" si="8"/>
        <v>0</v>
      </c>
      <c r="T260" s="311"/>
      <c r="U260" s="317"/>
      <c r="V260" s="5"/>
    </row>
    <row r="261" spans="1:22" ht="15.6" x14ac:dyDescent="0.3">
      <c r="A261" s="284"/>
      <c r="B261" s="338" t="s">
        <v>165</v>
      </c>
      <c r="C261" s="382"/>
      <c r="D261" s="382"/>
      <c r="E261" s="382"/>
      <c r="F261" s="311"/>
      <c r="G261" s="383"/>
      <c r="H261" s="382"/>
      <c r="I261" s="382"/>
      <c r="J261" s="382"/>
      <c r="K261" s="382"/>
      <c r="L261" s="382"/>
      <c r="M261" s="382"/>
      <c r="N261" s="382"/>
      <c r="O261" s="382"/>
      <c r="P261" s="338">
        <v>0</v>
      </c>
      <c r="Q261" s="384">
        <f t="shared" si="7"/>
        <v>0</v>
      </c>
      <c r="R261" s="339">
        <v>0</v>
      </c>
      <c r="S261" s="384">
        <f t="shared" si="8"/>
        <v>0</v>
      </c>
      <c r="T261" s="311"/>
      <c r="U261" s="317"/>
      <c r="V261" s="5"/>
    </row>
    <row r="262" spans="1:22" ht="15.6" x14ac:dyDescent="0.3">
      <c r="A262" s="284"/>
      <c r="B262" s="338" t="s">
        <v>166</v>
      </c>
      <c r="C262" s="382"/>
      <c r="D262" s="382"/>
      <c r="E262" s="382"/>
      <c r="F262" s="311"/>
      <c r="G262" s="383"/>
      <c r="H262" s="382"/>
      <c r="I262" s="382"/>
      <c r="J262" s="382"/>
      <c r="K262" s="382"/>
      <c r="L262" s="382"/>
      <c r="M262" s="382"/>
      <c r="N262" s="382"/>
      <c r="O262" s="382"/>
      <c r="P262" s="338">
        <v>3</v>
      </c>
      <c r="Q262" s="384">
        <f t="shared" si="7"/>
        <v>4.6153846153846156E-2</v>
      </c>
      <c r="R262" s="339">
        <v>243</v>
      </c>
      <c r="S262" s="384">
        <f t="shared" si="8"/>
        <v>2.5265127885215222E-2</v>
      </c>
      <c r="T262" s="311"/>
      <c r="U262" s="317"/>
      <c r="V262" s="5"/>
    </row>
    <row r="263" spans="1:22" ht="15.6" x14ac:dyDescent="0.3">
      <c r="A263" s="284"/>
      <c r="B263" s="338" t="s">
        <v>167</v>
      </c>
      <c r="C263" s="382"/>
      <c r="D263" s="382"/>
      <c r="E263" s="382"/>
      <c r="F263" s="311"/>
      <c r="G263" s="383"/>
      <c r="H263" s="382"/>
      <c r="I263" s="382"/>
      <c r="J263" s="382"/>
      <c r="K263" s="382"/>
      <c r="L263" s="382"/>
      <c r="M263" s="382"/>
      <c r="N263" s="382"/>
      <c r="O263" s="382"/>
      <c r="P263" s="338">
        <v>4</v>
      </c>
      <c r="Q263" s="384">
        <f t="shared" si="7"/>
        <v>6.1538461538461542E-2</v>
      </c>
      <c r="R263" s="339">
        <v>610</v>
      </c>
      <c r="S263" s="384">
        <f t="shared" si="8"/>
        <v>6.3422749012268659E-2</v>
      </c>
      <c r="T263" s="311"/>
      <c r="U263" s="317"/>
      <c r="V263" s="5"/>
    </row>
    <row r="264" spans="1:22" ht="15.6" x14ac:dyDescent="0.3">
      <c r="A264" s="284"/>
      <c r="B264" s="338"/>
      <c r="C264" s="382"/>
      <c r="D264" s="382"/>
      <c r="E264" s="382"/>
      <c r="F264" s="311"/>
      <c r="G264" s="383"/>
      <c r="H264" s="382"/>
      <c r="I264" s="382"/>
      <c r="J264" s="382"/>
      <c r="K264" s="382"/>
      <c r="L264" s="382"/>
      <c r="M264" s="382"/>
      <c r="N264" s="382"/>
      <c r="O264" s="382"/>
      <c r="P264" s="338"/>
      <c r="Q264" s="384"/>
      <c r="R264" s="339"/>
      <c r="S264" s="384"/>
      <c r="T264" s="311"/>
      <c r="U264" s="317"/>
      <c r="V264" s="5"/>
    </row>
    <row r="265" spans="1:22" ht="15.6" x14ac:dyDescent="0.3">
      <c r="A265" s="284"/>
      <c r="B265" s="285" t="s">
        <v>120</v>
      </c>
      <c r="C265" s="311"/>
      <c r="D265" s="311"/>
      <c r="E265" s="311"/>
      <c r="F265" s="311"/>
      <c r="G265" s="311"/>
      <c r="H265" s="385"/>
      <c r="I265" s="385"/>
      <c r="J265" s="385"/>
      <c r="K265" s="385"/>
      <c r="L265" s="385"/>
      <c r="M265" s="385"/>
      <c r="N265" s="385"/>
      <c r="O265" s="385"/>
      <c r="P265" s="338">
        <f>SUM(P256:P264)</f>
        <v>65</v>
      </c>
      <c r="Q265" s="384">
        <f>SUM(Q256:Q264)</f>
        <v>1</v>
      </c>
      <c r="R265" s="339">
        <f>SUM(R256:R264)</f>
        <v>9618</v>
      </c>
      <c r="S265" s="384">
        <f>SUM(S256:S264)</f>
        <v>0.99999999999999989</v>
      </c>
      <c r="T265" s="311"/>
      <c r="U265" s="317"/>
      <c r="V265" s="5"/>
    </row>
    <row r="266" spans="1:22" ht="15.6" x14ac:dyDescent="0.3">
      <c r="A266" s="175"/>
      <c r="B266" s="334"/>
      <c r="C266" s="334"/>
      <c r="D266" s="334"/>
      <c r="E266" s="334"/>
      <c r="F266" s="334"/>
      <c r="G266" s="334"/>
      <c r="H266" s="379"/>
      <c r="I266" s="379"/>
      <c r="J266" s="379"/>
      <c r="K266" s="379"/>
      <c r="L266" s="379"/>
      <c r="M266" s="379"/>
      <c r="N266" s="379"/>
      <c r="O266" s="379"/>
      <c r="P266" s="335"/>
      <c r="Q266" s="380"/>
      <c r="R266" s="381"/>
      <c r="S266" s="380"/>
      <c r="T266" s="334"/>
      <c r="U266" s="334"/>
      <c r="V266" s="5"/>
    </row>
    <row r="267" spans="1:22" ht="15.6" x14ac:dyDescent="0.3">
      <c r="A267" s="268"/>
      <c r="B267" s="395" t="s">
        <v>170</v>
      </c>
      <c r="C267" s="269"/>
      <c r="D267" s="269"/>
      <c r="E267" s="269"/>
      <c r="F267" s="269"/>
      <c r="G267" s="269"/>
      <c r="H267" s="271"/>
      <c r="I267" s="271"/>
      <c r="J267" s="271"/>
      <c r="K267" s="271"/>
      <c r="L267" s="271"/>
      <c r="M267" s="271"/>
      <c r="N267" s="271"/>
      <c r="O267" s="271"/>
      <c r="P267" s="402" t="s">
        <v>105</v>
      </c>
      <c r="Q267" s="396" t="s">
        <v>106</v>
      </c>
      <c r="R267" s="402" t="s">
        <v>114</v>
      </c>
      <c r="S267" s="396" t="s">
        <v>106</v>
      </c>
      <c r="T267" s="269"/>
      <c r="U267" s="270"/>
      <c r="V267" s="5"/>
    </row>
    <row r="268" spans="1:22" ht="15.6" x14ac:dyDescent="0.3">
      <c r="A268" s="190"/>
      <c r="B268" s="243" t="s">
        <v>91</v>
      </c>
      <c r="C268" s="239"/>
      <c r="D268" s="239"/>
      <c r="E268" s="239"/>
      <c r="F268" s="239"/>
      <c r="G268" s="239"/>
      <c r="H268" s="275"/>
      <c r="I268" s="275"/>
      <c r="J268" s="275"/>
      <c r="K268" s="275"/>
      <c r="L268" s="218"/>
      <c r="M268" s="218"/>
      <c r="N268" s="218"/>
      <c r="O268" s="218"/>
      <c r="P268" s="243">
        <v>0</v>
      </c>
      <c r="Q268" s="274">
        <v>0</v>
      </c>
      <c r="R268" s="251">
        <v>0</v>
      </c>
      <c r="S268" s="274">
        <v>0</v>
      </c>
      <c r="T268" s="239"/>
      <c r="U268" s="191"/>
      <c r="V268" s="5"/>
    </row>
    <row r="269" spans="1:22" ht="15.6" x14ac:dyDescent="0.3">
      <c r="A269" s="284"/>
      <c r="B269" s="338" t="s">
        <v>92</v>
      </c>
      <c r="C269" s="285"/>
      <c r="D269" s="285"/>
      <c r="E269" s="285"/>
      <c r="F269" s="285"/>
      <c r="G269" s="285"/>
      <c r="H269" s="387"/>
      <c r="I269" s="387"/>
      <c r="J269" s="387"/>
      <c r="K269" s="387"/>
      <c r="L269" s="385"/>
      <c r="M269" s="385"/>
      <c r="N269" s="385"/>
      <c r="O269" s="385"/>
      <c r="P269" s="338">
        <v>0</v>
      </c>
      <c r="Q269" s="384">
        <v>0</v>
      </c>
      <c r="R269" s="339">
        <v>0</v>
      </c>
      <c r="S269" s="384">
        <v>0</v>
      </c>
      <c r="T269" s="285"/>
      <c r="U269" s="317"/>
      <c r="V269" s="5"/>
    </row>
    <row r="270" spans="1:22" ht="15.6" x14ac:dyDescent="0.3">
      <c r="A270" s="284"/>
      <c r="B270" s="338" t="s">
        <v>93</v>
      </c>
      <c r="C270" s="285"/>
      <c r="D270" s="285"/>
      <c r="E270" s="285"/>
      <c r="F270" s="285"/>
      <c r="G270" s="285"/>
      <c r="H270" s="387"/>
      <c r="I270" s="387"/>
      <c r="J270" s="387"/>
      <c r="K270" s="387"/>
      <c r="L270" s="385"/>
      <c r="M270" s="385"/>
      <c r="N270" s="385"/>
      <c r="O270" s="385"/>
      <c r="P270" s="338">
        <v>0</v>
      </c>
      <c r="Q270" s="384">
        <v>0</v>
      </c>
      <c r="R270" s="339">
        <v>0</v>
      </c>
      <c r="S270" s="384">
        <v>0</v>
      </c>
      <c r="T270" s="285"/>
      <c r="U270" s="317"/>
      <c r="V270" s="5"/>
    </row>
    <row r="271" spans="1:22" ht="15.6" x14ac:dyDescent="0.3">
      <c r="A271" s="284"/>
      <c r="B271" s="338" t="s">
        <v>163</v>
      </c>
      <c r="C271" s="285"/>
      <c r="D271" s="285"/>
      <c r="E271" s="285"/>
      <c r="F271" s="285"/>
      <c r="G271" s="285"/>
      <c r="H271" s="387"/>
      <c r="I271" s="387"/>
      <c r="J271" s="387"/>
      <c r="K271" s="387"/>
      <c r="L271" s="385"/>
      <c r="M271" s="385"/>
      <c r="N271" s="385"/>
      <c r="O271" s="385"/>
      <c r="P271" s="338">
        <v>0</v>
      </c>
      <c r="Q271" s="384">
        <v>0</v>
      </c>
      <c r="R271" s="339">
        <v>0</v>
      </c>
      <c r="S271" s="384">
        <v>0</v>
      </c>
      <c r="T271" s="285"/>
      <c r="U271" s="317"/>
      <c r="V271" s="5"/>
    </row>
    <row r="272" spans="1:22" ht="15.6" x14ac:dyDescent="0.3">
      <c r="A272" s="284"/>
      <c r="B272" s="338" t="s">
        <v>164</v>
      </c>
      <c r="C272" s="285"/>
      <c r="D272" s="285"/>
      <c r="E272" s="285"/>
      <c r="F272" s="285"/>
      <c r="G272" s="285"/>
      <c r="H272" s="387"/>
      <c r="I272" s="387"/>
      <c r="J272" s="387"/>
      <c r="K272" s="387"/>
      <c r="L272" s="385"/>
      <c r="M272" s="385"/>
      <c r="N272" s="385"/>
      <c r="O272" s="385"/>
      <c r="P272" s="338">
        <v>0</v>
      </c>
      <c r="Q272" s="384">
        <v>0</v>
      </c>
      <c r="R272" s="339">
        <v>0</v>
      </c>
      <c r="S272" s="384">
        <v>0</v>
      </c>
      <c r="T272" s="285"/>
      <c r="U272" s="317"/>
      <c r="V272" s="5"/>
    </row>
    <row r="273" spans="1:22" ht="15.6" x14ac:dyDescent="0.3">
      <c r="A273" s="284"/>
      <c r="B273" s="338" t="s">
        <v>165</v>
      </c>
      <c r="C273" s="285"/>
      <c r="D273" s="285"/>
      <c r="E273" s="285"/>
      <c r="F273" s="285"/>
      <c r="G273" s="285"/>
      <c r="H273" s="387"/>
      <c r="I273" s="387"/>
      <c r="J273" s="387"/>
      <c r="K273" s="387"/>
      <c r="L273" s="385"/>
      <c r="M273" s="385"/>
      <c r="N273" s="385"/>
      <c r="O273" s="385"/>
      <c r="P273" s="338">
        <v>0</v>
      </c>
      <c r="Q273" s="384">
        <v>0</v>
      </c>
      <c r="R273" s="339">
        <v>0</v>
      </c>
      <c r="S273" s="384">
        <v>0</v>
      </c>
      <c r="T273" s="285"/>
      <c r="U273" s="317"/>
      <c r="V273" s="5"/>
    </row>
    <row r="274" spans="1:22" ht="15.6" x14ac:dyDescent="0.3">
      <c r="A274" s="284"/>
      <c r="B274" s="338" t="s">
        <v>166</v>
      </c>
      <c r="C274" s="285"/>
      <c r="D274" s="285"/>
      <c r="E274" s="285"/>
      <c r="F274" s="285"/>
      <c r="G274" s="285"/>
      <c r="H274" s="387"/>
      <c r="I274" s="387"/>
      <c r="J274" s="387"/>
      <c r="K274" s="387"/>
      <c r="L274" s="385"/>
      <c r="M274" s="385"/>
      <c r="N274" s="385"/>
      <c r="O274" s="385"/>
      <c r="P274" s="338">
        <v>0</v>
      </c>
      <c r="Q274" s="384">
        <v>0</v>
      </c>
      <c r="R274" s="339">
        <v>0</v>
      </c>
      <c r="S274" s="384">
        <v>0</v>
      </c>
      <c r="T274" s="285"/>
      <c r="U274" s="317"/>
      <c r="V274" s="5"/>
    </row>
    <row r="275" spans="1:22" ht="15.6" x14ac:dyDescent="0.3">
      <c r="A275" s="284"/>
      <c r="B275" s="338" t="s">
        <v>167</v>
      </c>
      <c r="C275" s="285"/>
      <c r="D275" s="285"/>
      <c r="E275" s="285"/>
      <c r="F275" s="285"/>
      <c r="G275" s="285"/>
      <c r="H275" s="387"/>
      <c r="I275" s="387"/>
      <c r="J275" s="387"/>
      <c r="K275" s="387"/>
      <c r="L275" s="385"/>
      <c r="M275" s="385"/>
      <c r="N275" s="385"/>
      <c r="O275" s="385"/>
      <c r="P275" s="338">
        <v>0</v>
      </c>
      <c r="Q275" s="384">
        <v>0</v>
      </c>
      <c r="R275" s="339">
        <v>0</v>
      </c>
      <c r="S275" s="384">
        <v>0</v>
      </c>
      <c r="T275" s="285"/>
      <c r="U275" s="317"/>
      <c r="V275" s="5"/>
    </row>
    <row r="276" spans="1:22" ht="15.6" x14ac:dyDescent="0.3">
      <c r="A276" s="284"/>
      <c r="B276" s="338"/>
      <c r="C276" s="285"/>
      <c r="D276" s="285"/>
      <c r="E276" s="285"/>
      <c r="F276" s="285"/>
      <c r="G276" s="285"/>
      <c r="H276" s="387"/>
      <c r="I276" s="387"/>
      <c r="J276" s="387"/>
      <c r="K276" s="387"/>
      <c r="L276" s="385"/>
      <c r="M276" s="385"/>
      <c r="N276" s="385"/>
      <c r="O276" s="385"/>
      <c r="P276" s="338"/>
      <c r="Q276" s="384"/>
      <c r="R276" s="339"/>
      <c r="S276" s="384"/>
      <c r="T276" s="285"/>
      <c r="U276" s="317"/>
      <c r="V276" s="5"/>
    </row>
    <row r="277" spans="1:22" ht="15.6" x14ac:dyDescent="0.3">
      <c r="A277" s="284"/>
      <c r="B277" s="285" t="s">
        <v>120</v>
      </c>
      <c r="C277" s="285"/>
      <c r="D277" s="285"/>
      <c r="E277" s="285"/>
      <c r="F277" s="285"/>
      <c r="G277" s="285"/>
      <c r="H277" s="387"/>
      <c r="I277" s="387"/>
      <c r="J277" s="387"/>
      <c r="K277" s="387"/>
      <c r="L277" s="385"/>
      <c r="M277" s="385"/>
      <c r="N277" s="385"/>
      <c r="O277" s="385"/>
      <c r="P277" s="338">
        <f>SUM(P268:P275)</f>
        <v>0</v>
      </c>
      <c r="Q277" s="384">
        <f>SUM(Q268:Q276)</f>
        <v>0</v>
      </c>
      <c r="R277" s="339">
        <f>SUM(R268:R275)</f>
        <v>0</v>
      </c>
      <c r="S277" s="384">
        <f>SUM(S268:S276)</f>
        <v>0</v>
      </c>
      <c r="T277" s="285"/>
      <c r="U277" s="317"/>
      <c r="V277" s="5"/>
    </row>
    <row r="278" spans="1:22" ht="15.6" x14ac:dyDescent="0.3">
      <c r="A278" s="284"/>
      <c r="B278" s="285"/>
      <c r="C278" s="285"/>
      <c r="D278" s="285"/>
      <c r="E278" s="285"/>
      <c r="F278" s="285"/>
      <c r="G278" s="285"/>
      <c r="H278" s="387"/>
      <c r="I278" s="387"/>
      <c r="J278" s="387"/>
      <c r="K278" s="387"/>
      <c r="L278" s="385"/>
      <c r="M278" s="385"/>
      <c r="N278" s="385"/>
      <c r="O278" s="385"/>
      <c r="P278" s="344"/>
      <c r="Q278" s="388"/>
      <c r="R278" s="345"/>
      <c r="S278" s="388"/>
      <c r="T278" s="311"/>
      <c r="U278" s="317"/>
      <c r="V278" s="5"/>
    </row>
    <row r="279" spans="1:22" ht="15.6" x14ac:dyDescent="0.3">
      <c r="A279" s="284"/>
      <c r="B279" s="292" t="s">
        <v>171</v>
      </c>
      <c r="C279" s="285"/>
      <c r="D279" s="285"/>
      <c r="E279" s="285"/>
      <c r="F279" s="285"/>
      <c r="G279" s="285"/>
      <c r="H279" s="387"/>
      <c r="I279" s="387"/>
      <c r="J279" s="387"/>
      <c r="K279" s="387"/>
      <c r="L279" s="385"/>
      <c r="M279" s="385"/>
      <c r="N279" s="385"/>
      <c r="O279" s="385"/>
      <c r="P279" s="403">
        <f>P277+P265+P253</f>
        <v>3646</v>
      </c>
      <c r="Q279" s="384"/>
      <c r="R279" s="404">
        <f>+R277+R265+R253</f>
        <v>470578</v>
      </c>
      <c r="S279" s="384"/>
      <c r="T279" s="311"/>
      <c r="U279" s="317"/>
      <c r="V279" s="5"/>
    </row>
    <row r="280" spans="1:22" ht="15.6" x14ac:dyDescent="0.3">
      <c r="A280" s="175"/>
      <c r="B280" s="281"/>
      <c r="C280" s="281"/>
      <c r="D280" s="281"/>
      <c r="E280" s="281"/>
      <c r="F280" s="281"/>
      <c r="G280" s="281"/>
      <c r="H280" s="386"/>
      <c r="I280" s="386"/>
      <c r="J280" s="386"/>
      <c r="K280" s="386"/>
      <c r="L280" s="379"/>
      <c r="M280" s="379"/>
      <c r="N280" s="379"/>
      <c r="O280" s="379"/>
      <c r="P280" s="379"/>
      <c r="Q280" s="379"/>
      <c r="R280" s="381"/>
      <c r="S280" s="379"/>
      <c r="T280" s="334"/>
      <c r="U280" s="334"/>
      <c r="V280" s="5"/>
    </row>
    <row r="281" spans="1:22" ht="15.6" x14ac:dyDescent="0.3">
      <c r="A281" s="175"/>
      <c r="B281" s="231"/>
      <c r="C281" s="231"/>
      <c r="D281" s="231"/>
      <c r="E281" s="231"/>
      <c r="F281" s="231"/>
      <c r="G281" s="231"/>
      <c r="H281" s="276"/>
      <c r="I281" s="276"/>
      <c r="J281" s="276"/>
      <c r="K281" s="276"/>
      <c r="L281" s="219"/>
      <c r="M281" s="219"/>
      <c r="N281" s="219"/>
      <c r="O281" s="219"/>
      <c r="P281" s="219"/>
      <c r="Q281" s="219"/>
      <c r="R281" s="220"/>
      <c r="S281" s="219"/>
      <c r="T281" s="177"/>
      <c r="U281" s="177"/>
      <c r="V281" s="5"/>
    </row>
    <row r="282" spans="1:22" ht="15.6" x14ac:dyDescent="0.3">
      <c r="A282" s="221"/>
      <c r="B282" s="230" t="s">
        <v>94</v>
      </c>
      <c r="C282" s="231"/>
      <c r="D282" s="231"/>
      <c r="E282" s="231"/>
      <c r="F282" s="236" t="s">
        <v>100</v>
      </c>
      <c r="G282" s="231"/>
      <c r="H282" s="230" t="s">
        <v>102</v>
      </c>
      <c r="I282" s="277"/>
      <c r="J282" s="277"/>
      <c r="K282" s="277"/>
      <c r="L282" s="188"/>
      <c r="M282" s="188"/>
      <c r="N282" s="188"/>
      <c r="O282" s="188"/>
      <c r="P282" s="188"/>
      <c r="Q282" s="188"/>
      <c r="R282" s="188"/>
      <c r="S282" s="188"/>
      <c r="T282" s="188"/>
      <c r="U282" s="188"/>
      <c r="V282" s="5"/>
    </row>
    <row r="283" spans="1:22" ht="15.6" x14ac:dyDescent="0.3">
      <c r="A283" s="221"/>
      <c r="B283" s="230" t="s">
        <v>316</v>
      </c>
      <c r="C283" s="230"/>
      <c r="D283" s="230"/>
      <c r="E283" s="230"/>
      <c r="F283" s="278" t="s">
        <v>154</v>
      </c>
      <c r="G283" s="230"/>
      <c r="H283" s="230" t="s">
        <v>158</v>
      </c>
      <c r="I283" s="277"/>
      <c r="J283" s="277"/>
      <c r="K283" s="277"/>
      <c r="L283" s="188"/>
      <c r="M283" s="188"/>
      <c r="N283" s="188"/>
      <c r="O283" s="188"/>
      <c r="P283" s="188"/>
      <c r="Q283" s="188"/>
      <c r="R283" s="188"/>
      <c r="S283" s="188"/>
      <c r="T283" s="188"/>
      <c r="U283" s="188"/>
      <c r="V283" s="5"/>
    </row>
    <row r="284" spans="1:22" ht="15.6" x14ac:dyDescent="0.3">
      <c r="A284" s="221"/>
      <c r="B284" s="230" t="s">
        <v>317</v>
      </c>
      <c r="C284" s="230"/>
      <c r="D284" s="230"/>
      <c r="E284" s="230"/>
      <c r="F284" s="278" t="s">
        <v>269</v>
      </c>
      <c r="G284" s="230"/>
      <c r="H284" s="230" t="s">
        <v>270</v>
      </c>
      <c r="I284" s="277"/>
      <c r="J284" s="277"/>
      <c r="K284" s="277"/>
      <c r="L284" s="188"/>
      <c r="M284" s="188"/>
      <c r="N284" s="188"/>
      <c r="O284" s="188"/>
      <c r="P284" s="188"/>
      <c r="Q284" s="188"/>
      <c r="R284" s="188"/>
      <c r="S284" s="188"/>
      <c r="T284" s="188"/>
      <c r="U284" s="188"/>
      <c r="V284" s="5"/>
    </row>
    <row r="285" spans="1:22" ht="15.6" x14ac:dyDescent="0.3">
      <c r="A285" s="221"/>
      <c r="B285" s="230" t="s">
        <v>318</v>
      </c>
      <c r="C285" s="230"/>
      <c r="D285" s="230"/>
      <c r="E285" s="230"/>
      <c r="F285" s="278" t="s">
        <v>153</v>
      </c>
      <c r="G285" s="230"/>
      <c r="H285" s="230" t="s">
        <v>159</v>
      </c>
      <c r="I285" s="277"/>
      <c r="J285" s="277"/>
      <c r="K285" s="277"/>
      <c r="L285" s="188"/>
      <c r="M285" s="188"/>
      <c r="N285" s="188"/>
      <c r="O285" s="188"/>
      <c r="P285" s="188"/>
      <c r="Q285" s="188"/>
      <c r="R285" s="188"/>
      <c r="S285" s="188"/>
      <c r="T285" s="188"/>
      <c r="U285" s="188"/>
      <c r="V285" s="5"/>
    </row>
    <row r="286" spans="1:22" ht="15.6" x14ac:dyDescent="0.3">
      <c r="A286" s="221"/>
      <c r="B286" s="230"/>
      <c r="C286" s="230"/>
      <c r="D286" s="230"/>
      <c r="E286" s="230"/>
      <c r="F286" s="230"/>
      <c r="G286" s="279"/>
      <c r="H286" s="277"/>
      <c r="I286" s="277"/>
      <c r="J286" s="277"/>
      <c r="K286" s="277"/>
      <c r="L286" s="188"/>
      <c r="M286" s="188"/>
      <c r="N286" s="188"/>
      <c r="O286" s="188"/>
      <c r="P286" s="188"/>
      <c r="Q286" s="188"/>
      <c r="R286" s="188"/>
      <c r="S286" s="188"/>
      <c r="T286" s="188"/>
      <c r="U286" s="188"/>
      <c r="V286" s="5"/>
    </row>
    <row r="287" spans="1:22" ht="15.6" x14ac:dyDescent="0.3">
      <c r="A287" s="221"/>
      <c r="B287" s="230"/>
      <c r="C287" s="230"/>
      <c r="D287" s="230"/>
      <c r="E287" s="230"/>
      <c r="F287" s="230"/>
      <c r="G287" s="279"/>
      <c r="H287" s="277"/>
      <c r="I287" s="277"/>
      <c r="J287" s="277"/>
      <c r="K287" s="277"/>
      <c r="L287" s="188"/>
      <c r="M287" s="188"/>
      <c r="N287" s="188"/>
      <c r="O287" s="188"/>
      <c r="P287" s="188"/>
      <c r="Q287" s="188"/>
      <c r="R287" s="188"/>
      <c r="S287" s="188"/>
      <c r="T287" s="188"/>
      <c r="U287" s="188"/>
      <c r="V287" s="5"/>
    </row>
    <row r="288" spans="1:22" ht="18" thickBot="1" x14ac:dyDescent="0.35">
      <c r="A288" s="221"/>
      <c r="B288" s="280" t="str">
        <f>B193</f>
        <v>PM11 INVESTOR REPORT QUARTER ENDING MARCH 2016</v>
      </c>
      <c r="C288" s="230"/>
      <c r="D288" s="230"/>
      <c r="E288" s="230"/>
      <c r="F288" s="230"/>
      <c r="G288" s="279"/>
      <c r="H288" s="277"/>
      <c r="I288" s="277"/>
      <c r="J288" s="277"/>
      <c r="K288" s="277"/>
      <c r="L288" s="188"/>
      <c r="M288" s="188"/>
      <c r="N288" s="188"/>
      <c r="O288" s="188"/>
      <c r="P288" s="188"/>
      <c r="Q288" s="188"/>
      <c r="R288" s="188"/>
      <c r="S288" s="188"/>
      <c r="T288" s="188"/>
      <c r="U288" s="188"/>
      <c r="V288" s="5"/>
    </row>
    <row r="289" spans="1:21" x14ac:dyDescent="0.25">
      <c r="A289" s="100"/>
      <c r="B289" s="100"/>
      <c r="C289" s="100"/>
      <c r="D289" s="100"/>
      <c r="E289" s="100"/>
      <c r="F289" s="100"/>
      <c r="G289" s="100"/>
      <c r="H289" s="100"/>
      <c r="I289" s="100"/>
      <c r="J289" s="100"/>
      <c r="K289" s="100"/>
      <c r="L289" s="100"/>
      <c r="M289" s="100"/>
      <c r="N289" s="100"/>
      <c r="O289" s="100"/>
      <c r="P289" s="100"/>
      <c r="Q289" s="100"/>
      <c r="R289" s="100"/>
      <c r="S289" s="100"/>
      <c r="T289" s="100"/>
      <c r="U289" s="100"/>
    </row>
  </sheetData>
  <hyperlinks>
    <hyperlink ref="N229" r:id="rId1" xr:uid="{00000000-0004-0000-2700-000000000000}"/>
    <hyperlink ref="J9" r:id="rId2" xr:uid="{00000000-0004-0000-27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4" max="20" man="1"/>
    <brk id="133" max="20" man="1"/>
    <brk id="193" max="20" man="1"/>
  </rowBreaks>
  <drawing r:id="rId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89CB31"/>
  </sheetPr>
  <dimension ref="A1:X289"/>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08984375" style="1" customWidth="1"/>
    <col min="10" max="10" width="17.81640625" style="1" customWidth="1"/>
    <col min="11" max="11" width="2.1796875" style="1" customWidth="1"/>
    <col min="12" max="12" width="14.81640625" style="1" customWidth="1"/>
    <col min="13" max="13" width="2.1796875" style="1" customWidth="1"/>
    <col min="14" max="14" width="15.54296875" style="1" customWidth="1"/>
    <col min="15" max="15" width="2.08984375" style="1" customWidth="1"/>
    <col min="16" max="16" width="15.54296875" style="1" customWidth="1"/>
    <col min="17" max="18" width="12.81640625" style="1" customWidth="1"/>
    <col min="19" max="19" width="7.81640625" style="1" customWidth="1"/>
    <col min="20" max="20" width="14.81640625" style="1" customWidth="1"/>
    <col min="21" max="21" width="11.81640625" style="1" customWidth="1"/>
    <col min="22" max="16384" width="9.81640625" style="1"/>
  </cols>
  <sheetData>
    <row r="1" spans="1:22" ht="20.399999999999999" x14ac:dyDescent="0.35">
      <c r="A1" s="173"/>
      <c r="B1" s="228" t="s">
        <v>228</v>
      </c>
      <c r="C1" s="174"/>
      <c r="D1" s="174"/>
      <c r="E1" s="174"/>
      <c r="F1" s="174"/>
      <c r="G1" s="174"/>
      <c r="H1" s="174"/>
      <c r="I1" s="174"/>
      <c r="J1" s="174"/>
      <c r="K1" s="174"/>
      <c r="L1" s="174"/>
      <c r="M1" s="174"/>
      <c r="N1" s="174"/>
      <c r="O1" s="174"/>
      <c r="P1" s="174"/>
      <c r="Q1" s="174"/>
      <c r="R1" s="174"/>
      <c r="S1" s="174"/>
      <c r="T1" s="174"/>
      <c r="U1" s="174"/>
      <c r="V1" s="5"/>
    </row>
    <row r="2" spans="1:22" ht="15.6" x14ac:dyDescent="0.3">
      <c r="A2" s="175"/>
      <c r="B2" s="176"/>
      <c r="C2" s="177"/>
      <c r="D2" s="177"/>
      <c r="E2" s="177"/>
      <c r="F2" s="177"/>
      <c r="G2" s="177"/>
      <c r="H2" s="177"/>
      <c r="I2" s="177"/>
      <c r="J2" s="177"/>
      <c r="K2" s="177"/>
      <c r="L2" s="177"/>
      <c r="M2" s="177"/>
      <c r="N2" s="177"/>
      <c r="O2" s="177"/>
      <c r="P2" s="177"/>
      <c r="Q2" s="177"/>
      <c r="R2" s="177"/>
      <c r="S2" s="177"/>
      <c r="T2" s="177"/>
      <c r="U2" s="177"/>
      <c r="V2" s="5"/>
    </row>
    <row r="3" spans="1:22" ht="15.6" x14ac:dyDescent="0.3">
      <c r="A3" s="178"/>
      <c r="B3" s="179" t="s">
        <v>229</v>
      </c>
      <c r="C3" s="177"/>
      <c r="D3" s="177"/>
      <c r="E3" s="177"/>
      <c r="F3" s="177"/>
      <c r="G3" s="177"/>
      <c r="H3" s="177"/>
      <c r="I3" s="177"/>
      <c r="J3" s="177"/>
      <c r="K3" s="177"/>
      <c r="L3" s="177"/>
      <c r="M3" s="177"/>
      <c r="N3" s="177"/>
      <c r="O3" s="177"/>
      <c r="P3" s="177"/>
      <c r="Q3" s="177"/>
      <c r="R3" s="177"/>
      <c r="S3" s="177"/>
      <c r="T3" s="177"/>
      <c r="U3" s="177"/>
      <c r="V3" s="5"/>
    </row>
    <row r="4" spans="1:22" ht="15.6" x14ac:dyDescent="0.3">
      <c r="A4" s="175"/>
      <c r="B4" s="176"/>
      <c r="C4" s="177"/>
      <c r="D4" s="177"/>
      <c r="E4" s="177"/>
      <c r="F4" s="177"/>
      <c r="G4" s="177"/>
      <c r="H4" s="177"/>
      <c r="I4" s="177"/>
      <c r="J4" s="177"/>
      <c r="K4" s="177"/>
      <c r="L4" s="177"/>
      <c r="M4" s="177"/>
      <c r="N4" s="177"/>
      <c r="O4" s="177"/>
      <c r="P4" s="177"/>
      <c r="Q4" s="177"/>
      <c r="R4" s="177"/>
      <c r="S4" s="177"/>
      <c r="T4" s="177"/>
      <c r="U4" s="177"/>
      <c r="V4" s="5"/>
    </row>
    <row r="5" spans="1:22" ht="15.6" x14ac:dyDescent="0.3">
      <c r="A5" s="175"/>
      <c r="B5" s="229" t="s">
        <v>143</v>
      </c>
      <c r="C5" s="177"/>
      <c r="D5" s="177"/>
      <c r="E5" s="177"/>
      <c r="F5" s="177"/>
      <c r="G5" s="177"/>
      <c r="H5" s="177"/>
      <c r="I5" s="177"/>
      <c r="J5" s="177"/>
      <c r="K5" s="177"/>
      <c r="L5" s="177"/>
      <c r="M5" s="177"/>
      <c r="N5" s="177"/>
      <c r="O5" s="177"/>
      <c r="P5" s="177"/>
      <c r="Q5" s="177"/>
      <c r="R5" s="177"/>
      <c r="S5" s="177"/>
      <c r="T5" s="177"/>
      <c r="U5" s="177"/>
      <c r="V5" s="5"/>
    </row>
    <row r="6" spans="1:22" ht="15.6" x14ac:dyDescent="0.3">
      <c r="A6" s="175"/>
      <c r="B6" s="229" t="s">
        <v>145</v>
      </c>
      <c r="C6" s="177"/>
      <c r="D6" s="177"/>
      <c r="E6" s="177"/>
      <c r="F6" s="177"/>
      <c r="G6" s="177"/>
      <c r="H6" s="177"/>
      <c r="I6" s="177"/>
      <c r="J6" s="177"/>
      <c r="K6" s="177"/>
      <c r="L6" s="177"/>
      <c r="M6" s="177"/>
      <c r="N6" s="177"/>
      <c r="O6" s="177"/>
      <c r="P6" s="177"/>
      <c r="Q6" s="177"/>
      <c r="R6" s="177"/>
      <c r="S6" s="177"/>
      <c r="T6" s="177"/>
      <c r="U6" s="177"/>
      <c r="V6" s="5"/>
    </row>
    <row r="7" spans="1:22" ht="15.6" x14ac:dyDescent="0.3">
      <c r="A7" s="175"/>
      <c r="B7" s="229" t="s">
        <v>144</v>
      </c>
      <c r="C7" s="177"/>
      <c r="D7" s="177"/>
      <c r="E7" s="177"/>
      <c r="F7" s="177"/>
      <c r="G7" s="177"/>
      <c r="H7" s="177"/>
      <c r="I7" s="177"/>
      <c r="J7" s="177"/>
      <c r="K7" s="177"/>
      <c r="L7" s="177"/>
      <c r="M7" s="177"/>
      <c r="N7" s="177"/>
      <c r="O7" s="177"/>
      <c r="P7" s="177"/>
      <c r="Q7" s="177"/>
      <c r="R7" s="177"/>
      <c r="S7" s="177"/>
      <c r="T7" s="177"/>
      <c r="U7" s="177"/>
      <c r="V7" s="5"/>
    </row>
    <row r="8" spans="1:22" ht="15.6" x14ac:dyDescent="0.3">
      <c r="A8" s="175"/>
      <c r="B8" s="180"/>
      <c r="C8" s="177"/>
      <c r="D8" s="177"/>
      <c r="E8" s="177"/>
      <c r="F8" s="177"/>
      <c r="G8" s="177"/>
      <c r="H8" s="177"/>
      <c r="I8" s="177"/>
      <c r="J8" s="177"/>
      <c r="K8" s="177"/>
      <c r="L8" s="177"/>
      <c r="M8" s="177"/>
      <c r="N8" s="177"/>
      <c r="O8" s="177"/>
      <c r="P8" s="177"/>
      <c r="Q8" s="177"/>
      <c r="R8" s="177"/>
      <c r="S8" s="177"/>
      <c r="T8" s="177"/>
      <c r="U8" s="177"/>
      <c r="V8" s="5"/>
    </row>
    <row r="9" spans="1:22" ht="17.399999999999999" x14ac:dyDescent="0.3">
      <c r="A9" s="175"/>
      <c r="B9" s="181" t="s">
        <v>173</v>
      </c>
      <c r="C9" s="177"/>
      <c r="D9" s="177"/>
      <c r="E9" s="177"/>
      <c r="F9" s="177"/>
      <c r="G9" s="177"/>
      <c r="H9" s="177"/>
      <c r="I9" s="177"/>
      <c r="J9" s="182" t="s">
        <v>174</v>
      </c>
      <c r="K9" s="177"/>
      <c r="L9" s="182"/>
      <c r="M9" s="177"/>
      <c r="N9" s="177"/>
      <c r="O9" s="177"/>
      <c r="P9" s="177"/>
      <c r="Q9" s="177"/>
      <c r="R9" s="177"/>
      <c r="S9" s="177"/>
      <c r="T9" s="177"/>
      <c r="U9" s="177"/>
      <c r="V9" s="5"/>
    </row>
    <row r="10" spans="1:22" ht="15.6" x14ac:dyDescent="0.3">
      <c r="A10" s="175"/>
      <c r="B10" s="180"/>
      <c r="C10" s="183"/>
      <c r="D10" s="183"/>
      <c r="E10" s="183"/>
      <c r="F10" s="177"/>
      <c r="G10" s="177"/>
      <c r="H10" s="177"/>
      <c r="I10" s="177"/>
      <c r="J10" s="177"/>
      <c r="K10" s="177"/>
      <c r="L10" s="177"/>
      <c r="M10" s="177"/>
      <c r="N10" s="177"/>
      <c r="O10" s="177"/>
      <c r="P10" s="177"/>
      <c r="Q10" s="177"/>
      <c r="R10" s="177"/>
      <c r="S10" s="177"/>
      <c r="T10" s="177"/>
      <c r="U10" s="177"/>
      <c r="V10" s="5"/>
    </row>
    <row r="11" spans="1:22" ht="15.6" x14ac:dyDescent="0.3">
      <c r="A11" s="175"/>
      <c r="B11" s="230" t="s">
        <v>0</v>
      </c>
      <c r="C11" s="177"/>
      <c r="D11" s="177"/>
      <c r="E11" s="177"/>
      <c r="F11" s="177"/>
      <c r="G11" s="177"/>
      <c r="H11" s="177"/>
      <c r="I11" s="177"/>
      <c r="J11" s="177"/>
      <c r="K11" s="177"/>
      <c r="L11" s="177"/>
      <c r="M11" s="177"/>
      <c r="N11" s="177"/>
      <c r="O11" s="177"/>
      <c r="P11" s="177"/>
      <c r="Q11" s="177"/>
      <c r="R11" s="177"/>
      <c r="S11" s="177"/>
      <c r="T11" s="177"/>
      <c r="U11" s="177"/>
      <c r="V11" s="5"/>
    </row>
    <row r="12" spans="1:22" ht="16.2" thickBot="1" x14ac:dyDescent="0.35">
      <c r="A12" s="175"/>
      <c r="B12" s="183"/>
      <c r="C12" s="177"/>
      <c r="D12" s="177"/>
      <c r="E12" s="177"/>
      <c r="F12" s="177"/>
      <c r="G12" s="177"/>
      <c r="H12" s="177"/>
      <c r="I12" s="177"/>
      <c r="J12" s="177"/>
      <c r="K12" s="177"/>
      <c r="L12" s="177"/>
      <c r="M12" s="177"/>
      <c r="N12" s="177"/>
      <c r="O12" s="177"/>
      <c r="P12" s="177"/>
      <c r="Q12" s="177"/>
      <c r="R12" s="177"/>
      <c r="S12" s="177"/>
      <c r="T12" s="177"/>
      <c r="U12" s="177"/>
      <c r="V12" s="5"/>
    </row>
    <row r="13" spans="1:22" ht="15.6" x14ac:dyDescent="0.3">
      <c r="A13" s="173"/>
      <c r="B13" s="174"/>
      <c r="C13" s="174"/>
      <c r="D13" s="174"/>
      <c r="E13" s="174"/>
      <c r="F13" s="174"/>
      <c r="G13" s="174"/>
      <c r="H13" s="174"/>
      <c r="I13" s="174"/>
      <c r="J13" s="174"/>
      <c r="K13" s="174"/>
      <c r="L13" s="174"/>
      <c r="M13" s="174"/>
      <c r="N13" s="174"/>
      <c r="O13" s="174"/>
      <c r="P13" s="174"/>
      <c r="Q13" s="174"/>
      <c r="R13" s="174"/>
      <c r="S13" s="174"/>
      <c r="T13" s="174"/>
      <c r="U13" s="174"/>
      <c r="V13" s="5"/>
    </row>
    <row r="14" spans="1:22" ht="15.6" x14ac:dyDescent="0.3">
      <c r="A14" s="175"/>
      <c r="B14" s="230" t="s">
        <v>1</v>
      </c>
      <c r="C14" s="184"/>
      <c r="D14" s="184"/>
      <c r="E14" s="184"/>
      <c r="F14" s="184"/>
      <c r="G14" s="184"/>
      <c r="H14" s="184"/>
      <c r="I14" s="184"/>
      <c r="J14" s="184"/>
      <c r="K14" s="184"/>
      <c r="L14" s="184"/>
      <c r="M14" s="184"/>
      <c r="N14" s="184"/>
      <c r="O14" s="184"/>
      <c r="P14" s="231"/>
      <c r="Q14" s="231"/>
      <c r="R14" s="231"/>
      <c r="S14" s="231"/>
      <c r="T14" s="233" t="s">
        <v>230</v>
      </c>
      <c r="U14" s="184"/>
      <c r="V14" s="5"/>
    </row>
    <row r="15" spans="1:22" ht="15.6" x14ac:dyDescent="0.3">
      <c r="A15" s="175"/>
      <c r="B15" s="230" t="s">
        <v>2</v>
      </c>
      <c r="C15" s="184"/>
      <c r="D15" s="184"/>
      <c r="E15" s="184"/>
      <c r="F15" s="184"/>
      <c r="G15" s="184"/>
      <c r="H15" s="185"/>
      <c r="I15" s="185"/>
      <c r="J15" s="185"/>
      <c r="K15" s="185"/>
      <c r="L15" s="185"/>
      <c r="M15" s="185"/>
      <c r="N15" s="185"/>
      <c r="O15" s="185"/>
      <c r="P15" s="234" t="s">
        <v>107</v>
      </c>
      <c r="Q15" s="235">
        <v>0.40749999999999997</v>
      </c>
      <c r="R15" s="236" t="s">
        <v>146</v>
      </c>
      <c r="S15" s="235">
        <v>0.59250000000000003</v>
      </c>
      <c r="T15" s="233"/>
      <c r="U15" s="184"/>
      <c r="V15" s="5"/>
    </row>
    <row r="16" spans="1:22" ht="15.6" x14ac:dyDescent="0.3">
      <c r="A16" s="175"/>
      <c r="B16" s="230" t="s">
        <v>3</v>
      </c>
      <c r="C16" s="184"/>
      <c r="D16" s="184"/>
      <c r="E16" s="184"/>
      <c r="F16" s="184"/>
      <c r="G16" s="184"/>
      <c r="H16" s="185"/>
      <c r="I16" s="185"/>
      <c r="J16" s="185"/>
      <c r="K16" s="185"/>
      <c r="L16" s="185"/>
      <c r="M16" s="185"/>
      <c r="N16" s="185"/>
      <c r="O16" s="185"/>
      <c r="P16" s="234" t="s">
        <v>107</v>
      </c>
      <c r="Q16" s="235">
        <v>0.47699999999999998</v>
      </c>
      <c r="R16" s="236" t="s">
        <v>146</v>
      </c>
      <c r="S16" s="235">
        <v>0.52300000000000002</v>
      </c>
      <c r="T16" s="233"/>
      <c r="U16" s="184"/>
      <c r="V16" s="5"/>
    </row>
    <row r="17" spans="1:22" ht="15.6" x14ac:dyDescent="0.3">
      <c r="A17" s="175"/>
      <c r="B17" s="230" t="s">
        <v>4</v>
      </c>
      <c r="C17" s="184"/>
      <c r="D17" s="184"/>
      <c r="E17" s="184"/>
      <c r="F17" s="184"/>
      <c r="G17" s="184"/>
      <c r="H17" s="184"/>
      <c r="I17" s="184"/>
      <c r="J17" s="184"/>
      <c r="K17" s="184"/>
      <c r="L17" s="184"/>
      <c r="M17" s="184"/>
      <c r="N17" s="184"/>
      <c r="O17" s="184"/>
      <c r="P17" s="231"/>
      <c r="Q17" s="231"/>
      <c r="R17" s="231"/>
      <c r="S17" s="231"/>
      <c r="T17" s="237">
        <v>38799</v>
      </c>
      <c r="U17" s="184"/>
      <c r="V17" s="5"/>
    </row>
    <row r="18" spans="1:22" ht="15.6" x14ac:dyDescent="0.3">
      <c r="A18" s="175"/>
      <c r="B18" s="230" t="s">
        <v>5</v>
      </c>
      <c r="C18" s="184"/>
      <c r="D18" s="184"/>
      <c r="E18" s="184"/>
      <c r="F18" s="184"/>
      <c r="G18" s="184"/>
      <c r="H18" s="184"/>
      <c r="I18" s="184"/>
      <c r="J18" s="184"/>
      <c r="K18" s="184"/>
      <c r="L18" s="184"/>
      <c r="M18" s="184"/>
      <c r="N18" s="184"/>
      <c r="O18" s="184"/>
      <c r="P18" s="231"/>
      <c r="Q18" s="231"/>
      <c r="R18" s="231"/>
      <c r="S18" s="231"/>
      <c r="T18" s="237">
        <v>42572</v>
      </c>
      <c r="U18" s="184"/>
      <c r="V18" s="5"/>
    </row>
    <row r="19" spans="1:22" ht="15.6" x14ac:dyDescent="0.3">
      <c r="A19" s="175"/>
      <c r="B19" s="177"/>
      <c r="C19" s="177"/>
      <c r="D19" s="177"/>
      <c r="E19" s="177"/>
      <c r="F19" s="177"/>
      <c r="G19" s="177"/>
      <c r="H19" s="177"/>
      <c r="I19" s="177"/>
      <c r="J19" s="177"/>
      <c r="K19" s="177"/>
      <c r="L19" s="177"/>
      <c r="M19" s="177"/>
      <c r="N19" s="177"/>
      <c r="O19" s="177"/>
      <c r="P19" s="177"/>
      <c r="Q19" s="177"/>
      <c r="R19" s="177"/>
      <c r="S19" s="177"/>
      <c r="T19" s="186"/>
      <c r="U19" s="177"/>
      <c r="V19" s="5"/>
    </row>
    <row r="20" spans="1:22" ht="15.6" x14ac:dyDescent="0.3">
      <c r="A20" s="175"/>
      <c r="B20" s="232" t="s">
        <v>6</v>
      </c>
      <c r="C20" s="177"/>
      <c r="D20" s="177"/>
      <c r="E20" s="177"/>
      <c r="F20" s="177"/>
      <c r="G20" s="177"/>
      <c r="H20" s="177"/>
      <c r="I20" s="177"/>
      <c r="J20" s="177"/>
      <c r="K20" s="177"/>
      <c r="L20" s="177"/>
      <c r="M20" s="177"/>
      <c r="N20" s="177"/>
      <c r="O20" s="177"/>
      <c r="P20" s="177"/>
      <c r="Q20" s="177"/>
      <c r="R20" s="238" t="s">
        <v>108</v>
      </c>
      <c r="S20" s="177"/>
      <c r="T20" s="188"/>
      <c r="U20" s="177"/>
      <c r="V20" s="5"/>
    </row>
    <row r="21" spans="1:22" ht="15.6" x14ac:dyDescent="0.3">
      <c r="A21" s="175"/>
      <c r="B21" s="177"/>
      <c r="C21" s="177"/>
      <c r="D21" s="177"/>
      <c r="E21" s="177"/>
      <c r="F21" s="177"/>
      <c r="G21" s="177"/>
      <c r="H21" s="177"/>
      <c r="I21" s="177"/>
      <c r="J21" s="177"/>
      <c r="K21" s="177"/>
      <c r="L21" s="177"/>
      <c r="M21" s="177"/>
      <c r="N21" s="177"/>
      <c r="O21" s="177"/>
      <c r="P21" s="177"/>
      <c r="Q21" s="177"/>
      <c r="R21" s="177"/>
      <c r="S21" s="177"/>
      <c r="T21" s="189"/>
      <c r="U21" s="177"/>
      <c r="V21" s="5"/>
    </row>
    <row r="22" spans="1:22" ht="15.6" x14ac:dyDescent="0.3">
      <c r="A22" s="222"/>
      <c r="B22" s="223"/>
      <c r="C22" s="224"/>
      <c r="D22" s="224" t="s">
        <v>184</v>
      </c>
      <c r="E22" s="224"/>
      <c r="F22" s="224" t="s">
        <v>185</v>
      </c>
      <c r="G22" s="224"/>
      <c r="H22" s="224" t="s">
        <v>186</v>
      </c>
      <c r="I22" s="224"/>
      <c r="J22" s="224" t="s">
        <v>187</v>
      </c>
      <c r="K22" s="224"/>
      <c r="L22" s="224" t="s">
        <v>188</v>
      </c>
      <c r="M22" s="224"/>
      <c r="N22" s="224" t="s">
        <v>189</v>
      </c>
      <c r="O22" s="224"/>
      <c r="P22" s="224"/>
      <c r="Q22" s="226"/>
      <c r="R22" s="226"/>
      <c r="S22" s="227"/>
      <c r="T22" s="227"/>
      <c r="U22" s="223"/>
      <c r="V22" s="5"/>
    </row>
    <row r="23" spans="1:22" ht="15.6" x14ac:dyDescent="0.3">
      <c r="A23" s="190"/>
      <c r="B23" s="239" t="s">
        <v>7</v>
      </c>
      <c r="C23" s="240"/>
      <c r="D23" s="240" t="s">
        <v>222</v>
      </c>
      <c r="E23" s="240"/>
      <c r="F23" s="240" t="s">
        <v>147</v>
      </c>
      <c r="G23" s="240"/>
      <c r="H23" s="240" t="s">
        <v>147</v>
      </c>
      <c r="I23" s="240"/>
      <c r="J23" s="240" t="s">
        <v>190</v>
      </c>
      <c r="K23" s="240"/>
      <c r="L23" s="240" t="s">
        <v>190</v>
      </c>
      <c r="M23" s="240"/>
      <c r="N23" s="240" t="s">
        <v>148</v>
      </c>
      <c r="O23" s="240"/>
      <c r="P23" s="240"/>
      <c r="Q23" s="240"/>
      <c r="R23" s="240"/>
      <c r="S23" s="241"/>
      <c r="T23" s="241"/>
      <c r="U23" s="239"/>
      <c r="V23" s="5"/>
    </row>
    <row r="24" spans="1:22" ht="15.6" x14ac:dyDescent="0.3">
      <c r="A24" s="284"/>
      <c r="B24" s="285" t="s">
        <v>8</v>
      </c>
      <c r="C24" s="286"/>
      <c r="D24" s="286" t="s">
        <v>223</v>
      </c>
      <c r="E24" s="286"/>
      <c r="F24" s="286" t="s">
        <v>149</v>
      </c>
      <c r="G24" s="286"/>
      <c r="H24" s="286" t="s">
        <v>149</v>
      </c>
      <c r="I24" s="286"/>
      <c r="J24" s="286" t="s">
        <v>172</v>
      </c>
      <c r="K24" s="286"/>
      <c r="L24" s="286" t="s">
        <v>172</v>
      </c>
      <c r="M24" s="286"/>
      <c r="N24" s="286" t="s">
        <v>150</v>
      </c>
      <c r="O24" s="286"/>
      <c r="P24" s="286"/>
      <c r="Q24" s="286"/>
      <c r="R24" s="286"/>
      <c r="S24" s="287"/>
      <c r="T24" s="287"/>
      <c r="U24" s="288"/>
      <c r="V24" s="5"/>
    </row>
    <row r="25" spans="1:22" ht="15.6" x14ac:dyDescent="0.3">
      <c r="A25" s="289"/>
      <c r="B25" s="285" t="s">
        <v>198</v>
      </c>
      <c r="C25" s="394"/>
      <c r="D25" s="286" t="s">
        <v>224</v>
      </c>
      <c r="E25" s="286"/>
      <c r="F25" s="286" t="s">
        <v>149</v>
      </c>
      <c r="G25" s="286"/>
      <c r="H25" s="286" t="s">
        <v>149</v>
      </c>
      <c r="I25" s="286"/>
      <c r="J25" s="286" t="s">
        <v>172</v>
      </c>
      <c r="K25" s="286"/>
      <c r="L25" s="286" t="s">
        <v>172</v>
      </c>
      <c r="M25" s="286"/>
      <c r="N25" s="286" t="s">
        <v>150</v>
      </c>
      <c r="O25" s="286"/>
      <c r="P25" s="286"/>
      <c r="Q25" s="394"/>
      <c r="R25" s="286"/>
      <c r="S25" s="287"/>
      <c r="T25" s="287"/>
      <c r="U25" s="288"/>
      <c r="V25" s="5"/>
    </row>
    <row r="26" spans="1:22" ht="15.6" x14ac:dyDescent="0.3">
      <c r="A26" s="289"/>
      <c r="B26" s="292" t="s">
        <v>9</v>
      </c>
      <c r="C26" s="394"/>
      <c r="D26" s="394" t="s">
        <v>326</v>
      </c>
      <c r="E26" s="394"/>
      <c r="F26" s="394" t="s">
        <v>327</v>
      </c>
      <c r="G26" s="394"/>
      <c r="H26" s="394" t="s">
        <v>327</v>
      </c>
      <c r="I26" s="394"/>
      <c r="J26" s="394" t="s">
        <v>190</v>
      </c>
      <c r="K26" s="394"/>
      <c r="L26" s="394" t="s">
        <v>190</v>
      </c>
      <c r="M26" s="394"/>
      <c r="N26" s="394" t="s">
        <v>148</v>
      </c>
      <c r="O26" s="394"/>
      <c r="P26" s="394"/>
      <c r="Q26" s="394"/>
      <c r="R26" s="286"/>
      <c r="S26" s="287"/>
      <c r="T26" s="287"/>
      <c r="U26" s="288"/>
      <c r="V26" s="5"/>
    </row>
    <row r="27" spans="1:22" ht="15.6" x14ac:dyDescent="0.3">
      <c r="A27" s="284"/>
      <c r="B27" s="292" t="s">
        <v>199</v>
      </c>
      <c r="C27" s="286"/>
      <c r="D27" s="394" t="s">
        <v>334</v>
      </c>
      <c r="E27" s="394"/>
      <c r="F27" s="394" t="s">
        <v>322</v>
      </c>
      <c r="G27" s="394"/>
      <c r="H27" s="394" t="s">
        <v>322</v>
      </c>
      <c r="I27" s="394"/>
      <c r="J27" s="394" t="s">
        <v>150</v>
      </c>
      <c r="K27" s="394"/>
      <c r="L27" s="394" t="s">
        <v>150</v>
      </c>
      <c r="M27" s="394"/>
      <c r="N27" s="394" t="s">
        <v>333</v>
      </c>
      <c r="O27" s="394"/>
      <c r="P27" s="394"/>
      <c r="Q27" s="286"/>
      <c r="R27" s="293"/>
      <c r="S27" s="287"/>
      <c r="T27" s="287"/>
      <c r="U27" s="288"/>
      <c r="V27" s="5"/>
    </row>
    <row r="28" spans="1:22" ht="15.6" x14ac:dyDescent="0.3">
      <c r="A28" s="284"/>
      <c r="B28" s="292" t="s">
        <v>200</v>
      </c>
      <c r="C28" s="286"/>
      <c r="D28" s="394" t="s">
        <v>332</v>
      </c>
      <c r="E28" s="394"/>
      <c r="F28" s="394" t="s">
        <v>149</v>
      </c>
      <c r="G28" s="394"/>
      <c r="H28" s="394" t="s">
        <v>149</v>
      </c>
      <c r="I28" s="394"/>
      <c r="J28" s="394" t="s">
        <v>149</v>
      </c>
      <c r="K28" s="394"/>
      <c r="L28" s="394" t="s">
        <v>149</v>
      </c>
      <c r="M28" s="394"/>
      <c r="N28" s="394" t="s">
        <v>150</v>
      </c>
      <c r="O28" s="394"/>
      <c r="P28" s="394"/>
      <c r="Q28" s="286"/>
      <c r="R28" s="293"/>
      <c r="S28" s="287"/>
      <c r="T28" s="287"/>
      <c r="U28" s="288"/>
      <c r="V28" s="5"/>
    </row>
    <row r="29" spans="1:22" ht="15.6" x14ac:dyDescent="0.3">
      <c r="A29" s="284"/>
      <c r="B29" s="285" t="s">
        <v>10</v>
      </c>
      <c r="C29" s="295"/>
      <c r="D29" s="286" t="s">
        <v>237</v>
      </c>
      <c r="E29" s="286"/>
      <c r="F29" s="293" t="s">
        <v>238</v>
      </c>
      <c r="G29" s="286"/>
      <c r="H29" s="286" t="s">
        <v>239</v>
      </c>
      <c r="I29" s="286"/>
      <c r="J29" s="286" t="s">
        <v>240</v>
      </c>
      <c r="K29" s="286"/>
      <c r="L29" s="286" t="s">
        <v>241</v>
      </c>
      <c r="M29" s="286"/>
      <c r="N29" s="286" t="s">
        <v>242</v>
      </c>
      <c r="O29" s="286"/>
      <c r="P29" s="286"/>
      <c r="Q29" s="296"/>
      <c r="R29" s="296"/>
      <c r="S29" s="297"/>
      <c r="T29" s="296"/>
      <c r="U29" s="298"/>
      <c r="V29" s="5"/>
    </row>
    <row r="30" spans="1:22" ht="15.6" x14ac:dyDescent="0.3">
      <c r="A30" s="284"/>
      <c r="B30" s="285" t="s">
        <v>10</v>
      </c>
      <c r="C30" s="295"/>
      <c r="D30" s="286" t="s">
        <v>236</v>
      </c>
      <c r="E30" s="286"/>
      <c r="F30" s="293" t="s">
        <v>124</v>
      </c>
      <c r="G30" s="286"/>
      <c r="H30" s="286" t="s">
        <v>124</v>
      </c>
      <c r="I30" s="286"/>
      <c r="J30" s="286" t="s">
        <v>124</v>
      </c>
      <c r="K30" s="286"/>
      <c r="L30" s="286" t="s">
        <v>124</v>
      </c>
      <c r="M30" s="286"/>
      <c r="N30" s="286" t="s">
        <v>124</v>
      </c>
      <c r="O30" s="286"/>
      <c r="P30" s="286"/>
      <c r="Q30" s="296"/>
      <c r="R30" s="296"/>
      <c r="S30" s="297"/>
      <c r="T30" s="296"/>
      <c r="U30" s="298"/>
      <c r="V30" s="5"/>
    </row>
    <row r="31" spans="1:22" ht="15.6" x14ac:dyDescent="0.3">
      <c r="A31" s="289"/>
      <c r="B31" s="285" t="s">
        <v>139</v>
      </c>
      <c r="C31" s="299"/>
      <c r="D31" s="300">
        <v>985000</v>
      </c>
      <c r="E31" s="295"/>
      <c r="F31" s="296">
        <v>149500</v>
      </c>
      <c r="G31" s="296"/>
      <c r="H31" s="301">
        <v>219700</v>
      </c>
      <c r="I31" s="296"/>
      <c r="J31" s="296">
        <v>16000</v>
      </c>
      <c r="K31" s="296"/>
      <c r="L31" s="301">
        <v>82400</v>
      </c>
      <c r="M31" s="296"/>
      <c r="N31" s="301">
        <v>87500</v>
      </c>
      <c r="O31" s="296"/>
      <c r="P31" s="301"/>
      <c r="Q31" s="302"/>
      <c r="R31" s="302"/>
      <c r="S31" s="303"/>
      <c r="T31" s="302"/>
      <c r="U31" s="298"/>
      <c r="V31" s="5"/>
    </row>
    <row r="32" spans="1:22" ht="15.6" x14ac:dyDescent="0.3">
      <c r="A32" s="284"/>
      <c r="B32" s="285" t="s">
        <v>138</v>
      </c>
      <c r="C32" s="295"/>
      <c r="D32" s="300">
        <f>D38*D31</f>
        <v>392188.09249999997</v>
      </c>
      <c r="E32" s="295"/>
      <c r="F32" s="296">
        <f>F38*F31</f>
        <v>59525.248900000006</v>
      </c>
      <c r="G32" s="296"/>
      <c r="H32" s="301">
        <f>H38*H31</f>
        <v>87476.235339999999</v>
      </c>
      <c r="I32" s="296"/>
      <c r="J32" s="296">
        <f>J31*J38</f>
        <v>15109.2896</v>
      </c>
      <c r="K32" s="296"/>
      <c r="L32" s="301">
        <f>L31*L38</f>
        <v>77812.841440000004</v>
      </c>
      <c r="M32" s="296"/>
      <c r="N32" s="301">
        <f>N31*N38</f>
        <v>82628.927500000005</v>
      </c>
      <c r="O32" s="296"/>
      <c r="P32" s="301"/>
      <c r="Q32" s="296"/>
      <c r="R32" s="296"/>
      <c r="S32" s="297"/>
      <c r="T32" s="296"/>
      <c r="U32" s="298"/>
      <c r="V32" s="5"/>
    </row>
    <row r="33" spans="1:22" ht="15.6" x14ac:dyDescent="0.3">
      <c r="A33" s="284"/>
      <c r="B33" s="292" t="s">
        <v>140</v>
      </c>
      <c r="C33" s="295"/>
      <c r="D33" s="304">
        <f>D37*D31</f>
        <v>386833.73099999997</v>
      </c>
      <c r="E33" s="299"/>
      <c r="F33" s="302">
        <f>F37*F31</f>
        <v>58712.596799999999</v>
      </c>
      <c r="G33" s="302"/>
      <c r="H33" s="305">
        <f>H31*H37</f>
        <v>86281.990079999989</v>
      </c>
      <c r="I33" s="302"/>
      <c r="J33" s="302">
        <f>J31*J37</f>
        <v>14903.011199999999</v>
      </c>
      <c r="K33" s="302"/>
      <c r="L33" s="305">
        <f>L31*L37</f>
        <v>76750.507679999995</v>
      </c>
      <c r="M33" s="302"/>
      <c r="N33" s="305">
        <f>N31*N37</f>
        <v>81500.842499999999</v>
      </c>
      <c r="O33" s="302"/>
      <c r="P33" s="305"/>
      <c r="Q33" s="296"/>
      <c r="R33" s="296"/>
      <c r="S33" s="297"/>
      <c r="T33" s="296"/>
      <c r="U33" s="298"/>
      <c r="V33" s="5"/>
    </row>
    <row r="34" spans="1:22" ht="15.6" x14ac:dyDescent="0.3">
      <c r="A34" s="289"/>
      <c r="B34" s="285" t="s">
        <v>283</v>
      </c>
      <c r="C34" s="299"/>
      <c r="D34" s="296">
        <v>567282</v>
      </c>
      <c r="E34" s="295"/>
      <c r="F34" s="296">
        <v>149500</v>
      </c>
      <c r="G34" s="296"/>
      <c r="H34" s="296">
        <v>150716</v>
      </c>
      <c r="I34" s="296"/>
      <c r="J34" s="296">
        <v>16000</v>
      </c>
      <c r="K34" s="296"/>
      <c r="L34" s="296">
        <v>56527</v>
      </c>
      <c r="M34" s="296"/>
      <c r="N34" s="296">
        <v>60025</v>
      </c>
      <c r="O34" s="296"/>
      <c r="P34" s="296"/>
      <c r="Q34" s="302"/>
      <c r="R34" s="302"/>
      <c r="S34" s="303"/>
      <c r="T34" s="296">
        <f>SUM(C34:P34)</f>
        <v>1000050</v>
      </c>
      <c r="U34" s="298"/>
      <c r="V34" s="5"/>
    </row>
    <row r="35" spans="1:22" ht="15.6" x14ac:dyDescent="0.3">
      <c r="A35" s="289"/>
      <c r="B35" s="285" t="s">
        <v>284</v>
      </c>
      <c r="C35" s="299"/>
      <c r="D35" s="296">
        <f>D38*D34</f>
        <v>225869.28476099999</v>
      </c>
      <c r="E35" s="295"/>
      <c r="F35" s="296">
        <f>F38*F34</f>
        <v>59525.248900000006</v>
      </c>
      <c r="G35" s="296"/>
      <c r="H35" s="296">
        <f>H38*H34</f>
        <v>60009.414135200001</v>
      </c>
      <c r="I35" s="296"/>
      <c r="J35" s="296">
        <f>J34*J38</f>
        <v>15109.2896</v>
      </c>
      <c r="K35" s="296"/>
      <c r="L35" s="296">
        <f>L34*L38</f>
        <v>53380.1758262</v>
      </c>
      <c r="M35" s="296"/>
      <c r="N35" s="296">
        <f>N34*N38</f>
        <v>56683.444264999998</v>
      </c>
      <c r="O35" s="296"/>
      <c r="P35" s="296"/>
      <c r="Q35" s="296"/>
      <c r="R35" s="296"/>
      <c r="S35" s="297"/>
      <c r="T35" s="296">
        <f>SUM(C35:P35)+1</f>
        <v>470577.85748739995</v>
      </c>
      <c r="U35" s="298"/>
      <c r="V35" s="5"/>
    </row>
    <row r="36" spans="1:22" ht="15.6" x14ac:dyDescent="0.3">
      <c r="A36" s="289"/>
      <c r="B36" s="292" t="s">
        <v>285</v>
      </c>
      <c r="C36" s="299"/>
      <c r="D36" s="302">
        <f>D37*D34</f>
        <v>222785.59653719998</v>
      </c>
      <c r="E36" s="299"/>
      <c r="F36" s="302">
        <f>F37*F34</f>
        <v>58712.596799999999</v>
      </c>
      <c r="G36" s="302"/>
      <c r="H36" s="302">
        <f>H37*H34</f>
        <v>59190.152102399996</v>
      </c>
      <c r="I36" s="302"/>
      <c r="J36" s="302">
        <f>J37*J34</f>
        <v>14903.011199999999</v>
      </c>
      <c r="K36" s="302"/>
      <c r="L36" s="302">
        <f>L37*L34</f>
        <v>52651.407131400003</v>
      </c>
      <c r="M36" s="302"/>
      <c r="N36" s="302">
        <f>N37*N34</f>
        <v>55909.577955000001</v>
      </c>
      <c r="O36" s="302"/>
      <c r="P36" s="302"/>
      <c r="Q36" s="327"/>
      <c r="R36" s="327"/>
      <c r="S36" s="297"/>
      <c r="T36" s="302">
        <f>SUM(C36:P36)+1</f>
        <v>464153.34172599996</v>
      </c>
      <c r="U36" s="298"/>
      <c r="V36" s="5"/>
    </row>
    <row r="37" spans="1:22" ht="15.6" x14ac:dyDescent="0.3">
      <c r="A37" s="284"/>
      <c r="B37" s="310" t="s">
        <v>136</v>
      </c>
      <c r="C37" s="311"/>
      <c r="D37" s="312">
        <v>0.39272459999999998</v>
      </c>
      <c r="E37" s="313"/>
      <c r="F37" s="312">
        <v>0.39272639999999998</v>
      </c>
      <c r="G37" s="314"/>
      <c r="H37" s="312">
        <v>0.39272639999999998</v>
      </c>
      <c r="I37" s="314"/>
      <c r="J37" s="312">
        <v>0.93143819999999999</v>
      </c>
      <c r="K37" s="314"/>
      <c r="L37" s="312">
        <v>0.93143819999999999</v>
      </c>
      <c r="M37" s="314"/>
      <c r="N37" s="312">
        <v>0.93143819999999999</v>
      </c>
      <c r="O37" s="314"/>
      <c r="P37" s="314"/>
      <c r="Q37" s="315"/>
      <c r="R37" s="315"/>
      <c r="S37" s="316"/>
      <c r="T37" s="316"/>
      <c r="U37" s="317"/>
      <c r="V37" s="5"/>
    </row>
    <row r="38" spans="1:22" ht="15.6" x14ac:dyDescent="0.3">
      <c r="A38" s="284"/>
      <c r="B38" s="310" t="s">
        <v>137</v>
      </c>
      <c r="C38" s="311"/>
      <c r="D38" s="312">
        <v>0.39816049999999997</v>
      </c>
      <c r="E38" s="313"/>
      <c r="F38" s="312">
        <v>0.39816220000000002</v>
      </c>
      <c r="G38" s="314"/>
      <c r="H38" s="312">
        <v>0.39816220000000002</v>
      </c>
      <c r="I38" s="314"/>
      <c r="J38" s="312">
        <v>0.94433060000000002</v>
      </c>
      <c r="K38" s="314"/>
      <c r="L38" s="312">
        <v>0.94433060000000002</v>
      </c>
      <c r="M38" s="314"/>
      <c r="N38" s="312">
        <v>0.94433060000000002</v>
      </c>
      <c r="O38" s="314"/>
      <c r="P38" s="314"/>
      <c r="Q38" s="318"/>
      <c r="R38" s="319"/>
      <c r="S38" s="316"/>
      <c r="T38" s="318"/>
      <c r="U38" s="317"/>
      <c r="V38" s="5"/>
    </row>
    <row r="39" spans="1:22" ht="15.6" x14ac:dyDescent="0.3">
      <c r="A39" s="284"/>
      <c r="B39" s="285" t="s">
        <v>11</v>
      </c>
      <c r="C39" s="285"/>
      <c r="D39" s="293" t="s">
        <v>275</v>
      </c>
      <c r="E39" s="285"/>
      <c r="F39" s="293" t="s">
        <v>232</v>
      </c>
      <c r="G39" s="293"/>
      <c r="H39" s="293" t="s">
        <v>232</v>
      </c>
      <c r="I39" s="293"/>
      <c r="J39" s="293" t="s">
        <v>234</v>
      </c>
      <c r="K39" s="293"/>
      <c r="L39" s="293" t="s">
        <v>234</v>
      </c>
      <c r="M39" s="293"/>
      <c r="N39" s="293" t="s">
        <v>235</v>
      </c>
      <c r="O39" s="293"/>
      <c r="P39" s="293"/>
      <c r="Q39" s="320"/>
      <c r="R39" s="321"/>
      <c r="S39" s="287"/>
      <c r="T39" s="287"/>
      <c r="U39" s="288"/>
      <c r="V39" s="5"/>
    </row>
    <row r="40" spans="1:22" ht="15.6" x14ac:dyDescent="0.3">
      <c r="A40" s="284"/>
      <c r="B40" s="285" t="s">
        <v>12</v>
      </c>
      <c r="C40" s="285"/>
      <c r="D40" s="321">
        <v>5.4205E-3</v>
      </c>
      <c r="E40" s="285"/>
      <c r="F40" s="321">
        <v>8.2781E-3</v>
      </c>
      <c r="G40" s="320"/>
      <c r="H40" s="321">
        <v>0</v>
      </c>
      <c r="I40" s="320"/>
      <c r="J40" s="321">
        <v>1.0678099999999999E-2</v>
      </c>
      <c r="K40" s="320"/>
      <c r="L40" s="321">
        <v>2.31E-3</v>
      </c>
      <c r="M40" s="320"/>
      <c r="N40" s="321">
        <v>6.5100000000000002E-3</v>
      </c>
      <c r="O40" s="320"/>
      <c r="P40" s="321"/>
      <c r="Q40" s="320"/>
      <c r="R40" s="321"/>
      <c r="S40" s="287"/>
      <c r="T40" s="293"/>
      <c r="U40" s="288"/>
      <c r="V40" s="5"/>
    </row>
    <row r="41" spans="1:22" ht="15.6" x14ac:dyDescent="0.3">
      <c r="A41" s="284"/>
      <c r="B41" s="285" t="s">
        <v>13</v>
      </c>
      <c r="C41" s="285"/>
      <c r="D41" s="321">
        <v>5.3619999999999996E-3</v>
      </c>
      <c r="E41" s="285"/>
      <c r="F41" s="321">
        <v>8.3063000000000008E-3</v>
      </c>
      <c r="G41" s="320"/>
      <c r="H41" s="321">
        <v>9.6000000000000002E-4</v>
      </c>
      <c r="I41" s="320"/>
      <c r="J41" s="321">
        <v>1.07063E-2</v>
      </c>
      <c r="K41" s="320"/>
      <c r="L41" s="321">
        <v>3.3600000000000001E-3</v>
      </c>
      <c r="M41" s="320"/>
      <c r="N41" s="321">
        <v>7.5599999999999999E-3</v>
      </c>
      <c r="O41" s="320"/>
      <c r="P41" s="321"/>
      <c r="Q41" s="320"/>
      <c r="R41" s="321"/>
      <c r="S41" s="287"/>
      <c r="T41" s="320" t="s">
        <v>201</v>
      </c>
      <c r="U41" s="288"/>
      <c r="V41" s="5"/>
    </row>
    <row r="42" spans="1:22" ht="15.6" x14ac:dyDescent="0.3">
      <c r="A42" s="284"/>
      <c r="B42" s="285" t="s">
        <v>286</v>
      </c>
      <c r="C42" s="285"/>
      <c r="D42" s="293" t="s">
        <v>231</v>
      </c>
      <c r="E42" s="285"/>
      <c r="F42" s="293" t="s">
        <v>232</v>
      </c>
      <c r="G42" s="293"/>
      <c r="H42" s="293" t="s">
        <v>232</v>
      </c>
      <c r="I42" s="293"/>
      <c r="J42" s="293" t="s">
        <v>234</v>
      </c>
      <c r="K42" s="293"/>
      <c r="L42" s="293" t="s">
        <v>245</v>
      </c>
      <c r="M42" s="293"/>
      <c r="N42" s="293" t="s">
        <v>247</v>
      </c>
      <c r="O42" s="293"/>
      <c r="P42" s="293"/>
      <c r="Q42" s="320"/>
      <c r="R42" s="321"/>
      <c r="S42" s="287"/>
      <c r="T42" s="287"/>
      <c r="U42" s="288"/>
      <c r="V42" s="5"/>
    </row>
    <row r="43" spans="1:22" ht="15.6" x14ac:dyDescent="0.3">
      <c r="A43" s="284"/>
      <c r="B43" s="285" t="s">
        <v>287</v>
      </c>
      <c r="C43" s="322"/>
      <c r="D43" s="321">
        <v>7.1142999999999996E-3</v>
      </c>
      <c r="E43" s="321"/>
      <c r="F43" s="321">
        <f>+F40</f>
        <v>8.2781E-3</v>
      </c>
      <c r="G43" s="321"/>
      <c r="H43" s="321">
        <v>8.2740999999999995E-3</v>
      </c>
      <c r="I43" s="321"/>
      <c r="J43" s="321">
        <f>+J40</f>
        <v>1.0678099999999999E-2</v>
      </c>
      <c r="K43" s="321"/>
      <c r="L43" s="321">
        <v>1.09841E-2</v>
      </c>
      <c r="M43" s="321"/>
      <c r="N43" s="321">
        <v>1.56881E-2</v>
      </c>
      <c r="O43" s="320"/>
      <c r="P43" s="321"/>
      <c r="Q43" s="293"/>
      <c r="R43" s="293"/>
      <c r="S43" s="287"/>
      <c r="T43" s="320">
        <f>SUMPRODUCT(D43:N43,D35:N35)/T35</f>
        <v>8.9955548867867111E-3</v>
      </c>
      <c r="U43" s="288"/>
      <c r="V43" s="5"/>
    </row>
    <row r="44" spans="1:22" ht="15.6" x14ac:dyDescent="0.3">
      <c r="A44" s="284"/>
      <c r="B44" s="285" t="s">
        <v>288</v>
      </c>
      <c r="C44" s="322"/>
      <c r="D44" s="321">
        <v>7.1425000000000004E-3</v>
      </c>
      <c r="E44" s="321"/>
      <c r="F44" s="321">
        <f>+F41</f>
        <v>8.3063000000000008E-3</v>
      </c>
      <c r="G44" s="321"/>
      <c r="H44" s="321">
        <v>8.3023000000000003E-3</v>
      </c>
      <c r="I44" s="321"/>
      <c r="J44" s="321">
        <f>+J41</f>
        <v>1.07063E-2</v>
      </c>
      <c r="K44" s="321"/>
      <c r="L44" s="321">
        <v>1.1012299999999999E-2</v>
      </c>
      <c r="M44" s="321"/>
      <c r="N44" s="321">
        <v>1.5716299999999999E-2</v>
      </c>
      <c r="O44" s="320"/>
      <c r="P44" s="321"/>
      <c r="Q44" s="293"/>
      <c r="R44" s="293"/>
      <c r="S44" s="287"/>
      <c r="T44" s="287"/>
      <c r="U44" s="288"/>
      <c r="V44" s="5"/>
    </row>
    <row r="45" spans="1:22" ht="15.6" x14ac:dyDescent="0.3">
      <c r="A45" s="284"/>
      <c r="B45" s="285" t="s">
        <v>14</v>
      </c>
      <c r="C45" s="285"/>
      <c r="D45" s="322">
        <v>40283</v>
      </c>
      <c r="E45" s="322"/>
      <c r="F45" s="322">
        <v>40283</v>
      </c>
      <c r="G45" s="322"/>
      <c r="H45" s="322">
        <v>40283</v>
      </c>
      <c r="I45" s="322"/>
      <c r="J45" s="322">
        <v>40283</v>
      </c>
      <c r="K45" s="322"/>
      <c r="L45" s="322">
        <v>40283</v>
      </c>
      <c r="M45" s="322"/>
      <c r="N45" s="322">
        <v>40283</v>
      </c>
      <c r="O45" s="322"/>
      <c r="P45" s="322"/>
      <c r="Q45" s="293"/>
      <c r="R45" s="293"/>
      <c r="S45" s="287"/>
      <c r="T45" s="287"/>
      <c r="U45" s="288"/>
      <c r="V45" s="5"/>
    </row>
    <row r="46" spans="1:22" ht="15.6" x14ac:dyDescent="0.3">
      <c r="A46" s="284"/>
      <c r="B46" s="285" t="s">
        <v>15</v>
      </c>
      <c r="C46" s="285"/>
      <c r="D46" s="322">
        <v>40648</v>
      </c>
      <c r="E46" s="322"/>
      <c r="F46" s="322">
        <v>40648</v>
      </c>
      <c r="G46" s="322"/>
      <c r="H46" s="322">
        <v>40648</v>
      </c>
      <c r="I46" s="293"/>
      <c r="J46" s="322">
        <v>40648</v>
      </c>
      <c r="K46" s="293"/>
      <c r="L46" s="322">
        <v>40648</v>
      </c>
      <c r="M46" s="293"/>
      <c r="N46" s="322">
        <v>40648</v>
      </c>
      <c r="O46" s="293"/>
      <c r="P46" s="322"/>
      <c r="Q46" s="293"/>
      <c r="R46" s="293"/>
      <c r="S46" s="287"/>
      <c r="T46" s="287"/>
      <c r="U46" s="288"/>
      <c r="V46" s="5"/>
    </row>
    <row r="47" spans="1:22" ht="15.6" x14ac:dyDescent="0.3">
      <c r="A47" s="284"/>
      <c r="B47" s="285" t="s">
        <v>125</v>
      </c>
      <c r="C47" s="285"/>
      <c r="D47" s="293" t="s">
        <v>124</v>
      </c>
      <c r="E47" s="285"/>
      <c r="F47" s="293" t="s">
        <v>232</v>
      </c>
      <c r="G47" s="293"/>
      <c r="H47" s="293" t="s">
        <v>232</v>
      </c>
      <c r="I47" s="293"/>
      <c r="J47" s="293" t="s">
        <v>234</v>
      </c>
      <c r="K47" s="293"/>
      <c r="L47" s="293" t="s">
        <v>234</v>
      </c>
      <c r="M47" s="293"/>
      <c r="N47" s="293" t="s">
        <v>235</v>
      </c>
      <c r="O47" s="293"/>
      <c r="P47" s="293"/>
      <c r="Q47" s="324"/>
      <c r="R47" s="324"/>
      <c r="S47" s="324"/>
      <c r="T47" s="324"/>
      <c r="U47" s="288"/>
      <c r="V47" s="5"/>
    </row>
    <row r="48" spans="1:22" ht="15.6" x14ac:dyDescent="0.3">
      <c r="A48" s="284"/>
      <c r="B48" s="285" t="s">
        <v>289</v>
      </c>
      <c r="C48" s="285"/>
      <c r="D48" s="293" t="s">
        <v>208</v>
      </c>
      <c r="E48" s="285"/>
      <c r="F48" s="293" t="s">
        <v>232</v>
      </c>
      <c r="G48" s="293"/>
      <c r="H48" s="293" t="s">
        <v>232</v>
      </c>
      <c r="I48" s="293"/>
      <c r="J48" s="293" t="s">
        <v>234</v>
      </c>
      <c r="K48" s="293"/>
      <c r="L48" s="293" t="s">
        <v>245</v>
      </c>
      <c r="M48" s="293"/>
      <c r="N48" s="293" t="s">
        <v>247</v>
      </c>
      <c r="O48" s="293"/>
      <c r="P48" s="293"/>
      <c r="Q48" s="285"/>
      <c r="R48" s="285"/>
      <c r="S48" s="285"/>
      <c r="T48" s="320"/>
      <c r="U48" s="288"/>
      <c r="V48" s="5"/>
    </row>
    <row r="49" spans="1:23" ht="15.6" x14ac:dyDescent="0.3">
      <c r="A49" s="284"/>
      <c r="B49" s="285"/>
      <c r="C49" s="285"/>
      <c r="D49" s="293"/>
      <c r="E49" s="285"/>
      <c r="F49" s="293"/>
      <c r="G49" s="293"/>
      <c r="H49" s="293"/>
      <c r="I49" s="293"/>
      <c r="J49" s="293"/>
      <c r="K49" s="293"/>
      <c r="L49" s="293"/>
      <c r="M49" s="293"/>
      <c r="N49" s="293"/>
      <c r="O49" s="293"/>
      <c r="P49" s="293"/>
      <c r="Q49" s="285"/>
      <c r="R49" s="285"/>
      <c r="S49" s="285"/>
      <c r="T49" s="320" t="s">
        <v>201</v>
      </c>
      <c r="U49" s="288"/>
      <c r="V49" s="5"/>
    </row>
    <row r="50" spans="1:23" ht="15.6" x14ac:dyDescent="0.3">
      <c r="A50" s="284"/>
      <c r="B50" s="285" t="s">
        <v>176</v>
      </c>
      <c r="C50" s="285"/>
      <c r="D50" s="293"/>
      <c r="E50" s="285"/>
      <c r="F50" s="293"/>
      <c r="G50" s="293"/>
      <c r="H50" s="293"/>
      <c r="I50" s="293"/>
      <c r="J50" s="293"/>
      <c r="K50" s="293"/>
      <c r="L50" s="293"/>
      <c r="M50" s="293"/>
      <c r="N50" s="293"/>
      <c r="O50" s="293"/>
      <c r="P50" s="293"/>
      <c r="Q50" s="285"/>
      <c r="R50" s="285"/>
      <c r="S50" s="285"/>
      <c r="T50" s="320">
        <f>SUM(J34:P34)/SUM(D34:H34)</f>
        <v>0.15279804679664968</v>
      </c>
      <c r="U50" s="288"/>
      <c r="V50" s="5"/>
    </row>
    <row r="51" spans="1:23" ht="15.6" x14ac:dyDescent="0.3">
      <c r="A51" s="284"/>
      <c r="B51" s="285" t="s">
        <v>177</v>
      </c>
      <c r="C51" s="285"/>
      <c r="D51" s="285"/>
      <c r="E51" s="285"/>
      <c r="F51" s="325"/>
      <c r="G51" s="285"/>
      <c r="H51" s="285"/>
      <c r="I51" s="285"/>
      <c r="J51" s="285"/>
      <c r="K51" s="285"/>
      <c r="L51" s="285"/>
      <c r="M51" s="285"/>
      <c r="N51" s="285"/>
      <c r="O51" s="285"/>
      <c r="P51" s="285"/>
      <c r="Q51" s="285"/>
      <c r="R51" s="285"/>
      <c r="S51" s="285"/>
      <c r="T51" s="320">
        <f>SUM(J36:P36)/SUM(D36:H36)</f>
        <v>0.36239571426222655</v>
      </c>
      <c r="U51" s="288"/>
      <c r="V51" s="5"/>
    </row>
    <row r="52" spans="1:23" ht="15.6" x14ac:dyDescent="0.3">
      <c r="A52" s="284"/>
      <c r="B52" s="285" t="s">
        <v>178</v>
      </c>
      <c r="C52" s="285"/>
      <c r="D52" s="285"/>
      <c r="E52" s="285"/>
      <c r="F52" s="285"/>
      <c r="G52" s="285"/>
      <c r="H52" s="285"/>
      <c r="I52" s="285"/>
      <c r="J52" s="285"/>
      <c r="K52" s="285"/>
      <c r="L52" s="285"/>
      <c r="M52" s="285"/>
      <c r="N52" s="285"/>
      <c r="O52" s="285"/>
      <c r="P52" s="285"/>
      <c r="Q52" s="285"/>
      <c r="R52" s="293" t="s">
        <v>109</v>
      </c>
      <c r="S52" s="293" t="s">
        <v>115</v>
      </c>
      <c r="T52" s="296">
        <f>+T34/2-SUM(J34:P34)</f>
        <v>367473</v>
      </c>
      <c r="U52" s="288"/>
      <c r="V52" s="5"/>
    </row>
    <row r="53" spans="1:23" ht="15.6" x14ac:dyDescent="0.3">
      <c r="A53" s="284"/>
      <c r="B53" s="285"/>
      <c r="C53" s="285"/>
      <c r="D53" s="285"/>
      <c r="E53" s="285"/>
      <c r="F53" s="285"/>
      <c r="G53" s="285"/>
      <c r="H53" s="285"/>
      <c r="I53" s="285"/>
      <c r="J53" s="285"/>
      <c r="K53" s="285"/>
      <c r="L53" s="285"/>
      <c r="M53" s="285"/>
      <c r="N53" s="285"/>
      <c r="O53" s="285"/>
      <c r="P53" s="285"/>
      <c r="Q53" s="285"/>
      <c r="R53" s="285"/>
      <c r="S53" s="285"/>
      <c r="T53" s="326"/>
      <c r="U53" s="288"/>
      <c r="V53" s="5"/>
    </row>
    <row r="54" spans="1:23" ht="15.6" x14ac:dyDescent="0.3">
      <c r="A54" s="284"/>
      <c r="B54" s="285" t="s">
        <v>211</v>
      </c>
      <c r="C54" s="285"/>
      <c r="D54" s="285"/>
      <c r="E54" s="285"/>
      <c r="F54" s="285"/>
      <c r="G54" s="285"/>
      <c r="H54" s="285"/>
      <c r="I54" s="285"/>
      <c r="J54" s="285"/>
      <c r="K54" s="285"/>
      <c r="L54" s="285"/>
      <c r="M54" s="285"/>
      <c r="N54" s="285"/>
      <c r="O54" s="285"/>
      <c r="P54" s="285"/>
      <c r="Q54" s="285"/>
      <c r="R54" s="285"/>
      <c r="S54" s="285"/>
      <c r="T54" s="327" t="s">
        <v>212</v>
      </c>
      <c r="U54" s="288"/>
      <c r="V54" s="5"/>
    </row>
    <row r="55" spans="1:23" ht="15.6" x14ac:dyDescent="0.3">
      <c r="A55" s="284"/>
      <c r="B55" s="285" t="s">
        <v>253</v>
      </c>
      <c r="C55" s="285"/>
      <c r="D55" s="285"/>
      <c r="E55" s="285"/>
      <c r="F55" s="285"/>
      <c r="G55" s="285"/>
      <c r="H55" s="285"/>
      <c r="I55" s="285"/>
      <c r="J55" s="285"/>
      <c r="K55" s="285"/>
      <c r="L55" s="285"/>
      <c r="M55" s="285"/>
      <c r="N55" s="285"/>
      <c r="O55" s="285"/>
      <c r="P55" s="285"/>
      <c r="Q55" s="285"/>
      <c r="R55" s="293"/>
      <c r="S55" s="293"/>
      <c r="T55" s="328" t="s">
        <v>117</v>
      </c>
      <c r="U55" s="288"/>
      <c r="V55" s="5"/>
    </row>
    <row r="56" spans="1:23" ht="15.6" x14ac:dyDescent="0.3">
      <c r="A56" s="284"/>
      <c r="B56" s="292" t="s">
        <v>210</v>
      </c>
      <c r="C56" s="292"/>
      <c r="D56" s="292"/>
      <c r="E56" s="292"/>
      <c r="F56" s="292"/>
      <c r="G56" s="292"/>
      <c r="H56" s="292"/>
      <c r="I56" s="292"/>
      <c r="J56" s="292"/>
      <c r="K56" s="292"/>
      <c r="L56" s="292"/>
      <c r="M56" s="292"/>
      <c r="N56" s="292"/>
      <c r="O56" s="292"/>
      <c r="P56" s="292"/>
      <c r="Q56" s="292"/>
      <c r="R56" s="329"/>
      <c r="S56" s="329"/>
      <c r="T56" s="330">
        <v>42566</v>
      </c>
      <c r="U56" s="288"/>
      <c r="V56" s="5"/>
    </row>
    <row r="57" spans="1:23" ht="15.6" x14ac:dyDescent="0.3">
      <c r="A57" s="284"/>
      <c r="B57" s="285" t="s">
        <v>127</v>
      </c>
      <c r="C57" s="285"/>
      <c r="D57" s="285"/>
      <c r="E57" s="285"/>
      <c r="F57" s="285"/>
      <c r="G57" s="285"/>
      <c r="H57" s="331"/>
      <c r="I57" s="331"/>
      <c r="J57" s="331"/>
      <c r="K57" s="331"/>
      <c r="L57" s="331"/>
      <c r="M57" s="331"/>
      <c r="N57" s="331"/>
      <c r="O57" s="331"/>
      <c r="P57" s="285">
        <f>+T57-R57+1</f>
        <v>91</v>
      </c>
      <c r="Q57" s="331"/>
      <c r="R57" s="332">
        <v>42384</v>
      </c>
      <c r="S57" s="333"/>
      <c r="T57" s="332">
        <v>42474</v>
      </c>
      <c r="U57" s="288"/>
      <c r="V57" s="5"/>
    </row>
    <row r="58" spans="1:23" ht="15.6" x14ac:dyDescent="0.3">
      <c r="A58" s="284"/>
      <c r="B58" s="285" t="s">
        <v>128</v>
      </c>
      <c r="C58" s="285"/>
      <c r="D58" s="285"/>
      <c r="E58" s="285"/>
      <c r="F58" s="285"/>
      <c r="G58" s="285"/>
      <c r="H58" s="285"/>
      <c r="I58" s="285"/>
      <c r="J58" s="285"/>
      <c r="K58" s="285"/>
      <c r="L58" s="285"/>
      <c r="M58" s="285"/>
      <c r="N58" s="285"/>
      <c r="O58" s="285"/>
      <c r="P58" s="285">
        <f>+T58-R58+1</f>
        <v>91</v>
      </c>
      <c r="Q58" s="285"/>
      <c r="R58" s="332">
        <v>42475</v>
      </c>
      <c r="S58" s="333"/>
      <c r="T58" s="332">
        <v>42565</v>
      </c>
      <c r="U58" s="288"/>
      <c r="V58" s="5"/>
    </row>
    <row r="59" spans="1:23" ht="15.6" x14ac:dyDescent="0.3">
      <c r="A59" s="284"/>
      <c r="B59" s="285" t="s">
        <v>209</v>
      </c>
      <c r="C59" s="285"/>
      <c r="D59" s="285"/>
      <c r="E59" s="285"/>
      <c r="F59" s="285"/>
      <c r="G59" s="285"/>
      <c r="H59" s="285"/>
      <c r="I59" s="285"/>
      <c r="J59" s="285"/>
      <c r="K59" s="285"/>
      <c r="L59" s="285"/>
      <c r="M59" s="285"/>
      <c r="N59" s="285"/>
      <c r="O59" s="285"/>
      <c r="P59" s="285"/>
      <c r="Q59" s="285"/>
      <c r="R59" s="332"/>
      <c r="S59" s="333"/>
      <c r="T59" s="332" t="s">
        <v>126</v>
      </c>
      <c r="U59" s="288"/>
      <c r="V59" s="5"/>
    </row>
    <row r="60" spans="1:23" ht="15.6" x14ac:dyDescent="0.3">
      <c r="A60" s="284"/>
      <c r="B60" s="285" t="s">
        <v>249</v>
      </c>
      <c r="C60" s="285"/>
      <c r="D60" s="285"/>
      <c r="E60" s="285"/>
      <c r="F60" s="285"/>
      <c r="G60" s="285"/>
      <c r="H60" s="285"/>
      <c r="I60" s="285"/>
      <c r="J60" s="285"/>
      <c r="K60" s="285"/>
      <c r="L60" s="285"/>
      <c r="M60" s="285"/>
      <c r="N60" s="285"/>
      <c r="O60" s="285"/>
      <c r="P60" s="285"/>
      <c r="Q60" s="285"/>
      <c r="R60" s="332"/>
      <c r="S60" s="333"/>
      <c r="T60" s="332" t="s">
        <v>160</v>
      </c>
      <c r="U60" s="288"/>
      <c r="V60" s="5"/>
      <c r="W60" s="134"/>
    </row>
    <row r="61" spans="1:23" ht="15.6" x14ac:dyDescent="0.3">
      <c r="A61" s="284"/>
      <c r="B61" s="285" t="s">
        <v>16</v>
      </c>
      <c r="C61" s="285"/>
      <c r="D61" s="285"/>
      <c r="E61" s="285"/>
      <c r="F61" s="285"/>
      <c r="G61" s="285"/>
      <c r="H61" s="285"/>
      <c r="I61" s="285"/>
      <c r="J61" s="285"/>
      <c r="K61" s="285"/>
      <c r="L61" s="285"/>
      <c r="M61" s="285"/>
      <c r="N61" s="285"/>
      <c r="O61" s="285"/>
      <c r="P61" s="285"/>
      <c r="Q61" s="285"/>
      <c r="R61" s="332"/>
      <c r="S61" s="333"/>
      <c r="T61" s="332">
        <v>42552</v>
      </c>
      <c r="U61" s="288"/>
      <c r="V61" s="5"/>
    </row>
    <row r="62" spans="1:23" ht="15.6" x14ac:dyDescent="0.3">
      <c r="A62" s="175"/>
      <c r="B62" s="281"/>
      <c r="C62" s="281"/>
      <c r="D62" s="281"/>
      <c r="E62" s="281"/>
      <c r="F62" s="281"/>
      <c r="G62" s="281"/>
      <c r="H62" s="281"/>
      <c r="I62" s="281"/>
      <c r="J62" s="281"/>
      <c r="K62" s="281"/>
      <c r="L62" s="281"/>
      <c r="M62" s="281"/>
      <c r="N62" s="281"/>
      <c r="O62" s="281"/>
      <c r="P62" s="281"/>
      <c r="Q62" s="281"/>
      <c r="R62" s="282"/>
      <c r="S62" s="283"/>
      <c r="T62" s="282"/>
      <c r="U62" s="281"/>
      <c r="V62" s="5"/>
    </row>
    <row r="63" spans="1:23" ht="15.6" x14ac:dyDescent="0.3">
      <c r="A63" s="175"/>
      <c r="B63" s="231"/>
      <c r="C63" s="231"/>
      <c r="D63" s="231"/>
      <c r="E63" s="231"/>
      <c r="F63" s="231"/>
      <c r="G63" s="231"/>
      <c r="H63" s="231"/>
      <c r="I63" s="231"/>
      <c r="J63" s="231"/>
      <c r="K63" s="231"/>
      <c r="L63" s="231"/>
      <c r="M63" s="231"/>
      <c r="N63" s="231"/>
      <c r="O63" s="231"/>
      <c r="P63" s="231"/>
      <c r="Q63" s="231"/>
      <c r="R63" s="244"/>
      <c r="S63" s="245"/>
      <c r="T63" s="244"/>
      <c r="U63" s="231"/>
      <c r="V63" s="5"/>
    </row>
    <row r="64" spans="1:23" ht="18" thickBot="1" x14ac:dyDescent="0.35">
      <c r="A64" s="192"/>
      <c r="B64" s="246" t="s">
        <v>338</v>
      </c>
      <c r="C64" s="247"/>
      <c r="D64" s="247"/>
      <c r="E64" s="247"/>
      <c r="F64" s="247"/>
      <c r="G64" s="247"/>
      <c r="H64" s="247"/>
      <c r="I64" s="247"/>
      <c r="J64" s="247"/>
      <c r="K64" s="247"/>
      <c r="L64" s="247"/>
      <c r="M64" s="247"/>
      <c r="N64" s="247"/>
      <c r="O64" s="247"/>
      <c r="P64" s="247"/>
      <c r="Q64" s="247"/>
      <c r="R64" s="247"/>
      <c r="S64" s="247"/>
      <c r="T64" s="248"/>
      <c r="U64" s="249"/>
      <c r="V64" s="5"/>
    </row>
    <row r="65" spans="1:22" ht="15.6" x14ac:dyDescent="0.3">
      <c r="A65" s="222"/>
      <c r="B65" s="395" t="s">
        <v>17</v>
      </c>
      <c r="C65" s="223"/>
      <c r="D65" s="223"/>
      <c r="E65" s="223"/>
      <c r="F65" s="223"/>
      <c r="G65" s="223"/>
      <c r="H65" s="223"/>
      <c r="I65" s="223"/>
      <c r="J65" s="223"/>
      <c r="K65" s="223"/>
      <c r="L65" s="223"/>
      <c r="M65" s="223"/>
      <c r="N65" s="223"/>
      <c r="O65" s="223"/>
      <c r="P65" s="223"/>
      <c r="Q65" s="223"/>
      <c r="R65" s="223"/>
      <c r="S65" s="223"/>
      <c r="T65" s="250"/>
      <c r="U65" s="223"/>
      <c r="V65" s="5"/>
    </row>
    <row r="66" spans="1:22" ht="15.6" x14ac:dyDescent="0.3">
      <c r="A66" s="175"/>
      <c r="B66" s="183"/>
      <c r="C66" s="177"/>
      <c r="D66" s="177"/>
      <c r="E66" s="177"/>
      <c r="F66" s="177"/>
      <c r="G66" s="177"/>
      <c r="H66" s="177"/>
      <c r="I66" s="177"/>
      <c r="J66" s="177"/>
      <c r="K66" s="177"/>
      <c r="L66" s="177"/>
      <c r="M66" s="177"/>
      <c r="N66" s="177"/>
      <c r="O66" s="177"/>
      <c r="P66" s="177"/>
      <c r="Q66" s="177"/>
      <c r="R66" s="177"/>
      <c r="S66" s="177"/>
      <c r="T66" s="194"/>
      <c r="U66" s="177"/>
      <c r="V66" s="5"/>
    </row>
    <row r="67" spans="1:22" ht="46.8" x14ac:dyDescent="0.3">
      <c r="A67" s="175"/>
      <c r="B67" s="195" t="s">
        <v>18</v>
      </c>
      <c r="C67" s="196"/>
      <c r="D67" s="196"/>
      <c r="E67" s="196"/>
      <c r="F67" s="196"/>
      <c r="G67" s="196"/>
      <c r="H67" s="196"/>
      <c r="I67" s="196"/>
      <c r="J67" s="196" t="s">
        <v>97</v>
      </c>
      <c r="K67" s="196"/>
      <c r="L67" s="196" t="s">
        <v>99</v>
      </c>
      <c r="M67" s="196"/>
      <c r="N67" s="196" t="s">
        <v>101</v>
      </c>
      <c r="O67" s="196"/>
      <c r="P67" s="196" t="s">
        <v>103</v>
      </c>
      <c r="Q67" s="196"/>
      <c r="R67" s="196" t="s">
        <v>110</v>
      </c>
      <c r="S67" s="196"/>
      <c r="T67" s="197" t="s">
        <v>118</v>
      </c>
      <c r="U67" s="198"/>
      <c r="V67" s="5"/>
    </row>
    <row r="68" spans="1:22" ht="15.6" x14ac:dyDescent="0.3">
      <c r="A68" s="337"/>
      <c r="B68" s="285" t="s">
        <v>19</v>
      </c>
      <c r="C68" s="338"/>
      <c r="D68" s="338"/>
      <c r="E68" s="338"/>
      <c r="F68" s="338"/>
      <c r="G68" s="338"/>
      <c r="H68" s="338"/>
      <c r="I68" s="338"/>
      <c r="J68" s="338">
        <v>1000039</v>
      </c>
      <c r="K68" s="338"/>
      <c r="L68" s="339">
        <v>470578</v>
      </c>
      <c r="M68" s="338"/>
      <c r="N68" s="338">
        <f>6425+128</f>
        <v>6553</v>
      </c>
      <c r="O68" s="338"/>
      <c r="P68" s="338">
        <v>128</v>
      </c>
      <c r="Q68" s="338"/>
      <c r="R68" s="338">
        <v>0</v>
      </c>
      <c r="S68" s="338"/>
      <c r="T68" s="339">
        <f>+L68-N68+P68-R68</f>
        <v>464153</v>
      </c>
      <c r="U68" s="288"/>
      <c r="V68" s="5"/>
    </row>
    <row r="69" spans="1:22" ht="15.6" x14ac:dyDescent="0.3">
      <c r="A69" s="337"/>
      <c r="B69" s="285" t="s">
        <v>20</v>
      </c>
      <c r="C69" s="338"/>
      <c r="D69" s="338"/>
      <c r="E69" s="338"/>
      <c r="F69" s="338"/>
      <c r="G69" s="338"/>
      <c r="H69" s="338"/>
      <c r="I69" s="338"/>
      <c r="J69" s="338">
        <v>10</v>
      </c>
      <c r="K69" s="338"/>
      <c r="L69" s="339">
        <v>0</v>
      </c>
      <c r="M69" s="338"/>
      <c r="N69" s="338">
        <v>0</v>
      </c>
      <c r="O69" s="338"/>
      <c r="P69" s="338">
        <v>0</v>
      </c>
      <c r="Q69" s="338"/>
      <c r="R69" s="338">
        <v>0</v>
      </c>
      <c r="S69" s="338"/>
      <c r="T69" s="339">
        <v>0</v>
      </c>
      <c r="U69" s="288"/>
      <c r="V69" s="5"/>
    </row>
    <row r="70" spans="1:22" ht="15.6" x14ac:dyDescent="0.3">
      <c r="A70" s="337"/>
      <c r="B70" s="285"/>
      <c r="C70" s="338"/>
      <c r="D70" s="338"/>
      <c r="E70" s="338"/>
      <c r="F70" s="338"/>
      <c r="G70" s="338"/>
      <c r="H70" s="338"/>
      <c r="I70" s="338"/>
      <c r="J70" s="338"/>
      <c r="K70" s="338"/>
      <c r="L70" s="339"/>
      <c r="M70" s="338"/>
      <c r="N70" s="338"/>
      <c r="O70" s="338"/>
      <c r="P70" s="338"/>
      <c r="Q70" s="338"/>
      <c r="R70" s="338"/>
      <c r="S70" s="338"/>
      <c r="T70" s="339"/>
      <c r="U70" s="288"/>
      <c r="V70" s="5"/>
    </row>
    <row r="71" spans="1:22" ht="15.6" x14ac:dyDescent="0.3">
      <c r="A71" s="337"/>
      <c r="B71" s="285" t="s">
        <v>21</v>
      </c>
      <c r="C71" s="338"/>
      <c r="D71" s="338"/>
      <c r="E71" s="338"/>
      <c r="F71" s="338"/>
      <c r="G71" s="338"/>
      <c r="H71" s="338"/>
      <c r="I71" s="338"/>
      <c r="J71" s="338">
        <f>SUM(J68:J70)</f>
        <v>1000049</v>
      </c>
      <c r="K71" s="338"/>
      <c r="L71" s="338">
        <f>L68+L69</f>
        <v>470578</v>
      </c>
      <c r="M71" s="338"/>
      <c r="N71" s="338">
        <f>SUM(N68:N70)</f>
        <v>6553</v>
      </c>
      <c r="O71" s="338"/>
      <c r="P71" s="338">
        <f>SUM(P68:P70)</f>
        <v>128</v>
      </c>
      <c r="Q71" s="338"/>
      <c r="R71" s="338">
        <f>SUM(R68:R70)</f>
        <v>0</v>
      </c>
      <c r="S71" s="338"/>
      <c r="T71" s="338">
        <f>SUM(T68:T70)</f>
        <v>464153</v>
      </c>
      <c r="U71" s="288"/>
      <c r="V71" s="5"/>
    </row>
    <row r="72" spans="1:22" ht="15.6" x14ac:dyDescent="0.3">
      <c r="A72" s="175"/>
      <c r="B72" s="334"/>
      <c r="C72" s="335"/>
      <c r="D72" s="335"/>
      <c r="E72" s="335"/>
      <c r="F72" s="335"/>
      <c r="G72" s="335"/>
      <c r="H72" s="335"/>
      <c r="I72" s="335"/>
      <c r="J72" s="335"/>
      <c r="K72" s="335"/>
      <c r="L72" s="335"/>
      <c r="M72" s="335"/>
      <c r="N72" s="335"/>
      <c r="O72" s="335"/>
      <c r="P72" s="335"/>
      <c r="Q72" s="335"/>
      <c r="R72" s="335"/>
      <c r="S72" s="335"/>
      <c r="T72" s="336"/>
      <c r="U72" s="334"/>
      <c r="V72" s="5"/>
    </row>
    <row r="73" spans="1:22" ht="15.6" x14ac:dyDescent="0.3">
      <c r="A73" s="175"/>
      <c r="B73" s="179" t="s">
        <v>22</v>
      </c>
      <c r="C73" s="199"/>
      <c r="D73" s="199"/>
      <c r="E73" s="199"/>
      <c r="F73" s="199"/>
      <c r="G73" s="199"/>
      <c r="H73" s="199"/>
      <c r="I73" s="199"/>
      <c r="J73" s="199"/>
      <c r="K73" s="199"/>
      <c r="L73" s="199"/>
      <c r="M73" s="199"/>
      <c r="N73" s="199"/>
      <c r="O73" s="199"/>
      <c r="P73" s="199"/>
      <c r="Q73" s="199"/>
      <c r="R73" s="199"/>
      <c r="S73" s="199"/>
      <c r="T73" s="200"/>
      <c r="U73" s="177"/>
      <c r="V73" s="5"/>
    </row>
    <row r="74" spans="1:22" ht="15.6" x14ac:dyDescent="0.3">
      <c r="A74" s="175"/>
      <c r="B74" s="177"/>
      <c r="C74" s="199"/>
      <c r="D74" s="199"/>
      <c r="E74" s="199"/>
      <c r="F74" s="199"/>
      <c r="G74" s="199"/>
      <c r="H74" s="199"/>
      <c r="I74" s="199"/>
      <c r="J74" s="199"/>
      <c r="K74" s="199"/>
      <c r="L74" s="199"/>
      <c r="M74" s="199"/>
      <c r="N74" s="199"/>
      <c r="O74" s="199"/>
      <c r="P74" s="199"/>
      <c r="Q74" s="199"/>
      <c r="R74" s="199"/>
      <c r="S74" s="199"/>
      <c r="T74" s="200"/>
      <c r="U74" s="177"/>
      <c r="V74" s="5"/>
    </row>
    <row r="75" spans="1:22" ht="15.6" x14ac:dyDescent="0.3">
      <c r="A75" s="284"/>
      <c r="B75" s="285" t="s">
        <v>19</v>
      </c>
      <c r="C75" s="338"/>
      <c r="D75" s="338"/>
      <c r="E75" s="338"/>
      <c r="F75" s="338"/>
      <c r="G75" s="338"/>
      <c r="H75" s="338"/>
      <c r="I75" s="338"/>
      <c r="J75" s="338"/>
      <c r="K75" s="338"/>
      <c r="L75" s="338"/>
      <c r="M75" s="338"/>
      <c r="N75" s="338"/>
      <c r="O75" s="338"/>
      <c r="P75" s="338"/>
      <c r="Q75" s="338"/>
      <c r="R75" s="338"/>
      <c r="S75" s="338"/>
      <c r="T75" s="338"/>
      <c r="U75" s="288"/>
      <c r="V75" s="5"/>
    </row>
    <row r="76" spans="1:22" ht="15.6" x14ac:dyDescent="0.3">
      <c r="A76" s="284"/>
      <c r="B76" s="285" t="s">
        <v>20</v>
      </c>
      <c r="C76" s="338"/>
      <c r="D76" s="338"/>
      <c r="E76" s="338"/>
      <c r="F76" s="338"/>
      <c r="G76" s="338"/>
      <c r="H76" s="338"/>
      <c r="I76" s="338"/>
      <c r="J76" s="338"/>
      <c r="K76" s="338"/>
      <c r="L76" s="338"/>
      <c r="M76" s="338"/>
      <c r="N76" s="338"/>
      <c r="O76" s="338"/>
      <c r="P76" s="338"/>
      <c r="Q76" s="338"/>
      <c r="R76" s="338"/>
      <c r="S76" s="338"/>
      <c r="T76" s="338"/>
      <c r="U76" s="288"/>
      <c r="V76" s="5"/>
    </row>
    <row r="77" spans="1:22" ht="15.6" x14ac:dyDescent="0.3">
      <c r="A77" s="284"/>
      <c r="B77" s="285"/>
      <c r="C77" s="338"/>
      <c r="D77" s="338"/>
      <c r="E77" s="338"/>
      <c r="F77" s="338"/>
      <c r="G77" s="338"/>
      <c r="H77" s="338"/>
      <c r="I77" s="338"/>
      <c r="J77" s="338"/>
      <c r="K77" s="338"/>
      <c r="L77" s="338"/>
      <c r="M77" s="338"/>
      <c r="N77" s="338"/>
      <c r="O77" s="338"/>
      <c r="P77" s="338"/>
      <c r="Q77" s="338"/>
      <c r="R77" s="338"/>
      <c r="S77" s="338"/>
      <c r="T77" s="338"/>
      <c r="U77" s="288"/>
      <c r="V77" s="5"/>
    </row>
    <row r="78" spans="1:22" ht="15.6" x14ac:dyDescent="0.3">
      <c r="A78" s="284"/>
      <c r="B78" s="285" t="s">
        <v>21</v>
      </c>
      <c r="C78" s="338"/>
      <c r="D78" s="338"/>
      <c r="E78" s="338"/>
      <c r="F78" s="338"/>
      <c r="G78" s="338"/>
      <c r="H78" s="338"/>
      <c r="I78" s="338"/>
      <c r="J78" s="338"/>
      <c r="K78" s="338"/>
      <c r="L78" s="338"/>
      <c r="M78" s="338"/>
      <c r="N78" s="338"/>
      <c r="O78" s="338"/>
      <c r="P78" s="338"/>
      <c r="Q78" s="338"/>
      <c r="R78" s="338"/>
      <c r="S78" s="338"/>
      <c r="T78" s="338"/>
      <c r="U78" s="288"/>
      <c r="V78" s="5"/>
    </row>
    <row r="79" spans="1:22" ht="15.6" x14ac:dyDescent="0.3">
      <c r="A79" s="284"/>
      <c r="B79" s="285"/>
      <c r="C79" s="338"/>
      <c r="D79" s="338"/>
      <c r="E79" s="338"/>
      <c r="F79" s="338"/>
      <c r="G79" s="338"/>
      <c r="H79" s="338"/>
      <c r="I79" s="338"/>
      <c r="J79" s="338"/>
      <c r="K79" s="338"/>
      <c r="L79" s="338"/>
      <c r="M79" s="338"/>
      <c r="N79" s="338"/>
      <c r="O79" s="338"/>
      <c r="P79" s="338"/>
      <c r="Q79" s="338"/>
      <c r="R79" s="338"/>
      <c r="S79" s="338"/>
      <c r="T79" s="338"/>
      <c r="U79" s="288"/>
      <c r="V79" s="5"/>
    </row>
    <row r="80" spans="1:22" ht="15.6" x14ac:dyDescent="0.3">
      <c r="A80" s="284"/>
      <c r="B80" s="285" t="s">
        <v>23</v>
      </c>
      <c r="C80" s="338"/>
      <c r="D80" s="338"/>
      <c r="E80" s="338"/>
      <c r="F80" s="338"/>
      <c r="G80" s="338"/>
      <c r="H80" s="338"/>
      <c r="I80" s="338"/>
      <c r="J80" s="338">
        <v>0</v>
      </c>
      <c r="K80" s="338"/>
      <c r="L80" s="338">
        <v>0</v>
      </c>
      <c r="M80" s="338"/>
      <c r="N80" s="338"/>
      <c r="O80" s="338"/>
      <c r="P80" s="338"/>
      <c r="Q80" s="338"/>
      <c r="R80" s="338"/>
      <c r="S80" s="338"/>
      <c r="T80" s="339">
        <v>0</v>
      </c>
      <c r="U80" s="288"/>
      <c r="V80" s="5"/>
    </row>
    <row r="81" spans="1:22" ht="15.6" x14ac:dyDescent="0.3">
      <c r="A81" s="284"/>
      <c r="B81" s="285" t="s">
        <v>123</v>
      </c>
      <c r="C81" s="338"/>
      <c r="D81" s="338"/>
      <c r="E81" s="338"/>
      <c r="F81" s="338"/>
      <c r="G81" s="338"/>
      <c r="H81" s="338"/>
      <c r="I81" s="338"/>
      <c r="J81" s="338">
        <v>0</v>
      </c>
      <c r="K81" s="338"/>
      <c r="L81" s="338">
        <v>0</v>
      </c>
      <c r="M81" s="338"/>
      <c r="N81" s="338"/>
      <c r="O81" s="338"/>
      <c r="P81" s="338"/>
      <c r="Q81" s="338"/>
      <c r="R81" s="338"/>
      <c r="S81" s="338"/>
      <c r="T81" s="338">
        <f>SUM(J81:P81)</f>
        <v>0</v>
      </c>
      <c r="U81" s="288"/>
      <c r="V81" s="5"/>
    </row>
    <row r="82" spans="1:22" ht="15.6" x14ac:dyDescent="0.3">
      <c r="A82" s="284"/>
      <c r="B82" s="285" t="s">
        <v>152</v>
      </c>
      <c r="C82" s="338"/>
      <c r="D82" s="338"/>
      <c r="E82" s="338"/>
      <c r="F82" s="338"/>
      <c r="G82" s="338"/>
      <c r="H82" s="338"/>
      <c r="I82" s="338"/>
      <c r="J82" s="338">
        <v>1</v>
      </c>
      <c r="K82" s="338"/>
      <c r="L82" s="338">
        <v>0</v>
      </c>
      <c r="M82" s="338"/>
      <c r="N82" s="338">
        <v>0</v>
      </c>
      <c r="O82" s="338"/>
      <c r="P82" s="338"/>
      <c r="Q82" s="338"/>
      <c r="R82" s="338"/>
      <c r="S82" s="338"/>
      <c r="T82" s="338">
        <f>+L82+N82</f>
        <v>0</v>
      </c>
      <c r="U82" s="288"/>
      <c r="V82" s="5"/>
    </row>
    <row r="83" spans="1:22" ht="15.6" x14ac:dyDescent="0.3">
      <c r="A83" s="284"/>
      <c r="B83" s="285" t="s">
        <v>25</v>
      </c>
      <c r="C83" s="338"/>
      <c r="D83" s="338"/>
      <c r="E83" s="338"/>
      <c r="F83" s="338"/>
      <c r="G83" s="338"/>
      <c r="H83" s="338"/>
      <c r="I83" s="338"/>
      <c r="J83" s="338">
        <v>0</v>
      </c>
      <c r="K83" s="338"/>
      <c r="L83" s="338">
        <v>0</v>
      </c>
      <c r="M83" s="338"/>
      <c r="N83" s="338"/>
      <c r="O83" s="338"/>
      <c r="P83" s="338"/>
      <c r="Q83" s="338"/>
      <c r="R83" s="338"/>
      <c r="S83" s="338"/>
      <c r="T83" s="338">
        <v>0</v>
      </c>
      <c r="U83" s="288"/>
      <c r="V83" s="5"/>
    </row>
    <row r="84" spans="1:22" ht="15.6" x14ac:dyDescent="0.3">
      <c r="A84" s="284"/>
      <c r="B84" s="285" t="s">
        <v>26</v>
      </c>
      <c r="C84" s="338"/>
      <c r="D84" s="338"/>
      <c r="E84" s="338"/>
      <c r="F84" s="338"/>
      <c r="G84" s="338"/>
      <c r="H84" s="338"/>
      <c r="I84" s="338"/>
      <c r="J84" s="338">
        <f>SUM(J71:J83)</f>
        <v>1000050</v>
      </c>
      <c r="K84" s="338"/>
      <c r="L84" s="338">
        <f>SUM(L71:L83)</f>
        <v>470578</v>
      </c>
      <c r="M84" s="338"/>
      <c r="N84" s="338"/>
      <c r="O84" s="338"/>
      <c r="P84" s="338"/>
      <c r="Q84" s="338"/>
      <c r="R84" s="338"/>
      <c r="S84" s="338"/>
      <c r="T84" s="338">
        <f>SUM(T71:T83)</f>
        <v>464153</v>
      </c>
      <c r="U84" s="288"/>
      <c r="V84" s="5"/>
    </row>
    <row r="85" spans="1:22" ht="15.6" x14ac:dyDescent="0.3">
      <c r="A85" s="175"/>
      <c r="B85" s="334"/>
      <c r="C85" s="335"/>
      <c r="D85" s="335"/>
      <c r="E85" s="335"/>
      <c r="F85" s="335"/>
      <c r="G85" s="335"/>
      <c r="H85" s="335"/>
      <c r="I85" s="335"/>
      <c r="J85" s="335"/>
      <c r="K85" s="335"/>
      <c r="L85" s="335"/>
      <c r="M85" s="335"/>
      <c r="N85" s="335"/>
      <c r="O85" s="335"/>
      <c r="P85" s="335"/>
      <c r="Q85" s="335"/>
      <c r="R85" s="335"/>
      <c r="S85" s="335"/>
      <c r="T85" s="336"/>
      <c r="U85" s="334"/>
      <c r="V85" s="5"/>
    </row>
    <row r="86" spans="1:22" ht="15.6" x14ac:dyDescent="0.3">
      <c r="A86" s="175"/>
      <c r="B86" s="177"/>
      <c r="C86" s="177"/>
      <c r="D86" s="177"/>
      <c r="E86" s="177"/>
      <c r="F86" s="177"/>
      <c r="G86" s="177"/>
      <c r="H86" s="177"/>
      <c r="I86" s="177"/>
      <c r="J86" s="177"/>
      <c r="K86" s="177"/>
      <c r="L86" s="177"/>
      <c r="M86" s="177"/>
      <c r="N86" s="177"/>
      <c r="O86" s="177"/>
      <c r="P86" s="177"/>
      <c r="Q86" s="177"/>
      <c r="R86" s="177"/>
      <c r="S86" s="177"/>
      <c r="T86" s="177"/>
      <c r="U86" s="177"/>
      <c r="V86" s="5"/>
    </row>
    <row r="87" spans="1:22" ht="15.6" x14ac:dyDescent="0.3">
      <c r="A87" s="222"/>
      <c r="B87" s="395" t="s">
        <v>27</v>
      </c>
      <c r="C87" s="395"/>
      <c r="D87" s="395"/>
      <c r="E87" s="395"/>
      <c r="F87" s="395"/>
      <c r="G87" s="395"/>
      <c r="H87" s="396"/>
      <c r="I87" s="396"/>
      <c r="J87" s="397" t="s">
        <v>98</v>
      </c>
      <c r="K87" s="396"/>
      <c r="L87" s="398">
        <f>+R194</f>
        <v>42551</v>
      </c>
      <c r="M87" s="396"/>
      <c r="N87" s="396"/>
      <c r="O87" s="396"/>
      <c r="P87" s="396"/>
      <c r="Q87" s="396"/>
      <c r="R87" s="396" t="s">
        <v>111</v>
      </c>
      <c r="S87" s="396"/>
      <c r="T87" s="396" t="s">
        <v>119</v>
      </c>
      <c r="U87" s="223"/>
      <c r="V87" s="5"/>
    </row>
    <row r="88" spans="1:22" ht="15.6" x14ac:dyDescent="0.3">
      <c r="A88" s="190"/>
      <c r="B88" s="239" t="s">
        <v>28</v>
      </c>
      <c r="C88" s="239"/>
      <c r="D88" s="239"/>
      <c r="E88" s="239"/>
      <c r="F88" s="239"/>
      <c r="G88" s="239"/>
      <c r="H88" s="239"/>
      <c r="I88" s="239"/>
      <c r="J88" s="239"/>
      <c r="K88" s="239"/>
      <c r="L88" s="239"/>
      <c r="M88" s="239"/>
      <c r="N88" s="239"/>
      <c r="O88" s="239"/>
      <c r="P88" s="239"/>
      <c r="Q88" s="239"/>
      <c r="R88" s="243">
        <v>0</v>
      </c>
      <c r="S88" s="239"/>
      <c r="T88" s="251">
        <v>0</v>
      </c>
      <c r="U88" s="239"/>
      <c r="V88" s="5"/>
    </row>
    <row r="89" spans="1:22" ht="15.6" x14ac:dyDescent="0.3">
      <c r="A89" s="284"/>
      <c r="B89" s="285" t="s">
        <v>29</v>
      </c>
      <c r="C89" s="285"/>
      <c r="D89" s="285"/>
      <c r="E89" s="285"/>
      <c r="F89" s="285"/>
      <c r="G89" s="285"/>
      <c r="H89" s="324"/>
      <c r="I89" s="341"/>
      <c r="J89" s="324"/>
      <c r="K89" s="285"/>
      <c r="L89" s="342"/>
      <c r="M89" s="285"/>
      <c r="N89" s="285"/>
      <c r="O89" s="285"/>
      <c r="P89" s="285"/>
      <c r="Q89" s="285"/>
      <c r="R89" s="338">
        <f>6553-196</f>
        <v>6357</v>
      </c>
      <c r="S89" s="285"/>
      <c r="T89" s="339"/>
      <c r="U89" s="288"/>
      <c r="V89" s="5"/>
    </row>
    <row r="90" spans="1:22" ht="15.6" x14ac:dyDescent="0.3">
      <c r="A90" s="284"/>
      <c r="B90" s="285" t="s">
        <v>225</v>
      </c>
      <c r="C90" s="285"/>
      <c r="D90" s="285"/>
      <c r="E90" s="285"/>
      <c r="F90" s="285"/>
      <c r="G90" s="285"/>
      <c r="H90" s="324"/>
      <c r="I90" s="341"/>
      <c r="J90" s="324"/>
      <c r="K90" s="285"/>
      <c r="L90" s="342"/>
      <c r="M90" s="285"/>
      <c r="N90" s="285"/>
      <c r="O90" s="285"/>
      <c r="P90" s="285"/>
      <c r="Q90" s="285"/>
      <c r="R90" s="338"/>
      <c r="S90" s="285"/>
      <c r="T90" s="339">
        <f>1801+1755-505-249</f>
        <v>2802</v>
      </c>
      <c r="U90" s="288"/>
      <c r="V90" s="5"/>
    </row>
    <row r="91" spans="1:22" ht="15.6" x14ac:dyDescent="0.3">
      <c r="A91" s="284"/>
      <c r="B91" s="285" t="s">
        <v>220</v>
      </c>
      <c r="C91" s="285"/>
      <c r="D91" s="285"/>
      <c r="E91" s="285"/>
      <c r="F91" s="285"/>
      <c r="G91" s="285"/>
      <c r="H91" s="324"/>
      <c r="I91" s="341"/>
      <c r="J91" s="324"/>
      <c r="K91" s="285"/>
      <c r="L91" s="342"/>
      <c r="M91" s="285"/>
      <c r="N91" s="285"/>
      <c r="O91" s="285"/>
      <c r="P91" s="285"/>
      <c r="Q91" s="285"/>
      <c r="R91" s="338"/>
      <c r="S91" s="285"/>
      <c r="T91" s="339">
        <f>62+72</f>
        <v>134</v>
      </c>
      <c r="U91" s="288"/>
      <c r="V91" s="5"/>
    </row>
    <row r="92" spans="1:22" ht="15.6" x14ac:dyDescent="0.3">
      <c r="A92" s="284"/>
      <c r="B92" s="285" t="s">
        <v>221</v>
      </c>
      <c r="C92" s="285"/>
      <c r="D92" s="285"/>
      <c r="E92" s="285"/>
      <c r="F92" s="285"/>
      <c r="G92" s="285"/>
      <c r="H92" s="324"/>
      <c r="I92" s="341"/>
      <c r="J92" s="324"/>
      <c r="K92" s="285"/>
      <c r="L92" s="342"/>
      <c r="M92" s="285"/>
      <c r="N92" s="285"/>
      <c r="O92" s="285"/>
      <c r="P92" s="285"/>
      <c r="Q92" s="285"/>
      <c r="R92" s="338"/>
      <c r="S92" s="285"/>
      <c r="T92" s="339">
        <v>37</v>
      </c>
      <c r="U92" s="288"/>
      <c r="V92" s="5"/>
    </row>
    <row r="93" spans="1:22" ht="15.6" x14ac:dyDescent="0.3">
      <c r="A93" s="284"/>
      <c r="B93" s="285" t="s">
        <v>261</v>
      </c>
      <c r="C93" s="285"/>
      <c r="D93" s="285"/>
      <c r="E93" s="285"/>
      <c r="F93" s="285"/>
      <c r="G93" s="285"/>
      <c r="H93" s="324"/>
      <c r="I93" s="341"/>
      <c r="J93" s="324"/>
      <c r="K93" s="285"/>
      <c r="L93" s="342"/>
      <c r="M93" s="285"/>
      <c r="N93" s="285"/>
      <c r="O93" s="285"/>
      <c r="P93" s="285"/>
      <c r="Q93" s="285"/>
      <c r="R93" s="338"/>
      <c r="S93" s="285"/>
      <c r="T93" s="339">
        <v>0</v>
      </c>
      <c r="U93" s="288"/>
      <c r="V93" s="5"/>
    </row>
    <row r="94" spans="1:22" ht="15.6" x14ac:dyDescent="0.3">
      <c r="A94" s="284"/>
      <c r="B94" s="285" t="s">
        <v>141</v>
      </c>
      <c r="C94" s="285"/>
      <c r="D94" s="285"/>
      <c r="E94" s="285"/>
      <c r="F94" s="285"/>
      <c r="G94" s="285"/>
      <c r="H94" s="285"/>
      <c r="I94" s="285"/>
      <c r="J94" s="285"/>
      <c r="K94" s="285"/>
      <c r="L94" s="285"/>
      <c r="M94" s="285"/>
      <c r="N94" s="285"/>
      <c r="O94" s="285"/>
      <c r="P94" s="285"/>
      <c r="Q94" s="285"/>
      <c r="R94" s="338"/>
      <c r="S94" s="285"/>
      <c r="T94" s="339">
        <v>0</v>
      </c>
      <c r="U94" s="288"/>
      <c r="V94" s="5"/>
    </row>
    <row r="95" spans="1:22" ht="15.6" x14ac:dyDescent="0.3">
      <c r="A95" s="284"/>
      <c r="B95" s="285" t="s">
        <v>250</v>
      </c>
      <c r="C95" s="285"/>
      <c r="D95" s="285"/>
      <c r="E95" s="285"/>
      <c r="F95" s="285"/>
      <c r="G95" s="285"/>
      <c r="H95" s="285"/>
      <c r="I95" s="285"/>
      <c r="J95" s="285"/>
      <c r="K95" s="285"/>
      <c r="L95" s="285"/>
      <c r="M95" s="285"/>
      <c r="N95" s="285"/>
      <c r="O95" s="285"/>
      <c r="P95" s="285"/>
      <c r="Q95" s="285"/>
      <c r="R95" s="338"/>
      <c r="S95" s="285"/>
      <c r="T95" s="339">
        <v>99</v>
      </c>
      <c r="U95" s="288"/>
      <c r="V95" s="5"/>
    </row>
    <row r="96" spans="1:22" ht="15.6" x14ac:dyDescent="0.3">
      <c r="A96" s="284"/>
      <c r="B96" s="285" t="s">
        <v>30</v>
      </c>
      <c r="C96" s="285"/>
      <c r="D96" s="285"/>
      <c r="E96" s="285"/>
      <c r="F96" s="285"/>
      <c r="G96" s="285"/>
      <c r="H96" s="285"/>
      <c r="I96" s="285"/>
      <c r="J96" s="285"/>
      <c r="K96" s="285"/>
      <c r="L96" s="285"/>
      <c r="M96" s="285"/>
      <c r="N96" s="285"/>
      <c r="O96" s="285"/>
      <c r="P96" s="285"/>
      <c r="Q96" s="285"/>
      <c r="R96" s="338">
        <f>SUM(R88:R95)</f>
        <v>6357</v>
      </c>
      <c r="S96" s="285"/>
      <c r="T96" s="338">
        <f>SUM(T88:T95)</f>
        <v>3072</v>
      </c>
      <c r="U96" s="288"/>
      <c r="V96" s="5"/>
    </row>
    <row r="97" spans="1:24" ht="15.6" x14ac:dyDescent="0.3">
      <c r="A97" s="284"/>
      <c r="B97" s="285" t="s">
        <v>168</v>
      </c>
      <c r="C97" s="285"/>
      <c r="D97" s="285"/>
      <c r="E97" s="285"/>
      <c r="F97" s="285"/>
      <c r="G97" s="285"/>
      <c r="H97" s="285"/>
      <c r="I97" s="285"/>
      <c r="J97" s="285"/>
      <c r="K97" s="285"/>
      <c r="L97" s="285"/>
      <c r="M97" s="285"/>
      <c r="N97" s="285"/>
      <c r="O97" s="285"/>
      <c r="P97" s="285"/>
      <c r="Q97" s="285"/>
      <c r="R97" s="338">
        <v>0</v>
      </c>
      <c r="S97" s="285"/>
      <c r="T97" s="338">
        <f>-R97</f>
        <v>0</v>
      </c>
      <c r="U97" s="288"/>
      <c r="V97" s="5"/>
    </row>
    <row r="98" spans="1:24" ht="15.6" x14ac:dyDescent="0.3">
      <c r="A98" s="284"/>
      <c r="B98" s="285" t="s">
        <v>31</v>
      </c>
      <c r="C98" s="285"/>
      <c r="D98" s="285"/>
      <c r="E98" s="285"/>
      <c r="F98" s="285"/>
      <c r="G98" s="285"/>
      <c r="H98" s="285"/>
      <c r="I98" s="285"/>
      <c r="J98" s="285"/>
      <c r="K98" s="285"/>
      <c r="L98" s="285"/>
      <c r="M98" s="285"/>
      <c r="N98" s="285"/>
      <c r="O98" s="285"/>
      <c r="P98" s="285"/>
      <c r="Q98" s="285"/>
      <c r="R98" s="338">
        <f>-T98</f>
        <v>0</v>
      </c>
      <c r="S98" s="285"/>
      <c r="T98" s="339">
        <v>0</v>
      </c>
      <c r="U98" s="288"/>
      <c r="V98" s="5"/>
    </row>
    <row r="99" spans="1:24" ht="15.6" x14ac:dyDescent="0.3">
      <c r="A99" s="284"/>
      <c r="B99" s="285" t="s">
        <v>273</v>
      </c>
      <c r="C99" s="285"/>
      <c r="D99" s="285"/>
      <c r="E99" s="285"/>
      <c r="F99" s="285"/>
      <c r="G99" s="285"/>
      <c r="H99" s="285"/>
      <c r="I99" s="285"/>
      <c r="J99" s="285"/>
      <c r="K99" s="285"/>
      <c r="L99" s="285"/>
      <c r="M99" s="285"/>
      <c r="N99" s="285"/>
      <c r="O99" s="285"/>
      <c r="P99" s="285"/>
      <c r="Q99" s="285"/>
      <c r="R99" s="338"/>
      <c r="S99" s="285"/>
      <c r="T99" s="339">
        <v>35</v>
      </c>
      <c r="U99" s="288"/>
      <c r="V99" s="5"/>
    </row>
    <row r="100" spans="1:24" ht="15.6" x14ac:dyDescent="0.3">
      <c r="A100" s="284"/>
      <c r="B100" s="285" t="s">
        <v>32</v>
      </c>
      <c r="C100" s="285"/>
      <c r="D100" s="285"/>
      <c r="E100" s="285"/>
      <c r="F100" s="285"/>
      <c r="G100" s="285"/>
      <c r="H100" s="285"/>
      <c r="I100" s="285"/>
      <c r="J100" s="285"/>
      <c r="K100" s="285"/>
      <c r="L100" s="285"/>
      <c r="M100" s="285"/>
      <c r="N100" s="285"/>
      <c r="O100" s="285"/>
      <c r="P100" s="285"/>
      <c r="Q100" s="285"/>
      <c r="R100" s="338">
        <f>R96+R98+R97</f>
        <v>6357</v>
      </c>
      <c r="S100" s="285"/>
      <c r="T100" s="338">
        <f>T96+T98+T97+T99</f>
        <v>3107</v>
      </c>
      <c r="U100" s="288"/>
      <c r="V100" s="5"/>
    </row>
    <row r="101" spans="1:24" ht="15.6" x14ac:dyDescent="0.3">
      <c r="A101" s="284"/>
      <c r="B101" s="343" t="s">
        <v>33</v>
      </c>
      <c r="C101" s="311"/>
      <c r="D101" s="311"/>
      <c r="E101" s="311"/>
      <c r="F101" s="311"/>
      <c r="G101" s="311"/>
      <c r="H101" s="311"/>
      <c r="I101" s="311"/>
      <c r="J101" s="311"/>
      <c r="K101" s="311"/>
      <c r="L101" s="311"/>
      <c r="M101" s="311"/>
      <c r="N101" s="311"/>
      <c r="O101" s="311"/>
      <c r="P101" s="311"/>
      <c r="Q101" s="311"/>
      <c r="R101" s="344"/>
      <c r="S101" s="311"/>
      <c r="T101" s="345"/>
      <c r="U101" s="317"/>
      <c r="V101" s="5"/>
    </row>
    <row r="102" spans="1:24" ht="15.6" x14ac:dyDescent="0.3">
      <c r="A102" s="337">
        <v>1</v>
      </c>
      <c r="B102" s="285" t="s">
        <v>34</v>
      </c>
      <c r="C102" s="285"/>
      <c r="D102" s="285"/>
      <c r="E102" s="285"/>
      <c r="F102" s="285"/>
      <c r="G102" s="285"/>
      <c r="H102" s="285"/>
      <c r="I102" s="285"/>
      <c r="J102" s="285"/>
      <c r="K102" s="285"/>
      <c r="L102" s="285"/>
      <c r="M102" s="285"/>
      <c r="N102" s="285"/>
      <c r="O102" s="285"/>
      <c r="P102" s="285"/>
      <c r="Q102" s="285"/>
      <c r="R102" s="285"/>
      <c r="S102" s="285"/>
      <c r="T102" s="339">
        <v>0</v>
      </c>
      <c r="U102" s="288"/>
      <c r="V102" s="5"/>
    </row>
    <row r="103" spans="1:24" ht="15.6" x14ac:dyDescent="0.3">
      <c r="A103" s="337">
        <f>+A102+1</f>
        <v>2</v>
      </c>
      <c r="B103" s="285" t="s">
        <v>312</v>
      </c>
      <c r="C103" s="285"/>
      <c r="D103" s="285"/>
      <c r="E103" s="285"/>
      <c r="F103" s="285"/>
      <c r="G103" s="285"/>
      <c r="H103" s="285"/>
      <c r="I103" s="285"/>
      <c r="J103" s="285"/>
      <c r="K103" s="285"/>
      <c r="L103" s="285"/>
      <c r="M103" s="285"/>
      <c r="N103" s="285"/>
      <c r="O103" s="285"/>
      <c r="P103" s="285"/>
      <c r="Q103" s="285"/>
      <c r="R103" s="285"/>
      <c r="S103" s="285"/>
      <c r="T103" s="339">
        <v>-2</v>
      </c>
      <c r="U103" s="288"/>
      <c r="V103" s="5"/>
    </row>
    <row r="104" spans="1:24" ht="15.6" x14ac:dyDescent="0.3">
      <c r="A104" s="337">
        <f>+A103+1</f>
        <v>3</v>
      </c>
      <c r="B104" s="407" t="s">
        <v>314</v>
      </c>
      <c r="C104" s="285"/>
      <c r="D104" s="285"/>
      <c r="E104" s="285"/>
      <c r="F104" s="285"/>
      <c r="G104" s="285"/>
      <c r="H104" s="285"/>
      <c r="I104" s="285"/>
      <c r="J104" s="285"/>
      <c r="K104" s="285"/>
      <c r="L104" s="285"/>
      <c r="M104" s="285"/>
      <c r="N104" s="285"/>
      <c r="O104" s="285"/>
      <c r="P104" s="285"/>
      <c r="Q104" s="285"/>
      <c r="R104" s="285"/>
      <c r="S104" s="285"/>
      <c r="T104" s="339">
        <f>-178-100-6</f>
        <v>-284</v>
      </c>
      <c r="U104" s="288"/>
      <c r="V104" s="5"/>
    </row>
    <row r="105" spans="1:24" ht="15.6" x14ac:dyDescent="0.3">
      <c r="A105" s="337" t="s">
        <v>133</v>
      </c>
      <c r="B105" s="285" t="s">
        <v>122</v>
      </c>
      <c r="C105" s="285"/>
      <c r="D105" s="285"/>
      <c r="E105" s="285"/>
      <c r="F105" s="285"/>
      <c r="G105" s="285"/>
      <c r="H105" s="285"/>
      <c r="I105" s="285"/>
      <c r="J105" s="285"/>
      <c r="K105" s="285"/>
      <c r="L105" s="285"/>
      <c r="M105" s="285"/>
      <c r="N105" s="285"/>
      <c r="O105" s="285"/>
      <c r="P105" s="285"/>
      <c r="Q105" s="285"/>
      <c r="R105" s="285"/>
      <c r="S105" s="285"/>
      <c r="T105" s="339">
        <v>0</v>
      </c>
      <c r="U105" s="288"/>
      <c r="V105" s="5"/>
    </row>
    <row r="106" spans="1:24" ht="15.6" x14ac:dyDescent="0.3">
      <c r="A106" s="337" t="s">
        <v>134</v>
      </c>
      <c r="B106" s="285" t="s">
        <v>194</v>
      </c>
      <c r="C106" s="285"/>
      <c r="D106" s="285"/>
      <c r="E106" s="285"/>
      <c r="F106" s="285"/>
      <c r="G106" s="285"/>
      <c r="H106" s="285"/>
      <c r="I106" s="285"/>
      <c r="J106" s="285"/>
      <c r="K106" s="285"/>
      <c r="L106" s="285"/>
      <c r="M106" s="285"/>
      <c r="N106" s="285"/>
      <c r="O106" s="285"/>
      <c r="P106" s="285"/>
      <c r="Q106" s="285"/>
      <c r="R106" s="285"/>
      <c r="S106" s="285"/>
      <c r="T106" s="339">
        <f>-647+123</f>
        <v>-524</v>
      </c>
      <c r="U106" s="288"/>
      <c r="V106" s="5"/>
      <c r="W106" s="109"/>
    </row>
    <row r="107" spans="1:24" ht="15.6" x14ac:dyDescent="0.3">
      <c r="A107" s="337" t="s">
        <v>156</v>
      </c>
      <c r="B107" s="285" t="s">
        <v>191</v>
      </c>
      <c r="C107" s="285"/>
      <c r="D107" s="285"/>
      <c r="E107" s="285"/>
      <c r="F107" s="285"/>
      <c r="G107" s="285"/>
      <c r="H107" s="285"/>
      <c r="I107" s="285"/>
      <c r="J107" s="285"/>
      <c r="K107" s="285"/>
      <c r="L107" s="285"/>
      <c r="M107" s="285"/>
      <c r="N107" s="285"/>
      <c r="O107" s="285"/>
      <c r="P107" s="285"/>
      <c r="Q107" s="285"/>
      <c r="R107" s="285"/>
      <c r="S107" s="285"/>
      <c r="T107" s="339">
        <v>-123</v>
      </c>
      <c r="U107" s="288"/>
      <c r="V107" s="5"/>
      <c r="W107" s="109"/>
    </row>
    <row r="108" spans="1:24" ht="15.6" x14ac:dyDescent="0.3">
      <c r="A108" s="337" t="s">
        <v>214</v>
      </c>
      <c r="B108" s="285" t="s">
        <v>192</v>
      </c>
      <c r="C108" s="285"/>
      <c r="D108" s="285"/>
      <c r="E108" s="285"/>
      <c r="F108" s="285"/>
      <c r="G108" s="285"/>
      <c r="H108" s="285"/>
      <c r="I108" s="285"/>
      <c r="J108" s="285"/>
      <c r="K108" s="285"/>
      <c r="L108" s="285"/>
      <c r="M108" s="285"/>
      <c r="N108" s="285"/>
      <c r="O108" s="285"/>
      <c r="P108" s="285"/>
      <c r="Q108" s="285"/>
      <c r="R108" s="285"/>
      <c r="S108" s="285"/>
      <c r="T108" s="339">
        <v>-146</v>
      </c>
      <c r="U108" s="288"/>
      <c r="V108" s="5"/>
      <c r="W108" s="109"/>
      <c r="X108" s="109"/>
    </row>
    <row r="109" spans="1:24" ht="15.6" x14ac:dyDescent="0.3">
      <c r="A109" s="337" t="s">
        <v>215</v>
      </c>
      <c r="B109" s="285" t="s">
        <v>193</v>
      </c>
      <c r="C109" s="285"/>
      <c r="D109" s="285"/>
      <c r="E109" s="285"/>
      <c r="F109" s="285"/>
      <c r="G109" s="285"/>
      <c r="H109" s="285"/>
      <c r="I109" s="285"/>
      <c r="J109" s="285"/>
      <c r="K109" s="285"/>
      <c r="L109" s="285"/>
      <c r="M109" s="285"/>
      <c r="N109" s="285"/>
      <c r="O109" s="285"/>
      <c r="P109" s="285"/>
      <c r="Q109" s="285"/>
      <c r="R109" s="285"/>
      <c r="S109" s="285"/>
      <c r="T109" s="339">
        <v>-40</v>
      </c>
      <c r="U109" s="288"/>
      <c r="V109" s="169"/>
      <c r="W109" s="109"/>
    </row>
    <row r="110" spans="1:24" ht="15.6" x14ac:dyDescent="0.3">
      <c r="A110" s="337" t="s">
        <v>216</v>
      </c>
      <c r="B110" s="285" t="s">
        <v>204</v>
      </c>
      <c r="C110" s="285"/>
      <c r="D110" s="285"/>
      <c r="E110" s="285"/>
      <c r="F110" s="285"/>
      <c r="G110" s="285"/>
      <c r="H110" s="285"/>
      <c r="I110" s="285"/>
      <c r="J110" s="285"/>
      <c r="K110" s="285"/>
      <c r="L110" s="285"/>
      <c r="M110" s="285"/>
      <c r="N110" s="285"/>
      <c r="O110" s="285"/>
      <c r="P110" s="285"/>
      <c r="Q110" s="285"/>
      <c r="R110" s="285"/>
      <c r="S110" s="285"/>
      <c r="T110" s="339">
        <v>-222</v>
      </c>
      <c r="U110" s="288"/>
      <c r="V110" s="5"/>
      <c r="W110" s="109"/>
    </row>
    <row r="111" spans="1:24" ht="15.6" x14ac:dyDescent="0.3">
      <c r="A111" s="406">
        <v>7</v>
      </c>
      <c r="B111" s="407" t="s">
        <v>313</v>
      </c>
      <c r="C111" s="407"/>
      <c r="D111" s="407"/>
      <c r="E111" s="407"/>
      <c r="F111" s="407"/>
      <c r="G111" s="285"/>
      <c r="H111" s="285"/>
      <c r="I111" s="285"/>
      <c r="J111" s="285"/>
      <c r="K111" s="285"/>
      <c r="L111" s="285"/>
      <c r="M111" s="285"/>
      <c r="N111" s="285"/>
      <c r="O111" s="285"/>
      <c r="P111" s="285"/>
      <c r="Q111" s="285"/>
      <c r="R111" s="285"/>
      <c r="S111" s="285"/>
      <c r="T111" s="339">
        <v>0</v>
      </c>
      <c r="U111" s="288"/>
      <c r="V111" s="5"/>
      <c r="W111" s="109"/>
    </row>
    <row r="112" spans="1:24" ht="15.6" x14ac:dyDescent="0.3">
      <c r="A112" s="337">
        <f t="shared" ref="A112:A118" si="0">+A111+1</f>
        <v>8</v>
      </c>
      <c r="B112" s="285" t="s">
        <v>35</v>
      </c>
      <c r="C112" s="285"/>
      <c r="D112" s="285"/>
      <c r="E112" s="285"/>
      <c r="F112" s="285"/>
      <c r="G112" s="285"/>
      <c r="H112" s="285"/>
      <c r="I112" s="285"/>
      <c r="J112" s="285"/>
      <c r="K112" s="285"/>
      <c r="L112" s="285"/>
      <c r="M112" s="285"/>
      <c r="N112" s="285"/>
      <c r="O112" s="285"/>
      <c r="P112" s="285"/>
      <c r="Q112" s="285"/>
      <c r="R112" s="285"/>
      <c r="S112" s="285"/>
      <c r="T112" s="339">
        <v>-12</v>
      </c>
      <c r="U112" s="288"/>
      <c r="V112" s="5"/>
    </row>
    <row r="113" spans="1:22" ht="15.6" x14ac:dyDescent="0.3">
      <c r="A113" s="337">
        <f t="shared" si="0"/>
        <v>9</v>
      </c>
      <c r="B113" s="285" t="s">
        <v>46</v>
      </c>
      <c r="C113" s="285"/>
      <c r="D113" s="285"/>
      <c r="E113" s="285"/>
      <c r="F113" s="285"/>
      <c r="G113" s="285"/>
      <c r="H113" s="285"/>
      <c r="I113" s="285"/>
      <c r="J113" s="285"/>
      <c r="K113" s="285"/>
      <c r="L113" s="285"/>
      <c r="M113" s="285"/>
      <c r="N113" s="285"/>
      <c r="O113" s="285"/>
      <c r="P113" s="285"/>
      <c r="Q113" s="285"/>
      <c r="R113" s="338">
        <f>-T113</f>
        <v>196</v>
      </c>
      <c r="S113" s="285"/>
      <c r="T113" s="339">
        <v>-196</v>
      </c>
      <c r="U113" s="288"/>
      <c r="V113" s="5"/>
    </row>
    <row r="114" spans="1:22" ht="15.6" x14ac:dyDescent="0.3">
      <c r="A114" s="337">
        <f t="shared" si="0"/>
        <v>10</v>
      </c>
      <c r="B114" s="285" t="s">
        <v>131</v>
      </c>
      <c r="C114" s="285"/>
      <c r="D114" s="285"/>
      <c r="E114" s="285"/>
      <c r="F114" s="285"/>
      <c r="G114" s="285"/>
      <c r="H114" s="285"/>
      <c r="I114" s="285"/>
      <c r="J114" s="285"/>
      <c r="K114" s="285"/>
      <c r="L114" s="285"/>
      <c r="M114" s="285"/>
      <c r="N114" s="285"/>
      <c r="O114" s="285"/>
      <c r="P114" s="285"/>
      <c r="Q114" s="285"/>
      <c r="R114" s="285"/>
      <c r="S114" s="285"/>
      <c r="T114" s="339">
        <v>0</v>
      </c>
      <c r="U114" s="288"/>
      <c r="V114" s="5"/>
    </row>
    <row r="115" spans="1:22" ht="15.6" x14ac:dyDescent="0.3">
      <c r="A115" s="337">
        <f t="shared" si="0"/>
        <v>11</v>
      </c>
      <c r="B115" s="285" t="s">
        <v>36</v>
      </c>
      <c r="C115" s="285"/>
      <c r="D115" s="285"/>
      <c r="E115" s="285"/>
      <c r="F115" s="285"/>
      <c r="G115" s="285"/>
      <c r="H115" s="285"/>
      <c r="I115" s="285"/>
      <c r="J115" s="285"/>
      <c r="K115" s="285"/>
      <c r="L115" s="285"/>
      <c r="M115" s="285"/>
      <c r="N115" s="285"/>
      <c r="O115" s="285"/>
      <c r="P115" s="285"/>
      <c r="Q115" s="285"/>
      <c r="R115" s="285"/>
      <c r="S115" s="285"/>
      <c r="T115" s="339">
        <v>0</v>
      </c>
      <c r="U115" s="288"/>
      <c r="V115" s="5"/>
    </row>
    <row r="116" spans="1:22" ht="15.6" x14ac:dyDescent="0.3">
      <c r="A116" s="337">
        <f t="shared" si="0"/>
        <v>12</v>
      </c>
      <c r="B116" s="285" t="s">
        <v>37</v>
      </c>
      <c r="C116" s="285"/>
      <c r="D116" s="285"/>
      <c r="E116" s="285"/>
      <c r="F116" s="285"/>
      <c r="G116" s="285"/>
      <c r="H116" s="285"/>
      <c r="I116" s="285"/>
      <c r="J116" s="285"/>
      <c r="K116" s="285"/>
      <c r="L116" s="285"/>
      <c r="M116" s="285"/>
      <c r="N116" s="285"/>
      <c r="O116" s="285"/>
      <c r="P116" s="285"/>
      <c r="Q116" s="285"/>
      <c r="R116" s="285"/>
      <c r="S116" s="285"/>
      <c r="T116" s="339">
        <v>0</v>
      </c>
      <c r="U116" s="288"/>
      <c r="V116" s="5"/>
    </row>
    <row r="117" spans="1:22" ht="15.6" x14ac:dyDescent="0.3">
      <c r="A117" s="337">
        <f t="shared" si="0"/>
        <v>13</v>
      </c>
      <c r="B117" s="285" t="s">
        <v>155</v>
      </c>
      <c r="C117" s="285"/>
      <c r="D117" s="285"/>
      <c r="E117" s="285"/>
      <c r="F117" s="285"/>
      <c r="G117" s="285"/>
      <c r="H117" s="285"/>
      <c r="I117" s="285"/>
      <c r="J117" s="285"/>
      <c r="K117" s="285"/>
      <c r="L117" s="285"/>
      <c r="M117" s="285"/>
      <c r="N117" s="285"/>
      <c r="O117" s="285"/>
      <c r="P117" s="285"/>
      <c r="Q117" s="285"/>
      <c r="R117" s="285"/>
      <c r="S117" s="285"/>
      <c r="T117" s="339">
        <v>-179</v>
      </c>
      <c r="U117" s="288"/>
      <c r="V117" s="5"/>
    </row>
    <row r="118" spans="1:22" ht="15.6" x14ac:dyDescent="0.3">
      <c r="A118" s="337">
        <f t="shared" si="0"/>
        <v>14</v>
      </c>
      <c r="B118" s="285" t="s">
        <v>132</v>
      </c>
      <c r="C118" s="285"/>
      <c r="D118" s="285"/>
      <c r="E118" s="285"/>
      <c r="F118" s="285"/>
      <c r="G118" s="285"/>
      <c r="H118" s="285"/>
      <c r="I118" s="285"/>
      <c r="J118" s="285"/>
      <c r="K118" s="285"/>
      <c r="L118" s="285"/>
      <c r="M118" s="285"/>
      <c r="N118" s="285"/>
      <c r="O118" s="285"/>
      <c r="P118" s="285"/>
      <c r="Q118" s="285"/>
      <c r="R118" s="285"/>
      <c r="S118" s="285"/>
      <c r="T118" s="339">
        <f>-T100-SUM(T102:T117)</f>
        <v>-1379</v>
      </c>
      <c r="U118" s="288"/>
      <c r="V118" s="5"/>
    </row>
    <row r="119" spans="1:22" ht="15.6" x14ac:dyDescent="0.3">
      <c r="A119" s="284"/>
      <c r="B119" s="343" t="s">
        <v>38</v>
      </c>
      <c r="C119" s="311"/>
      <c r="D119" s="311"/>
      <c r="E119" s="311"/>
      <c r="F119" s="311"/>
      <c r="G119" s="311"/>
      <c r="H119" s="311"/>
      <c r="I119" s="311"/>
      <c r="J119" s="311"/>
      <c r="K119" s="311"/>
      <c r="L119" s="311"/>
      <c r="M119" s="311"/>
      <c r="N119" s="311"/>
      <c r="O119" s="311"/>
      <c r="P119" s="311"/>
      <c r="Q119" s="311"/>
      <c r="R119" s="311"/>
      <c r="S119" s="311"/>
      <c r="T119" s="346"/>
      <c r="U119" s="317"/>
      <c r="V119" s="5"/>
    </row>
    <row r="120" spans="1:22" ht="15.6" x14ac:dyDescent="0.3">
      <c r="A120" s="337"/>
      <c r="B120" s="285" t="s">
        <v>180</v>
      </c>
      <c r="C120" s="285"/>
      <c r="D120" s="285"/>
      <c r="E120" s="285"/>
      <c r="F120" s="285"/>
      <c r="G120" s="285"/>
      <c r="H120" s="285"/>
      <c r="I120" s="285"/>
      <c r="J120" s="285"/>
      <c r="K120" s="285"/>
      <c r="L120" s="285"/>
      <c r="M120" s="285"/>
      <c r="N120" s="285"/>
      <c r="O120" s="285"/>
      <c r="P120" s="285"/>
      <c r="Q120" s="285"/>
      <c r="R120" s="338">
        <f>-R178</f>
        <v>0</v>
      </c>
      <c r="S120" s="338"/>
      <c r="T120" s="339"/>
      <c r="U120" s="288"/>
      <c r="V120" s="5"/>
    </row>
    <row r="121" spans="1:22" ht="15.6" x14ac:dyDescent="0.3">
      <c r="A121" s="337"/>
      <c r="B121" s="285" t="s">
        <v>181</v>
      </c>
      <c r="C121" s="285"/>
      <c r="D121" s="285"/>
      <c r="E121" s="285"/>
      <c r="F121" s="285"/>
      <c r="G121" s="285"/>
      <c r="H121" s="285"/>
      <c r="I121" s="285"/>
      <c r="J121" s="285"/>
      <c r="K121" s="285"/>
      <c r="L121" s="285"/>
      <c r="M121" s="285"/>
      <c r="N121" s="285"/>
      <c r="O121" s="285"/>
      <c r="P121" s="285"/>
      <c r="Q121" s="285"/>
      <c r="R121" s="338">
        <v>0</v>
      </c>
      <c r="S121" s="338"/>
      <c r="T121" s="339"/>
      <c r="U121" s="288"/>
      <c r="V121" s="5"/>
    </row>
    <row r="122" spans="1:22" ht="15.6" x14ac:dyDescent="0.3">
      <c r="A122" s="337"/>
      <c r="B122" s="285" t="s">
        <v>39</v>
      </c>
      <c r="C122" s="285"/>
      <c r="D122" s="285"/>
      <c r="E122" s="285"/>
      <c r="F122" s="285"/>
      <c r="G122" s="285"/>
      <c r="H122" s="285"/>
      <c r="I122" s="285"/>
      <c r="J122" s="285"/>
      <c r="K122" s="285"/>
      <c r="L122" s="285"/>
      <c r="M122" s="285"/>
      <c r="N122" s="285"/>
      <c r="O122" s="285"/>
      <c r="P122" s="285"/>
      <c r="Q122" s="285"/>
      <c r="R122" s="338">
        <f>-Q178</f>
        <v>-128</v>
      </c>
      <c r="S122" s="338"/>
      <c r="T122" s="339"/>
      <c r="U122" s="288"/>
      <c r="V122" s="5"/>
    </row>
    <row r="123" spans="1:22" ht="15.6" x14ac:dyDescent="0.3">
      <c r="A123" s="337"/>
      <c r="B123" s="285" t="s">
        <v>205</v>
      </c>
      <c r="C123" s="285"/>
      <c r="D123" s="285"/>
      <c r="E123" s="285"/>
      <c r="F123" s="285"/>
      <c r="G123" s="285"/>
      <c r="H123" s="285"/>
      <c r="I123" s="285"/>
      <c r="J123" s="285"/>
      <c r="K123" s="285"/>
      <c r="L123" s="285"/>
      <c r="M123" s="285"/>
      <c r="N123" s="285"/>
      <c r="O123" s="285"/>
      <c r="P123" s="285"/>
      <c r="Q123" s="285"/>
      <c r="R123" s="338">
        <v>-3084</v>
      </c>
      <c r="S123" s="338"/>
      <c r="T123" s="339"/>
      <c r="U123" s="288"/>
      <c r="V123" s="5"/>
    </row>
    <row r="124" spans="1:22" ht="15.6" x14ac:dyDescent="0.3">
      <c r="A124" s="337"/>
      <c r="B124" s="285" t="s">
        <v>203</v>
      </c>
      <c r="C124" s="285"/>
      <c r="D124" s="285"/>
      <c r="E124" s="285"/>
      <c r="F124" s="285"/>
      <c r="G124" s="285"/>
      <c r="H124" s="285"/>
      <c r="I124" s="285"/>
      <c r="J124" s="285"/>
      <c r="K124" s="285"/>
      <c r="L124" s="285"/>
      <c r="M124" s="285"/>
      <c r="N124" s="285"/>
      <c r="O124" s="285"/>
      <c r="P124" s="285"/>
      <c r="Q124" s="285"/>
      <c r="R124" s="338">
        <v>-813</v>
      </c>
      <c r="S124" s="338"/>
      <c r="T124" s="339"/>
      <c r="U124" s="288"/>
      <c r="V124" s="5"/>
    </row>
    <row r="125" spans="1:22" ht="15.6" x14ac:dyDescent="0.3">
      <c r="A125" s="337"/>
      <c r="B125" s="285" t="s">
        <v>202</v>
      </c>
      <c r="C125" s="285"/>
      <c r="D125" s="285"/>
      <c r="E125" s="285"/>
      <c r="F125" s="285"/>
      <c r="G125" s="285"/>
      <c r="H125" s="285"/>
      <c r="I125" s="285"/>
      <c r="J125" s="285"/>
      <c r="K125" s="285"/>
      <c r="L125" s="285"/>
      <c r="M125" s="285"/>
      <c r="N125" s="285"/>
      <c r="O125" s="285"/>
      <c r="P125" s="285"/>
      <c r="Q125" s="285"/>
      <c r="R125" s="338">
        <v>-819</v>
      </c>
      <c r="S125" s="338"/>
      <c r="T125" s="339"/>
      <c r="U125" s="288"/>
      <c r="V125" s="5"/>
    </row>
    <row r="126" spans="1:22" ht="15.6" x14ac:dyDescent="0.3">
      <c r="A126" s="337"/>
      <c r="B126" s="285" t="s">
        <v>197</v>
      </c>
      <c r="C126" s="285"/>
      <c r="D126" s="285"/>
      <c r="E126" s="285"/>
      <c r="F126" s="285"/>
      <c r="G126" s="285"/>
      <c r="H126" s="285"/>
      <c r="I126" s="285"/>
      <c r="J126" s="285"/>
      <c r="K126" s="285"/>
      <c r="L126" s="285"/>
      <c r="M126" s="285"/>
      <c r="N126" s="285"/>
      <c r="O126" s="285"/>
      <c r="P126" s="285"/>
      <c r="Q126" s="285"/>
      <c r="R126" s="338">
        <v>-206</v>
      </c>
      <c r="S126" s="338"/>
      <c r="T126" s="339"/>
      <c r="U126" s="288"/>
      <c r="V126" s="5"/>
    </row>
    <row r="127" spans="1:22" ht="15.6" x14ac:dyDescent="0.3">
      <c r="A127" s="337"/>
      <c r="B127" s="285" t="s">
        <v>196</v>
      </c>
      <c r="C127" s="285"/>
      <c r="D127" s="285"/>
      <c r="E127" s="285"/>
      <c r="F127" s="285"/>
      <c r="G127" s="285"/>
      <c r="H127" s="285"/>
      <c r="I127" s="285"/>
      <c r="J127" s="285"/>
      <c r="K127" s="285"/>
      <c r="L127" s="285"/>
      <c r="M127" s="285"/>
      <c r="N127" s="285"/>
      <c r="O127" s="285"/>
      <c r="P127" s="285"/>
      <c r="Q127" s="285"/>
      <c r="R127" s="338">
        <v>-729</v>
      </c>
      <c r="S127" s="338"/>
      <c r="T127" s="339"/>
      <c r="U127" s="288"/>
      <c r="V127" s="5"/>
    </row>
    <row r="128" spans="1:22" ht="15.6" x14ac:dyDescent="0.3">
      <c r="A128" s="337"/>
      <c r="B128" s="285" t="s">
        <v>195</v>
      </c>
      <c r="C128" s="285"/>
      <c r="D128" s="285"/>
      <c r="E128" s="285"/>
      <c r="F128" s="285"/>
      <c r="G128" s="285"/>
      <c r="H128" s="285"/>
      <c r="I128" s="285"/>
      <c r="J128" s="285"/>
      <c r="K128" s="285"/>
      <c r="L128" s="285"/>
      <c r="M128" s="285"/>
      <c r="N128" s="285"/>
      <c r="O128" s="285"/>
      <c r="P128" s="285"/>
      <c r="Q128" s="285"/>
      <c r="R128" s="338">
        <v>-774</v>
      </c>
      <c r="S128" s="338"/>
      <c r="T128" s="339"/>
      <c r="U128" s="288"/>
      <c r="V128" s="5"/>
    </row>
    <row r="129" spans="1:22" ht="15.6" x14ac:dyDescent="0.3">
      <c r="A129" s="337"/>
      <c r="B129" s="285" t="s">
        <v>40</v>
      </c>
      <c r="C129" s="285"/>
      <c r="D129" s="285"/>
      <c r="E129" s="285"/>
      <c r="F129" s="285"/>
      <c r="G129" s="285"/>
      <c r="H129" s="285"/>
      <c r="I129" s="285"/>
      <c r="J129" s="285"/>
      <c r="K129" s="285"/>
      <c r="L129" s="285"/>
      <c r="M129" s="285"/>
      <c r="N129" s="285"/>
      <c r="O129" s="285"/>
      <c r="P129" s="285"/>
      <c r="Q129" s="285"/>
      <c r="R129" s="338">
        <f>SUM(R120:R128)</f>
        <v>-6553</v>
      </c>
      <c r="S129" s="338"/>
      <c r="T129" s="338">
        <f>SUM(T101:T127)</f>
        <v>-3107</v>
      </c>
      <c r="U129" s="288"/>
      <c r="V129" s="5"/>
    </row>
    <row r="130" spans="1:22" ht="15.6" x14ac:dyDescent="0.3">
      <c r="A130" s="337"/>
      <c r="B130" s="285" t="s">
        <v>41</v>
      </c>
      <c r="C130" s="285"/>
      <c r="D130" s="285"/>
      <c r="E130" s="285"/>
      <c r="F130" s="285"/>
      <c r="G130" s="285"/>
      <c r="H130" s="285"/>
      <c r="I130" s="285"/>
      <c r="J130" s="285"/>
      <c r="K130" s="285"/>
      <c r="L130" s="285"/>
      <c r="M130" s="285"/>
      <c r="N130" s="285"/>
      <c r="O130" s="285"/>
      <c r="P130" s="285"/>
      <c r="Q130" s="285"/>
      <c r="R130" s="338">
        <f>R100+R129+R113</f>
        <v>0</v>
      </c>
      <c r="S130" s="338"/>
      <c r="T130" s="338">
        <f>T100+T129</f>
        <v>0</v>
      </c>
      <c r="U130" s="288"/>
      <c r="V130" s="5"/>
    </row>
    <row r="131" spans="1:22" ht="15.6" x14ac:dyDescent="0.3">
      <c r="A131" s="256"/>
      <c r="B131" s="281"/>
      <c r="C131" s="281"/>
      <c r="D131" s="281"/>
      <c r="E131" s="281"/>
      <c r="F131" s="281"/>
      <c r="G131" s="281"/>
      <c r="H131" s="281"/>
      <c r="I131" s="281"/>
      <c r="J131" s="281"/>
      <c r="K131" s="281"/>
      <c r="L131" s="281"/>
      <c r="M131" s="281"/>
      <c r="N131" s="281"/>
      <c r="O131" s="281"/>
      <c r="P131" s="281"/>
      <c r="Q131" s="281"/>
      <c r="R131" s="340"/>
      <c r="S131" s="340"/>
      <c r="T131" s="340"/>
      <c r="U131" s="281"/>
      <c r="V131" s="5"/>
    </row>
    <row r="132" spans="1:22" ht="15.6" x14ac:dyDescent="0.3">
      <c r="A132" s="256"/>
      <c r="B132" s="231"/>
      <c r="C132" s="231"/>
      <c r="D132" s="231"/>
      <c r="E132" s="231"/>
      <c r="F132" s="231"/>
      <c r="G132" s="231"/>
      <c r="H132" s="231"/>
      <c r="I132" s="231"/>
      <c r="J132" s="231"/>
      <c r="K132" s="231"/>
      <c r="L132" s="231"/>
      <c r="M132" s="231"/>
      <c r="N132" s="231"/>
      <c r="O132" s="231"/>
      <c r="P132" s="231"/>
      <c r="Q132" s="231"/>
      <c r="R132" s="231"/>
      <c r="S132" s="231"/>
      <c r="T132" s="257"/>
      <c r="U132" s="231"/>
      <c r="V132" s="5"/>
    </row>
    <row r="133" spans="1:22" ht="18" thickBot="1" x14ac:dyDescent="0.35">
      <c r="A133" s="258"/>
      <c r="B133" s="246" t="str">
        <f>B64</f>
        <v>PM11 INVESTOR REPORT QUARTER ENDING JUNE 2016</v>
      </c>
      <c r="C133" s="247"/>
      <c r="D133" s="247"/>
      <c r="E133" s="247"/>
      <c r="F133" s="247"/>
      <c r="G133" s="247"/>
      <c r="H133" s="247"/>
      <c r="I133" s="247"/>
      <c r="J133" s="247"/>
      <c r="K133" s="247"/>
      <c r="L133" s="247"/>
      <c r="M133" s="247"/>
      <c r="N133" s="247"/>
      <c r="O133" s="247"/>
      <c r="P133" s="247"/>
      <c r="Q133" s="247"/>
      <c r="R133" s="247"/>
      <c r="S133" s="247"/>
      <c r="T133" s="259"/>
      <c r="U133" s="249"/>
      <c r="V133" s="5"/>
    </row>
    <row r="134" spans="1:22" ht="15.6" x14ac:dyDescent="0.3">
      <c r="A134" s="260"/>
      <c r="B134" s="399" t="s">
        <v>42</v>
      </c>
      <c r="C134" s="261"/>
      <c r="D134" s="261"/>
      <c r="E134" s="261"/>
      <c r="F134" s="261"/>
      <c r="G134" s="261"/>
      <c r="H134" s="261"/>
      <c r="I134" s="261"/>
      <c r="J134" s="261"/>
      <c r="K134" s="261"/>
      <c r="L134" s="261"/>
      <c r="M134" s="261"/>
      <c r="N134" s="261"/>
      <c r="O134" s="261"/>
      <c r="P134" s="261"/>
      <c r="Q134" s="261"/>
      <c r="R134" s="261"/>
      <c r="S134" s="261"/>
      <c r="T134" s="262"/>
      <c r="U134" s="261"/>
      <c r="V134" s="5"/>
    </row>
    <row r="135" spans="1:22" ht="15.6" x14ac:dyDescent="0.3">
      <c r="A135" s="175"/>
      <c r="B135" s="187"/>
      <c r="C135" s="177"/>
      <c r="D135" s="177"/>
      <c r="E135" s="177"/>
      <c r="F135" s="177"/>
      <c r="G135" s="177"/>
      <c r="H135" s="177"/>
      <c r="I135" s="177"/>
      <c r="J135" s="177"/>
      <c r="K135" s="177"/>
      <c r="L135" s="177"/>
      <c r="M135" s="177"/>
      <c r="N135" s="177"/>
      <c r="O135" s="177"/>
      <c r="P135" s="177"/>
      <c r="Q135" s="177"/>
      <c r="R135" s="177"/>
      <c r="S135" s="177"/>
      <c r="T135" s="194"/>
      <c r="U135" s="177"/>
      <c r="V135" s="5"/>
    </row>
    <row r="136" spans="1:22" ht="15.6" x14ac:dyDescent="0.3">
      <c r="A136" s="175"/>
      <c r="B136" s="201" t="s">
        <v>43</v>
      </c>
      <c r="C136" s="177"/>
      <c r="D136" s="177"/>
      <c r="E136" s="177"/>
      <c r="F136" s="177"/>
      <c r="G136" s="177"/>
      <c r="H136" s="177"/>
      <c r="I136" s="177"/>
      <c r="J136" s="177"/>
      <c r="K136" s="177"/>
      <c r="L136" s="177"/>
      <c r="M136" s="177"/>
      <c r="N136" s="177"/>
      <c r="O136" s="177"/>
      <c r="P136" s="177"/>
      <c r="Q136" s="177"/>
      <c r="R136" s="177"/>
      <c r="S136" s="177"/>
      <c r="T136" s="194"/>
      <c r="U136" s="177"/>
      <c r="V136" s="5"/>
    </row>
    <row r="137" spans="1:22" ht="15.6" x14ac:dyDescent="0.3">
      <c r="A137" s="284"/>
      <c r="B137" s="285" t="s">
        <v>44</v>
      </c>
      <c r="C137" s="285"/>
      <c r="D137" s="285"/>
      <c r="E137" s="285"/>
      <c r="F137" s="285"/>
      <c r="G137" s="285"/>
      <c r="H137" s="285"/>
      <c r="I137" s="285"/>
      <c r="J137" s="285"/>
      <c r="K137" s="285"/>
      <c r="L137" s="285"/>
      <c r="M137" s="285"/>
      <c r="N137" s="285"/>
      <c r="O137" s="285"/>
      <c r="P137" s="285"/>
      <c r="Q137" s="285"/>
      <c r="R137" s="285"/>
      <c r="S137" s="285"/>
      <c r="T137" s="339">
        <f>+T34*0.019</f>
        <v>19000.95</v>
      </c>
      <c r="U137" s="288"/>
      <c r="V137" s="5"/>
    </row>
    <row r="138" spans="1:22" ht="15.6" x14ac:dyDescent="0.3">
      <c r="A138" s="284"/>
      <c r="B138" s="285" t="s">
        <v>45</v>
      </c>
      <c r="C138" s="285"/>
      <c r="D138" s="285"/>
      <c r="E138" s="285"/>
      <c r="F138" s="285"/>
      <c r="G138" s="285"/>
      <c r="H138" s="285"/>
      <c r="I138" s="285"/>
      <c r="J138" s="285"/>
      <c r="K138" s="285"/>
      <c r="L138" s="285"/>
      <c r="M138" s="285"/>
      <c r="N138" s="285"/>
      <c r="O138" s="285"/>
      <c r="P138" s="285"/>
      <c r="Q138" s="285"/>
      <c r="R138" s="285"/>
      <c r="S138" s="285"/>
      <c r="T138" s="339">
        <v>19001</v>
      </c>
      <c r="U138" s="288"/>
      <c r="V138" s="5"/>
    </row>
    <row r="139" spans="1:22" ht="15.6" x14ac:dyDescent="0.3">
      <c r="A139" s="284"/>
      <c r="B139" s="285" t="s">
        <v>142</v>
      </c>
      <c r="C139" s="285"/>
      <c r="D139" s="285"/>
      <c r="E139" s="285"/>
      <c r="F139" s="285"/>
      <c r="G139" s="285"/>
      <c r="H139" s="285"/>
      <c r="I139" s="285"/>
      <c r="J139" s="285"/>
      <c r="K139" s="285"/>
      <c r="L139" s="285"/>
      <c r="M139" s="285"/>
      <c r="N139" s="285"/>
      <c r="O139" s="285"/>
      <c r="P139" s="285"/>
      <c r="Q139" s="285"/>
      <c r="R139" s="285"/>
      <c r="S139" s="285"/>
      <c r="T139" s="339">
        <v>0</v>
      </c>
      <c r="U139" s="288"/>
      <c r="V139" s="5"/>
    </row>
    <row r="140" spans="1:22" ht="15.6" x14ac:dyDescent="0.3">
      <c r="A140" s="284"/>
      <c r="B140" s="285" t="s">
        <v>129</v>
      </c>
      <c r="C140" s="285"/>
      <c r="D140" s="285"/>
      <c r="E140" s="285"/>
      <c r="F140" s="285"/>
      <c r="G140" s="285"/>
      <c r="H140" s="285"/>
      <c r="I140" s="285"/>
      <c r="J140" s="285"/>
      <c r="K140" s="285"/>
      <c r="L140" s="285"/>
      <c r="M140" s="285"/>
      <c r="N140" s="285"/>
      <c r="O140" s="285"/>
      <c r="P140" s="285"/>
      <c r="Q140" s="285"/>
      <c r="R140" s="285"/>
      <c r="S140" s="285"/>
      <c r="T140" s="339">
        <v>0</v>
      </c>
      <c r="U140" s="288"/>
      <c r="V140" s="5"/>
    </row>
    <row r="141" spans="1:22" ht="15.6" x14ac:dyDescent="0.3">
      <c r="A141" s="284"/>
      <c r="B141" s="285" t="s">
        <v>130</v>
      </c>
      <c r="C141" s="285"/>
      <c r="D141" s="285"/>
      <c r="E141" s="285"/>
      <c r="F141" s="285"/>
      <c r="G141" s="285"/>
      <c r="H141" s="285"/>
      <c r="I141" s="285"/>
      <c r="J141" s="285"/>
      <c r="K141" s="285"/>
      <c r="L141" s="285"/>
      <c r="M141" s="285"/>
      <c r="N141" s="285"/>
      <c r="O141" s="285"/>
      <c r="P141" s="285"/>
      <c r="Q141" s="285"/>
      <c r="R141" s="285"/>
      <c r="S141" s="285"/>
      <c r="T141" s="339">
        <v>0</v>
      </c>
      <c r="U141" s="288"/>
      <c r="V141" s="5"/>
    </row>
    <row r="142" spans="1:22" ht="15.6" x14ac:dyDescent="0.3">
      <c r="A142" s="284"/>
      <c r="B142" s="285" t="s">
        <v>182</v>
      </c>
      <c r="C142" s="285"/>
      <c r="D142" s="285"/>
      <c r="E142" s="285"/>
      <c r="F142" s="285"/>
      <c r="G142" s="285"/>
      <c r="H142" s="285"/>
      <c r="I142" s="285"/>
      <c r="J142" s="285"/>
      <c r="K142" s="285"/>
      <c r="L142" s="285"/>
      <c r="M142" s="285"/>
      <c r="N142" s="285"/>
      <c r="O142" s="285"/>
      <c r="P142" s="285"/>
      <c r="Q142" s="285"/>
      <c r="R142" s="285"/>
      <c r="S142" s="285"/>
      <c r="T142" s="339">
        <v>0</v>
      </c>
      <c r="U142" s="288"/>
      <c r="V142" s="5"/>
    </row>
    <row r="143" spans="1:22" ht="15.6" x14ac:dyDescent="0.3">
      <c r="A143" s="284"/>
      <c r="B143" s="285" t="s">
        <v>46</v>
      </c>
      <c r="C143" s="285"/>
      <c r="D143" s="285"/>
      <c r="E143" s="285"/>
      <c r="F143" s="285"/>
      <c r="G143" s="285"/>
      <c r="H143" s="285"/>
      <c r="I143" s="285"/>
      <c r="J143" s="285"/>
      <c r="K143" s="285"/>
      <c r="L143" s="285"/>
      <c r="M143" s="285"/>
      <c r="N143" s="285"/>
      <c r="O143" s="285"/>
      <c r="P143" s="285"/>
      <c r="Q143" s="285"/>
      <c r="R143" s="285"/>
      <c r="S143" s="285"/>
      <c r="T143" s="339">
        <v>0</v>
      </c>
      <c r="U143" s="288"/>
      <c r="V143" s="5"/>
    </row>
    <row r="144" spans="1:22" ht="15.6" x14ac:dyDescent="0.3">
      <c r="A144" s="284"/>
      <c r="B144" s="285" t="s">
        <v>135</v>
      </c>
      <c r="C144" s="285"/>
      <c r="D144" s="285"/>
      <c r="E144" s="285"/>
      <c r="F144" s="285"/>
      <c r="G144" s="285"/>
      <c r="H144" s="285"/>
      <c r="I144" s="285"/>
      <c r="J144" s="285"/>
      <c r="K144" s="285"/>
      <c r="L144" s="285"/>
      <c r="M144" s="285"/>
      <c r="N144" s="285"/>
      <c r="O144" s="285"/>
      <c r="P144" s="285"/>
      <c r="Q144" s="285"/>
      <c r="R144" s="285"/>
      <c r="S144" s="285"/>
      <c r="T144" s="339">
        <v>0</v>
      </c>
      <c r="U144" s="288"/>
      <c r="V144" s="5"/>
    </row>
    <row r="145" spans="1:23" ht="15.6" x14ac:dyDescent="0.3">
      <c r="A145" s="284"/>
      <c r="B145" s="285" t="s">
        <v>251</v>
      </c>
      <c r="C145" s="285"/>
      <c r="D145" s="285"/>
      <c r="E145" s="285"/>
      <c r="F145" s="285"/>
      <c r="G145" s="285"/>
      <c r="H145" s="285"/>
      <c r="I145" s="285"/>
      <c r="J145" s="285"/>
      <c r="K145" s="285"/>
      <c r="L145" s="285"/>
      <c r="M145" s="285"/>
      <c r="N145" s="285"/>
      <c r="O145" s="285"/>
      <c r="P145" s="285"/>
      <c r="Q145" s="285"/>
      <c r="R145" s="285"/>
      <c r="S145" s="285"/>
      <c r="T145" s="339">
        <v>0</v>
      </c>
      <c r="U145" s="288"/>
      <c r="V145" s="5"/>
      <c r="W145" s="109"/>
    </row>
    <row r="146" spans="1:23" ht="15.6" x14ac:dyDescent="0.3">
      <c r="A146" s="284"/>
      <c r="B146" s="285" t="s">
        <v>47</v>
      </c>
      <c r="C146" s="285"/>
      <c r="D146" s="285"/>
      <c r="E146" s="285"/>
      <c r="F146" s="285"/>
      <c r="G146" s="285"/>
      <c r="H146" s="285"/>
      <c r="I146" s="285"/>
      <c r="J146" s="285"/>
      <c r="K146" s="285"/>
      <c r="L146" s="285"/>
      <c r="M146" s="285"/>
      <c r="N146" s="285"/>
      <c r="O146" s="285"/>
      <c r="P146" s="285"/>
      <c r="Q146" s="285"/>
      <c r="R146" s="285"/>
      <c r="S146" s="285"/>
      <c r="T146" s="339">
        <f>SUM(T138:T145)</f>
        <v>19001</v>
      </c>
      <c r="U146" s="288"/>
      <c r="V146" s="5"/>
    </row>
    <row r="147" spans="1:23" ht="15.6" x14ac:dyDescent="0.3">
      <c r="A147" s="284"/>
      <c r="B147" s="311"/>
      <c r="C147" s="311"/>
      <c r="D147" s="311"/>
      <c r="E147" s="311"/>
      <c r="F147" s="311"/>
      <c r="G147" s="311"/>
      <c r="H147" s="311"/>
      <c r="I147" s="311"/>
      <c r="J147" s="311"/>
      <c r="K147" s="311"/>
      <c r="L147" s="311"/>
      <c r="M147" s="311"/>
      <c r="N147" s="311"/>
      <c r="O147" s="311"/>
      <c r="P147" s="311"/>
      <c r="Q147" s="311"/>
      <c r="R147" s="311"/>
      <c r="S147" s="311"/>
      <c r="T147" s="345"/>
      <c r="U147" s="317"/>
      <c r="V147" s="5"/>
    </row>
    <row r="148" spans="1:23" ht="15.6" x14ac:dyDescent="0.3">
      <c r="A148" s="284"/>
      <c r="B148" s="343" t="s">
        <v>262</v>
      </c>
      <c r="C148" s="311"/>
      <c r="D148" s="311"/>
      <c r="E148" s="311"/>
      <c r="F148" s="311"/>
      <c r="G148" s="311"/>
      <c r="H148" s="311"/>
      <c r="I148" s="311"/>
      <c r="J148" s="311"/>
      <c r="K148" s="311"/>
      <c r="L148" s="311"/>
      <c r="M148" s="311"/>
      <c r="N148" s="311"/>
      <c r="O148" s="311"/>
      <c r="P148" s="311"/>
      <c r="Q148" s="311"/>
      <c r="R148" s="311"/>
      <c r="S148" s="311"/>
      <c r="T148" s="345"/>
      <c r="U148" s="317"/>
      <c r="V148" s="5"/>
    </row>
    <row r="149" spans="1:23" ht="15.6" x14ac:dyDescent="0.3">
      <c r="A149" s="284"/>
      <c r="B149" s="285" t="s">
        <v>263</v>
      </c>
      <c r="C149" s="285"/>
      <c r="D149" s="285"/>
      <c r="E149" s="285"/>
      <c r="F149" s="285"/>
      <c r="G149" s="285"/>
      <c r="H149" s="285"/>
      <c r="I149" s="285"/>
      <c r="J149" s="285"/>
      <c r="K149" s="285"/>
      <c r="L149" s="285"/>
      <c r="M149" s="285"/>
      <c r="N149" s="285"/>
      <c r="O149" s="285"/>
      <c r="P149" s="285"/>
      <c r="Q149" s="285"/>
      <c r="R149" s="285"/>
      <c r="S149" s="285"/>
      <c r="T149" s="339">
        <v>0</v>
      </c>
      <c r="U149" s="288"/>
      <c r="V149" s="5"/>
    </row>
    <row r="150" spans="1:23" ht="15.6" x14ac:dyDescent="0.3">
      <c r="A150" s="284"/>
      <c r="B150" s="285" t="s">
        <v>179</v>
      </c>
      <c r="C150" s="285"/>
      <c r="D150" s="285"/>
      <c r="E150" s="285"/>
      <c r="F150" s="285"/>
      <c r="G150" s="285"/>
      <c r="H150" s="285"/>
      <c r="I150" s="285"/>
      <c r="J150" s="285"/>
      <c r="K150" s="285"/>
      <c r="L150" s="285"/>
      <c r="M150" s="285"/>
      <c r="N150" s="285"/>
      <c r="O150" s="285"/>
      <c r="P150" s="285"/>
      <c r="Q150" s="285"/>
      <c r="R150" s="285"/>
      <c r="S150" s="285"/>
      <c r="T150" s="339">
        <v>0</v>
      </c>
      <c r="U150" s="288"/>
      <c r="V150" s="5"/>
    </row>
    <row r="151" spans="1:23" ht="15.6" x14ac:dyDescent="0.3">
      <c r="A151" s="284"/>
      <c r="B151" s="285" t="s">
        <v>264</v>
      </c>
      <c r="C151" s="285"/>
      <c r="D151" s="285"/>
      <c r="E151" s="285"/>
      <c r="F151" s="285"/>
      <c r="G151" s="285"/>
      <c r="H151" s="285"/>
      <c r="I151" s="285"/>
      <c r="J151" s="285"/>
      <c r="K151" s="285"/>
      <c r="L151" s="285"/>
      <c r="M151" s="285"/>
      <c r="N151" s="285"/>
      <c r="O151" s="285"/>
      <c r="P151" s="285"/>
      <c r="Q151" s="285"/>
      <c r="R151" s="285"/>
      <c r="S151" s="285"/>
      <c r="T151" s="339">
        <v>0</v>
      </c>
      <c r="U151" s="288"/>
      <c r="V151" s="5"/>
    </row>
    <row r="152" spans="1:23" ht="15.6" x14ac:dyDescent="0.3">
      <c r="A152" s="284"/>
      <c r="B152" s="285"/>
      <c r="C152" s="285"/>
      <c r="D152" s="285"/>
      <c r="E152" s="285"/>
      <c r="F152" s="285"/>
      <c r="G152" s="285"/>
      <c r="H152" s="285"/>
      <c r="I152" s="285"/>
      <c r="J152" s="285"/>
      <c r="K152" s="285"/>
      <c r="L152" s="285"/>
      <c r="M152" s="285"/>
      <c r="N152" s="285"/>
      <c r="O152" s="285"/>
      <c r="P152" s="285"/>
      <c r="Q152" s="285"/>
      <c r="R152" s="285"/>
      <c r="S152" s="285"/>
      <c r="T152" s="339"/>
      <c r="U152" s="288"/>
      <c r="V152" s="5"/>
    </row>
    <row r="153" spans="1:23" ht="15.6" x14ac:dyDescent="0.3">
      <c r="A153" s="175"/>
      <c r="B153" s="334"/>
      <c r="C153" s="334"/>
      <c r="D153" s="334"/>
      <c r="E153" s="334"/>
      <c r="F153" s="334"/>
      <c r="G153" s="334"/>
      <c r="H153" s="334"/>
      <c r="I153" s="334"/>
      <c r="J153" s="334"/>
      <c r="K153" s="334"/>
      <c r="L153" s="334"/>
      <c r="M153" s="334"/>
      <c r="N153" s="334"/>
      <c r="O153" s="334"/>
      <c r="P153" s="334"/>
      <c r="Q153" s="334"/>
      <c r="R153" s="334"/>
      <c r="S153" s="334"/>
      <c r="T153" s="347"/>
      <c r="U153" s="334"/>
      <c r="V153" s="5"/>
    </row>
    <row r="154" spans="1:23" ht="15.6" x14ac:dyDescent="0.3">
      <c r="A154" s="175"/>
      <c r="B154" s="201" t="s">
        <v>24</v>
      </c>
      <c r="C154" s="177"/>
      <c r="D154" s="177"/>
      <c r="E154" s="177"/>
      <c r="F154" s="177"/>
      <c r="G154" s="177"/>
      <c r="H154" s="177"/>
      <c r="I154" s="177"/>
      <c r="J154" s="177"/>
      <c r="K154" s="177"/>
      <c r="L154" s="177"/>
      <c r="M154" s="177"/>
      <c r="N154" s="177"/>
      <c r="O154" s="177"/>
      <c r="P154" s="177"/>
      <c r="Q154" s="177"/>
      <c r="R154" s="177"/>
      <c r="S154" s="177"/>
      <c r="T154" s="194"/>
      <c r="U154" s="177"/>
      <c r="V154" s="5"/>
    </row>
    <row r="155" spans="1:23" ht="15.6" x14ac:dyDescent="0.3">
      <c r="A155" s="284"/>
      <c r="B155" s="285" t="s">
        <v>48</v>
      </c>
      <c r="C155" s="285"/>
      <c r="D155" s="285"/>
      <c r="E155" s="285"/>
      <c r="F155" s="285"/>
      <c r="G155" s="285"/>
      <c r="H155" s="285"/>
      <c r="I155" s="285"/>
      <c r="J155" s="285"/>
      <c r="K155" s="285"/>
      <c r="L155" s="285"/>
      <c r="M155" s="285"/>
      <c r="N155" s="285"/>
      <c r="O155" s="285"/>
      <c r="P155" s="285"/>
      <c r="Q155" s="285"/>
      <c r="R155" s="285"/>
      <c r="S155" s="285"/>
      <c r="T155" s="348" t="s">
        <v>124</v>
      </c>
      <c r="U155" s="288"/>
      <c r="V155" s="5"/>
    </row>
    <row r="156" spans="1:23" ht="15.6" x14ac:dyDescent="0.3">
      <c r="A156" s="284"/>
      <c r="B156" s="285" t="s">
        <v>49</v>
      </c>
      <c r="C156" s="287"/>
      <c r="D156" s="287"/>
      <c r="E156" s="287"/>
      <c r="F156" s="287"/>
      <c r="G156" s="287"/>
      <c r="H156" s="287"/>
      <c r="I156" s="287"/>
      <c r="J156" s="287"/>
      <c r="K156" s="287"/>
      <c r="L156" s="287"/>
      <c r="M156" s="287"/>
      <c r="N156" s="287"/>
      <c r="O156" s="287"/>
      <c r="P156" s="287"/>
      <c r="Q156" s="287"/>
      <c r="R156" s="287"/>
      <c r="S156" s="287"/>
      <c r="T156" s="348" t="s">
        <v>124</v>
      </c>
      <c r="U156" s="288"/>
      <c r="V156" s="5"/>
    </row>
    <row r="157" spans="1:23" ht="15.6" x14ac:dyDescent="0.3">
      <c r="A157" s="284"/>
      <c r="B157" s="285" t="s">
        <v>50</v>
      </c>
      <c r="C157" s="285"/>
      <c r="D157" s="285"/>
      <c r="E157" s="285"/>
      <c r="F157" s="285"/>
      <c r="G157" s="285"/>
      <c r="H157" s="285"/>
      <c r="I157" s="285"/>
      <c r="J157" s="285"/>
      <c r="K157" s="285"/>
      <c r="L157" s="285"/>
      <c r="M157" s="285"/>
      <c r="N157" s="285"/>
      <c r="O157" s="285"/>
      <c r="P157" s="285"/>
      <c r="Q157" s="285"/>
      <c r="R157" s="285"/>
      <c r="S157" s="285"/>
      <c r="T157" s="348" t="s">
        <v>124</v>
      </c>
      <c r="U157" s="288"/>
      <c r="V157" s="5"/>
    </row>
    <row r="158" spans="1:23" ht="15.6" x14ac:dyDescent="0.3">
      <c r="A158" s="284"/>
      <c r="B158" s="285" t="s">
        <v>51</v>
      </c>
      <c r="C158" s="285"/>
      <c r="D158" s="285"/>
      <c r="E158" s="285"/>
      <c r="F158" s="285"/>
      <c r="G158" s="285"/>
      <c r="H158" s="285"/>
      <c r="I158" s="285"/>
      <c r="J158" s="285"/>
      <c r="K158" s="285"/>
      <c r="L158" s="285"/>
      <c r="M158" s="285"/>
      <c r="N158" s="285"/>
      <c r="O158" s="285"/>
      <c r="P158" s="285"/>
      <c r="Q158" s="285"/>
      <c r="R158" s="285"/>
      <c r="S158" s="285"/>
      <c r="T158" s="348" t="s">
        <v>124</v>
      </c>
      <c r="U158" s="288"/>
      <c r="V158" s="5"/>
    </row>
    <row r="159" spans="1:23" ht="15.6" x14ac:dyDescent="0.3">
      <c r="A159" s="175"/>
      <c r="B159" s="334"/>
      <c r="C159" s="334"/>
      <c r="D159" s="334"/>
      <c r="E159" s="334"/>
      <c r="F159" s="334"/>
      <c r="G159" s="334"/>
      <c r="H159" s="334"/>
      <c r="I159" s="334"/>
      <c r="J159" s="334"/>
      <c r="K159" s="334"/>
      <c r="L159" s="334"/>
      <c r="M159" s="334"/>
      <c r="N159" s="334"/>
      <c r="O159" s="334"/>
      <c r="P159" s="334"/>
      <c r="Q159" s="334"/>
      <c r="R159" s="334"/>
      <c r="S159" s="334"/>
      <c r="T159" s="347"/>
      <c r="U159" s="334"/>
      <c r="V159" s="5"/>
    </row>
    <row r="160" spans="1:23" ht="15.6" x14ac:dyDescent="0.3">
      <c r="A160" s="175"/>
      <c r="B160" s="201" t="s">
        <v>52</v>
      </c>
      <c r="C160" s="177"/>
      <c r="D160" s="177"/>
      <c r="E160" s="177"/>
      <c r="F160" s="177"/>
      <c r="G160" s="177"/>
      <c r="H160" s="177"/>
      <c r="I160" s="177"/>
      <c r="J160" s="177"/>
      <c r="K160" s="177"/>
      <c r="L160" s="177"/>
      <c r="M160" s="177"/>
      <c r="N160" s="177"/>
      <c r="O160" s="177"/>
      <c r="P160" s="177"/>
      <c r="Q160" s="177"/>
      <c r="R160" s="177"/>
      <c r="S160" s="177"/>
      <c r="T160" s="202"/>
      <c r="U160" s="177"/>
      <c r="V160" s="5"/>
    </row>
    <row r="161" spans="1:22" ht="15.6" x14ac:dyDescent="0.3">
      <c r="A161" s="284"/>
      <c r="B161" s="285" t="s">
        <v>53</v>
      </c>
      <c r="C161" s="285"/>
      <c r="D161" s="285"/>
      <c r="E161" s="285"/>
      <c r="F161" s="285"/>
      <c r="G161" s="285"/>
      <c r="H161" s="285"/>
      <c r="I161" s="285"/>
      <c r="J161" s="285"/>
      <c r="K161" s="285"/>
      <c r="L161" s="285"/>
      <c r="M161" s="285"/>
      <c r="N161" s="285"/>
      <c r="O161" s="285"/>
      <c r="P161" s="285"/>
      <c r="Q161" s="285"/>
      <c r="R161" s="285"/>
      <c r="S161" s="285"/>
      <c r="T161" s="339">
        <v>0</v>
      </c>
      <c r="U161" s="288"/>
      <c r="V161" s="5"/>
    </row>
    <row r="162" spans="1:22" ht="15.6" x14ac:dyDescent="0.3">
      <c r="A162" s="284"/>
      <c r="B162" s="285" t="s">
        <v>54</v>
      </c>
      <c r="C162" s="285"/>
      <c r="D162" s="285"/>
      <c r="E162" s="285"/>
      <c r="F162" s="285"/>
      <c r="G162" s="285"/>
      <c r="H162" s="285"/>
      <c r="I162" s="285"/>
      <c r="J162" s="285"/>
      <c r="K162" s="285"/>
      <c r="L162" s="285"/>
      <c r="M162" s="285"/>
      <c r="N162" s="285"/>
      <c r="O162" s="285"/>
      <c r="P162" s="285"/>
      <c r="Q162" s="285"/>
      <c r="R162" s="285"/>
      <c r="S162" s="285"/>
      <c r="T162" s="339">
        <f>R113</f>
        <v>196</v>
      </c>
      <c r="U162" s="288"/>
      <c r="V162" s="5"/>
    </row>
    <row r="163" spans="1:22" ht="15.6" x14ac:dyDescent="0.3">
      <c r="A163" s="284"/>
      <c r="B163" s="285" t="s">
        <v>55</v>
      </c>
      <c r="C163" s="285"/>
      <c r="D163" s="285"/>
      <c r="E163" s="285"/>
      <c r="F163" s="285"/>
      <c r="G163" s="285"/>
      <c r="H163" s="285"/>
      <c r="I163" s="285"/>
      <c r="J163" s="285"/>
      <c r="K163" s="285"/>
      <c r="L163" s="285"/>
      <c r="M163" s="285"/>
      <c r="N163" s="285"/>
      <c r="O163" s="285"/>
      <c r="P163" s="285"/>
      <c r="Q163" s="285"/>
      <c r="R163" s="285"/>
      <c r="S163" s="285"/>
      <c r="T163" s="339">
        <f>T162+T161</f>
        <v>196</v>
      </c>
      <c r="U163" s="288"/>
      <c r="V163" s="5"/>
    </row>
    <row r="164" spans="1:22" ht="15.6" x14ac:dyDescent="0.3">
      <c r="A164" s="284"/>
      <c r="B164" s="285" t="s">
        <v>301</v>
      </c>
      <c r="C164" s="285"/>
      <c r="D164" s="285"/>
      <c r="E164" s="285"/>
      <c r="F164" s="285"/>
      <c r="G164" s="285"/>
      <c r="H164" s="285"/>
      <c r="I164" s="285"/>
      <c r="J164" s="285"/>
      <c r="K164" s="285"/>
      <c r="L164" s="285"/>
      <c r="M164" s="285"/>
      <c r="N164" s="285"/>
      <c r="O164" s="285"/>
      <c r="P164" s="285"/>
      <c r="Q164" s="285"/>
      <c r="R164" s="285"/>
      <c r="S164" s="285"/>
      <c r="T164" s="339">
        <f>T113</f>
        <v>-196</v>
      </c>
      <c r="U164" s="288"/>
      <c r="V164" s="5"/>
    </row>
    <row r="165" spans="1:22" ht="15.6" x14ac:dyDescent="0.3">
      <c r="A165" s="284"/>
      <c r="B165" s="285" t="s">
        <v>56</v>
      </c>
      <c r="C165" s="285"/>
      <c r="D165" s="285"/>
      <c r="E165" s="285"/>
      <c r="F165" s="285"/>
      <c r="G165" s="285"/>
      <c r="H165" s="285"/>
      <c r="I165" s="285"/>
      <c r="J165" s="285"/>
      <c r="K165" s="285"/>
      <c r="L165" s="285"/>
      <c r="M165" s="285"/>
      <c r="N165" s="285"/>
      <c r="O165" s="285"/>
      <c r="P165" s="285"/>
      <c r="Q165" s="285"/>
      <c r="R165" s="285"/>
      <c r="S165" s="285"/>
      <c r="T165" s="339">
        <f>T163+T164</f>
        <v>0</v>
      </c>
      <c r="U165" s="288"/>
      <c r="V165" s="5"/>
    </row>
    <row r="166" spans="1:22" ht="15.6" x14ac:dyDescent="0.3">
      <c r="A166" s="284"/>
      <c r="B166" s="285" t="s">
        <v>273</v>
      </c>
      <c r="C166" s="285"/>
      <c r="D166" s="285"/>
      <c r="E166" s="285"/>
      <c r="F166" s="285"/>
      <c r="G166" s="285"/>
      <c r="H166" s="285"/>
      <c r="I166" s="285"/>
      <c r="J166" s="285"/>
      <c r="K166" s="285"/>
      <c r="L166" s="285"/>
      <c r="M166" s="285"/>
      <c r="N166" s="285"/>
      <c r="O166" s="285"/>
      <c r="P166" s="285"/>
      <c r="Q166" s="285"/>
      <c r="R166" s="285"/>
      <c r="S166" s="285"/>
      <c r="T166" s="339">
        <v>0</v>
      </c>
      <c r="U166" s="288"/>
      <c r="V166" s="5"/>
    </row>
    <row r="167" spans="1:22" ht="16.2" thickBot="1" x14ac:dyDescent="0.35">
      <c r="A167" s="175"/>
      <c r="B167" s="334"/>
      <c r="C167" s="334"/>
      <c r="D167" s="334"/>
      <c r="E167" s="334"/>
      <c r="F167" s="334"/>
      <c r="G167" s="334"/>
      <c r="H167" s="334"/>
      <c r="I167" s="334"/>
      <c r="J167" s="334"/>
      <c r="K167" s="334"/>
      <c r="L167" s="334"/>
      <c r="M167" s="334"/>
      <c r="N167" s="334"/>
      <c r="O167" s="334"/>
      <c r="P167" s="334"/>
      <c r="Q167" s="334"/>
      <c r="R167" s="334"/>
      <c r="S167" s="334"/>
      <c r="T167" s="347"/>
      <c r="U167" s="334"/>
      <c r="V167" s="5"/>
    </row>
    <row r="168" spans="1:22" ht="15.6" x14ac:dyDescent="0.3">
      <c r="A168" s="173"/>
      <c r="B168" s="174"/>
      <c r="C168" s="174"/>
      <c r="D168" s="174"/>
      <c r="E168" s="174"/>
      <c r="F168" s="174"/>
      <c r="G168" s="174"/>
      <c r="H168" s="174"/>
      <c r="I168" s="174"/>
      <c r="J168" s="174"/>
      <c r="K168" s="174"/>
      <c r="L168" s="174"/>
      <c r="M168" s="174"/>
      <c r="N168" s="174"/>
      <c r="O168" s="174"/>
      <c r="P168" s="174"/>
      <c r="Q168" s="174"/>
      <c r="R168" s="174"/>
      <c r="S168" s="174"/>
      <c r="T168" s="193"/>
      <c r="U168" s="174"/>
      <c r="V168" s="5"/>
    </row>
    <row r="169" spans="1:22" ht="15.6" x14ac:dyDescent="0.3">
      <c r="A169" s="175"/>
      <c r="B169" s="201" t="s">
        <v>57</v>
      </c>
      <c r="C169" s="177"/>
      <c r="D169" s="177"/>
      <c r="E169" s="177"/>
      <c r="F169" s="177"/>
      <c r="G169" s="177"/>
      <c r="H169" s="177"/>
      <c r="I169" s="177"/>
      <c r="J169" s="177"/>
      <c r="K169" s="177"/>
      <c r="L169" s="177"/>
      <c r="M169" s="177"/>
      <c r="N169" s="177"/>
      <c r="O169" s="177"/>
      <c r="P169" s="177"/>
      <c r="Q169" s="177"/>
      <c r="R169" s="177"/>
      <c r="S169" s="177"/>
      <c r="T169" s="194"/>
      <c r="U169" s="177"/>
      <c r="V169" s="5"/>
    </row>
    <row r="170" spans="1:22" ht="15.6" x14ac:dyDescent="0.3">
      <c r="A170" s="175"/>
      <c r="B170" s="187"/>
      <c r="C170" s="177"/>
      <c r="D170" s="177"/>
      <c r="E170" s="177"/>
      <c r="F170" s="177"/>
      <c r="G170" s="177"/>
      <c r="H170" s="177"/>
      <c r="I170" s="177"/>
      <c r="J170" s="177"/>
      <c r="K170" s="177"/>
      <c r="L170" s="177"/>
      <c r="M170" s="177"/>
      <c r="N170" s="177"/>
      <c r="O170" s="177"/>
      <c r="P170" s="177"/>
      <c r="Q170" s="177"/>
      <c r="R170" s="177"/>
      <c r="S170" s="177"/>
      <c r="T170" s="194"/>
      <c r="U170" s="177"/>
      <c r="V170" s="5"/>
    </row>
    <row r="171" spans="1:22" ht="15.6" x14ac:dyDescent="0.3">
      <c r="A171" s="284"/>
      <c r="B171" s="285" t="s">
        <v>58</v>
      </c>
      <c r="C171" s="285"/>
      <c r="D171" s="285"/>
      <c r="E171" s="285"/>
      <c r="F171" s="285"/>
      <c r="G171" s="285"/>
      <c r="H171" s="285"/>
      <c r="I171" s="285"/>
      <c r="J171" s="285"/>
      <c r="K171" s="285"/>
      <c r="L171" s="285"/>
      <c r="M171" s="285"/>
      <c r="N171" s="285"/>
      <c r="O171" s="285"/>
      <c r="P171" s="285"/>
      <c r="Q171" s="285"/>
      <c r="R171" s="285"/>
      <c r="S171" s="285"/>
      <c r="T171" s="339">
        <f>T71</f>
        <v>464153</v>
      </c>
      <c r="U171" s="288"/>
      <c r="V171" s="5"/>
    </row>
    <row r="172" spans="1:22" ht="15.6" x14ac:dyDescent="0.3">
      <c r="A172" s="284"/>
      <c r="B172" s="285" t="s">
        <v>59</v>
      </c>
      <c r="C172" s="285"/>
      <c r="D172" s="285"/>
      <c r="E172" s="285"/>
      <c r="F172" s="285"/>
      <c r="G172" s="285"/>
      <c r="H172" s="285"/>
      <c r="I172" s="285"/>
      <c r="J172" s="285"/>
      <c r="K172" s="285"/>
      <c r="L172" s="285"/>
      <c r="M172" s="285"/>
      <c r="N172" s="285"/>
      <c r="O172" s="285"/>
      <c r="P172" s="285"/>
      <c r="Q172" s="285"/>
      <c r="R172" s="285"/>
      <c r="S172" s="285"/>
      <c r="T172" s="339">
        <f>T84</f>
        <v>464153</v>
      </c>
      <c r="U172" s="288"/>
      <c r="V172" s="5"/>
    </row>
    <row r="173" spans="1:22" ht="16.2" thickBot="1" x14ac:dyDescent="0.35">
      <c r="A173" s="175"/>
      <c r="B173" s="334"/>
      <c r="C173" s="334"/>
      <c r="D173" s="334"/>
      <c r="E173" s="334"/>
      <c r="F173" s="334"/>
      <c r="G173" s="334"/>
      <c r="H173" s="334"/>
      <c r="I173" s="334"/>
      <c r="J173" s="334"/>
      <c r="K173" s="334"/>
      <c r="L173" s="334"/>
      <c r="M173" s="334"/>
      <c r="N173" s="334"/>
      <c r="O173" s="334"/>
      <c r="P173" s="334"/>
      <c r="Q173" s="334"/>
      <c r="R173" s="334"/>
      <c r="S173" s="334"/>
      <c r="T173" s="347"/>
      <c r="U173" s="334"/>
      <c r="V173" s="5"/>
    </row>
    <row r="174" spans="1:22" ht="15.6" x14ac:dyDescent="0.3">
      <c r="A174" s="173"/>
      <c r="B174" s="174"/>
      <c r="C174" s="174"/>
      <c r="D174" s="174"/>
      <c r="E174" s="174"/>
      <c r="F174" s="174"/>
      <c r="G174" s="174"/>
      <c r="H174" s="174"/>
      <c r="I174" s="174"/>
      <c r="J174" s="174"/>
      <c r="K174" s="174"/>
      <c r="L174" s="174"/>
      <c r="M174" s="174"/>
      <c r="N174" s="174"/>
      <c r="O174" s="174"/>
      <c r="P174" s="174"/>
      <c r="Q174" s="174"/>
      <c r="R174" s="174"/>
      <c r="S174" s="174"/>
      <c r="T174" s="193"/>
      <c r="U174" s="174"/>
      <c r="V174" s="5"/>
    </row>
    <row r="175" spans="1:22" ht="15.6" x14ac:dyDescent="0.3">
      <c r="A175" s="175"/>
      <c r="B175" s="201" t="s">
        <v>60</v>
      </c>
      <c r="C175" s="198"/>
      <c r="D175" s="198"/>
      <c r="E175" s="198"/>
      <c r="F175" s="198"/>
      <c r="G175" s="198"/>
      <c r="H175" s="203"/>
      <c r="I175" s="203"/>
      <c r="J175" s="203"/>
      <c r="K175" s="203"/>
      <c r="L175" s="203"/>
      <c r="M175" s="203"/>
      <c r="N175" s="203"/>
      <c r="O175" s="203"/>
      <c r="P175" s="203"/>
      <c r="Q175" s="203" t="s">
        <v>104</v>
      </c>
      <c r="R175" s="203" t="s">
        <v>183</v>
      </c>
      <c r="S175" s="179"/>
      <c r="T175" s="204" t="s">
        <v>120</v>
      </c>
      <c r="U175" s="205"/>
      <c r="V175" s="5"/>
    </row>
    <row r="176" spans="1:22" ht="15.6" x14ac:dyDescent="0.3">
      <c r="A176" s="284"/>
      <c r="B176" s="285" t="s">
        <v>61</v>
      </c>
      <c r="C176" s="285"/>
      <c r="D176" s="285"/>
      <c r="E176" s="285"/>
      <c r="F176" s="285"/>
      <c r="G176" s="285"/>
      <c r="H176" s="285"/>
      <c r="I176" s="285"/>
      <c r="J176" s="285"/>
      <c r="K176" s="285"/>
      <c r="L176" s="285"/>
      <c r="M176" s="285"/>
      <c r="N176" s="285"/>
      <c r="O176" s="285"/>
      <c r="P176" s="285"/>
      <c r="Q176" s="339">
        <v>160008</v>
      </c>
      <c r="R176" s="324"/>
      <c r="S176" s="285"/>
      <c r="T176" s="339"/>
      <c r="U176" s="288"/>
      <c r="V176" s="5"/>
    </row>
    <row r="177" spans="1:22" ht="15.6" x14ac:dyDescent="0.3">
      <c r="A177" s="284"/>
      <c r="B177" s="285" t="s">
        <v>62</v>
      </c>
      <c r="C177" s="285"/>
      <c r="D177" s="285"/>
      <c r="E177" s="285"/>
      <c r="F177" s="285"/>
      <c r="G177" s="285"/>
      <c r="H177" s="285"/>
      <c r="I177" s="285"/>
      <c r="J177" s="285"/>
      <c r="K177" s="285"/>
      <c r="L177" s="285"/>
      <c r="M177" s="285"/>
      <c r="N177" s="285"/>
      <c r="O177" s="285"/>
      <c r="P177" s="285"/>
      <c r="Q177" s="339">
        <f>+'March 16'!Q179</f>
        <v>38934</v>
      </c>
      <c r="R177" s="339">
        <f>+'March 16'!R179</f>
        <v>3447</v>
      </c>
      <c r="S177" s="285"/>
      <c r="T177" s="339">
        <f>Q177+R177</f>
        <v>42381</v>
      </c>
      <c r="U177" s="288"/>
      <c r="V177" s="5"/>
    </row>
    <row r="178" spans="1:22" ht="15.6" x14ac:dyDescent="0.3">
      <c r="A178" s="284"/>
      <c r="B178" s="285" t="s">
        <v>63</v>
      </c>
      <c r="C178" s="285"/>
      <c r="D178" s="285"/>
      <c r="E178" s="285"/>
      <c r="F178" s="285"/>
      <c r="G178" s="285"/>
      <c r="H178" s="285"/>
      <c r="I178" s="285"/>
      <c r="J178" s="285"/>
      <c r="K178" s="285"/>
      <c r="L178" s="285"/>
      <c r="M178" s="285"/>
      <c r="N178" s="285"/>
      <c r="O178" s="285"/>
      <c r="P178" s="285"/>
      <c r="Q178" s="338">
        <v>128</v>
      </c>
      <c r="R178" s="338">
        <v>0</v>
      </c>
      <c r="S178" s="285"/>
      <c r="T178" s="339">
        <f>Q178+R178</f>
        <v>128</v>
      </c>
      <c r="U178" s="288"/>
      <c r="V178" s="5"/>
    </row>
    <row r="179" spans="1:22" ht="15.6" x14ac:dyDescent="0.3">
      <c r="A179" s="284"/>
      <c r="B179" s="285" t="s">
        <v>64</v>
      </c>
      <c r="C179" s="285"/>
      <c r="D179" s="285"/>
      <c r="E179" s="285"/>
      <c r="F179" s="285"/>
      <c r="G179" s="285"/>
      <c r="H179" s="285"/>
      <c r="I179" s="285"/>
      <c r="J179" s="285"/>
      <c r="K179" s="285"/>
      <c r="L179" s="285"/>
      <c r="M179" s="285"/>
      <c r="N179" s="285"/>
      <c r="O179" s="285"/>
      <c r="P179" s="285"/>
      <c r="Q179" s="339">
        <f>Q177+Q178</f>
        <v>39062</v>
      </c>
      <c r="R179" s="339">
        <f>R178+R177</f>
        <v>3447</v>
      </c>
      <c r="S179" s="285"/>
      <c r="T179" s="339">
        <f>Q179+R179</f>
        <v>42509</v>
      </c>
      <c r="U179" s="288"/>
      <c r="V179" s="5"/>
    </row>
    <row r="180" spans="1:22" ht="15.6" x14ac:dyDescent="0.3">
      <c r="A180" s="284"/>
      <c r="B180" s="285" t="s">
        <v>65</v>
      </c>
      <c r="C180" s="285"/>
      <c r="D180" s="285"/>
      <c r="E180" s="285"/>
      <c r="F180" s="285"/>
      <c r="G180" s="285"/>
      <c r="H180" s="285"/>
      <c r="I180" s="285"/>
      <c r="J180" s="285"/>
      <c r="K180" s="285"/>
      <c r="L180" s="285"/>
      <c r="M180" s="285"/>
      <c r="N180" s="285"/>
      <c r="O180" s="285"/>
      <c r="P180" s="285"/>
      <c r="Q180" s="339">
        <f>Q176-Q179-R179</f>
        <v>117499</v>
      </c>
      <c r="R180" s="324"/>
      <c r="S180" s="285"/>
      <c r="T180" s="339"/>
      <c r="U180" s="288"/>
      <c r="V180" s="5"/>
    </row>
    <row r="181" spans="1:22" ht="16.2" thickBot="1" x14ac:dyDescent="0.35">
      <c r="A181" s="175"/>
      <c r="B181" s="334"/>
      <c r="C181" s="334"/>
      <c r="D181" s="334"/>
      <c r="E181" s="334"/>
      <c r="F181" s="334"/>
      <c r="G181" s="334"/>
      <c r="H181" s="334"/>
      <c r="I181" s="334"/>
      <c r="J181" s="334"/>
      <c r="K181" s="334"/>
      <c r="L181" s="334"/>
      <c r="M181" s="334"/>
      <c r="N181" s="334"/>
      <c r="O181" s="334"/>
      <c r="P181" s="334"/>
      <c r="Q181" s="334"/>
      <c r="R181" s="334"/>
      <c r="S181" s="334"/>
      <c r="T181" s="347"/>
      <c r="U181" s="334"/>
      <c r="V181" s="5"/>
    </row>
    <row r="182" spans="1:22" ht="15.6" x14ac:dyDescent="0.3">
      <c r="A182" s="173"/>
      <c r="B182" s="174"/>
      <c r="C182" s="174"/>
      <c r="D182" s="174"/>
      <c r="E182" s="174"/>
      <c r="F182" s="174"/>
      <c r="G182" s="174"/>
      <c r="H182" s="174"/>
      <c r="I182" s="174"/>
      <c r="J182" s="174"/>
      <c r="K182" s="174"/>
      <c r="L182" s="174"/>
      <c r="M182" s="174"/>
      <c r="N182" s="174"/>
      <c r="O182" s="174"/>
      <c r="P182" s="174"/>
      <c r="Q182" s="174"/>
      <c r="R182" s="174"/>
      <c r="S182" s="174"/>
      <c r="T182" s="193"/>
      <c r="U182" s="174"/>
      <c r="V182" s="5"/>
    </row>
    <row r="183" spans="1:22" ht="15.6" x14ac:dyDescent="0.3">
      <c r="A183" s="175"/>
      <c r="B183" s="201" t="s">
        <v>66</v>
      </c>
      <c r="C183" s="177"/>
      <c r="D183" s="177"/>
      <c r="E183" s="177"/>
      <c r="F183" s="177"/>
      <c r="G183" s="177"/>
      <c r="H183" s="177"/>
      <c r="I183" s="177"/>
      <c r="J183" s="177"/>
      <c r="K183" s="177"/>
      <c r="L183" s="177"/>
      <c r="M183" s="177"/>
      <c r="N183" s="177"/>
      <c r="O183" s="177"/>
      <c r="P183" s="177"/>
      <c r="Q183" s="177"/>
      <c r="R183" s="177"/>
      <c r="S183" s="177"/>
      <c r="T183" s="206"/>
      <c r="U183" s="177"/>
      <c r="V183" s="5"/>
    </row>
    <row r="184" spans="1:22" ht="15.6" x14ac:dyDescent="0.3">
      <c r="A184" s="284"/>
      <c r="B184" s="285" t="s">
        <v>67</v>
      </c>
      <c r="C184" s="285"/>
      <c r="D184" s="285"/>
      <c r="E184" s="285"/>
      <c r="F184" s="285"/>
      <c r="G184" s="285"/>
      <c r="H184" s="285"/>
      <c r="I184" s="285"/>
      <c r="J184" s="285"/>
      <c r="K184" s="285"/>
      <c r="L184" s="285"/>
      <c r="M184" s="285"/>
      <c r="N184" s="285"/>
      <c r="O184" s="285"/>
      <c r="P184" s="285"/>
      <c r="Q184" s="285"/>
      <c r="R184" s="285"/>
      <c r="S184" s="285"/>
      <c r="T184" s="348">
        <f>(T100+T102+T103+T104+T105)/-(T106+T107)</f>
        <v>4.3601236476043272</v>
      </c>
      <c r="U184" s="288" t="s">
        <v>121</v>
      </c>
      <c r="V184" s="5"/>
    </row>
    <row r="185" spans="1:22" ht="15.6" x14ac:dyDescent="0.3">
      <c r="A185" s="284"/>
      <c r="B185" s="285" t="s">
        <v>68</v>
      </c>
      <c r="C185" s="285"/>
      <c r="D185" s="285"/>
      <c r="E185" s="285"/>
      <c r="F185" s="285"/>
      <c r="G185" s="285"/>
      <c r="H185" s="285"/>
      <c r="I185" s="285"/>
      <c r="J185" s="285"/>
      <c r="K185" s="285"/>
      <c r="L185" s="285"/>
      <c r="M185" s="285"/>
      <c r="N185" s="285"/>
      <c r="O185" s="285"/>
      <c r="P185" s="285"/>
      <c r="Q185" s="285"/>
      <c r="R185" s="285"/>
      <c r="S185" s="285"/>
      <c r="T185" s="349">
        <v>1.85</v>
      </c>
      <c r="U185" s="288" t="s">
        <v>121</v>
      </c>
      <c r="V185" s="5"/>
    </row>
    <row r="186" spans="1:22" ht="15.6" x14ac:dyDescent="0.3">
      <c r="A186" s="284"/>
      <c r="B186" s="285" t="s">
        <v>69</v>
      </c>
      <c r="C186" s="285"/>
      <c r="D186" s="285"/>
      <c r="E186" s="285"/>
      <c r="F186" s="285"/>
      <c r="G186" s="285"/>
      <c r="H186" s="285"/>
      <c r="I186" s="285"/>
      <c r="J186" s="285"/>
      <c r="K186" s="285"/>
      <c r="L186" s="285"/>
      <c r="M186" s="285"/>
      <c r="N186" s="285"/>
      <c r="O186" s="285"/>
      <c r="P186" s="285"/>
      <c r="Q186" s="285"/>
      <c r="R186" s="285"/>
      <c r="S186" s="285"/>
      <c r="T186" s="348">
        <f>(T100+T102+T103+T104+T105+T106+T107)/-(T108+T109)</f>
        <v>11.688172043010752</v>
      </c>
      <c r="U186" s="288" t="s">
        <v>121</v>
      </c>
      <c r="V186" s="5"/>
    </row>
    <row r="187" spans="1:22" ht="15.6" x14ac:dyDescent="0.3">
      <c r="A187" s="284"/>
      <c r="B187" s="285" t="s">
        <v>70</v>
      </c>
      <c r="C187" s="285"/>
      <c r="D187" s="285"/>
      <c r="E187" s="285"/>
      <c r="F187" s="285"/>
      <c r="G187" s="285"/>
      <c r="H187" s="285"/>
      <c r="I187" s="285"/>
      <c r="J187" s="285"/>
      <c r="K187" s="285"/>
      <c r="L187" s="285"/>
      <c r="M187" s="285"/>
      <c r="N187" s="285"/>
      <c r="O187" s="285"/>
      <c r="P187" s="285"/>
      <c r="Q187" s="285"/>
      <c r="R187" s="285"/>
      <c r="S187" s="285"/>
      <c r="T187" s="349">
        <v>6.71</v>
      </c>
      <c r="U187" s="288" t="s">
        <v>121</v>
      </c>
      <c r="V187" s="5"/>
    </row>
    <row r="188" spans="1:22" ht="15.6" x14ac:dyDescent="0.3">
      <c r="A188" s="284"/>
      <c r="B188" s="285" t="s">
        <v>206</v>
      </c>
      <c r="C188" s="285"/>
      <c r="D188" s="285"/>
      <c r="E188" s="285"/>
      <c r="F188" s="285"/>
      <c r="G188" s="285"/>
      <c r="H188" s="285"/>
      <c r="I188" s="285"/>
      <c r="J188" s="285"/>
      <c r="K188" s="285"/>
      <c r="L188" s="285"/>
      <c r="M188" s="285"/>
      <c r="N188" s="285"/>
      <c r="O188" s="285"/>
      <c r="P188" s="285"/>
      <c r="Q188" s="285"/>
      <c r="R188" s="285"/>
      <c r="S188" s="285"/>
      <c r="T188" s="348">
        <f>(T100+T102+T103+T104+T105+T106+T107+T108+T109)/-(T110)</f>
        <v>8.954954954954955</v>
      </c>
      <c r="U188" s="288" t="s">
        <v>121</v>
      </c>
      <c r="V188" s="5"/>
    </row>
    <row r="189" spans="1:22" ht="15.6" x14ac:dyDescent="0.3">
      <c r="A189" s="284"/>
      <c r="B189" s="285" t="s">
        <v>207</v>
      </c>
      <c r="C189" s="285"/>
      <c r="D189" s="285"/>
      <c r="E189" s="285"/>
      <c r="F189" s="285"/>
      <c r="G189" s="285"/>
      <c r="H189" s="285"/>
      <c r="I189" s="285"/>
      <c r="J189" s="285"/>
      <c r="K189" s="285"/>
      <c r="L189" s="285"/>
      <c r="M189" s="285"/>
      <c r="N189" s="285"/>
      <c r="O189" s="285"/>
      <c r="P189" s="285"/>
      <c r="Q189" s="285"/>
      <c r="R189" s="285"/>
      <c r="S189" s="285"/>
      <c r="T189" s="349">
        <v>6.02</v>
      </c>
      <c r="U189" s="288" t="s">
        <v>121</v>
      </c>
      <c r="V189" s="5"/>
    </row>
    <row r="190" spans="1:22" ht="15.6" x14ac:dyDescent="0.3">
      <c r="A190" s="284"/>
      <c r="B190" s="311"/>
      <c r="C190" s="311"/>
      <c r="D190" s="311"/>
      <c r="E190" s="311"/>
      <c r="F190" s="311"/>
      <c r="G190" s="311"/>
      <c r="H190" s="311"/>
      <c r="I190" s="311"/>
      <c r="J190" s="311"/>
      <c r="K190" s="311"/>
      <c r="L190" s="311"/>
      <c r="M190" s="311"/>
      <c r="N190" s="311"/>
      <c r="O190" s="311"/>
      <c r="P190" s="311"/>
      <c r="Q190" s="311"/>
      <c r="R190" s="311"/>
      <c r="S190" s="311"/>
      <c r="T190" s="311"/>
      <c r="U190" s="317"/>
      <c r="V190" s="5"/>
    </row>
    <row r="191" spans="1:22" ht="15.6" x14ac:dyDescent="0.3">
      <c r="A191" s="175"/>
      <c r="B191" s="334"/>
      <c r="C191" s="334"/>
      <c r="D191" s="334"/>
      <c r="E191" s="334"/>
      <c r="F191" s="334"/>
      <c r="G191" s="334"/>
      <c r="H191" s="334"/>
      <c r="I191" s="334"/>
      <c r="J191" s="334"/>
      <c r="K191" s="334"/>
      <c r="L191" s="334"/>
      <c r="M191" s="334"/>
      <c r="N191" s="334"/>
      <c r="O191" s="334"/>
      <c r="P191" s="334"/>
      <c r="Q191" s="334"/>
      <c r="R191" s="334"/>
      <c r="S191" s="334"/>
      <c r="T191" s="334"/>
      <c r="U191" s="334"/>
      <c r="V191" s="5"/>
    </row>
    <row r="192" spans="1:22" ht="15.6" x14ac:dyDescent="0.3">
      <c r="A192" s="175"/>
      <c r="B192" s="177"/>
      <c r="C192" s="177"/>
      <c r="D192" s="177"/>
      <c r="E192" s="177"/>
      <c r="F192" s="177"/>
      <c r="G192" s="177"/>
      <c r="H192" s="177"/>
      <c r="I192" s="177"/>
      <c r="J192" s="177"/>
      <c r="K192" s="177"/>
      <c r="L192" s="177"/>
      <c r="M192" s="177"/>
      <c r="N192" s="177"/>
      <c r="O192" s="177"/>
      <c r="P192" s="177"/>
      <c r="Q192" s="177"/>
      <c r="R192" s="177"/>
      <c r="S192" s="177"/>
      <c r="T192" s="177"/>
      <c r="U192" s="177"/>
      <c r="V192" s="5"/>
    </row>
    <row r="193" spans="1:22" ht="18" thickBot="1" x14ac:dyDescent="0.35">
      <c r="A193" s="192"/>
      <c r="B193" s="246" t="str">
        <f>B133</f>
        <v>PM11 INVESTOR REPORT QUARTER ENDING JUNE 2016</v>
      </c>
      <c r="C193" s="207"/>
      <c r="D193" s="207"/>
      <c r="E193" s="207"/>
      <c r="F193" s="207"/>
      <c r="G193" s="207"/>
      <c r="H193" s="207"/>
      <c r="I193" s="207"/>
      <c r="J193" s="207"/>
      <c r="K193" s="207"/>
      <c r="L193" s="207"/>
      <c r="M193" s="207"/>
      <c r="N193" s="207"/>
      <c r="O193" s="207"/>
      <c r="P193" s="207"/>
      <c r="Q193" s="207"/>
      <c r="R193" s="207"/>
      <c r="S193" s="207"/>
      <c r="T193" s="207"/>
      <c r="U193" s="208"/>
      <c r="V193" s="5"/>
    </row>
    <row r="194" spans="1:22" ht="15.6" x14ac:dyDescent="0.3">
      <c r="A194" s="260"/>
      <c r="B194" s="399" t="s">
        <v>71</v>
      </c>
      <c r="C194" s="400"/>
      <c r="D194" s="400"/>
      <c r="E194" s="400"/>
      <c r="F194" s="400"/>
      <c r="G194" s="401"/>
      <c r="H194" s="401"/>
      <c r="I194" s="401"/>
      <c r="J194" s="401"/>
      <c r="K194" s="401"/>
      <c r="L194" s="401"/>
      <c r="M194" s="401"/>
      <c r="N194" s="401"/>
      <c r="O194" s="401"/>
      <c r="P194" s="401"/>
      <c r="Q194" s="401"/>
      <c r="R194" s="401">
        <v>42551</v>
      </c>
      <c r="S194" s="261"/>
      <c r="T194" s="261"/>
      <c r="U194" s="261"/>
      <c r="V194" s="5"/>
    </row>
    <row r="195" spans="1:22" ht="15.6" x14ac:dyDescent="0.3">
      <c r="A195" s="209"/>
      <c r="B195" s="210"/>
      <c r="C195" s="211"/>
      <c r="D195" s="211"/>
      <c r="E195" s="211"/>
      <c r="F195" s="211"/>
      <c r="G195" s="212"/>
      <c r="H195" s="212"/>
      <c r="I195" s="212"/>
      <c r="J195" s="212"/>
      <c r="K195" s="212"/>
      <c r="L195" s="212"/>
      <c r="M195" s="212"/>
      <c r="N195" s="212"/>
      <c r="O195" s="212"/>
      <c r="P195" s="212"/>
      <c r="Q195" s="212"/>
      <c r="R195" s="212"/>
      <c r="S195" s="177"/>
      <c r="T195" s="177"/>
      <c r="U195" s="177"/>
      <c r="V195" s="5"/>
    </row>
    <row r="196" spans="1:22" ht="15.6" x14ac:dyDescent="0.3">
      <c r="A196" s="352"/>
      <c r="B196" s="285" t="s">
        <v>72</v>
      </c>
      <c r="C196" s="353"/>
      <c r="D196" s="353"/>
      <c r="E196" s="353"/>
      <c r="F196" s="353"/>
      <c r="G196" s="329"/>
      <c r="H196" s="329"/>
      <c r="I196" s="329"/>
      <c r="J196" s="329"/>
      <c r="K196" s="329"/>
      <c r="L196" s="329"/>
      <c r="M196" s="329"/>
      <c r="N196" s="329"/>
      <c r="O196" s="329"/>
      <c r="P196" s="329"/>
      <c r="Q196" s="329"/>
      <c r="R196" s="320">
        <v>5.1569999999999998E-2</v>
      </c>
      <c r="S196" s="285"/>
      <c r="T196" s="285"/>
      <c r="U196" s="317"/>
      <c r="V196" s="5"/>
    </row>
    <row r="197" spans="1:22" ht="15.6" x14ac:dyDescent="0.3">
      <c r="A197" s="352"/>
      <c r="B197" s="285" t="s">
        <v>157</v>
      </c>
      <c r="C197" s="353"/>
      <c r="D197" s="353"/>
      <c r="E197" s="353"/>
      <c r="F197" s="353"/>
      <c r="G197" s="329"/>
      <c r="H197" s="329"/>
      <c r="I197" s="329"/>
      <c r="J197" s="329"/>
      <c r="K197" s="329"/>
      <c r="L197" s="329"/>
      <c r="M197" s="329"/>
      <c r="N197" s="329"/>
      <c r="O197" s="329"/>
      <c r="P197" s="329"/>
      <c r="Q197" s="329"/>
      <c r="R197" s="320">
        <v>4.6899999999999997E-2</v>
      </c>
      <c r="S197" s="285"/>
      <c r="T197" s="285"/>
      <c r="U197" s="317"/>
      <c r="V197" s="5"/>
    </row>
    <row r="198" spans="1:22" ht="15.6" x14ac:dyDescent="0.3">
      <c r="A198" s="352"/>
      <c r="B198" s="285" t="s">
        <v>73</v>
      </c>
      <c r="C198" s="353"/>
      <c r="D198" s="353"/>
      <c r="E198" s="353"/>
      <c r="F198" s="353"/>
      <c r="G198" s="329"/>
      <c r="H198" s="329"/>
      <c r="I198" s="329"/>
      <c r="J198" s="329"/>
      <c r="K198" s="329"/>
      <c r="L198" s="329"/>
      <c r="M198" s="329"/>
      <c r="N198" s="329"/>
      <c r="O198" s="329"/>
      <c r="P198" s="329"/>
      <c r="Q198" s="329"/>
      <c r="R198" s="320">
        <f>R196-R197</f>
        <v>4.6700000000000005E-3</v>
      </c>
      <c r="S198" s="285"/>
      <c r="T198" s="285"/>
      <c r="U198" s="317"/>
      <c r="V198" s="5"/>
    </row>
    <row r="199" spans="1:22" ht="15.6" x14ac:dyDescent="0.3">
      <c r="A199" s="352"/>
      <c r="B199" s="285" t="s">
        <v>74</v>
      </c>
      <c r="C199" s="353"/>
      <c r="D199" s="353"/>
      <c r="E199" s="353"/>
      <c r="F199" s="353"/>
      <c r="G199" s="329"/>
      <c r="H199" s="329"/>
      <c r="I199" s="329"/>
      <c r="J199" s="329"/>
      <c r="K199" s="329"/>
      <c r="L199" s="329"/>
      <c r="M199" s="329"/>
      <c r="N199" s="329"/>
      <c r="O199" s="329"/>
      <c r="P199" s="329"/>
      <c r="Q199" s="329"/>
      <c r="R199" s="320">
        <v>2.3560000000000001E-2</v>
      </c>
      <c r="S199" s="285"/>
      <c r="T199" s="285"/>
      <c r="U199" s="317"/>
      <c r="V199" s="5"/>
    </row>
    <row r="200" spans="1:22" ht="15.6" x14ac:dyDescent="0.3">
      <c r="A200" s="352"/>
      <c r="B200" s="285" t="s">
        <v>257</v>
      </c>
      <c r="C200" s="353"/>
      <c r="D200" s="353"/>
      <c r="E200" s="353"/>
      <c r="F200" s="353"/>
      <c r="G200" s="329"/>
      <c r="H200" s="329"/>
      <c r="I200" s="329"/>
      <c r="J200" s="329"/>
      <c r="K200" s="329"/>
      <c r="L200" s="329"/>
      <c r="M200" s="329"/>
      <c r="N200" s="329"/>
      <c r="O200" s="329"/>
      <c r="P200" s="329"/>
      <c r="Q200" s="329"/>
      <c r="R200" s="320">
        <f>T43</f>
        <v>8.9955548867867111E-3</v>
      </c>
      <c r="S200" s="285"/>
      <c r="T200" s="285"/>
      <c r="U200" s="317"/>
      <c r="V200" s="5"/>
    </row>
    <row r="201" spans="1:22" ht="15.6" x14ac:dyDescent="0.3">
      <c r="A201" s="352"/>
      <c r="B201" s="285" t="s">
        <v>75</v>
      </c>
      <c r="C201" s="353"/>
      <c r="D201" s="353"/>
      <c r="E201" s="353"/>
      <c r="F201" s="353"/>
      <c r="G201" s="329"/>
      <c r="H201" s="329"/>
      <c r="I201" s="329"/>
      <c r="J201" s="329"/>
      <c r="K201" s="329"/>
      <c r="L201" s="329"/>
      <c r="M201" s="329"/>
      <c r="N201" s="329"/>
      <c r="O201" s="329"/>
      <c r="P201" s="329"/>
      <c r="Q201" s="329"/>
      <c r="R201" s="320">
        <f>R199-R200</f>
        <v>1.456444511321329E-2</v>
      </c>
      <c r="S201" s="285"/>
      <c r="T201" s="285"/>
      <c r="U201" s="317"/>
      <c r="V201" s="5"/>
    </row>
    <row r="202" spans="1:22" ht="15.6" x14ac:dyDescent="0.3">
      <c r="A202" s="352"/>
      <c r="B202" s="285" t="s">
        <v>260</v>
      </c>
      <c r="C202" s="353"/>
      <c r="D202" s="353"/>
      <c r="E202" s="353"/>
      <c r="F202" s="353"/>
      <c r="G202" s="329"/>
      <c r="H202" s="329"/>
      <c r="I202" s="329"/>
      <c r="J202" s="329"/>
      <c r="K202" s="329"/>
      <c r="L202" s="329"/>
      <c r="M202" s="329"/>
      <c r="N202" s="329"/>
      <c r="O202" s="329"/>
      <c r="P202" s="329"/>
      <c r="Q202" s="329"/>
      <c r="R202" s="320">
        <f>+T100/L71</f>
        <v>6.6025186047796542E-3</v>
      </c>
      <c r="S202" s="285"/>
      <c r="T202" s="285"/>
      <c r="U202" s="317"/>
      <c r="V202" s="5"/>
    </row>
    <row r="203" spans="1:22" ht="15.6" x14ac:dyDescent="0.3">
      <c r="A203" s="352"/>
      <c r="B203" s="285" t="s">
        <v>217</v>
      </c>
      <c r="C203" s="353"/>
      <c r="D203" s="353"/>
      <c r="E203" s="353"/>
      <c r="F203" s="353"/>
      <c r="G203" s="329"/>
      <c r="H203" s="329"/>
      <c r="I203" s="329"/>
      <c r="J203" s="329"/>
      <c r="K203" s="329"/>
      <c r="L203" s="329"/>
      <c r="M203" s="329"/>
      <c r="N203" s="329"/>
      <c r="O203" s="329"/>
      <c r="P203" s="329"/>
      <c r="Q203" s="329"/>
      <c r="R203" s="354">
        <v>15250</v>
      </c>
      <c r="S203" s="285"/>
      <c r="T203" s="285"/>
      <c r="U203" s="317"/>
      <c r="V203" s="5"/>
    </row>
    <row r="204" spans="1:22" ht="15.6" x14ac:dyDescent="0.3">
      <c r="A204" s="352"/>
      <c r="B204" s="285" t="s">
        <v>218</v>
      </c>
      <c r="C204" s="353"/>
      <c r="D204" s="353"/>
      <c r="E204" s="353"/>
      <c r="F204" s="353"/>
      <c r="G204" s="329"/>
      <c r="H204" s="329"/>
      <c r="I204" s="329"/>
      <c r="J204" s="329"/>
      <c r="K204" s="329"/>
      <c r="L204" s="329"/>
      <c r="M204" s="329"/>
      <c r="N204" s="329"/>
      <c r="O204" s="329"/>
      <c r="P204" s="329"/>
      <c r="Q204" s="329"/>
      <c r="R204" s="354">
        <v>15250</v>
      </c>
      <c r="S204" s="285"/>
      <c r="T204" s="285"/>
      <c r="U204" s="317"/>
      <c r="V204" s="5"/>
    </row>
    <row r="205" spans="1:22" ht="15.6" x14ac:dyDescent="0.3">
      <c r="A205" s="352"/>
      <c r="B205" s="285" t="s">
        <v>219</v>
      </c>
      <c r="C205" s="353"/>
      <c r="D205" s="353"/>
      <c r="E205" s="353"/>
      <c r="F205" s="353"/>
      <c r="G205" s="329"/>
      <c r="H205" s="329"/>
      <c r="I205" s="329"/>
      <c r="J205" s="329"/>
      <c r="K205" s="329"/>
      <c r="L205" s="329"/>
      <c r="M205" s="329"/>
      <c r="N205" s="329"/>
      <c r="O205" s="329"/>
      <c r="P205" s="329"/>
      <c r="Q205" s="329"/>
      <c r="R205" s="354">
        <v>15250</v>
      </c>
      <c r="S205" s="285"/>
      <c r="T205" s="285"/>
      <c r="U205" s="317"/>
      <c r="V205" s="5"/>
    </row>
    <row r="206" spans="1:22" ht="15.6" x14ac:dyDescent="0.3">
      <c r="A206" s="352"/>
      <c r="B206" s="285" t="s">
        <v>76</v>
      </c>
      <c r="C206" s="353"/>
      <c r="D206" s="353"/>
      <c r="E206" s="353"/>
      <c r="F206" s="353"/>
      <c r="G206" s="329"/>
      <c r="H206" s="329"/>
      <c r="I206" s="329"/>
      <c r="J206" s="329"/>
      <c r="K206" s="329"/>
      <c r="L206" s="329"/>
      <c r="M206" s="329"/>
      <c r="N206" s="329"/>
      <c r="O206" s="329"/>
      <c r="P206" s="329"/>
      <c r="Q206" s="329"/>
      <c r="R206" s="326">
        <v>21.18</v>
      </c>
      <c r="S206" s="285" t="s">
        <v>116</v>
      </c>
      <c r="T206" s="285"/>
      <c r="U206" s="317"/>
      <c r="V206" s="5"/>
    </row>
    <row r="207" spans="1:22" ht="15.6" x14ac:dyDescent="0.3">
      <c r="A207" s="352"/>
      <c r="B207" s="285" t="s">
        <v>77</v>
      </c>
      <c r="C207" s="353"/>
      <c r="D207" s="353"/>
      <c r="E207" s="353"/>
      <c r="F207" s="353"/>
      <c r="G207" s="329"/>
      <c r="H207" s="329"/>
      <c r="I207" s="329"/>
      <c r="J207" s="329"/>
      <c r="K207" s="329"/>
      <c r="L207" s="329"/>
      <c r="M207" s="329"/>
      <c r="N207" s="329"/>
      <c r="O207" s="329"/>
      <c r="P207" s="329"/>
      <c r="Q207" s="329"/>
      <c r="R207" s="326">
        <v>11.48</v>
      </c>
      <c r="S207" s="285" t="s">
        <v>116</v>
      </c>
      <c r="T207" s="285"/>
      <c r="U207" s="317"/>
      <c r="V207" s="5"/>
    </row>
    <row r="208" spans="1:22" ht="15.6" x14ac:dyDescent="0.3">
      <c r="A208" s="352"/>
      <c r="B208" s="285" t="s">
        <v>78</v>
      </c>
      <c r="C208" s="353"/>
      <c r="D208" s="353"/>
      <c r="E208" s="353"/>
      <c r="F208" s="353"/>
      <c r="G208" s="329"/>
      <c r="H208" s="329"/>
      <c r="I208" s="329"/>
      <c r="J208" s="329"/>
      <c r="K208" s="329"/>
      <c r="L208" s="329"/>
      <c r="M208" s="329"/>
      <c r="N208" s="329"/>
      <c r="O208" s="329"/>
      <c r="P208" s="329"/>
      <c r="Q208" s="329"/>
      <c r="R208" s="320">
        <f>N68/L68</f>
        <v>1.3925427878056347E-2</v>
      </c>
      <c r="S208" s="285"/>
      <c r="T208" s="285"/>
      <c r="U208" s="317"/>
      <c r="V208" s="5"/>
    </row>
    <row r="209" spans="1:22" ht="15.6" x14ac:dyDescent="0.3">
      <c r="A209" s="352"/>
      <c r="B209" s="285" t="s">
        <v>79</v>
      </c>
      <c r="C209" s="353"/>
      <c r="D209" s="353"/>
      <c r="E209" s="353"/>
      <c r="F209" s="353"/>
      <c r="G209" s="329"/>
      <c r="H209" s="329"/>
      <c r="I209" s="329"/>
      <c r="J209" s="329"/>
      <c r="K209" s="329"/>
      <c r="L209" s="329"/>
      <c r="M209" s="329"/>
      <c r="N209" s="329"/>
      <c r="O209" s="329"/>
      <c r="P209" s="329"/>
      <c r="Q209" s="329"/>
      <c r="R209" s="320">
        <v>7.6700000000000004E-2</v>
      </c>
      <c r="S209" s="285"/>
      <c r="T209" s="285"/>
      <c r="U209" s="317"/>
      <c r="V209" s="5"/>
    </row>
    <row r="210" spans="1:22" ht="15.6" x14ac:dyDescent="0.3">
      <c r="A210" s="209"/>
      <c r="B210" s="350"/>
      <c r="C210" s="350"/>
      <c r="D210" s="350"/>
      <c r="E210" s="350"/>
      <c r="F210" s="350"/>
      <c r="G210" s="334"/>
      <c r="H210" s="334"/>
      <c r="I210" s="334"/>
      <c r="J210" s="334"/>
      <c r="K210" s="334"/>
      <c r="L210" s="334"/>
      <c r="M210" s="334"/>
      <c r="N210" s="334"/>
      <c r="O210" s="334"/>
      <c r="P210" s="334"/>
      <c r="Q210" s="334"/>
      <c r="R210" s="347"/>
      <c r="S210" s="334"/>
      <c r="T210" s="351"/>
      <c r="U210" s="334"/>
      <c r="V210" s="5"/>
    </row>
    <row r="211" spans="1:22" ht="15.6" x14ac:dyDescent="0.3">
      <c r="A211" s="266"/>
      <c r="B211" s="395" t="s">
        <v>80</v>
      </c>
      <c r="C211" s="396"/>
      <c r="D211" s="396"/>
      <c r="E211" s="396"/>
      <c r="F211" s="402"/>
      <c r="G211" s="396"/>
      <c r="H211" s="396"/>
      <c r="I211" s="396"/>
      <c r="J211" s="396"/>
      <c r="K211" s="396"/>
      <c r="L211" s="396"/>
      <c r="M211" s="396"/>
      <c r="N211" s="396"/>
      <c r="O211" s="396"/>
      <c r="P211" s="396"/>
      <c r="Q211" s="396" t="s">
        <v>105</v>
      </c>
      <c r="R211" s="402" t="s">
        <v>112</v>
      </c>
      <c r="S211" s="223"/>
      <c r="T211" s="223"/>
      <c r="U211" s="223"/>
      <c r="V211" s="5"/>
    </row>
    <row r="212" spans="1:22" ht="15.6" x14ac:dyDescent="0.3">
      <c r="A212" s="214"/>
      <c r="B212" s="239" t="s">
        <v>81</v>
      </c>
      <c r="C212" s="243"/>
      <c r="D212" s="243"/>
      <c r="E212" s="243"/>
      <c r="F212" s="239"/>
      <c r="G212" s="239"/>
      <c r="H212" s="242"/>
      <c r="I212" s="242"/>
      <c r="J212" s="242"/>
      <c r="K212" s="242"/>
      <c r="L212" s="242"/>
      <c r="M212" s="242"/>
      <c r="N212" s="242"/>
      <c r="O212" s="242"/>
      <c r="P212" s="242"/>
      <c r="Q212" s="242">
        <v>0</v>
      </c>
      <c r="R212" s="272">
        <v>0</v>
      </c>
      <c r="S212" s="239"/>
      <c r="T212" s="273"/>
      <c r="U212" s="215"/>
      <c r="V212" s="5"/>
    </row>
    <row r="213" spans="1:22" ht="15.6" x14ac:dyDescent="0.3">
      <c r="A213" s="360"/>
      <c r="B213" s="285" t="s">
        <v>151</v>
      </c>
      <c r="C213" s="338"/>
      <c r="D213" s="338"/>
      <c r="E213" s="338"/>
      <c r="F213" s="285"/>
      <c r="G213" s="285"/>
      <c r="H213" s="293"/>
      <c r="I213" s="293"/>
      <c r="J213" s="293"/>
      <c r="K213" s="293"/>
      <c r="L213" s="293"/>
      <c r="M213" s="293"/>
      <c r="N213" s="293"/>
      <c r="O213" s="293"/>
      <c r="P213" s="293"/>
      <c r="Q213" s="361">
        <f>+P265</f>
        <v>60</v>
      </c>
      <c r="R213" s="362">
        <f>+R265</f>
        <v>9231</v>
      </c>
      <c r="S213" s="285"/>
      <c r="T213" s="363"/>
      <c r="U213" s="364"/>
      <c r="V213" s="5"/>
    </row>
    <row r="214" spans="1:22" ht="15.6" x14ac:dyDescent="0.3">
      <c r="A214" s="360"/>
      <c r="B214" s="285" t="s">
        <v>82</v>
      </c>
      <c r="C214" s="338"/>
      <c r="D214" s="338"/>
      <c r="E214" s="338"/>
      <c r="F214" s="285"/>
      <c r="G214" s="285"/>
      <c r="H214" s="293"/>
      <c r="I214" s="293"/>
      <c r="J214" s="293"/>
      <c r="K214" s="293"/>
      <c r="L214" s="293"/>
      <c r="M214" s="293"/>
      <c r="N214" s="293"/>
      <c r="O214" s="293"/>
      <c r="P214" s="293"/>
      <c r="Q214" s="361">
        <f>+P277</f>
        <v>0</v>
      </c>
      <c r="R214" s="362">
        <f>+R277</f>
        <v>0</v>
      </c>
      <c r="S214" s="285"/>
      <c r="T214" s="363"/>
      <c r="U214" s="364"/>
      <c r="V214" s="5"/>
    </row>
    <row r="215" spans="1:22" ht="15.6" x14ac:dyDescent="0.3">
      <c r="A215" s="360"/>
      <c r="B215" s="310" t="s">
        <v>83</v>
      </c>
      <c r="C215" s="365"/>
      <c r="D215" s="365"/>
      <c r="E215" s="365"/>
      <c r="F215" s="311"/>
      <c r="G215" s="311"/>
      <c r="H215" s="311"/>
      <c r="I215" s="311"/>
      <c r="J215" s="311"/>
      <c r="K215" s="311"/>
      <c r="L215" s="311"/>
      <c r="M215" s="311"/>
      <c r="N215" s="311"/>
      <c r="O215" s="311"/>
      <c r="P215" s="311"/>
      <c r="Q215" s="285"/>
      <c r="R215" s="362">
        <v>0</v>
      </c>
      <c r="S215" s="311"/>
      <c r="T215" s="366"/>
      <c r="U215" s="364"/>
      <c r="V215" s="5"/>
    </row>
    <row r="216" spans="1:22" ht="15.6" x14ac:dyDescent="0.3">
      <c r="A216" s="360"/>
      <c r="B216" s="310" t="s">
        <v>84</v>
      </c>
      <c r="C216" s="365"/>
      <c r="D216" s="365"/>
      <c r="E216" s="365"/>
      <c r="F216" s="311"/>
      <c r="G216" s="311"/>
      <c r="H216" s="311"/>
      <c r="I216" s="311"/>
      <c r="J216" s="311"/>
      <c r="K216" s="311"/>
      <c r="L216" s="311"/>
      <c r="M216" s="311"/>
      <c r="N216" s="311"/>
      <c r="O216" s="311"/>
      <c r="P216" s="311"/>
      <c r="Q216" s="285"/>
      <c r="R216" s="367" t="s">
        <v>113</v>
      </c>
      <c r="S216" s="311"/>
      <c r="T216" s="366"/>
      <c r="U216" s="364"/>
      <c r="V216" s="5"/>
    </row>
    <row r="217" spans="1:22" ht="15.6" x14ac:dyDescent="0.3">
      <c r="A217" s="368"/>
      <c r="B217" s="310" t="s">
        <v>85</v>
      </c>
      <c r="C217" s="369"/>
      <c r="D217" s="369"/>
      <c r="E217" s="369"/>
      <c r="F217" s="369"/>
      <c r="G217" s="311"/>
      <c r="H217" s="311"/>
      <c r="I217" s="311"/>
      <c r="J217" s="311"/>
      <c r="K217" s="311"/>
      <c r="L217" s="311"/>
      <c r="M217" s="311"/>
      <c r="N217" s="311"/>
      <c r="O217" s="311"/>
      <c r="P217" s="311"/>
      <c r="Q217" s="285"/>
      <c r="R217" s="362"/>
      <c r="S217" s="311"/>
      <c r="T217" s="366"/>
      <c r="U217" s="370"/>
      <c r="V217" s="5"/>
    </row>
    <row r="218" spans="1:22" ht="15.6" x14ac:dyDescent="0.3">
      <c r="A218" s="368"/>
      <c r="B218" s="285" t="s">
        <v>86</v>
      </c>
      <c r="C218" s="285"/>
      <c r="D218" s="285"/>
      <c r="E218" s="285"/>
      <c r="F218" s="285"/>
      <c r="G218" s="285"/>
      <c r="H218" s="285"/>
      <c r="I218" s="285"/>
      <c r="J218" s="285"/>
      <c r="K218" s="285"/>
      <c r="L218" s="285"/>
      <c r="M218" s="285"/>
      <c r="N218" s="285"/>
      <c r="O218" s="285"/>
      <c r="P218" s="285"/>
      <c r="Q218" s="293"/>
      <c r="R218" s="362">
        <f>T162</f>
        <v>196</v>
      </c>
      <c r="S218" s="285"/>
      <c r="T218" s="363"/>
      <c r="U218" s="370"/>
      <c r="V218" s="5"/>
    </row>
    <row r="219" spans="1:22" ht="15.6" x14ac:dyDescent="0.3">
      <c r="A219" s="360"/>
      <c r="B219" s="285" t="s">
        <v>87</v>
      </c>
      <c r="C219" s="338"/>
      <c r="D219" s="338"/>
      <c r="E219" s="338"/>
      <c r="F219" s="338"/>
      <c r="G219" s="285"/>
      <c r="H219" s="285"/>
      <c r="I219" s="285"/>
      <c r="J219" s="285"/>
      <c r="K219" s="285"/>
      <c r="L219" s="285"/>
      <c r="M219" s="285"/>
      <c r="N219" s="285"/>
      <c r="O219" s="285"/>
      <c r="P219" s="285"/>
      <c r="Q219" s="293"/>
      <c r="R219" s="362">
        <f>'March 16'!R219+R218</f>
        <v>5810</v>
      </c>
      <c r="S219" s="285"/>
      <c r="T219" s="363"/>
      <c r="U219" s="370"/>
      <c r="V219" s="5"/>
    </row>
    <row r="220" spans="1:22" ht="15.6" x14ac:dyDescent="0.3">
      <c r="A220" s="368"/>
      <c r="B220" s="310" t="s">
        <v>282</v>
      </c>
      <c r="C220" s="369"/>
      <c r="D220" s="369"/>
      <c r="E220" s="369"/>
      <c r="F220" s="369"/>
      <c r="G220" s="311"/>
      <c r="H220" s="311"/>
      <c r="I220" s="311"/>
      <c r="J220" s="311"/>
      <c r="K220" s="311"/>
      <c r="L220" s="311"/>
      <c r="M220" s="311"/>
      <c r="N220" s="311"/>
      <c r="O220" s="311"/>
      <c r="P220" s="311"/>
      <c r="Q220" s="293"/>
      <c r="R220" s="362"/>
      <c r="S220" s="311"/>
      <c r="T220" s="366"/>
      <c r="U220" s="370"/>
      <c r="V220" s="5"/>
    </row>
    <row r="221" spans="1:22" ht="15.6" x14ac:dyDescent="0.3">
      <c r="A221" s="368"/>
      <c r="B221" s="285" t="s">
        <v>280</v>
      </c>
      <c r="C221" s="369"/>
      <c r="D221" s="369"/>
      <c r="E221" s="369"/>
      <c r="F221" s="369"/>
      <c r="G221" s="311"/>
      <c r="H221" s="311"/>
      <c r="I221" s="311"/>
      <c r="J221" s="311"/>
      <c r="K221" s="311"/>
      <c r="L221" s="311"/>
      <c r="M221" s="311"/>
      <c r="N221" s="311"/>
      <c r="O221" s="311"/>
      <c r="P221" s="311"/>
      <c r="Q221" s="293">
        <v>0</v>
      </c>
      <c r="R221" s="362">
        <v>0</v>
      </c>
      <c r="S221" s="311"/>
      <c r="T221" s="366"/>
      <c r="U221" s="370"/>
      <c r="V221" s="5"/>
    </row>
    <row r="222" spans="1:22" ht="15.6" x14ac:dyDescent="0.3">
      <c r="A222" s="360"/>
      <c r="B222" s="285" t="s">
        <v>89</v>
      </c>
      <c r="C222" s="373"/>
      <c r="D222" s="373"/>
      <c r="E222" s="373"/>
      <c r="F222" s="374"/>
      <c r="G222" s="311"/>
      <c r="H222" s="311"/>
      <c r="I222" s="311"/>
      <c r="J222" s="311"/>
      <c r="K222" s="311"/>
      <c r="L222" s="311"/>
      <c r="M222" s="311"/>
      <c r="N222" s="311"/>
      <c r="O222" s="311"/>
      <c r="P222" s="311"/>
      <c r="Q222" s="285"/>
      <c r="R222" s="367">
        <v>0</v>
      </c>
      <c r="S222" s="311"/>
      <c r="T222" s="366"/>
      <c r="U222" s="370"/>
      <c r="V222" s="5"/>
    </row>
    <row r="223" spans="1:22" ht="15.6" x14ac:dyDescent="0.3">
      <c r="A223" s="360"/>
      <c r="B223" s="285" t="s">
        <v>90</v>
      </c>
      <c r="C223" s="373"/>
      <c r="D223" s="373"/>
      <c r="E223" s="373"/>
      <c r="F223" s="374"/>
      <c r="G223" s="311"/>
      <c r="H223" s="311"/>
      <c r="I223" s="311"/>
      <c r="J223" s="311"/>
      <c r="K223" s="311"/>
      <c r="L223" s="311"/>
      <c r="M223" s="311"/>
      <c r="N223" s="311"/>
      <c r="O223" s="311"/>
      <c r="P223" s="311"/>
      <c r="Q223" s="285"/>
      <c r="R223" s="367">
        <v>0</v>
      </c>
      <c r="S223" s="311"/>
      <c r="T223" s="366"/>
      <c r="U223" s="370"/>
      <c r="V223" s="5"/>
    </row>
    <row r="224" spans="1:22" ht="15.6" x14ac:dyDescent="0.3">
      <c r="A224" s="360"/>
      <c r="B224" s="310" t="s">
        <v>226</v>
      </c>
      <c r="C224" s="373"/>
      <c r="D224" s="373"/>
      <c r="E224" s="373"/>
      <c r="F224" s="374"/>
      <c r="G224" s="311"/>
      <c r="H224" s="311"/>
      <c r="I224" s="311"/>
      <c r="J224" s="311"/>
      <c r="K224" s="311"/>
      <c r="L224" s="311"/>
      <c r="M224" s="311"/>
      <c r="N224" s="311"/>
      <c r="O224" s="311"/>
      <c r="P224" s="311"/>
      <c r="Q224" s="293"/>
      <c r="R224" s="375"/>
      <c r="S224" s="311"/>
      <c r="T224" s="366"/>
      <c r="U224" s="370"/>
      <c r="V224" s="5"/>
    </row>
    <row r="225" spans="1:23" ht="15.6" x14ac:dyDescent="0.3">
      <c r="A225" s="360"/>
      <c r="B225" s="285" t="s">
        <v>280</v>
      </c>
      <c r="C225" s="373"/>
      <c r="D225" s="373"/>
      <c r="E225" s="373"/>
      <c r="F225" s="374"/>
      <c r="G225" s="311"/>
      <c r="H225" s="311"/>
      <c r="I225" s="311"/>
      <c r="J225" s="311"/>
      <c r="K225" s="311"/>
      <c r="L225" s="311"/>
      <c r="M225" s="311"/>
      <c r="N225" s="311"/>
      <c r="O225" s="311"/>
      <c r="P225" s="311"/>
      <c r="Q225" s="293">
        <v>5</v>
      </c>
      <c r="R225" s="362">
        <v>537</v>
      </c>
      <c r="S225" s="311"/>
      <c r="T225" s="366"/>
      <c r="U225" s="370"/>
      <c r="V225" s="5"/>
    </row>
    <row r="226" spans="1:23" ht="15.6" x14ac:dyDescent="0.3">
      <c r="A226" s="360"/>
      <c r="B226" s="285" t="s">
        <v>227</v>
      </c>
      <c r="C226" s="373"/>
      <c r="D226" s="373"/>
      <c r="E226" s="373"/>
      <c r="F226" s="374"/>
      <c r="G226" s="311"/>
      <c r="H226" s="311"/>
      <c r="I226" s="311"/>
      <c r="J226" s="311"/>
      <c r="K226" s="311"/>
      <c r="L226" s="311"/>
      <c r="M226" s="311"/>
      <c r="N226" s="311"/>
      <c r="O226" s="311"/>
      <c r="P226" s="311"/>
      <c r="Q226" s="293"/>
      <c r="R226" s="367">
        <v>4.72</v>
      </c>
      <c r="S226" s="311"/>
      <c r="T226" s="366"/>
      <c r="U226" s="370"/>
      <c r="V226" s="5"/>
    </row>
    <row r="227" spans="1:23" ht="15.6" x14ac:dyDescent="0.3">
      <c r="A227" s="360"/>
      <c r="B227" s="369"/>
      <c r="C227" s="373"/>
      <c r="D227" s="373"/>
      <c r="E227" s="373"/>
      <c r="F227" s="374"/>
      <c r="G227" s="311"/>
      <c r="H227" s="311"/>
      <c r="I227" s="311"/>
      <c r="J227" s="311"/>
      <c r="K227" s="311"/>
      <c r="L227" s="311"/>
      <c r="M227" s="311"/>
      <c r="N227" s="311"/>
      <c r="O227" s="311"/>
      <c r="P227" s="311"/>
      <c r="Q227" s="311"/>
      <c r="R227" s="376"/>
      <c r="S227" s="311"/>
      <c r="T227" s="366"/>
      <c r="U227" s="370"/>
      <c r="V227" s="5"/>
    </row>
    <row r="228" spans="1:23" ht="15.6" x14ac:dyDescent="0.3">
      <c r="A228" s="360"/>
      <c r="B228" s="369"/>
      <c r="C228" s="373"/>
      <c r="D228" s="373"/>
      <c r="E228" s="373"/>
      <c r="F228" s="374"/>
      <c r="G228" s="311"/>
      <c r="H228" s="311"/>
      <c r="I228" s="311"/>
      <c r="J228" s="311"/>
      <c r="K228" s="311"/>
      <c r="L228" s="311"/>
      <c r="M228" s="311"/>
      <c r="N228" s="311"/>
      <c r="O228" s="311"/>
      <c r="P228" s="311"/>
      <c r="Q228" s="311"/>
      <c r="R228" s="376"/>
      <c r="S228" s="311"/>
      <c r="T228" s="366"/>
      <c r="U228" s="370"/>
      <c r="V228" s="5"/>
    </row>
    <row r="229" spans="1:23" ht="17.399999999999999" x14ac:dyDescent="0.3">
      <c r="A229" s="360"/>
      <c r="B229" s="377" t="s">
        <v>175</v>
      </c>
      <c r="C229" s="373"/>
      <c r="D229" s="373"/>
      <c r="E229" s="373"/>
      <c r="F229" s="374"/>
      <c r="G229" s="311"/>
      <c r="H229" s="311"/>
      <c r="I229" s="311"/>
      <c r="J229" s="311"/>
      <c r="K229" s="311"/>
      <c r="L229" s="311"/>
      <c r="M229" s="311"/>
      <c r="N229" s="378" t="s">
        <v>174</v>
      </c>
      <c r="O229" s="311"/>
      <c r="P229" s="311"/>
      <c r="Q229" s="311"/>
      <c r="R229" s="376"/>
      <c r="S229" s="311"/>
      <c r="T229" s="366"/>
      <c r="U229" s="370"/>
      <c r="V229" s="5"/>
    </row>
    <row r="230" spans="1:23" ht="15.6" x14ac:dyDescent="0.3">
      <c r="A230" s="355"/>
      <c r="B230" s="350"/>
      <c r="C230" s="356"/>
      <c r="D230" s="356"/>
      <c r="E230" s="356"/>
      <c r="F230" s="357"/>
      <c r="G230" s="334"/>
      <c r="H230" s="334"/>
      <c r="I230" s="334"/>
      <c r="J230" s="334"/>
      <c r="K230" s="334"/>
      <c r="L230" s="334"/>
      <c r="M230" s="334"/>
      <c r="N230" s="334"/>
      <c r="O230" s="334"/>
      <c r="P230" s="334"/>
      <c r="Q230" s="334"/>
      <c r="R230" s="358"/>
      <c r="S230" s="334"/>
      <c r="T230" s="351"/>
      <c r="U230" s="359"/>
      <c r="V230" s="5"/>
    </row>
    <row r="231" spans="1:23" ht="15.6" x14ac:dyDescent="0.3">
      <c r="A231" s="222"/>
      <c r="B231" s="395" t="s">
        <v>295</v>
      </c>
      <c r="C231" s="396"/>
      <c r="D231" s="396"/>
      <c r="E231" s="396"/>
      <c r="F231" s="402"/>
      <c r="G231" s="396"/>
      <c r="H231" s="396"/>
      <c r="I231" s="396"/>
      <c r="J231" s="396"/>
      <c r="K231" s="396"/>
      <c r="L231" s="396"/>
      <c r="M231" s="396"/>
      <c r="N231" s="396"/>
      <c r="O231" s="396"/>
      <c r="P231" s="402" t="s">
        <v>105</v>
      </c>
      <c r="Q231" s="396" t="s">
        <v>106</v>
      </c>
      <c r="R231" s="402" t="s">
        <v>114</v>
      </c>
      <c r="S231" s="396" t="s">
        <v>106</v>
      </c>
      <c r="T231" s="223"/>
      <c r="U231" s="395"/>
      <c r="V231" s="5"/>
    </row>
    <row r="232" spans="1:23" ht="15.6" x14ac:dyDescent="0.3">
      <c r="A232" s="190"/>
      <c r="B232" s="243" t="s">
        <v>91</v>
      </c>
      <c r="C232" s="217"/>
      <c r="D232" s="217"/>
      <c r="E232" s="217"/>
      <c r="F232" s="191"/>
      <c r="G232" s="217"/>
      <c r="H232" s="217"/>
      <c r="I232" s="217"/>
      <c r="J232" s="217"/>
      <c r="K232" s="217"/>
      <c r="L232" s="217"/>
      <c r="M232" s="217"/>
      <c r="N232" s="217"/>
      <c r="O232" s="217"/>
      <c r="P232" s="338">
        <f t="shared" ref="P232:P239" si="1">+P244+P256+P268</f>
        <v>3587</v>
      </c>
      <c r="Q232" s="384">
        <f t="shared" ref="Q232:Q239" si="2">P232/$P$241</f>
        <v>0.99721990547678618</v>
      </c>
      <c r="R232" s="339">
        <f t="shared" ref="R232:R239" si="3">+R244+R256+R268</f>
        <v>462699</v>
      </c>
      <c r="S232" s="384">
        <f t="shared" ref="S232:S239" si="4">R232/$R$241</f>
        <v>0.99686741225414899</v>
      </c>
      <c r="T232" s="213"/>
      <c r="U232" s="216"/>
      <c r="V232" s="5"/>
    </row>
    <row r="233" spans="1:23" ht="15.6" x14ac:dyDescent="0.3">
      <c r="A233" s="284"/>
      <c r="B233" s="338" t="s">
        <v>92</v>
      </c>
      <c r="C233" s="382"/>
      <c r="D233" s="382"/>
      <c r="E233" s="382"/>
      <c r="F233" s="311"/>
      <c r="G233" s="383"/>
      <c r="H233" s="382"/>
      <c r="I233" s="382"/>
      <c r="J233" s="382"/>
      <c r="K233" s="382"/>
      <c r="L233" s="382"/>
      <c r="M233" s="382"/>
      <c r="N233" s="382"/>
      <c r="O233" s="382"/>
      <c r="P233" s="338">
        <f t="shared" si="1"/>
        <v>2</v>
      </c>
      <c r="Q233" s="384">
        <f t="shared" si="2"/>
        <v>5.5601890464275787E-4</v>
      </c>
      <c r="R233" s="339">
        <f t="shared" si="3"/>
        <v>232</v>
      </c>
      <c r="S233" s="384">
        <f t="shared" si="4"/>
        <v>4.9983518365711308E-4</v>
      </c>
      <c r="T233" s="366"/>
      <c r="U233" s="370"/>
      <c r="V233" s="5"/>
      <c r="W233" s="109"/>
    </row>
    <row r="234" spans="1:23" ht="15.6" x14ac:dyDescent="0.3">
      <c r="A234" s="284"/>
      <c r="B234" s="338" t="s">
        <v>93</v>
      </c>
      <c r="C234" s="382"/>
      <c r="D234" s="382"/>
      <c r="E234" s="382"/>
      <c r="F234" s="311"/>
      <c r="G234" s="383"/>
      <c r="H234" s="382"/>
      <c r="I234" s="382"/>
      <c r="J234" s="382"/>
      <c r="K234" s="382"/>
      <c r="L234" s="382"/>
      <c r="M234" s="382"/>
      <c r="N234" s="382"/>
      <c r="O234" s="382"/>
      <c r="P234" s="338">
        <f t="shared" si="1"/>
        <v>1</v>
      </c>
      <c r="Q234" s="384">
        <f t="shared" si="2"/>
        <v>2.7800945232137893E-4</v>
      </c>
      <c r="R234" s="339">
        <f t="shared" si="3"/>
        <v>264</v>
      </c>
      <c r="S234" s="384">
        <f t="shared" si="4"/>
        <v>5.6877796760981835E-4</v>
      </c>
      <c r="T234" s="366"/>
      <c r="U234" s="370"/>
      <c r="V234" s="5"/>
    </row>
    <row r="235" spans="1:23" ht="15.6" x14ac:dyDescent="0.3">
      <c r="A235" s="284"/>
      <c r="B235" s="338" t="s">
        <v>163</v>
      </c>
      <c r="C235" s="382"/>
      <c r="D235" s="382"/>
      <c r="E235" s="382"/>
      <c r="F235" s="311"/>
      <c r="G235" s="383"/>
      <c r="H235" s="382"/>
      <c r="I235" s="382"/>
      <c r="J235" s="382"/>
      <c r="K235" s="382"/>
      <c r="L235" s="382"/>
      <c r="M235" s="382"/>
      <c r="N235" s="382"/>
      <c r="O235" s="382"/>
      <c r="P235" s="338">
        <f t="shared" si="1"/>
        <v>2</v>
      </c>
      <c r="Q235" s="384">
        <f t="shared" si="2"/>
        <v>5.5601890464275787E-4</v>
      </c>
      <c r="R235" s="339">
        <f t="shared" si="3"/>
        <v>256</v>
      </c>
      <c r="S235" s="384">
        <f t="shared" si="4"/>
        <v>5.5154227162164198E-4</v>
      </c>
      <c r="T235" s="366"/>
      <c r="U235" s="370"/>
      <c r="V235" s="5"/>
      <c r="W235" s="109"/>
    </row>
    <row r="236" spans="1:23" ht="15.6" x14ac:dyDescent="0.3">
      <c r="A236" s="284"/>
      <c r="B236" s="338" t="s">
        <v>164</v>
      </c>
      <c r="C236" s="382"/>
      <c r="D236" s="382"/>
      <c r="E236" s="382"/>
      <c r="F236" s="311"/>
      <c r="G236" s="383"/>
      <c r="H236" s="382"/>
      <c r="I236" s="382"/>
      <c r="J236" s="382"/>
      <c r="K236" s="382"/>
      <c r="L236" s="382"/>
      <c r="M236" s="382"/>
      <c r="N236" s="382"/>
      <c r="O236" s="382"/>
      <c r="P236" s="338">
        <f t="shared" si="1"/>
        <v>1</v>
      </c>
      <c r="Q236" s="384">
        <f t="shared" si="2"/>
        <v>2.7800945232137893E-4</v>
      </c>
      <c r="R236" s="339">
        <f t="shared" si="3"/>
        <v>122</v>
      </c>
      <c r="S236" s="384">
        <f t="shared" si="4"/>
        <v>2.6284436381968876E-4</v>
      </c>
      <c r="T236" s="366"/>
      <c r="U236" s="370"/>
      <c r="V236" s="5"/>
    </row>
    <row r="237" spans="1:23" ht="15.6" x14ac:dyDescent="0.3">
      <c r="A237" s="284"/>
      <c r="B237" s="338" t="s">
        <v>165</v>
      </c>
      <c r="C237" s="382"/>
      <c r="D237" s="382"/>
      <c r="E237" s="382"/>
      <c r="F237" s="311"/>
      <c r="G237" s="383"/>
      <c r="H237" s="382"/>
      <c r="I237" s="382"/>
      <c r="J237" s="382"/>
      <c r="K237" s="382"/>
      <c r="L237" s="382"/>
      <c r="M237" s="382"/>
      <c r="N237" s="382"/>
      <c r="O237" s="382"/>
      <c r="P237" s="338">
        <f t="shared" si="1"/>
        <v>0</v>
      </c>
      <c r="Q237" s="384">
        <f t="shared" si="2"/>
        <v>0</v>
      </c>
      <c r="R237" s="339">
        <f t="shared" si="3"/>
        <v>0</v>
      </c>
      <c r="S237" s="384">
        <f t="shared" si="4"/>
        <v>0</v>
      </c>
      <c r="T237" s="366"/>
      <c r="U237" s="370"/>
      <c r="V237" s="5"/>
      <c r="W237" s="109"/>
    </row>
    <row r="238" spans="1:23" ht="15.6" x14ac:dyDescent="0.3">
      <c r="A238" s="284"/>
      <c r="B238" s="338" t="s">
        <v>166</v>
      </c>
      <c r="C238" s="382"/>
      <c r="D238" s="382"/>
      <c r="E238" s="382"/>
      <c r="F238" s="311"/>
      <c r="G238" s="383"/>
      <c r="H238" s="382"/>
      <c r="I238" s="382"/>
      <c r="J238" s="382"/>
      <c r="K238" s="382"/>
      <c r="L238" s="382"/>
      <c r="M238" s="382"/>
      <c r="N238" s="382"/>
      <c r="O238" s="382"/>
      <c r="P238" s="338">
        <f t="shared" si="1"/>
        <v>1</v>
      </c>
      <c r="Q238" s="384">
        <f t="shared" si="2"/>
        <v>2.7800945232137893E-4</v>
      </c>
      <c r="R238" s="339">
        <f t="shared" si="3"/>
        <v>52</v>
      </c>
      <c r="S238" s="384">
        <f t="shared" si="4"/>
        <v>1.1203202392314603E-4</v>
      </c>
      <c r="T238" s="366"/>
      <c r="U238" s="370"/>
      <c r="V238" s="5"/>
    </row>
    <row r="239" spans="1:23" ht="15.6" x14ac:dyDescent="0.3">
      <c r="A239" s="284"/>
      <c r="B239" s="338" t="s">
        <v>167</v>
      </c>
      <c r="C239" s="382"/>
      <c r="D239" s="382"/>
      <c r="E239" s="382"/>
      <c r="F239" s="311"/>
      <c r="G239" s="383"/>
      <c r="H239" s="382"/>
      <c r="I239" s="382"/>
      <c r="J239" s="382"/>
      <c r="K239" s="382"/>
      <c r="L239" s="382"/>
      <c r="M239" s="382"/>
      <c r="N239" s="382"/>
      <c r="O239" s="382"/>
      <c r="P239" s="338">
        <f t="shared" si="1"/>
        <v>3</v>
      </c>
      <c r="Q239" s="384">
        <f t="shared" si="2"/>
        <v>8.3402835696413675E-4</v>
      </c>
      <c r="R239" s="339">
        <f t="shared" si="3"/>
        <v>528</v>
      </c>
      <c r="S239" s="384">
        <f t="shared" si="4"/>
        <v>1.1375559352196367E-3</v>
      </c>
      <c r="T239" s="366"/>
      <c r="U239" s="370"/>
      <c r="V239" s="5"/>
      <c r="W239" s="109"/>
    </row>
    <row r="240" spans="1:23" ht="15.6" x14ac:dyDescent="0.3">
      <c r="A240" s="284"/>
      <c r="B240" s="338"/>
      <c r="C240" s="382"/>
      <c r="D240" s="382"/>
      <c r="E240" s="382"/>
      <c r="F240" s="311"/>
      <c r="G240" s="383"/>
      <c r="H240" s="382"/>
      <c r="I240" s="382"/>
      <c r="J240" s="382"/>
      <c r="K240" s="382"/>
      <c r="L240" s="382"/>
      <c r="M240" s="382"/>
      <c r="N240" s="382"/>
      <c r="O240" s="382"/>
      <c r="P240" s="338"/>
      <c r="Q240" s="384"/>
      <c r="R240" s="339"/>
      <c r="S240" s="384"/>
      <c r="T240" s="366"/>
      <c r="U240" s="370"/>
      <c r="V240" s="5"/>
    </row>
    <row r="241" spans="1:23" ht="15.6" x14ac:dyDescent="0.3">
      <c r="A241" s="284"/>
      <c r="B241" s="285" t="s">
        <v>120</v>
      </c>
      <c r="C241" s="311"/>
      <c r="D241" s="311"/>
      <c r="E241" s="311"/>
      <c r="F241" s="311"/>
      <c r="G241" s="311"/>
      <c r="H241" s="385"/>
      <c r="I241" s="385"/>
      <c r="J241" s="385"/>
      <c r="K241" s="385"/>
      <c r="L241" s="385"/>
      <c r="M241" s="385"/>
      <c r="N241" s="385"/>
      <c r="O241" s="385"/>
      <c r="P241" s="338">
        <f>SUM(P232:P240)</f>
        <v>3597</v>
      </c>
      <c r="Q241" s="384">
        <f>SUM(Q232:Q240)</f>
        <v>0.99999999999999989</v>
      </c>
      <c r="R241" s="339">
        <f>SUM(R232:R240)</f>
        <v>464153</v>
      </c>
      <c r="S241" s="384">
        <f>SUM(S232:S240)</f>
        <v>1.0000000000000002</v>
      </c>
      <c r="T241" s="311"/>
      <c r="U241" s="317"/>
      <c r="V241" s="5"/>
    </row>
    <row r="242" spans="1:23" ht="15.6" x14ac:dyDescent="0.3">
      <c r="A242" s="355"/>
      <c r="B242" s="350"/>
      <c r="C242" s="356"/>
      <c r="D242" s="356"/>
      <c r="E242" s="356"/>
      <c r="F242" s="357"/>
      <c r="G242" s="334"/>
      <c r="H242" s="334"/>
      <c r="I242" s="334"/>
      <c r="J242" s="334"/>
      <c r="K242" s="334"/>
      <c r="L242" s="334"/>
      <c r="M242" s="334"/>
      <c r="N242" s="334"/>
      <c r="O242" s="334"/>
      <c r="P242" s="334"/>
      <c r="Q242" s="334"/>
      <c r="R242" s="358"/>
      <c r="S242" s="334"/>
      <c r="T242" s="351"/>
      <c r="U242" s="359"/>
      <c r="V242" s="5"/>
    </row>
    <row r="243" spans="1:23" ht="15.6" x14ac:dyDescent="0.3">
      <c r="A243" s="222"/>
      <c r="B243" s="395" t="s">
        <v>169</v>
      </c>
      <c r="C243" s="396"/>
      <c r="D243" s="396"/>
      <c r="E243" s="396"/>
      <c r="F243" s="402"/>
      <c r="G243" s="396"/>
      <c r="H243" s="396"/>
      <c r="I243" s="396"/>
      <c r="J243" s="396"/>
      <c r="K243" s="396"/>
      <c r="L243" s="396"/>
      <c r="M243" s="396"/>
      <c r="N243" s="396"/>
      <c r="O243" s="396"/>
      <c r="P243" s="402" t="s">
        <v>105</v>
      </c>
      <c r="Q243" s="396" t="s">
        <v>106</v>
      </c>
      <c r="R243" s="402" t="s">
        <v>114</v>
      </c>
      <c r="S243" s="396" t="s">
        <v>106</v>
      </c>
      <c r="T243" s="223"/>
      <c r="U243" s="395"/>
      <c r="V243" s="5"/>
    </row>
    <row r="244" spans="1:23" ht="15.6" x14ac:dyDescent="0.3">
      <c r="A244" s="190"/>
      <c r="B244" s="243" t="s">
        <v>91</v>
      </c>
      <c r="C244" s="217"/>
      <c r="D244" s="217"/>
      <c r="E244" s="217"/>
      <c r="F244" s="191"/>
      <c r="G244" s="217"/>
      <c r="H244" s="217"/>
      <c r="I244" s="217"/>
      <c r="J244" s="217"/>
      <c r="K244" s="217"/>
      <c r="L244" s="217"/>
      <c r="M244" s="217"/>
      <c r="N244" s="217"/>
      <c r="O244" s="217"/>
      <c r="P244" s="243">
        <v>3534</v>
      </c>
      <c r="Q244" s="274">
        <f t="shared" ref="Q244:Q251" si="5">P244/$P$253</f>
        <v>0.99915182357930454</v>
      </c>
      <c r="R244" s="251">
        <v>454580</v>
      </c>
      <c r="S244" s="274">
        <f t="shared" ref="S244:S251" si="6">R244/$R$253</f>
        <v>0.99924822277225545</v>
      </c>
      <c r="T244" s="213"/>
      <c r="U244" s="216"/>
      <c r="V244" s="5"/>
    </row>
    <row r="245" spans="1:23" ht="15.6" x14ac:dyDescent="0.3">
      <c r="A245" s="284"/>
      <c r="B245" s="338" t="s">
        <v>92</v>
      </c>
      <c r="C245" s="382"/>
      <c r="D245" s="382"/>
      <c r="E245" s="382"/>
      <c r="F245" s="311"/>
      <c r="G245" s="383"/>
      <c r="H245" s="382"/>
      <c r="I245" s="382"/>
      <c r="J245" s="382"/>
      <c r="K245" s="382"/>
      <c r="L245" s="382"/>
      <c r="M245" s="382"/>
      <c r="N245" s="382"/>
      <c r="O245" s="382"/>
      <c r="P245" s="338">
        <v>2</v>
      </c>
      <c r="Q245" s="384">
        <f t="shared" si="5"/>
        <v>5.654509471303364E-4</v>
      </c>
      <c r="R245" s="339">
        <v>232</v>
      </c>
      <c r="S245" s="384">
        <f t="shared" si="6"/>
        <v>5.0997753461032877E-4</v>
      </c>
      <c r="T245" s="366"/>
      <c r="U245" s="370"/>
      <c r="V245" s="5"/>
      <c r="W245" s="109"/>
    </row>
    <row r="246" spans="1:23" ht="15.6" x14ac:dyDescent="0.3">
      <c r="A246" s="284"/>
      <c r="B246" s="338" t="s">
        <v>93</v>
      </c>
      <c r="C246" s="382"/>
      <c r="D246" s="382"/>
      <c r="E246" s="382"/>
      <c r="F246" s="311"/>
      <c r="G246" s="383"/>
      <c r="H246" s="382"/>
      <c r="I246" s="382"/>
      <c r="J246" s="382"/>
      <c r="K246" s="382"/>
      <c r="L246" s="382"/>
      <c r="M246" s="382"/>
      <c r="N246" s="382"/>
      <c r="O246" s="382"/>
      <c r="P246" s="338">
        <v>0</v>
      </c>
      <c r="Q246" s="384">
        <f t="shared" si="5"/>
        <v>0</v>
      </c>
      <c r="R246" s="339">
        <v>0</v>
      </c>
      <c r="S246" s="384">
        <f t="shared" si="6"/>
        <v>0</v>
      </c>
      <c r="T246" s="366"/>
      <c r="U246" s="370"/>
      <c r="V246" s="5"/>
    </row>
    <row r="247" spans="1:23" ht="15.6" x14ac:dyDescent="0.3">
      <c r="A247" s="284"/>
      <c r="B247" s="338" t="s">
        <v>163</v>
      </c>
      <c r="C247" s="382"/>
      <c r="D247" s="382"/>
      <c r="E247" s="382"/>
      <c r="F247" s="311"/>
      <c r="G247" s="383"/>
      <c r="H247" s="382"/>
      <c r="I247" s="382"/>
      <c r="J247" s="382"/>
      <c r="K247" s="382"/>
      <c r="L247" s="382"/>
      <c r="M247" s="382"/>
      <c r="N247" s="382"/>
      <c r="O247" s="382"/>
      <c r="P247" s="338">
        <v>1</v>
      </c>
      <c r="Q247" s="384">
        <f t="shared" si="5"/>
        <v>2.827254735651682E-4</v>
      </c>
      <c r="R247" s="339">
        <v>110</v>
      </c>
      <c r="S247" s="384">
        <f t="shared" si="6"/>
        <v>2.4179969313420762E-4</v>
      </c>
      <c r="T247" s="366"/>
      <c r="U247" s="370"/>
      <c r="V247" s="5"/>
      <c r="W247" s="109"/>
    </row>
    <row r="248" spans="1:23" ht="15.6" x14ac:dyDescent="0.3">
      <c r="A248" s="284"/>
      <c r="B248" s="338" t="s">
        <v>164</v>
      </c>
      <c r="C248" s="382"/>
      <c r="D248" s="382"/>
      <c r="E248" s="382"/>
      <c r="F248" s="311"/>
      <c r="G248" s="383"/>
      <c r="H248" s="382"/>
      <c r="I248" s="382"/>
      <c r="J248" s="382"/>
      <c r="K248" s="382"/>
      <c r="L248" s="382"/>
      <c r="M248" s="382"/>
      <c r="N248" s="382"/>
      <c r="O248" s="382"/>
      <c r="P248" s="338">
        <v>0</v>
      </c>
      <c r="Q248" s="384">
        <f t="shared" si="5"/>
        <v>0</v>
      </c>
      <c r="R248" s="339">
        <v>0</v>
      </c>
      <c r="S248" s="384">
        <f t="shared" si="6"/>
        <v>0</v>
      </c>
      <c r="T248" s="366"/>
      <c r="U248" s="370"/>
      <c r="V248" s="5"/>
    </row>
    <row r="249" spans="1:23" ht="15.6" x14ac:dyDescent="0.3">
      <c r="A249" s="284"/>
      <c r="B249" s="338" t="s">
        <v>165</v>
      </c>
      <c r="C249" s="382"/>
      <c r="D249" s="382"/>
      <c r="E249" s="382"/>
      <c r="F249" s="311"/>
      <c r="G249" s="383"/>
      <c r="H249" s="382"/>
      <c r="I249" s="382"/>
      <c r="J249" s="382"/>
      <c r="K249" s="382"/>
      <c r="L249" s="382"/>
      <c r="M249" s="382"/>
      <c r="N249" s="382"/>
      <c r="O249" s="382"/>
      <c r="P249" s="338">
        <v>0</v>
      </c>
      <c r="Q249" s="384">
        <f t="shared" si="5"/>
        <v>0</v>
      </c>
      <c r="R249" s="339">
        <v>0</v>
      </c>
      <c r="S249" s="384">
        <f t="shared" si="6"/>
        <v>0</v>
      </c>
      <c r="T249" s="366"/>
      <c r="U249" s="370"/>
      <c r="V249" s="5"/>
      <c r="W249" s="109"/>
    </row>
    <row r="250" spans="1:23" ht="15.6" x14ac:dyDescent="0.3">
      <c r="A250" s="284"/>
      <c r="B250" s="338" t="s">
        <v>166</v>
      </c>
      <c r="C250" s="382"/>
      <c r="D250" s="382"/>
      <c r="E250" s="382"/>
      <c r="F250" s="311"/>
      <c r="G250" s="383"/>
      <c r="H250" s="382"/>
      <c r="I250" s="382"/>
      <c r="J250" s="382"/>
      <c r="K250" s="382"/>
      <c r="L250" s="382"/>
      <c r="M250" s="382"/>
      <c r="N250" s="382"/>
      <c r="O250" s="382"/>
      <c r="P250" s="338">
        <v>0</v>
      </c>
      <c r="Q250" s="384">
        <f t="shared" si="5"/>
        <v>0</v>
      </c>
      <c r="R250" s="339">
        <v>0</v>
      </c>
      <c r="S250" s="384">
        <f t="shared" si="6"/>
        <v>0</v>
      </c>
      <c r="T250" s="366"/>
      <c r="U250" s="370"/>
      <c r="V250" s="5"/>
    </row>
    <row r="251" spans="1:23" ht="15.6" x14ac:dyDescent="0.3">
      <c r="A251" s="284"/>
      <c r="B251" s="338" t="s">
        <v>167</v>
      </c>
      <c r="C251" s="382"/>
      <c r="D251" s="382"/>
      <c r="E251" s="382"/>
      <c r="F251" s="311"/>
      <c r="G251" s="383"/>
      <c r="H251" s="382"/>
      <c r="I251" s="382"/>
      <c r="J251" s="382"/>
      <c r="K251" s="382"/>
      <c r="L251" s="382"/>
      <c r="M251" s="382"/>
      <c r="N251" s="382"/>
      <c r="O251" s="382"/>
      <c r="P251" s="338">
        <v>0</v>
      </c>
      <c r="Q251" s="384">
        <f t="shared" si="5"/>
        <v>0</v>
      </c>
      <c r="R251" s="339">
        <v>0</v>
      </c>
      <c r="S251" s="384">
        <f t="shared" si="6"/>
        <v>0</v>
      </c>
      <c r="T251" s="366"/>
      <c r="U251" s="370"/>
      <c r="V251" s="5"/>
      <c r="W251" s="109"/>
    </row>
    <row r="252" spans="1:23" ht="15.6" x14ac:dyDescent="0.3">
      <c r="A252" s="284"/>
      <c r="B252" s="338"/>
      <c r="C252" s="382"/>
      <c r="D252" s="382"/>
      <c r="E252" s="382"/>
      <c r="F252" s="311"/>
      <c r="G252" s="383"/>
      <c r="H252" s="382"/>
      <c r="I252" s="382"/>
      <c r="J252" s="382"/>
      <c r="K252" s="382"/>
      <c r="L252" s="382"/>
      <c r="M252" s="382"/>
      <c r="N252" s="382"/>
      <c r="O252" s="382"/>
      <c r="P252" s="338"/>
      <c r="Q252" s="384"/>
      <c r="R252" s="339"/>
      <c r="S252" s="384"/>
      <c r="T252" s="366"/>
      <c r="U252" s="370"/>
      <c r="V252" s="5"/>
    </row>
    <row r="253" spans="1:23" ht="15.6" x14ac:dyDescent="0.3">
      <c r="A253" s="284"/>
      <c r="B253" s="285" t="s">
        <v>120</v>
      </c>
      <c r="C253" s="311"/>
      <c r="D253" s="311"/>
      <c r="E253" s="311"/>
      <c r="F253" s="311"/>
      <c r="G253" s="311"/>
      <c r="H253" s="385"/>
      <c r="I253" s="385"/>
      <c r="J253" s="385"/>
      <c r="K253" s="385"/>
      <c r="L253" s="385"/>
      <c r="M253" s="385"/>
      <c r="N253" s="385"/>
      <c r="O253" s="385"/>
      <c r="P253" s="338">
        <f>SUM(P244:P252)</f>
        <v>3537</v>
      </c>
      <c r="Q253" s="384">
        <f>SUM(Q244:Q252)</f>
        <v>1</v>
      </c>
      <c r="R253" s="339">
        <f>SUM(R244:R252)</f>
        <v>454922</v>
      </c>
      <c r="S253" s="384">
        <f>SUM(S244:S252)</f>
        <v>1</v>
      </c>
      <c r="T253" s="311"/>
      <c r="U253" s="317"/>
      <c r="V253" s="5"/>
    </row>
    <row r="254" spans="1:23" ht="15.6" x14ac:dyDescent="0.3">
      <c r="A254" s="175"/>
      <c r="B254" s="334"/>
      <c r="C254" s="334"/>
      <c r="D254" s="334"/>
      <c r="E254" s="334"/>
      <c r="F254" s="334"/>
      <c r="G254" s="334"/>
      <c r="H254" s="379"/>
      <c r="I254" s="379"/>
      <c r="J254" s="379"/>
      <c r="K254" s="379"/>
      <c r="L254" s="379"/>
      <c r="M254" s="379"/>
      <c r="N254" s="379"/>
      <c r="O254" s="379"/>
      <c r="P254" s="335"/>
      <c r="Q254" s="380"/>
      <c r="R254" s="381"/>
      <c r="S254" s="380"/>
      <c r="T254" s="334"/>
      <c r="U254" s="334"/>
      <c r="V254" s="5"/>
    </row>
    <row r="255" spans="1:23" ht="15.6" x14ac:dyDescent="0.3">
      <c r="A255" s="268"/>
      <c r="B255" s="395" t="s">
        <v>267</v>
      </c>
      <c r="C255" s="396"/>
      <c r="D255" s="396"/>
      <c r="E255" s="396"/>
      <c r="F255" s="402"/>
      <c r="G255" s="396"/>
      <c r="H255" s="396"/>
      <c r="I255" s="396"/>
      <c r="J255" s="396"/>
      <c r="K255" s="396"/>
      <c r="L255" s="396"/>
      <c r="M255" s="396"/>
      <c r="N255" s="396"/>
      <c r="O255" s="396"/>
      <c r="P255" s="402" t="s">
        <v>105</v>
      </c>
      <c r="Q255" s="396" t="s">
        <v>106</v>
      </c>
      <c r="R255" s="402" t="s">
        <v>114</v>
      </c>
      <c r="S255" s="396" t="s">
        <v>106</v>
      </c>
      <c r="T255" s="269"/>
      <c r="U255" s="270"/>
      <c r="V255" s="5"/>
    </row>
    <row r="256" spans="1:23" ht="15.6" x14ac:dyDescent="0.3">
      <c r="A256" s="190"/>
      <c r="B256" s="243" t="s">
        <v>91</v>
      </c>
      <c r="C256" s="217"/>
      <c r="D256" s="217"/>
      <c r="E256" s="217"/>
      <c r="F256" s="191"/>
      <c r="G256" s="217"/>
      <c r="H256" s="217"/>
      <c r="I256" s="217"/>
      <c r="J256" s="217"/>
      <c r="K256" s="217"/>
      <c r="L256" s="217"/>
      <c r="M256" s="217"/>
      <c r="N256" s="217"/>
      <c r="O256" s="217"/>
      <c r="P256" s="243">
        <v>53</v>
      </c>
      <c r="Q256" s="274">
        <f t="shared" ref="Q256:Q263" si="7">P256/$P$265</f>
        <v>0.8833333333333333</v>
      </c>
      <c r="R256" s="251">
        <v>8119</v>
      </c>
      <c r="S256" s="274">
        <f>R256/$R$265</f>
        <v>0.87953634492471022</v>
      </c>
      <c r="T256" s="191"/>
      <c r="U256" s="191"/>
      <c r="V256" s="5"/>
    </row>
    <row r="257" spans="1:22" ht="15.6" x14ac:dyDescent="0.3">
      <c r="A257" s="284"/>
      <c r="B257" s="338" t="s">
        <v>92</v>
      </c>
      <c r="C257" s="382"/>
      <c r="D257" s="382"/>
      <c r="E257" s="382"/>
      <c r="F257" s="311"/>
      <c r="G257" s="383"/>
      <c r="H257" s="382"/>
      <c r="I257" s="382"/>
      <c r="J257" s="382"/>
      <c r="K257" s="382"/>
      <c r="L257" s="382"/>
      <c r="M257" s="382"/>
      <c r="N257" s="382"/>
      <c r="O257" s="382"/>
      <c r="P257" s="338">
        <v>0</v>
      </c>
      <c r="Q257" s="384">
        <f t="shared" si="7"/>
        <v>0</v>
      </c>
      <c r="R257" s="339">
        <v>0</v>
      </c>
      <c r="S257" s="384">
        <f t="shared" ref="S257:S263" si="8">R257/$R$265</f>
        <v>0</v>
      </c>
      <c r="T257" s="311"/>
      <c r="U257" s="317"/>
      <c r="V257" s="5"/>
    </row>
    <row r="258" spans="1:22" ht="15.6" x14ac:dyDescent="0.3">
      <c r="A258" s="284"/>
      <c r="B258" s="338" t="s">
        <v>93</v>
      </c>
      <c r="C258" s="382"/>
      <c r="D258" s="382"/>
      <c r="E258" s="382"/>
      <c r="F258" s="311"/>
      <c r="G258" s="383"/>
      <c r="H258" s="382"/>
      <c r="I258" s="382"/>
      <c r="J258" s="382"/>
      <c r="K258" s="382"/>
      <c r="L258" s="382"/>
      <c r="M258" s="382"/>
      <c r="N258" s="382"/>
      <c r="O258" s="382"/>
      <c r="P258" s="338">
        <v>1</v>
      </c>
      <c r="Q258" s="384">
        <f t="shared" si="7"/>
        <v>1.6666666666666666E-2</v>
      </c>
      <c r="R258" s="339">
        <v>264</v>
      </c>
      <c r="S258" s="384">
        <f t="shared" si="8"/>
        <v>2.8599285017874555E-2</v>
      </c>
      <c r="T258" s="311"/>
      <c r="U258" s="317"/>
      <c r="V258" s="5"/>
    </row>
    <row r="259" spans="1:22" ht="15.6" x14ac:dyDescent="0.3">
      <c r="A259" s="284"/>
      <c r="B259" s="338" t="s">
        <v>163</v>
      </c>
      <c r="C259" s="382"/>
      <c r="D259" s="382"/>
      <c r="E259" s="382"/>
      <c r="F259" s="311"/>
      <c r="G259" s="383"/>
      <c r="H259" s="382"/>
      <c r="I259" s="382"/>
      <c r="J259" s="382"/>
      <c r="K259" s="382"/>
      <c r="L259" s="382"/>
      <c r="M259" s="382"/>
      <c r="N259" s="382"/>
      <c r="O259" s="382"/>
      <c r="P259" s="338">
        <v>1</v>
      </c>
      <c r="Q259" s="384">
        <f t="shared" si="7"/>
        <v>1.6666666666666666E-2</v>
      </c>
      <c r="R259" s="339">
        <v>146</v>
      </c>
      <c r="S259" s="384">
        <f t="shared" si="8"/>
        <v>1.5816271259885169E-2</v>
      </c>
      <c r="T259" s="311"/>
      <c r="U259" s="317"/>
      <c r="V259" s="5"/>
    </row>
    <row r="260" spans="1:22" ht="15.6" x14ac:dyDescent="0.3">
      <c r="A260" s="284"/>
      <c r="B260" s="338" t="s">
        <v>164</v>
      </c>
      <c r="C260" s="382"/>
      <c r="D260" s="382"/>
      <c r="E260" s="382"/>
      <c r="F260" s="311"/>
      <c r="G260" s="383"/>
      <c r="H260" s="382"/>
      <c r="I260" s="382"/>
      <c r="J260" s="382"/>
      <c r="K260" s="382"/>
      <c r="L260" s="382"/>
      <c r="M260" s="382"/>
      <c r="N260" s="382"/>
      <c r="O260" s="382"/>
      <c r="P260" s="338">
        <v>1</v>
      </c>
      <c r="Q260" s="384">
        <f t="shared" si="7"/>
        <v>1.6666666666666666E-2</v>
      </c>
      <c r="R260" s="339">
        <v>122</v>
      </c>
      <c r="S260" s="384">
        <f t="shared" si="8"/>
        <v>1.321633625826021E-2</v>
      </c>
      <c r="T260" s="311"/>
      <c r="U260" s="317"/>
      <c r="V260" s="5"/>
    </row>
    <row r="261" spans="1:22" ht="15.6" x14ac:dyDescent="0.3">
      <c r="A261" s="284"/>
      <c r="B261" s="338" t="s">
        <v>165</v>
      </c>
      <c r="C261" s="382"/>
      <c r="D261" s="382"/>
      <c r="E261" s="382"/>
      <c r="F261" s="311"/>
      <c r="G261" s="383"/>
      <c r="H261" s="382"/>
      <c r="I261" s="382"/>
      <c r="J261" s="382"/>
      <c r="K261" s="382"/>
      <c r="L261" s="382"/>
      <c r="M261" s="382"/>
      <c r="N261" s="382"/>
      <c r="O261" s="382"/>
      <c r="P261" s="338">
        <v>0</v>
      </c>
      <c r="Q261" s="384">
        <f t="shared" si="7"/>
        <v>0</v>
      </c>
      <c r="R261" s="339">
        <v>0</v>
      </c>
      <c r="S261" s="384">
        <f t="shared" si="8"/>
        <v>0</v>
      </c>
      <c r="T261" s="311"/>
      <c r="U261" s="317"/>
      <c r="V261" s="5"/>
    </row>
    <row r="262" spans="1:22" ht="15.6" x14ac:dyDescent="0.3">
      <c r="A262" s="284"/>
      <c r="B262" s="338" t="s">
        <v>166</v>
      </c>
      <c r="C262" s="382"/>
      <c r="D262" s="382"/>
      <c r="E262" s="382"/>
      <c r="F262" s="311"/>
      <c r="G262" s="383"/>
      <c r="H262" s="382"/>
      <c r="I262" s="382"/>
      <c r="J262" s="382"/>
      <c r="K262" s="382"/>
      <c r="L262" s="382"/>
      <c r="M262" s="382"/>
      <c r="N262" s="382"/>
      <c r="O262" s="382"/>
      <c r="P262" s="338">
        <v>1</v>
      </c>
      <c r="Q262" s="384">
        <f t="shared" si="7"/>
        <v>1.6666666666666666E-2</v>
      </c>
      <c r="R262" s="339">
        <v>52</v>
      </c>
      <c r="S262" s="384">
        <f t="shared" si="8"/>
        <v>5.6331925035207455E-3</v>
      </c>
      <c r="T262" s="311"/>
      <c r="U262" s="317"/>
      <c r="V262" s="5"/>
    </row>
    <row r="263" spans="1:22" ht="15.6" x14ac:dyDescent="0.3">
      <c r="A263" s="284"/>
      <c r="B263" s="338" t="s">
        <v>167</v>
      </c>
      <c r="C263" s="382"/>
      <c r="D263" s="382"/>
      <c r="E263" s="382"/>
      <c r="F263" s="311"/>
      <c r="G263" s="383"/>
      <c r="H263" s="382"/>
      <c r="I263" s="382"/>
      <c r="J263" s="382"/>
      <c r="K263" s="382"/>
      <c r="L263" s="382"/>
      <c r="M263" s="382"/>
      <c r="N263" s="382"/>
      <c r="O263" s="382"/>
      <c r="P263" s="338">
        <v>3</v>
      </c>
      <c r="Q263" s="384">
        <f t="shared" si="7"/>
        <v>0.05</v>
      </c>
      <c r="R263" s="339">
        <v>528</v>
      </c>
      <c r="S263" s="384">
        <f t="shared" si="8"/>
        <v>5.7198570035749109E-2</v>
      </c>
      <c r="T263" s="311"/>
      <c r="U263" s="317"/>
      <c r="V263" s="5"/>
    </row>
    <row r="264" spans="1:22" ht="15.6" x14ac:dyDescent="0.3">
      <c r="A264" s="284"/>
      <c r="B264" s="338"/>
      <c r="C264" s="382"/>
      <c r="D264" s="382"/>
      <c r="E264" s="382"/>
      <c r="F264" s="311"/>
      <c r="G264" s="383"/>
      <c r="H264" s="382"/>
      <c r="I264" s="382"/>
      <c r="J264" s="382"/>
      <c r="K264" s="382"/>
      <c r="L264" s="382"/>
      <c r="M264" s="382"/>
      <c r="N264" s="382"/>
      <c r="O264" s="382"/>
      <c r="P264" s="338"/>
      <c r="Q264" s="384"/>
      <c r="R264" s="339"/>
      <c r="S264" s="384"/>
      <c r="T264" s="311"/>
      <c r="U264" s="317"/>
      <c r="V264" s="5"/>
    </row>
    <row r="265" spans="1:22" ht="15.6" x14ac:dyDescent="0.3">
      <c r="A265" s="284"/>
      <c r="B265" s="285" t="s">
        <v>120</v>
      </c>
      <c r="C265" s="311"/>
      <c r="D265" s="311"/>
      <c r="E265" s="311"/>
      <c r="F265" s="311"/>
      <c r="G265" s="311"/>
      <c r="H265" s="385"/>
      <c r="I265" s="385"/>
      <c r="J265" s="385"/>
      <c r="K265" s="385"/>
      <c r="L265" s="385"/>
      <c r="M265" s="385"/>
      <c r="N265" s="385"/>
      <c r="O265" s="385"/>
      <c r="P265" s="338">
        <f>SUM(P256:P264)</f>
        <v>60</v>
      </c>
      <c r="Q265" s="384">
        <f>SUM(Q256:Q264)</f>
        <v>1.0000000000000002</v>
      </c>
      <c r="R265" s="339">
        <f>SUM(R256:R264)</f>
        <v>9231</v>
      </c>
      <c r="S265" s="384">
        <f>SUM(S256:S264)</f>
        <v>1</v>
      </c>
      <c r="T265" s="311"/>
      <c r="U265" s="317"/>
      <c r="V265" s="5"/>
    </row>
    <row r="266" spans="1:22" ht="15.6" x14ac:dyDescent="0.3">
      <c r="A266" s="175"/>
      <c r="B266" s="334"/>
      <c r="C266" s="334"/>
      <c r="D266" s="334"/>
      <c r="E266" s="334"/>
      <c r="F266" s="334"/>
      <c r="G266" s="334"/>
      <c r="H266" s="379"/>
      <c r="I266" s="379"/>
      <c r="J266" s="379"/>
      <c r="K266" s="379"/>
      <c r="L266" s="379"/>
      <c r="M266" s="379"/>
      <c r="N266" s="379"/>
      <c r="O266" s="379"/>
      <c r="P266" s="335"/>
      <c r="Q266" s="380"/>
      <c r="R266" s="381"/>
      <c r="S266" s="380"/>
      <c r="T266" s="334"/>
      <c r="U266" s="334"/>
      <c r="V266" s="5"/>
    </row>
    <row r="267" spans="1:22" ht="15.6" x14ac:dyDescent="0.3">
      <c r="A267" s="268"/>
      <c r="B267" s="395" t="s">
        <v>170</v>
      </c>
      <c r="C267" s="269"/>
      <c r="D267" s="269"/>
      <c r="E267" s="269"/>
      <c r="F267" s="269"/>
      <c r="G267" s="269"/>
      <c r="H267" s="271"/>
      <c r="I267" s="271"/>
      <c r="J267" s="271"/>
      <c r="K267" s="271"/>
      <c r="L267" s="271"/>
      <c r="M267" s="271"/>
      <c r="N267" s="271"/>
      <c r="O267" s="271"/>
      <c r="P267" s="402" t="s">
        <v>105</v>
      </c>
      <c r="Q267" s="396" t="s">
        <v>106</v>
      </c>
      <c r="R267" s="402" t="s">
        <v>114</v>
      </c>
      <c r="S267" s="396" t="s">
        <v>106</v>
      </c>
      <c r="T267" s="269"/>
      <c r="U267" s="270"/>
      <c r="V267" s="5"/>
    </row>
    <row r="268" spans="1:22" ht="15.6" x14ac:dyDescent="0.3">
      <c r="A268" s="190"/>
      <c r="B268" s="243" t="s">
        <v>91</v>
      </c>
      <c r="C268" s="239"/>
      <c r="D268" s="239"/>
      <c r="E268" s="239"/>
      <c r="F268" s="239"/>
      <c r="G268" s="239"/>
      <c r="H268" s="275"/>
      <c r="I268" s="275"/>
      <c r="J268" s="275"/>
      <c r="K268" s="275"/>
      <c r="L268" s="218"/>
      <c r="M268" s="218"/>
      <c r="N268" s="218"/>
      <c r="O268" s="218"/>
      <c r="P268" s="243">
        <v>0</v>
      </c>
      <c r="Q268" s="274">
        <v>0</v>
      </c>
      <c r="R268" s="251">
        <v>0</v>
      </c>
      <c r="S268" s="274">
        <v>0</v>
      </c>
      <c r="T268" s="239"/>
      <c r="U268" s="191"/>
      <c r="V268" s="5"/>
    </row>
    <row r="269" spans="1:22" ht="15.6" x14ac:dyDescent="0.3">
      <c r="A269" s="284"/>
      <c r="B269" s="338" t="s">
        <v>92</v>
      </c>
      <c r="C269" s="285"/>
      <c r="D269" s="285"/>
      <c r="E269" s="285"/>
      <c r="F269" s="285"/>
      <c r="G269" s="285"/>
      <c r="H269" s="387"/>
      <c r="I269" s="387"/>
      <c r="J269" s="387"/>
      <c r="K269" s="387"/>
      <c r="L269" s="385"/>
      <c r="M269" s="385"/>
      <c r="N269" s="385"/>
      <c r="O269" s="385"/>
      <c r="P269" s="338">
        <v>0</v>
      </c>
      <c r="Q269" s="384">
        <v>0</v>
      </c>
      <c r="R269" s="339">
        <v>0</v>
      </c>
      <c r="S269" s="384">
        <v>0</v>
      </c>
      <c r="T269" s="285"/>
      <c r="U269" s="317"/>
      <c r="V269" s="5"/>
    </row>
    <row r="270" spans="1:22" ht="15.6" x14ac:dyDescent="0.3">
      <c r="A270" s="284"/>
      <c r="B270" s="338" t="s">
        <v>93</v>
      </c>
      <c r="C270" s="285"/>
      <c r="D270" s="285"/>
      <c r="E270" s="285"/>
      <c r="F270" s="285"/>
      <c r="G270" s="285"/>
      <c r="H270" s="387"/>
      <c r="I270" s="387"/>
      <c r="J270" s="387"/>
      <c r="K270" s="387"/>
      <c r="L270" s="385"/>
      <c r="M270" s="385"/>
      <c r="N270" s="385"/>
      <c r="O270" s="385"/>
      <c r="P270" s="338">
        <v>0</v>
      </c>
      <c r="Q270" s="384">
        <v>0</v>
      </c>
      <c r="R270" s="339">
        <v>0</v>
      </c>
      <c r="S270" s="384">
        <v>0</v>
      </c>
      <c r="T270" s="285"/>
      <c r="U270" s="317"/>
      <c r="V270" s="5"/>
    </row>
    <row r="271" spans="1:22" ht="15.6" x14ac:dyDescent="0.3">
      <c r="A271" s="284"/>
      <c r="B271" s="338" t="s">
        <v>163</v>
      </c>
      <c r="C271" s="285"/>
      <c r="D271" s="285"/>
      <c r="E271" s="285"/>
      <c r="F271" s="285"/>
      <c r="G271" s="285"/>
      <c r="H271" s="387"/>
      <c r="I271" s="387"/>
      <c r="J271" s="387"/>
      <c r="K271" s="387"/>
      <c r="L271" s="385"/>
      <c r="M271" s="385"/>
      <c r="N271" s="385"/>
      <c r="O271" s="385"/>
      <c r="P271" s="338">
        <v>0</v>
      </c>
      <c r="Q271" s="384">
        <v>0</v>
      </c>
      <c r="R271" s="339">
        <v>0</v>
      </c>
      <c r="S271" s="384">
        <v>0</v>
      </c>
      <c r="T271" s="285"/>
      <c r="U271" s="317"/>
      <c r="V271" s="5"/>
    </row>
    <row r="272" spans="1:22" ht="15.6" x14ac:dyDescent="0.3">
      <c r="A272" s="284"/>
      <c r="B272" s="338" t="s">
        <v>164</v>
      </c>
      <c r="C272" s="285"/>
      <c r="D272" s="285"/>
      <c r="E272" s="285"/>
      <c r="F272" s="285"/>
      <c r="G272" s="285"/>
      <c r="H272" s="387"/>
      <c r="I272" s="387"/>
      <c r="J272" s="387"/>
      <c r="K272" s="387"/>
      <c r="L272" s="385"/>
      <c r="M272" s="385"/>
      <c r="N272" s="385"/>
      <c r="O272" s="385"/>
      <c r="P272" s="338">
        <v>0</v>
      </c>
      <c r="Q272" s="384">
        <v>0</v>
      </c>
      <c r="R272" s="339">
        <v>0</v>
      </c>
      <c r="S272" s="384">
        <v>0</v>
      </c>
      <c r="T272" s="285"/>
      <c r="U272" s="317"/>
      <c r="V272" s="5"/>
    </row>
    <row r="273" spans="1:22" ht="15.6" x14ac:dyDescent="0.3">
      <c r="A273" s="284"/>
      <c r="B273" s="338" t="s">
        <v>165</v>
      </c>
      <c r="C273" s="285"/>
      <c r="D273" s="285"/>
      <c r="E273" s="285"/>
      <c r="F273" s="285"/>
      <c r="G273" s="285"/>
      <c r="H273" s="387"/>
      <c r="I273" s="387"/>
      <c r="J273" s="387"/>
      <c r="K273" s="387"/>
      <c r="L273" s="385"/>
      <c r="M273" s="385"/>
      <c r="N273" s="385"/>
      <c r="O273" s="385"/>
      <c r="P273" s="338">
        <v>0</v>
      </c>
      <c r="Q273" s="384">
        <v>0</v>
      </c>
      <c r="R273" s="339">
        <v>0</v>
      </c>
      <c r="S273" s="384">
        <v>0</v>
      </c>
      <c r="T273" s="285"/>
      <c r="U273" s="317"/>
      <c r="V273" s="5"/>
    </row>
    <row r="274" spans="1:22" ht="15.6" x14ac:dyDescent="0.3">
      <c r="A274" s="284"/>
      <c r="B274" s="338" t="s">
        <v>166</v>
      </c>
      <c r="C274" s="285"/>
      <c r="D274" s="285"/>
      <c r="E274" s="285"/>
      <c r="F274" s="285"/>
      <c r="G274" s="285"/>
      <c r="H274" s="387"/>
      <c r="I274" s="387"/>
      <c r="J274" s="387"/>
      <c r="K274" s="387"/>
      <c r="L274" s="385"/>
      <c r="M274" s="385"/>
      <c r="N274" s="385"/>
      <c r="O274" s="385"/>
      <c r="P274" s="338">
        <v>0</v>
      </c>
      <c r="Q274" s="384">
        <v>0</v>
      </c>
      <c r="R274" s="339">
        <v>0</v>
      </c>
      <c r="S274" s="384">
        <v>0</v>
      </c>
      <c r="T274" s="285"/>
      <c r="U274" s="317"/>
      <c r="V274" s="5"/>
    </row>
    <row r="275" spans="1:22" ht="15.6" x14ac:dyDescent="0.3">
      <c r="A275" s="284"/>
      <c r="B275" s="338" t="s">
        <v>167</v>
      </c>
      <c r="C275" s="285"/>
      <c r="D275" s="285"/>
      <c r="E275" s="285"/>
      <c r="F275" s="285"/>
      <c r="G275" s="285"/>
      <c r="H275" s="387"/>
      <c r="I275" s="387"/>
      <c r="J275" s="387"/>
      <c r="K275" s="387"/>
      <c r="L275" s="385"/>
      <c r="M275" s="385"/>
      <c r="N275" s="385"/>
      <c r="O275" s="385"/>
      <c r="P275" s="338">
        <v>0</v>
      </c>
      <c r="Q275" s="384">
        <v>0</v>
      </c>
      <c r="R275" s="339">
        <v>0</v>
      </c>
      <c r="S275" s="384">
        <v>0</v>
      </c>
      <c r="T275" s="285"/>
      <c r="U275" s="317"/>
      <c r="V275" s="5"/>
    </row>
    <row r="276" spans="1:22" ht="15.6" x14ac:dyDescent="0.3">
      <c r="A276" s="284"/>
      <c r="B276" s="338"/>
      <c r="C276" s="285"/>
      <c r="D276" s="285"/>
      <c r="E276" s="285"/>
      <c r="F276" s="285"/>
      <c r="G276" s="285"/>
      <c r="H276" s="387"/>
      <c r="I276" s="387"/>
      <c r="J276" s="387"/>
      <c r="K276" s="387"/>
      <c r="L276" s="385"/>
      <c r="M276" s="385"/>
      <c r="N276" s="385"/>
      <c r="O276" s="385"/>
      <c r="P276" s="338"/>
      <c r="Q276" s="384"/>
      <c r="R276" s="339"/>
      <c r="S276" s="384"/>
      <c r="T276" s="285"/>
      <c r="U276" s="317"/>
      <c r="V276" s="5"/>
    </row>
    <row r="277" spans="1:22" ht="15.6" x14ac:dyDescent="0.3">
      <c r="A277" s="284"/>
      <c r="B277" s="285" t="s">
        <v>120</v>
      </c>
      <c r="C277" s="285"/>
      <c r="D277" s="285"/>
      <c r="E277" s="285"/>
      <c r="F277" s="285"/>
      <c r="G277" s="285"/>
      <c r="H277" s="387"/>
      <c r="I277" s="387"/>
      <c r="J277" s="387"/>
      <c r="K277" s="387"/>
      <c r="L277" s="385"/>
      <c r="M277" s="385"/>
      <c r="N277" s="385"/>
      <c r="O277" s="385"/>
      <c r="P277" s="338">
        <f>SUM(P268:P275)</f>
        <v>0</v>
      </c>
      <c r="Q277" s="384">
        <f>SUM(Q268:Q276)</f>
        <v>0</v>
      </c>
      <c r="R277" s="339">
        <f>SUM(R268:R275)</f>
        <v>0</v>
      </c>
      <c r="S277" s="384">
        <f>SUM(S268:S276)</f>
        <v>0</v>
      </c>
      <c r="T277" s="285"/>
      <c r="U277" s="317"/>
      <c r="V277" s="5"/>
    </row>
    <row r="278" spans="1:22" ht="15.6" x14ac:dyDescent="0.3">
      <c r="A278" s="284"/>
      <c r="B278" s="285"/>
      <c r="C278" s="285"/>
      <c r="D278" s="285"/>
      <c r="E278" s="285"/>
      <c r="F278" s="285"/>
      <c r="G278" s="285"/>
      <c r="H278" s="387"/>
      <c r="I278" s="387"/>
      <c r="J278" s="387"/>
      <c r="K278" s="387"/>
      <c r="L278" s="385"/>
      <c r="M278" s="385"/>
      <c r="N278" s="385"/>
      <c r="O278" s="385"/>
      <c r="P278" s="344"/>
      <c r="Q278" s="388"/>
      <c r="R278" s="345"/>
      <c r="S278" s="388"/>
      <c r="T278" s="311"/>
      <c r="U278" s="317"/>
      <c r="V278" s="5"/>
    </row>
    <row r="279" spans="1:22" ht="15.6" x14ac:dyDescent="0.3">
      <c r="A279" s="284"/>
      <c r="B279" s="292" t="s">
        <v>171</v>
      </c>
      <c r="C279" s="285"/>
      <c r="D279" s="285"/>
      <c r="E279" s="285"/>
      <c r="F279" s="285"/>
      <c r="G279" s="285"/>
      <c r="H279" s="387"/>
      <c r="I279" s="387"/>
      <c r="J279" s="387"/>
      <c r="K279" s="387"/>
      <c r="L279" s="385"/>
      <c r="M279" s="385"/>
      <c r="N279" s="385"/>
      <c r="O279" s="385"/>
      <c r="P279" s="403">
        <f>P277+P265+P253</f>
        <v>3597</v>
      </c>
      <c r="Q279" s="384"/>
      <c r="R279" s="404">
        <f>+R277+R265+R253</f>
        <v>464153</v>
      </c>
      <c r="S279" s="384"/>
      <c r="T279" s="311"/>
      <c r="U279" s="317"/>
      <c r="V279" s="5"/>
    </row>
    <row r="280" spans="1:22" ht="15.6" x14ac:dyDescent="0.3">
      <c r="A280" s="175"/>
      <c r="B280" s="281"/>
      <c r="C280" s="281"/>
      <c r="D280" s="281"/>
      <c r="E280" s="281"/>
      <c r="F280" s="281"/>
      <c r="G280" s="281"/>
      <c r="H280" s="386"/>
      <c r="I280" s="386"/>
      <c r="J280" s="386"/>
      <c r="K280" s="386"/>
      <c r="L280" s="379"/>
      <c r="M280" s="379"/>
      <c r="N280" s="379"/>
      <c r="O280" s="379"/>
      <c r="P280" s="379"/>
      <c r="Q280" s="379"/>
      <c r="R280" s="381"/>
      <c r="S280" s="379"/>
      <c r="T280" s="334"/>
      <c r="U280" s="334"/>
      <c r="V280" s="5"/>
    </row>
    <row r="281" spans="1:22" ht="15.6" x14ac:dyDescent="0.3">
      <c r="A281" s="175"/>
      <c r="B281" s="231"/>
      <c r="C281" s="231"/>
      <c r="D281" s="231"/>
      <c r="E281" s="231"/>
      <c r="F281" s="231"/>
      <c r="G281" s="231"/>
      <c r="H281" s="276"/>
      <c r="I281" s="276"/>
      <c r="J281" s="276"/>
      <c r="K281" s="276"/>
      <c r="L281" s="219"/>
      <c r="M281" s="219"/>
      <c r="N281" s="219"/>
      <c r="O281" s="219"/>
      <c r="P281" s="219"/>
      <c r="Q281" s="219"/>
      <c r="R281" s="220"/>
      <c r="S281" s="219"/>
      <c r="T281" s="177"/>
      <c r="U281" s="177"/>
      <c r="V281" s="5"/>
    </row>
    <row r="282" spans="1:22" ht="15.6" x14ac:dyDescent="0.3">
      <c r="A282" s="221"/>
      <c r="B282" s="230" t="s">
        <v>94</v>
      </c>
      <c r="C282" s="231"/>
      <c r="D282" s="231"/>
      <c r="E282" s="231"/>
      <c r="F282" s="236" t="s">
        <v>100</v>
      </c>
      <c r="G282" s="231"/>
      <c r="H282" s="230" t="s">
        <v>102</v>
      </c>
      <c r="I282" s="277"/>
      <c r="J282" s="277"/>
      <c r="K282" s="277"/>
      <c r="L282" s="188"/>
      <c r="M282" s="188"/>
      <c r="N282" s="188"/>
      <c r="O282" s="188"/>
      <c r="P282" s="188"/>
      <c r="Q282" s="188"/>
      <c r="R282" s="188"/>
      <c r="S282" s="188"/>
      <c r="T282" s="188"/>
      <c r="U282" s="188"/>
      <c r="V282" s="5"/>
    </row>
    <row r="283" spans="1:22" ht="15.6" x14ac:dyDescent="0.3">
      <c r="A283" s="221"/>
      <c r="B283" s="230" t="s">
        <v>316</v>
      </c>
      <c r="C283" s="230"/>
      <c r="D283" s="230"/>
      <c r="E283" s="230"/>
      <c r="F283" s="278" t="s">
        <v>154</v>
      </c>
      <c r="G283" s="230"/>
      <c r="H283" s="230" t="s">
        <v>158</v>
      </c>
      <c r="I283" s="277"/>
      <c r="J283" s="277"/>
      <c r="K283" s="277"/>
      <c r="L283" s="188"/>
      <c r="M283" s="188"/>
      <c r="N283" s="188"/>
      <c r="O283" s="188"/>
      <c r="P283" s="188"/>
      <c r="Q283" s="188"/>
      <c r="R283" s="188"/>
      <c r="S283" s="188"/>
      <c r="T283" s="188"/>
      <c r="U283" s="188"/>
      <c r="V283" s="5"/>
    </row>
    <row r="284" spans="1:22" ht="15.6" x14ac:dyDescent="0.3">
      <c r="A284" s="221"/>
      <c r="B284" s="230" t="s">
        <v>317</v>
      </c>
      <c r="C284" s="230"/>
      <c r="D284" s="230"/>
      <c r="E284" s="230"/>
      <c r="F284" s="278" t="s">
        <v>269</v>
      </c>
      <c r="G284" s="230"/>
      <c r="H284" s="230" t="s">
        <v>270</v>
      </c>
      <c r="I284" s="277"/>
      <c r="J284" s="277"/>
      <c r="K284" s="277"/>
      <c r="L284" s="188"/>
      <c r="M284" s="188"/>
      <c r="N284" s="188"/>
      <c r="O284" s="188"/>
      <c r="P284" s="188"/>
      <c r="Q284" s="188"/>
      <c r="R284" s="188"/>
      <c r="S284" s="188"/>
      <c r="T284" s="188"/>
      <c r="U284" s="188"/>
      <c r="V284" s="5"/>
    </row>
    <row r="285" spans="1:22" ht="15.6" x14ac:dyDescent="0.3">
      <c r="A285" s="221"/>
      <c r="B285" s="230" t="s">
        <v>318</v>
      </c>
      <c r="C285" s="230"/>
      <c r="D285" s="230"/>
      <c r="E285" s="230"/>
      <c r="F285" s="278" t="s">
        <v>153</v>
      </c>
      <c r="G285" s="230"/>
      <c r="H285" s="230" t="s">
        <v>159</v>
      </c>
      <c r="I285" s="277"/>
      <c r="J285" s="277"/>
      <c r="K285" s="277"/>
      <c r="L285" s="188"/>
      <c r="M285" s="188"/>
      <c r="N285" s="188"/>
      <c r="O285" s="188"/>
      <c r="P285" s="188"/>
      <c r="Q285" s="188"/>
      <c r="R285" s="188"/>
      <c r="S285" s="188"/>
      <c r="T285" s="188"/>
      <c r="U285" s="188"/>
      <c r="V285" s="5"/>
    </row>
    <row r="286" spans="1:22" ht="15.6" x14ac:dyDescent="0.3">
      <c r="A286" s="221"/>
      <c r="B286" s="230"/>
      <c r="C286" s="230"/>
      <c r="D286" s="230"/>
      <c r="E286" s="230"/>
      <c r="F286" s="230"/>
      <c r="G286" s="279"/>
      <c r="H286" s="277"/>
      <c r="I286" s="277"/>
      <c r="J286" s="277"/>
      <c r="K286" s="277"/>
      <c r="L286" s="188"/>
      <c r="M286" s="188"/>
      <c r="N286" s="188"/>
      <c r="O286" s="188"/>
      <c r="P286" s="188"/>
      <c r="Q286" s="188"/>
      <c r="R286" s="188"/>
      <c r="S286" s="188"/>
      <c r="T286" s="188"/>
      <c r="U286" s="188"/>
      <c r="V286" s="5"/>
    </row>
    <row r="287" spans="1:22" ht="15.6" x14ac:dyDescent="0.3">
      <c r="A287" s="221"/>
      <c r="B287" s="230"/>
      <c r="C287" s="230"/>
      <c r="D287" s="230"/>
      <c r="E287" s="230"/>
      <c r="F287" s="230"/>
      <c r="G287" s="279"/>
      <c r="H287" s="277"/>
      <c r="I287" s="277"/>
      <c r="J287" s="277"/>
      <c r="K287" s="277"/>
      <c r="L287" s="188"/>
      <c r="M287" s="188"/>
      <c r="N287" s="188"/>
      <c r="O287" s="188"/>
      <c r="P287" s="188"/>
      <c r="Q287" s="188"/>
      <c r="R287" s="188"/>
      <c r="S287" s="188"/>
      <c r="T287" s="188"/>
      <c r="U287" s="188"/>
      <c r="V287" s="5"/>
    </row>
    <row r="288" spans="1:22" ht="18" thickBot="1" x14ac:dyDescent="0.35">
      <c r="A288" s="221"/>
      <c r="B288" s="280" t="str">
        <f>B193</f>
        <v>PM11 INVESTOR REPORT QUARTER ENDING JUNE 2016</v>
      </c>
      <c r="C288" s="230"/>
      <c r="D288" s="230"/>
      <c r="E288" s="230"/>
      <c r="F288" s="230"/>
      <c r="G288" s="279"/>
      <c r="H288" s="277"/>
      <c r="I288" s="277"/>
      <c r="J288" s="277"/>
      <c r="K288" s="277"/>
      <c r="L288" s="188"/>
      <c r="M288" s="188"/>
      <c r="N288" s="188"/>
      <c r="O288" s="188"/>
      <c r="P288" s="188"/>
      <c r="Q288" s="188"/>
      <c r="R288" s="188"/>
      <c r="S288" s="188"/>
      <c r="T288" s="188"/>
      <c r="U288" s="188"/>
      <c r="V288" s="5"/>
    </row>
    <row r="289" spans="1:21" x14ac:dyDescent="0.25">
      <c r="A289" s="100"/>
      <c r="B289" s="100"/>
      <c r="C289" s="100"/>
      <c r="D289" s="100"/>
      <c r="E289" s="100"/>
      <c r="F289" s="100"/>
      <c r="G289" s="100"/>
      <c r="H289" s="100"/>
      <c r="I289" s="100"/>
      <c r="J289" s="100"/>
      <c r="K289" s="100"/>
      <c r="L289" s="100"/>
      <c r="M289" s="100"/>
      <c r="N289" s="100"/>
      <c r="O289" s="100"/>
      <c r="P289" s="100"/>
      <c r="Q289" s="100"/>
      <c r="R289" s="100"/>
      <c r="S289" s="100"/>
      <c r="T289" s="100"/>
      <c r="U289" s="100"/>
    </row>
  </sheetData>
  <hyperlinks>
    <hyperlink ref="N229" r:id="rId1" xr:uid="{00000000-0004-0000-2800-000000000000}"/>
    <hyperlink ref="J9" r:id="rId2" xr:uid="{00000000-0004-0000-28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4" max="20" man="1"/>
    <brk id="133" max="20" man="1"/>
    <brk id="193" max="20" man="1"/>
  </rowBreaks>
  <drawing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2D2926"/>
  </sheetPr>
  <dimension ref="A1:X289"/>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08984375" style="1" customWidth="1"/>
    <col min="10" max="10" width="17.81640625" style="1" customWidth="1"/>
    <col min="11" max="11" width="2.1796875" style="1" customWidth="1"/>
    <col min="12" max="12" width="14.81640625" style="1" customWidth="1"/>
    <col min="13" max="13" width="2.1796875" style="1" customWidth="1"/>
    <col min="14" max="14" width="15.54296875" style="1" customWidth="1"/>
    <col min="15" max="15" width="2.08984375" style="1" customWidth="1"/>
    <col min="16" max="16" width="15.54296875" style="1" customWidth="1"/>
    <col min="17" max="18" width="12.81640625" style="1" customWidth="1"/>
    <col min="19" max="19" width="7.81640625" style="1" customWidth="1"/>
    <col min="20" max="20" width="14.81640625" style="1" customWidth="1"/>
    <col min="21" max="21" width="11.81640625" style="1" customWidth="1"/>
    <col min="22" max="16384" width="9.81640625" style="1"/>
  </cols>
  <sheetData>
    <row r="1" spans="1:22" ht="20.399999999999999" x14ac:dyDescent="0.35">
      <c r="A1" s="173"/>
      <c r="B1" s="228" t="s">
        <v>228</v>
      </c>
      <c r="C1" s="174"/>
      <c r="D1" s="174"/>
      <c r="E1" s="174"/>
      <c r="F1" s="174"/>
      <c r="G1" s="174"/>
      <c r="H1" s="174"/>
      <c r="I1" s="174"/>
      <c r="J1" s="174"/>
      <c r="K1" s="174"/>
      <c r="L1" s="174"/>
      <c r="M1" s="174"/>
      <c r="N1" s="174"/>
      <c r="O1" s="174"/>
      <c r="P1" s="174"/>
      <c r="Q1" s="174"/>
      <c r="R1" s="174"/>
      <c r="S1" s="174"/>
      <c r="T1" s="174"/>
      <c r="U1" s="174"/>
      <c r="V1" s="5"/>
    </row>
    <row r="2" spans="1:22" ht="15.6" x14ac:dyDescent="0.3">
      <c r="A2" s="175"/>
      <c r="B2" s="176"/>
      <c r="C2" s="177"/>
      <c r="D2" s="177"/>
      <c r="E2" s="177"/>
      <c r="F2" s="177"/>
      <c r="G2" s="177"/>
      <c r="H2" s="177"/>
      <c r="I2" s="177"/>
      <c r="J2" s="177"/>
      <c r="K2" s="177"/>
      <c r="L2" s="177"/>
      <c r="M2" s="177"/>
      <c r="N2" s="177"/>
      <c r="O2" s="177"/>
      <c r="P2" s="177"/>
      <c r="Q2" s="177"/>
      <c r="R2" s="177"/>
      <c r="S2" s="177"/>
      <c r="T2" s="177"/>
      <c r="U2" s="177"/>
      <c r="V2" s="5"/>
    </row>
    <row r="3" spans="1:22" ht="15.6" x14ac:dyDescent="0.3">
      <c r="A3" s="178"/>
      <c r="B3" s="179" t="s">
        <v>229</v>
      </c>
      <c r="C3" s="177"/>
      <c r="D3" s="177"/>
      <c r="E3" s="177"/>
      <c r="F3" s="177"/>
      <c r="G3" s="177"/>
      <c r="H3" s="177"/>
      <c r="I3" s="177"/>
      <c r="J3" s="177"/>
      <c r="K3" s="177"/>
      <c r="L3" s="177"/>
      <c r="M3" s="177"/>
      <c r="N3" s="177"/>
      <c r="O3" s="177"/>
      <c r="P3" s="177"/>
      <c r="Q3" s="177"/>
      <c r="R3" s="177"/>
      <c r="S3" s="177"/>
      <c r="T3" s="177"/>
      <c r="U3" s="177"/>
      <c r="V3" s="5"/>
    </row>
    <row r="4" spans="1:22" ht="15.6" x14ac:dyDescent="0.3">
      <c r="A4" s="175"/>
      <c r="B4" s="176"/>
      <c r="C4" s="177"/>
      <c r="D4" s="177"/>
      <c r="E4" s="177"/>
      <c r="F4" s="177"/>
      <c r="G4" s="177"/>
      <c r="H4" s="177"/>
      <c r="I4" s="177"/>
      <c r="J4" s="177"/>
      <c r="K4" s="177"/>
      <c r="L4" s="177"/>
      <c r="M4" s="177"/>
      <c r="N4" s="177"/>
      <c r="O4" s="177"/>
      <c r="P4" s="177"/>
      <c r="Q4" s="177"/>
      <c r="R4" s="177"/>
      <c r="S4" s="177"/>
      <c r="T4" s="177"/>
      <c r="U4" s="177"/>
      <c r="V4" s="5"/>
    </row>
    <row r="5" spans="1:22" ht="15.6" x14ac:dyDescent="0.3">
      <c r="A5" s="175"/>
      <c r="B5" s="229" t="s">
        <v>143</v>
      </c>
      <c r="C5" s="177"/>
      <c r="D5" s="177"/>
      <c r="E5" s="177"/>
      <c r="F5" s="177"/>
      <c r="G5" s="177"/>
      <c r="H5" s="177"/>
      <c r="I5" s="177"/>
      <c r="J5" s="177"/>
      <c r="K5" s="177"/>
      <c r="L5" s="177"/>
      <c r="M5" s="177"/>
      <c r="N5" s="177"/>
      <c r="O5" s="177"/>
      <c r="P5" s="177"/>
      <c r="Q5" s="177"/>
      <c r="R5" s="177"/>
      <c r="S5" s="177"/>
      <c r="T5" s="177"/>
      <c r="U5" s="177"/>
      <c r="V5" s="5"/>
    </row>
    <row r="6" spans="1:22" ht="15.6" x14ac:dyDescent="0.3">
      <c r="A6" s="175"/>
      <c r="B6" s="229" t="s">
        <v>145</v>
      </c>
      <c r="C6" s="177"/>
      <c r="D6" s="177"/>
      <c r="E6" s="177"/>
      <c r="F6" s="177"/>
      <c r="G6" s="177"/>
      <c r="H6" s="177"/>
      <c r="I6" s="177"/>
      <c r="J6" s="177"/>
      <c r="K6" s="177"/>
      <c r="L6" s="177"/>
      <c r="M6" s="177"/>
      <c r="N6" s="177"/>
      <c r="O6" s="177"/>
      <c r="P6" s="177"/>
      <c r="Q6" s="177"/>
      <c r="R6" s="177"/>
      <c r="S6" s="177"/>
      <c r="T6" s="177"/>
      <c r="U6" s="177"/>
      <c r="V6" s="5"/>
    </row>
    <row r="7" spans="1:22" ht="15.6" x14ac:dyDescent="0.3">
      <c r="A7" s="175"/>
      <c r="B7" s="229" t="s">
        <v>144</v>
      </c>
      <c r="C7" s="177"/>
      <c r="D7" s="177"/>
      <c r="E7" s="177"/>
      <c r="F7" s="177"/>
      <c r="G7" s="177"/>
      <c r="H7" s="177"/>
      <c r="I7" s="177"/>
      <c r="J7" s="177"/>
      <c r="K7" s="177"/>
      <c r="L7" s="177"/>
      <c r="M7" s="177"/>
      <c r="N7" s="177"/>
      <c r="O7" s="177"/>
      <c r="P7" s="177"/>
      <c r="Q7" s="177"/>
      <c r="R7" s="177"/>
      <c r="S7" s="177"/>
      <c r="T7" s="177"/>
      <c r="U7" s="177"/>
      <c r="V7" s="5"/>
    </row>
    <row r="8" spans="1:22" ht="15.6" x14ac:dyDescent="0.3">
      <c r="A8" s="175"/>
      <c r="B8" s="180"/>
      <c r="C8" s="177"/>
      <c r="D8" s="177"/>
      <c r="E8" s="177"/>
      <c r="F8" s="177"/>
      <c r="G8" s="177"/>
      <c r="H8" s="177"/>
      <c r="I8" s="177"/>
      <c r="J8" s="177"/>
      <c r="K8" s="177"/>
      <c r="L8" s="177"/>
      <c r="M8" s="177"/>
      <c r="N8" s="177"/>
      <c r="O8" s="177"/>
      <c r="P8" s="177"/>
      <c r="Q8" s="177"/>
      <c r="R8" s="177"/>
      <c r="S8" s="177"/>
      <c r="T8" s="177"/>
      <c r="U8" s="177"/>
      <c r="V8" s="5"/>
    </row>
    <row r="9" spans="1:22" ht="17.399999999999999" x14ac:dyDescent="0.3">
      <c r="A9" s="175"/>
      <c r="B9" s="181" t="s">
        <v>173</v>
      </c>
      <c r="C9" s="177"/>
      <c r="D9" s="177"/>
      <c r="E9" s="177"/>
      <c r="F9" s="177"/>
      <c r="G9" s="177"/>
      <c r="H9" s="177"/>
      <c r="I9" s="177"/>
      <c r="J9" s="182" t="s">
        <v>174</v>
      </c>
      <c r="K9" s="177"/>
      <c r="L9" s="182"/>
      <c r="M9" s="177"/>
      <c r="N9" s="177"/>
      <c r="O9" s="177"/>
      <c r="P9" s="177"/>
      <c r="Q9" s="177"/>
      <c r="R9" s="177"/>
      <c r="S9" s="177"/>
      <c r="T9" s="177"/>
      <c r="U9" s="177"/>
      <c r="V9" s="5"/>
    </row>
    <row r="10" spans="1:22" ht="15.6" x14ac:dyDescent="0.3">
      <c r="A10" s="175"/>
      <c r="B10" s="180"/>
      <c r="C10" s="183"/>
      <c r="D10" s="183"/>
      <c r="E10" s="183"/>
      <c r="F10" s="177"/>
      <c r="G10" s="177"/>
      <c r="H10" s="177"/>
      <c r="I10" s="177"/>
      <c r="J10" s="177"/>
      <c r="K10" s="177"/>
      <c r="L10" s="177"/>
      <c r="M10" s="177"/>
      <c r="N10" s="177"/>
      <c r="O10" s="177"/>
      <c r="P10" s="177"/>
      <c r="Q10" s="177"/>
      <c r="R10" s="177"/>
      <c r="S10" s="177"/>
      <c r="T10" s="177"/>
      <c r="U10" s="177"/>
      <c r="V10" s="5"/>
    </row>
    <row r="11" spans="1:22" ht="15.6" x14ac:dyDescent="0.3">
      <c r="A11" s="175"/>
      <c r="B11" s="230" t="s">
        <v>0</v>
      </c>
      <c r="C11" s="177"/>
      <c r="D11" s="177"/>
      <c r="E11" s="177"/>
      <c r="F11" s="177"/>
      <c r="G11" s="177"/>
      <c r="H11" s="177"/>
      <c r="I11" s="177"/>
      <c r="J11" s="177"/>
      <c r="K11" s="177"/>
      <c r="L11" s="177"/>
      <c r="M11" s="177"/>
      <c r="N11" s="177"/>
      <c r="O11" s="177"/>
      <c r="P11" s="177"/>
      <c r="Q11" s="177"/>
      <c r="R11" s="177"/>
      <c r="S11" s="177"/>
      <c r="T11" s="177"/>
      <c r="U11" s="177"/>
      <c r="V11" s="5"/>
    </row>
    <row r="12" spans="1:22" ht="16.2" thickBot="1" x14ac:dyDescent="0.35">
      <c r="A12" s="175"/>
      <c r="B12" s="183"/>
      <c r="C12" s="177"/>
      <c r="D12" s="177"/>
      <c r="E12" s="177"/>
      <c r="F12" s="177"/>
      <c r="G12" s="177"/>
      <c r="H12" s="177"/>
      <c r="I12" s="177"/>
      <c r="J12" s="177"/>
      <c r="K12" s="177"/>
      <c r="L12" s="177"/>
      <c r="M12" s="177"/>
      <c r="N12" s="177"/>
      <c r="O12" s="177"/>
      <c r="P12" s="177"/>
      <c r="Q12" s="177"/>
      <c r="R12" s="177"/>
      <c r="S12" s="177"/>
      <c r="T12" s="177"/>
      <c r="U12" s="177"/>
      <c r="V12" s="5"/>
    </row>
    <row r="13" spans="1:22" ht="15.6" x14ac:dyDescent="0.3">
      <c r="A13" s="173"/>
      <c r="B13" s="174"/>
      <c r="C13" s="174"/>
      <c r="D13" s="174"/>
      <c r="E13" s="174"/>
      <c r="F13" s="174"/>
      <c r="G13" s="174"/>
      <c r="H13" s="174"/>
      <c r="I13" s="174"/>
      <c r="J13" s="174"/>
      <c r="K13" s="174"/>
      <c r="L13" s="174"/>
      <c r="M13" s="174"/>
      <c r="N13" s="174"/>
      <c r="O13" s="174"/>
      <c r="P13" s="174"/>
      <c r="Q13" s="174"/>
      <c r="R13" s="174"/>
      <c r="S13" s="174"/>
      <c r="T13" s="174"/>
      <c r="U13" s="174"/>
      <c r="V13" s="5"/>
    </row>
    <row r="14" spans="1:22" ht="15.6" x14ac:dyDescent="0.3">
      <c r="A14" s="175"/>
      <c r="B14" s="230" t="s">
        <v>1</v>
      </c>
      <c r="C14" s="184"/>
      <c r="D14" s="184"/>
      <c r="E14" s="184"/>
      <c r="F14" s="184"/>
      <c r="G14" s="184"/>
      <c r="H14" s="184"/>
      <c r="I14" s="184"/>
      <c r="J14" s="184"/>
      <c r="K14" s="184"/>
      <c r="L14" s="184"/>
      <c r="M14" s="184"/>
      <c r="N14" s="184"/>
      <c r="O14" s="184"/>
      <c r="P14" s="231"/>
      <c r="Q14" s="231"/>
      <c r="R14" s="231"/>
      <c r="S14" s="231"/>
      <c r="T14" s="233" t="s">
        <v>230</v>
      </c>
      <c r="U14" s="184"/>
      <c r="V14" s="5"/>
    </row>
    <row r="15" spans="1:22" ht="15.6" x14ac:dyDescent="0.3">
      <c r="A15" s="175"/>
      <c r="B15" s="230" t="s">
        <v>2</v>
      </c>
      <c r="C15" s="184"/>
      <c r="D15" s="184"/>
      <c r="E15" s="184"/>
      <c r="F15" s="184"/>
      <c r="G15" s="184"/>
      <c r="H15" s="185"/>
      <c r="I15" s="185"/>
      <c r="J15" s="185"/>
      <c r="K15" s="185"/>
      <c r="L15" s="185"/>
      <c r="M15" s="185"/>
      <c r="N15" s="185"/>
      <c r="O15" s="185"/>
      <c r="P15" s="234" t="s">
        <v>107</v>
      </c>
      <c r="Q15" s="235">
        <v>0.40749999999999997</v>
      </c>
      <c r="R15" s="236" t="s">
        <v>146</v>
      </c>
      <c r="S15" s="235">
        <v>0.59250000000000003</v>
      </c>
      <c r="T15" s="233"/>
      <c r="U15" s="184"/>
      <c r="V15" s="5"/>
    </row>
    <row r="16" spans="1:22" ht="15.6" x14ac:dyDescent="0.3">
      <c r="A16" s="175"/>
      <c r="B16" s="230" t="s">
        <v>3</v>
      </c>
      <c r="C16" s="184"/>
      <c r="D16" s="184"/>
      <c r="E16" s="184"/>
      <c r="F16" s="184"/>
      <c r="G16" s="184"/>
      <c r="H16" s="185"/>
      <c r="I16" s="185"/>
      <c r="J16" s="185"/>
      <c r="K16" s="185"/>
      <c r="L16" s="185"/>
      <c r="M16" s="185"/>
      <c r="N16" s="185"/>
      <c r="O16" s="185"/>
      <c r="P16" s="234" t="s">
        <v>107</v>
      </c>
      <c r="Q16" s="235">
        <v>0.47839999999999999</v>
      </c>
      <c r="R16" s="236" t="s">
        <v>146</v>
      </c>
      <c r="S16" s="235">
        <v>0.52159999999999995</v>
      </c>
      <c r="T16" s="233"/>
      <c r="U16" s="184"/>
      <c r="V16" s="5"/>
    </row>
    <row r="17" spans="1:22" ht="15.6" x14ac:dyDescent="0.3">
      <c r="A17" s="175"/>
      <c r="B17" s="230" t="s">
        <v>4</v>
      </c>
      <c r="C17" s="184"/>
      <c r="D17" s="184"/>
      <c r="E17" s="184"/>
      <c r="F17" s="184"/>
      <c r="G17" s="184"/>
      <c r="H17" s="184"/>
      <c r="I17" s="184"/>
      <c r="J17" s="184"/>
      <c r="K17" s="184"/>
      <c r="L17" s="184"/>
      <c r="M17" s="184"/>
      <c r="N17" s="184"/>
      <c r="O17" s="184"/>
      <c r="P17" s="231"/>
      <c r="Q17" s="231"/>
      <c r="R17" s="231"/>
      <c r="S17" s="231"/>
      <c r="T17" s="237">
        <v>38799</v>
      </c>
      <c r="U17" s="184"/>
      <c r="V17" s="5"/>
    </row>
    <row r="18" spans="1:22" ht="15.6" x14ac:dyDescent="0.3">
      <c r="A18" s="175"/>
      <c r="B18" s="230" t="s">
        <v>5</v>
      </c>
      <c r="C18" s="184"/>
      <c r="D18" s="184"/>
      <c r="E18" s="184"/>
      <c r="F18" s="184"/>
      <c r="G18" s="184"/>
      <c r="H18" s="184"/>
      <c r="I18" s="184"/>
      <c r="J18" s="184"/>
      <c r="K18" s="184"/>
      <c r="L18" s="184"/>
      <c r="M18" s="184"/>
      <c r="N18" s="184"/>
      <c r="O18" s="184"/>
      <c r="P18" s="231"/>
      <c r="Q18" s="231"/>
      <c r="R18" s="231"/>
      <c r="S18" s="231"/>
      <c r="T18" s="237">
        <v>42663</v>
      </c>
      <c r="U18" s="184"/>
      <c r="V18" s="5"/>
    </row>
    <row r="19" spans="1:22" ht="15.6" x14ac:dyDescent="0.3">
      <c r="A19" s="175"/>
      <c r="B19" s="177"/>
      <c r="C19" s="177"/>
      <c r="D19" s="177"/>
      <c r="E19" s="177"/>
      <c r="F19" s="177"/>
      <c r="G19" s="177"/>
      <c r="H19" s="177"/>
      <c r="I19" s="177"/>
      <c r="J19" s="177"/>
      <c r="K19" s="177"/>
      <c r="L19" s="177"/>
      <c r="M19" s="177"/>
      <c r="N19" s="177"/>
      <c r="O19" s="177"/>
      <c r="P19" s="177"/>
      <c r="Q19" s="177"/>
      <c r="R19" s="177"/>
      <c r="S19" s="177"/>
      <c r="T19" s="186"/>
      <c r="U19" s="177"/>
      <c r="V19" s="5"/>
    </row>
    <row r="20" spans="1:22" ht="15.6" x14ac:dyDescent="0.3">
      <c r="A20" s="175"/>
      <c r="B20" s="232" t="s">
        <v>6</v>
      </c>
      <c r="C20" s="177"/>
      <c r="D20" s="177"/>
      <c r="E20" s="177"/>
      <c r="F20" s="177"/>
      <c r="G20" s="177"/>
      <c r="H20" s="177"/>
      <c r="I20" s="177"/>
      <c r="J20" s="177"/>
      <c r="K20" s="177"/>
      <c r="L20" s="177"/>
      <c r="M20" s="177"/>
      <c r="N20" s="177"/>
      <c r="O20" s="177"/>
      <c r="P20" s="177"/>
      <c r="Q20" s="177"/>
      <c r="R20" s="238" t="s">
        <v>108</v>
      </c>
      <c r="S20" s="177"/>
      <c r="T20" s="188"/>
      <c r="U20" s="177"/>
      <c r="V20" s="5"/>
    </row>
    <row r="21" spans="1:22" ht="15.6" x14ac:dyDescent="0.3">
      <c r="A21" s="175"/>
      <c r="B21" s="177"/>
      <c r="C21" s="177"/>
      <c r="D21" s="177"/>
      <c r="E21" s="177"/>
      <c r="F21" s="177"/>
      <c r="G21" s="177"/>
      <c r="H21" s="177"/>
      <c r="I21" s="177"/>
      <c r="J21" s="177"/>
      <c r="K21" s="177"/>
      <c r="L21" s="177"/>
      <c r="M21" s="177"/>
      <c r="N21" s="177"/>
      <c r="O21" s="177"/>
      <c r="P21" s="177"/>
      <c r="Q21" s="177"/>
      <c r="R21" s="177"/>
      <c r="S21" s="177"/>
      <c r="T21" s="189"/>
      <c r="U21" s="177"/>
      <c r="V21" s="5"/>
    </row>
    <row r="22" spans="1:22" ht="15.6" x14ac:dyDescent="0.3">
      <c r="A22" s="222"/>
      <c r="B22" s="223"/>
      <c r="C22" s="224"/>
      <c r="D22" s="224" t="s">
        <v>184</v>
      </c>
      <c r="E22" s="224"/>
      <c r="F22" s="224" t="s">
        <v>185</v>
      </c>
      <c r="G22" s="224"/>
      <c r="H22" s="224" t="s">
        <v>186</v>
      </c>
      <c r="I22" s="224"/>
      <c r="J22" s="224" t="s">
        <v>187</v>
      </c>
      <c r="K22" s="224"/>
      <c r="L22" s="224" t="s">
        <v>188</v>
      </c>
      <c r="M22" s="224"/>
      <c r="N22" s="224" t="s">
        <v>189</v>
      </c>
      <c r="O22" s="224"/>
      <c r="P22" s="224"/>
      <c r="Q22" s="226"/>
      <c r="R22" s="226"/>
      <c r="S22" s="227"/>
      <c r="T22" s="227"/>
      <c r="U22" s="223"/>
      <c r="V22" s="5"/>
    </row>
    <row r="23" spans="1:22" ht="15.6" x14ac:dyDescent="0.3">
      <c r="A23" s="190"/>
      <c r="B23" s="239" t="s">
        <v>7</v>
      </c>
      <c r="C23" s="240"/>
      <c r="D23" s="240" t="s">
        <v>222</v>
      </c>
      <c r="E23" s="240"/>
      <c r="F23" s="240" t="s">
        <v>147</v>
      </c>
      <c r="G23" s="240"/>
      <c r="H23" s="240" t="s">
        <v>147</v>
      </c>
      <c r="I23" s="240"/>
      <c r="J23" s="240" t="s">
        <v>190</v>
      </c>
      <c r="K23" s="240"/>
      <c r="L23" s="240" t="s">
        <v>190</v>
      </c>
      <c r="M23" s="240"/>
      <c r="N23" s="240" t="s">
        <v>148</v>
      </c>
      <c r="O23" s="240"/>
      <c r="P23" s="240"/>
      <c r="Q23" s="240"/>
      <c r="R23" s="240"/>
      <c r="S23" s="241"/>
      <c r="T23" s="241"/>
      <c r="U23" s="239"/>
      <c r="V23" s="5"/>
    </row>
    <row r="24" spans="1:22" ht="15.6" x14ac:dyDescent="0.3">
      <c r="A24" s="284"/>
      <c r="B24" s="285" t="s">
        <v>8</v>
      </c>
      <c r="C24" s="286"/>
      <c r="D24" s="286" t="s">
        <v>223</v>
      </c>
      <c r="E24" s="286"/>
      <c r="F24" s="286" t="s">
        <v>149</v>
      </c>
      <c r="G24" s="286"/>
      <c r="H24" s="286" t="s">
        <v>149</v>
      </c>
      <c r="I24" s="286"/>
      <c r="J24" s="286" t="s">
        <v>172</v>
      </c>
      <c r="K24" s="286"/>
      <c r="L24" s="286" t="s">
        <v>172</v>
      </c>
      <c r="M24" s="286"/>
      <c r="N24" s="286" t="s">
        <v>150</v>
      </c>
      <c r="O24" s="286"/>
      <c r="P24" s="286"/>
      <c r="Q24" s="286"/>
      <c r="R24" s="286"/>
      <c r="S24" s="287"/>
      <c r="T24" s="287"/>
      <c r="U24" s="288"/>
      <c r="V24" s="5"/>
    </row>
    <row r="25" spans="1:22" ht="15.6" x14ac:dyDescent="0.3">
      <c r="A25" s="289"/>
      <c r="B25" s="285" t="s">
        <v>198</v>
      </c>
      <c r="C25" s="394"/>
      <c r="D25" s="286" t="s">
        <v>224</v>
      </c>
      <c r="E25" s="286"/>
      <c r="F25" s="286" t="s">
        <v>149</v>
      </c>
      <c r="G25" s="286"/>
      <c r="H25" s="286" t="s">
        <v>149</v>
      </c>
      <c r="I25" s="286"/>
      <c r="J25" s="286" t="s">
        <v>172</v>
      </c>
      <c r="K25" s="286"/>
      <c r="L25" s="286" t="s">
        <v>172</v>
      </c>
      <c r="M25" s="286"/>
      <c r="N25" s="286" t="s">
        <v>150</v>
      </c>
      <c r="O25" s="286"/>
      <c r="P25" s="286"/>
      <c r="Q25" s="394"/>
      <c r="R25" s="286"/>
      <c r="S25" s="287"/>
      <c r="T25" s="287"/>
      <c r="U25" s="288"/>
      <c r="V25" s="5"/>
    </row>
    <row r="26" spans="1:22" ht="15.6" x14ac:dyDescent="0.3">
      <c r="A26" s="289"/>
      <c r="B26" s="292" t="s">
        <v>9</v>
      </c>
      <c r="C26" s="394"/>
      <c r="D26" s="394" t="s">
        <v>326</v>
      </c>
      <c r="E26" s="394"/>
      <c r="F26" s="394" t="s">
        <v>327</v>
      </c>
      <c r="G26" s="394"/>
      <c r="H26" s="394" t="s">
        <v>327</v>
      </c>
      <c r="I26" s="394"/>
      <c r="J26" s="394" t="s">
        <v>190</v>
      </c>
      <c r="K26" s="394"/>
      <c r="L26" s="394" t="s">
        <v>190</v>
      </c>
      <c r="M26" s="394"/>
      <c r="N26" s="394" t="s">
        <v>148</v>
      </c>
      <c r="O26" s="394"/>
      <c r="P26" s="394"/>
      <c r="Q26" s="394"/>
      <c r="R26" s="286"/>
      <c r="S26" s="287"/>
      <c r="T26" s="287"/>
      <c r="U26" s="288"/>
      <c r="V26" s="5"/>
    </row>
    <row r="27" spans="1:22" ht="15.6" x14ac:dyDescent="0.3">
      <c r="A27" s="284"/>
      <c r="B27" s="292" t="s">
        <v>199</v>
      </c>
      <c r="C27" s="286"/>
      <c r="D27" s="394" t="s">
        <v>334</v>
      </c>
      <c r="E27" s="394"/>
      <c r="F27" s="394" t="s">
        <v>322</v>
      </c>
      <c r="G27" s="394"/>
      <c r="H27" s="394" t="s">
        <v>322</v>
      </c>
      <c r="I27" s="394"/>
      <c r="J27" s="394" t="s">
        <v>150</v>
      </c>
      <c r="K27" s="394"/>
      <c r="L27" s="394" t="s">
        <v>150</v>
      </c>
      <c r="M27" s="394"/>
      <c r="N27" s="394" t="s">
        <v>333</v>
      </c>
      <c r="O27" s="394"/>
      <c r="P27" s="394"/>
      <c r="Q27" s="286"/>
      <c r="R27" s="293"/>
      <c r="S27" s="287"/>
      <c r="T27" s="287"/>
      <c r="U27" s="288"/>
      <c r="V27" s="5"/>
    </row>
    <row r="28" spans="1:22" ht="15.6" x14ac:dyDescent="0.3">
      <c r="A28" s="284"/>
      <c r="B28" s="292" t="s">
        <v>200</v>
      </c>
      <c r="C28" s="286"/>
      <c r="D28" s="394" t="s">
        <v>332</v>
      </c>
      <c r="E28" s="394"/>
      <c r="F28" s="394" t="s">
        <v>149</v>
      </c>
      <c r="G28" s="394"/>
      <c r="H28" s="394" t="s">
        <v>149</v>
      </c>
      <c r="I28" s="394"/>
      <c r="J28" s="394" t="s">
        <v>149</v>
      </c>
      <c r="K28" s="394"/>
      <c r="L28" s="394" t="s">
        <v>149</v>
      </c>
      <c r="M28" s="394"/>
      <c r="N28" s="394" t="s">
        <v>150</v>
      </c>
      <c r="O28" s="394"/>
      <c r="P28" s="394"/>
      <c r="Q28" s="286"/>
      <c r="R28" s="293"/>
      <c r="S28" s="287"/>
      <c r="T28" s="287"/>
      <c r="U28" s="288"/>
      <c r="V28" s="5"/>
    </row>
    <row r="29" spans="1:22" ht="15.6" x14ac:dyDescent="0.3">
      <c r="A29" s="284"/>
      <c r="B29" s="285" t="s">
        <v>10</v>
      </c>
      <c r="C29" s="295"/>
      <c r="D29" s="286" t="s">
        <v>237</v>
      </c>
      <c r="E29" s="286"/>
      <c r="F29" s="293" t="s">
        <v>238</v>
      </c>
      <c r="G29" s="286"/>
      <c r="H29" s="286" t="s">
        <v>239</v>
      </c>
      <c r="I29" s="286"/>
      <c r="J29" s="286" t="s">
        <v>240</v>
      </c>
      <c r="K29" s="286"/>
      <c r="L29" s="286" t="s">
        <v>241</v>
      </c>
      <c r="M29" s="286"/>
      <c r="N29" s="286" t="s">
        <v>242</v>
      </c>
      <c r="O29" s="286"/>
      <c r="P29" s="286"/>
      <c r="Q29" s="296"/>
      <c r="R29" s="296"/>
      <c r="S29" s="297"/>
      <c r="T29" s="296"/>
      <c r="U29" s="298"/>
      <c r="V29" s="5"/>
    </row>
    <row r="30" spans="1:22" ht="15.6" x14ac:dyDescent="0.3">
      <c r="A30" s="284"/>
      <c r="B30" s="285" t="s">
        <v>10</v>
      </c>
      <c r="C30" s="295"/>
      <c r="D30" s="286" t="s">
        <v>236</v>
      </c>
      <c r="E30" s="286"/>
      <c r="F30" s="293" t="s">
        <v>124</v>
      </c>
      <c r="G30" s="286"/>
      <c r="H30" s="286" t="s">
        <v>124</v>
      </c>
      <c r="I30" s="286"/>
      <c r="J30" s="286" t="s">
        <v>124</v>
      </c>
      <c r="K30" s="286"/>
      <c r="L30" s="286" t="s">
        <v>124</v>
      </c>
      <c r="M30" s="286"/>
      <c r="N30" s="286" t="s">
        <v>124</v>
      </c>
      <c r="O30" s="286"/>
      <c r="P30" s="286"/>
      <c r="Q30" s="296"/>
      <c r="R30" s="296"/>
      <c r="S30" s="297"/>
      <c r="T30" s="296"/>
      <c r="U30" s="298"/>
      <c r="V30" s="5"/>
    </row>
    <row r="31" spans="1:22" ht="15.6" x14ac:dyDescent="0.3">
      <c r="A31" s="289"/>
      <c r="B31" s="285" t="s">
        <v>139</v>
      </c>
      <c r="C31" s="299"/>
      <c r="D31" s="300">
        <v>985000</v>
      </c>
      <c r="E31" s="295"/>
      <c r="F31" s="296">
        <v>149500</v>
      </c>
      <c r="G31" s="296"/>
      <c r="H31" s="301">
        <v>219700</v>
      </c>
      <c r="I31" s="296"/>
      <c r="J31" s="296">
        <v>16000</v>
      </c>
      <c r="K31" s="296"/>
      <c r="L31" s="301">
        <v>82400</v>
      </c>
      <c r="M31" s="296"/>
      <c r="N31" s="301">
        <v>87500</v>
      </c>
      <c r="O31" s="296"/>
      <c r="P31" s="301"/>
      <c r="Q31" s="302"/>
      <c r="R31" s="302"/>
      <c r="S31" s="303"/>
      <c r="T31" s="302"/>
      <c r="U31" s="298"/>
      <c r="V31" s="5"/>
    </row>
    <row r="32" spans="1:22" ht="15.6" x14ac:dyDescent="0.3">
      <c r="A32" s="284"/>
      <c r="B32" s="285" t="s">
        <v>138</v>
      </c>
      <c r="C32" s="295"/>
      <c r="D32" s="300">
        <f>D38*D31</f>
        <v>386833.73099999997</v>
      </c>
      <c r="E32" s="295"/>
      <c r="F32" s="296">
        <f>F38*F31</f>
        <v>58712.596799999999</v>
      </c>
      <c r="G32" s="296"/>
      <c r="H32" s="301">
        <f>H38*H31</f>
        <v>86281.990079999989</v>
      </c>
      <c r="I32" s="296"/>
      <c r="J32" s="296">
        <f>J31*J38</f>
        <v>14903.011199999999</v>
      </c>
      <c r="K32" s="296"/>
      <c r="L32" s="301">
        <f>L31*L38</f>
        <v>76750.507679999995</v>
      </c>
      <c r="M32" s="296"/>
      <c r="N32" s="301">
        <f>N31*N38</f>
        <v>81500.842499999999</v>
      </c>
      <c r="O32" s="296"/>
      <c r="P32" s="301"/>
      <c r="Q32" s="296"/>
      <c r="R32" s="296"/>
      <c r="S32" s="297"/>
      <c r="T32" s="296"/>
      <c r="U32" s="298"/>
      <c r="V32" s="5"/>
    </row>
    <row r="33" spans="1:22" ht="15.6" x14ac:dyDescent="0.3">
      <c r="A33" s="284"/>
      <c r="B33" s="292" t="s">
        <v>140</v>
      </c>
      <c r="C33" s="295"/>
      <c r="D33" s="304">
        <f>D37*D31</f>
        <v>381022.72349999996</v>
      </c>
      <c r="E33" s="299"/>
      <c r="F33" s="302">
        <f>F37*F31</f>
        <v>57830.636499999993</v>
      </c>
      <c r="G33" s="302"/>
      <c r="H33" s="305">
        <f>H31*H37</f>
        <v>84985.891899999988</v>
      </c>
      <c r="I33" s="302"/>
      <c r="J33" s="302">
        <f>J31*J37</f>
        <v>14679.136</v>
      </c>
      <c r="K33" s="302"/>
      <c r="L33" s="305">
        <f>L31*L37</f>
        <v>75597.550399999993</v>
      </c>
      <c r="M33" s="302"/>
      <c r="N33" s="305">
        <f>N31*N37</f>
        <v>80276.524999999994</v>
      </c>
      <c r="O33" s="302"/>
      <c r="P33" s="305"/>
      <c r="Q33" s="296"/>
      <c r="R33" s="296"/>
      <c r="S33" s="297"/>
      <c r="T33" s="296"/>
      <c r="U33" s="298"/>
      <c r="V33" s="5"/>
    </row>
    <row r="34" spans="1:22" ht="15.6" x14ac:dyDescent="0.3">
      <c r="A34" s="289"/>
      <c r="B34" s="285" t="s">
        <v>283</v>
      </c>
      <c r="C34" s="299"/>
      <c r="D34" s="296">
        <v>567282</v>
      </c>
      <c r="E34" s="295"/>
      <c r="F34" s="296">
        <v>149500</v>
      </c>
      <c r="G34" s="296"/>
      <c r="H34" s="296">
        <v>150716</v>
      </c>
      <c r="I34" s="296"/>
      <c r="J34" s="296">
        <v>16000</v>
      </c>
      <c r="K34" s="296"/>
      <c r="L34" s="296">
        <v>56527</v>
      </c>
      <c r="M34" s="296"/>
      <c r="N34" s="296">
        <v>60025</v>
      </c>
      <c r="O34" s="296"/>
      <c r="P34" s="296"/>
      <c r="Q34" s="302"/>
      <c r="R34" s="302"/>
      <c r="S34" s="303"/>
      <c r="T34" s="296">
        <f>SUM(C34:P34)</f>
        <v>1000050</v>
      </c>
      <c r="U34" s="298"/>
      <c r="V34" s="5"/>
    </row>
    <row r="35" spans="1:22" ht="15.6" x14ac:dyDescent="0.3">
      <c r="A35" s="289"/>
      <c r="B35" s="285" t="s">
        <v>284</v>
      </c>
      <c r="C35" s="299"/>
      <c r="D35" s="296">
        <f>D38*D34</f>
        <v>222785.59653719998</v>
      </c>
      <c r="E35" s="295"/>
      <c r="F35" s="296">
        <f>F38*F34</f>
        <v>58712.596799999999</v>
      </c>
      <c r="G35" s="296"/>
      <c r="H35" s="296">
        <f>H38*H34</f>
        <v>59190.152102399996</v>
      </c>
      <c r="I35" s="296"/>
      <c r="J35" s="296">
        <f>J34*J38</f>
        <v>14903.011199999999</v>
      </c>
      <c r="K35" s="296"/>
      <c r="L35" s="296">
        <f>L34*L38</f>
        <v>52651.407131400003</v>
      </c>
      <c r="M35" s="296"/>
      <c r="N35" s="296">
        <f>N34*N38</f>
        <v>55909.577955000001</v>
      </c>
      <c r="O35" s="296"/>
      <c r="P35" s="296"/>
      <c r="Q35" s="296"/>
      <c r="R35" s="296"/>
      <c r="S35" s="297"/>
      <c r="T35" s="296">
        <f>SUM(C35:P35)+1</f>
        <v>464153.34172599996</v>
      </c>
      <c r="U35" s="298"/>
      <c r="V35" s="5"/>
    </row>
    <row r="36" spans="1:22" ht="15.6" x14ac:dyDescent="0.3">
      <c r="A36" s="289"/>
      <c r="B36" s="292" t="s">
        <v>285</v>
      </c>
      <c r="C36" s="299"/>
      <c r="D36" s="302">
        <f>D37*D34</f>
        <v>219438.9163782</v>
      </c>
      <c r="E36" s="299"/>
      <c r="F36" s="302">
        <f>F37*F34</f>
        <v>57830.636499999993</v>
      </c>
      <c r="G36" s="302"/>
      <c r="H36" s="302">
        <f>H37*H34</f>
        <v>58301.018131999997</v>
      </c>
      <c r="I36" s="302"/>
      <c r="J36" s="302">
        <f>J37*J34</f>
        <v>14679.136</v>
      </c>
      <c r="K36" s="302"/>
      <c r="L36" s="302">
        <f>L37*L34</f>
        <v>51860.470042000001</v>
      </c>
      <c r="M36" s="302"/>
      <c r="N36" s="302">
        <f>N37*N34</f>
        <v>55069.696149999996</v>
      </c>
      <c r="O36" s="302"/>
      <c r="P36" s="302"/>
      <c r="Q36" s="327"/>
      <c r="R36" s="327"/>
      <c r="S36" s="297"/>
      <c r="T36" s="302">
        <f>SUM(C36:P36)+1</f>
        <v>457180.87320219993</v>
      </c>
      <c r="U36" s="298"/>
      <c r="V36" s="5"/>
    </row>
    <row r="37" spans="1:22" ht="15.6" x14ac:dyDescent="0.3">
      <c r="A37" s="284"/>
      <c r="B37" s="310" t="s">
        <v>136</v>
      </c>
      <c r="C37" s="311"/>
      <c r="D37" s="312">
        <v>0.38682509999999998</v>
      </c>
      <c r="E37" s="313"/>
      <c r="F37" s="312">
        <v>0.38682699999999998</v>
      </c>
      <c r="G37" s="314"/>
      <c r="H37" s="312">
        <v>0.38682699999999998</v>
      </c>
      <c r="I37" s="314"/>
      <c r="J37" s="312">
        <v>0.91744599999999998</v>
      </c>
      <c r="K37" s="314"/>
      <c r="L37" s="312">
        <v>0.91744599999999998</v>
      </c>
      <c r="M37" s="314"/>
      <c r="N37" s="312">
        <v>0.91744599999999998</v>
      </c>
      <c r="O37" s="314"/>
      <c r="P37" s="314"/>
      <c r="Q37" s="315"/>
      <c r="R37" s="315"/>
      <c r="S37" s="316"/>
      <c r="T37" s="316"/>
      <c r="U37" s="317"/>
      <c r="V37" s="5"/>
    </row>
    <row r="38" spans="1:22" ht="15.6" x14ac:dyDescent="0.3">
      <c r="A38" s="284"/>
      <c r="B38" s="310" t="s">
        <v>137</v>
      </c>
      <c r="C38" s="311"/>
      <c r="D38" s="312">
        <v>0.39272459999999998</v>
      </c>
      <c r="E38" s="313"/>
      <c r="F38" s="312">
        <v>0.39272639999999998</v>
      </c>
      <c r="G38" s="314"/>
      <c r="H38" s="312">
        <v>0.39272639999999998</v>
      </c>
      <c r="I38" s="314"/>
      <c r="J38" s="312">
        <v>0.93143819999999999</v>
      </c>
      <c r="K38" s="314"/>
      <c r="L38" s="312">
        <v>0.93143819999999999</v>
      </c>
      <c r="M38" s="314"/>
      <c r="N38" s="312">
        <v>0.93143819999999999</v>
      </c>
      <c r="O38" s="314"/>
      <c r="P38" s="314"/>
      <c r="Q38" s="318"/>
      <c r="R38" s="319"/>
      <c r="S38" s="316"/>
      <c r="T38" s="318"/>
      <c r="U38" s="317"/>
      <c r="V38" s="5"/>
    </row>
    <row r="39" spans="1:22" ht="15.6" x14ac:dyDescent="0.3">
      <c r="A39" s="284"/>
      <c r="B39" s="285" t="s">
        <v>11</v>
      </c>
      <c r="C39" s="285"/>
      <c r="D39" s="293" t="s">
        <v>275</v>
      </c>
      <c r="E39" s="285"/>
      <c r="F39" s="293" t="s">
        <v>232</v>
      </c>
      <c r="G39" s="293"/>
      <c r="H39" s="293" t="s">
        <v>232</v>
      </c>
      <c r="I39" s="293"/>
      <c r="J39" s="293" t="s">
        <v>234</v>
      </c>
      <c r="K39" s="293"/>
      <c r="L39" s="293" t="s">
        <v>234</v>
      </c>
      <c r="M39" s="293"/>
      <c r="N39" s="293" t="s">
        <v>235</v>
      </c>
      <c r="O39" s="293"/>
      <c r="P39" s="293"/>
      <c r="Q39" s="320"/>
      <c r="R39" s="321"/>
      <c r="S39" s="287"/>
      <c r="T39" s="287"/>
      <c r="U39" s="288"/>
      <c r="V39" s="5"/>
    </row>
    <row r="40" spans="1:22" ht="15.6" x14ac:dyDescent="0.3">
      <c r="A40" s="284"/>
      <c r="B40" s="285" t="s">
        <v>12</v>
      </c>
      <c r="C40" s="285"/>
      <c r="D40" s="321">
        <v>6.2427999999999997E-3</v>
      </c>
      <c r="E40" s="285"/>
      <c r="F40" s="321">
        <v>7.6750000000000004E-3</v>
      </c>
      <c r="G40" s="320"/>
      <c r="H40" s="321">
        <v>0</v>
      </c>
      <c r="I40" s="320"/>
      <c r="J40" s="321">
        <v>1.0075000000000001E-2</v>
      </c>
      <c r="K40" s="320"/>
      <c r="L40" s="321">
        <v>1.8500000000000001E-3</v>
      </c>
      <c r="M40" s="320"/>
      <c r="N40" s="321">
        <v>6.0499999999999998E-3</v>
      </c>
      <c r="O40" s="320"/>
      <c r="P40" s="321"/>
      <c r="Q40" s="320"/>
      <c r="R40" s="321"/>
      <c r="S40" s="287"/>
      <c r="T40" s="293"/>
      <c r="U40" s="288"/>
      <c r="V40" s="5"/>
    </row>
    <row r="41" spans="1:22" ht="15.6" x14ac:dyDescent="0.3">
      <c r="A41" s="284"/>
      <c r="B41" s="285" t="s">
        <v>13</v>
      </c>
      <c r="C41" s="285"/>
      <c r="D41" s="321">
        <v>5.4205E-3</v>
      </c>
      <c r="E41" s="285"/>
      <c r="F41" s="321">
        <v>8.2781E-3</v>
      </c>
      <c r="G41" s="320"/>
      <c r="H41" s="321">
        <v>0</v>
      </c>
      <c r="I41" s="320"/>
      <c r="J41" s="321">
        <v>1.0678099999999999E-2</v>
      </c>
      <c r="K41" s="320"/>
      <c r="L41" s="321">
        <v>2.31E-3</v>
      </c>
      <c r="M41" s="320"/>
      <c r="N41" s="321">
        <v>6.5100000000000002E-3</v>
      </c>
      <c r="O41" s="320"/>
      <c r="P41" s="321"/>
      <c r="Q41" s="320"/>
      <c r="R41" s="321"/>
      <c r="S41" s="287"/>
      <c r="T41" s="320" t="s">
        <v>201</v>
      </c>
      <c r="U41" s="288"/>
      <c r="V41" s="5"/>
    </row>
    <row r="42" spans="1:22" ht="15.6" x14ac:dyDescent="0.3">
      <c r="A42" s="284"/>
      <c r="B42" s="285" t="s">
        <v>286</v>
      </c>
      <c r="C42" s="285"/>
      <c r="D42" s="293" t="s">
        <v>231</v>
      </c>
      <c r="E42" s="285"/>
      <c r="F42" s="293" t="s">
        <v>232</v>
      </c>
      <c r="G42" s="293"/>
      <c r="H42" s="293" t="s">
        <v>232</v>
      </c>
      <c r="I42" s="293"/>
      <c r="J42" s="293" t="s">
        <v>234</v>
      </c>
      <c r="K42" s="293"/>
      <c r="L42" s="293" t="s">
        <v>245</v>
      </c>
      <c r="M42" s="293"/>
      <c r="N42" s="293" t="s">
        <v>247</v>
      </c>
      <c r="O42" s="293"/>
      <c r="P42" s="293"/>
      <c r="Q42" s="320"/>
      <c r="R42" s="321"/>
      <c r="S42" s="287"/>
      <c r="T42" s="287"/>
      <c r="U42" s="288"/>
      <c r="V42" s="5"/>
    </row>
    <row r="43" spans="1:22" ht="15.6" x14ac:dyDescent="0.3">
      <c r="A43" s="284"/>
      <c r="B43" s="285" t="s">
        <v>287</v>
      </c>
      <c r="C43" s="322"/>
      <c r="D43" s="321">
        <v>6.5112E-3</v>
      </c>
      <c r="E43" s="321"/>
      <c r="F43" s="321">
        <f>+F40</f>
        <v>7.6750000000000004E-3</v>
      </c>
      <c r="G43" s="321"/>
      <c r="H43" s="321">
        <v>7.6709999999999999E-3</v>
      </c>
      <c r="I43" s="321"/>
      <c r="J43" s="321">
        <f>+J40</f>
        <v>1.0075000000000001E-2</v>
      </c>
      <c r="K43" s="321"/>
      <c r="L43" s="321">
        <v>1.0381E-2</v>
      </c>
      <c r="M43" s="321"/>
      <c r="N43" s="321">
        <v>1.5084999999999999E-2</v>
      </c>
      <c r="O43" s="320"/>
      <c r="P43" s="321"/>
      <c r="Q43" s="293"/>
      <c r="R43" s="293"/>
      <c r="S43" s="287"/>
      <c r="T43" s="320">
        <f>SUMPRODUCT(D43:N43,D35:N35)/T35</f>
        <v>8.3924559879874749E-3</v>
      </c>
      <c r="U43" s="288"/>
      <c r="V43" s="5"/>
    </row>
    <row r="44" spans="1:22" ht="15.6" x14ac:dyDescent="0.3">
      <c r="A44" s="284"/>
      <c r="B44" s="285" t="s">
        <v>288</v>
      </c>
      <c r="C44" s="322"/>
      <c r="D44" s="321">
        <v>7.1142999999999996E-3</v>
      </c>
      <c r="E44" s="321"/>
      <c r="F44" s="321">
        <f>+F41</f>
        <v>8.2781E-3</v>
      </c>
      <c r="G44" s="321"/>
      <c r="H44" s="321">
        <v>8.2740999999999995E-3</v>
      </c>
      <c r="I44" s="321"/>
      <c r="J44" s="321">
        <f>+J41</f>
        <v>1.0678099999999999E-2</v>
      </c>
      <c r="K44" s="321"/>
      <c r="L44" s="321">
        <v>1.09841E-2</v>
      </c>
      <c r="M44" s="321"/>
      <c r="N44" s="321">
        <v>1.56881E-2</v>
      </c>
      <c r="O44" s="320"/>
      <c r="P44" s="321"/>
      <c r="Q44" s="293"/>
      <c r="R44" s="293"/>
      <c r="S44" s="287"/>
      <c r="T44" s="287"/>
      <c r="U44" s="288"/>
      <c r="V44" s="5"/>
    </row>
    <row r="45" spans="1:22" ht="15.6" x14ac:dyDescent="0.3">
      <c r="A45" s="284"/>
      <c r="B45" s="285" t="s">
        <v>14</v>
      </c>
      <c r="C45" s="285"/>
      <c r="D45" s="322">
        <v>40283</v>
      </c>
      <c r="E45" s="322"/>
      <c r="F45" s="322">
        <v>40283</v>
      </c>
      <c r="G45" s="322"/>
      <c r="H45" s="322">
        <v>40283</v>
      </c>
      <c r="I45" s="322"/>
      <c r="J45" s="322">
        <v>40283</v>
      </c>
      <c r="K45" s="322"/>
      <c r="L45" s="322">
        <v>40283</v>
      </c>
      <c r="M45" s="322"/>
      <c r="N45" s="322">
        <v>40283</v>
      </c>
      <c r="O45" s="322"/>
      <c r="P45" s="322"/>
      <c r="Q45" s="293"/>
      <c r="R45" s="293"/>
      <c r="S45" s="287"/>
      <c r="T45" s="287"/>
      <c r="U45" s="288"/>
      <c r="V45" s="5"/>
    </row>
    <row r="46" spans="1:22" ht="15.6" x14ac:dyDescent="0.3">
      <c r="A46" s="284"/>
      <c r="B46" s="285" t="s">
        <v>15</v>
      </c>
      <c r="C46" s="285"/>
      <c r="D46" s="322">
        <v>40648</v>
      </c>
      <c r="E46" s="322"/>
      <c r="F46" s="322">
        <v>40648</v>
      </c>
      <c r="G46" s="322"/>
      <c r="H46" s="322">
        <v>40648</v>
      </c>
      <c r="I46" s="293"/>
      <c r="J46" s="322">
        <v>40648</v>
      </c>
      <c r="K46" s="293"/>
      <c r="L46" s="322">
        <v>40648</v>
      </c>
      <c r="M46" s="293"/>
      <c r="N46" s="322">
        <v>40648</v>
      </c>
      <c r="O46" s="293"/>
      <c r="P46" s="322"/>
      <c r="Q46" s="293"/>
      <c r="R46" s="293"/>
      <c r="S46" s="287"/>
      <c r="T46" s="287"/>
      <c r="U46" s="288"/>
      <c r="V46" s="5"/>
    </row>
    <row r="47" spans="1:22" ht="15.6" x14ac:dyDescent="0.3">
      <c r="A47" s="284"/>
      <c r="B47" s="285" t="s">
        <v>125</v>
      </c>
      <c r="C47" s="285"/>
      <c r="D47" s="293" t="s">
        <v>124</v>
      </c>
      <c r="E47" s="285"/>
      <c r="F47" s="293" t="s">
        <v>232</v>
      </c>
      <c r="G47" s="293"/>
      <c r="H47" s="293" t="s">
        <v>232</v>
      </c>
      <c r="I47" s="293"/>
      <c r="J47" s="293" t="s">
        <v>234</v>
      </c>
      <c r="K47" s="293"/>
      <c r="L47" s="293" t="s">
        <v>234</v>
      </c>
      <c r="M47" s="293"/>
      <c r="N47" s="293" t="s">
        <v>235</v>
      </c>
      <c r="O47" s="293"/>
      <c r="P47" s="293"/>
      <c r="Q47" s="324"/>
      <c r="R47" s="324"/>
      <c r="S47" s="324"/>
      <c r="T47" s="324"/>
      <c r="U47" s="288"/>
      <c r="V47" s="5"/>
    </row>
    <row r="48" spans="1:22" ht="15.6" x14ac:dyDescent="0.3">
      <c r="A48" s="284"/>
      <c r="B48" s="285" t="s">
        <v>289</v>
      </c>
      <c r="C48" s="285"/>
      <c r="D48" s="293" t="s">
        <v>208</v>
      </c>
      <c r="E48" s="285"/>
      <c r="F48" s="293" t="s">
        <v>232</v>
      </c>
      <c r="G48" s="293"/>
      <c r="H48" s="293" t="s">
        <v>232</v>
      </c>
      <c r="I48" s="293"/>
      <c r="J48" s="293" t="s">
        <v>234</v>
      </c>
      <c r="K48" s="293"/>
      <c r="L48" s="293" t="s">
        <v>245</v>
      </c>
      <c r="M48" s="293"/>
      <c r="N48" s="293" t="s">
        <v>247</v>
      </c>
      <c r="O48" s="293"/>
      <c r="P48" s="293"/>
      <c r="Q48" s="285"/>
      <c r="R48" s="285"/>
      <c r="S48" s="285"/>
      <c r="T48" s="320"/>
      <c r="U48" s="288"/>
      <c r="V48" s="5"/>
    </row>
    <row r="49" spans="1:23" ht="15.6" x14ac:dyDescent="0.3">
      <c r="A49" s="284"/>
      <c r="B49" s="285"/>
      <c r="C49" s="285"/>
      <c r="D49" s="293"/>
      <c r="E49" s="285"/>
      <c r="F49" s="293"/>
      <c r="G49" s="293"/>
      <c r="H49" s="293"/>
      <c r="I49" s="293"/>
      <c r="J49" s="293"/>
      <c r="K49" s="293"/>
      <c r="L49" s="293"/>
      <c r="M49" s="293"/>
      <c r="N49" s="293"/>
      <c r="O49" s="293"/>
      <c r="P49" s="293"/>
      <c r="Q49" s="285"/>
      <c r="R49" s="285"/>
      <c r="S49" s="285"/>
      <c r="T49" s="320" t="s">
        <v>201</v>
      </c>
      <c r="U49" s="288"/>
      <c r="V49" s="5"/>
    </row>
    <row r="50" spans="1:23" ht="15.6" x14ac:dyDescent="0.3">
      <c r="A50" s="284"/>
      <c r="B50" s="285" t="s">
        <v>176</v>
      </c>
      <c r="C50" s="285"/>
      <c r="D50" s="293"/>
      <c r="E50" s="285"/>
      <c r="F50" s="293"/>
      <c r="G50" s="293"/>
      <c r="H50" s="293"/>
      <c r="I50" s="293"/>
      <c r="J50" s="293"/>
      <c r="K50" s="293"/>
      <c r="L50" s="293"/>
      <c r="M50" s="293"/>
      <c r="N50" s="293"/>
      <c r="O50" s="293"/>
      <c r="P50" s="293"/>
      <c r="Q50" s="285"/>
      <c r="R50" s="285"/>
      <c r="S50" s="285"/>
      <c r="T50" s="320">
        <f>SUM(J34:P34)/SUM(D34:H34)</f>
        <v>0.15279804679664968</v>
      </c>
      <c r="U50" s="288"/>
      <c r="V50" s="5"/>
    </row>
    <row r="51" spans="1:23" ht="15.6" x14ac:dyDescent="0.3">
      <c r="A51" s="284"/>
      <c r="B51" s="285" t="s">
        <v>177</v>
      </c>
      <c r="C51" s="285"/>
      <c r="D51" s="285"/>
      <c r="E51" s="285"/>
      <c r="F51" s="325"/>
      <c r="G51" s="285"/>
      <c r="H51" s="285"/>
      <c r="I51" s="285"/>
      <c r="J51" s="285"/>
      <c r="K51" s="285"/>
      <c r="L51" s="285"/>
      <c r="M51" s="285"/>
      <c r="N51" s="285"/>
      <c r="O51" s="285"/>
      <c r="P51" s="285"/>
      <c r="Q51" s="285"/>
      <c r="R51" s="285"/>
      <c r="S51" s="285"/>
      <c r="T51" s="320">
        <f>SUM(J36:P36)/SUM(D36:H36)</f>
        <v>0.36239561122987624</v>
      </c>
      <c r="U51" s="288"/>
      <c r="V51" s="5"/>
    </row>
    <row r="52" spans="1:23" ht="15.6" x14ac:dyDescent="0.3">
      <c r="A52" s="284"/>
      <c r="B52" s="285" t="s">
        <v>178</v>
      </c>
      <c r="C52" s="285"/>
      <c r="D52" s="285"/>
      <c r="E52" s="285"/>
      <c r="F52" s="285"/>
      <c r="G52" s="285"/>
      <c r="H52" s="285"/>
      <c r="I52" s="285"/>
      <c r="J52" s="285"/>
      <c r="K52" s="285"/>
      <c r="L52" s="285"/>
      <c r="M52" s="285"/>
      <c r="N52" s="285"/>
      <c r="O52" s="285"/>
      <c r="P52" s="285"/>
      <c r="Q52" s="285"/>
      <c r="R52" s="293" t="s">
        <v>109</v>
      </c>
      <c r="S52" s="293" t="s">
        <v>115</v>
      </c>
      <c r="T52" s="296">
        <f>+T34/2-SUM(J34:P34)</f>
        <v>367473</v>
      </c>
      <c r="U52" s="288"/>
      <c r="V52" s="5"/>
    </row>
    <row r="53" spans="1:23" ht="15.6" x14ac:dyDescent="0.3">
      <c r="A53" s="284"/>
      <c r="B53" s="285"/>
      <c r="C53" s="285"/>
      <c r="D53" s="285"/>
      <c r="E53" s="285"/>
      <c r="F53" s="285"/>
      <c r="G53" s="285"/>
      <c r="H53" s="285"/>
      <c r="I53" s="285"/>
      <c r="J53" s="285"/>
      <c r="K53" s="285"/>
      <c r="L53" s="285"/>
      <c r="M53" s="285"/>
      <c r="N53" s="285"/>
      <c r="O53" s="285"/>
      <c r="P53" s="285"/>
      <c r="Q53" s="285"/>
      <c r="R53" s="285"/>
      <c r="S53" s="285"/>
      <c r="T53" s="326"/>
      <c r="U53" s="288"/>
      <c r="V53" s="5"/>
    </row>
    <row r="54" spans="1:23" ht="15.6" x14ac:dyDescent="0.3">
      <c r="A54" s="284"/>
      <c r="B54" s="285" t="s">
        <v>211</v>
      </c>
      <c r="C54" s="285"/>
      <c r="D54" s="285"/>
      <c r="E54" s="285"/>
      <c r="F54" s="285"/>
      <c r="G54" s="285"/>
      <c r="H54" s="285"/>
      <c r="I54" s="285"/>
      <c r="J54" s="285"/>
      <c r="K54" s="285"/>
      <c r="L54" s="285"/>
      <c r="M54" s="285"/>
      <c r="N54" s="285"/>
      <c r="O54" s="285"/>
      <c r="P54" s="285"/>
      <c r="Q54" s="285"/>
      <c r="R54" s="285"/>
      <c r="S54" s="285"/>
      <c r="T54" s="327" t="s">
        <v>212</v>
      </c>
      <c r="U54" s="288"/>
      <c r="V54" s="5"/>
    </row>
    <row r="55" spans="1:23" ht="15.6" x14ac:dyDescent="0.3">
      <c r="A55" s="284"/>
      <c r="B55" s="285" t="s">
        <v>253</v>
      </c>
      <c r="C55" s="285"/>
      <c r="D55" s="285"/>
      <c r="E55" s="285"/>
      <c r="F55" s="285"/>
      <c r="G55" s="285"/>
      <c r="H55" s="285"/>
      <c r="I55" s="285"/>
      <c r="J55" s="285"/>
      <c r="K55" s="285"/>
      <c r="L55" s="285"/>
      <c r="M55" s="285"/>
      <c r="N55" s="285"/>
      <c r="O55" s="285"/>
      <c r="P55" s="285"/>
      <c r="Q55" s="285"/>
      <c r="R55" s="293"/>
      <c r="S55" s="293"/>
      <c r="T55" s="328" t="s">
        <v>117</v>
      </c>
      <c r="U55" s="288"/>
      <c r="V55" s="5"/>
    </row>
    <row r="56" spans="1:23" ht="15.6" x14ac:dyDescent="0.3">
      <c r="A56" s="284"/>
      <c r="B56" s="292" t="s">
        <v>210</v>
      </c>
      <c r="C56" s="292"/>
      <c r="D56" s="292"/>
      <c r="E56" s="292"/>
      <c r="F56" s="292"/>
      <c r="G56" s="292"/>
      <c r="H56" s="292"/>
      <c r="I56" s="292"/>
      <c r="J56" s="292"/>
      <c r="K56" s="292"/>
      <c r="L56" s="292"/>
      <c r="M56" s="292"/>
      <c r="N56" s="292"/>
      <c r="O56" s="292"/>
      <c r="P56" s="292"/>
      <c r="Q56" s="292"/>
      <c r="R56" s="329"/>
      <c r="S56" s="329"/>
      <c r="T56" s="330">
        <v>42660</v>
      </c>
      <c r="U56" s="288"/>
      <c r="V56" s="5"/>
    </row>
    <row r="57" spans="1:23" ht="15.6" x14ac:dyDescent="0.3">
      <c r="A57" s="284"/>
      <c r="B57" s="285" t="s">
        <v>127</v>
      </c>
      <c r="C57" s="285"/>
      <c r="D57" s="285"/>
      <c r="E57" s="285"/>
      <c r="F57" s="285"/>
      <c r="G57" s="285"/>
      <c r="H57" s="331"/>
      <c r="I57" s="331"/>
      <c r="J57" s="331"/>
      <c r="K57" s="331"/>
      <c r="L57" s="331"/>
      <c r="M57" s="331"/>
      <c r="N57" s="331"/>
      <c r="O57" s="331"/>
      <c r="P57" s="285">
        <f>+T57-R57+1</f>
        <v>91</v>
      </c>
      <c r="Q57" s="331"/>
      <c r="R57" s="332">
        <v>42475</v>
      </c>
      <c r="S57" s="333"/>
      <c r="T57" s="332">
        <v>42565</v>
      </c>
      <c r="U57" s="288"/>
      <c r="V57" s="5"/>
    </row>
    <row r="58" spans="1:23" ht="15.6" x14ac:dyDescent="0.3">
      <c r="A58" s="284"/>
      <c r="B58" s="285" t="s">
        <v>128</v>
      </c>
      <c r="C58" s="285"/>
      <c r="D58" s="285"/>
      <c r="E58" s="285"/>
      <c r="F58" s="285"/>
      <c r="G58" s="285"/>
      <c r="H58" s="285"/>
      <c r="I58" s="285"/>
      <c r="J58" s="285"/>
      <c r="K58" s="285"/>
      <c r="L58" s="285"/>
      <c r="M58" s="285"/>
      <c r="N58" s="285"/>
      <c r="O58" s="285"/>
      <c r="P58" s="285">
        <f>+T58-R58+1</f>
        <v>94</v>
      </c>
      <c r="Q58" s="285"/>
      <c r="R58" s="332">
        <v>42566</v>
      </c>
      <c r="S58" s="333"/>
      <c r="T58" s="332">
        <v>42659</v>
      </c>
      <c r="U58" s="288"/>
      <c r="V58" s="5"/>
    </row>
    <row r="59" spans="1:23" ht="15.6" x14ac:dyDescent="0.3">
      <c r="A59" s="284"/>
      <c r="B59" s="285" t="s">
        <v>209</v>
      </c>
      <c r="C59" s="285"/>
      <c r="D59" s="285"/>
      <c r="E59" s="285"/>
      <c r="F59" s="285"/>
      <c r="G59" s="285"/>
      <c r="H59" s="285"/>
      <c r="I59" s="285"/>
      <c r="J59" s="285"/>
      <c r="K59" s="285"/>
      <c r="L59" s="285"/>
      <c r="M59" s="285"/>
      <c r="N59" s="285"/>
      <c r="O59" s="285"/>
      <c r="P59" s="285"/>
      <c r="Q59" s="285"/>
      <c r="R59" s="332"/>
      <c r="S59" s="333"/>
      <c r="T59" s="332" t="s">
        <v>126</v>
      </c>
      <c r="U59" s="288"/>
      <c r="V59" s="5"/>
    </row>
    <row r="60" spans="1:23" ht="15.6" x14ac:dyDescent="0.3">
      <c r="A60" s="284"/>
      <c r="B60" s="285" t="s">
        <v>249</v>
      </c>
      <c r="C60" s="285"/>
      <c r="D60" s="285"/>
      <c r="E60" s="285"/>
      <c r="F60" s="285"/>
      <c r="G60" s="285"/>
      <c r="H60" s="285"/>
      <c r="I60" s="285"/>
      <c r="J60" s="285"/>
      <c r="K60" s="285"/>
      <c r="L60" s="285"/>
      <c r="M60" s="285"/>
      <c r="N60" s="285"/>
      <c r="O60" s="285"/>
      <c r="P60" s="285"/>
      <c r="Q60" s="285"/>
      <c r="R60" s="332"/>
      <c r="S60" s="333"/>
      <c r="T60" s="332" t="s">
        <v>160</v>
      </c>
      <c r="U60" s="288"/>
      <c r="V60" s="5"/>
      <c r="W60" s="134"/>
    </row>
    <row r="61" spans="1:23" ht="15.6" x14ac:dyDescent="0.3">
      <c r="A61" s="284"/>
      <c r="B61" s="285" t="s">
        <v>16</v>
      </c>
      <c r="C61" s="285"/>
      <c r="D61" s="285"/>
      <c r="E61" s="285"/>
      <c r="F61" s="285"/>
      <c r="G61" s="285"/>
      <c r="H61" s="285"/>
      <c r="I61" s="285"/>
      <c r="J61" s="285"/>
      <c r="K61" s="285"/>
      <c r="L61" s="285"/>
      <c r="M61" s="285"/>
      <c r="N61" s="285"/>
      <c r="O61" s="285"/>
      <c r="P61" s="285"/>
      <c r="Q61" s="285"/>
      <c r="R61" s="332"/>
      <c r="S61" s="333"/>
      <c r="T61" s="332">
        <v>42644</v>
      </c>
      <c r="U61" s="288"/>
      <c r="V61" s="5"/>
    </row>
    <row r="62" spans="1:23" ht="15.6" x14ac:dyDescent="0.3">
      <c r="A62" s="175"/>
      <c r="B62" s="281"/>
      <c r="C62" s="281"/>
      <c r="D62" s="281"/>
      <c r="E62" s="281"/>
      <c r="F62" s="281"/>
      <c r="G62" s="281"/>
      <c r="H62" s="281"/>
      <c r="I62" s="281"/>
      <c r="J62" s="281"/>
      <c r="K62" s="281"/>
      <c r="L62" s="281"/>
      <c r="M62" s="281"/>
      <c r="N62" s="281"/>
      <c r="O62" s="281"/>
      <c r="P62" s="281"/>
      <c r="Q62" s="281"/>
      <c r="R62" s="282"/>
      <c r="S62" s="283"/>
      <c r="T62" s="282"/>
      <c r="U62" s="281"/>
      <c r="V62" s="5"/>
    </row>
    <row r="63" spans="1:23" ht="15.6" x14ac:dyDescent="0.3">
      <c r="A63" s="175"/>
      <c r="B63" s="231"/>
      <c r="C63" s="231"/>
      <c r="D63" s="231"/>
      <c r="E63" s="231"/>
      <c r="F63" s="231"/>
      <c r="G63" s="231"/>
      <c r="H63" s="231"/>
      <c r="I63" s="231"/>
      <c r="J63" s="231"/>
      <c r="K63" s="231"/>
      <c r="L63" s="231"/>
      <c r="M63" s="231"/>
      <c r="N63" s="231"/>
      <c r="O63" s="231"/>
      <c r="P63" s="231"/>
      <c r="Q63" s="231"/>
      <c r="R63" s="244"/>
      <c r="S63" s="245"/>
      <c r="T63" s="244"/>
      <c r="U63" s="231"/>
      <c r="V63" s="5"/>
    </row>
    <row r="64" spans="1:23" ht="18" thickBot="1" x14ac:dyDescent="0.35">
      <c r="A64" s="192"/>
      <c r="B64" s="246" t="s">
        <v>339</v>
      </c>
      <c r="C64" s="247"/>
      <c r="D64" s="247"/>
      <c r="E64" s="247"/>
      <c r="F64" s="247"/>
      <c r="G64" s="247"/>
      <c r="H64" s="247"/>
      <c r="I64" s="247"/>
      <c r="J64" s="247"/>
      <c r="K64" s="247"/>
      <c r="L64" s="247"/>
      <c r="M64" s="247"/>
      <c r="N64" s="247"/>
      <c r="O64" s="247"/>
      <c r="P64" s="247"/>
      <c r="Q64" s="247"/>
      <c r="R64" s="247"/>
      <c r="S64" s="247"/>
      <c r="T64" s="248"/>
      <c r="U64" s="249"/>
      <c r="V64" s="5"/>
    </row>
    <row r="65" spans="1:22" ht="15.6" x14ac:dyDescent="0.3">
      <c r="A65" s="222"/>
      <c r="B65" s="395" t="s">
        <v>17</v>
      </c>
      <c r="C65" s="223"/>
      <c r="D65" s="223"/>
      <c r="E65" s="223"/>
      <c r="F65" s="223"/>
      <c r="G65" s="223"/>
      <c r="H65" s="223"/>
      <c r="I65" s="223"/>
      <c r="J65" s="223"/>
      <c r="K65" s="223"/>
      <c r="L65" s="223"/>
      <c r="M65" s="223"/>
      <c r="N65" s="223"/>
      <c r="O65" s="223"/>
      <c r="P65" s="223"/>
      <c r="Q65" s="223"/>
      <c r="R65" s="223"/>
      <c r="S65" s="223"/>
      <c r="T65" s="250"/>
      <c r="U65" s="223"/>
      <c r="V65" s="5"/>
    </row>
    <row r="66" spans="1:22" ht="15.6" x14ac:dyDescent="0.3">
      <c r="A66" s="175"/>
      <c r="B66" s="183"/>
      <c r="C66" s="177"/>
      <c r="D66" s="177"/>
      <c r="E66" s="177"/>
      <c r="F66" s="177"/>
      <c r="G66" s="177"/>
      <c r="H66" s="177"/>
      <c r="I66" s="177"/>
      <c r="J66" s="177"/>
      <c r="K66" s="177"/>
      <c r="L66" s="177"/>
      <c r="M66" s="177"/>
      <c r="N66" s="177"/>
      <c r="O66" s="177"/>
      <c r="P66" s="177"/>
      <c r="Q66" s="177"/>
      <c r="R66" s="177"/>
      <c r="S66" s="177"/>
      <c r="T66" s="194"/>
      <c r="U66" s="177"/>
      <c r="V66" s="5"/>
    </row>
    <row r="67" spans="1:22" ht="46.8" x14ac:dyDescent="0.3">
      <c r="A67" s="175"/>
      <c r="B67" s="195" t="s">
        <v>18</v>
      </c>
      <c r="C67" s="196"/>
      <c r="D67" s="196"/>
      <c r="E67" s="196"/>
      <c r="F67" s="196"/>
      <c r="G67" s="196"/>
      <c r="H67" s="196"/>
      <c r="I67" s="196"/>
      <c r="J67" s="196" t="s">
        <v>97</v>
      </c>
      <c r="K67" s="196"/>
      <c r="L67" s="196" t="s">
        <v>99</v>
      </c>
      <c r="M67" s="196"/>
      <c r="N67" s="196" t="s">
        <v>101</v>
      </c>
      <c r="O67" s="196"/>
      <c r="P67" s="196" t="s">
        <v>103</v>
      </c>
      <c r="Q67" s="196"/>
      <c r="R67" s="196" t="s">
        <v>110</v>
      </c>
      <c r="S67" s="196"/>
      <c r="T67" s="197" t="s">
        <v>118</v>
      </c>
      <c r="U67" s="198"/>
      <c r="V67" s="5"/>
    </row>
    <row r="68" spans="1:22" ht="15.6" x14ac:dyDescent="0.3">
      <c r="A68" s="337"/>
      <c r="B68" s="285" t="s">
        <v>19</v>
      </c>
      <c r="C68" s="338"/>
      <c r="D68" s="338"/>
      <c r="E68" s="338"/>
      <c r="F68" s="338"/>
      <c r="G68" s="338"/>
      <c r="H68" s="338"/>
      <c r="I68" s="338"/>
      <c r="J68" s="338">
        <v>1000039</v>
      </c>
      <c r="K68" s="338"/>
      <c r="L68" s="339">
        <v>464153</v>
      </c>
      <c r="M68" s="338"/>
      <c r="N68" s="338">
        <f>6973+62+65+10-1</f>
        <v>7109</v>
      </c>
      <c r="O68" s="338"/>
      <c r="P68" s="338">
        <f>62+65+10</f>
        <v>137</v>
      </c>
      <c r="Q68" s="338"/>
      <c r="R68" s="338">
        <v>0</v>
      </c>
      <c r="S68" s="338"/>
      <c r="T68" s="339">
        <f>+L68-N68+P68-R68</f>
        <v>457181</v>
      </c>
      <c r="U68" s="288"/>
      <c r="V68" s="5"/>
    </row>
    <row r="69" spans="1:22" ht="15.6" x14ac:dyDescent="0.3">
      <c r="A69" s="337"/>
      <c r="B69" s="285" t="s">
        <v>20</v>
      </c>
      <c r="C69" s="338"/>
      <c r="D69" s="338"/>
      <c r="E69" s="338"/>
      <c r="F69" s="338"/>
      <c r="G69" s="338"/>
      <c r="H69" s="338"/>
      <c r="I69" s="338"/>
      <c r="J69" s="338">
        <v>10</v>
      </c>
      <c r="K69" s="338"/>
      <c r="L69" s="339">
        <v>0</v>
      </c>
      <c r="M69" s="338"/>
      <c r="N69" s="338">
        <v>0</v>
      </c>
      <c r="O69" s="338"/>
      <c r="P69" s="338">
        <v>0</v>
      </c>
      <c r="Q69" s="338"/>
      <c r="R69" s="338">
        <v>0</v>
      </c>
      <c r="S69" s="338"/>
      <c r="T69" s="339">
        <v>0</v>
      </c>
      <c r="U69" s="288"/>
      <c r="V69" s="5"/>
    </row>
    <row r="70" spans="1:22" ht="15.6" x14ac:dyDescent="0.3">
      <c r="A70" s="337"/>
      <c r="B70" s="285"/>
      <c r="C70" s="338"/>
      <c r="D70" s="338"/>
      <c r="E70" s="338"/>
      <c r="F70" s="338"/>
      <c r="G70" s="338"/>
      <c r="H70" s="338"/>
      <c r="I70" s="338"/>
      <c r="J70" s="338"/>
      <c r="K70" s="338"/>
      <c r="L70" s="339"/>
      <c r="M70" s="338"/>
      <c r="N70" s="338"/>
      <c r="O70" s="338"/>
      <c r="P70" s="338"/>
      <c r="Q70" s="338"/>
      <c r="R70" s="338"/>
      <c r="S70" s="338"/>
      <c r="T70" s="339"/>
      <c r="U70" s="288"/>
      <c r="V70" s="5"/>
    </row>
    <row r="71" spans="1:22" ht="15.6" x14ac:dyDescent="0.3">
      <c r="A71" s="337"/>
      <c r="B71" s="285" t="s">
        <v>21</v>
      </c>
      <c r="C71" s="338"/>
      <c r="D71" s="338"/>
      <c r="E71" s="338"/>
      <c r="F71" s="338"/>
      <c r="G71" s="338"/>
      <c r="H71" s="338"/>
      <c r="I71" s="338"/>
      <c r="J71" s="338">
        <f>SUM(J68:J70)</f>
        <v>1000049</v>
      </c>
      <c r="K71" s="338"/>
      <c r="L71" s="338">
        <f>L68+L69</f>
        <v>464153</v>
      </c>
      <c r="M71" s="338"/>
      <c r="N71" s="338">
        <f>SUM(N68:N70)</f>
        <v>7109</v>
      </c>
      <c r="O71" s="338"/>
      <c r="P71" s="338">
        <f>SUM(P68:P70)</f>
        <v>137</v>
      </c>
      <c r="Q71" s="338"/>
      <c r="R71" s="338">
        <f>SUM(R68:R70)</f>
        <v>0</v>
      </c>
      <c r="S71" s="338"/>
      <c r="T71" s="338">
        <f>SUM(T68:T70)</f>
        <v>457181</v>
      </c>
      <c r="U71" s="288"/>
      <c r="V71" s="5"/>
    </row>
    <row r="72" spans="1:22" ht="15.6" x14ac:dyDescent="0.3">
      <c r="A72" s="175"/>
      <c r="B72" s="334"/>
      <c r="C72" s="335"/>
      <c r="D72" s="335"/>
      <c r="E72" s="335"/>
      <c r="F72" s="335"/>
      <c r="G72" s="335"/>
      <c r="H72" s="335"/>
      <c r="I72" s="335"/>
      <c r="J72" s="335"/>
      <c r="K72" s="335"/>
      <c r="L72" s="335"/>
      <c r="M72" s="335"/>
      <c r="N72" s="335"/>
      <c r="O72" s="335"/>
      <c r="P72" s="335"/>
      <c r="Q72" s="335"/>
      <c r="R72" s="335"/>
      <c r="S72" s="335"/>
      <c r="T72" s="336"/>
      <c r="U72" s="334"/>
      <c r="V72" s="5"/>
    </row>
    <row r="73" spans="1:22" ht="15.6" x14ac:dyDescent="0.3">
      <c r="A73" s="175"/>
      <c r="B73" s="179" t="s">
        <v>22</v>
      </c>
      <c r="C73" s="199"/>
      <c r="D73" s="199"/>
      <c r="E73" s="199"/>
      <c r="F73" s="199"/>
      <c r="G73" s="199"/>
      <c r="H73" s="199"/>
      <c r="I73" s="199"/>
      <c r="J73" s="199"/>
      <c r="K73" s="199"/>
      <c r="L73" s="199"/>
      <c r="M73" s="199"/>
      <c r="N73" s="199"/>
      <c r="O73" s="199"/>
      <c r="P73" s="199"/>
      <c r="Q73" s="199"/>
      <c r="R73" s="199"/>
      <c r="S73" s="199"/>
      <c r="T73" s="200"/>
      <c r="U73" s="177"/>
      <c r="V73" s="5"/>
    </row>
    <row r="74" spans="1:22" ht="15.6" x14ac:dyDescent="0.3">
      <c r="A74" s="175"/>
      <c r="B74" s="177"/>
      <c r="C74" s="199"/>
      <c r="D74" s="199"/>
      <c r="E74" s="199"/>
      <c r="F74" s="199"/>
      <c r="G74" s="199"/>
      <c r="H74" s="199"/>
      <c r="I74" s="199"/>
      <c r="J74" s="199"/>
      <c r="K74" s="199"/>
      <c r="L74" s="199"/>
      <c r="M74" s="199"/>
      <c r="N74" s="199"/>
      <c r="O74" s="199"/>
      <c r="P74" s="199"/>
      <c r="Q74" s="199"/>
      <c r="R74" s="199"/>
      <c r="S74" s="199"/>
      <c r="T74" s="200"/>
      <c r="U74" s="177"/>
      <c r="V74" s="5"/>
    </row>
    <row r="75" spans="1:22" ht="15.6" x14ac:dyDescent="0.3">
      <c r="A75" s="284"/>
      <c r="B75" s="285" t="s">
        <v>19</v>
      </c>
      <c r="C75" s="338"/>
      <c r="D75" s="338"/>
      <c r="E75" s="338"/>
      <c r="F75" s="338"/>
      <c r="G75" s="338"/>
      <c r="H75" s="338"/>
      <c r="I75" s="338"/>
      <c r="J75" s="338"/>
      <c r="K75" s="338"/>
      <c r="L75" s="338"/>
      <c r="M75" s="338"/>
      <c r="N75" s="338"/>
      <c r="O75" s="338"/>
      <c r="P75" s="338"/>
      <c r="Q75" s="338"/>
      <c r="R75" s="338"/>
      <c r="S75" s="338"/>
      <c r="T75" s="338"/>
      <c r="U75" s="288"/>
      <c r="V75" s="5"/>
    </row>
    <row r="76" spans="1:22" ht="15.6" x14ac:dyDescent="0.3">
      <c r="A76" s="284"/>
      <c r="B76" s="285" t="s">
        <v>20</v>
      </c>
      <c r="C76" s="338"/>
      <c r="D76" s="338"/>
      <c r="E76" s="338"/>
      <c r="F76" s="338"/>
      <c r="G76" s="338"/>
      <c r="H76" s="338"/>
      <c r="I76" s="338"/>
      <c r="J76" s="338"/>
      <c r="K76" s="338"/>
      <c r="L76" s="338"/>
      <c r="M76" s="338"/>
      <c r="N76" s="338"/>
      <c r="O76" s="338"/>
      <c r="P76" s="338"/>
      <c r="Q76" s="338"/>
      <c r="R76" s="338"/>
      <c r="S76" s="338"/>
      <c r="T76" s="338"/>
      <c r="U76" s="288"/>
      <c r="V76" s="5"/>
    </row>
    <row r="77" spans="1:22" ht="15.6" x14ac:dyDescent="0.3">
      <c r="A77" s="284"/>
      <c r="B77" s="285"/>
      <c r="C77" s="338"/>
      <c r="D77" s="338"/>
      <c r="E77" s="338"/>
      <c r="F77" s="338"/>
      <c r="G77" s="338"/>
      <c r="H77" s="338"/>
      <c r="I77" s="338"/>
      <c r="J77" s="338"/>
      <c r="K77" s="338"/>
      <c r="L77" s="338"/>
      <c r="M77" s="338"/>
      <c r="N77" s="338"/>
      <c r="O77" s="338"/>
      <c r="P77" s="338"/>
      <c r="Q77" s="338"/>
      <c r="R77" s="338"/>
      <c r="S77" s="338"/>
      <c r="T77" s="338"/>
      <c r="U77" s="288"/>
      <c r="V77" s="5"/>
    </row>
    <row r="78" spans="1:22" ht="15.6" x14ac:dyDescent="0.3">
      <c r="A78" s="284"/>
      <c r="B78" s="285" t="s">
        <v>21</v>
      </c>
      <c r="C78" s="338"/>
      <c r="D78" s="338"/>
      <c r="E78" s="338"/>
      <c r="F78" s="338"/>
      <c r="G78" s="338"/>
      <c r="H78" s="338"/>
      <c r="I78" s="338"/>
      <c r="J78" s="338"/>
      <c r="K78" s="338"/>
      <c r="L78" s="338"/>
      <c r="M78" s="338"/>
      <c r="N78" s="338"/>
      <c r="O78" s="338"/>
      <c r="P78" s="338"/>
      <c r="Q78" s="338"/>
      <c r="R78" s="338"/>
      <c r="S78" s="338"/>
      <c r="T78" s="338"/>
      <c r="U78" s="288"/>
      <c r="V78" s="5"/>
    </row>
    <row r="79" spans="1:22" ht="15.6" x14ac:dyDescent="0.3">
      <c r="A79" s="284"/>
      <c r="B79" s="285"/>
      <c r="C79" s="338"/>
      <c r="D79" s="338"/>
      <c r="E79" s="338"/>
      <c r="F79" s="338"/>
      <c r="G79" s="338"/>
      <c r="H79" s="338"/>
      <c r="I79" s="338"/>
      <c r="J79" s="338"/>
      <c r="K79" s="338"/>
      <c r="L79" s="338"/>
      <c r="M79" s="338"/>
      <c r="N79" s="338"/>
      <c r="O79" s="338"/>
      <c r="P79" s="338"/>
      <c r="Q79" s="338"/>
      <c r="R79" s="338"/>
      <c r="S79" s="338"/>
      <c r="T79" s="338"/>
      <c r="U79" s="288"/>
      <c r="V79" s="5"/>
    </row>
    <row r="80" spans="1:22" ht="15.6" x14ac:dyDescent="0.3">
      <c r="A80" s="284"/>
      <c r="B80" s="285" t="s">
        <v>23</v>
      </c>
      <c r="C80" s="338"/>
      <c r="D80" s="338"/>
      <c r="E80" s="338"/>
      <c r="F80" s="338"/>
      <c r="G80" s="338"/>
      <c r="H80" s="338"/>
      <c r="I80" s="338"/>
      <c r="J80" s="338">
        <v>0</v>
      </c>
      <c r="K80" s="338"/>
      <c r="L80" s="338">
        <v>0</v>
      </c>
      <c r="M80" s="338"/>
      <c r="N80" s="338"/>
      <c r="O80" s="338"/>
      <c r="P80" s="338"/>
      <c r="Q80" s="338"/>
      <c r="R80" s="338"/>
      <c r="S80" s="338"/>
      <c r="T80" s="339">
        <v>0</v>
      </c>
      <c r="U80" s="288"/>
      <c r="V80" s="5"/>
    </row>
    <row r="81" spans="1:22" ht="15.6" x14ac:dyDescent="0.3">
      <c r="A81" s="284"/>
      <c r="B81" s="285" t="s">
        <v>123</v>
      </c>
      <c r="C81" s="338"/>
      <c r="D81" s="338"/>
      <c r="E81" s="338"/>
      <c r="F81" s="338"/>
      <c r="G81" s="338"/>
      <c r="H81" s="338"/>
      <c r="I81" s="338"/>
      <c r="J81" s="338">
        <v>0</v>
      </c>
      <c r="K81" s="338"/>
      <c r="L81" s="338">
        <v>0</v>
      </c>
      <c r="M81" s="338"/>
      <c r="N81" s="338"/>
      <c r="O81" s="338"/>
      <c r="P81" s="338"/>
      <c r="Q81" s="338"/>
      <c r="R81" s="338"/>
      <c r="S81" s="338"/>
      <c r="T81" s="338">
        <f>SUM(J81:P81)</f>
        <v>0</v>
      </c>
      <c r="U81" s="288"/>
      <c r="V81" s="5"/>
    </row>
    <row r="82" spans="1:22" ht="15.6" x14ac:dyDescent="0.3">
      <c r="A82" s="284"/>
      <c r="B82" s="285" t="s">
        <v>152</v>
      </c>
      <c r="C82" s="338"/>
      <c r="D82" s="338"/>
      <c r="E82" s="338"/>
      <c r="F82" s="338"/>
      <c r="G82" s="338"/>
      <c r="H82" s="338"/>
      <c r="I82" s="338"/>
      <c r="J82" s="338">
        <v>1</v>
      </c>
      <c r="K82" s="338"/>
      <c r="L82" s="338">
        <v>0</v>
      </c>
      <c r="M82" s="338"/>
      <c r="N82" s="338">
        <v>0</v>
      </c>
      <c r="O82" s="338"/>
      <c r="P82" s="338"/>
      <c r="Q82" s="338"/>
      <c r="R82" s="338"/>
      <c r="S82" s="338"/>
      <c r="T82" s="338">
        <f>+L82+N82</f>
        <v>0</v>
      </c>
      <c r="U82" s="288"/>
      <c r="V82" s="5"/>
    </row>
    <row r="83" spans="1:22" ht="15.6" x14ac:dyDescent="0.3">
      <c r="A83" s="284"/>
      <c r="B83" s="285" t="s">
        <v>25</v>
      </c>
      <c r="C83" s="338"/>
      <c r="D83" s="338"/>
      <c r="E83" s="338"/>
      <c r="F83" s="338"/>
      <c r="G83" s="338"/>
      <c r="H83" s="338"/>
      <c r="I83" s="338"/>
      <c r="J83" s="338">
        <v>0</v>
      </c>
      <c r="K83" s="338"/>
      <c r="L83" s="338">
        <v>0</v>
      </c>
      <c r="M83" s="338"/>
      <c r="N83" s="338"/>
      <c r="O83" s="338"/>
      <c r="P83" s="338"/>
      <c r="Q83" s="338"/>
      <c r="R83" s="338"/>
      <c r="S83" s="338"/>
      <c r="T83" s="338">
        <v>0</v>
      </c>
      <c r="U83" s="288"/>
      <c r="V83" s="5"/>
    </row>
    <row r="84" spans="1:22" ht="15.6" x14ac:dyDescent="0.3">
      <c r="A84" s="284"/>
      <c r="B84" s="285" t="s">
        <v>26</v>
      </c>
      <c r="C84" s="338"/>
      <c r="D84" s="338"/>
      <c r="E84" s="338"/>
      <c r="F84" s="338"/>
      <c r="G84" s="338"/>
      <c r="H84" s="338"/>
      <c r="I84" s="338"/>
      <c r="J84" s="338">
        <f>SUM(J71:J83)</f>
        <v>1000050</v>
      </c>
      <c r="K84" s="338"/>
      <c r="L84" s="338">
        <f>SUM(L71:L83)</f>
        <v>464153</v>
      </c>
      <c r="M84" s="338"/>
      <c r="N84" s="338"/>
      <c r="O84" s="338"/>
      <c r="P84" s="338"/>
      <c r="Q84" s="338"/>
      <c r="R84" s="338"/>
      <c r="S84" s="338"/>
      <c r="T84" s="338">
        <f>SUM(T71:T83)</f>
        <v>457181</v>
      </c>
      <c r="U84" s="288"/>
      <c r="V84" s="5"/>
    </row>
    <row r="85" spans="1:22" ht="15.6" x14ac:dyDescent="0.3">
      <c r="A85" s="175"/>
      <c r="B85" s="334"/>
      <c r="C85" s="335"/>
      <c r="D85" s="335"/>
      <c r="E85" s="335"/>
      <c r="F85" s="335"/>
      <c r="G85" s="335"/>
      <c r="H85" s="335"/>
      <c r="I85" s="335"/>
      <c r="J85" s="335"/>
      <c r="K85" s="335"/>
      <c r="L85" s="335"/>
      <c r="M85" s="335"/>
      <c r="N85" s="335"/>
      <c r="O85" s="335"/>
      <c r="P85" s="335"/>
      <c r="Q85" s="335"/>
      <c r="R85" s="335"/>
      <c r="S85" s="335"/>
      <c r="T85" s="336"/>
      <c r="U85" s="334"/>
      <c r="V85" s="5"/>
    </row>
    <row r="86" spans="1:22" ht="15.6" x14ac:dyDescent="0.3">
      <c r="A86" s="175"/>
      <c r="B86" s="177"/>
      <c r="C86" s="177"/>
      <c r="D86" s="177"/>
      <c r="E86" s="177"/>
      <c r="F86" s="177"/>
      <c r="G86" s="177"/>
      <c r="H86" s="177"/>
      <c r="I86" s="177"/>
      <c r="J86" s="177"/>
      <c r="K86" s="177"/>
      <c r="L86" s="177"/>
      <c r="M86" s="177"/>
      <c r="N86" s="177"/>
      <c r="O86" s="177"/>
      <c r="P86" s="177"/>
      <c r="Q86" s="177"/>
      <c r="R86" s="177"/>
      <c r="S86" s="177"/>
      <c r="T86" s="177"/>
      <c r="U86" s="177"/>
      <c r="V86" s="5"/>
    </row>
    <row r="87" spans="1:22" ht="15.6" x14ac:dyDescent="0.3">
      <c r="A87" s="222"/>
      <c r="B87" s="395" t="s">
        <v>27</v>
      </c>
      <c r="C87" s="395"/>
      <c r="D87" s="395"/>
      <c r="E87" s="395"/>
      <c r="F87" s="395"/>
      <c r="G87" s="395"/>
      <c r="H87" s="396"/>
      <c r="I87" s="396"/>
      <c r="J87" s="397" t="s">
        <v>98</v>
      </c>
      <c r="K87" s="396"/>
      <c r="L87" s="398">
        <f>+R194</f>
        <v>42643</v>
      </c>
      <c r="M87" s="396"/>
      <c r="N87" s="396"/>
      <c r="O87" s="396"/>
      <c r="P87" s="396"/>
      <c r="Q87" s="396"/>
      <c r="R87" s="396" t="s">
        <v>111</v>
      </c>
      <c r="S87" s="396"/>
      <c r="T87" s="396" t="s">
        <v>119</v>
      </c>
      <c r="U87" s="223"/>
      <c r="V87" s="5"/>
    </row>
    <row r="88" spans="1:22" ht="15.6" x14ac:dyDescent="0.3">
      <c r="A88" s="190"/>
      <c r="B88" s="239" t="s">
        <v>28</v>
      </c>
      <c r="C88" s="239"/>
      <c r="D88" s="239"/>
      <c r="E88" s="239"/>
      <c r="F88" s="239"/>
      <c r="G88" s="239"/>
      <c r="H88" s="239"/>
      <c r="I88" s="239"/>
      <c r="J88" s="239"/>
      <c r="K88" s="239"/>
      <c r="L88" s="239"/>
      <c r="M88" s="239"/>
      <c r="N88" s="239"/>
      <c r="O88" s="239"/>
      <c r="P88" s="239"/>
      <c r="Q88" s="239"/>
      <c r="R88" s="243">
        <v>0</v>
      </c>
      <c r="S88" s="239"/>
      <c r="T88" s="251">
        <v>0</v>
      </c>
      <c r="U88" s="239"/>
      <c r="V88" s="5"/>
    </row>
    <row r="89" spans="1:22" ht="15.6" x14ac:dyDescent="0.3">
      <c r="A89" s="284"/>
      <c r="B89" s="285" t="s">
        <v>29</v>
      </c>
      <c r="C89" s="285"/>
      <c r="D89" s="285"/>
      <c r="E89" s="285"/>
      <c r="F89" s="285"/>
      <c r="G89" s="285"/>
      <c r="H89" s="324"/>
      <c r="I89" s="341"/>
      <c r="J89" s="324"/>
      <c r="K89" s="285"/>
      <c r="L89" s="342"/>
      <c r="M89" s="285"/>
      <c r="N89" s="285"/>
      <c r="O89" s="285"/>
      <c r="P89" s="285"/>
      <c r="Q89" s="285"/>
      <c r="R89" s="338">
        <f>7109-242</f>
        <v>6867</v>
      </c>
      <c r="S89" s="285"/>
      <c r="T89" s="339"/>
      <c r="U89" s="288"/>
      <c r="V89" s="5"/>
    </row>
    <row r="90" spans="1:22" ht="15.6" x14ac:dyDescent="0.3">
      <c r="A90" s="284"/>
      <c r="B90" s="285" t="s">
        <v>225</v>
      </c>
      <c r="C90" s="285"/>
      <c r="D90" s="285"/>
      <c r="E90" s="285"/>
      <c r="F90" s="285"/>
      <c r="G90" s="285"/>
      <c r="H90" s="324"/>
      <c r="I90" s="341"/>
      <c r="J90" s="324"/>
      <c r="K90" s="285"/>
      <c r="L90" s="342"/>
      <c r="M90" s="285"/>
      <c r="N90" s="285"/>
      <c r="O90" s="285"/>
      <c r="P90" s="285"/>
      <c r="Q90" s="285"/>
      <c r="R90" s="338"/>
      <c r="S90" s="285"/>
      <c r="T90" s="339">
        <f>1703+1946-480-502</f>
        <v>2667</v>
      </c>
      <c r="U90" s="288"/>
      <c r="V90" s="5"/>
    </row>
    <row r="91" spans="1:22" ht="15.6" x14ac:dyDescent="0.3">
      <c r="A91" s="284"/>
      <c r="B91" s="285" t="s">
        <v>220</v>
      </c>
      <c r="C91" s="285"/>
      <c r="D91" s="285"/>
      <c r="E91" s="285"/>
      <c r="F91" s="285"/>
      <c r="G91" s="285"/>
      <c r="H91" s="324"/>
      <c r="I91" s="341"/>
      <c r="J91" s="324"/>
      <c r="K91" s="285"/>
      <c r="L91" s="342"/>
      <c r="M91" s="285"/>
      <c r="N91" s="285"/>
      <c r="O91" s="285"/>
      <c r="P91" s="285"/>
      <c r="Q91" s="285"/>
      <c r="R91" s="338"/>
      <c r="S91" s="285"/>
      <c r="T91" s="339">
        <f>94+86</f>
        <v>180</v>
      </c>
      <c r="U91" s="288"/>
      <c r="V91" s="5"/>
    </row>
    <row r="92" spans="1:22" ht="15.6" x14ac:dyDescent="0.3">
      <c r="A92" s="284"/>
      <c r="B92" s="285" t="s">
        <v>221</v>
      </c>
      <c r="C92" s="285"/>
      <c r="D92" s="285"/>
      <c r="E92" s="285"/>
      <c r="F92" s="285"/>
      <c r="G92" s="285"/>
      <c r="H92" s="324"/>
      <c r="I92" s="341"/>
      <c r="J92" s="324"/>
      <c r="K92" s="285"/>
      <c r="L92" s="342"/>
      <c r="M92" s="285"/>
      <c r="N92" s="285"/>
      <c r="O92" s="285"/>
      <c r="P92" s="285"/>
      <c r="Q92" s="285"/>
      <c r="R92" s="338"/>
      <c r="S92" s="285"/>
      <c r="T92" s="339">
        <v>31</v>
      </c>
      <c r="U92" s="288"/>
      <c r="V92" s="5"/>
    </row>
    <row r="93" spans="1:22" ht="15.6" x14ac:dyDescent="0.3">
      <c r="A93" s="284"/>
      <c r="B93" s="285" t="s">
        <v>261</v>
      </c>
      <c r="C93" s="285"/>
      <c r="D93" s="285"/>
      <c r="E93" s="285"/>
      <c r="F93" s="285"/>
      <c r="G93" s="285"/>
      <c r="H93" s="324"/>
      <c r="I93" s="341"/>
      <c r="J93" s="324"/>
      <c r="K93" s="285"/>
      <c r="L93" s="342"/>
      <c r="M93" s="285"/>
      <c r="N93" s="285"/>
      <c r="O93" s="285"/>
      <c r="P93" s="285"/>
      <c r="Q93" s="285"/>
      <c r="R93" s="338"/>
      <c r="S93" s="285"/>
      <c r="T93" s="339">
        <v>0</v>
      </c>
      <c r="U93" s="288"/>
      <c r="V93" s="5"/>
    </row>
    <row r="94" spans="1:22" ht="15.6" x14ac:dyDescent="0.3">
      <c r="A94" s="284"/>
      <c r="B94" s="285" t="s">
        <v>141</v>
      </c>
      <c r="C94" s="285"/>
      <c r="D94" s="285"/>
      <c r="E94" s="285"/>
      <c r="F94" s="285"/>
      <c r="G94" s="285"/>
      <c r="H94" s="285"/>
      <c r="I94" s="285"/>
      <c r="J94" s="285"/>
      <c r="K94" s="285"/>
      <c r="L94" s="285"/>
      <c r="M94" s="285"/>
      <c r="N94" s="285"/>
      <c r="O94" s="285"/>
      <c r="P94" s="285"/>
      <c r="Q94" s="285"/>
      <c r="R94" s="338"/>
      <c r="S94" s="285"/>
      <c r="T94" s="339">
        <v>0</v>
      </c>
      <c r="U94" s="288"/>
      <c r="V94" s="5"/>
    </row>
    <row r="95" spans="1:22" ht="15.6" x14ac:dyDescent="0.3">
      <c r="A95" s="284"/>
      <c r="B95" s="285" t="s">
        <v>250</v>
      </c>
      <c r="C95" s="285"/>
      <c r="D95" s="285"/>
      <c r="E95" s="285"/>
      <c r="F95" s="285"/>
      <c r="G95" s="285"/>
      <c r="H95" s="285"/>
      <c r="I95" s="285"/>
      <c r="J95" s="285"/>
      <c r="K95" s="285"/>
      <c r="L95" s="285"/>
      <c r="M95" s="285"/>
      <c r="N95" s="285"/>
      <c r="O95" s="285"/>
      <c r="P95" s="285"/>
      <c r="Q95" s="285"/>
      <c r="R95" s="338"/>
      <c r="S95" s="285"/>
      <c r="T95" s="339">
        <v>33</v>
      </c>
      <c r="U95" s="288"/>
      <c r="V95" s="5"/>
    </row>
    <row r="96" spans="1:22" ht="15.6" x14ac:dyDescent="0.3">
      <c r="A96" s="284"/>
      <c r="B96" s="285" t="s">
        <v>30</v>
      </c>
      <c r="C96" s="285"/>
      <c r="D96" s="285"/>
      <c r="E96" s="285"/>
      <c r="F96" s="285"/>
      <c r="G96" s="285"/>
      <c r="H96" s="285"/>
      <c r="I96" s="285"/>
      <c r="J96" s="285"/>
      <c r="K96" s="285"/>
      <c r="L96" s="285"/>
      <c r="M96" s="285"/>
      <c r="N96" s="285"/>
      <c r="O96" s="285"/>
      <c r="P96" s="285"/>
      <c r="Q96" s="285"/>
      <c r="R96" s="338">
        <f>SUM(R88:R95)</f>
        <v>6867</v>
      </c>
      <c r="S96" s="285"/>
      <c r="T96" s="338">
        <f>SUM(T88:T95)</f>
        <v>2911</v>
      </c>
      <c r="U96" s="288"/>
      <c r="V96" s="5"/>
    </row>
    <row r="97" spans="1:24" ht="15.6" x14ac:dyDescent="0.3">
      <c r="A97" s="284"/>
      <c r="B97" s="285" t="s">
        <v>168</v>
      </c>
      <c r="C97" s="285"/>
      <c r="D97" s="285"/>
      <c r="E97" s="285"/>
      <c r="F97" s="285"/>
      <c r="G97" s="285"/>
      <c r="H97" s="285"/>
      <c r="I97" s="285"/>
      <c r="J97" s="285"/>
      <c r="K97" s="285"/>
      <c r="L97" s="285"/>
      <c r="M97" s="285"/>
      <c r="N97" s="285"/>
      <c r="O97" s="285"/>
      <c r="P97" s="285"/>
      <c r="Q97" s="285"/>
      <c r="R97" s="338">
        <v>0</v>
      </c>
      <c r="S97" s="285"/>
      <c r="T97" s="338">
        <f>-R97</f>
        <v>0</v>
      </c>
      <c r="U97" s="288"/>
      <c r="V97" s="5"/>
    </row>
    <row r="98" spans="1:24" ht="15.6" x14ac:dyDescent="0.3">
      <c r="A98" s="284"/>
      <c r="B98" s="285" t="s">
        <v>31</v>
      </c>
      <c r="C98" s="285"/>
      <c r="D98" s="285"/>
      <c r="E98" s="285"/>
      <c r="F98" s="285"/>
      <c r="G98" s="285"/>
      <c r="H98" s="285"/>
      <c r="I98" s="285"/>
      <c r="J98" s="285"/>
      <c r="K98" s="285"/>
      <c r="L98" s="285"/>
      <c r="M98" s="285"/>
      <c r="N98" s="285"/>
      <c r="O98" s="285"/>
      <c r="P98" s="285"/>
      <c r="Q98" s="285"/>
      <c r="R98" s="338">
        <f>-T98</f>
        <v>0</v>
      </c>
      <c r="S98" s="285"/>
      <c r="T98" s="339">
        <v>0</v>
      </c>
      <c r="U98" s="288"/>
      <c r="V98" s="5"/>
    </row>
    <row r="99" spans="1:24" ht="15.6" x14ac:dyDescent="0.3">
      <c r="A99" s="284"/>
      <c r="B99" s="285" t="s">
        <v>273</v>
      </c>
      <c r="C99" s="285"/>
      <c r="D99" s="285"/>
      <c r="E99" s="285"/>
      <c r="F99" s="285"/>
      <c r="G99" s="285"/>
      <c r="H99" s="285"/>
      <c r="I99" s="285"/>
      <c r="J99" s="285"/>
      <c r="K99" s="285"/>
      <c r="L99" s="285"/>
      <c r="M99" s="285"/>
      <c r="N99" s="285"/>
      <c r="O99" s="285"/>
      <c r="P99" s="285"/>
      <c r="Q99" s="285"/>
      <c r="R99" s="338"/>
      <c r="S99" s="285"/>
      <c r="T99" s="339">
        <v>-157</v>
      </c>
      <c r="U99" s="288"/>
      <c r="V99" s="5"/>
    </row>
    <row r="100" spans="1:24" ht="15.6" x14ac:dyDescent="0.3">
      <c r="A100" s="284"/>
      <c r="B100" s="285" t="s">
        <v>32</v>
      </c>
      <c r="C100" s="285"/>
      <c r="D100" s="285"/>
      <c r="E100" s="285"/>
      <c r="F100" s="285"/>
      <c r="G100" s="285"/>
      <c r="H100" s="285"/>
      <c r="I100" s="285"/>
      <c r="J100" s="285"/>
      <c r="K100" s="285"/>
      <c r="L100" s="285"/>
      <c r="M100" s="285"/>
      <c r="N100" s="285"/>
      <c r="O100" s="285"/>
      <c r="P100" s="285"/>
      <c r="Q100" s="285"/>
      <c r="R100" s="338">
        <f>R96+R98+R97</f>
        <v>6867</v>
      </c>
      <c r="S100" s="285"/>
      <c r="T100" s="338">
        <f>T96+T98+T97+T99</f>
        <v>2754</v>
      </c>
      <c r="U100" s="288"/>
      <c r="V100" s="5"/>
    </row>
    <row r="101" spans="1:24" ht="15.6" x14ac:dyDescent="0.3">
      <c r="A101" s="284"/>
      <c r="B101" s="343" t="s">
        <v>33</v>
      </c>
      <c r="C101" s="311"/>
      <c r="D101" s="311"/>
      <c r="E101" s="311"/>
      <c r="F101" s="311"/>
      <c r="G101" s="311"/>
      <c r="H101" s="311"/>
      <c r="I101" s="311"/>
      <c r="J101" s="311"/>
      <c r="K101" s="311"/>
      <c r="L101" s="311"/>
      <c r="M101" s="311"/>
      <c r="N101" s="311"/>
      <c r="O101" s="311"/>
      <c r="P101" s="311"/>
      <c r="Q101" s="311"/>
      <c r="R101" s="344"/>
      <c r="S101" s="311"/>
      <c r="T101" s="345"/>
      <c r="U101" s="317"/>
      <c r="V101" s="5"/>
    </row>
    <row r="102" spans="1:24" ht="15.6" x14ac:dyDescent="0.3">
      <c r="A102" s="337">
        <v>1</v>
      </c>
      <c r="B102" s="285" t="s">
        <v>34</v>
      </c>
      <c r="C102" s="285"/>
      <c r="D102" s="285"/>
      <c r="E102" s="285"/>
      <c r="F102" s="285"/>
      <c r="G102" s="285"/>
      <c r="H102" s="285"/>
      <c r="I102" s="285"/>
      <c r="J102" s="285"/>
      <c r="K102" s="285"/>
      <c r="L102" s="285"/>
      <c r="M102" s="285"/>
      <c r="N102" s="285"/>
      <c r="O102" s="285"/>
      <c r="P102" s="285"/>
      <c r="Q102" s="285"/>
      <c r="R102" s="285"/>
      <c r="S102" s="285"/>
      <c r="T102" s="339">
        <v>0</v>
      </c>
      <c r="U102" s="288"/>
      <c r="V102" s="5"/>
    </row>
    <row r="103" spans="1:24" ht="15.6" x14ac:dyDescent="0.3">
      <c r="A103" s="337">
        <f>+A102+1</f>
        <v>2</v>
      </c>
      <c r="B103" s="285" t="s">
        <v>312</v>
      </c>
      <c r="C103" s="285"/>
      <c r="D103" s="285"/>
      <c r="E103" s="285"/>
      <c r="F103" s="285"/>
      <c r="G103" s="285"/>
      <c r="H103" s="285"/>
      <c r="I103" s="285"/>
      <c r="J103" s="285"/>
      <c r="K103" s="285"/>
      <c r="L103" s="285"/>
      <c r="M103" s="285"/>
      <c r="N103" s="285"/>
      <c r="O103" s="285"/>
      <c r="P103" s="285"/>
      <c r="Q103" s="285"/>
      <c r="R103" s="285"/>
      <c r="S103" s="285"/>
      <c r="T103" s="339">
        <v>-2</v>
      </c>
      <c r="U103" s="288"/>
      <c r="V103" s="5"/>
    </row>
    <row r="104" spans="1:24" ht="15.6" x14ac:dyDescent="0.3">
      <c r="A104" s="337">
        <f>+A103+1</f>
        <v>3</v>
      </c>
      <c r="B104" s="407" t="s">
        <v>314</v>
      </c>
      <c r="C104" s="285"/>
      <c r="D104" s="285"/>
      <c r="E104" s="285"/>
      <c r="F104" s="285"/>
      <c r="G104" s="285"/>
      <c r="H104" s="285"/>
      <c r="I104" s="285"/>
      <c r="J104" s="285"/>
      <c r="K104" s="285"/>
      <c r="L104" s="285"/>
      <c r="M104" s="285"/>
      <c r="N104" s="285"/>
      <c r="O104" s="285"/>
      <c r="P104" s="285"/>
      <c r="Q104" s="285"/>
      <c r="R104" s="285"/>
      <c r="S104" s="285"/>
      <c r="T104" s="339">
        <f>-178-89-6</f>
        <v>-273</v>
      </c>
      <c r="U104" s="288"/>
      <c r="V104" s="5"/>
    </row>
    <row r="105" spans="1:24" ht="15.6" x14ac:dyDescent="0.3">
      <c r="A105" s="337" t="s">
        <v>133</v>
      </c>
      <c r="B105" s="285" t="s">
        <v>122</v>
      </c>
      <c r="C105" s="285"/>
      <c r="D105" s="285"/>
      <c r="E105" s="285"/>
      <c r="F105" s="285"/>
      <c r="G105" s="285"/>
      <c r="H105" s="285"/>
      <c r="I105" s="285"/>
      <c r="J105" s="285"/>
      <c r="K105" s="285"/>
      <c r="L105" s="285"/>
      <c r="M105" s="285"/>
      <c r="N105" s="285"/>
      <c r="O105" s="285"/>
      <c r="P105" s="285"/>
      <c r="Q105" s="285"/>
      <c r="R105" s="285"/>
      <c r="S105" s="285"/>
      <c r="T105" s="339">
        <v>0</v>
      </c>
      <c r="U105" s="288"/>
      <c r="V105" s="5"/>
    </row>
    <row r="106" spans="1:24" ht="15.6" x14ac:dyDescent="0.3">
      <c r="A106" s="337" t="s">
        <v>134</v>
      </c>
      <c r="B106" s="285" t="s">
        <v>194</v>
      </c>
      <c r="C106" s="285"/>
      <c r="D106" s="285"/>
      <c r="E106" s="285"/>
      <c r="F106" s="285"/>
      <c r="G106" s="285"/>
      <c r="H106" s="285"/>
      <c r="I106" s="285"/>
      <c r="J106" s="285"/>
      <c r="K106" s="285"/>
      <c r="L106" s="285"/>
      <c r="M106" s="285"/>
      <c r="N106" s="285"/>
      <c r="O106" s="285"/>
      <c r="P106" s="285"/>
      <c r="Q106" s="285"/>
      <c r="R106" s="285"/>
      <c r="S106" s="285"/>
      <c r="T106" s="339">
        <f>-607+116</f>
        <v>-491</v>
      </c>
      <c r="U106" s="288"/>
      <c r="V106" s="5"/>
      <c r="W106" s="109"/>
    </row>
    <row r="107" spans="1:24" ht="15.6" x14ac:dyDescent="0.3">
      <c r="A107" s="337" t="s">
        <v>156</v>
      </c>
      <c r="B107" s="285" t="s">
        <v>191</v>
      </c>
      <c r="C107" s="285"/>
      <c r="D107" s="285"/>
      <c r="E107" s="285"/>
      <c r="F107" s="285"/>
      <c r="G107" s="285"/>
      <c r="H107" s="285"/>
      <c r="I107" s="285"/>
      <c r="J107" s="285"/>
      <c r="K107" s="285"/>
      <c r="L107" s="285"/>
      <c r="M107" s="285"/>
      <c r="N107" s="285"/>
      <c r="O107" s="285"/>
      <c r="P107" s="285"/>
      <c r="Q107" s="285"/>
      <c r="R107" s="285"/>
      <c r="S107" s="285"/>
      <c r="T107" s="339">
        <v>-116</v>
      </c>
      <c r="U107" s="288"/>
      <c r="V107" s="5"/>
      <c r="W107" s="109"/>
    </row>
    <row r="108" spans="1:24" ht="15.6" x14ac:dyDescent="0.3">
      <c r="A108" s="337" t="s">
        <v>214</v>
      </c>
      <c r="B108" s="285" t="s">
        <v>192</v>
      </c>
      <c r="C108" s="285"/>
      <c r="D108" s="285"/>
      <c r="E108" s="285"/>
      <c r="F108" s="285"/>
      <c r="G108" s="285"/>
      <c r="H108" s="285"/>
      <c r="I108" s="285"/>
      <c r="J108" s="285"/>
      <c r="K108" s="285"/>
      <c r="L108" s="285"/>
      <c r="M108" s="285"/>
      <c r="N108" s="285"/>
      <c r="O108" s="285"/>
      <c r="P108" s="285"/>
      <c r="Q108" s="285"/>
      <c r="R108" s="285"/>
      <c r="S108" s="285"/>
      <c r="T108" s="339">
        <v>-141</v>
      </c>
      <c r="U108" s="288"/>
      <c r="V108" s="5"/>
      <c r="W108" s="109"/>
      <c r="X108" s="109"/>
    </row>
    <row r="109" spans="1:24" ht="15.6" x14ac:dyDescent="0.3">
      <c r="A109" s="337" t="s">
        <v>215</v>
      </c>
      <c r="B109" s="285" t="s">
        <v>193</v>
      </c>
      <c r="C109" s="285"/>
      <c r="D109" s="285"/>
      <c r="E109" s="285"/>
      <c r="F109" s="285"/>
      <c r="G109" s="285"/>
      <c r="H109" s="285"/>
      <c r="I109" s="285"/>
      <c r="J109" s="285"/>
      <c r="K109" s="285"/>
      <c r="L109" s="285"/>
      <c r="M109" s="285"/>
      <c r="N109" s="285"/>
      <c r="O109" s="285"/>
      <c r="P109" s="285"/>
      <c r="Q109" s="285"/>
      <c r="R109" s="285"/>
      <c r="S109" s="285"/>
      <c r="T109" s="339">
        <v>-38</v>
      </c>
      <c r="U109" s="288"/>
      <c r="V109" s="169"/>
      <c r="W109" s="109"/>
    </row>
    <row r="110" spans="1:24" ht="15.6" x14ac:dyDescent="0.3">
      <c r="A110" s="337" t="s">
        <v>216</v>
      </c>
      <c r="B110" s="285" t="s">
        <v>204</v>
      </c>
      <c r="C110" s="285"/>
      <c r="D110" s="285"/>
      <c r="E110" s="285"/>
      <c r="F110" s="285"/>
      <c r="G110" s="285"/>
      <c r="H110" s="285"/>
      <c r="I110" s="285"/>
      <c r="J110" s="285"/>
      <c r="K110" s="285"/>
      <c r="L110" s="285"/>
      <c r="M110" s="285"/>
      <c r="N110" s="285"/>
      <c r="O110" s="285"/>
      <c r="P110" s="285"/>
      <c r="Q110" s="285"/>
      <c r="R110" s="285"/>
      <c r="S110" s="285"/>
      <c r="T110" s="339">
        <v>-217</v>
      </c>
      <c r="U110" s="288"/>
      <c r="V110" s="5"/>
      <c r="W110" s="109"/>
    </row>
    <row r="111" spans="1:24" ht="15.6" x14ac:dyDescent="0.3">
      <c r="A111" s="406">
        <v>7</v>
      </c>
      <c r="B111" s="407" t="s">
        <v>313</v>
      </c>
      <c r="C111" s="407"/>
      <c r="D111" s="407"/>
      <c r="E111" s="407"/>
      <c r="F111" s="407"/>
      <c r="G111" s="285"/>
      <c r="H111" s="285"/>
      <c r="I111" s="285"/>
      <c r="J111" s="285"/>
      <c r="K111" s="285"/>
      <c r="L111" s="285"/>
      <c r="M111" s="285"/>
      <c r="N111" s="285"/>
      <c r="O111" s="285"/>
      <c r="P111" s="285"/>
      <c r="Q111" s="285"/>
      <c r="R111" s="285"/>
      <c r="S111" s="285"/>
      <c r="T111" s="339">
        <v>0</v>
      </c>
      <c r="U111" s="288"/>
      <c r="V111" s="5"/>
      <c r="W111" s="109"/>
    </row>
    <row r="112" spans="1:24" ht="15.6" x14ac:dyDescent="0.3">
      <c r="A112" s="337">
        <f t="shared" ref="A112:A118" si="0">+A111+1</f>
        <v>8</v>
      </c>
      <c r="B112" s="285" t="s">
        <v>35</v>
      </c>
      <c r="C112" s="285"/>
      <c r="D112" s="285"/>
      <c r="E112" s="285"/>
      <c r="F112" s="285"/>
      <c r="G112" s="285"/>
      <c r="H112" s="285"/>
      <c r="I112" s="285"/>
      <c r="J112" s="285"/>
      <c r="K112" s="285"/>
      <c r="L112" s="285"/>
      <c r="M112" s="285"/>
      <c r="N112" s="285"/>
      <c r="O112" s="285"/>
      <c r="P112" s="285"/>
      <c r="Q112" s="285"/>
      <c r="R112" s="285"/>
      <c r="S112" s="285"/>
      <c r="T112" s="339">
        <v>-20</v>
      </c>
      <c r="U112" s="288"/>
      <c r="V112" s="5"/>
    </row>
    <row r="113" spans="1:22" ht="15.6" x14ac:dyDescent="0.3">
      <c r="A113" s="337">
        <f t="shared" si="0"/>
        <v>9</v>
      </c>
      <c r="B113" s="285" t="s">
        <v>46</v>
      </c>
      <c r="C113" s="285"/>
      <c r="D113" s="285"/>
      <c r="E113" s="285"/>
      <c r="F113" s="285"/>
      <c r="G113" s="285"/>
      <c r="H113" s="285"/>
      <c r="I113" s="285"/>
      <c r="J113" s="285"/>
      <c r="K113" s="285"/>
      <c r="L113" s="285"/>
      <c r="M113" s="285"/>
      <c r="N113" s="285"/>
      <c r="O113" s="285"/>
      <c r="P113" s="285"/>
      <c r="Q113" s="285"/>
      <c r="R113" s="338">
        <f>-T113</f>
        <v>242</v>
      </c>
      <c r="S113" s="285"/>
      <c r="T113" s="339">
        <v>-242</v>
      </c>
      <c r="U113" s="288"/>
      <c r="V113" s="5"/>
    </row>
    <row r="114" spans="1:22" ht="15.6" x14ac:dyDescent="0.3">
      <c r="A114" s="337">
        <f t="shared" si="0"/>
        <v>10</v>
      </c>
      <c r="B114" s="285" t="s">
        <v>131</v>
      </c>
      <c r="C114" s="285"/>
      <c r="D114" s="285"/>
      <c r="E114" s="285"/>
      <c r="F114" s="285"/>
      <c r="G114" s="285"/>
      <c r="H114" s="285"/>
      <c r="I114" s="285"/>
      <c r="J114" s="285"/>
      <c r="K114" s="285"/>
      <c r="L114" s="285"/>
      <c r="M114" s="285"/>
      <c r="N114" s="285"/>
      <c r="O114" s="285"/>
      <c r="P114" s="285"/>
      <c r="Q114" s="285"/>
      <c r="R114" s="285"/>
      <c r="S114" s="285"/>
      <c r="T114" s="339">
        <v>0</v>
      </c>
      <c r="U114" s="288"/>
      <c r="V114" s="5"/>
    </row>
    <row r="115" spans="1:22" ht="15.6" x14ac:dyDescent="0.3">
      <c r="A115" s="337">
        <f t="shared" si="0"/>
        <v>11</v>
      </c>
      <c r="B115" s="285" t="s">
        <v>36</v>
      </c>
      <c r="C115" s="285"/>
      <c r="D115" s="285"/>
      <c r="E115" s="285"/>
      <c r="F115" s="285"/>
      <c r="G115" s="285"/>
      <c r="H115" s="285"/>
      <c r="I115" s="285"/>
      <c r="J115" s="285"/>
      <c r="K115" s="285"/>
      <c r="L115" s="285"/>
      <c r="M115" s="285"/>
      <c r="N115" s="285"/>
      <c r="O115" s="285"/>
      <c r="P115" s="285"/>
      <c r="Q115" s="285"/>
      <c r="R115" s="285"/>
      <c r="S115" s="285"/>
      <c r="T115" s="339">
        <v>0</v>
      </c>
      <c r="U115" s="288"/>
      <c r="V115" s="5"/>
    </row>
    <row r="116" spans="1:22" ht="15.6" x14ac:dyDescent="0.3">
      <c r="A116" s="337">
        <f t="shared" si="0"/>
        <v>12</v>
      </c>
      <c r="B116" s="285" t="s">
        <v>37</v>
      </c>
      <c r="C116" s="285"/>
      <c r="D116" s="285"/>
      <c r="E116" s="285"/>
      <c r="F116" s="285"/>
      <c r="G116" s="285"/>
      <c r="H116" s="285"/>
      <c r="I116" s="285"/>
      <c r="J116" s="285"/>
      <c r="K116" s="285"/>
      <c r="L116" s="285"/>
      <c r="M116" s="285"/>
      <c r="N116" s="285"/>
      <c r="O116" s="285"/>
      <c r="P116" s="285"/>
      <c r="Q116" s="285"/>
      <c r="R116" s="285"/>
      <c r="S116" s="285"/>
      <c r="T116" s="339">
        <v>0</v>
      </c>
      <c r="U116" s="288"/>
      <c r="V116" s="5"/>
    </row>
    <row r="117" spans="1:22" ht="15.6" x14ac:dyDescent="0.3">
      <c r="A117" s="337">
        <f t="shared" si="0"/>
        <v>13</v>
      </c>
      <c r="B117" s="285" t="s">
        <v>155</v>
      </c>
      <c r="C117" s="285"/>
      <c r="D117" s="285"/>
      <c r="E117" s="285"/>
      <c r="F117" s="285"/>
      <c r="G117" s="285"/>
      <c r="H117" s="285"/>
      <c r="I117" s="285"/>
      <c r="J117" s="285"/>
      <c r="K117" s="285"/>
      <c r="L117" s="285"/>
      <c r="M117" s="285"/>
      <c r="N117" s="285"/>
      <c r="O117" s="285"/>
      <c r="P117" s="285"/>
      <c r="Q117" s="285"/>
      <c r="R117" s="285"/>
      <c r="S117" s="285"/>
      <c r="T117" s="339">
        <v>-178</v>
      </c>
      <c r="U117" s="288"/>
      <c r="V117" s="5"/>
    </row>
    <row r="118" spans="1:22" ht="15.6" x14ac:dyDescent="0.3">
      <c r="A118" s="337">
        <f t="shared" si="0"/>
        <v>14</v>
      </c>
      <c r="B118" s="285" t="s">
        <v>132</v>
      </c>
      <c r="C118" s="285"/>
      <c r="D118" s="285"/>
      <c r="E118" s="285"/>
      <c r="F118" s="285"/>
      <c r="G118" s="285"/>
      <c r="H118" s="285"/>
      <c r="I118" s="285"/>
      <c r="J118" s="285"/>
      <c r="K118" s="285"/>
      <c r="L118" s="285"/>
      <c r="M118" s="285"/>
      <c r="N118" s="285"/>
      <c r="O118" s="285"/>
      <c r="P118" s="285"/>
      <c r="Q118" s="285"/>
      <c r="R118" s="285"/>
      <c r="S118" s="285"/>
      <c r="T118" s="339">
        <f>-T100-SUM(T102:T117)</f>
        <v>-1036</v>
      </c>
      <c r="U118" s="288"/>
      <c r="V118" s="5"/>
    </row>
    <row r="119" spans="1:22" ht="15.6" x14ac:dyDescent="0.3">
      <c r="A119" s="284"/>
      <c r="B119" s="343" t="s">
        <v>38</v>
      </c>
      <c r="C119" s="311"/>
      <c r="D119" s="311"/>
      <c r="E119" s="311"/>
      <c r="F119" s="311"/>
      <c r="G119" s="311"/>
      <c r="H119" s="311"/>
      <c r="I119" s="311"/>
      <c r="J119" s="311"/>
      <c r="K119" s="311"/>
      <c r="L119" s="311"/>
      <c r="M119" s="311"/>
      <c r="N119" s="311"/>
      <c r="O119" s="311"/>
      <c r="P119" s="311"/>
      <c r="Q119" s="311"/>
      <c r="R119" s="311"/>
      <c r="S119" s="311"/>
      <c r="T119" s="346"/>
      <c r="U119" s="317"/>
      <c r="V119" s="5"/>
    </row>
    <row r="120" spans="1:22" ht="15.6" x14ac:dyDescent="0.3">
      <c r="A120" s="337"/>
      <c r="B120" s="285" t="s">
        <v>180</v>
      </c>
      <c r="C120" s="285"/>
      <c r="D120" s="285"/>
      <c r="E120" s="285"/>
      <c r="F120" s="285"/>
      <c r="G120" s="285"/>
      <c r="H120" s="285"/>
      <c r="I120" s="285"/>
      <c r="J120" s="285"/>
      <c r="K120" s="285"/>
      <c r="L120" s="285"/>
      <c r="M120" s="285"/>
      <c r="N120" s="285"/>
      <c r="O120" s="285"/>
      <c r="P120" s="285"/>
      <c r="Q120" s="285"/>
      <c r="R120" s="338">
        <f>-R178</f>
        <v>0</v>
      </c>
      <c r="S120" s="338"/>
      <c r="T120" s="339"/>
      <c r="U120" s="288"/>
      <c r="V120" s="5"/>
    </row>
    <row r="121" spans="1:22" ht="15.6" x14ac:dyDescent="0.3">
      <c r="A121" s="337"/>
      <c r="B121" s="285" t="s">
        <v>181</v>
      </c>
      <c r="C121" s="285"/>
      <c r="D121" s="285"/>
      <c r="E121" s="285"/>
      <c r="F121" s="285"/>
      <c r="G121" s="285"/>
      <c r="H121" s="285"/>
      <c r="I121" s="285"/>
      <c r="J121" s="285"/>
      <c r="K121" s="285"/>
      <c r="L121" s="285"/>
      <c r="M121" s="285"/>
      <c r="N121" s="285"/>
      <c r="O121" s="285"/>
      <c r="P121" s="285"/>
      <c r="Q121" s="285"/>
      <c r="R121" s="338">
        <v>-10</v>
      </c>
      <c r="S121" s="338"/>
      <c r="T121" s="339"/>
      <c r="U121" s="288"/>
      <c r="V121" s="5"/>
    </row>
    <row r="122" spans="1:22" ht="15.6" x14ac:dyDescent="0.3">
      <c r="A122" s="337"/>
      <c r="B122" s="285" t="s">
        <v>39</v>
      </c>
      <c r="C122" s="285"/>
      <c r="D122" s="285"/>
      <c r="E122" s="285"/>
      <c r="F122" s="285"/>
      <c r="G122" s="285"/>
      <c r="H122" s="285"/>
      <c r="I122" s="285"/>
      <c r="J122" s="285"/>
      <c r="K122" s="285"/>
      <c r="L122" s="285"/>
      <c r="M122" s="285"/>
      <c r="N122" s="285"/>
      <c r="O122" s="285"/>
      <c r="P122" s="285"/>
      <c r="Q122" s="285"/>
      <c r="R122" s="338">
        <f>-Q178</f>
        <v>-127</v>
      </c>
      <c r="S122" s="338"/>
      <c r="T122" s="339"/>
      <c r="U122" s="288"/>
      <c r="V122" s="5"/>
    </row>
    <row r="123" spans="1:22" ht="15.6" x14ac:dyDescent="0.3">
      <c r="A123" s="337"/>
      <c r="B123" s="285" t="s">
        <v>205</v>
      </c>
      <c r="C123" s="285"/>
      <c r="D123" s="285"/>
      <c r="E123" s="285"/>
      <c r="F123" s="285"/>
      <c r="G123" s="285"/>
      <c r="H123" s="285"/>
      <c r="I123" s="285"/>
      <c r="J123" s="285"/>
      <c r="K123" s="285"/>
      <c r="L123" s="285"/>
      <c r="M123" s="285"/>
      <c r="N123" s="285"/>
      <c r="O123" s="285"/>
      <c r="P123" s="285"/>
      <c r="Q123" s="285"/>
      <c r="R123" s="338">
        <v>-3347</v>
      </c>
      <c r="S123" s="338"/>
      <c r="T123" s="339"/>
      <c r="U123" s="288"/>
      <c r="V123" s="5"/>
    </row>
    <row r="124" spans="1:22" ht="15.6" x14ac:dyDescent="0.3">
      <c r="A124" s="337"/>
      <c r="B124" s="285" t="s">
        <v>203</v>
      </c>
      <c r="C124" s="285"/>
      <c r="D124" s="285"/>
      <c r="E124" s="285"/>
      <c r="F124" s="285"/>
      <c r="G124" s="285"/>
      <c r="H124" s="285"/>
      <c r="I124" s="285"/>
      <c r="J124" s="285"/>
      <c r="K124" s="285"/>
      <c r="L124" s="285"/>
      <c r="M124" s="285"/>
      <c r="N124" s="285"/>
      <c r="O124" s="285"/>
      <c r="P124" s="285"/>
      <c r="Q124" s="285"/>
      <c r="R124" s="338">
        <v>-882</v>
      </c>
      <c r="S124" s="338"/>
      <c r="T124" s="339"/>
      <c r="U124" s="288"/>
      <c r="V124" s="5"/>
    </row>
    <row r="125" spans="1:22" ht="15.6" x14ac:dyDescent="0.3">
      <c r="A125" s="337"/>
      <c r="B125" s="285" t="s">
        <v>202</v>
      </c>
      <c r="C125" s="285"/>
      <c r="D125" s="285"/>
      <c r="E125" s="285"/>
      <c r="F125" s="285"/>
      <c r="G125" s="285"/>
      <c r="H125" s="285"/>
      <c r="I125" s="285"/>
      <c r="J125" s="285"/>
      <c r="K125" s="285"/>
      <c r="L125" s="285"/>
      <c r="M125" s="285"/>
      <c r="N125" s="285"/>
      <c r="O125" s="285"/>
      <c r="P125" s="285"/>
      <c r="Q125" s="285"/>
      <c r="R125" s="338">
        <v>-889</v>
      </c>
      <c r="S125" s="338"/>
      <c r="T125" s="339"/>
      <c r="U125" s="288"/>
      <c r="V125" s="5"/>
    </row>
    <row r="126" spans="1:22" ht="15.6" x14ac:dyDescent="0.3">
      <c r="A126" s="337"/>
      <c r="B126" s="285" t="s">
        <v>197</v>
      </c>
      <c r="C126" s="285"/>
      <c r="D126" s="285"/>
      <c r="E126" s="285"/>
      <c r="F126" s="285"/>
      <c r="G126" s="285"/>
      <c r="H126" s="285"/>
      <c r="I126" s="285"/>
      <c r="J126" s="285"/>
      <c r="K126" s="285"/>
      <c r="L126" s="285"/>
      <c r="M126" s="285"/>
      <c r="N126" s="285"/>
      <c r="O126" s="285"/>
      <c r="P126" s="285"/>
      <c r="Q126" s="285"/>
      <c r="R126" s="338">
        <v>-223</v>
      </c>
      <c r="S126" s="338"/>
      <c r="T126" s="339"/>
      <c r="U126" s="288"/>
      <c r="V126" s="5"/>
    </row>
    <row r="127" spans="1:22" ht="15.6" x14ac:dyDescent="0.3">
      <c r="A127" s="337"/>
      <c r="B127" s="285" t="s">
        <v>196</v>
      </c>
      <c r="C127" s="285"/>
      <c r="D127" s="285"/>
      <c r="E127" s="285"/>
      <c r="F127" s="285"/>
      <c r="G127" s="285"/>
      <c r="H127" s="285"/>
      <c r="I127" s="285"/>
      <c r="J127" s="285"/>
      <c r="K127" s="285"/>
      <c r="L127" s="285"/>
      <c r="M127" s="285"/>
      <c r="N127" s="285"/>
      <c r="O127" s="285"/>
      <c r="P127" s="285"/>
      <c r="Q127" s="285"/>
      <c r="R127" s="338">
        <v>-791</v>
      </c>
      <c r="S127" s="338"/>
      <c r="T127" s="339"/>
      <c r="U127" s="288"/>
      <c r="V127" s="5"/>
    </row>
    <row r="128" spans="1:22" ht="15.6" x14ac:dyDescent="0.3">
      <c r="A128" s="337"/>
      <c r="B128" s="285" t="s">
        <v>195</v>
      </c>
      <c r="C128" s="285"/>
      <c r="D128" s="285"/>
      <c r="E128" s="285"/>
      <c r="F128" s="285"/>
      <c r="G128" s="285"/>
      <c r="H128" s="285"/>
      <c r="I128" s="285"/>
      <c r="J128" s="285"/>
      <c r="K128" s="285"/>
      <c r="L128" s="285"/>
      <c r="M128" s="285"/>
      <c r="N128" s="285"/>
      <c r="O128" s="285"/>
      <c r="P128" s="285"/>
      <c r="Q128" s="285"/>
      <c r="R128" s="338">
        <v>-840</v>
      </c>
      <c r="S128" s="338"/>
      <c r="T128" s="339"/>
      <c r="U128" s="288"/>
      <c r="V128" s="5"/>
    </row>
    <row r="129" spans="1:22" ht="15.6" x14ac:dyDescent="0.3">
      <c r="A129" s="337"/>
      <c r="B129" s="285" t="s">
        <v>40</v>
      </c>
      <c r="C129" s="285"/>
      <c r="D129" s="285"/>
      <c r="E129" s="285"/>
      <c r="F129" s="285"/>
      <c r="G129" s="285"/>
      <c r="H129" s="285"/>
      <c r="I129" s="285"/>
      <c r="J129" s="285"/>
      <c r="K129" s="285"/>
      <c r="L129" s="285"/>
      <c r="M129" s="285"/>
      <c r="N129" s="285"/>
      <c r="O129" s="285"/>
      <c r="P129" s="285"/>
      <c r="Q129" s="285"/>
      <c r="R129" s="338">
        <f>SUM(R120:R128)</f>
        <v>-7109</v>
      </c>
      <c r="S129" s="338"/>
      <c r="T129" s="338">
        <f>SUM(T101:T127)</f>
        <v>-2754</v>
      </c>
      <c r="U129" s="288"/>
      <c r="V129" s="5"/>
    </row>
    <row r="130" spans="1:22" ht="15.6" x14ac:dyDescent="0.3">
      <c r="A130" s="337"/>
      <c r="B130" s="285" t="s">
        <v>41</v>
      </c>
      <c r="C130" s="285"/>
      <c r="D130" s="285"/>
      <c r="E130" s="285"/>
      <c r="F130" s="285"/>
      <c r="G130" s="285"/>
      <c r="H130" s="285"/>
      <c r="I130" s="285"/>
      <c r="J130" s="285"/>
      <c r="K130" s="285"/>
      <c r="L130" s="285"/>
      <c r="M130" s="285"/>
      <c r="N130" s="285"/>
      <c r="O130" s="285"/>
      <c r="P130" s="285"/>
      <c r="Q130" s="285"/>
      <c r="R130" s="338">
        <f>R100+R129+R113</f>
        <v>0</v>
      </c>
      <c r="S130" s="338"/>
      <c r="T130" s="338">
        <f>T100+T129</f>
        <v>0</v>
      </c>
      <c r="U130" s="288"/>
      <c r="V130" s="5"/>
    </row>
    <row r="131" spans="1:22" ht="15.6" x14ac:dyDescent="0.3">
      <c r="A131" s="256"/>
      <c r="B131" s="281"/>
      <c r="C131" s="281"/>
      <c r="D131" s="281"/>
      <c r="E131" s="281"/>
      <c r="F131" s="281"/>
      <c r="G131" s="281"/>
      <c r="H131" s="281"/>
      <c r="I131" s="281"/>
      <c r="J131" s="281"/>
      <c r="K131" s="281"/>
      <c r="L131" s="281"/>
      <c r="M131" s="281"/>
      <c r="N131" s="281"/>
      <c r="O131" s="281"/>
      <c r="P131" s="281"/>
      <c r="Q131" s="281"/>
      <c r="R131" s="340"/>
      <c r="S131" s="340"/>
      <c r="T131" s="340"/>
      <c r="U131" s="281"/>
      <c r="V131" s="5"/>
    </row>
    <row r="132" spans="1:22" ht="15.6" x14ac:dyDescent="0.3">
      <c r="A132" s="256"/>
      <c r="B132" s="231"/>
      <c r="C132" s="231"/>
      <c r="D132" s="231"/>
      <c r="E132" s="231"/>
      <c r="F132" s="231"/>
      <c r="G132" s="231"/>
      <c r="H132" s="231"/>
      <c r="I132" s="231"/>
      <c r="J132" s="231"/>
      <c r="K132" s="231"/>
      <c r="L132" s="231"/>
      <c r="M132" s="231"/>
      <c r="N132" s="231"/>
      <c r="O132" s="231"/>
      <c r="P132" s="231"/>
      <c r="Q132" s="231"/>
      <c r="R132" s="231"/>
      <c r="S132" s="231"/>
      <c r="T132" s="257"/>
      <c r="U132" s="231"/>
      <c r="V132" s="5"/>
    </row>
    <row r="133" spans="1:22" ht="18" thickBot="1" x14ac:dyDescent="0.35">
      <c r="A133" s="258"/>
      <c r="B133" s="246" t="str">
        <f>B64</f>
        <v>PM11 INVESTOR REPORT QUARTER ENDING SEPTEMBER 2016</v>
      </c>
      <c r="C133" s="247"/>
      <c r="D133" s="247"/>
      <c r="E133" s="247"/>
      <c r="F133" s="247"/>
      <c r="G133" s="247"/>
      <c r="H133" s="247"/>
      <c r="I133" s="247"/>
      <c r="J133" s="247"/>
      <c r="K133" s="247"/>
      <c r="L133" s="247"/>
      <c r="M133" s="247"/>
      <c r="N133" s="247"/>
      <c r="O133" s="247"/>
      <c r="P133" s="247"/>
      <c r="Q133" s="247"/>
      <c r="R133" s="247"/>
      <c r="S133" s="247"/>
      <c r="T133" s="259"/>
      <c r="U133" s="249"/>
      <c r="V133" s="5"/>
    </row>
    <row r="134" spans="1:22" ht="15.6" x14ac:dyDescent="0.3">
      <c r="A134" s="260"/>
      <c r="B134" s="399" t="s">
        <v>42</v>
      </c>
      <c r="C134" s="261"/>
      <c r="D134" s="261"/>
      <c r="E134" s="261"/>
      <c r="F134" s="261"/>
      <c r="G134" s="261"/>
      <c r="H134" s="261"/>
      <c r="I134" s="261"/>
      <c r="J134" s="261"/>
      <c r="K134" s="261"/>
      <c r="L134" s="261"/>
      <c r="M134" s="261"/>
      <c r="N134" s="261"/>
      <c r="O134" s="261"/>
      <c r="P134" s="261"/>
      <c r="Q134" s="261"/>
      <c r="R134" s="261"/>
      <c r="S134" s="261"/>
      <c r="T134" s="262"/>
      <c r="U134" s="261"/>
      <c r="V134" s="5"/>
    </row>
    <row r="135" spans="1:22" ht="15.6" x14ac:dyDescent="0.3">
      <c r="A135" s="175"/>
      <c r="B135" s="187"/>
      <c r="C135" s="177"/>
      <c r="D135" s="177"/>
      <c r="E135" s="177"/>
      <c r="F135" s="177"/>
      <c r="G135" s="177"/>
      <c r="H135" s="177"/>
      <c r="I135" s="177"/>
      <c r="J135" s="177"/>
      <c r="K135" s="177"/>
      <c r="L135" s="177"/>
      <c r="M135" s="177"/>
      <c r="N135" s="177"/>
      <c r="O135" s="177"/>
      <c r="P135" s="177"/>
      <c r="Q135" s="177"/>
      <c r="R135" s="177"/>
      <c r="S135" s="177"/>
      <c r="T135" s="194"/>
      <c r="U135" s="177"/>
      <c r="V135" s="5"/>
    </row>
    <row r="136" spans="1:22" ht="15.6" x14ac:dyDescent="0.3">
      <c r="A136" s="175"/>
      <c r="B136" s="201" t="s">
        <v>43</v>
      </c>
      <c r="C136" s="177"/>
      <c r="D136" s="177"/>
      <c r="E136" s="177"/>
      <c r="F136" s="177"/>
      <c r="G136" s="177"/>
      <c r="H136" s="177"/>
      <c r="I136" s="177"/>
      <c r="J136" s="177"/>
      <c r="K136" s="177"/>
      <c r="L136" s="177"/>
      <c r="M136" s="177"/>
      <c r="N136" s="177"/>
      <c r="O136" s="177"/>
      <c r="P136" s="177"/>
      <c r="Q136" s="177"/>
      <c r="R136" s="177"/>
      <c r="S136" s="177"/>
      <c r="T136" s="194"/>
      <c r="U136" s="177"/>
      <c r="V136" s="5"/>
    </row>
    <row r="137" spans="1:22" ht="15.6" x14ac:dyDescent="0.3">
      <c r="A137" s="284"/>
      <c r="B137" s="285" t="s">
        <v>44</v>
      </c>
      <c r="C137" s="285"/>
      <c r="D137" s="285"/>
      <c r="E137" s="285"/>
      <c r="F137" s="285"/>
      <c r="G137" s="285"/>
      <c r="H137" s="285"/>
      <c r="I137" s="285"/>
      <c r="J137" s="285"/>
      <c r="K137" s="285"/>
      <c r="L137" s="285"/>
      <c r="M137" s="285"/>
      <c r="N137" s="285"/>
      <c r="O137" s="285"/>
      <c r="P137" s="285"/>
      <c r="Q137" s="285"/>
      <c r="R137" s="285"/>
      <c r="S137" s="285"/>
      <c r="T137" s="339">
        <f>+T34*0.019</f>
        <v>19000.95</v>
      </c>
      <c r="U137" s="288"/>
      <c r="V137" s="5"/>
    </row>
    <row r="138" spans="1:22" ht="15.6" x14ac:dyDescent="0.3">
      <c r="A138" s="284"/>
      <c r="B138" s="285" t="s">
        <v>45</v>
      </c>
      <c r="C138" s="285"/>
      <c r="D138" s="285"/>
      <c r="E138" s="285"/>
      <c r="F138" s="285"/>
      <c r="G138" s="285"/>
      <c r="H138" s="285"/>
      <c r="I138" s="285"/>
      <c r="J138" s="285"/>
      <c r="K138" s="285"/>
      <c r="L138" s="285"/>
      <c r="M138" s="285"/>
      <c r="N138" s="285"/>
      <c r="O138" s="285"/>
      <c r="P138" s="285"/>
      <c r="Q138" s="285"/>
      <c r="R138" s="285"/>
      <c r="S138" s="285"/>
      <c r="T138" s="339">
        <v>19001</v>
      </c>
      <c r="U138" s="288"/>
      <c r="V138" s="5"/>
    </row>
    <row r="139" spans="1:22" ht="15.6" x14ac:dyDescent="0.3">
      <c r="A139" s="284"/>
      <c r="B139" s="285" t="s">
        <v>142</v>
      </c>
      <c r="C139" s="285"/>
      <c r="D139" s="285"/>
      <c r="E139" s="285"/>
      <c r="F139" s="285"/>
      <c r="G139" s="285"/>
      <c r="H139" s="285"/>
      <c r="I139" s="285"/>
      <c r="J139" s="285"/>
      <c r="K139" s="285"/>
      <c r="L139" s="285"/>
      <c r="M139" s="285"/>
      <c r="N139" s="285"/>
      <c r="O139" s="285"/>
      <c r="P139" s="285"/>
      <c r="Q139" s="285"/>
      <c r="R139" s="285"/>
      <c r="S139" s="285"/>
      <c r="T139" s="339">
        <v>0</v>
      </c>
      <c r="U139" s="288"/>
      <c r="V139" s="5"/>
    </row>
    <row r="140" spans="1:22" ht="15.6" x14ac:dyDescent="0.3">
      <c r="A140" s="284"/>
      <c r="B140" s="285" t="s">
        <v>129</v>
      </c>
      <c r="C140" s="285"/>
      <c r="D140" s="285"/>
      <c r="E140" s="285"/>
      <c r="F140" s="285"/>
      <c r="G140" s="285"/>
      <c r="H140" s="285"/>
      <c r="I140" s="285"/>
      <c r="J140" s="285"/>
      <c r="K140" s="285"/>
      <c r="L140" s="285"/>
      <c r="M140" s="285"/>
      <c r="N140" s="285"/>
      <c r="O140" s="285"/>
      <c r="P140" s="285"/>
      <c r="Q140" s="285"/>
      <c r="R140" s="285"/>
      <c r="S140" s="285"/>
      <c r="T140" s="339">
        <v>0</v>
      </c>
      <c r="U140" s="288"/>
      <c r="V140" s="5"/>
    </row>
    <row r="141" spans="1:22" ht="15.6" x14ac:dyDescent="0.3">
      <c r="A141" s="284"/>
      <c r="B141" s="285" t="s">
        <v>130</v>
      </c>
      <c r="C141" s="285"/>
      <c r="D141" s="285"/>
      <c r="E141" s="285"/>
      <c r="F141" s="285"/>
      <c r="G141" s="285"/>
      <c r="H141" s="285"/>
      <c r="I141" s="285"/>
      <c r="J141" s="285"/>
      <c r="K141" s="285"/>
      <c r="L141" s="285"/>
      <c r="M141" s="285"/>
      <c r="N141" s="285"/>
      <c r="O141" s="285"/>
      <c r="P141" s="285"/>
      <c r="Q141" s="285"/>
      <c r="R141" s="285"/>
      <c r="S141" s="285"/>
      <c r="T141" s="339">
        <v>0</v>
      </c>
      <c r="U141" s="288"/>
      <c r="V141" s="5"/>
    </row>
    <row r="142" spans="1:22" ht="15.6" x14ac:dyDescent="0.3">
      <c r="A142" s="284"/>
      <c r="B142" s="285" t="s">
        <v>182</v>
      </c>
      <c r="C142" s="285"/>
      <c r="D142" s="285"/>
      <c r="E142" s="285"/>
      <c r="F142" s="285"/>
      <c r="G142" s="285"/>
      <c r="H142" s="285"/>
      <c r="I142" s="285"/>
      <c r="J142" s="285"/>
      <c r="K142" s="285"/>
      <c r="L142" s="285"/>
      <c r="M142" s="285"/>
      <c r="N142" s="285"/>
      <c r="O142" s="285"/>
      <c r="P142" s="285"/>
      <c r="Q142" s="285"/>
      <c r="R142" s="285"/>
      <c r="S142" s="285"/>
      <c r="T142" s="339">
        <v>0</v>
      </c>
      <c r="U142" s="288"/>
      <c r="V142" s="5"/>
    </row>
    <row r="143" spans="1:22" ht="15.6" x14ac:dyDescent="0.3">
      <c r="A143" s="284"/>
      <c r="B143" s="285" t="s">
        <v>46</v>
      </c>
      <c r="C143" s="285"/>
      <c r="D143" s="285"/>
      <c r="E143" s="285"/>
      <c r="F143" s="285"/>
      <c r="G143" s="285"/>
      <c r="H143" s="285"/>
      <c r="I143" s="285"/>
      <c r="J143" s="285"/>
      <c r="K143" s="285"/>
      <c r="L143" s="285"/>
      <c r="M143" s="285"/>
      <c r="N143" s="285"/>
      <c r="O143" s="285"/>
      <c r="P143" s="285"/>
      <c r="Q143" s="285"/>
      <c r="R143" s="285"/>
      <c r="S143" s="285"/>
      <c r="T143" s="339">
        <v>0</v>
      </c>
      <c r="U143" s="288"/>
      <c r="V143" s="5"/>
    </row>
    <row r="144" spans="1:22" ht="15.6" x14ac:dyDescent="0.3">
      <c r="A144" s="284"/>
      <c r="B144" s="285" t="s">
        <v>135</v>
      </c>
      <c r="C144" s="285"/>
      <c r="D144" s="285"/>
      <c r="E144" s="285"/>
      <c r="F144" s="285"/>
      <c r="G144" s="285"/>
      <c r="H144" s="285"/>
      <c r="I144" s="285"/>
      <c r="J144" s="285"/>
      <c r="K144" s="285"/>
      <c r="L144" s="285"/>
      <c r="M144" s="285"/>
      <c r="N144" s="285"/>
      <c r="O144" s="285"/>
      <c r="P144" s="285"/>
      <c r="Q144" s="285"/>
      <c r="R144" s="285"/>
      <c r="S144" s="285"/>
      <c r="T144" s="339">
        <v>0</v>
      </c>
      <c r="U144" s="288"/>
      <c r="V144" s="5"/>
    </row>
    <row r="145" spans="1:23" ht="15.6" x14ac:dyDescent="0.3">
      <c r="A145" s="284"/>
      <c r="B145" s="285" t="s">
        <v>251</v>
      </c>
      <c r="C145" s="285"/>
      <c r="D145" s="285"/>
      <c r="E145" s="285"/>
      <c r="F145" s="285"/>
      <c r="G145" s="285"/>
      <c r="H145" s="285"/>
      <c r="I145" s="285"/>
      <c r="J145" s="285"/>
      <c r="K145" s="285"/>
      <c r="L145" s="285"/>
      <c r="M145" s="285"/>
      <c r="N145" s="285"/>
      <c r="O145" s="285"/>
      <c r="P145" s="285"/>
      <c r="Q145" s="285"/>
      <c r="R145" s="285"/>
      <c r="S145" s="285"/>
      <c r="T145" s="339">
        <v>0</v>
      </c>
      <c r="U145" s="288"/>
      <c r="V145" s="5"/>
      <c r="W145" s="109"/>
    </row>
    <row r="146" spans="1:23" ht="15.6" x14ac:dyDescent="0.3">
      <c r="A146" s="284"/>
      <c r="B146" s="285" t="s">
        <v>47</v>
      </c>
      <c r="C146" s="285"/>
      <c r="D146" s="285"/>
      <c r="E146" s="285"/>
      <c r="F146" s="285"/>
      <c r="G146" s="285"/>
      <c r="H146" s="285"/>
      <c r="I146" s="285"/>
      <c r="J146" s="285"/>
      <c r="K146" s="285"/>
      <c r="L146" s="285"/>
      <c r="M146" s="285"/>
      <c r="N146" s="285"/>
      <c r="O146" s="285"/>
      <c r="P146" s="285"/>
      <c r="Q146" s="285"/>
      <c r="R146" s="285"/>
      <c r="S146" s="285"/>
      <c r="T146" s="339">
        <f>SUM(T138:T145)</f>
        <v>19001</v>
      </c>
      <c r="U146" s="288"/>
      <c r="V146" s="5"/>
    </row>
    <row r="147" spans="1:23" ht="15.6" x14ac:dyDescent="0.3">
      <c r="A147" s="284"/>
      <c r="B147" s="311"/>
      <c r="C147" s="311"/>
      <c r="D147" s="311"/>
      <c r="E147" s="311"/>
      <c r="F147" s="311"/>
      <c r="G147" s="311"/>
      <c r="H147" s="311"/>
      <c r="I147" s="311"/>
      <c r="J147" s="311"/>
      <c r="K147" s="311"/>
      <c r="L147" s="311"/>
      <c r="M147" s="311"/>
      <c r="N147" s="311"/>
      <c r="O147" s="311"/>
      <c r="P147" s="311"/>
      <c r="Q147" s="311"/>
      <c r="R147" s="311"/>
      <c r="S147" s="311"/>
      <c r="T147" s="345"/>
      <c r="U147" s="317"/>
      <c r="V147" s="5"/>
    </row>
    <row r="148" spans="1:23" ht="15.6" x14ac:dyDescent="0.3">
      <c r="A148" s="284"/>
      <c r="B148" s="343" t="s">
        <v>262</v>
      </c>
      <c r="C148" s="311"/>
      <c r="D148" s="311"/>
      <c r="E148" s="311"/>
      <c r="F148" s="311"/>
      <c r="G148" s="311"/>
      <c r="H148" s="311"/>
      <c r="I148" s="311"/>
      <c r="J148" s="311"/>
      <c r="K148" s="311"/>
      <c r="L148" s="311"/>
      <c r="M148" s="311"/>
      <c r="N148" s="311"/>
      <c r="O148" s="311"/>
      <c r="P148" s="311"/>
      <c r="Q148" s="311"/>
      <c r="R148" s="311"/>
      <c r="S148" s="311"/>
      <c r="T148" s="345"/>
      <c r="U148" s="317"/>
      <c r="V148" s="5"/>
    </row>
    <row r="149" spans="1:23" ht="15.6" x14ac:dyDescent="0.3">
      <c r="A149" s="284"/>
      <c r="B149" s="285" t="s">
        <v>263</v>
      </c>
      <c r="C149" s="285"/>
      <c r="D149" s="285"/>
      <c r="E149" s="285"/>
      <c r="F149" s="285"/>
      <c r="G149" s="285"/>
      <c r="H149" s="285"/>
      <c r="I149" s="285"/>
      <c r="J149" s="285"/>
      <c r="K149" s="285"/>
      <c r="L149" s="285"/>
      <c r="M149" s="285"/>
      <c r="N149" s="285"/>
      <c r="O149" s="285"/>
      <c r="P149" s="285"/>
      <c r="Q149" s="285"/>
      <c r="R149" s="285"/>
      <c r="S149" s="285"/>
      <c r="T149" s="339">
        <v>0</v>
      </c>
      <c r="U149" s="288"/>
      <c r="V149" s="5"/>
    </row>
    <row r="150" spans="1:23" ht="15.6" x14ac:dyDescent="0.3">
      <c r="A150" s="284"/>
      <c r="B150" s="285" t="s">
        <v>179</v>
      </c>
      <c r="C150" s="285"/>
      <c r="D150" s="285"/>
      <c r="E150" s="285"/>
      <c r="F150" s="285"/>
      <c r="G150" s="285"/>
      <c r="H150" s="285"/>
      <c r="I150" s="285"/>
      <c r="J150" s="285"/>
      <c r="K150" s="285"/>
      <c r="L150" s="285"/>
      <c r="M150" s="285"/>
      <c r="N150" s="285"/>
      <c r="O150" s="285"/>
      <c r="P150" s="285"/>
      <c r="Q150" s="285"/>
      <c r="R150" s="285"/>
      <c r="S150" s="285"/>
      <c r="T150" s="339">
        <v>0</v>
      </c>
      <c r="U150" s="288"/>
      <c r="V150" s="5"/>
    </row>
    <row r="151" spans="1:23" ht="15.6" x14ac:dyDescent="0.3">
      <c r="A151" s="284"/>
      <c r="B151" s="285" t="s">
        <v>264</v>
      </c>
      <c r="C151" s="285"/>
      <c r="D151" s="285"/>
      <c r="E151" s="285"/>
      <c r="F151" s="285"/>
      <c r="G151" s="285"/>
      <c r="H151" s="285"/>
      <c r="I151" s="285"/>
      <c r="J151" s="285"/>
      <c r="K151" s="285"/>
      <c r="L151" s="285"/>
      <c r="M151" s="285"/>
      <c r="N151" s="285"/>
      <c r="O151" s="285"/>
      <c r="P151" s="285"/>
      <c r="Q151" s="285"/>
      <c r="R151" s="285"/>
      <c r="S151" s="285"/>
      <c r="T151" s="339">
        <v>0</v>
      </c>
      <c r="U151" s="288"/>
      <c r="V151" s="5"/>
    </row>
    <row r="152" spans="1:23" ht="15.6" x14ac:dyDescent="0.3">
      <c r="A152" s="284"/>
      <c r="B152" s="285"/>
      <c r="C152" s="285"/>
      <c r="D152" s="285"/>
      <c r="E152" s="285"/>
      <c r="F152" s="285"/>
      <c r="G152" s="285"/>
      <c r="H152" s="285"/>
      <c r="I152" s="285"/>
      <c r="J152" s="285"/>
      <c r="K152" s="285"/>
      <c r="L152" s="285"/>
      <c r="M152" s="285"/>
      <c r="N152" s="285"/>
      <c r="O152" s="285"/>
      <c r="P152" s="285"/>
      <c r="Q152" s="285"/>
      <c r="R152" s="285"/>
      <c r="S152" s="285"/>
      <c r="T152" s="339"/>
      <c r="U152" s="288"/>
      <c r="V152" s="5"/>
    </row>
    <row r="153" spans="1:23" ht="15.6" x14ac:dyDescent="0.3">
      <c r="A153" s="175"/>
      <c r="B153" s="334"/>
      <c r="C153" s="334"/>
      <c r="D153" s="334"/>
      <c r="E153" s="334"/>
      <c r="F153" s="334"/>
      <c r="G153" s="334"/>
      <c r="H153" s="334"/>
      <c r="I153" s="334"/>
      <c r="J153" s="334"/>
      <c r="K153" s="334"/>
      <c r="L153" s="334"/>
      <c r="M153" s="334"/>
      <c r="N153" s="334"/>
      <c r="O153" s="334"/>
      <c r="P153" s="334"/>
      <c r="Q153" s="334"/>
      <c r="R153" s="334"/>
      <c r="S153" s="334"/>
      <c r="T153" s="347"/>
      <c r="U153" s="334"/>
      <c r="V153" s="5"/>
    </row>
    <row r="154" spans="1:23" ht="15.6" x14ac:dyDescent="0.3">
      <c r="A154" s="175"/>
      <c r="B154" s="201" t="s">
        <v>24</v>
      </c>
      <c r="C154" s="177"/>
      <c r="D154" s="177"/>
      <c r="E154" s="177"/>
      <c r="F154" s="177"/>
      <c r="G154" s="177"/>
      <c r="H154" s="177"/>
      <c r="I154" s="177"/>
      <c r="J154" s="177"/>
      <c r="K154" s="177"/>
      <c r="L154" s="177"/>
      <c r="M154" s="177"/>
      <c r="N154" s="177"/>
      <c r="O154" s="177"/>
      <c r="P154" s="177"/>
      <c r="Q154" s="177"/>
      <c r="R154" s="177"/>
      <c r="S154" s="177"/>
      <c r="T154" s="194"/>
      <c r="U154" s="177"/>
      <c r="V154" s="5"/>
    </row>
    <row r="155" spans="1:23" ht="15.6" x14ac:dyDescent="0.3">
      <c r="A155" s="284"/>
      <c r="B155" s="285" t="s">
        <v>48</v>
      </c>
      <c r="C155" s="285"/>
      <c r="D155" s="285"/>
      <c r="E155" s="285"/>
      <c r="F155" s="285"/>
      <c r="G155" s="285"/>
      <c r="H155" s="285"/>
      <c r="I155" s="285"/>
      <c r="J155" s="285"/>
      <c r="K155" s="285"/>
      <c r="L155" s="285"/>
      <c r="M155" s="285"/>
      <c r="N155" s="285"/>
      <c r="O155" s="285"/>
      <c r="P155" s="285"/>
      <c r="Q155" s="285"/>
      <c r="R155" s="285"/>
      <c r="S155" s="285"/>
      <c r="T155" s="348" t="s">
        <v>124</v>
      </c>
      <c r="U155" s="288"/>
      <c r="V155" s="5"/>
    </row>
    <row r="156" spans="1:23" ht="15.6" x14ac:dyDescent="0.3">
      <c r="A156" s="284"/>
      <c r="B156" s="285" t="s">
        <v>49</v>
      </c>
      <c r="C156" s="287"/>
      <c r="D156" s="287"/>
      <c r="E156" s="287"/>
      <c r="F156" s="287"/>
      <c r="G156" s="287"/>
      <c r="H156" s="287"/>
      <c r="I156" s="287"/>
      <c r="J156" s="287"/>
      <c r="K156" s="287"/>
      <c r="L156" s="287"/>
      <c r="M156" s="287"/>
      <c r="N156" s="287"/>
      <c r="O156" s="287"/>
      <c r="P156" s="287"/>
      <c r="Q156" s="287"/>
      <c r="R156" s="287"/>
      <c r="S156" s="287"/>
      <c r="T156" s="348" t="s">
        <v>124</v>
      </c>
      <c r="U156" s="288"/>
      <c r="V156" s="5"/>
    </row>
    <row r="157" spans="1:23" ht="15.6" x14ac:dyDescent="0.3">
      <c r="A157" s="284"/>
      <c r="B157" s="285" t="s">
        <v>50</v>
      </c>
      <c r="C157" s="285"/>
      <c r="D157" s="285"/>
      <c r="E157" s="285"/>
      <c r="F157" s="285"/>
      <c r="G157" s="285"/>
      <c r="H157" s="285"/>
      <c r="I157" s="285"/>
      <c r="J157" s="285"/>
      <c r="K157" s="285"/>
      <c r="L157" s="285"/>
      <c r="M157" s="285"/>
      <c r="N157" s="285"/>
      <c r="O157" s="285"/>
      <c r="P157" s="285"/>
      <c r="Q157" s="285"/>
      <c r="R157" s="285"/>
      <c r="S157" s="285"/>
      <c r="T157" s="348" t="s">
        <v>124</v>
      </c>
      <c r="U157" s="288"/>
      <c r="V157" s="5"/>
    </row>
    <row r="158" spans="1:23" ht="15.6" x14ac:dyDescent="0.3">
      <c r="A158" s="284"/>
      <c r="B158" s="285" t="s">
        <v>51</v>
      </c>
      <c r="C158" s="285"/>
      <c r="D158" s="285"/>
      <c r="E158" s="285"/>
      <c r="F158" s="285"/>
      <c r="G158" s="285"/>
      <c r="H158" s="285"/>
      <c r="I158" s="285"/>
      <c r="J158" s="285"/>
      <c r="K158" s="285"/>
      <c r="L158" s="285"/>
      <c r="M158" s="285"/>
      <c r="N158" s="285"/>
      <c r="O158" s="285"/>
      <c r="P158" s="285"/>
      <c r="Q158" s="285"/>
      <c r="R158" s="285"/>
      <c r="S158" s="285"/>
      <c r="T158" s="348" t="s">
        <v>124</v>
      </c>
      <c r="U158" s="288"/>
      <c r="V158" s="5"/>
    </row>
    <row r="159" spans="1:23" ht="15.6" x14ac:dyDescent="0.3">
      <c r="A159" s="175"/>
      <c r="B159" s="334"/>
      <c r="C159" s="334"/>
      <c r="D159" s="334"/>
      <c r="E159" s="334"/>
      <c r="F159" s="334"/>
      <c r="G159" s="334"/>
      <c r="H159" s="334"/>
      <c r="I159" s="334"/>
      <c r="J159" s="334"/>
      <c r="K159" s="334"/>
      <c r="L159" s="334"/>
      <c r="M159" s="334"/>
      <c r="N159" s="334"/>
      <c r="O159" s="334"/>
      <c r="P159" s="334"/>
      <c r="Q159" s="334"/>
      <c r="R159" s="334"/>
      <c r="S159" s="334"/>
      <c r="T159" s="347"/>
      <c r="U159" s="334"/>
      <c r="V159" s="5"/>
    </row>
    <row r="160" spans="1:23" ht="15.6" x14ac:dyDescent="0.3">
      <c r="A160" s="175"/>
      <c r="B160" s="201" t="s">
        <v>52</v>
      </c>
      <c r="C160" s="177"/>
      <c r="D160" s="177"/>
      <c r="E160" s="177"/>
      <c r="F160" s="177"/>
      <c r="G160" s="177"/>
      <c r="H160" s="177"/>
      <c r="I160" s="177"/>
      <c r="J160" s="177"/>
      <c r="K160" s="177"/>
      <c r="L160" s="177"/>
      <c r="M160" s="177"/>
      <c r="N160" s="177"/>
      <c r="O160" s="177"/>
      <c r="P160" s="177"/>
      <c r="Q160" s="177"/>
      <c r="R160" s="177"/>
      <c r="S160" s="177"/>
      <c r="T160" s="202"/>
      <c r="U160" s="177"/>
      <c r="V160" s="5"/>
    </row>
    <row r="161" spans="1:22" ht="15.6" x14ac:dyDescent="0.3">
      <c r="A161" s="284"/>
      <c r="B161" s="285" t="s">
        <v>53</v>
      </c>
      <c r="C161" s="285"/>
      <c r="D161" s="285"/>
      <c r="E161" s="285"/>
      <c r="F161" s="285"/>
      <c r="G161" s="285"/>
      <c r="H161" s="285"/>
      <c r="I161" s="285"/>
      <c r="J161" s="285"/>
      <c r="K161" s="285"/>
      <c r="L161" s="285"/>
      <c r="M161" s="285"/>
      <c r="N161" s="285"/>
      <c r="O161" s="285"/>
      <c r="P161" s="285"/>
      <c r="Q161" s="285"/>
      <c r="R161" s="285"/>
      <c r="S161" s="285"/>
      <c r="T161" s="339">
        <v>0</v>
      </c>
      <c r="U161" s="288"/>
      <c r="V161" s="5"/>
    </row>
    <row r="162" spans="1:22" ht="15.6" x14ac:dyDescent="0.3">
      <c r="A162" s="284"/>
      <c r="B162" s="285" t="s">
        <v>54</v>
      </c>
      <c r="C162" s="285"/>
      <c r="D162" s="285"/>
      <c r="E162" s="285"/>
      <c r="F162" s="285"/>
      <c r="G162" s="285"/>
      <c r="H162" s="285"/>
      <c r="I162" s="285"/>
      <c r="J162" s="285"/>
      <c r="K162" s="285"/>
      <c r="L162" s="285"/>
      <c r="M162" s="285"/>
      <c r="N162" s="285"/>
      <c r="O162" s="285"/>
      <c r="P162" s="285"/>
      <c r="Q162" s="285"/>
      <c r="R162" s="285"/>
      <c r="S162" s="285"/>
      <c r="T162" s="339">
        <f>R113</f>
        <v>242</v>
      </c>
      <c r="U162" s="288"/>
      <c r="V162" s="5"/>
    </row>
    <row r="163" spans="1:22" ht="15.6" x14ac:dyDescent="0.3">
      <c r="A163" s="284"/>
      <c r="B163" s="285" t="s">
        <v>55</v>
      </c>
      <c r="C163" s="285"/>
      <c r="D163" s="285"/>
      <c r="E163" s="285"/>
      <c r="F163" s="285"/>
      <c r="G163" s="285"/>
      <c r="H163" s="285"/>
      <c r="I163" s="285"/>
      <c r="J163" s="285"/>
      <c r="K163" s="285"/>
      <c r="L163" s="285"/>
      <c r="M163" s="285"/>
      <c r="N163" s="285"/>
      <c r="O163" s="285"/>
      <c r="P163" s="285"/>
      <c r="Q163" s="285"/>
      <c r="R163" s="285"/>
      <c r="S163" s="285"/>
      <c r="T163" s="339">
        <f>T162+T161</f>
        <v>242</v>
      </c>
      <c r="U163" s="288"/>
      <c r="V163" s="5"/>
    </row>
    <row r="164" spans="1:22" ht="15.6" x14ac:dyDescent="0.3">
      <c r="A164" s="284"/>
      <c r="B164" s="285" t="s">
        <v>301</v>
      </c>
      <c r="C164" s="285"/>
      <c r="D164" s="285"/>
      <c r="E164" s="285"/>
      <c r="F164" s="285"/>
      <c r="G164" s="285"/>
      <c r="H164" s="285"/>
      <c r="I164" s="285"/>
      <c r="J164" s="285"/>
      <c r="K164" s="285"/>
      <c r="L164" s="285"/>
      <c r="M164" s="285"/>
      <c r="N164" s="285"/>
      <c r="O164" s="285"/>
      <c r="P164" s="285"/>
      <c r="Q164" s="285"/>
      <c r="R164" s="285"/>
      <c r="S164" s="285"/>
      <c r="T164" s="339">
        <f>T113</f>
        <v>-242</v>
      </c>
      <c r="U164" s="288"/>
      <c r="V164" s="5"/>
    </row>
    <row r="165" spans="1:22" ht="15.6" x14ac:dyDescent="0.3">
      <c r="A165" s="284"/>
      <c r="B165" s="285" t="s">
        <v>56</v>
      </c>
      <c r="C165" s="285"/>
      <c r="D165" s="285"/>
      <c r="E165" s="285"/>
      <c r="F165" s="285"/>
      <c r="G165" s="285"/>
      <c r="H165" s="285"/>
      <c r="I165" s="285"/>
      <c r="J165" s="285"/>
      <c r="K165" s="285"/>
      <c r="L165" s="285"/>
      <c r="M165" s="285"/>
      <c r="N165" s="285"/>
      <c r="O165" s="285"/>
      <c r="P165" s="285"/>
      <c r="Q165" s="285"/>
      <c r="R165" s="285"/>
      <c r="S165" s="285"/>
      <c r="T165" s="339">
        <f>T163+T164</f>
        <v>0</v>
      </c>
      <c r="U165" s="288"/>
      <c r="V165" s="5"/>
    </row>
    <row r="166" spans="1:22" ht="15.6" x14ac:dyDescent="0.3">
      <c r="A166" s="284"/>
      <c r="B166" s="285" t="s">
        <v>273</v>
      </c>
      <c r="C166" s="285"/>
      <c r="D166" s="285"/>
      <c r="E166" s="285"/>
      <c r="F166" s="285"/>
      <c r="G166" s="285"/>
      <c r="H166" s="285"/>
      <c r="I166" s="285"/>
      <c r="J166" s="285"/>
      <c r="K166" s="285"/>
      <c r="L166" s="285"/>
      <c r="M166" s="285"/>
      <c r="N166" s="285"/>
      <c r="O166" s="285"/>
      <c r="P166" s="285"/>
      <c r="Q166" s="285"/>
      <c r="R166" s="285"/>
      <c r="S166" s="285"/>
      <c r="T166" s="339">
        <f>-T99</f>
        <v>157</v>
      </c>
      <c r="U166" s="288"/>
      <c r="V166" s="5"/>
    </row>
    <row r="167" spans="1:22" ht="16.2" thickBot="1" x14ac:dyDescent="0.35">
      <c r="A167" s="175"/>
      <c r="B167" s="334"/>
      <c r="C167" s="334"/>
      <c r="D167" s="334"/>
      <c r="E167" s="334"/>
      <c r="F167" s="334"/>
      <c r="G167" s="334"/>
      <c r="H167" s="334"/>
      <c r="I167" s="334"/>
      <c r="J167" s="334"/>
      <c r="K167" s="334"/>
      <c r="L167" s="334"/>
      <c r="M167" s="334"/>
      <c r="N167" s="334"/>
      <c r="O167" s="334"/>
      <c r="P167" s="334"/>
      <c r="Q167" s="334"/>
      <c r="R167" s="334"/>
      <c r="S167" s="334"/>
      <c r="T167" s="347"/>
      <c r="U167" s="334"/>
      <c r="V167" s="5"/>
    </row>
    <row r="168" spans="1:22" ht="15.6" x14ac:dyDescent="0.3">
      <c r="A168" s="173"/>
      <c r="B168" s="174"/>
      <c r="C168" s="174"/>
      <c r="D168" s="174"/>
      <c r="E168" s="174"/>
      <c r="F168" s="174"/>
      <c r="G168" s="174"/>
      <c r="H168" s="174"/>
      <c r="I168" s="174"/>
      <c r="J168" s="174"/>
      <c r="K168" s="174"/>
      <c r="L168" s="174"/>
      <c r="M168" s="174"/>
      <c r="N168" s="174"/>
      <c r="O168" s="174"/>
      <c r="P168" s="174"/>
      <c r="Q168" s="174"/>
      <c r="R168" s="174"/>
      <c r="S168" s="174"/>
      <c r="T168" s="193"/>
      <c r="U168" s="174"/>
      <c r="V168" s="5"/>
    </row>
    <row r="169" spans="1:22" ht="15.6" x14ac:dyDescent="0.3">
      <c r="A169" s="175"/>
      <c r="B169" s="201" t="s">
        <v>57</v>
      </c>
      <c r="C169" s="177"/>
      <c r="D169" s="177"/>
      <c r="E169" s="177"/>
      <c r="F169" s="177"/>
      <c r="G169" s="177"/>
      <c r="H169" s="177"/>
      <c r="I169" s="177"/>
      <c r="J169" s="177"/>
      <c r="K169" s="177"/>
      <c r="L169" s="177"/>
      <c r="M169" s="177"/>
      <c r="N169" s="177"/>
      <c r="O169" s="177"/>
      <c r="P169" s="177"/>
      <c r="Q169" s="177"/>
      <c r="R169" s="177"/>
      <c r="S169" s="177"/>
      <c r="T169" s="194"/>
      <c r="U169" s="177"/>
      <c r="V169" s="5"/>
    </row>
    <row r="170" spans="1:22" ht="15.6" x14ac:dyDescent="0.3">
      <c r="A170" s="175"/>
      <c r="B170" s="187"/>
      <c r="C170" s="177"/>
      <c r="D170" s="177"/>
      <c r="E170" s="177"/>
      <c r="F170" s="177"/>
      <c r="G170" s="177"/>
      <c r="H170" s="177"/>
      <c r="I170" s="177"/>
      <c r="J170" s="177"/>
      <c r="K170" s="177"/>
      <c r="L170" s="177"/>
      <c r="M170" s="177"/>
      <c r="N170" s="177"/>
      <c r="O170" s="177"/>
      <c r="P170" s="177"/>
      <c r="Q170" s="177"/>
      <c r="R170" s="177"/>
      <c r="S170" s="177"/>
      <c r="T170" s="194"/>
      <c r="U170" s="177"/>
      <c r="V170" s="5"/>
    </row>
    <row r="171" spans="1:22" ht="15.6" x14ac:dyDescent="0.3">
      <c r="A171" s="284"/>
      <c r="B171" s="285" t="s">
        <v>58</v>
      </c>
      <c r="C171" s="285"/>
      <c r="D171" s="285"/>
      <c r="E171" s="285"/>
      <c r="F171" s="285"/>
      <c r="G171" s="285"/>
      <c r="H171" s="285"/>
      <c r="I171" s="285"/>
      <c r="J171" s="285"/>
      <c r="K171" s="285"/>
      <c r="L171" s="285"/>
      <c r="M171" s="285"/>
      <c r="N171" s="285"/>
      <c r="O171" s="285"/>
      <c r="P171" s="285"/>
      <c r="Q171" s="285"/>
      <c r="R171" s="285"/>
      <c r="S171" s="285"/>
      <c r="T171" s="339">
        <f>T71</f>
        <v>457181</v>
      </c>
      <c r="U171" s="288"/>
      <c r="V171" s="5"/>
    </row>
    <row r="172" spans="1:22" ht="15.6" x14ac:dyDescent="0.3">
      <c r="A172" s="284"/>
      <c r="B172" s="285" t="s">
        <v>59</v>
      </c>
      <c r="C172" s="285"/>
      <c r="D172" s="285"/>
      <c r="E172" s="285"/>
      <c r="F172" s="285"/>
      <c r="G172" s="285"/>
      <c r="H172" s="285"/>
      <c r="I172" s="285"/>
      <c r="J172" s="285"/>
      <c r="K172" s="285"/>
      <c r="L172" s="285"/>
      <c r="M172" s="285"/>
      <c r="N172" s="285"/>
      <c r="O172" s="285"/>
      <c r="P172" s="285"/>
      <c r="Q172" s="285"/>
      <c r="R172" s="285"/>
      <c r="S172" s="285"/>
      <c r="T172" s="339">
        <f>T84</f>
        <v>457181</v>
      </c>
      <c r="U172" s="288"/>
      <c r="V172" s="5"/>
    </row>
    <row r="173" spans="1:22" ht="16.2" thickBot="1" x14ac:dyDescent="0.35">
      <c r="A173" s="175"/>
      <c r="B173" s="334"/>
      <c r="C173" s="334"/>
      <c r="D173" s="334"/>
      <c r="E173" s="334"/>
      <c r="F173" s="334"/>
      <c r="G173" s="334"/>
      <c r="H173" s="334"/>
      <c r="I173" s="334"/>
      <c r="J173" s="334"/>
      <c r="K173" s="334"/>
      <c r="L173" s="334"/>
      <c r="M173" s="334"/>
      <c r="N173" s="334"/>
      <c r="O173" s="334"/>
      <c r="P173" s="334"/>
      <c r="Q173" s="334"/>
      <c r="R173" s="334"/>
      <c r="S173" s="334"/>
      <c r="T173" s="347"/>
      <c r="U173" s="334"/>
      <c r="V173" s="5"/>
    </row>
    <row r="174" spans="1:22" ht="15.6" x14ac:dyDescent="0.3">
      <c r="A174" s="173"/>
      <c r="B174" s="174"/>
      <c r="C174" s="174"/>
      <c r="D174" s="174"/>
      <c r="E174" s="174"/>
      <c r="F174" s="174"/>
      <c r="G174" s="174"/>
      <c r="H174" s="174"/>
      <c r="I174" s="174"/>
      <c r="J174" s="174"/>
      <c r="K174" s="174"/>
      <c r="L174" s="174"/>
      <c r="M174" s="174"/>
      <c r="N174" s="174"/>
      <c r="O174" s="174"/>
      <c r="P174" s="174"/>
      <c r="Q174" s="174"/>
      <c r="R174" s="174"/>
      <c r="S174" s="174"/>
      <c r="T174" s="193"/>
      <c r="U174" s="174"/>
      <c r="V174" s="5"/>
    </row>
    <row r="175" spans="1:22" ht="15.6" x14ac:dyDescent="0.3">
      <c r="A175" s="175"/>
      <c r="B175" s="201" t="s">
        <v>60</v>
      </c>
      <c r="C175" s="198"/>
      <c r="D175" s="198"/>
      <c r="E175" s="198"/>
      <c r="F175" s="198"/>
      <c r="G175" s="198"/>
      <c r="H175" s="203"/>
      <c r="I175" s="203"/>
      <c r="J175" s="203"/>
      <c r="K175" s="203"/>
      <c r="L175" s="203"/>
      <c r="M175" s="203"/>
      <c r="N175" s="203"/>
      <c r="O175" s="203"/>
      <c r="P175" s="203"/>
      <c r="Q175" s="203" t="s">
        <v>104</v>
      </c>
      <c r="R175" s="203" t="s">
        <v>183</v>
      </c>
      <c r="S175" s="179"/>
      <c r="T175" s="204" t="s">
        <v>120</v>
      </c>
      <c r="U175" s="205"/>
      <c r="V175" s="5"/>
    </row>
    <row r="176" spans="1:22" ht="15.6" x14ac:dyDescent="0.3">
      <c r="A176" s="284"/>
      <c r="B176" s="285" t="s">
        <v>61</v>
      </c>
      <c r="C176" s="285"/>
      <c r="D176" s="285"/>
      <c r="E176" s="285"/>
      <c r="F176" s="285"/>
      <c r="G176" s="285"/>
      <c r="H176" s="285"/>
      <c r="I176" s="285"/>
      <c r="J176" s="285"/>
      <c r="K176" s="285"/>
      <c r="L176" s="285"/>
      <c r="M176" s="285"/>
      <c r="N176" s="285"/>
      <c r="O176" s="285"/>
      <c r="P176" s="285"/>
      <c r="Q176" s="339">
        <v>160008</v>
      </c>
      <c r="R176" s="324"/>
      <c r="S176" s="285"/>
      <c r="T176" s="339"/>
      <c r="U176" s="288"/>
      <c r="V176" s="5"/>
    </row>
    <row r="177" spans="1:22" ht="15.6" x14ac:dyDescent="0.3">
      <c r="A177" s="284"/>
      <c r="B177" s="285" t="s">
        <v>62</v>
      </c>
      <c r="C177" s="285"/>
      <c r="D177" s="285"/>
      <c r="E177" s="285"/>
      <c r="F177" s="285"/>
      <c r="G177" s="285"/>
      <c r="H177" s="285"/>
      <c r="I177" s="285"/>
      <c r="J177" s="285"/>
      <c r="K177" s="285"/>
      <c r="L177" s="285"/>
      <c r="M177" s="285"/>
      <c r="N177" s="285"/>
      <c r="O177" s="285"/>
      <c r="P177" s="285"/>
      <c r="Q177" s="339">
        <f>+'June 16'!Q179</f>
        <v>39062</v>
      </c>
      <c r="R177" s="339">
        <f>+'June 16'!R179</f>
        <v>3447</v>
      </c>
      <c r="S177" s="285"/>
      <c r="T177" s="339">
        <f>Q177+R177</f>
        <v>42509</v>
      </c>
      <c r="U177" s="288"/>
      <c r="V177" s="5"/>
    </row>
    <row r="178" spans="1:22" ht="15.6" x14ac:dyDescent="0.3">
      <c r="A178" s="284"/>
      <c r="B178" s="285" t="s">
        <v>63</v>
      </c>
      <c r="C178" s="285"/>
      <c r="D178" s="285"/>
      <c r="E178" s="285"/>
      <c r="F178" s="285"/>
      <c r="G178" s="285"/>
      <c r="H178" s="285"/>
      <c r="I178" s="285"/>
      <c r="J178" s="285"/>
      <c r="K178" s="285"/>
      <c r="L178" s="285"/>
      <c r="M178" s="285"/>
      <c r="N178" s="285"/>
      <c r="O178" s="285"/>
      <c r="P178" s="285"/>
      <c r="Q178" s="338">
        <f>65+62</f>
        <v>127</v>
      </c>
      <c r="R178" s="338">
        <v>0</v>
      </c>
      <c r="S178" s="285"/>
      <c r="T178" s="339">
        <f>Q178+R178</f>
        <v>127</v>
      </c>
      <c r="U178" s="288"/>
      <c r="V178" s="5"/>
    </row>
    <row r="179" spans="1:22" ht="15.6" x14ac:dyDescent="0.3">
      <c r="A179" s="284"/>
      <c r="B179" s="285" t="s">
        <v>64</v>
      </c>
      <c r="C179" s="285"/>
      <c r="D179" s="285"/>
      <c r="E179" s="285"/>
      <c r="F179" s="285"/>
      <c r="G179" s="285"/>
      <c r="H179" s="285"/>
      <c r="I179" s="285"/>
      <c r="J179" s="285"/>
      <c r="K179" s="285"/>
      <c r="L179" s="285"/>
      <c r="M179" s="285"/>
      <c r="N179" s="285"/>
      <c r="O179" s="285"/>
      <c r="P179" s="285"/>
      <c r="Q179" s="339">
        <f>Q177+Q178</f>
        <v>39189</v>
      </c>
      <c r="R179" s="339">
        <f>R178+R177</f>
        <v>3447</v>
      </c>
      <c r="S179" s="285"/>
      <c r="T179" s="339">
        <f>Q179+R179</f>
        <v>42636</v>
      </c>
      <c r="U179" s="288"/>
      <c r="V179" s="5"/>
    </row>
    <row r="180" spans="1:22" ht="15.6" x14ac:dyDescent="0.3">
      <c r="A180" s="284"/>
      <c r="B180" s="285" t="s">
        <v>65</v>
      </c>
      <c r="C180" s="285"/>
      <c r="D180" s="285"/>
      <c r="E180" s="285"/>
      <c r="F180" s="285"/>
      <c r="G180" s="285"/>
      <c r="H180" s="285"/>
      <c r="I180" s="285"/>
      <c r="J180" s="285"/>
      <c r="K180" s="285"/>
      <c r="L180" s="285"/>
      <c r="M180" s="285"/>
      <c r="N180" s="285"/>
      <c r="O180" s="285"/>
      <c r="P180" s="285"/>
      <c r="Q180" s="339">
        <f>Q176-Q179-R179</f>
        <v>117372</v>
      </c>
      <c r="R180" s="324"/>
      <c r="S180" s="285"/>
      <c r="T180" s="339"/>
      <c r="U180" s="288"/>
      <c r="V180" s="5"/>
    </row>
    <row r="181" spans="1:22" ht="16.2" thickBot="1" x14ac:dyDescent="0.35">
      <c r="A181" s="175"/>
      <c r="B181" s="334"/>
      <c r="C181" s="334"/>
      <c r="D181" s="334"/>
      <c r="E181" s="334"/>
      <c r="F181" s="334"/>
      <c r="G181" s="334"/>
      <c r="H181" s="334"/>
      <c r="I181" s="334"/>
      <c r="J181" s="334"/>
      <c r="K181" s="334"/>
      <c r="L181" s="334"/>
      <c r="M181" s="334"/>
      <c r="N181" s="334"/>
      <c r="O181" s="334"/>
      <c r="P181" s="334"/>
      <c r="Q181" s="334"/>
      <c r="R181" s="334"/>
      <c r="S181" s="334"/>
      <c r="T181" s="347"/>
      <c r="U181" s="334"/>
      <c r="V181" s="5"/>
    </row>
    <row r="182" spans="1:22" ht="15.6" x14ac:dyDescent="0.3">
      <c r="A182" s="173"/>
      <c r="B182" s="174"/>
      <c r="C182" s="174"/>
      <c r="D182" s="174"/>
      <c r="E182" s="174"/>
      <c r="F182" s="174"/>
      <c r="G182" s="174"/>
      <c r="H182" s="174"/>
      <c r="I182" s="174"/>
      <c r="J182" s="174"/>
      <c r="K182" s="174"/>
      <c r="L182" s="174"/>
      <c r="M182" s="174"/>
      <c r="N182" s="174"/>
      <c r="O182" s="174"/>
      <c r="P182" s="174"/>
      <c r="Q182" s="174"/>
      <c r="R182" s="174"/>
      <c r="S182" s="174"/>
      <c r="T182" s="193"/>
      <c r="U182" s="174"/>
      <c r="V182" s="5"/>
    </row>
    <row r="183" spans="1:22" ht="15.6" x14ac:dyDescent="0.3">
      <c r="A183" s="175"/>
      <c r="B183" s="201" t="s">
        <v>66</v>
      </c>
      <c r="C183" s="177"/>
      <c r="D183" s="177"/>
      <c r="E183" s="177"/>
      <c r="F183" s="177"/>
      <c r="G183" s="177"/>
      <c r="H183" s="177"/>
      <c r="I183" s="177"/>
      <c r="J183" s="177"/>
      <c r="K183" s="177"/>
      <c r="L183" s="177"/>
      <c r="M183" s="177"/>
      <c r="N183" s="177"/>
      <c r="O183" s="177"/>
      <c r="P183" s="177"/>
      <c r="Q183" s="177"/>
      <c r="R183" s="177"/>
      <c r="S183" s="177"/>
      <c r="T183" s="206"/>
      <c r="U183" s="177"/>
      <c r="V183" s="5"/>
    </row>
    <row r="184" spans="1:22" ht="15.6" x14ac:dyDescent="0.3">
      <c r="A184" s="284"/>
      <c r="B184" s="285" t="s">
        <v>67</v>
      </c>
      <c r="C184" s="285"/>
      <c r="D184" s="285"/>
      <c r="E184" s="285"/>
      <c r="F184" s="285"/>
      <c r="G184" s="285"/>
      <c r="H184" s="285"/>
      <c r="I184" s="285"/>
      <c r="J184" s="285"/>
      <c r="K184" s="285"/>
      <c r="L184" s="285"/>
      <c r="M184" s="285"/>
      <c r="N184" s="285"/>
      <c r="O184" s="285"/>
      <c r="P184" s="285"/>
      <c r="Q184" s="285"/>
      <c r="R184" s="285"/>
      <c r="S184" s="285"/>
      <c r="T184" s="348">
        <f>(T100+T102+T103+T104+T105)/-(T106+T107)</f>
        <v>4.0840197693574956</v>
      </c>
      <c r="U184" s="288" t="s">
        <v>121</v>
      </c>
      <c r="V184" s="5"/>
    </row>
    <row r="185" spans="1:22" ht="15.6" x14ac:dyDescent="0.3">
      <c r="A185" s="284"/>
      <c r="B185" s="285" t="s">
        <v>68</v>
      </c>
      <c r="C185" s="285"/>
      <c r="D185" s="285"/>
      <c r="E185" s="285"/>
      <c r="F185" s="285"/>
      <c r="G185" s="285"/>
      <c r="H185" s="285"/>
      <c r="I185" s="285"/>
      <c r="J185" s="285"/>
      <c r="K185" s="285"/>
      <c r="L185" s="285"/>
      <c r="M185" s="285"/>
      <c r="N185" s="285"/>
      <c r="O185" s="285"/>
      <c r="P185" s="285"/>
      <c r="Q185" s="285"/>
      <c r="R185" s="285"/>
      <c r="S185" s="285"/>
      <c r="T185" s="349">
        <v>1.86</v>
      </c>
      <c r="U185" s="288" t="s">
        <v>121</v>
      </c>
      <c r="V185" s="5"/>
    </row>
    <row r="186" spans="1:22" ht="15.6" x14ac:dyDescent="0.3">
      <c r="A186" s="284"/>
      <c r="B186" s="285" t="s">
        <v>69</v>
      </c>
      <c r="C186" s="285"/>
      <c r="D186" s="285"/>
      <c r="E186" s="285"/>
      <c r="F186" s="285"/>
      <c r="G186" s="285"/>
      <c r="H186" s="285"/>
      <c r="I186" s="285"/>
      <c r="J186" s="285"/>
      <c r="K186" s="285"/>
      <c r="L186" s="285"/>
      <c r="M186" s="285"/>
      <c r="N186" s="285"/>
      <c r="O186" s="285"/>
      <c r="P186" s="285"/>
      <c r="Q186" s="285"/>
      <c r="R186" s="285"/>
      <c r="S186" s="285"/>
      <c r="T186" s="348">
        <f>(T100+T102+T103+T104+T105+T106+T107)/-(T108+T109)</f>
        <v>10.458100558659218</v>
      </c>
      <c r="U186" s="288" t="s">
        <v>121</v>
      </c>
      <c r="V186" s="5"/>
    </row>
    <row r="187" spans="1:22" ht="15.6" x14ac:dyDescent="0.3">
      <c r="A187" s="284"/>
      <c r="B187" s="285" t="s">
        <v>70</v>
      </c>
      <c r="C187" s="285"/>
      <c r="D187" s="285"/>
      <c r="E187" s="285"/>
      <c r="F187" s="285"/>
      <c r="G187" s="285"/>
      <c r="H187" s="285"/>
      <c r="I187" s="285"/>
      <c r="J187" s="285"/>
      <c r="K187" s="285"/>
      <c r="L187" s="285"/>
      <c r="M187" s="285"/>
      <c r="N187" s="285"/>
      <c r="O187" s="285"/>
      <c r="P187" s="285"/>
      <c r="Q187" s="285"/>
      <c r="R187" s="285"/>
      <c r="S187" s="285"/>
      <c r="T187" s="349">
        <v>6.75</v>
      </c>
      <c r="U187" s="288" t="s">
        <v>121</v>
      </c>
      <c r="V187" s="5"/>
    </row>
    <row r="188" spans="1:22" ht="15.6" x14ac:dyDescent="0.3">
      <c r="A188" s="284"/>
      <c r="B188" s="285" t="s">
        <v>206</v>
      </c>
      <c r="C188" s="285"/>
      <c r="D188" s="285"/>
      <c r="E188" s="285"/>
      <c r="F188" s="285"/>
      <c r="G188" s="285"/>
      <c r="H188" s="285"/>
      <c r="I188" s="285"/>
      <c r="J188" s="285"/>
      <c r="K188" s="285"/>
      <c r="L188" s="285"/>
      <c r="M188" s="285"/>
      <c r="N188" s="285"/>
      <c r="O188" s="285"/>
      <c r="P188" s="285"/>
      <c r="Q188" s="285"/>
      <c r="R188" s="285"/>
      <c r="S188" s="285"/>
      <c r="T188" s="348">
        <f>(T100+T102+T103+T104+T105+T106+T107+T108+T109)/-(T110)</f>
        <v>7.8018433179723505</v>
      </c>
      <c r="U188" s="288" t="s">
        <v>121</v>
      </c>
      <c r="V188" s="5"/>
    </row>
    <row r="189" spans="1:22" ht="15.6" x14ac:dyDescent="0.3">
      <c r="A189" s="284"/>
      <c r="B189" s="285" t="s">
        <v>207</v>
      </c>
      <c r="C189" s="285"/>
      <c r="D189" s="285"/>
      <c r="E189" s="285"/>
      <c r="F189" s="285"/>
      <c r="G189" s="285"/>
      <c r="H189" s="285"/>
      <c r="I189" s="285"/>
      <c r="J189" s="285"/>
      <c r="K189" s="285"/>
      <c r="L189" s="285"/>
      <c r="M189" s="285"/>
      <c r="N189" s="285"/>
      <c r="O189" s="285"/>
      <c r="P189" s="285"/>
      <c r="Q189" s="285"/>
      <c r="R189" s="285"/>
      <c r="S189" s="285"/>
      <c r="T189" s="349">
        <v>6.04</v>
      </c>
      <c r="U189" s="288" t="s">
        <v>121</v>
      </c>
      <c r="V189" s="5"/>
    </row>
    <row r="190" spans="1:22" ht="15.6" x14ac:dyDescent="0.3">
      <c r="A190" s="284"/>
      <c r="B190" s="311"/>
      <c r="C190" s="311"/>
      <c r="D190" s="311"/>
      <c r="E190" s="311"/>
      <c r="F190" s="311"/>
      <c r="G190" s="311"/>
      <c r="H190" s="311"/>
      <c r="I190" s="311"/>
      <c r="J190" s="311"/>
      <c r="K190" s="311"/>
      <c r="L190" s="311"/>
      <c r="M190" s="311"/>
      <c r="N190" s="311"/>
      <c r="O190" s="311"/>
      <c r="P190" s="311"/>
      <c r="Q190" s="311"/>
      <c r="R190" s="311"/>
      <c r="S190" s="311"/>
      <c r="T190" s="311"/>
      <c r="U190" s="317"/>
      <c r="V190" s="5"/>
    </row>
    <row r="191" spans="1:22" ht="15.6" x14ac:dyDescent="0.3">
      <c r="A191" s="175"/>
      <c r="B191" s="334"/>
      <c r="C191" s="334"/>
      <c r="D191" s="334"/>
      <c r="E191" s="334"/>
      <c r="F191" s="334"/>
      <c r="G191" s="334"/>
      <c r="H191" s="334"/>
      <c r="I191" s="334"/>
      <c r="J191" s="334"/>
      <c r="K191" s="334"/>
      <c r="L191" s="334"/>
      <c r="M191" s="334"/>
      <c r="N191" s="334"/>
      <c r="O191" s="334"/>
      <c r="P191" s="334"/>
      <c r="Q191" s="334"/>
      <c r="R191" s="334"/>
      <c r="S191" s="334"/>
      <c r="T191" s="334"/>
      <c r="U191" s="334"/>
      <c r="V191" s="5"/>
    </row>
    <row r="192" spans="1:22" ht="15.6" x14ac:dyDescent="0.3">
      <c r="A192" s="175"/>
      <c r="B192" s="177"/>
      <c r="C192" s="177"/>
      <c r="D192" s="177"/>
      <c r="E192" s="177"/>
      <c r="F192" s="177"/>
      <c r="G192" s="177"/>
      <c r="H192" s="177"/>
      <c r="I192" s="177"/>
      <c r="J192" s="177"/>
      <c r="K192" s="177"/>
      <c r="L192" s="177"/>
      <c r="M192" s="177"/>
      <c r="N192" s="177"/>
      <c r="O192" s="177"/>
      <c r="P192" s="177"/>
      <c r="Q192" s="177"/>
      <c r="R192" s="177"/>
      <c r="S192" s="177"/>
      <c r="T192" s="177"/>
      <c r="U192" s="177"/>
      <c r="V192" s="5"/>
    </row>
    <row r="193" spans="1:22" ht="18" thickBot="1" x14ac:dyDescent="0.35">
      <c r="A193" s="192"/>
      <c r="B193" s="246" t="str">
        <f>B133</f>
        <v>PM11 INVESTOR REPORT QUARTER ENDING SEPTEMBER 2016</v>
      </c>
      <c r="C193" s="207"/>
      <c r="D193" s="207"/>
      <c r="E193" s="207"/>
      <c r="F193" s="207"/>
      <c r="G193" s="207"/>
      <c r="H193" s="207"/>
      <c r="I193" s="207"/>
      <c r="J193" s="207"/>
      <c r="K193" s="207"/>
      <c r="L193" s="207"/>
      <c r="M193" s="207"/>
      <c r="N193" s="207"/>
      <c r="O193" s="207"/>
      <c r="P193" s="207"/>
      <c r="Q193" s="207"/>
      <c r="R193" s="207"/>
      <c r="S193" s="207"/>
      <c r="T193" s="207"/>
      <c r="U193" s="208"/>
      <c r="V193" s="5"/>
    </row>
    <row r="194" spans="1:22" ht="15.6" x14ac:dyDescent="0.3">
      <c r="A194" s="260"/>
      <c r="B194" s="399" t="s">
        <v>71</v>
      </c>
      <c r="C194" s="400"/>
      <c r="D194" s="400"/>
      <c r="E194" s="400"/>
      <c r="F194" s="400"/>
      <c r="G194" s="401"/>
      <c r="H194" s="401"/>
      <c r="I194" s="401"/>
      <c r="J194" s="401"/>
      <c r="K194" s="401"/>
      <c r="L194" s="401"/>
      <c r="M194" s="401"/>
      <c r="N194" s="401"/>
      <c r="O194" s="401"/>
      <c r="P194" s="401"/>
      <c r="Q194" s="401"/>
      <c r="R194" s="401">
        <v>42643</v>
      </c>
      <c r="S194" s="261"/>
      <c r="T194" s="261"/>
      <c r="U194" s="261"/>
      <c r="V194" s="5"/>
    </row>
    <row r="195" spans="1:22" ht="15.6" x14ac:dyDescent="0.3">
      <c r="A195" s="209"/>
      <c r="B195" s="210"/>
      <c r="C195" s="211"/>
      <c r="D195" s="211"/>
      <c r="E195" s="211"/>
      <c r="F195" s="211"/>
      <c r="G195" s="212"/>
      <c r="H195" s="212"/>
      <c r="I195" s="212"/>
      <c r="J195" s="212"/>
      <c r="K195" s="212"/>
      <c r="L195" s="212"/>
      <c r="M195" s="212"/>
      <c r="N195" s="212"/>
      <c r="O195" s="212"/>
      <c r="P195" s="212"/>
      <c r="Q195" s="212"/>
      <c r="R195" s="212"/>
      <c r="S195" s="177"/>
      <c r="T195" s="177"/>
      <c r="U195" s="177"/>
      <c r="V195" s="5"/>
    </row>
    <row r="196" spans="1:22" ht="15.6" x14ac:dyDescent="0.3">
      <c r="A196" s="352"/>
      <c r="B196" s="285" t="s">
        <v>72</v>
      </c>
      <c r="C196" s="353"/>
      <c r="D196" s="353"/>
      <c r="E196" s="353"/>
      <c r="F196" s="353"/>
      <c r="G196" s="329"/>
      <c r="H196" s="329"/>
      <c r="I196" s="329"/>
      <c r="J196" s="329"/>
      <c r="K196" s="329"/>
      <c r="L196" s="329"/>
      <c r="M196" s="329"/>
      <c r="N196" s="329"/>
      <c r="O196" s="329"/>
      <c r="P196" s="329"/>
      <c r="Q196" s="329"/>
      <c r="R196" s="320">
        <v>5.1569999999999998E-2</v>
      </c>
      <c r="S196" s="285"/>
      <c r="T196" s="285"/>
      <c r="U196" s="317"/>
      <c r="V196" s="5"/>
    </row>
    <row r="197" spans="1:22" ht="15.6" x14ac:dyDescent="0.3">
      <c r="A197" s="352"/>
      <c r="B197" s="285" t="s">
        <v>157</v>
      </c>
      <c r="C197" s="353"/>
      <c r="D197" s="353"/>
      <c r="E197" s="353"/>
      <c r="F197" s="353"/>
      <c r="G197" s="329"/>
      <c r="H197" s="329"/>
      <c r="I197" s="329"/>
      <c r="J197" s="329"/>
      <c r="K197" s="329"/>
      <c r="L197" s="329"/>
      <c r="M197" s="329"/>
      <c r="N197" s="329"/>
      <c r="O197" s="329"/>
      <c r="P197" s="329"/>
      <c r="Q197" s="329"/>
      <c r="R197" s="320">
        <v>4.6899999999999997E-2</v>
      </c>
      <c r="S197" s="285"/>
      <c r="T197" s="285"/>
      <c r="U197" s="317"/>
      <c r="V197" s="5"/>
    </row>
    <row r="198" spans="1:22" ht="15.6" x14ac:dyDescent="0.3">
      <c r="A198" s="352"/>
      <c r="B198" s="285" t="s">
        <v>73</v>
      </c>
      <c r="C198" s="353"/>
      <c r="D198" s="353"/>
      <c r="E198" s="353"/>
      <c r="F198" s="353"/>
      <c r="G198" s="329"/>
      <c r="H198" s="329"/>
      <c r="I198" s="329"/>
      <c r="J198" s="329"/>
      <c r="K198" s="329"/>
      <c r="L198" s="329"/>
      <c r="M198" s="329"/>
      <c r="N198" s="329"/>
      <c r="O198" s="329"/>
      <c r="P198" s="329"/>
      <c r="Q198" s="329"/>
      <c r="R198" s="320">
        <f>R196-R197</f>
        <v>4.6700000000000005E-3</v>
      </c>
      <c r="S198" s="285"/>
      <c r="T198" s="285"/>
      <c r="U198" s="317"/>
      <c r="V198" s="5"/>
    </row>
    <row r="199" spans="1:22" ht="15.6" x14ac:dyDescent="0.3">
      <c r="A199" s="352"/>
      <c r="B199" s="285" t="s">
        <v>74</v>
      </c>
      <c r="C199" s="353"/>
      <c r="D199" s="353"/>
      <c r="E199" s="353"/>
      <c r="F199" s="353"/>
      <c r="G199" s="329"/>
      <c r="H199" s="329"/>
      <c r="I199" s="329"/>
      <c r="J199" s="329"/>
      <c r="K199" s="329"/>
      <c r="L199" s="329"/>
      <c r="M199" s="329"/>
      <c r="N199" s="329"/>
      <c r="O199" s="329"/>
      <c r="P199" s="329"/>
      <c r="Q199" s="329"/>
      <c r="R199" s="320">
        <v>2.2424800812572209E-2</v>
      </c>
      <c r="S199" s="285"/>
      <c r="T199" s="285"/>
      <c r="U199" s="317"/>
      <c r="V199" s="5"/>
    </row>
    <row r="200" spans="1:22" ht="15.6" x14ac:dyDescent="0.3">
      <c r="A200" s="352"/>
      <c r="B200" s="285" t="s">
        <v>257</v>
      </c>
      <c r="C200" s="353"/>
      <c r="D200" s="353"/>
      <c r="E200" s="353"/>
      <c r="F200" s="353"/>
      <c r="G200" s="329"/>
      <c r="H200" s="329"/>
      <c r="I200" s="329"/>
      <c r="J200" s="329"/>
      <c r="K200" s="329"/>
      <c r="L200" s="329"/>
      <c r="M200" s="329"/>
      <c r="N200" s="329"/>
      <c r="O200" s="329"/>
      <c r="P200" s="329"/>
      <c r="Q200" s="329"/>
      <c r="R200" s="320">
        <f>T43</f>
        <v>8.3924559879874749E-3</v>
      </c>
      <c r="S200" s="285"/>
      <c r="T200" s="285"/>
      <c r="U200" s="317"/>
      <c r="V200" s="5"/>
    </row>
    <row r="201" spans="1:22" ht="15.6" x14ac:dyDescent="0.3">
      <c r="A201" s="352"/>
      <c r="B201" s="285" t="s">
        <v>75</v>
      </c>
      <c r="C201" s="353"/>
      <c r="D201" s="353"/>
      <c r="E201" s="353"/>
      <c r="F201" s="353"/>
      <c r="G201" s="329"/>
      <c r="H201" s="329"/>
      <c r="I201" s="329"/>
      <c r="J201" s="329"/>
      <c r="K201" s="329"/>
      <c r="L201" s="329"/>
      <c r="M201" s="329"/>
      <c r="N201" s="329"/>
      <c r="O201" s="329"/>
      <c r="P201" s="329"/>
      <c r="Q201" s="329"/>
      <c r="R201" s="320">
        <f>R199-R200</f>
        <v>1.4032344824584734E-2</v>
      </c>
      <c r="S201" s="285"/>
      <c r="T201" s="285"/>
      <c r="U201" s="317"/>
      <c r="V201" s="5"/>
    </row>
    <row r="202" spans="1:22" ht="15.6" x14ac:dyDescent="0.3">
      <c r="A202" s="352"/>
      <c r="B202" s="285" t="s">
        <v>260</v>
      </c>
      <c r="C202" s="353"/>
      <c r="D202" s="353"/>
      <c r="E202" s="353"/>
      <c r="F202" s="353"/>
      <c r="G202" s="329"/>
      <c r="H202" s="329"/>
      <c r="I202" s="329"/>
      <c r="J202" s="329"/>
      <c r="K202" s="329"/>
      <c r="L202" s="329"/>
      <c r="M202" s="329"/>
      <c r="N202" s="329"/>
      <c r="O202" s="329"/>
      <c r="P202" s="329"/>
      <c r="Q202" s="329"/>
      <c r="R202" s="320">
        <f>+T100/L71</f>
        <v>5.9333883439296959E-3</v>
      </c>
      <c r="S202" s="285"/>
      <c r="T202" s="285"/>
      <c r="U202" s="317"/>
      <c r="V202" s="5"/>
    </row>
    <row r="203" spans="1:22" ht="15.6" x14ac:dyDescent="0.3">
      <c r="A203" s="352"/>
      <c r="B203" s="285" t="s">
        <v>217</v>
      </c>
      <c r="C203" s="353"/>
      <c r="D203" s="353"/>
      <c r="E203" s="353"/>
      <c r="F203" s="353"/>
      <c r="G203" s="329"/>
      <c r="H203" s="329"/>
      <c r="I203" s="329"/>
      <c r="J203" s="329"/>
      <c r="K203" s="329"/>
      <c r="L203" s="329"/>
      <c r="M203" s="329"/>
      <c r="N203" s="329"/>
      <c r="O203" s="329"/>
      <c r="P203" s="329"/>
      <c r="Q203" s="329"/>
      <c r="R203" s="354">
        <v>15250</v>
      </c>
      <c r="S203" s="285"/>
      <c r="T203" s="285"/>
      <c r="U203" s="317"/>
      <c r="V203" s="5"/>
    </row>
    <row r="204" spans="1:22" ht="15.6" x14ac:dyDescent="0.3">
      <c r="A204" s="352"/>
      <c r="B204" s="285" t="s">
        <v>218</v>
      </c>
      <c r="C204" s="353"/>
      <c r="D204" s="353"/>
      <c r="E204" s="353"/>
      <c r="F204" s="353"/>
      <c r="G204" s="329"/>
      <c r="H204" s="329"/>
      <c r="I204" s="329"/>
      <c r="J204" s="329"/>
      <c r="K204" s="329"/>
      <c r="L204" s="329"/>
      <c r="M204" s="329"/>
      <c r="N204" s="329"/>
      <c r="O204" s="329"/>
      <c r="P204" s="329"/>
      <c r="Q204" s="329"/>
      <c r="R204" s="354">
        <v>15250</v>
      </c>
      <c r="S204" s="285"/>
      <c r="T204" s="285"/>
      <c r="U204" s="317"/>
      <c r="V204" s="5"/>
    </row>
    <row r="205" spans="1:22" ht="15.6" x14ac:dyDescent="0.3">
      <c r="A205" s="352"/>
      <c r="B205" s="285" t="s">
        <v>219</v>
      </c>
      <c r="C205" s="353"/>
      <c r="D205" s="353"/>
      <c r="E205" s="353"/>
      <c r="F205" s="353"/>
      <c r="G205" s="329"/>
      <c r="H205" s="329"/>
      <c r="I205" s="329"/>
      <c r="J205" s="329"/>
      <c r="K205" s="329"/>
      <c r="L205" s="329"/>
      <c r="M205" s="329"/>
      <c r="N205" s="329"/>
      <c r="O205" s="329"/>
      <c r="P205" s="329"/>
      <c r="Q205" s="329"/>
      <c r="R205" s="354">
        <v>15250</v>
      </c>
      <c r="S205" s="285"/>
      <c r="T205" s="285"/>
      <c r="U205" s="317"/>
      <c r="V205" s="5"/>
    </row>
    <row r="206" spans="1:22" ht="15.6" x14ac:dyDescent="0.3">
      <c r="A206" s="352"/>
      <c r="B206" s="285" t="s">
        <v>76</v>
      </c>
      <c r="C206" s="353"/>
      <c r="D206" s="353"/>
      <c r="E206" s="353"/>
      <c r="F206" s="353"/>
      <c r="G206" s="329"/>
      <c r="H206" s="329"/>
      <c r="I206" s="329"/>
      <c r="J206" s="329"/>
      <c r="K206" s="329"/>
      <c r="L206" s="329"/>
      <c r="M206" s="329"/>
      <c r="N206" s="329"/>
      <c r="O206" s="329"/>
      <c r="P206" s="329"/>
      <c r="Q206" s="329"/>
      <c r="R206" s="326">
        <v>21.18</v>
      </c>
      <c r="S206" s="285" t="s">
        <v>116</v>
      </c>
      <c r="T206" s="285"/>
      <c r="U206" s="317"/>
      <c r="V206" s="5"/>
    </row>
    <row r="207" spans="1:22" ht="15.6" x14ac:dyDescent="0.3">
      <c r="A207" s="352"/>
      <c r="B207" s="285" t="s">
        <v>77</v>
      </c>
      <c r="C207" s="353"/>
      <c r="D207" s="353"/>
      <c r="E207" s="353"/>
      <c r="F207" s="353"/>
      <c r="G207" s="329"/>
      <c r="H207" s="329"/>
      <c r="I207" s="329"/>
      <c r="J207" s="329"/>
      <c r="K207" s="329"/>
      <c r="L207" s="329"/>
      <c r="M207" s="329"/>
      <c r="N207" s="329"/>
      <c r="O207" s="329"/>
      <c r="P207" s="329"/>
      <c r="Q207" s="329"/>
      <c r="R207" s="326">
        <v>11.26</v>
      </c>
      <c r="S207" s="285" t="s">
        <v>116</v>
      </c>
      <c r="T207" s="285"/>
      <c r="U207" s="317"/>
      <c r="V207" s="5"/>
    </row>
    <row r="208" spans="1:22" ht="15.6" x14ac:dyDescent="0.3">
      <c r="A208" s="352"/>
      <c r="B208" s="285" t="s">
        <v>78</v>
      </c>
      <c r="C208" s="353"/>
      <c r="D208" s="353"/>
      <c r="E208" s="353"/>
      <c r="F208" s="353"/>
      <c r="G208" s="329"/>
      <c r="H208" s="329"/>
      <c r="I208" s="329"/>
      <c r="J208" s="329"/>
      <c r="K208" s="329"/>
      <c r="L208" s="329"/>
      <c r="M208" s="329"/>
      <c r="N208" s="329"/>
      <c r="O208" s="329"/>
      <c r="P208" s="329"/>
      <c r="Q208" s="329"/>
      <c r="R208" s="320">
        <f>N68/L68</f>
        <v>1.5316070347493176E-2</v>
      </c>
      <c r="S208" s="285"/>
      <c r="T208" s="285"/>
      <c r="U208" s="317"/>
      <c r="V208" s="5"/>
    </row>
    <row r="209" spans="1:22" ht="15.6" x14ac:dyDescent="0.3">
      <c r="A209" s="352"/>
      <c r="B209" s="285" t="s">
        <v>79</v>
      </c>
      <c r="C209" s="353"/>
      <c r="D209" s="353"/>
      <c r="E209" s="353"/>
      <c r="F209" s="353"/>
      <c r="G209" s="329"/>
      <c r="H209" s="329"/>
      <c r="I209" s="329"/>
      <c r="J209" s="329"/>
      <c r="K209" s="329"/>
      <c r="L209" s="329"/>
      <c r="M209" s="329"/>
      <c r="N209" s="329"/>
      <c r="O209" s="329"/>
      <c r="P209" s="329"/>
      <c r="Q209" s="329"/>
      <c r="R209" s="320">
        <v>7.6300000000000007E-2</v>
      </c>
      <c r="S209" s="285"/>
      <c r="T209" s="285"/>
      <c r="U209" s="317"/>
      <c r="V209" s="5"/>
    </row>
    <row r="210" spans="1:22" ht="15.6" x14ac:dyDescent="0.3">
      <c r="A210" s="209"/>
      <c r="B210" s="350"/>
      <c r="C210" s="350"/>
      <c r="D210" s="350"/>
      <c r="E210" s="350"/>
      <c r="F210" s="350"/>
      <c r="G210" s="334"/>
      <c r="H210" s="334"/>
      <c r="I210" s="334"/>
      <c r="J210" s="334"/>
      <c r="K210" s="334"/>
      <c r="L210" s="334"/>
      <c r="M210" s="334"/>
      <c r="N210" s="334"/>
      <c r="O210" s="334"/>
      <c r="P210" s="334"/>
      <c r="Q210" s="334"/>
      <c r="R210" s="347"/>
      <c r="S210" s="334"/>
      <c r="T210" s="351"/>
      <c r="U210" s="334"/>
      <c r="V210" s="5"/>
    </row>
    <row r="211" spans="1:22" ht="15.6" x14ac:dyDescent="0.3">
      <c r="A211" s="266"/>
      <c r="B211" s="395" t="s">
        <v>80</v>
      </c>
      <c r="C211" s="396"/>
      <c r="D211" s="396"/>
      <c r="E211" s="396"/>
      <c r="F211" s="402"/>
      <c r="G211" s="396"/>
      <c r="H211" s="396"/>
      <c r="I211" s="396"/>
      <c r="J211" s="396"/>
      <c r="K211" s="396"/>
      <c r="L211" s="396"/>
      <c r="M211" s="396"/>
      <c r="N211" s="396"/>
      <c r="O211" s="396"/>
      <c r="P211" s="396"/>
      <c r="Q211" s="396" t="s">
        <v>105</v>
      </c>
      <c r="R211" s="402" t="s">
        <v>112</v>
      </c>
      <c r="S211" s="223"/>
      <c r="T211" s="223"/>
      <c r="U211" s="223"/>
      <c r="V211" s="5"/>
    </row>
    <row r="212" spans="1:22" ht="15.6" x14ac:dyDescent="0.3">
      <c r="A212" s="214"/>
      <c r="B212" s="239" t="s">
        <v>81</v>
      </c>
      <c r="C212" s="243"/>
      <c r="D212" s="243"/>
      <c r="E212" s="243"/>
      <c r="F212" s="239"/>
      <c r="G212" s="239"/>
      <c r="H212" s="242"/>
      <c r="I212" s="242"/>
      <c r="J212" s="242"/>
      <c r="K212" s="242"/>
      <c r="L212" s="242"/>
      <c r="M212" s="242"/>
      <c r="N212" s="242"/>
      <c r="O212" s="242"/>
      <c r="P212" s="242"/>
      <c r="Q212" s="242">
        <v>0</v>
      </c>
      <c r="R212" s="272">
        <v>0</v>
      </c>
      <c r="S212" s="239"/>
      <c r="T212" s="273"/>
      <c r="U212" s="215"/>
      <c r="V212" s="5"/>
    </row>
    <row r="213" spans="1:22" ht="15.6" x14ac:dyDescent="0.3">
      <c r="A213" s="360"/>
      <c r="B213" s="285" t="s">
        <v>151</v>
      </c>
      <c r="C213" s="338"/>
      <c r="D213" s="338"/>
      <c r="E213" s="338"/>
      <c r="F213" s="285"/>
      <c r="G213" s="285"/>
      <c r="H213" s="293"/>
      <c r="I213" s="293"/>
      <c r="J213" s="293"/>
      <c r="K213" s="293"/>
      <c r="L213" s="293"/>
      <c r="M213" s="293"/>
      <c r="N213" s="293"/>
      <c r="O213" s="293"/>
      <c r="P213" s="293"/>
      <c r="Q213" s="361">
        <f>+P265</f>
        <v>54</v>
      </c>
      <c r="R213" s="362">
        <f>+R265</f>
        <v>8403</v>
      </c>
      <c r="S213" s="285"/>
      <c r="T213" s="363"/>
      <c r="U213" s="364"/>
      <c r="V213" s="5"/>
    </row>
    <row r="214" spans="1:22" ht="15.6" x14ac:dyDescent="0.3">
      <c r="A214" s="360"/>
      <c r="B214" s="285" t="s">
        <v>82</v>
      </c>
      <c r="C214" s="338"/>
      <c r="D214" s="338"/>
      <c r="E214" s="338"/>
      <c r="F214" s="285"/>
      <c r="G214" s="285"/>
      <c r="H214" s="293"/>
      <c r="I214" s="293"/>
      <c r="J214" s="293"/>
      <c r="K214" s="293"/>
      <c r="L214" s="293"/>
      <c r="M214" s="293"/>
      <c r="N214" s="293"/>
      <c r="O214" s="293"/>
      <c r="P214" s="293"/>
      <c r="Q214" s="361">
        <f>+P277</f>
        <v>0</v>
      </c>
      <c r="R214" s="362">
        <f>+R277</f>
        <v>0</v>
      </c>
      <c r="S214" s="285"/>
      <c r="T214" s="363"/>
      <c r="U214" s="364"/>
      <c r="V214" s="5"/>
    </row>
    <row r="215" spans="1:22" ht="15.6" x14ac:dyDescent="0.3">
      <c r="A215" s="360"/>
      <c r="B215" s="310" t="s">
        <v>83</v>
      </c>
      <c r="C215" s="365"/>
      <c r="D215" s="365"/>
      <c r="E215" s="365"/>
      <c r="F215" s="311"/>
      <c r="G215" s="311"/>
      <c r="H215" s="311"/>
      <c r="I215" s="311"/>
      <c r="J215" s="311"/>
      <c r="K215" s="311"/>
      <c r="L215" s="311"/>
      <c r="M215" s="311"/>
      <c r="N215" s="311"/>
      <c r="O215" s="311"/>
      <c r="P215" s="311"/>
      <c r="Q215" s="285"/>
      <c r="R215" s="362">
        <v>0</v>
      </c>
      <c r="S215" s="311"/>
      <c r="T215" s="366"/>
      <c r="U215" s="364"/>
      <c r="V215" s="5"/>
    </row>
    <row r="216" spans="1:22" ht="15.6" x14ac:dyDescent="0.3">
      <c r="A216" s="360"/>
      <c r="B216" s="310" t="s">
        <v>84</v>
      </c>
      <c r="C216" s="365"/>
      <c r="D216" s="365"/>
      <c r="E216" s="365"/>
      <c r="F216" s="311"/>
      <c r="G216" s="311"/>
      <c r="H216" s="311"/>
      <c r="I216" s="311"/>
      <c r="J216" s="311"/>
      <c r="K216" s="311"/>
      <c r="L216" s="311"/>
      <c r="M216" s="311"/>
      <c r="N216" s="311"/>
      <c r="O216" s="311"/>
      <c r="P216" s="311"/>
      <c r="Q216" s="285"/>
      <c r="R216" s="367" t="s">
        <v>113</v>
      </c>
      <c r="S216" s="311"/>
      <c r="T216" s="366"/>
      <c r="U216" s="364"/>
      <c r="V216" s="5"/>
    </row>
    <row r="217" spans="1:22" ht="15.6" x14ac:dyDescent="0.3">
      <c r="A217" s="368"/>
      <c r="B217" s="310" t="s">
        <v>85</v>
      </c>
      <c r="C217" s="369"/>
      <c r="D217" s="369"/>
      <c r="E217" s="369"/>
      <c r="F217" s="369"/>
      <c r="G217" s="311"/>
      <c r="H217" s="311"/>
      <c r="I217" s="311"/>
      <c r="J217" s="311"/>
      <c r="K217" s="311"/>
      <c r="L217" s="311"/>
      <c r="M217" s="311"/>
      <c r="N217" s="311"/>
      <c r="O217" s="311"/>
      <c r="P217" s="311"/>
      <c r="Q217" s="285"/>
      <c r="R217" s="362"/>
      <c r="S217" s="311"/>
      <c r="T217" s="366"/>
      <c r="U217" s="370"/>
      <c r="V217" s="5"/>
    </row>
    <row r="218" spans="1:22" ht="15.6" x14ac:dyDescent="0.3">
      <c r="A218" s="368"/>
      <c r="B218" s="285" t="s">
        <v>86</v>
      </c>
      <c r="C218" s="285"/>
      <c r="D218" s="285"/>
      <c r="E218" s="285"/>
      <c r="F218" s="285"/>
      <c r="G218" s="285"/>
      <c r="H218" s="285"/>
      <c r="I218" s="285"/>
      <c r="J218" s="285"/>
      <c r="K218" s="285"/>
      <c r="L218" s="285"/>
      <c r="M218" s="285"/>
      <c r="N218" s="285"/>
      <c r="O218" s="285"/>
      <c r="P218" s="285"/>
      <c r="Q218" s="293"/>
      <c r="R218" s="362">
        <f>T162</f>
        <v>242</v>
      </c>
      <c r="S218" s="285"/>
      <c r="T218" s="363"/>
      <c r="U218" s="370"/>
      <c r="V218" s="5"/>
    </row>
    <row r="219" spans="1:22" ht="15.6" x14ac:dyDescent="0.3">
      <c r="A219" s="360"/>
      <c r="B219" s="285" t="s">
        <v>87</v>
      </c>
      <c r="C219" s="338"/>
      <c r="D219" s="338"/>
      <c r="E219" s="338"/>
      <c r="F219" s="338"/>
      <c r="G219" s="285"/>
      <c r="H219" s="285"/>
      <c r="I219" s="285"/>
      <c r="J219" s="285"/>
      <c r="K219" s="285"/>
      <c r="L219" s="285"/>
      <c r="M219" s="285"/>
      <c r="N219" s="285"/>
      <c r="O219" s="285"/>
      <c r="P219" s="285"/>
      <c r="Q219" s="293"/>
      <c r="R219" s="362">
        <f>'June 16'!R219+R218</f>
        <v>6052</v>
      </c>
      <c r="S219" s="285"/>
      <c r="T219" s="363"/>
      <c r="U219" s="370"/>
      <c r="V219" s="5"/>
    </row>
    <row r="220" spans="1:22" ht="15.6" x14ac:dyDescent="0.3">
      <c r="A220" s="368"/>
      <c r="B220" s="310" t="s">
        <v>282</v>
      </c>
      <c r="C220" s="369"/>
      <c r="D220" s="369"/>
      <c r="E220" s="369"/>
      <c r="F220" s="369"/>
      <c r="G220" s="311"/>
      <c r="H220" s="311"/>
      <c r="I220" s="311"/>
      <c r="J220" s="311"/>
      <c r="K220" s="311"/>
      <c r="L220" s="311"/>
      <c r="M220" s="311"/>
      <c r="N220" s="311"/>
      <c r="O220" s="311"/>
      <c r="P220" s="311"/>
      <c r="Q220" s="293"/>
      <c r="R220" s="362"/>
      <c r="S220" s="311"/>
      <c r="T220" s="366"/>
      <c r="U220" s="370"/>
      <c r="V220" s="5"/>
    </row>
    <row r="221" spans="1:22" ht="15.6" x14ac:dyDescent="0.3">
      <c r="A221" s="368"/>
      <c r="B221" s="285" t="s">
        <v>280</v>
      </c>
      <c r="C221" s="369"/>
      <c r="D221" s="369"/>
      <c r="E221" s="369"/>
      <c r="F221" s="369"/>
      <c r="G221" s="311"/>
      <c r="H221" s="311"/>
      <c r="I221" s="311"/>
      <c r="J221" s="311"/>
      <c r="K221" s="311"/>
      <c r="L221" s="311"/>
      <c r="M221" s="311"/>
      <c r="N221" s="311"/>
      <c r="O221" s="311"/>
      <c r="P221" s="311"/>
      <c r="Q221" s="293">
        <v>0</v>
      </c>
      <c r="R221" s="362">
        <v>0</v>
      </c>
      <c r="S221" s="311"/>
      <c r="T221" s="366"/>
      <c r="U221" s="370"/>
      <c r="V221" s="5"/>
    </row>
    <row r="222" spans="1:22" ht="15.6" x14ac:dyDescent="0.3">
      <c r="A222" s="360"/>
      <c r="B222" s="285" t="s">
        <v>89</v>
      </c>
      <c r="C222" s="373"/>
      <c r="D222" s="373"/>
      <c r="E222" s="373"/>
      <c r="F222" s="374"/>
      <c r="G222" s="311"/>
      <c r="H222" s="311"/>
      <c r="I222" s="311"/>
      <c r="J222" s="311"/>
      <c r="K222" s="311"/>
      <c r="L222" s="311"/>
      <c r="M222" s="311"/>
      <c r="N222" s="311"/>
      <c r="O222" s="311"/>
      <c r="P222" s="311"/>
      <c r="Q222" s="285"/>
      <c r="R222" s="367">
        <v>0</v>
      </c>
      <c r="S222" s="311"/>
      <c r="T222" s="366"/>
      <c r="U222" s="370"/>
      <c r="V222" s="5"/>
    </row>
    <row r="223" spans="1:22" ht="15.6" x14ac:dyDescent="0.3">
      <c r="A223" s="360"/>
      <c r="B223" s="285" t="s">
        <v>90</v>
      </c>
      <c r="C223" s="373"/>
      <c r="D223" s="373"/>
      <c r="E223" s="373"/>
      <c r="F223" s="374"/>
      <c r="G223" s="311"/>
      <c r="H223" s="311"/>
      <c r="I223" s="311"/>
      <c r="J223" s="311"/>
      <c r="K223" s="311"/>
      <c r="L223" s="311"/>
      <c r="M223" s="311"/>
      <c r="N223" s="311"/>
      <c r="O223" s="311"/>
      <c r="P223" s="311"/>
      <c r="Q223" s="285"/>
      <c r="R223" s="367">
        <v>0</v>
      </c>
      <c r="S223" s="311"/>
      <c r="T223" s="366"/>
      <c r="U223" s="370"/>
      <c r="V223" s="5"/>
    </row>
    <row r="224" spans="1:22" ht="15.6" x14ac:dyDescent="0.3">
      <c r="A224" s="360"/>
      <c r="B224" s="310" t="s">
        <v>226</v>
      </c>
      <c r="C224" s="373"/>
      <c r="D224" s="373"/>
      <c r="E224" s="373"/>
      <c r="F224" s="374"/>
      <c r="G224" s="311"/>
      <c r="H224" s="311"/>
      <c r="I224" s="311"/>
      <c r="J224" s="311"/>
      <c r="K224" s="311"/>
      <c r="L224" s="311"/>
      <c r="M224" s="311"/>
      <c r="N224" s="311"/>
      <c r="O224" s="311"/>
      <c r="P224" s="311"/>
      <c r="Q224" s="293"/>
      <c r="R224" s="375"/>
      <c r="S224" s="311"/>
      <c r="T224" s="366"/>
      <c r="U224" s="370"/>
      <c r="V224" s="5"/>
    </row>
    <row r="225" spans="1:23" ht="15.6" x14ac:dyDescent="0.3">
      <c r="A225" s="360"/>
      <c r="B225" s="285" t="s">
        <v>280</v>
      </c>
      <c r="C225" s="373"/>
      <c r="D225" s="373"/>
      <c r="E225" s="373"/>
      <c r="F225" s="374"/>
      <c r="G225" s="311"/>
      <c r="H225" s="311"/>
      <c r="I225" s="311"/>
      <c r="J225" s="311"/>
      <c r="K225" s="311"/>
      <c r="L225" s="311"/>
      <c r="M225" s="311"/>
      <c r="N225" s="311"/>
      <c r="O225" s="311"/>
      <c r="P225" s="311"/>
      <c r="Q225" s="293">
        <v>6</v>
      </c>
      <c r="R225" s="362">
        <v>829</v>
      </c>
      <c r="S225" s="311"/>
      <c r="T225" s="366"/>
      <c r="U225" s="370"/>
      <c r="V225" s="5"/>
    </row>
    <row r="226" spans="1:23" ht="15.6" x14ac:dyDescent="0.3">
      <c r="A226" s="360"/>
      <c r="B226" s="285" t="s">
        <v>227</v>
      </c>
      <c r="C226" s="373"/>
      <c r="D226" s="373"/>
      <c r="E226" s="373"/>
      <c r="F226" s="374"/>
      <c r="G226" s="311"/>
      <c r="H226" s="311"/>
      <c r="I226" s="311"/>
      <c r="J226" s="311"/>
      <c r="K226" s="311"/>
      <c r="L226" s="311"/>
      <c r="M226" s="311"/>
      <c r="N226" s="311"/>
      <c r="O226" s="311"/>
      <c r="P226" s="311"/>
      <c r="Q226" s="293"/>
      <c r="R226" s="367">
        <v>7.56</v>
      </c>
      <c r="S226" s="311"/>
      <c r="T226" s="366"/>
      <c r="U226" s="370"/>
      <c r="V226" s="5"/>
    </row>
    <row r="227" spans="1:23" ht="15.6" x14ac:dyDescent="0.3">
      <c r="A227" s="360"/>
      <c r="B227" s="369"/>
      <c r="C227" s="373"/>
      <c r="D227" s="373"/>
      <c r="E227" s="373"/>
      <c r="F227" s="374"/>
      <c r="G227" s="311"/>
      <c r="H227" s="311"/>
      <c r="I227" s="311"/>
      <c r="J227" s="311"/>
      <c r="K227" s="311"/>
      <c r="L227" s="311"/>
      <c r="M227" s="311"/>
      <c r="N227" s="311"/>
      <c r="O227" s="311"/>
      <c r="P227" s="311"/>
      <c r="Q227" s="311"/>
      <c r="R227" s="376"/>
      <c r="S227" s="311"/>
      <c r="T227" s="366"/>
      <c r="U227" s="370"/>
      <c r="V227" s="5"/>
    </row>
    <row r="228" spans="1:23" ht="15.6" x14ac:dyDescent="0.3">
      <c r="A228" s="360"/>
      <c r="B228" s="369"/>
      <c r="C228" s="373"/>
      <c r="D228" s="373"/>
      <c r="E228" s="373"/>
      <c r="F228" s="374"/>
      <c r="G228" s="311"/>
      <c r="H228" s="311"/>
      <c r="I228" s="311"/>
      <c r="J228" s="311"/>
      <c r="K228" s="311"/>
      <c r="L228" s="311"/>
      <c r="M228" s="311"/>
      <c r="N228" s="311"/>
      <c r="O228" s="311"/>
      <c r="P228" s="311"/>
      <c r="Q228" s="311"/>
      <c r="R228" s="376"/>
      <c r="S228" s="311"/>
      <c r="T228" s="366"/>
      <c r="U228" s="370"/>
      <c r="V228" s="5"/>
    </row>
    <row r="229" spans="1:23" ht="17.399999999999999" x14ac:dyDescent="0.3">
      <c r="A229" s="360"/>
      <c r="B229" s="377" t="s">
        <v>175</v>
      </c>
      <c r="C229" s="373"/>
      <c r="D229" s="373"/>
      <c r="E229" s="373"/>
      <c r="F229" s="374"/>
      <c r="G229" s="311"/>
      <c r="H229" s="311"/>
      <c r="I229" s="311"/>
      <c r="J229" s="311"/>
      <c r="K229" s="311"/>
      <c r="L229" s="311"/>
      <c r="M229" s="311"/>
      <c r="N229" s="378" t="s">
        <v>174</v>
      </c>
      <c r="O229" s="311"/>
      <c r="P229" s="311"/>
      <c r="Q229" s="311"/>
      <c r="R229" s="376"/>
      <c r="S229" s="311"/>
      <c r="T229" s="366"/>
      <c r="U229" s="370"/>
      <c r="V229" s="5"/>
    </row>
    <row r="230" spans="1:23" ht="15.6" x14ac:dyDescent="0.3">
      <c r="A230" s="355"/>
      <c r="B230" s="350"/>
      <c r="C230" s="356"/>
      <c r="D230" s="356"/>
      <c r="E230" s="356"/>
      <c r="F230" s="357"/>
      <c r="G230" s="334"/>
      <c r="H230" s="334"/>
      <c r="I230" s="334"/>
      <c r="J230" s="334"/>
      <c r="K230" s="334"/>
      <c r="L230" s="334"/>
      <c r="M230" s="334"/>
      <c r="N230" s="334"/>
      <c r="O230" s="334"/>
      <c r="P230" s="334"/>
      <c r="Q230" s="334"/>
      <c r="R230" s="358"/>
      <c r="S230" s="334"/>
      <c r="T230" s="351"/>
      <c r="U230" s="359"/>
      <c r="V230" s="5"/>
    </row>
    <row r="231" spans="1:23" ht="15.6" x14ac:dyDescent="0.3">
      <c r="A231" s="222"/>
      <c r="B231" s="395" t="s">
        <v>295</v>
      </c>
      <c r="C231" s="396"/>
      <c r="D231" s="396"/>
      <c r="E231" s="396"/>
      <c r="F231" s="402"/>
      <c r="G231" s="396"/>
      <c r="H231" s="396"/>
      <c r="I231" s="396"/>
      <c r="J231" s="396"/>
      <c r="K231" s="396"/>
      <c r="L231" s="396"/>
      <c r="M231" s="396"/>
      <c r="N231" s="396"/>
      <c r="O231" s="396"/>
      <c r="P231" s="402" t="s">
        <v>105</v>
      </c>
      <c r="Q231" s="396" t="s">
        <v>106</v>
      </c>
      <c r="R231" s="402" t="s">
        <v>114</v>
      </c>
      <c r="S231" s="396" t="s">
        <v>106</v>
      </c>
      <c r="T231" s="223"/>
      <c r="U231" s="395"/>
      <c r="V231" s="5"/>
    </row>
    <row r="232" spans="1:23" ht="15.6" x14ac:dyDescent="0.3">
      <c r="A232" s="190"/>
      <c r="B232" s="243" t="s">
        <v>91</v>
      </c>
      <c r="C232" s="217"/>
      <c r="D232" s="217"/>
      <c r="E232" s="217"/>
      <c r="F232" s="191"/>
      <c r="G232" s="217"/>
      <c r="H232" s="217"/>
      <c r="I232" s="217"/>
      <c r="J232" s="217"/>
      <c r="K232" s="217"/>
      <c r="L232" s="217"/>
      <c r="M232" s="217"/>
      <c r="N232" s="217"/>
      <c r="O232" s="217"/>
      <c r="P232" s="338">
        <f t="shared" ref="P232:P239" si="1">+P244+P256+P268</f>
        <v>3530</v>
      </c>
      <c r="Q232" s="384">
        <f t="shared" ref="Q232:Q239" si="2">P232/$P$241</f>
        <v>0.99604966139954854</v>
      </c>
      <c r="R232" s="339">
        <f t="shared" ref="R232:R239" si="3">+R244+R256+R268</f>
        <v>455323</v>
      </c>
      <c r="S232" s="384">
        <f t="shared" ref="S232:S239" si="4">R232/$R$241</f>
        <v>0.99593596409299601</v>
      </c>
      <c r="T232" s="213"/>
      <c r="U232" s="216"/>
      <c r="V232" s="5"/>
    </row>
    <row r="233" spans="1:23" ht="15.6" x14ac:dyDescent="0.3">
      <c r="A233" s="284"/>
      <c r="B233" s="338" t="s">
        <v>92</v>
      </c>
      <c r="C233" s="382"/>
      <c r="D233" s="382"/>
      <c r="E233" s="382"/>
      <c r="F233" s="311"/>
      <c r="G233" s="383"/>
      <c r="H233" s="382"/>
      <c r="I233" s="382"/>
      <c r="J233" s="382"/>
      <c r="K233" s="382"/>
      <c r="L233" s="382"/>
      <c r="M233" s="382"/>
      <c r="N233" s="382"/>
      <c r="O233" s="382"/>
      <c r="P233" s="338">
        <f t="shared" si="1"/>
        <v>7</v>
      </c>
      <c r="Q233" s="384">
        <f t="shared" si="2"/>
        <v>1.9751693002257337E-3</v>
      </c>
      <c r="R233" s="339">
        <f t="shared" si="3"/>
        <v>715</v>
      </c>
      <c r="S233" s="384">
        <f t="shared" si="4"/>
        <v>1.5639320094229638E-3</v>
      </c>
      <c r="T233" s="366"/>
      <c r="U233" s="370"/>
      <c r="V233" s="5"/>
      <c r="W233" s="109"/>
    </row>
    <row r="234" spans="1:23" ht="15.6" x14ac:dyDescent="0.3">
      <c r="A234" s="284"/>
      <c r="B234" s="338" t="s">
        <v>93</v>
      </c>
      <c r="C234" s="382"/>
      <c r="D234" s="382"/>
      <c r="E234" s="382"/>
      <c r="F234" s="311"/>
      <c r="G234" s="383"/>
      <c r="H234" s="382"/>
      <c r="I234" s="382"/>
      <c r="J234" s="382"/>
      <c r="K234" s="382"/>
      <c r="L234" s="382"/>
      <c r="M234" s="382"/>
      <c r="N234" s="382"/>
      <c r="O234" s="382"/>
      <c r="P234" s="338">
        <f t="shared" si="1"/>
        <v>3</v>
      </c>
      <c r="Q234" s="384">
        <f t="shared" si="2"/>
        <v>8.4650112866817154E-4</v>
      </c>
      <c r="R234" s="339">
        <f t="shared" si="3"/>
        <v>682</v>
      </c>
      <c r="S234" s="384">
        <f t="shared" si="4"/>
        <v>1.4917505320649809E-3</v>
      </c>
      <c r="T234" s="366"/>
      <c r="U234" s="370"/>
      <c r="V234" s="5"/>
    </row>
    <row r="235" spans="1:23" ht="15.6" x14ac:dyDescent="0.3">
      <c r="A235" s="284"/>
      <c r="B235" s="338" t="s">
        <v>163</v>
      </c>
      <c r="C235" s="382"/>
      <c r="D235" s="382"/>
      <c r="E235" s="382"/>
      <c r="F235" s="311"/>
      <c r="G235" s="383"/>
      <c r="H235" s="382"/>
      <c r="I235" s="382"/>
      <c r="J235" s="382"/>
      <c r="K235" s="382"/>
      <c r="L235" s="382"/>
      <c r="M235" s="382"/>
      <c r="N235" s="382"/>
      <c r="O235" s="382"/>
      <c r="P235" s="338">
        <f t="shared" si="1"/>
        <v>1</v>
      </c>
      <c r="Q235" s="384">
        <f t="shared" si="2"/>
        <v>2.821670428893905E-4</v>
      </c>
      <c r="R235" s="339">
        <f t="shared" si="3"/>
        <v>52</v>
      </c>
      <c r="S235" s="384">
        <f t="shared" si="4"/>
        <v>1.1374050977621555E-4</v>
      </c>
      <c r="T235" s="366"/>
      <c r="U235" s="370"/>
      <c r="V235" s="5"/>
      <c r="W235" s="109"/>
    </row>
    <row r="236" spans="1:23" ht="15.6" x14ac:dyDescent="0.3">
      <c r="A236" s="284"/>
      <c r="B236" s="338" t="s">
        <v>164</v>
      </c>
      <c r="C236" s="382"/>
      <c r="D236" s="382"/>
      <c r="E236" s="382"/>
      <c r="F236" s="311"/>
      <c r="G236" s="383"/>
      <c r="H236" s="382"/>
      <c r="I236" s="382"/>
      <c r="J236" s="382"/>
      <c r="K236" s="382"/>
      <c r="L236" s="382"/>
      <c r="M236" s="382"/>
      <c r="N236" s="382"/>
      <c r="O236" s="382"/>
      <c r="P236" s="338">
        <f t="shared" si="1"/>
        <v>1</v>
      </c>
      <c r="Q236" s="384">
        <f t="shared" si="2"/>
        <v>2.821670428893905E-4</v>
      </c>
      <c r="R236" s="339">
        <f t="shared" si="3"/>
        <v>122</v>
      </c>
      <c r="S236" s="384">
        <f t="shared" si="4"/>
        <v>2.6685273447496727E-4</v>
      </c>
      <c r="T236" s="366"/>
      <c r="U236" s="370"/>
      <c r="V236" s="5"/>
    </row>
    <row r="237" spans="1:23" ht="15.6" x14ac:dyDescent="0.3">
      <c r="A237" s="284"/>
      <c r="B237" s="338" t="s">
        <v>165</v>
      </c>
      <c r="C237" s="382"/>
      <c r="D237" s="382"/>
      <c r="E237" s="382"/>
      <c r="F237" s="311"/>
      <c r="G237" s="383"/>
      <c r="H237" s="382"/>
      <c r="I237" s="382"/>
      <c r="J237" s="382"/>
      <c r="K237" s="382"/>
      <c r="L237" s="382"/>
      <c r="M237" s="382"/>
      <c r="N237" s="382"/>
      <c r="O237" s="382"/>
      <c r="P237" s="338">
        <f t="shared" si="1"/>
        <v>0</v>
      </c>
      <c r="Q237" s="384">
        <f t="shared" si="2"/>
        <v>0</v>
      </c>
      <c r="R237" s="339">
        <f t="shared" si="3"/>
        <v>0</v>
      </c>
      <c r="S237" s="384">
        <f t="shared" si="4"/>
        <v>0</v>
      </c>
      <c r="T237" s="366"/>
      <c r="U237" s="370"/>
      <c r="V237" s="5"/>
      <c r="W237" s="109"/>
    </row>
    <row r="238" spans="1:23" ht="15.6" x14ac:dyDescent="0.3">
      <c r="A238" s="284"/>
      <c r="B238" s="338" t="s">
        <v>166</v>
      </c>
      <c r="C238" s="382"/>
      <c r="D238" s="382"/>
      <c r="E238" s="382"/>
      <c r="F238" s="311"/>
      <c r="G238" s="383"/>
      <c r="H238" s="382"/>
      <c r="I238" s="382"/>
      <c r="J238" s="382"/>
      <c r="K238" s="382"/>
      <c r="L238" s="382"/>
      <c r="M238" s="382"/>
      <c r="N238" s="382"/>
      <c r="O238" s="382"/>
      <c r="P238" s="338">
        <f t="shared" si="1"/>
        <v>0</v>
      </c>
      <c r="Q238" s="384">
        <f t="shared" si="2"/>
        <v>0</v>
      </c>
      <c r="R238" s="339">
        <f t="shared" si="3"/>
        <v>0</v>
      </c>
      <c r="S238" s="384">
        <f t="shared" si="4"/>
        <v>0</v>
      </c>
      <c r="T238" s="366"/>
      <c r="U238" s="370"/>
      <c r="V238" s="5"/>
    </row>
    <row r="239" spans="1:23" ht="15.6" x14ac:dyDescent="0.3">
      <c r="A239" s="284"/>
      <c r="B239" s="338" t="s">
        <v>167</v>
      </c>
      <c r="C239" s="382"/>
      <c r="D239" s="382"/>
      <c r="E239" s="382"/>
      <c r="F239" s="311"/>
      <c r="G239" s="383"/>
      <c r="H239" s="382"/>
      <c r="I239" s="382"/>
      <c r="J239" s="382"/>
      <c r="K239" s="382"/>
      <c r="L239" s="382"/>
      <c r="M239" s="382"/>
      <c r="N239" s="382"/>
      <c r="O239" s="382"/>
      <c r="P239" s="338">
        <f t="shared" si="1"/>
        <v>2</v>
      </c>
      <c r="Q239" s="384">
        <f t="shared" si="2"/>
        <v>5.6433408577878099E-4</v>
      </c>
      <c r="R239" s="339">
        <f t="shared" si="3"/>
        <v>287</v>
      </c>
      <c r="S239" s="384">
        <f t="shared" si="4"/>
        <v>6.2776012126488192E-4</v>
      </c>
      <c r="T239" s="366"/>
      <c r="U239" s="370"/>
      <c r="V239" s="5"/>
      <c r="W239" s="109"/>
    </row>
    <row r="240" spans="1:23" ht="15.6" x14ac:dyDescent="0.3">
      <c r="A240" s="284"/>
      <c r="B240" s="338"/>
      <c r="C240" s="382"/>
      <c r="D240" s="382"/>
      <c r="E240" s="382"/>
      <c r="F240" s="311"/>
      <c r="G240" s="383"/>
      <c r="H240" s="382"/>
      <c r="I240" s="382"/>
      <c r="J240" s="382"/>
      <c r="K240" s="382"/>
      <c r="L240" s="382"/>
      <c r="M240" s="382"/>
      <c r="N240" s="382"/>
      <c r="O240" s="382"/>
      <c r="P240" s="338"/>
      <c r="Q240" s="384"/>
      <c r="R240" s="339"/>
      <c r="S240" s="384"/>
      <c r="T240" s="366"/>
      <c r="U240" s="370"/>
      <c r="V240" s="5"/>
    </row>
    <row r="241" spans="1:23" ht="15.6" x14ac:dyDescent="0.3">
      <c r="A241" s="284"/>
      <c r="B241" s="285" t="s">
        <v>120</v>
      </c>
      <c r="C241" s="311"/>
      <c r="D241" s="311"/>
      <c r="E241" s="311"/>
      <c r="F241" s="311"/>
      <c r="G241" s="311"/>
      <c r="H241" s="385"/>
      <c r="I241" s="385"/>
      <c r="J241" s="385"/>
      <c r="K241" s="385"/>
      <c r="L241" s="385"/>
      <c r="M241" s="385"/>
      <c r="N241" s="385"/>
      <c r="O241" s="385"/>
      <c r="P241" s="338">
        <f>SUM(P232:P240)</f>
        <v>3544</v>
      </c>
      <c r="Q241" s="384">
        <f>SUM(Q232:Q240)</f>
        <v>1</v>
      </c>
      <c r="R241" s="339">
        <f>SUM(R232:R240)</f>
        <v>457181</v>
      </c>
      <c r="S241" s="384">
        <f>SUM(S232:S240)</f>
        <v>1</v>
      </c>
      <c r="T241" s="311"/>
      <c r="U241" s="317"/>
      <c r="V241" s="5"/>
    </row>
    <row r="242" spans="1:23" ht="15.6" x14ac:dyDescent="0.3">
      <c r="A242" s="355"/>
      <c r="B242" s="350"/>
      <c r="C242" s="356"/>
      <c r="D242" s="356"/>
      <c r="E242" s="356"/>
      <c r="F242" s="357"/>
      <c r="G242" s="334"/>
      <c r="H242" s="334"/>
      <c r="I242" s="334"/>
      <c r="J242" s="334"/>
      <c r="K242" s="334"/>
      <c r="L242" s="334"/>
      <c r="M242" s="334"/>
      <c r="N242" s="334"/>
      <c r="O242" s="334"/>
      <c r="P242" s="334"/>
      <c r="Q242" s="334"/>
      <c r="R242" s="358"/>
      <c r="S242" s="334"/>
      <c r="T242" s="351"/>
      <c r="U242" s="359"/>
      <c r="V242" s="5"/>
    </row>
    <row r="243" spans="1:23" ht="15.6" x14ac:dyDescent="0.3">
      <c r="A243" s="222"/>
      <c r="B243" s="395" t="s">
        <v>169</v>
      </c>
      <c r="C243" s="396"/>
      <c r="D243" s="396"/>
      <c r="E243" s="396"/>
      <c r="F243" s="402"/>
      <c r="G243" s="396"/>
      <c r="H243" s="396"/>
      <c r="I243" s="396"/>
      <c r="J243" s="396"/>
      <c r="K243" s="396"/>
      <c r="L243" s="396"/>
      <c r="M243" s="396"/>
      <c r="N243" s="396"/>
      <c r="O243" s="396"/>
      <c r="P243" s="402" t="s">
        <v>105</v>
      </c>
      <c r="Q243" s="396" t="s">
        <v>106</v>
      </c>
      <c r="R243" s="402" t="s">
        <v>114</v>
      </c>
      <c r="S243" s="396" t="s">
        <v>106</v>
      </c>
      <c r="T243" s="223"/>
      <c r="U243" s="395"/>
      <c r="V243" s="5"/>
    </row>
    <row r="244" spans="1:23" ht="15.6" x14ac:dyDescent="0.3">
      <c r="A244" s="190"/>
      <c r="B244" s="243" t="s">
        <v>91</v>
      </c>
      <c r="C244" s="217"/>
      <c r="D244" s="217"/>
      <c r="E244" s="217"/>
      <c r="F244" s="191"/>
      <c r="G244" s="217"/>
      <c r="H244" s="217"/>
      <c r="I244" s="217"/>
      <c r="J244" s="217"/>
      <c r="K244" s="217"/>
      <c r="L244" s="217"/>
      <c r="M244" s="217"/>
      <c r="N244" s="217"/>
      <c r="O244" s="217"/>
      <c r="P244" s="243">
        <v>3484</v>
      </c>
      <c r="Q244" s="274">
        <f t="shared" ref="Q244:Q251" si="5">P244/$P$253</f>
        <v>0.99828080229226357</v>
      </c>
      <c r="R244" s="251">
        <v>448114</v>
      </c>
      <c r="S244" s="274">
        <f t="shared" ref="S244:S251" si="6">R244/$R$253</f>
        <v>0.99852042658062556</v>
      </c>
      <c r="T244" s="213"/>
      <c r="U244" s="216"/>
      <c r="V244" s="5"/>
    </row>
    <row r="245" spans="1:23" ht="15.6" x14ac:dyDescent="0.3">
      <c r="A245" s="284"/>
      <c r="B245" s="338" t="s">
        <v>92</v>
      </c>
      <c r="C245" s="382"/>
      <c r="D245" s="382"/>
      <c r="E245" s="382"/>
      <c r="F245" s="311"/>
      <c r="G245" s="383"/>
      <c r="H245" s="382"/>
      <c r="I245" s="382"/>
      <c r="J245" s="382"/>
      <c r="K245" s="382"/>
      <c r="L245" s="382"/>
      <c r="M245" s="382"/>
      <c r="N245" s="382"/>
      <c r="O245" s="382"/>
      <c r="P245" s="338">
        <v>6</v>
      </c>
      <c r="Q245" s="384">
        <f t="shared" si="5"/>
        <v>1.7191977077363897E-3</v>
      </c>
      <c r="R245" s="339">
        <v>664</v>
      </c>
      <c r="S245" s="384">
        <f t="shared" si="6"/>
        <v>1.4795734193743899E-3</v>
      </c>
      <c r="T245" s="366"/>
      <c r="U245" s="370"/>
      <c r="V245" s="5"/>
      <c r="W245" s="109"/>
    </row>
    <row r="246" spans="1:23" ht="15.6" x14ac:dyDescent="0.3">
      <c r="A246" s="284"/>
      <c r="B246" s="338" t="s">
        <v>93</v>
      </c>
      <c r="C246" s="382"/>
      <c r="D246" s="382"/>
      <c r="E246" s="382"/>
      <c r="F246" s="311"/>
      <c r="G246" s="383"/>
      <c r="H246" s="382"/>
      <c r="I246" s="382"/>
      <c r="J246" s="382"/>
      <c r="K246" s="382"/>
      <c r="L246" s="382"/>
      <c r="M246" s="382"/>
      <c r="N246" s="382"/>
      <c r="O246" s="382"/>
      <c r="P246" s="338">
        <v>0</v>
      </c>
      <c r="Q246" s="384">
        <f t="shared" si="5"/>
        <v>0</v>
      </c>
      <c r="R246" s="339">
        <v>0</v>
      </c>
      <c r="S246" s="384">
        <f t="shared" si="6"/>
        <v>0</v>
      </c>
      <c r="T246" s="366"/>
      <c r="U246" s="370"/>
      <c r="V246" s="5"/>
    </row>
    <row r="247" spans="1:23" ht="15.6" x14ac:dyDescent="0.3">
      <c r="A247" s="284"/>
      <c r="B247" s="338" t="s">
        <v>163</v>
      </c>
      <c r="C247" s="382"/>
      <c r="D247" s="382"/>
      <c r="E247" s="382"/>
      <c r="F247" s="311"/>
      <c r="G247" s="383"/>
      <c r="H247" s="382"/>
      <c r="I247" s="382"/>
      <c r="J247" s="382"/>
      <c r="K247" s="382"/>
      <c r="L247" s="382"/>
      <c r="M247" s="382"/>
      <c r="N247" s="382"/>
      <c r="O247" s="382"/>
      <c r="P247" s="338">
        <v>0</v>
      </c>
      <c r="Q247" s="384">
        <f t="shared" si="5"/>
        <v>0</v>
      </c>
      <c r="R247" s="339">
        <v>0</v>
      </c>
      <c r="S247" s="384">
        <f t="shared" si="6"/>
        <v>0</v>
      </c>
      <c r="T247" s="366"/>
      <c r="U247" s="370"/>
      <c r="V247" s="5"/>
      <c r="W247" s="109"/>
    </row>
    <row r="248" spans="1:23" ht="15.6" x14ac:dyDescent="0.3">
      <c r="A248" s="284"/>
      <c r="B248" s="338" t="s">
        <v>164</v>
      </c>
      <c r="C248" s="382"/>
      <c r="D248" s="382"/>
      <c r="E248" s="382"/>
      <c r="F248" s="311"/>
      <c r="G248" s="383"/>
      <c r="H248" s="382"/>
      <c r="I248" s="382"/>
      <c r="J248" s="382"/>
      <c r="K248" s="382"/>
      <c r="L248" s="382"/>
      <c r="M248" s="382"/>
      <c r="N248" s="382"/>
      <c r="O248" s="382"/>
      <c r="P248" s="338">
        <v>0</v>
      </c>
      <c r="Q248" s="384">
        <f t="shared" si="5"/>
        <v>0</v>
      </c>
      <c r="R248" s="339">
        <v>0</v>
      </c>
      <c r="S248" s="384">
        <f t="shared" si="6"/>
        <v>0</v>
      </c>
      <c r="T248" s="366"/>
      <c r="U248" s="370"/>
      <c r="V248" s="5"/>
    </row>
    <row r="249" spans="1:23" ht="15.6" x14ac:dyDescent="0.3">
      <c r="A249" s="284"/>
      <c r="B249" s="338" t="s">
        <v>165</v>
      </c>
      <c r="C249" s="382"/>
      <c r="D249" s="382"/>
      <c r="E249" s="382"/>
      <c r="F249" s="311"/>
      <c r="G249" s="383"/>
      <c r="H249" s="382"/>
      <c r="I249" s="382"/>
      <c r="J249" s="382"/>
      <c r="K249" s="382"/>
      <c r="L249" s="382"/>
      <c r="M249" s="382"/>
      <c r="N249" s="382"/>
      <c r="O249" s="382"/>
      <c r="P249" s="338">
        <v>0</v>
      </c>
      <c r="Q249" s="384">
        <f t="shared" si="5"/>
        <v>0</v>
      </c>
      <c r="R249" s="339">
        <v>0</v>
      </c>
      <c r="S249" s="384">
        <f t="shared" si="6"/>
        <v>0</v>
      </c>
      <c r="T249" s="366"/>
      <c r="U249" s="370"/>
      <c r="V249" s="5"/>
      <c r="W249" s="109"/>
    </row>
    <row r="250" spans="1:23" ht="15.6" x14ac:dyDescent="0.3">
      <c r="A250" s="284"/>
      <c r="B250" s="338" t="s">
        <v>166</v>
      </c>
      <c r="C250" s="382"/>
      <c r="D250" s="382"/>
      <c r="E250" s="382"/>
      <c r="F250" s="311"/>
      <c r="G250" s="383"/>
      <c r="H250" s="382"/>
      <c r="I250" s="382"/>
      <c r="J250" s="382"/>
      <c r="K250" s="382"/>
      <c r="L250" s="382"/>
      <c r="M250" s="382"/>
      <c r="N250" s="382"/>
      <c r="O250" s="382"/>
      <c r="P250" s="338">
        <v>0</v>
      </c>
      <c r="Q250" s="384">
        <f t="shared" si="5"/>
        <v>0</v>
      </c>
      <c r="R250" s="339">
        <v>0</v>
      </c>
      <c r="S250" s="384">
        <f t="shared" si="6"/>
        <v>0</v>
      </c>
      <c r="T250" s="366"/>
      <c r="U250" s="370"/>
      <c r="V250" s="5"/>
    </row>
    <row r="251" spans="1:23" ht="15.6" x14ac:dyDescent="0.3">
      <c r="A251" s="284"/>
      <c r="B251" s="338" t="s">
        <v>167</v>
      </c>
      <c r="C251" s="382"/>
      <c r="D251" s="382"/>
      <c r="E251" s="382"/>
      <c r="F251" s="311"/>
      <c r="G251" s="383"/>
      <c r="H251" s="382"/>
      <c r="I251" s="382"/>
      <c r="J251" s="382"/>
      <c r="K251" s="382"/>
      <c r="L251" s="382"/>
      <c r="M251" s="382"/>
      <c r="N251" s="382"/>
      <c r="O251" s="382"/>
      <c r="P251" s="338">
        <v>0</v>
      </c>
      <c r="Q251" s="384">
        <f t="shared" si="5"/>
        <v>0</v>
      </c>
      <c r="R251" s="339">
        <v>0</v>
      </c>
      <c r="S251" s="384">
        <f t="shared" si="6"/>
        <v>0</v>
      </c>
      <c r="T251" s="366"/>
      <c r="U251" s="370"/>
      <c r="V251" s="5"/>
      <c r="W251" s="109"/>
    </row>
    <row r="252" spans="1:23" ht="15.6" x14ac:dyDescent="0.3">
      <c r="A252" s="284"/>
      <c r="B252" s="338"/>
      <c r="C252" s="382"/>
      <c r="D252" s="382"/>
      <c r="E252" s="382"/>
      <c r="F252" s="311"/>
      <c r="G252" s="383"/>
      <c r="H252" s="382"/>
      <c r="I252" s="382"/>
      <c r="J252" s="382"/>
      <c r="K252" s="382"/>
      <c r="L252" s="382"/>
      <c r="M252" s="382"/>
      <c r="N252" s="382"/>
      <c r="O252" s="382"/>
      <c r="P252" s="338"/>
      <c r="Q252" s="384"/>
      <c r="R252" s="339"/>
      <c r="S252" s="384"/>
      <c r="T252" s="366"/>
      <c r="U252" s="370"/>
      <c r="V252" s="5"/>
    </row>
    <row r="253" spans="1:23" ht="15.6" x14ac:dyDescent="0.3">
      <c r="A253" s="284"/>
      <c r="B253" s="285" t="s">
        <v>120</v>
      </c>
      <c r="C253" s="311"/>
      <c r="D253" s="311"/>
      <c r="E253" s="311"/>
      <c r="F253" s="311"/>
      <c r="G253" s="311"/>
      <c r="H253" s="385"/>
      <c r="I253" s="385"/>
      <c r="J253" s="385"/>
      <c r="K253" s="385"/>
      <c r="L253" s="385"/>
      <c r="M253" s="385"/>
      <c r="N253" s="385"/>
      <c r="O253" s="385"/>
      <c r="P253" s="338">
        <f>SUM(P244:P252)</f>
        <v>3490</v>
      </c>
      <c r="Q253" s="384">
        <f>SUM(Q244:Q252)</f>
        <v>1</v>
      </c>
      <c r="R253" s="339">
        <f>SUM(R244:R252)</f>
        <v>448778</v>
      </c>
      <c r="S253" s="384">
        <f>SUM(S244:S252)</f>
        <v>1</v>
      </c>
      <c r="T253" s="311"/>
      <c r="U253" s="317"/>
      <c r="V253" s="5"/>
    </row>
    <row r="254" spans="1:23" ht="15.6" x14ac:dyDescent="0.3">
      <c r="A254" s="175"/>
      <c r="B254" s="334"/>
      <c r="C254" s="334"/>
      <c r="D254" s="334"/>
      <c r="E254" s="334"/>
      <c r="F254" s="334"/>
      <c r="G254" s="334"/>
      <c r="H254" s="379"/>
      <c r="I254" s="379"/>
      <c r="J254" s="379"/>
      <c r="K254" s="379"/>
      <c r="L254" s="379"/>
      <c r="M254" s="379"/>
      <c r="N254" s="379"/>
      <c r="O254" s="379"/>
      <c r="P254" s="335"/>
      <c r="Q254" s="380"/>
      <c r="R254" s="381"/>
      <c r="S254" s="380"/>
      <c r="T254" s="334"/>
      <c r="U254" s="334"/>
      <c r="V254" s="5"/>
    </row>
    <row r="255" spans="1:23" ht="15.6" x14ac:dyDescent="0.3">
      <c r="A255" s="268"/>
      <c r="B255" s="395" t="s">
        <v>267</v>
      </c>
      <c r="C255" s="396"/>
      <c r="D255" s="396"/>
      <c r="E255" s="396"/>
      <c r="F255" s="402"/>
      <c r="G255" s="396"/>
      <c r="H255" s="396"/>
      <c r="I255" s="396"/>
      <c r="J255" s="396"/>
      <c r="K255" s="396"/>
      <c r="L255" s="396"/>
      <c r="M255" s="396"/>
      <c r="N255" s="396"/>
      <c r="O255" s="396"/>
      <c r="P255" s="402" t="s">
        <v>105</v>
      </c>
      <c r="Q255" s="396" t="s">
        <v>106</v>
      </c>
      <c r="R255" s="402" t="s">
        <v>114</v>
      </c>
      <c r="S255" s="396" t="s">
        <v>106</v>
      </c>
      <c r="T255" s="269"/>
      <c r="U255" s="270"/>
      <c r="V255" s="5"/>
    </row>
    <row r="256" spans="1:23" ht="15.6" x14ac:dyDescent="0.3">
      <c r="A256" s="190"/>
      <c r="B256" s="243" t="s">
        <v>91</v>
      </c>
      <c r="C256" s="217"/>
      <c r="D256" s="217"/>
      <c r="E256" s="217"/>
      <c r="F256" s="191"/>
      <c r="G256" s="217"/>
      <c r="H256" s="217"/>
      <c r="I256" s="217"/>
      <c r="J256" s="217"/>
      <c r="K256" s="217"/>
      <c r="L256" s="217"/>
      <c r="M256" s="217"/>
      <c r="N256" s="217"/>
      <c r="O256" s="217"/>
      <c r="P256" s="243">
        <v>46</v>
      </c>
      <c r="Q256" s="274">
        <f t="shared" ref="Q256:Q263" si="7">P256/$P$265</f>
        <v>0.85185185185185186</v>
      </c>
      <c r="R256" s="251">
        <v>7209</v>
      </c>
      <c r="S256" s="274">
        <f>R256/$R$265</f>
        <v>0.8579078900392717</v>
      </c>
      <c r="T256" s="191"/>
      <c r="U256" s="191"/>
      <c r="V256" s="5"/>
    </row>
    <row r="257" spans="1:22" ht="15.6" x14ac:dyDescent="0.3">
      <c r="A257" s="284"/>
      <c r="B257" s="338" t="s">
        <v>92</v>
      </c>
      <c r="C257" s="382"/>
      <c r="D257" s="382"/>
      <c r="E257" s="382"/>
      <c r="F257" s="311"/>
      <c r="G257" s="383"/>
      <c r="H257" s="382"/>
      <c r="I257" s="382"/>
      <c r="J257" s="382"/>
      <c r="K257" s="382"/>
      <c r="L257" s="382"/>
      <c r="M257" s="382"/>
      <c r="N257" s="382"/>
      <c r="O257" s="382"/>
      <c r="P257" s="338">
        <v>1</v>
      </c>
      <c r="Q257" s="384">
        <f t="shared" si="7"/>
        <v>1.8518518518518517E-2</v>
      </c>
      <c r="R257" s="339">
        <v>51</v>
      </c>
      <c r="S257" s="384">
        <f t="shared" ref="S257:S263" si="8">R257/$R$265</f>
        <v>6.0692609782220632E-3</v>
      </c>
      <c r="T257" s="311"/>
      <c r="U257" s="317"/>
      <c r="V257" s="5"/>
    </row>
    <row r="258" spans="1:22" ht="15.6" x14ac:dyDescent="0.3">
      <c r="A258" s="284"/>
      <c r="B258" s="338" t="s">
        <v>93</v>
      </c>
      <c r="C258" s="382"/>
      <c r="D258" s="382"/>
      <c r="E258" s="382"/>
      <c r="F258" s="311"/>
      <c r="G258" s="383"/>
      <c r="H258" s="382"/>
      <c r="I258" s="382"/>
      <c r="J258" s="382"/>
      <c r="K258" s="382"/>
      <c r="L258" s="382"/>
      <c r="M258" s="382"/>
      <c r="N258" s="382"/>
      <c r="O258" s="382"/>
      <c r="P258" s="338">
        <v>3</v>
      </c>
      <c r="Q258" s="384">
        <f t="shared" si="7"/>
        <v>5.5555555555555552E-2</v>
      </c>
      <c r="R258" s="339">
        <v>682</v>
      </c>
      <c r="S258" s="384">
        <f t="shared" si="8"/>
        <v>8.1161489944067591E-2</v>
      </c>
      <c r="T258" s="311"/>
      <c r="U258" s="317"/>
      <c r="V258" s="5"/>
    </row>
    <row r="259" spans="1:22" ht="15.6" x14ac:dyDescent="0.3">
      <c r="A259" s="284"/>
      <c r="B259" s="338" t="s">
        <v>163</v>
      </c>
      <c r="C259" s="382"/>
      <c r="D259" s="382"/>
      <c r="E259" s="382"/>
      <c r="F259" s="311"/>
      <c r="G259" s="383"/>
      <c r="H259" s="382"/>
      <c r="I259" s="382"/>
      <c r="J259" s="382"/>
      <c r="K259" s="382"/>
      <c r="L259" s="382"/>
      <c r="M259" s="382"/>
      <c r="N259" s="382"/>
      <c r="O259" s="382"/>
      <c r="P259" s="338">
        <v>1</v>
      </c>
      <c r="Q259" s="384">
        <f t="shared" si="7"/>
        <v>1.8518518518518517E-2</v>
      </c>
      <c r="R259" s="339">
        <v>52</v>
      </c>
      <c r="S259" s="384">
        <f t="shared" si="8"/>
        <v>6.1882660954421043E-3</v>
      </c>
      <c r="T259" s="311"/>
      <c r="U259" s="317"/>
      <c r="V259" s="5"/>
    </row>
    <row r="260" spans="1:22" ht="15.6" x14ac:dyDescent="0.3">
      <c r="A260" s="284"/>
      <c r="B260" s="338" t="s">
        <v>164</v>
      </c>
      <c r="C260" s="382"/>
      <c r="D260" s="382"/>
      <c r="E260" s="382"/>
      <c r="F260" s="311"/>
      <c r="G260" s="383"/>
      <c r="H260" s="382"/>
      <c r="I260" s="382"/>
      <c r="J260" s="382"/>
      <c r="K260" s="382"/>
      <c r="L260" s="382"/>
      <c r="M260" s="382"/>
      <c r="N260" s="382"/>
      <c r="O260" s="382"/>
      <c r="P260" s="338">
        <v>1</v>
      </c>
      <c r="Q260" s="384">
        <f t="shared" si="7"/>
        <v>1.8518518518518517E-2</v>
      </c>
      <c r="R260" s="339">
        <v>122</v>
      </c>
      <c r="S260" s="384">
        <f t="shared" si="8"/>
        <v>1.4518624300844937E-2</v>
      </c>
      <c r="T260" s="311"/>
      <c r="U260" s="317"/>
      <c r="V260" s="5"/>
    </row>
    <row r="261" spans="1:22" ht="15.6" x14ac:dyDescent="0.3">
      <c r="A261" s="284"/>
      <c r="B261" s="338" t="s">
        <v>165</v>
      </c>
      <c r="C261" s="382"/>
      <c r="D261" s="382"/>
      <c r="E261" s="382"/>
      <c r="F261" s="311"/>
      <c r="G261" s="383"/>
      <c r="H261" s="382"/>
      <c r="I261" s="382"/>
      <c r="J261" s="382"/>
      <c r="K261" s="382"/>
      <c r="L261" s="382"/>
      <c r="M261" s="382"/>
      <c r="N261" s="382"/>
      <c r="O261" s="382"/>
      <c r="P261" s="338">
        <v>0</v>
      </c>
      <c r="Q261" s="384">
        <f t="shared" si="7"/>
        <v>0</v>
      </c>
      <c r="R261" s="339">
        <v>0</v>
      </c>
      <c r="S261" s="384">
        <f t="shared" si="8"/>
        <v>0</v>
      </c>
      <c r="T261" s="311"/>
      <c r="U261" s="317"/>
      <c r="V261" s="5"/>
    </row>
    <row r="262" spans="1:22" ht="15.6" x14ac:dyDescent="0.3">
      <c r="A262" s="284"/>
      <c r="B262" s="338" t="s">
        <v>166</v>
      </c>
      <c r="C262" s="382"/>
      <c r="D262" s="382"/>
      <c r="E262" s="382"/>
      <c r="F262" s="311"/>
      <c r="G262" s="383"/>
      <c r="H262" s="382"/>
      <c r="I262" s="382"/>
      <c r="J262" s="382"/>
      <c r="K262" s="382"/>
      <c r="L262" s="382"/>
      <c r="M262" s="382"/>
      <c r="N262" s="382"/>
      <c r="O262" s="382"/>
      <c r="P262" s="338">
        <v>0</v>
      </c>
      <c r="Q262" s="384">
        <f t="shared" si="7"/>
        <v>0</v>
      </c>
      <c r="R262" s="339">
        <v>0</v>
      </c>
      <c r="S262" s="384">
        <f t="shared" si="8"/>
        <v>0</v>
      </c>
      <c r="T262" s="311"/>
      <c r="U262" s="317"/>
      <c r="V262" s="5"/>
    </row>
    <row r="263" spans="1:22" ht="15.6" x14ac:dyDescent="0.3">
      <c r="A263" s="284"/>
      <c r="B263" s="338" t="s">
        <v>167</v>
      </c>
      <c r="C263" s="382"/>
      <c r="D263" s="382"/>
      <c r="E263" s="382"/>
      <c r="F263" s="311"/>
      <c r="G263" s="383"/>
      <c r="H263" s="382"/>
      <c r="I263" s="382"/>
      <c r="J263" s="382"/>
      <c r="K263" s="382"/>
      <c r="L263" s="382"/>
      <c r="M263" s="382"/>
      <c r="N263" s="382"/>
      <c r="O263" s="382"/>
      <c r="P263" s="338">
        <v>2</v>
      </c>
      <c r="Q263" s="384">
        <f t="shared" si="7"/>
        <v>3.7037037037037035E-2</v>
      </c>
      <c r="R263" s="339">
        <v>287</v>
      </c>
      <c r="S263" s="384">
        <f t="shared" si="8"/>
        <v>3.415446864215161E-2</v>
      </c>
      <c r="T263" s="311"/>
      <c r="U263" s="317"/>
      <c r="V263" s="5"/>
    </row>
    <row r="264" spans="1:22" ht="15.6" x14ac:dyDescent="0.3">
      <c r="A264" s="284"/>
      <c r="B264" s="338"/>
      <c r="C264" s="382"/>
      <c r="D264" s="382"/>
      <c r="E264" s="382"/>
      <c r="F264" s="311"/>
      <c r="G264" s="383"/>
      <c r="H264" s="382"/>
      <c r="I264" s="382"/>
      <c r="J264" s="382"/>
      <c r="K264" s="382"/>
      <c r="L264" s="382"/>
      <c r="M264" s="382"/>
      <c r="N264" s="382"/>
      <c r="O264" s="382"/>
      <c r="P264" s="338"/>
      <c r="Q264" s="384"/>
      <c r="R264" s="339"/>
      <c r="S264" s="384"/>
      <c r="T264" s="311"/>
      <c r="U264" s="317"/>
      <c r="V264" s="5"/>
    </row>
    <row r="265" spans="1:22" ht="15.6" x14ac:dyDescent="0.3">
      <c r="A265" s="284"/>
      <c r="B265" s="285" t="s">
        <v>120</v>
      </c>
      <c r="C265" s="311"/>
      <c r="D265" s="311"/>
      <c r="E265" s="311"/>
      <c r="F265" s="311"/>
      <c r="G265" s="311"/>
      <c r="H265" s="385"/>
      <c r="I265" s="385"/>
      <c r="J265" s="385"/>
      <c r="K265" s="385"/>
      <c r="L265" s="385"/>
      <c r="M265" s="385"/>
      <c r="N265" s="385"/>
      <c r="O265" s="385"/>
      <c r="P265" s="338">
        <f>SUM(P256:P264)</f>
        <v>54</v>
      </c>
      <c r="Q265" s="384">
        <f>SUM(Q256:Q264)</f>
        <v>1</v>
      </c>
      <c r="R265" s="339">
        <f>SUM(R256:R264)</f>
        <v>8403</v>
      </c>
      <c r="S265" s="384">
        <f>SUM(S256:S264)</f>
        <v>1</v>
      </c>
      <c r="T265" s="311"/>
      <c r="U265" s="317"/>
      <c r="V265" s="5"/>
    </row>
    <row r="266" spans="1:22" ht="15.6" x14ac:dyDescent="0.3">
      <c r="A266" s="175"/>
      <c r="B266" s="334"/>
      <c r="C266" s="334"/>
      <c r="D266" s="334"/>
      <c r="E266" s="334"/>
      <c r="F266" s="334"/>
      <c r="G266" s="334"/>
      <c r="H266" s="379"/>
      <c r="I266" s="379"/>
      <c r="J266" s="379"/>
      <c r="K266" s="379"/>
      <c r="L266" s="379"/>
      <c r="M266" s="379"/>
      <c r="N266" s="379"/>
      <c r="O266" s="379"/>
      <c r="P266" s="335"/>
      <c r="Q266" s="380"/>
      <c r="R266" s="381"/>
      <c r="S266" s="380"/>
      <c r="T266" s="334"/>
      <c r="U266" s="334"/>
      <c r="V266" s="5"/>
    </row>
    <row r="267" spans="1:22" ht="15.6" x14ac:dyDescent="0.3">
      <c r="A267" s="268"/>
      <c r="B267" s="395" t="s">
        <v>170</v>
      </c>
      <c r="C267" s="269"/>
      <c r="D267" s="269"/>
      <c r="E267" s="269"/>
      <c r="F267" s="269"/>
      <c r="G267" s="269"/>
      <c r="H267" s="271"/>
      <c r="I267" s="271"/>
      <c r="J267" s="271"/>
      <c r="K267" s="271"/>
      <c r="L267" s="271"/>
      <c r="M267" s="271"/>
      <c r="N267" s="271"/>
      <c r="O267" s="271"/>
      <c r="P267" s="402" t="s">
        <v>105</v>
      </c>
      <c r="Q267" s="396" t="s">
        <v>106</v>
      </c>
      <c r="R267" s="402" t="s">
        <v>114</v>
      </c>
      <c r="S267" s="396" t="s">
        <v>106</v>
      </c>
      <c r="T267" s="269"/>
      <c r="U267" s="270"/>
      <c r="V267" s="5"/>
    </row>
    <row r="268" spans="1:22" ht="15.6" x14ac:dyDescent="0.3">
      <c r="A268" s="190"/>
      <c r="B268" s="243" t="s">
        <v>91</v>
      </c>
      <c r="C268" s="239"/>
      <c r="D268" s="239"/>
      <c r="E268" s="239"/>
      <c r="F268" s="239"/>
      <c r="G268" s="239"/>
      <c r="H268" s="275"/>
      <c r="I268" s="275"/>
      <c r="J268" s="275"/>
      <c r="K268" s="275"/>
      <c r="L268" s="218"/>
      <c r="M268" s="218"/>
      <c r="N268" s="218"/>
      <c r="O268" s="218"/>
      <c r="P268" s="243">
        <v>0</v>
      </c>
      <c r="Q268" s="274">
        <v>0</v>
      </c>
      <c r="R268" s="251">
        <v>0</v>
      </c>
      <c r="S268" s="274">
        <v>0</v>
      </c>
      <c r="T268" s="239"/>
      <c r="U268" s="191"/>
      <c r="V268" s="5"/>
    </row>
    <row r="269" spans="1:22" ht="15.6" x14ac:dyDescent="0.3">
      <c r="A269" s="284"/>
      <c r="B269" s="338" t="s">
        <v>92</v>
      </c>
      <c r="C269" s="285"/>
      <c r="D269" s="285"/>
      <c r="E269" s="285"/>
      <c r="F269" s="285"/>
      <c r="G269" s="285"/>
      <c r="H269" s="387"/>
      <c r="I269" s="387"/>
      <c r="J269" s="387"/>
      <c r="K269" s="387"/>
      <c r="L269" s="385"/>
      <c r="M269" s="385"/>
      <c r="N269" s="385"/>
      <c r="O269" s="385"/>
      <c r="P269" s="338">
        <v>0</v>
      </c>
      <c r="Q269" s="384">
        <v>0</v>
      </c>
      <c r="R269" s="339">
        <v>0</v>
      </c>
      <c r="S269" s="384">
        <v>0</v>
      </c>
      <c r="T269" s="285"/>
      <c r="U269" s="317"/>
      <c r="V269" s="5"/>
    </row>
    <row r="270" spans="1:22" ht="15.6" x14ac:dyDescent="0.3">
      <c r="A270" s="284"/>
      <c r="B270" s="338" t="s">
        <v>93</v>
      </c>
      <c r="C270" s="285"/>
      <c r="D270" s="285"/>
      <c r="E270" s="285"/>
      <c r="F270" s="285"/>
      <c r="G270" s="285"/>
      <c r="H270" s="387"/>
      <c r="I270" s="387"/>
      <c r="J270" s="387"/>
      <c r="K270" s="387"/>
      <c r="L270" s="385"/>
      <c r="M270" s="385"/>
      <c r="N270" s="385"/>
      <c r="O270" s="385"/>
      <c r="P270" s="338">
        <v>0</v>
      </c>
      <c r="Q270" s="384">
        <v>0</v>
      </c>
      <c r="R270" s="339">
        <v>0</v>
      </c>
      <c r="S270" s="384">
        <v>0</v>
      </c>
      <c r="T270" s="285"/>
      <c r="U270" s="317"/>
      <c r="V270" s="5"/>
    </row>
    <row r="271" spans="1:22" ht="15.6" x14ac:dyDescent="0.3">
      <c r="A271" s="284"/>
      <c r="B271" s="338" t="s">
        <v>163</v>
      </c>
      <c r="C271" s="285"/>
      <c r="D271" s="285"/>
      <c r="E271" s="285"/>
      <c r="F271" s="285"/>
      <c r="G271" s="285"/>
      <c r="H271" s="387"/>
      <c r="I271" s="387"/>
      <c r="J271" s="387"/>
      <c r="K271" s="387"/>
      <c r="L271" s="385"/>
      <c r="M271" s="385"/>
      <c r="N271" s="385"/>
      <c r="O271" s="385"/>
      <c r="P271" s="338">
        <v>0</v>
      </c>
      <c r="Q271" s="384">
        <v>0</v>
      </c>
      <c r="R271" s="339">
        <v>0</v>
      </c>
      <c r="S271" s="384">
        <v>0</v>
      </c>
      <c r="T271" s="285"/>
      <c r="U271" s="317"/>
      <c r="V271" s="5"/>
    </row>
    <row r="272" spans="1:22" ht="15.6" x14ac:dyDescent="0.3">
      <c r="A272" s="284"/>
      <c r="B272" s="338" t="s">
        <v>164</v>
      </c>
      <c r="C272" s="285"/>
      <c r="D272" s="285"/>
      <c r="E272" s="285"/>
      <c r="F272" s="285"/>
      <c r="G272" s="285"/>
      <c r="H272" s="387"/>
      <c r="I272" s="387"/>
      <c r="J272" s="387"/>
      <c r="K272" s="387"/>
      <c r="L272" s="385"/>
      <c r="M272" s="385"/>
      <c r="N272" s="385"/>
      <c r="O272" s="385"/>
      <c r="P272" s="338">
        <v>0</v>
      </c>
      <c r="Q272" s="384">
        <v>0</v>
      </c>
      <c r="R272" s="339">
        <v>0</v>
      </c>
      <c r="S272" s="384">
        <v>0</v>
      </c>
      <c r="T272" s="285"/>
      <c r="U272" s="317"/>
      <c r="V272" s="5"/>
    </row>
    <row r="273" spans="1:22" ht="15.6" x14ac:dyDescent="0.3">
      <c r="A273" s="284"/>
      <c r="B273" s="338" t="s">
        <v>165</v>
      </c>
      <c r="C273" s="285"/>
      <c r="D273" s="285"/>
      <c r="E273" s="285"/>
      <c r="F273" s="285"/>
      <c r="G273" s="285"/>
      <c r="H273" s="387"/>
      <c r="I273" s="387"/>
      <c r="J273" s="387"/>
      <c r="K273" s="387"/>
      <c r="L273" s="385"/>
      <c r="M273" s="385"/>
      <c r="N273" s="385"/>
      <c r="O273" s="385"/>
      <c r="P273" s="338">
        <v>0</v>
      </c>
      <c r="Q273" s="384">
        <v>0</v>
      </c>
      <c r="R273" s="339">
        <v>0</v>
      </c>
      <c r="S273" s="384">
        <v>0</v>
      </c>
      <c r="T273" s="285"/>
      <c r="U273" s="317"/>
      <c r="V273" s="5"/>
    </row>
    <row r="274" spans="1:22" ht="15.6" x14ac:dyDescent="0.3">
      <c r="A274" s="284"/>
      <c r="B274" s="338" t="s">
        <v>166</v>
      </c>
      <c r="C274" s="285"/>
      <c r="D274" s="285"/>
      <c r="E274" s="285"/>
      <c r="F274" s="285"/>
      <c r="G274" s="285"/>
      <c r="H274" s="387"/>
      <c r="I274" s="387"/>
      <c r="J274" s="387"/>
      <c r="K274" s="387"/>
      <c r="L274" s="385"/>
      <c r="M274" s="385"/>
      <c r="N274" s="385"/>
      <c r="O274" s="385"/>
      <c r="P274" s="338">
        <v>0</v>
      </c>
      <c r="Q274" s="384">
        <v>0</v>
      </c>
      <c r="R274" s="339">
        <v>0</v>
      </c>
      <c r="S274" s="384">
        <v>0</v>
      </c>
      <c r="T274" s="285"/>
      <c r="U274" s="317"/>
      <c r="V274" s="5"/>
    </row>
    <row r="275" spans="1:22" ht="15.6" x14ac:dyDescent="0.3">
      <c r="A275" s="284"/>
      <c r="B275" s="338" t="s">
        <v>167</v>
      </c>
      <c r="C275" s="285"/>
      <c r="D275" s="285"/>
      <c r="E275" s="285"/>
      <c r="F275" s="285"/>
      <c r="G275" s="285"/>
      <c r="H275" s="387"/>
      <c r="I275" s="387"/>
      <c r="J275" s="387"/>
      <c r="K275" s="387"/>
      <c r="L275" s="385"/>
      <c r="M275" s="385"/>
      <c r="N275" s="385"/>
      <c r="O275" s="385"/>
      <c r="P275" s="338">
        <v>0</v>
      </c>
      <c r="Q275" s="384">
        <v>0</v>
      </c>
      <c r="R275" s="339">
        <v>0</v>
      </c>
      <c r="S275" s="384">
        <v>0</v>
      </c>
      <c r="T275" s="285"/>
      <c r="U275" s="317"/>
      <c r="V275" s="5"/>
    </row>
    <row r="276" spans="1:22" ht="15.6" x14ac:dyDescent="0.3">
      <c r="A276" s="284"/>
      <c r="B276" s="338"/>
      <c r="C276" s="285"/>
      <c r="D276" s="285"/>
      <c r="E276" s="285"/>
      <c r="F276" s="285"/>
      <c r="G276" s="285"/>
      <c r="H276" s="387"/>
      <c r="I276" s="387"/>
      <c r="J276" s="387"/>
      <c r="K276" s="387"/>
      <c r="L276" s="385"/>
      <c r="M276" s="385"/>
      <c r="N276" s="385"/>
      <c r="O276" s="385"/>
      <c r="P276" s="338"/>
      <c r="Q276" s="384"/>
      <c r="R276" s="339"/>
      <c r="S276" s="384"/>
      <c r="T276" s="285"/>
      <c r="U276" s="317"/>
      <c r="V276" s="5"/>
    </row>
    <row r="277" spans="1:22" ht="15.6" x14ac:dyDescent="0.3">
      <c r="A277" s="284"/>
      <c r="B277" s="285" t="s">
        <v>120</v>
      </c>
      <c r="C277" s="285"/>
      <c r="D277" s="285"/>
      <c r="E277" s="285"/>
      <c r="F277" s="285"/>
      <c r="G277" s="285"/>
      <c r="H277" s="387"/>
      <c r="I277" s="387"/>
      <c r="J277" s="387"/>
      <c r="K277" s="387"/>
      <c r="L277" s="385"/>
      <c r="M277" s="385"/>
      <c r="N277" s="385"/>
      <c r="O277" s="385"/>
      <c r="P277" s="338">
        <f>SUM(P268:P275)</f>
        <v>0</v>
      </c>
      <c r="Q277" s="384">
        <f>SUM(Q268:Q276)</f>
        <v>0</v>
      </c>
      <c r="R277" s="339">
        <f>SUM(R268:R275)</f>
        <v>0</v>
      </c>
      <c r="S277" s="384">
        <f>SUM(S268:S276)</f>
        <v>0</v>
      </c>
      <c r="T277" s="285"/>
      <c r="U277" s="317"/>
      <c r="V277" s="5"/>
    </row>
    <row r="278" spans="1:22" ht="15.6" x14ac:dyDescent="0.3">
      <c r="A278" s="284"/>
      <c r="B278" s="285"/>
      <c r="C278" s="285"/>
      <c r="D278" s="285"/>
      <c r="E278" s="285"/>
      <c r="F278" s="285"/>
      <c r="G278" s="285"/>
      <c r="H278" s="387"/>
      <c r="I278" s="387"/>
      <c r="J278" s="387"/>
      <c r="K278" s="387"/>
      <c r="L278" s="385"/>
      <c r="M278" s="385"/>
      <c r="N278" s="385"/>
      <c r="O278" s="385"/>
      <c r="P278" s="344"/>
      <c r="Q278" s="388"/>
      <c r="R278" s="345"/>
      <c r="S278" s="388"/>
      <c r="T278" s="311"/>
      <c r="U278" s="317"/>
      <c r="V278" s="5"/>
    </row>
    <row r="279" spans="1:22" ht="15.6" x14ac:dyDescent="0.3">
      <c r="A279" s="284"/>
      <c r="B279" s="292" t="s">
        <v>171</v>
      </c>
      <c r="C279" s="285"/>
      <c r="D279" s="285"/>
      <c r="E279" s="285"/>
      <c r="F279" s="285"/>
      <c r="G279" s="285"/>
      <c r="H279" s="387"/>
      <c r="I279" s="387"/>
      <c r="J279" s="387"/>
      <c r="K279" s="387"/>
      <c r="L279" s="385"/>
      <c r="M279" s="385"/>
      <c r="N279" s="385"/>
      <c r="O279" s="385"/>
      <c r="P279" s="403">
        <f>P277+P265+P253</f>
        <v>3544</v>
      </c>
      <c r="Q279" s="384"/>
      <c r="R279" s="404">
        <f>+R277+R265+R253</f>
        <v>457181</v>
      </c>
      <c r="S279" s="384"/>
      <c r="T279" s="311"/>
      <c r="U279" s="317"/>
      <c r="V279" s="5"/>
    </row>
    <row r="280" spans="1:22" ht="15.6" x14ac:dyDescent="0.3">
      <c r="A280" s="175"/>
      <c r="B280" s="281"/>
      <c r="C280" s="281"/>
      <c r="D280" s="281"/>
      <c r="E280" s="281"/>
      <c r="F280" s="281"/>
      <c r="G280" s="281"/>
      <c r="H280" s="386"/>
      <c r="I280" s="386"/>
      <c r="J280" s="386"/>
      <c r="K280" s="386"/>
      <c r="L280" s="379"/>
      <c r="M280" s="379"/>
      <c r="N280" s="379"/>
      <c r="O280" s="379"/>
      <c r="P280" s="379"/>
      <c r="Q280" s="379"/>
      <c r="R280" s="381"/>
      <c r="S280" s="379"/>
      <c r="T280" s="334"/>
      <c r="U280" s="334"/>
      <c r="V280" s="5"/>
    </row>
    <row r="281" spans="1:22" ht="15.6" x14ac:dyDescent="0.3">
      <c r="A281" s="175"/>
      <c r="B281" s="231"/>
      <c r="C281" s="231"/>
      <c r="D281" s="231"/>
      <c r="E281" s="231"/>
      <c r="F281" s="231"/>
      <c r="G281" s="231"/>
      <c r="H281" s="276"/>
      <c r="I281" s="276"/>
      <c r="J281" s="276"/>
      <c r="K281" s="276"/>
      <c r="L281" s="219"/>
      <c r="M281" s="219"/>
      <c r="N281" s="219"/>
      <c r="O281" s="219"/>
      <c r="P281" s="219"/>
      <c r="Q281" s="219"/>
      <c r="R281" s="220"/>
      <c r="S281" s="219"/>
      <c r="T281" s="177"/>
      <c r="U281" s="177"/>
      <c r="V281" s="5"/>
    </row>
    <row r="282" spans="1:22" ht="15.6" x14ac:dyDescent="0.3">
      <c r="A282" s="221"/>
      <c r="B282" s="230" t="s">
        <v>94</v>
      </c>
      <c r="C282" s="231"/>
      <c r="D282" s="231"/>
      <c r="E282" s="231"/>
      <c r="F282" s="236" t="s">
        <v>100</v>
      </c>
      <c r="G282" s="231"/>
      <c r="H282" s="230" t="s">
        <v>102</v>
      </c>
      <c r="I282" s="277"/>
      <c r="J282" s="277"/>
      <c r="K282" s="277"/>
      <c r="L282" s="188"/>
      <c r="M282" s="188"/>
      <c r="N282" s="188"/>
      <c r="O282" s="188"/>
      <c r="P282" s="188"/>
      <c r="Q282" s="188"/>
      <c r="R282" s="188"/>
      <c r="S282" s="188"/>
      <c r="T282" s="188"/>
      <c r="U282" s="188"/>
      <c r="V282" s="5"/>
    </row>
    <row r="283" spans="1:22" ht="15.6" x14ac:dyDescent="0.3">
      <c r="A283" s="221"/>
      <c r="B283" s="230" t="s">
        <v>316</v>
      </c>
      <c r="C283" s="230"/>
      <c r="D283" s="230"/>
      <c r="E283" s="230"/>
      <c r="F283" s="278" t="s">
        <v>154</v>
      </c>
      <c r="G283" s="230"/>
      <c r="H283" s="230" t="s">
        <v>158</v>
      </c>
      <c r="I283" s="277"/>
      <c r="J283" s="277"/>
      <c r="K283" s="277"/>
      <c r="L283" s="188"/>
      <c r="M283" s="188"/>
      <c r="N283" s="188"/>
      <c r="O283" s="188"/>
      <c r="P283" s="188"/>
      <c r="Q283" s="188"/>
      <c r="R283" s="188"/>
      <c r="S283" s="188"/>
      <c r="T283" s="188"/>
      <c r="U283" s="188"/>
      <c r="V283" s="5"/>
    </row>
    <row r="284" spans="1:22" ht="15.6" x14ac:dyDescent="0.3">
      <c r="A284" s="221"/>
      <c r="B284" s="230" t="s">
        <v>317</v>
      </c>
      <c r="C284" s="230"/>
      <c r="D284" s="230"/>
      <c r="E284" s="230"/>
      <c r="F284" s="278" t="s">
        <v>269</v>
      </c>
      <c r="G284" s="230"/>
      <c r="H284" s="230" t="s">
        <v>270</v>
      </c>
      <c r="I284" s="277"/>
      <c r="J284" s="277"/>
      <c r="K284" s="277"/>
      <c r="L284" s="188"/>
      <c r="M284" s="188"/>
      <c r="N284" s="188"/>
      <c r="O284" s="188"/>
      <c r="P284" s="188"/>
      <c r="Q284" s="188"/>
      <c r="R284" s="188"/>
      <c r="S284" s="188"/>
      <c r="T284" s="188"/>
      <c r="U284" s="188"/>
      <c r="V284" s="5"/>
    </row>
    <row r="285" spans="1:22" ht="15.6" x14ac:dyDescent="0.3">
      <c r="A285" s="221"/>
      <c r="B285" s="230" t="s">
        <v>318</v>
      </c>
      <c r="C285" s="230"/>
      <c r="D285" s="230"/>
      <c r="E285" s="230"/>
      <c r="F285" s="278" t="s">
        <v>153</v>
      </c>
      <c r="G285" s="230"/>
      <c r="H285" s="230" t="s">
        <v>159</v>
      </c>
      <c r="I285" s="277"/>
      <c r="J285" s="277"/>
      <c r="K285" s="277"/>
      <c r="L285" s="188"/>
      <c r="M285" s="188"/>
      <c r="N285" s="188"/>
      <c r="O285" s="188"/>
      <c r="P285" s="188"/>
      <c r="Q285" s="188"/>
      <c r="R285" s="188"/>
      <c r="S285" s="188"/>
      <c r="T285" s="188"/>
      <c r="U285" s="188"/>
      <c r="V285" s="5"/>
    </row>
    <row r="286" spans="1:22" ht="15.6" x14ac:dyDescent="0.3">
      <c r="A286" s="221"/>
      <c r="B286" s="230"/>
      <c r="C286" s="230"/>
      <c r="D286" s="230"/>
      <c r="E286" s="230"/>
      <c r="F286" s="230"/>
      <c r="G286" s="279"/>
      <c r="H286" s="277"/>
      <c r="I286" s="277"/>
      <c r="J286" s="277"/>
      <c r="K286" s="277"/>
      <c r="L286" s="188"/>
      <c r="M286" s="188"/>
      <c r="N286" s="188"/>
      <c r="O286" s="188"/>
      <c r="P286" s="188"/>
      <c r="Q286" s="188"/>
      <c r="R286" s="188"/>
      <c r="S286" s="188"/>
      <c r="T286" s="188"/>
      <c r="U286" s="188"/>
      <c r="V286" s="5"/>
    </row>
    <row r="287" spans="1:22" ht="15.6" x14ac:dyDescent="0.3">
      <c r="A287" s="221"/>
      <c r="B287" s="230"/>
      <c r="C287" s="230"/>
      <c r="D287" s="230"/>
      <c r="E287" s="230"/>
      <c r="F287" s="230"/>
      <c r="G287" s="279"/>
      <c r="H287" s="277"/>
      <c r="I287" s="277"/>
      <c r="J287" s="277"/>
      <c r="K287" s="277"/>
      <c r="L287" s="188"/>
      <c r="M287" s="188"/>
      <c r="N287" s="188"/>
      <c r="O287" s="188"/>
      <c r="P287" s="188"/>
      <c r="Q287" s="188"/>
      <c r="R287" s="188"/>
      <c r="S287" s="188"/>
      <c r="T287" s="188"/>
      <c r="U287" s="188"/>
      <c r="V287" s="5"/>
    </row>
    <row r="288" spans="1:22" ht="18" thickBot="1" x14ac:dyDescent="0.35">
      <c r="A288" s="221"/>
      <c r="B288" s="280" t="str">
        <f>B193</f>
        <v>PM11 INVESTOR REPORT QUARTER ENDING SEPTEMBER 2016</v>
      </c>
      <c r="C288" s="230"/>
      <c r="D288" s="230"/>
      <c r="E288" s="230"/>
      <c r="F288" s="230"/>
      <c r="G288" s="279"/>
      <c r="H288" s="277"/>
      <c r="I288" s="277"/>
      <c r="J288" s="277"/>
      <c r="K288" s="277"/>
      <c r="L288" s="188"/>
      <c r="M288" s="188"/>
      <c r="N288" s="188"/>
      <c r="O288" s="188"/>
      <c r="P288" s="188"/>
      <c r="Q288" s="188"/>
      <c r="R288" s="188"/>
      <c r="S288" s="188"/>
      <c r="T288" s="188"/>
      <c r="U288" s="188"/>
      <c r="V288" s="5"/>
    </row>
    <row r="289" spans="1:21" x14ac:dyDescent="0.25">
      <c r="A289" s="100"/>
      <c r="B289" s="100"/>
      <c r="C289" s="100"/>
      <c r="D289" s="100"/>
      <c r="E289" s="100"/>
      <c r="F289" s="100"/>
      <c r="G289" s="100"/>
      <c r="H289" s="100"/>
      <c r="I289" s="100"/>
      <c r="J289" s="100"/>
      <c r="K289" s="100"/>
      <c r="L289" s="100"/>
      <c r="M289" s="100"/>
      <c r="N289" s="100"/>
      <c r="O289" s="100"/>
      <c r="P289" s="100"/>
      <c r="Q289" s="100"/>
      <c r="R289" s="100"/>
      <c r="S289" s="100"/>
      <c r="T289" s="100"/>
      <c r="U289" s="100"/>
    </row>
  </sheetData>
  <hyperlinks>
    <hyperlink ref="N229" r:id="rId1" xr:uid="{00000000-0004-0000-2900-000000000000}"/>
    <hyperlink ref="J9" r:id="rId2" xr:uid="{00000000-0004-0000-29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4" max="20" man="1"/>
    <brk id="133" max="20" man="1"/>
    <brk id="193" max="20" man="1"/>
  </rowBreaks>
  <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89CB31"/>
  </sheetPr>
  <dimension ref="A1:X289"/>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08984375" style="1" customWidth="1"/>
    <col min="10" max="10" width="17.81640625" style="1" customWidth="1"/>
    <col min="11" max="11" width="2.1796875" style="1" customWidth="1"/>
    <col min="12" max="12" width="14.81640625" style="1" customWidth="1"/>
    <col min="13" max="13" width="2.1796875" style="1" customWidth="1"/>
    <col min="14" max="14" width="15.54296875" style="1" customWidth="1"/>
    <col min="15" max="15" width="2.08984375" style="1" customWidth="1"/>
    <col min="16" max="16" width="15.54296875" style="1" customWidth="1"/>
    <col min="17" max="18" width="12.81640625" style="1" customWidth="1"/>
    <col min="19" max="19" width="7.81640625" style="1" customWidth="1"/>
    <col min="20" max="20" width="14.81640625" style="1" customWidth="1"/>
    <col min="21" max="21" width="11.81640625" style="1" customWidth="1"/>
    <col min="22" max="16384" width="9.81640625" style="1"/>
  </cols>
  <sheetData>
    <row r="1" spans="1:22" ht="20.399999999999999" x14ac:dyDescent="0.35">
      <c r="A1" s="173"/>
      <c r="B1" s="228" t="s">
        <v>228</v>
      </c>
      <c r="C1" s="174"/>
      <c r="D1" s="174"/>
      <c r="E1" s="174"/>
      <c r="F1" s="174"/>
      <c r="G1" s="174"/>
      <c r="H1" s="174"/>
      <c r="I1" s="174"/>
      <c r="J1" s="174"/>
      <c r="K1" s="174"/>
      <c r="L1" s="174"/>
      <c r="M1" s="174"/>
      <c r="N1" s="174"/>
      <c r="O1" s="174"/>
      <c r="P1" s="174"/>
      <c r="Q1" s="174"/>
      <c r="R1" s="174"/>
      <c r="S1" s="174"/>
      <c r="T1" s="174"/>
      <c r="U1" s="174"/>
      <c r="V1" s="5"/>
    </row>
    <row r="2" spans="1:22" ht="15.6" x14ac:dyDescent="0.3">
      <c r="A2" s="175"/>
      <c r="B2" s="176"/>
      <c r="C2" s="177"/>
      <c r="D2" s="177"/>
      <c r="E2" s="177"/>
      <c r="F2" s="177"/>
      <c r="G2" s="177"/>
      <c r="H2" s="177"/>
      <c r="I2" s="177"/>
      <c r="J2" s="177"/>
      <c r="K2" s="177"/>
      <c r="L2" s="177"/>
      <c r="M2" s="177"/>
      <c r="N2" s="177"/>
      <c r="O2" s="177"/>
      <c r="P2" s="177"/>
      <c r="Q2" s="177"/>
      <c r="R2" s="177"/>
      <c r="S2" s="177"/>
      <c r="T2" s="177"/>
      <c r="U2" s="177"/>
      <c r="V2" s="5"/>
    </row>
    <row r="3" spans="1:22" ht="15.6" x14ac:dyDescent="0.3">
      <c r="A3" s="178"/>
      <c r="B3" s="179" t="s">
        <v>229</v>
      </c>
      <c r="C3" s="177"/>
      <c r="D3" s="177"/>
      <c r="E3" s="177"/>
      <c r="F3" s="177"/>
      <c r="G3" s="177"/>
      <c r="H3" s="177"/>
      <c r="I3" s="177"/>
      <c r="J3" s="177"/>
      <c r="K3" s="177"/>
      <c r="L3" s="177"/>
      <c r="M3" s="177"/>
      <c r="N3" s="177"/>
      <c r="O3" s="177"/>
      <c r="P3" s="177"/>
      <c r="Q3" s="177"/>
      <c r="R3" s="177"/>
      <c r="S3" s="177"/>
      <c r="T3" s="177"/>
      <c r="U3" s="177"/>
      <c r="V3" s="5"/>
    </row>
    <row r="4" spans="1:22" ht="15.6" x14ac:dyDescent="0.3">
      <c r="A4" s="175"/>
      <c r="B4" s="176"/>
      <c r="C4" s="177"/>
      <c r="D4" s="177"/>
      <c r="E4" s="177"/>
      <c r="F4" s="177"/>
      <c r="G4" s="177"/>
      <c r="H4" s="177"/>
      <c r="I4" s="177"/>
      <c r="J4" s="177"/>
      <c r="K4" s="177"/>
      <c r="L4" s="177"/>
      <c r="M4" s="177"/>
      <c r="N4" s="177"/>
      <c r="O4" s="177"/>
      <c r="P4" s="177"/>
      <c r="Q4" s="177"/>
      <c r="R4" s="177"/>
      <c r="S4" s="177"/>
      <c r="T4" s="177"/>
      <c r="U4" s="177"/>
      <c r="V4" s="5"/>
    </row>
    <row r="5" spans="1:22" ht="15.6" x14ac:dyDescent="0.3">
      <c r="A5" s="175"/>
      <c r="B5" s="229" t="s">
        <v>143</v>
      </c>
      <c r="C5" s="177"/>
      <c r="D5" s="177"/>
      <c r="E5" s="177"/>
      <c r="F5" s="177"/>
      <c r="G5" s="177"/>
      <c r="H5" s="177"/>
      <c r="I5" s="177"/>
      <c r="J5" s="177"/>
      <c r="K5" s="177"/>
      <c r="L5" s="177"/>
      <c r="M5" s="177"/>
      <c r="N5" s="177"/>
      <c r="O5" s="177"/>
      <c r="P5" s="177"/>
      <c r="Q5" s="177"/>
      <c r="R5" s="177"/>
      <c r="S5" s="177"/>
      <c r="T5" s="177"/>
      <c r="U5" s="177"/>
      <c r="V5" s="5"/>
    </row>
    <row r="6" spans="1:22" ht="15.6" x14ac:dyDescent="0.3">
      <c r="A6" s="175"/>
      <c r="B6" s="229" t="s">
        <v>145</v>
      </c>
      <c r="C6" s="177"/>
      <c r="D6" s="177"/>
      <c r="E6" s="177"/>
      <c r="F6" s="177"/>
      <c r="G6" s="177"/>
      <c r="H6" s="177"/>
      <c r="I6" s="177"/>
      <c r="J6" s="177"/>
      <c r="K6" s="177"/>
      <c r="L6" s="177"/>
      <c r="M6" s="177"/>
      <c r="N6" s="177"/>
      <c r="O6" s="177"/>
      <c r="P6" s="177"/>
      <c r="Q6" s="177"/>
      <c r="R6" s="177"/>
      <c r="S6" s="177"/>
      <c r="T6" s="177"/>
      <c r="U6" s="177"/>
      <c r="V6" s="5"/>
    </row>
    <row r="7" spans="1:22" ht="15.6" x14ac:dyDescent="0.3">
      <c r="A7" s="175"/>
      <c r="B7" s="229" t="s">
        <v>144</v>
      </c>
      <c r="C7" s="177"/>
      <c r="D7" s="177"/>
      <c r="E7" s="177"/>
      <c r="F7" s="177"/>
      <c r="G7" s="177"/>
      <c r="H7" s="177"/>
      <c r="I7" s="177"/>
      <c r="J7" s="177"/>
      <c r="K7" s="177"/>
      <c r="L7" s="177"/>
      <c r="M7" s="177"/>
      <c r="N7" s="177"/>
      <c r="O7" s="177"/>
      <c r="P7" s="177"/>
      <c r="Q7" s="177"/>
      <c r="R7" s="177"/>
      <c r="S7" s="177"/>
      <c r="T7" s="177"/>
      <c r="U7" s="177"/>
      <c r="V7" s="5"/>
    </row>
    <row r="8" spans="1:22" ht="15.6" x14ac:dyDescent="0.3">
      <c r="A8" s="175"/>
      <c r="B8" s="180"/>
      <c r="C8" s="177"/>
      <c r="D8" s="177"/>
      <c r="E8" s="177"/>
      <c r="F8" s="177"/>
      <c r="G8" s="177"/>
      <c r="H8" s="177"/>
      <c r="I8" s="177"/>
      <c r="J8" s="177"/>
      <c r="K8" s="177"/>
      <c r="L8" s="177"/>
      <c r="M8" s="177"/>
      <c r="N8" s="177"/>
      <c r="O8" s="177"/>
      <c r="P8" s="177"/>
      <c r="Q8" s="177"/>
      <c r="R8" s="177"/>
      <c r="S8" s="177"/>
      <c r="T8" s="177"/>
      <c r="U8" s="177"/>
      <c r="V8" s="5"/>
    </row>
    <row r="9" spans="1:22" ht="17.399999999999999" x14ac:dyDescent="0.3">
      <c r="A9" s="175"/>
      <c r="B9" s="181" t="s">
        <v>173</v>
      </c>
      <c r="C9" s="177"/>
      <c r="D9" s="177"/>
      <c r="E9" s="177"/>
      <c r="F9" s="177"/>
      <c r="G9" s="177"/>
      <c r="H9" s="177"/>
      <c r="I9" s="177"/>
      <c r="J9" s="182" t="s">
        <v>174</v>
      </c>
      <c r="K9" s="177"/>
      <c r="L9" s="182"/>
      <c r="M9" s="177"/>
      <c r="N9" s="177"/>
      <c r="O9" s="177"/>
      <c r="P9" s="177"/>
      <c r="Q9" s="177"/>
      <c r="R9" s="177"/>
      <c r="S9" s="177"/>
      <c r="T9" s="177"/>
      <c r="U9" s="177"/>
      <c r="V9" s="5"/>
    </row>
    <row r="10" spans="1:22" ht="15.6" x14ac:dyDescent="0.3">
      <c r="A10" s="175"/>
      <c r="B10" s="180"/>
      <c r="C10" s="183"/>
      <c r="D10" s="183"/>
      <c r="E10" s="183"/>
      <c r="F10" s="177"/>
      <c r="G10" s="177"/>
      <c r="H10" s="177"/>
      <c r="I10" s="177"/>
      <c r="J10" s="177"/>
      <c r="K10" s="177"/>
      <c r="L10" s="177"/>
      <c r="M10" s="177"/>
      <c r="N10" s="177"/>
      <c r="O10" s="177"/>
      <c r="P10" s="177"/>
      <c r="Q10" s="177"/>
      <c r="R10" s="177"/>
      <c r="S10" s="177"/>
      <c r="T10" s="177"/>
      <c r="U10" s="177"/>
      <c r="V10" s="5"/>
    </row>
    <row r="11" spans="1:22" ht="15.6" x14ac:dyDescent="0.3">
      <c r="A11" s="175"/>
      <c r="B11" s="230" t="s">
        <v>0</v>
      </c>
      <c r="C11" s="177"/>
      <c r="D11" s="177"/>
      <c r="E11" s="177"/>
      <c r="F11" s="177"/>
      <c r="G11" s="177"/>
      <c r="H11" s="177"/>
      <c r="I11" s="177"/>
      <c r="J11" s="177"/>
      <c r="K11" s="177"/>
      <c r="L11" s="177"/>
      <c r="M11" s="177"/>
      <c r="N11" s="177"/>
      <c r="O11" s="177"/>
      <c r="P11" s="177"/>
      <c r="Q11" s="177"/>
      <c r="R11" s="177"/>
      <c r="S11" s="177"/>
      <c r="T11" s="177"/>
      <c r="U11" s="177"/>
      <c r="V11" s="5"/>
    </row>
    <row r="12" spans="1:22" ht="16.2" thickBot="1" x14ac:dyDescent="0.35">
      <c r="A12" s="175"/>
      <c r="B12" s="183"/>
      <c r="C12" s="177"/>
      <c r="D12" s="177"/>
      <c r="E12" s="177"/>
      <c r="F12" s="177"/>
      <c r="G12" s="177"/>
      <c r="H12" s="177"/>
      <c r="I12" s="177"/>
      <c r="J12" s="177"/>
      <c r="K12" s="177"/>
      <c r="L12" s="177"/>
      <c r="M12" s="177"/>
      <c r="N12" s="177"/>
      <c r="O12" s="177"/>
      <c r="P12" s="177"/>
      <c r="Q12" s="177"/>
      <c r="R12" s="177"/>
      <c r="S12" s="177"/>
      <c r="T12" s="177"/>
      <c r="U12" s="177"/>
      <c r="V12" s="5"/>
    </row>
    <row r="13" spans="1:22" ht="15.6" x14ac:dyDescent="0.3">
      <c r="A13" s="173"/>
      <c r="B13" s="174"/>
      <c r="C13" s="174"/>
      <c r="D13" s="174"/>
      <c r="E13" s="174"/>
      <c r="F13" s="174"/>
      <c r="G13" s="174"/>
      <c r="H13" s="174"/>
      <c r="I13" s="174"/>
      <c r="J13" s="174"/>
      <c r="K13" s="174"/>
      <c r="L13" s="174"/>
      <c r="M13" s="174"/>
      <c r="N13" s="174"/>
      <c r="O13" s="174"/>
      <c r="P13" s="174"/>
      <c r="Q13" s="174"/>
      <c r="R13" s="174"/>
      <c r="S13" s="174"/>
      <c r="T13" s="174"/>
      <c r="U13" s="174"/>
      <c r="V13" s="5"/>
    </row>
    <row r="14" spans="1:22" ht="15.6" x14ac:dyDescent="0.3">
      <c r="A14" s="175"/>
      <c r="B14" s="230" t="s">
        <v>1</v>
      </c>
      <c r="C14" s="184"/>
      <c r="D14" s="184"/>
      <c r="E14" s="184"/>
      <c r="F14" s="184"/>
      <c r="G14" s="184"/>
      <c r="H14" s="184"/>
      <c r="I14" s="184"/>
      <c r="J14" s="184"/>
      <c r="K14" s="184"/>
      <c r="L14" s="184"/>
      <c r="M14" s="184"/>
      <c r="N14" s="184"/>
      <c r="O14" s="184"/>
      <c r="P14" s="231"/>
      <c r="Q14" s="231"/>
      <c r="R14" s="231"/>
      <c r="S14" s="231"/>
      <c r="T14" s="233" t="s">
        <v>230</v>
      </c>
      <c r="U14" s="184"/>
      <c r="V14" s="5"/>
    </row>
    <row r="15" spans="1:22" ht="15.6" x14ac:dyDescent="0.3">
      <c r="A15" s="175"/>
      <c r="B15" s="230" t="s">
        <v>2</v>
      </c>
      <c r="C15" s="184"/>
      <c r="D15" s="184"/>
      <c r="E15" s="184"/>
      <c r="F15" s="184"/>
      <c r="G15" s="184"/>
      <c r="H15" s="185"/>
      <c r="I15" s="185"/>
      <c r="J15" s="185"/>
      <c r="K15" s="185"/>
      <c r="L15" s="185"/>
      <c r="M15" s="185"/>
      <c r="N15" s="185"/>
      <c r="O15" s="185"/>
      <c r="P15" s="234" t="s">
        <v>107</v>
      </c>
      <c r="Q15" s="235">
        <v>0.40749999999999997</v>
      </c>
      <c r="R15" s="236" t="s">
        <v>146</v>
      </c>
      <c r="S15" s="235">
        <v>0.59250000000000003</v>
      </c>
      <c r="T15" s="233"/>
      <c r="U15" s="184"/>
      <c r="V15" s="5"/>
    </row>
    <row r="16" spans="1:22" ht="15.6" x14ac:dyDescent="0.3">
      <c r="A16" s="175"/>
      <c r="B16" s="230" t="s">
        <v>3</v>
      </c>
      <c r="C16" s="184"/>
      <c r="D16" s="184"/>
      <c r="E16" s="184"/>
      <c r="F16" s="184"/>
      <c r="G16" s="184"/>
      <c r="H16" s="185"/>
      <c r="I16" s="185"/>
      <c r="J16" s="185"/>
      <c r="K16" s="185"/>
      <c r="L16" s="185"/>
      <c r="M16" s="185"/>
      <c r="N16" s="185"/>
      <c r="O16" s="185"/>
      <c r="P16" s="234" t="s">
        <v>107</v>
      </c>
      <c r="Q16" s="235">
        <v>0.48230000000000001</v>
      </c>
      <c r="R16" s="236" t="s">
        <v>146</v>
      </c>
      <c r="S16" s="235">
        <v>0.51770000000000005</v>
      </c>
      <c r="T16" s="233"/>
      <c r="U16" s="184"/>
      <c r="V16" s="5"/>
    </row>
    <row r="17" spans="1:22" ht="15.6" x14ac:dyDescent="0.3">
      <c r="A17" s="175"/>
      <c r="B17" s="230" t="s">
        <v>4</v>
      </c>
      <c r="C17" s="184"/>
      <c r="D17" s="184"/>
      <c r="E17" s="184"/>
      <c r="F17" s="184"/>
      <c r="G17" s="184"/>
      <c r="H17" s="184"/>
      <c r="I17" s="184"/>
      <c r="J17" s="184"/>
      <c r="K17" s="184"/>
      <c r="L17" s="184"/>
      <c r="M17" s="184"/>
      <c r="N17" s="184"/>
      <c r="O17" s="184"/>
      <c r="P17" s="231"/>
      <c r="Q17" s="231"/>
      <c r="R17" s="231"/>
      <c r="S17" s="231"/>
      <c r="T17" s="237">
        <v>38799</v>
      </c>
      <c r="U17" s="184"/>
      <c r="V17" s="5"/>
    </row>
    <row r="18" spans="1:22" ht="15.6" x14ac:dyDescent="0.3">
      <c r="A18" s="175"/>
      <c r="B18" s="230" t="s">
        <v>5</v>
      </c>
      <c r="C18" s="184"/>
      <c r="D18" s="184"/>
      <c r="E18" s="184"/>
      <c r="F18" s="184"/>
      <c r="G18" s="184"/>
      <c r="H18" s="184"/>
      <c r="I18" s="184"/>
      <c r="J18" s="184"/>
      <c r="K18" s="184"/>
      <c r="L18" s="184"/>
      <c r="M18" s="184"/>
      <c r="N18" s="184"/>
      <c r="O18" s="184"/>
      <c r="P18" s="231"/>
      <c r="Q18" s="231"/>
      <c r="R18" s="231"/>
      <c r="S18" s="231"/>
      <c r="T18" s="237">
        <v>42758</v>
      </c>
      <c r="U18" s="184"/>
      <c r="V18" s="5"/>
    </row>
    <row r="19" spans="1:22" ht="15.6" x14ac:dyDescent="0.3">
      <c r="A19" s="175"/>
      <c r="B19" s="177"/>
      <c r="C19" s="177"/>
      <c r="D19" s="177"/>
      <c r="E19" s="177"/>
      <c r="F19" s="177"/>
      <c r="G19" s="177"/>
      <c r="H19" s="177"/>
      <c r="I19" s="177"/>
      <c r="J19" s="177"/>
      <c r="K19" s="177"/>
      <c r="L19" s="177"/>
      <c r="M19" s="177"/>
      <c r="N19" s="177"/>
      <c r="O19" s="177"/>
      <c r="P19" s="177"/>
      <c r="Q19" s="177"/>
      <c r="R19" s="177"/>
      <c r="S19" s="177"/>
      <c r="T19" s="186"/>
      <c r="U19" s="177"/>
      <c r="V19" s="5"/>
    </row>
    <row r="20" spans="1:22" ht="15.6" x14ac:dyDescent="0.3">
      <c r="A20" s="175"/>
      <c r="B20" s="232" t="s">
        <v>6</v>
      </c>
      <c r="C20" s="177"/>
      <c r="D20" s="177"/>
      <c r="E20" s="177"/>
      <c r="F20" s="177"/>
      <c r="G20" s="177"/>
      <c r="H20" s="177"/>
      <c r="I20" s="177"/>
      <c r="J20" s="177"/>
      <c r="K20" s="177"/>
      <c r="L20" s="177"/>
      <c r="M20" s="177"/>
      <c r="N20" s="177"/>
      <c r="O20" s="177"/>
      <c r="P20" s="177"/>
      <c r="Q20" s="177"/>
      <c r="R20" s="238" t="s">
        <v>108</v>
      </c>
      <c r="S20" s="177"/>
      <c r="T20" s="188"/>
      <c r="U20" s="177"/>
      <c r="V20" s="5"/>
    </row>
    <row r="21" spans="1:22" ht="15.6" x14ac:dyDescent="0.3">
      <c r="A21" s="175"/>
      <c r="B21" s="177"/>
      <c r="C21" s="177"/>
      <c r="D21" s="177"/>
      <c r="E21" s="177"/>
      <c r="F21" s="177"/>
      <c r="G21" s="177"/>
      <c r="H21" s="177"/>
      <c r="I21" s="177"/>
      <c r="J21" s="177"/>
      <c r="K21" s="177"/>
      <c r="L21" s="177"/>
      <c r="M21" s="177"/>
      <c r="N21" s="177"/>
      <c r="O21" s="177"/>
      <c r="P21" s="177"/>
      <c r="Q21" s="177"/>
      <c r="R21" s="177"/>
      <c r="S21" s="177"/>
      <c r="T21" s="189"/>
      <c r="U21" s="177"/>
      <c r="V21" s="5"/>
    </row>
    <row r="22" spans="1:22" ht="15.6" x14ac:dyDescent="0.3">
      <c r="A22" s="222"/>
      <c r="B22" s="223"/>
      <c r="C22" s="224"/>
      <c r="D22" s="224" t="s">
        <v>184</v>
      </c>
      <c r="E22" s="224"/>
      <c r="F22" s="224" t="s">
        <v>185</v>
      </c>
      <c r="G22" s="224"/>
      <c r="H22" s="224" t="s">
        <v>186</v>
      </c>
      <c r="I22" s="224"/>
      <c r="J22" s="224" t="s">
        <v>187</v>
      </c>
      <c r="K22" s="224"/>
      <c r="L22" s="224" t="s">
        <v>188</v>
      </c>
      <c r="M22" s="224"/>
      <c r="N22" s="224" t="s">
        <v>189</v>
      </c>
      <c r="O22" s="224"/>
      <c r="P22" s="224"/>
      <c r="Q22" s="226"/>
      <c r="R22" s="226"/>
      <c r="S22" s="227"/>
      <c r="T22" s="227"/>
      <c r="U22" s="223"/>
      <c r="V22" s="5"/>
    </row>
    <row r="23" spans="1:22" ht="15.6" x14ac:dyDescent="0.3">
      <c r="A23" s="190"/>
      <c r="B23" s="239" t="s">
        <v>7</v>
      </c>
      <c r="C23" s="240"/>
      <c r="D23" s="240" t="s">
        <v>222</v>
      </c>
      <c r="E23" s="240"/>
      <c r="F23" s="240" t="s">
        <v>147</v>
      </c>
      <c r="G23" s="240"/>
      <c r="H23" s="240" t="s">
        <v>147</v>
      </c>
      <c r="I23" s="240"/>
      <c r="J23" s="240" t="s">
        <v>190</v>
      </c>
      <c r="K23" s="240"/>
      <c r="L23" s="240" t="s">
        <v>190</v>
      </c>
      <c r="M23" s="240"/>
      <c r="N23" s="240" t="s">
        <v>148</v>
      </c>
      <c r="O23" s="240"/>
      <c r="P23" s="240"/>
      <c r="Q23" s="240"/>
      <c r="R23" s="240"/>
      <c r="S23" s="241"/>
      <c r="T23" s="241"/>
      <c r="U23" s="239"/>
      <c r="V23" s="5"/>
    </row>
    <row r="24" spans="1:22" ht="15.6" x14ac:dyDescent="0.3">
      <c r="A24" s="284"/>
      <c r="B24" s="285" t="s">
        <v>8</v>
      </c>
      <c r="C24" s="286"/>
      <c r="D24" s="286" t="s">
        <v>223</v>
      </c>
      <c r="E24" s="286"/>
      <c r="F24" s="286" t="s">
        <v>149</v>
      </c>
      <c r="G24" s="286"/>
      <c r="H24" s="286" t="s">
        <v>149</v>
      </c>
      <c r="I24" s="286"/>
      <c r="J24" s="286" t="s">
        <v>172</v>
      </c>
      <c r="K24" s="286"/>
      <c r="L24" s="286" t="s">
        <v>172</v>
      </c>
      <c r="M24" s="286"/>
      <c r="N24" s="286" t="s">
        <v>150</v>
      </c>
      <c r="O24" s="286"/>
      <c r="P24" s="286"/>
      <c r="Q24" s="286"/>
      <c r="R24" s="286"/>
      <c r="S24" s="287"/>
      <c r="T24" s="287"/>
      <c r="U24" s="288"/>
      <c r="V24" s="5"/>
    </row>
    <row r="25" spans="1:22" ht="15.6" x14ac:dyDescent="0.3">
      <c r="A25" s="289"/>
      <c r="B25" s="285" t="s">
        <v>198</v>
      </c>
      <c r="C25" s="394"/>
      <c r="D25" s="286" t="s">
        <v>224</v>
      </c>
      <c r="E25" s="286"/>
      <c r="F25" s="286" t="s">
        <v>149</v>
      </c>
      <c r="G25" s="286"/>
      <c r="H25" s="286" t="s">
        <v>149</v>
      </c>
      <c r="I25" s="286"/>
      <c r="J25" s="286" t="s">
        <v>172</v>
      </c>
      <c r="K25" s="286"/>
      <c r="L25" s="286" t="s">
        <v>172</v>
      </c>
      <c r="M25" s="286"/>
      <c r="N25" s="286" t="s">
        <v>150</v>
      </c>
      <c r="O25" s="286"/>
      <c r="P25" s="286"/>
      <c r="Q25" s="394"/>
      <c r="R25" s="286"/>
      <c r="S25" s="287"/>
      <c r="T25" s="287"/>
      <c r="U25" s="288"/>
      <c r="V25" s="5"/>
    </row>
    <row r="26" spans="1:22" ht="15.6" x14ac:dyDescent="0.3">
      <c r="A26" s="289"/>
      <c r="B26" s="292" t="s">
        <v>9</v>
      </c>
      <c r="C26" s="394"/>
      <c r="D26" s="394" t="s">
        <v>326</v>
      </c>
      <c r="E26" s="394"/>
      <c r="F26" s="394" t="s">
        <v>327</v>
      </c>
      <c r="G26" s="394"/>
      <c r="H26" s="394" t="s">
        <v>327</v>
      </c>
      <c r="I26" s="394"/>
      <c r="J26" s="394" t="s">
        <v>190</v>
      </c>
      <c r="K26" s="394"/>
      <c r="L26" s="394" t="s">
        <v>190</v>
      </c>
      <c r="M26" s="394"/>
      <c r="N26" s="394" t="s">
        <v>148</v>
      </c>
      <c r="O26" s="394"/>
      <c r="P26" s="394"/>
      <c r="Q26" s="394"/>
      <c r="R26" s="286"/>
      <c r="S26" s="287"/>
      <c r="T26" s="287"/>
      <c r="U26" s="288"/>
      <c r="V26" s="5"/>
    </row>
    <row r="27" spans="1:22" ht="15.6" x14ac:dyDescent="0.3">
      <c r="A27" s="284"/>
      <c r="B27" s="292" t="s">
        <v>199</v>
      </c>
      <c r="C27" s="286"/>
      <c r="D27" s="394" t="s">
        <v>334</v>
      </c>
      <c r="E27" s="394"/>
      <c r="F27" s="394" t="s">
        <v>322</v>
      </c>
      <c r="G27" s="394"/>
      <c r="H27" s="394" t="s">
        <v>322</v>
      </c>
      <c r="I27" s="394"/>
      <c r="J27" s="394" t="s">
        <v>150</v>
      </c>
      <c r="K27" s="394"/>
      <c r="L27" s="394" t="s">
        <v>150</v>
      </c>
      <c r="M27" s="394"/>
      <c r="N27" s="394" t="s">
        <v>333</v>
      </c>
      <c r="O27" s="394"/>
      <c r="P27" s="394"/>
      <c r="Q27" s="286"/>
      <c r="R27" s="293"/>
      <c r="S27" s="287"/>
      <c r="T27" s="287"/>
      <c r="U27" s="288"/>
      <c r="V27" s="5"/>
    </row>
    <row r="28" spans="1:22" ht="15.6" x14ac:dyDescent="0.3">
      <c r="A28" s="284"/>
      <c r="B28" s="292" t="s">
        <v>200</v>
      </c>
      <c r="C28" s="286"/>
      <c r="D28" s="394" t="s">
        <v>332</v>
      </c>
      <c r="E28" s="394"/>
      <c r="F28" s="394" t="s">
        <v>149</v>
      </c>
      <c r="G28" s="394"/>
      <c r="H28" s="394" t="s">
        <v>149</v>
      </c>
      <c r="I28" s="394"/>
      <c r="J28" s="394" t="s">
        <v>149</v>
      </c>
      <c r="K28" s="394"/>
      <c r="L28" s="394" t="s">
        <v>149</v>
      </c>
      <c r="M28" s="394"/>
      <c r="N28" s="394" t="s">
        <v>150</v>
      </c>
      <c r="O28" s="394"/>
      <c r="P28" s="394"/>
      <c r="Q28" s="286"/>
      <c r="R28" s="293"/>
      <c r="S28" s="287"/>
      <c r="T28" s="287"/>
      <c r="U28" s="288"/>
      <c r="V28" s="5"/>
    </row>
    <row r="29" spans="1:22" ht="15.6" x14ac:dyDescent="0.3">
      <c r="A29" s="284"/>
      <c r="B29" s="285" t="s">
        <v>10</v>
      </c>
      <c r="C29" s="295"/>
      <c r="D29" s="286" t="s">
        <v>237</v>
      </c>
      <c r="E29" s="286"/>
      <c r="F29" s="293" t="s">
        <v>238</v>
      </c>
      <c r="G29" s="286"/>
      <c r="H29" s="286" t="s">
        <v>239</v>
      </c>
      <c r="I29" s="286"/>
      <c r="J29" s="286" t="s">
        <v>240</v>
      </c>
      <c r="K29" s="286"/>
      <c r="L29" s="286" t="s">
        <v>241</v>
      </c>
      <c r="M29" s="286"/>
      <c r="N29" s="286" t="s">
        <v>242</v>
      </c>
      <c r="O29" s="286"/>
      <c r="P29" s="286"/>
      <c r="Q29" s="296"/>
      <c r="R29" s="296"/>
      <c r="S29" s="297"/>
      <c r="T29" s="296"/>
      <c r="U29" s="298"/>
      <c r="V29" s="5"/>
    </row>
    <row r="30" spans="1:22" ht="15.6" x14ac:dyDescent="0.3">
      <c r="A30" s="284"/>
      <c r="B30" s="285" t="s">
        <v>10</v>
      </c>
      <c r="C30" s="295"/>
      <c r="D30" s="286" t="s">
        <v>236</v>
      </c>
      <c r="E30" s="286"/>
      <c r="F30" s="293" t="s">
        <v>124</v>
      </c>
      <c r="G30" s="286"/>
      <c r="H30" s="286" t="s">
        <v>124</v>
      </c>
      <c r="I30" s="286"/>
      <c r="J30" s="286" t="s">
        <v>124</v>
      </c>
      <c r="K30" s="286"/>
      <c r="L30" s="286" t="s">
        <v>124</v>
      </c>
      <c r="M30" s="286"/>
      <c r="N30" s="286" t="s">
        <v>124</v>
      </c>
      <c r="O30" s="286"/>
      <c r="P30" s="286"/>
      <c r="Q30" s="296"/>
      <c r="R30" s="296"/>
      <c r="S30" s="297"/>
      <c r="T30" s="296"/>
      <c r="U30" s="298"/>
      <c r="V30" s="5"/>
    </row>
    <row r="31" spans="1:22" ht="15.6" x14ac:dyDescent="0.3">
      <c r="A31" s="289"/>
      <c r="B31" s="285" t="s">
        <v>139</v>
      </c>
      <c r="C31" s="299"/>
      <c r="D31" s="300">
        <v>985000</v>
      </c>
      <c r="E31" s="295"/>
      <c r="F31" s="296">
        <v>149500</v>
      </c>
      <c r="G31" s="296"/>
      <c r="H31" s="301">
        <v>219700</v>
      </c>
      <c r="I31" s="296"/>
      <c r="J31" s="296">
        <v>16000</v>
      </c>
      <c r="K31" s="296"/>
      <c r="L31" s="301">
        <v>82400</v>
      </c>
      <c r="M31" s="296"/>
      <c r="N31" s="301">
        <v>87500</v>
      </c>
      <c r="O31" s="296"/>
      <c r="P31" s="301"/>
      <c r="Q31" s="302"/>
      <c r="R31" s="302"/>
      <c r="S31" s="303"/>
      <c r="T31" s="302"/>
      <c r="U31" s="298"/>
      <c r="V31" s="5"/>
    </row>
    <row r="32" spans="1:22" ht="15.6" x14ac:dyDescent="0.3">
      <c r="A32" s="284"/>
      <c r="B32" s="285" t="s">
        <v>138</v>
      </c>
      <c r="C32" s="295"/>
      <c r="D32" s="300">
        <f>D38*D31</f>
        <v>381022.72349999996</v>
      </c>
      <c r="E32" s="295"/>
      <c r="F32" s="296">
        <f>F38*F31</f>
        <v>57830.636499999993</v>
      </c>
      <c r="G32" s="296"/>
      <c r="H32" s="301">
        <f>H38*H31</f>
        <v>84985.891899999988</v>
      </c>
      <c r="I32" s="296"/>
      <c r="J32" s="296">
        <f>J31*J38</f>
        <v>14679.136</v>
      </c>
      <c r="K32" s="296"/>
      <c r="L32" s="301">
        <f>L31*L38</f>
        <v>75597.550399999993</v>
      </c>
      <c r="M32" s="296"/>
      <c r="N32" s="301">
        <f>N31*N38</f>
        <v>80276.524999999994</v>
      </c>
      <c r="O32" s="296"/>
      <c r="P32" s="301"/>
      <c r="Q32" s="296"/>
      <c r="R32" s="296"/>
      <c r="S32" s="297"/>
      <c r="T32" s="296"/>
      <c r="U32" s="298"/>
      <c r="V32" s="5"/>
    </row>
    <row r="33" spans="1:22" ht="15.6" x14ac:dyDescent="0.3">
      <c r="A33" s="284"/>
      <c r="B33" s="292" t="s">
        <v>140</v>
      </c>
      <c r="C33" s="295"/>
      <c r="D33" s="304">
        <f>D37*D31</f>
        <v>373871.62349999999</v>
      </c>
      <c r="E33" s="299"/>
      <c r="F33" s="302">
        <f>F37*F31</f>
        <v>56745.266499999998</v>
      </c>
      <c r="G33" s="302"/>
      <c r="H33" s="305">
        <f>H31*H37</f>
        <v>83390.869899999991</v>
      </c>
      <c r="I33" s="302"/>
      <c r="J33" s="302">
        <f>J31*J37</f>
        <v>14403.6384</v>
      </c>
      <c r="K33" s="302"/>
      <c r="L33" s="305">
        <f>L31*L37</f>
        <v>74178.737760000004</v>
      </c>
      <c r="M33" s="302"/>
      <c r="N33" s="305">
        <f>N31*N37</f>
        <v>78769.897500000006</v>
      </c>
      <c r="O33" s="302"/>
      <c r="P33" s="305"/>
      <c r="Q33" s="296"/>
      <c r="R33" s="296"/>
      <c r="S33" s="297"/>
      <c r="T33" s="296"/>
      <c r="U33" s="298"/>
      <c r="V33" s="5"/>
    </row>
    <row r="34" spans="1:22" ht="15.6" x14ac:dyDescent="0.3">
      <c r="A34" s="289"/>
      <c r="B34" s="285" t="s">
        <v>283</v>
      </c>
      <c r="C34" s="299"/>
      <c r="D34" s="296">
        <v>567282</v>
      </c>
      <c r="E34" s="295"/>
      <c r="F34" s="296">
        <v>149500</v>
      </c>
      <c r="G34" s="296"/>
      <c r="H34" s="296">
        <v>150716</v>
      </c>
      <c r="I34" s="296"/>
      <c r="J34" s="296">
        <v>16000</v>
      </c>
      <c r="K34" s="296"/>
      <c r="L34" s="296">
        <v>56527</v>
      </c>
      <c r="M34" s="296"/>
      <c r="N34" s="296">
        <v>60025</v>
      </c>
      <c r="O34" s="296"/>
      <c r="P34" s="296"/>
      <c r="Q34" s="302"/>
      <c r="R34" s="302"/>
      <c r="S34" s="303"/>
      <c r="T34" s="296">
        <f>SUM(C34:P34)</f>
        <v>1000050</v>
      </c>
      <c r="U34" s="298"/>
      <c r="V34" s="5"/>
    </row>
    <row r="35" spans="1:22" ht="15.6" x14ac:dyDescent="0.3">
      <c r="A35" s="289"/>
      <c r="B35" s="285" t="s">
        <v>284</v>
      </c>
      <c r="C35" s="299"/>
      <c r="D35" s="296">
        <f>D38*D34</f>
        <v>219438.9163782</v>
      </c>
      <c r="E35" s="295"/>
      <c r="F35" s="296">
        <f>F38*F34</f>
        <v>57830.636499999993</v>
      </c>
      <c r="G35" s="296"/>
      <c r="H35" s="296">
        <f>H38*H34</f>
        <v>58301.018131999997</v>
      </c>
      <c r="I35" s="296"/>
      <c r="J35" s="296">
        <f>J34*J38</f>
        <v>14679.136</v>
      </c>
      <c r="K35" s="296"/>
      <c r="L35" s="296">
        <f>L34*L38</f>
        <v>51860.470042000001</v>
      </c>
      <c r="M35" s="296"/>
      <c r="N35" s="296">
        <f>N34*N38</f>
        <v>55069.696149999996</v>
      </c>
      <c r="O35" s="296"/>
      <c r="P35" s="296"/>
      <c r="Q35" s="296"/>
      <c r="R35" s="296"/>
      <c r="S35" s="297"/>
      <c r="T35" s="296">
        <f>SUM(C35:P35)+1</f>
        <v>457180.87320219993</v>
      </c>
      <c r="U35" s="298"/>
      <c r="V35" s="5"/>
    </row>
    <row r="36" spans="1:22" ht="15.6" x14ac:dyDescent="0.3">
      <c r="A36" s="289"/>
      <c r="B36" s="292" t="s">
        <v>285</v>
      </c>
      <c r="C36" s="299"/>
      <c r="D36" s="302">
        <f>D37*D34</f>
        <v>215320.4490582</v>
      </c>
      <c r="E36" s="299"/>
      <c r="F36" s="302">
        <f>F37*F34</f>
        <v>56745.266499999998</v>
      </c>
      <c r="G36" s="302"/>
      <c r="H36" s="302">
        <f>H37*H34</f>
        <v>57206.819971999998</v>
      </c>
      <c r="I36" s="302"/>
      <c r="J36" s="302">
        <f>J37*J34</f>
        <v>14403.6384</v>
      </c>
      <c r="K36" s="302"/>
      <c r="L36" s="302">
        <f>L37*L34</f>
        <v>50887.154239800002</v>
      </c>
      <c r="M36" s="302"/>
      <c r="N36" s="302">
        <f>N37*N34</f>
        <v>54036.149685000004</v>
      </c>
      <c r="O36" s="302"/>
      <c r="P36" s="302"/>
      <c r="Q36" s="327"/>
      <c r="R36" s="327"/>
      <c r="S36" s="297"/>
      <c r="T36" s="302">
        <f>SUM(C36:P36)+1</f>
        <v>448600.477855</v>
      </c>
      <c r="U36" s="298"/>
      <c r="V36" s="5"/>
    </row>
    <row r="37" spans="1:22" ht="15.6" x14ac:dyDescent="0.3">
      <c r="A37" s="284"/>
      <c r="B37" s="310" t="s">
        <v>136</v>
      </c>
      <c r="C37" s="311"/>
      <c r="D37" s="312">
        <v>0.37956509999999999</v>
      </c>
      <c r="E37" s="313"/>
      <c r="F37" s="312">
        <v>0.37956699999999999</v>
      </c>
      <c r="G37" s="314"/>
      <c r="H37" s="312">
        <v>0.37956699999999999</v>
      </c>
      <c r="I37" s="314"/>
      <c r="J37" s="312">
        <v>0.90022740000000001</v>
      </c>
      <c r="K37" s="314"/>
      <c r="L37" s="312">
        <v>0.90022740000000001</v>
      </c>
      <c r="M37" s="314"/>
      <c r="N37" s="312">
        <v>0.90022740000000001</v>
      </c>
      <c r="O37" s="314"/>
      <c r="P37" s="314"/>
      <c r="Q37" s="315"/>
      <c r="R37" s="315"/>
      <c r="S37" s="316"/>
      <c r="T37" s="316"/>
      <c r="U37" s="317"/>
      <c r="V37" s="5"/>
    </row>
    <row r="38" spans="1:22" ht="15.6" x14ac:dyDescent="0.3">
      <c r="A38" s="284"/>
      <c r="B38" s="310" t="s">
        <v>137</v>
      </c>
      <c r="C38" s="311"/>
      <c r="D38" s="312">
        <v>0.38682509999999998</v>
      </c>
      <c r="E38" s="313"/>
      <c r="F38" s="312">
        <v>0.38682699999999998</v>
      </c>
      <c r="G38" s="314"/>
      <c r="H38" s="312">
        <v>0.38682699999999998</v>
      </c>
      <c r="I38" s="314"/>
      <c r="J38" s="312">
        <v>0.91744599999999998</v>
      </c>
      <c r="K38" s="314"/>
      <c r="L38" s="312">
        <v>0.91744599999999998</v>
      </c>
      <c r="M38" s="314"/>
      <c r="N38" s="312">
        <v>0.91744599999999998</v>
      </c>
      <c r="O38" s="314"/>
      <c r="P38" s="314"/>
      <c r="Q38" s="318"/>
      <c r="R38" s="319"/>
      <c r="S38" s="316"/>
      <c r="T38" s="318"/>
      <c r="U38" s="317"/>
      <c r="V38" s="5"/>
    </row>
    <row r="39" spans="1:22" ht="15.6" x14ac:dyDescent="0.3">
      <c r="A39" s="284"/>
      <c r="B39" s="285" t="s">
        <v>11</v>
      </c>
      <c r="C39" s="285"/>
      <c r="D39" s="293" t="s">
        <v>275</v>
      </c>
      <c r="E39" s="285"/>
      <c r="F39" s="293" t="s">
        <v>232</v>
      </c>
      <c r="G39" s="293"/>
      <c r="H39" s="293" t="s">
        <v>232</v>
      </c>
      <c r="I39" s="293"/>
      <c r="J39" s="293" t="s">
        <v>234</v>
      </c>
      <c r="K39" s="293"/>
      <c r="L39" s="293" t="s">
        <v>234</v>
      </c>
      <c r="M39" s="293"/>
      <c r="N39" s="293" t="s">
        <v>235</v>
      </c>
      <c r="O39" s="293"/>
      <c r="P39" s="293"/>
      <c r="Q39" s="320"/>
      <c r="R39" s="321"/>
      <c r="S39" s="287"/>
      <c r="T39" s="287"/>
      <c r="U39" s="288"/>
      <c r="V39" s="5"/>
    </row>
    <row r="40" spans="1:22" ht="15.6" x14ac:dyDescent="0.3">
      <c r="A40" s="284"/>
      <c r="B40" s="285" t="s">
        <v>12</v>
      </c>
      <c r="C40" s="285"/>
      <c r="D40" s="321">
        <v>8.0388999999999999E-3</v>
      </c>
      <c r="E40" s="285"/>
      <c r="F40" s="321">
        <v>6.4099999999999999E-3</v>
      </c>
      <c r="G40" s="320"/>
      <c r="H40" s="321">
        <v>0</v>
      </c>
      <c r="I40" s="320"/>
      <c r="J40" s="321">
        <v>8.8100000000000001E-3</v>
      </c>
      <c r="K40" s="320"/>
      <c r="L40" s="321">
        <v>1.6900000000000001E-3</v>
      </c>
      <c r="M40" s="320"/>
      <c r="N40" s="321">
        <v>5.8900000000000003E-3</v>
      </c>
      <c r="O40" s="320"/>
      <c r="P40" s="321"/>
      <c r="Q40" s="320"/>
      <c r="R40" s="321"/>
      <c r="S40" s="287"/>
      <c r="T40" s="293"/>
      <c r="U40" s="288"/>
      <c r="V40" s="5"/>
    </row>
    <row r="41" spans="1:22" ht="15.6" x14ac:dyDescent="0.3">
      <c r="A41" s="284"/>
      <c r="B41" s="285" t="s">
        <v>13</v>
      </c>
      <c r="C41" s="285"/>
      <c r="D41" s="321">
        <v>6.2427999999999997E-3</v>
      </c>
      <c r="E41" s="285"/>
      <c r="F41" s="321">
        <v>7.6750000000000004E-3</v>
      </c>
      <c r="G41" s="320"/>
      <c r="H41" s="321">
        <v>0</v>
      </c>
      <c r="I41" s="320"/>
      <c r="J41" s="321">
        <v>1.0075000000000001E-2</v>
      </c>
      <c r="K41" s="320"/>
      <c r="L41" s="321">
        <v>1.8500000000000001E-3</v>
      </c>
      <c r="M41" s="320"/>
      <c r="N41" s="321">
        <v>6.0499999999999998E-3</v>
      </c>
      <c r="O41" s="320"/>
      <c r="P41" s="321"/>
      <c r="Q41" s="320"/>
      <c r="R41" s="321"/>
      <c r="S41" s="287"/>
      <c r="T41" s="320" t="s">
        <v>201</v>
      </c>
      <c r="U41" s="288"/>
      <c r="V41" s="5"/>
    </row>
    <row r="42" spans="1:22" ht="15.6" x14ac:dyDescent="0.3">
      <c r="A42" s="284"/>
      <c r="B42" s="285" t="s">
        <v>286</v>
      </c>
      <c r="C42" s="285"/>
      <c r="D42" s="293" t="s">
        <v>231</v>
      </c>
      <c r="E42" s="285"/>
      <c r="F42" s="293" t="s">
        <v>232</v>
      </c>
      <c r="G42" s="293"/>
      <c r="H42" s="293" t="s">
        <v>232</v>
      </c>
      <c r="I42" s="293"/>
      <c r="J42" s="293" t="s">
        <v>234</v>
      </c>
      <c r="K42" s="293"/>
      <c r="L42" s="293" t="s">
        <v>245</v>
      </c>
      <c r="M42" s="293"/>
      <c r="N42" s="293" t="s">
        <v>247</v>
      </c>
      <c r="O42" s="293"/>
      <c r="P42" s="293"/>
      <c r="Q42" s="320"/>
      <c r="R42" s="321"/>
      <c r="S42" s="287"/>
      <c r="T42" s="287"/>
      <c r="U42" s="288"/>
      <c r="V42" s="5"/>
    </row>
    <row r="43" spans="1:22" ht="15.6" x14ac:dyDescent="0.3">
      <c r="A43" s="284"/>
      <c r="B43" s="285" t="s">
        <v>287</v>
      </c>
      <c r="C43" s="322"/>
      <c r="D43" s="321">
        <v>5.2462000000000003E-3</v>
      </c>
      <c r="E43" s="321"/>
      <c r="F43" s="321">
        <f>+F40</f>
        <v>6.4099999999999999E-3</v>
      </c>
      <c r="G43" s="321"/>
      <c r="H43" s="321">
        <v>6.4060000000000002E-3</v>
      </c>
      <c r="I43" s="321"/>
      <c r="J43" s="321">
        <f>+J40</f>
        <v>8.8100000000000001E-3</v>
      </c>
      <c r="K43" s="321"/>
      <c r="L43" s="321">
        <v>9.1160000000000008E-3</v>
      </c>
      <c r="M43" s="321"/>
      <c r="N43" s="321">
        <v>1.3820000000000001E-2</v>
      </c>
      <c r="O43" s="320"/>
      <c r="P43" s="321"/>
      <c r="Q43" s="293"/>
      <c r="R43" s="293"/>
      <c r="S43" s="287"/>
      <c r="T43" s="320">
        <f>SUMPRODUCT(D43:N43,D35:N35)/T35</f>
        <v>7.127458233880675E-3</v>
      </c>
      <c r="U43" s="288"/>
      <c r="V43" s="5"/>
    </row>
    <row r="44" spans="1:22" ht="15.6" x14ac:dyDescent="0.3">
      <c r="A44" s="284"/>
      <c r="B44" s="285" t="s">
        <v>288</v>
      </c>
      <c r="C44" s="322"/>
      <c r="D44" s="321">
        <v>6.5112E-3</v>
      </c>
      <c r="E44" s="321"/>
      <c r="F44" s="321">
        <f>+F41</f>
        <v>7.6750000000000004E-3</v>
      </c>
      <c r="G44" s="321"/>
      <c r="H44" s="321">
        <v>7.6709999999999999E-3</v>
      </c>
      <c r="I44" s="321"/>
      <c r="J44" s="321">
        <f>+J41</f>
        <v>1.0075000000000001E-2</v>
      </c>
      <c r="K44" s="321"/>
      <c r="L44" s="321">
        <v>1.0381E-2</v>
      </c>
      <c r="M44" s="321"/>
      <c r="N44" s="321">
        <v>1.5084999999999999E-2</v>
      </c>
      <c r="O44" s="320"/>
      <c r="P44" s="321"/>
      <c r="Q44" s="293"/>
      <c r="R44" s="293"/>
      <c r="S44" s="287"/>
      <c r="T44" s="287"/>
      <c r="U44" s="288"/>
      <c r="V44" s="5"/>
    </row>
    <row r="45" spans="1:22" ht="15.6" x14ac:dyDescent="0.3">
      <c r="A45" s="284"/>
      <c r="B45" s="285" t="s">
        <v>14</v>
      </c>
      <c r="C45" s="285"/>
      <c r="D45" s="322">
        <v>40283</v>
      </c>
      <c r="E45" s="322"/>
      <c r="F45" s="322">
        <v>40283</v>
      </c>
      <c r="G45" s="322"/>
      <c r="H45" s="322">
        <v>40283</v>
      </c>
      <c r="I45" s="322"/>
      <c r="J45" s="322">
        <v>40283</v>
      </c>
      <c r="K45" s="322"/>
      <c r="L45" s="322">
        <v>40283</v>
      </c>
      <c r="M45" s="322"/>
      <c r="N45" s="322">
        <v>40283</v>
      </c>
      <c r="O45" s="322"/>
      <c r="P45" s="322"/>
      <c r="Q45" s="293"/>
      <c r="R45" s="293"/>
      <c r="S45" s="287"/>
      <c r="T45" s="287"/>
      <c r="U45" s="288"/>
      <c r="V45" s="5"/>
    </row>
    <row r="46" spans="1:22" ht="15.6" x14ac:dyDescent="0.3">
      <c r="A46" s="284"/>
      <c r="B46" s="285" t="s">
        <v>15</v>
      </c>
      <c r="C46" s="285"/>
      <c r="D46" s="322">
        <v>40648</v>
      </c>
      <c r="E46" s="322"/>
      <c r="F46" s="322">
        <v>40648</v>
      </c>
      <c r="G46" s="322"/>
      <c r="H46" s="322">
        <v>40648</v>
      </c>
      <c r="I46" s="293"/>
      <c r="J46" s="322">
        <v>40648</v>
      </c>
      <c r="K46" s="293"/>
      <c r="L46" s="322">
        <v>40648</v>
      </c>
      <c r="M46" s="293"/>
      <c r="N46" s="322">
        <v>40648</v>
      </c>
      <c r="O46" s="293"/>
      <c r="P46" s="322"/>
      <c r="Q46" s="293"/>
      <c r="R46" s="293"/>
      <c r="S46" s="287"/>
      <c r="T46" s="287"/>
      <c r="U46" s="288"/>
      <c r="V46" s="5"/>
    </row>
    <row r="47" spans="1:22" ht="15.6" x14ac:dyDescent="0.3">
      <c r="A47" s="284"/>
      <c r="B47" s="285" t="s">
        <v>125</v>
      </c>
      <c r="C47" s="285"/>
      <c r="D47" s="293" t="s">
        <v>124</v>
      </c>
      <c r="E47" s="285"/>
      <c r="F47" s="293" t="s">
        <v>232</v>
      </c>
      <c r="G47" s="293"/>
      <c r="H47" s="293" t="s">
        <v>232</v>
      </c>
      <c r="I47" s="293"/>
      <c r="J47" s="293" t="s">
        <v>234</v>
      </c>
      <c r="K47" s="293"/>
      <c r="L47" s="293" t="s">
        <v>234</v>
      </c>
      <c r="M47" s="293"/>
      <c r="N47" s="293" t="s">
        <v>235</v>
      </c>
      <c r="O47" s="293"/>
      <c r="P47" s="293"/>
      <c r="Q47" s="324"/>
      <c r="R47" s="324"/>
      <c r="S47" s="324"/>
      <c r="T47" s="324"/>
      <c r="U47" s="288"/>
      <c r="V47" s="5"/>
    </row>
    <row r="48" spans="1:22" ht="15.6" x14ac:dyDescent="0.3">
      <c r="A48" s="284"/>
      <c r="B48" s="285" t="s">
        <v>289</v>
      </c>
      <c r="C48" s="285"/>
      <c r="D48" s="293" t="s">
        <v>124</v>
      </c>
      <c r="E48" s="285"/>
      <c r="F48" s="293" t="s">
        <v>232</v>
      </c>
      <c r="G48" s="293"/>
      <c r="H48" s="293" t="s">
        <v>232</v>
      </c>
      <c r="I48" s="293"/>
      <c r="J48" s="293" t="s">
        <v>234</v>
      </c>
      <c r="K48" s="293"/>
      <c r="L48" s="293" t="s">
        <v>245</v>
      </c>
      <c r="M48" s="293"/>
      <c r="N48" s="293" t="s">
        <v>247</v>
      </c>
      <c r="O48" s="293"/>
      <c r="P48" s="293"/>
      <c r="Q48" s="285"/>
      <c r="R48" s="285"/>
      <c r="S48" s="285"/>
      <c r="T48" s="320"/>
      <c r="U48" s="288"/>
      <c r="V48" s="5"/>
    </row>
    <row r="49" spans="1:23" ht="15.6" x14ac:dyDescent="0.3">
      <c r="A49" s="284"/>
      <c r="B49" s="285"/>
      <c r="C49" s="285"/>
      <c r="D49" s="293"/>
      <c r="E49" s="285"/>
      <c r="F49" s="293"/>
      <c r="G49" s="293"/>
      <c r="H49" s="293"/>
      <c r="I49" s="293"/>
      <c r="J49" s="293"/>
      <c r="K49" s="293"/>
      <c r="L49" s="293"/>
      <c r="M49" s="293"/>
      <c r="N49" s="293"/>
      <c r="O49" s="293"/>
      <c r="P49" s="293"/>
      <c r="Q49" s="285"/>
      <c r="R49" s="285"/>
      <c r="S49" s="285"/>
      <c r="T49" s="320" t="s">
        <v>201</v>
      </c>
      <c r="U49" s="288"/>
      <c r="V49" s="5"/>
    </row>
    <row r="50" spans="1:23" ht="15.6" x14ac:dyDescent="0.3">
      <c r="A50" s="284"/>
      <c r="B50" s="285" t="s">
        <v>176</v>
      </c>
      <c r="C50" s="285"/>
      <c r="D50" s="293"/>
      <c r="E50" s="285"/>
      <c r="F50" s="293"/>
      <c r="G50" s="293"/>
      <c r="H50" s="293"/>
      <c r="I50" s="293"/>
      <c r="J50" s="293"/>
      <c r="K50" s="293"/>
      <c r="L50" s="293"/>
      <c r="M50" s="293"/>
      <c r="N50" s="293"/>
      <c r="O50" s="293"/>
      <c r="P50" s="293"/>
      <c r="Q50" s="285"/>
      <c r="R50" s="285"/>
      <c r="S50" s="285"/>
      <c r="T50" s="320">
        <f>SUM(J34:P34)/SUM(D34:H34)</f>
        <v>0.15279804679664968</v>
      </c>
      <c r="U50" s="288"/>
      <c r="V50" s="5"/>
    </row>
    <row r="51" spans="1:23" ht="15.6" x14ac:dyDescent="0.3">
      <c r="A51" s="284"/>
      <c r="B51" s="285" t="s">
        <v>177</v>
      </c>
      <c r="C51" s="285"/>
      <c r="D51" s="285"/>
      <c r="E51" s="285"/>
      <c r="F51" s="325"/>
      <c r="G51" s="285"/>
      <c r="H51" s="285"/>
      <c r="I51" s="285"/>
      <c r="J51" s="285"/>
      <c r="K51" s="285"/>
      <c r="L51" s="285"/>
      <c r="M51" s="285"/>
      <c r="N51" s="285"/>
      <c r="O51" s="285"/>
      <c r="P51" s="285"/>
      <c r="Q51" s="285"/>
      <c r="R51" s="285"/>
      <c r="S51" s="285"/>
      <c r="T51" s="320">
        <f>SUM(J36:P36)/SUM(D36:H36)</f>
        <v>0.36239567364055381</v>
      </c>
      <c r="U51" s="288"/>
      <c r="V51" s="5"/>
    </row>
    <row r="52" spans="1:23" ht="15.6" x14ac:dyDescent="0.3">
      <c r="A52" s="284"/>
      <c r="B52" s="285" t="s">
        <v>178</v>
      </c>
      <c r="C52" s="285"/>
      <c r="D52" s="285"/>
      <c r="E52" s="285"/>
      <c r="F52" s="285"/>
      <c r="G52" s="285"/>
      <c r="H52" s="285"/>
      <c r="I52" s="285"/>
      <c r="J52" s="285"/>
      <c r="K52" s="285"/>
      <c r="L52" s="285"/>
      <c r="M52" s="285"/>
      <c r="N52" s="285"/>
      <c r="O52" s="285"/>
      <c r="P52" s="285"/>
      <c r="Q52" s="285"/>
      <c r="R52" s="293" t="s">
        <v>109</v>
      </c>
      <c r="S52" s="293" t="s">
        <v>115</v>
      </c>
      <c r="T52" s="296">
        <f>+T34/2-SUM(J34:P34)</f>
        <v>367473</v>
      </c>
      <c r="U52" s="288"/>
      <c r="V52" s="5"/>
    </row>
    <row r="53" spans="1:23" ht="15.6" x14ac:dyDescent="0.3">
      <c r="A53" s="284"/>
      <c r="B53" s="285"/>
      <c r="C53" s="285"/>
      <c r="D53" s="285"/>
      <c r="E53" s="285"/>
      <c r="F53" s="285"/>
      <c r="G53" s="285"/>
      <c r="H53" s="285"/>
      <c r="I53" s="285"/>
      <c r="J53" s="285"/>
      <c r="K53" s="285"/>
      <c r="L53" s="285"/>
      <c r="M53" s="285"/>
      <c r="N53" s="285"/>
      <c r="O53" s="285"/>
      <c r="P53" s="285"/>
      <c r="Q53" s="285"/>
      <c r="R53" s="285"/>
      <c r="S53" s="285"/>
      <c r="T53" s="326"/>
      <c r="U53" s="288"/>
      <c r="V53" s="5"/>
    </row>
    <row r="54" spans="1:23" ht="15.6" x14ac:dyDescent="0.3">
      <c r="A54" s="284"/>
      <c r="B54" s="285" t="s">
        <v>211</v>
      </c>
      <c r="C54" s="285"/>
      <c r="D54" s="285"/>
      <c r="E54" s="285"/>
      <c r="F54" s="285"/>
      <c r="G54" s="285"/>
      <c r="H54" s="285"/>
      <c r="I54" s="285"/>
      <c r="J54" s="285"/>
      <c r="K54" s="285"/>
      <c r="L54" s="285"/>
      <c r="M54" s="285"/>
      <c r="N54" s="285"/>
      <c r="O54" s="285"/>
      <c r="P54" s="285"/>
      <c r="Q54" s="285"/>
      <c r="R54" s="285"/>
      <c r="S54" s="285"/>
      <c r="T54" s="327" t="s">
        <v>212</v>
      </c>
      <c r="U54" s="288"/>
      <c r="V54" s="5"/>
    </row>
    <row r="55" spans="1:23" ht="15.6" x14ac:dyDescent="0.3">
      <c r="A55" s="284"/>
      <c r="B55" s="285" t="s">
        <v>253</v>
      </c>
      <c r="C55" s="285"/>
      <c r="D55" s="285"/>
      <c r="E55" s="285"/>
      <c r="F55" s="285"/>
      <c r="G55" s="285"/>
      <c r="H55" s="285"/>
      <c r="I55" s="285"/>
      <c r="J55" s="285"/>
      <c r="K55" s="285"/>
      <c r="L55" s="285"/>
      <c r="M55" s="285"/>
      <c r="N55" s="285"/>
      <c r="O55" s="285"/>
      <c r="P55" s="285"/>
      <c r="Q55" s="285"/>
      <c r="R55" s="293"/>
      <c r="S55" s="293"/>
      <c r="T55" s="328" t="s">
        <v>117</v>
      </c>
      <c r="U55" s="288"/>
      <c r="V55" s="5"/>
    </row>
    <row r="56" spans="1:23" ht="15.6" x14ac:dyDescent="0.3">
      <c r="A56" s="284"/>
      <c r="B56" s="292" t="s">
        <v>210</v>
      </c>
      <c r="C56" s="292"/>
      <c r="D56" s="292"/>
      <c r="E56" s="292"/>
      <c r="F56" s="292"/>
      <c r="G56" s="292"/>
      <c r="H56" s="292"/>
      <c r="I56" s="292"/>
      <c r="J56" s="292"/>
      <c r="K56" s="292"/>
      <c r="L56" s="292"/>
      <c r="M56" s="292"/>
      <c r="N56" s="292"/>
      <c r="O56" s="292"/>
      <c r="P56" s="292"/>
      <c r="Q56" s="292"/>
      <c r="R56" s="329"/>
      <c r="S56" s="329"/>
      <c r="T56" s="330">
        <v>42752</v>
      </c>
      <c r="U56" s="288"/>
      <c r="V56" s="5"/>
    </row>
    <row r="57" spans="1:23" ht="15.6" x14ac:dyDescent="0.3">
      <c r="A57" s="284"/>
      <c r="B57" s="285" t="s">
        <v>127</v>
      </c>
      <c r="C57" s="285"/>
      <c r="D57" s="285"/>
      <c r="E57" s="285"/>
      <c r="F57" s="285"/>
      <c r="G57" s="285"/>
      <c r="H57" s="331"/>
      <c r="I57" s="331"/>
      <c r="J57" s="331"/>
      <c r="K57" s="331"/>
      <c r="L57" s="331"/>
      <c r="M57" s="331"/>
      <c r="N57" s="331"/>
      <c r="O57" s="331"/>
      <c r="P57" s="285">
        <f>+T57-R57+1</f>
        <v>94</v>
      </c>
      <c r="Q57" s="331"/>
      <c r="R57" s="332">
        <v>42566</v>
      </c>
      <c r="S57" s="333"/>
      <c r="T57" s="332">
        <v>42659</v>
      </c>
      <c r="U57" s="288"/>
      <c r="V57" s="5"/>
    </row>
    <row r="58" spans="1:23" ht="15.6" x14ac:dyDescent="0.3">
      <c r="A58" s="284"/>
      <c r="B58" s="285" t="s">
        <v>128</v>
      </c>
      <c r="C58" s="285"/>
      <c r="D58" s="285"/>
      <c r="E58" s="285"/>
      <c r="F58" s="285"/>
      <c r="G58" s="285"/>
      <c r="H58" s="285"/>
      <c r="I58" s="285"/>
      <c r="J58" s="285"/>
      <c r="K58" s="285"/>
      <c r="L58" s="285"/>
      <c r="M58" s="285"/>
      <c r="N58" s="285"/>
      <c r="O58" s="285"/>
      <c r="P58" s="285">
        <f>+T58-R58+1</f>
        <v>92</v>
      </c>
      <c r="Q58" s="285"/>
      <c r="R58" s="332">
        <v>42660</v>
      </c>
      <c r="S58" s="333"/>
      <c r="T58" s="332">
        <v>42751</v>
      </c>
      <c r="U58" s="288"/>
      <c r="V58" s="5"/>
    </row>
    <row r="59" spans="1:23" ht="15.6" x14ac:dyDescent="0.3">
      <c r="A59" s="284"/>
      <c r="B59" s="285" t="s">
        <v>209</v>
      </c>
      <c r="C59" s="285"/>
      <c r="D59" s="285"/>
      <c r="E59" s="285"/>
      <c r="F59" s="285"/>
      <c r="G59" s="285"/>
      <c r="H59" s="285"/>
      <c r="I59" s="285"/>
      <c r="J59" s="285"/>
      <c r="K59" s="285"/>
      <c r="L59" s="285"/>
      <c r="M59" s="285"/>
      <c r="N59" s="285"/>
      <c r="O59" s="285"/>
      <c r="P59" s="285"/>
      <c r="Q59" s="285"/>
      <c r="R59" s="332"/>
      <c r="S59" s="333"/>
      <c r="T59" s="332" t="s">
        <v>126</v>
      </c>
      <c r="U59" s="288"/>
      <c r="V59" s="5"/>
    </row>
    <row r="60" spans="1:23" ht="15.6" x14ac:dyDescent="0.3">
      <c r="A60" s="284"/>
      <c r="B60" s="285" t="s">
        <v>249</v>
      </c>
      <c r="C60" s="285"/>
      <c r="D60" s="285"/>
      <c r="E60" s="285"/>
      <c r="F60" s="285"/>
      <c r="G60" s="285"/>
      <c r="H60" s="285"/>
      <c r="I60" s="285"/>
      <c r="J60" s="285"/>
      <c r="K60" s="285"/>
      <c r="L60" s="285"/>
      <c r="M60" s="285"/>
      <c r="N60" s="285"/>
      <c r="O60" s="285"/>
      <c r="P60" s="285"/>
      <c r="Q60" s="285"/>
      <c r="R60" s="332"/>
      <c r="S60" s="333"/>
      <c r="T60" s="332" t="s">
        <v>160</v>
      </c>
      <c r="U60" s="288"/>
      <c r="V60" s="5"/>
      <c r="W60" s="134"/>
    </row>
    <row r="61" spans="1:23" ht="15.6" x14ac:dyDescent="0.3">
      <c r="A61" s="284"/>
      <c r="B61" s="285" t="s">
        <v>16</v>
      </c>
      <c r="C61" s="285"/>
      <c r="D61" s="285"/>
      <c r="E61" s="285"/>
      <c r="F61" s="285"/>
      <c r="G61" s="285"/>
      <c r="H61" s="285"/>
      <c r="I61" s="285"/>
      <c r="J61" s="285"/>
      <c r="K61" s="285"/>
      <c r="L61" s="285"/>
      <c r="M61" s="285"/>
      <c r="N61" s="285"/>
      <c r="O61" s="285"/>
      <c r="P61" s="285"/>
      <c r="Q61" s="285"/>
      <c r="R61" s="332"/>
      <c r="S61" s="333"/>
      <c r="T61" s="332">
        <v>42738</v>
      </c>
      <c r="U61" s="288"/>
      <c r="V61" s="5"/>
    </row>
    <row r="62" spans="1:23" ht="15.6" x14ac:dyDescent="0.3">
      <c r="A62" s="175"/>
      <c r="B62" s="281"/>
      <c r="C62" s="281"/>
      <c r="D62" s="281"/>
      <c r="E62" s="281"/>
      <c r="F62" s="281"/>
      <c r="G62" s="281"/>
      <c r="H62" s="281"/>
      <c r="I62" s="281"/>
      <c r="J62" s="281"/>
      <c r="K62" s="281"/>
      <c r="L62" s="281"/>
      <c r="M62" s="281"/>
      <c r="N62" s="281"/>
      <c r="O62" s="281"/>
      <c r="P62" s="281"/>
      <c r="Q62" s="281"/>
      <c r="R62" s="282"/>
      <c r="S62" s="283"/>
      <c r="T62" s="282"/>
      <c r="U62" s="281"/>
      <c r="V62" s="5"/>
    </row>
    <row r="63" spans="1:23" ht="15.6" x14ac:dyDescent="0.3">
      <c r="A63" s="175"/>
      <c r="B63" s="231"/>
      <c r="C63" s="231"/>
      <c r="D63" s="231"/>
      <c r="E63" s="231"/>
      <c r="F63" s="231"/>
      <c r="G63" s="231"/>
      <c r="H63" s="231"/>
      <c r="I63" s="231"/>
      <c r="J63" s="231"/>
      <c r="K63" s="231"/>
      <c r="L63" s="231"/>
      <c r="M63" s="231"/>
      <c r="N63" s="231"/>
      <c r="O63" s="231"/>
      <c r="P63" s="231"/>
      <c r="Q63" s="231"/>
      <c r="R63" s="244"/>
      <c r="S63" s="245"/>
      <c r="T63" s="244"/>
      <c r="U63" s="231"/>
      <c r="V63" s="5"/>
    </row>
    <row r="64" spans="1:23" ht="18" thickBot="1" x14ac:dyDescent="0.35">
      <c r="A64" s="192"/>
      <c r="B64" s="246" t="s">
        <v>340</v>
      </c>
      <c r="C64" s="247"/>
      <c r="D64" s="247"/>
      <c r="E64" s="247"/>
      <c r="F64" s="247"/>
      <c r="G64" s="247"/>
      <c r="H64" s="247"/>
      <c r="I64" s="247"/>
      <c r="J64" s="247"/>
      <c r="K64" s="247"/>
      <c r="L64" s="247"/>
      <c r="M64" s="247"/>
      <c r="N64" s="247"/>
      <c r="O64" s="247"/>
      <c r="P64" s="247"/>
      <c r="Q64" s="247"/>
      <c r="R64" s="247"/>
      <c r="S64" s="247"/>
      <c r="T64" s="248"/>
      <c r="U64" s="249"/>
      <c r="V64" s="5"/>
    </row>
    <row r="65" spans="1:22" ht="15.6" x14ac:dyDescent="0.3">
      <c r="A65" s="222"/>
      <c r="B65" s="395" t="s">
        <v>17</v>
      </c>
      <c r="C65" s="223"/>
      <c r="D65" s="223"/>
      <c r="E65" s="223"/>
      <c r="F65" s="223"/>
      <c r="G65" s="223"/>
      <c r="H65" s="223"/>
      <c r="I65" s="223"/>
      <c r="J65" s="223"/>
      <c r="K65" s="223"/>
      <c r="L65" s="223"/>
      <c r="M65" s="223"/>
      <c r="N65" s="223"/>
      <c r="O65" s="223"/>
      <c r="P65" s="223"/>
      <c r="Q65" s="223"/>
      <c r="R65" s="223"/>
      <c r="S65" s="223"/>
      <c r="T65" s="250"/>
      <c r="U65" s="223"/>
      <c r="V65" s="5"/>
    </row>
    <row r="66" spans="1:22" ht="15.6" x14ac:dyDescent="0.3">
      <c r="A66" s="175"/>
      <c r="B66" s="183"/>
      <c r="C66" s="177"/>
      <c r="D66" s="177"/>
      <c r="E66" s="177"/>
      <c r="F66" s="177"/>
      <c r="G66" s="177"/>
      <c r="H66" s="177"/>
      <c r="I66" s="177"/>
      <c r="J66" s="177"/>
      <c r="K66" s="177"/>
      <c r="L66" s="177"/>
      <c r="M66" s="177"/>
      <c r="N66" s="177"/>
      <c r="O66" s="177"/>
      <c r="P66" s="177"/>
      <c r="Q66" s="177"/>
      <c r="R66" s="177"/>
      <c r="S66" s="177"/>
      <c r="T66" s="194"/>
      <c r="U66" s="177"/>
      <c r="V66" s="5"/>
    </row>
    <row r="67" spans="1:22" ht="46.8" x14ac:dyDescent="0.3">
      <c r="A67" s="175"/>
      <c r="B67" s="195" t="s">
        <v>18</v>
      </c>
      <c r="C67" s="196"/>
      <c r="D67" s="196"/>
      <c r="E67" s="196"/>
      <c r="F67" s="196"/>
      <c r="G67" s="196"/>
      <c r="H67" s="196"/>
      <c r="I67" s="196"/>
      <c r="J67" s="196" t="s">
        <v>97</v>
      </c>
      <c r="K67" s="196"/>
      <c r="L67" s="196" t="s">
        <v>99</v>
      </c>
      <c r="M67" s="196"/>
      <c r="N67" s="196" t="s">
        <v>101</v>
      </c>
      <c r="O67" s="196"/>
      <c r="P67" s="196" t="s">
        <v>103</v>
      </c>
      <c r="Q67" s="196"/>
      <c r="R67" s="196" t="s">
        <v>110</v>
      </c>
      <c r="S67" s="196"/>
      <c r="T67" s="197" t="s">
        <v>118</v>
      </c>
      <c r="U67" s="198"/>
      <c r="V67" s="5"/>
    </row>
    <row r="68" spans="1:22" ht="15.6" x14ac:dyDescent="0.3">
      <c r="A68" s="337"/>
      <c r="B68" s="285" t="s">
        <v>19</v>
      </c>
      <c r="C68" s="338"/>
      <c r="D68" s="338"/>
      <c r="E68" s="338"/>
      <c r="F68" s="338"/>
      <c r="G68" s="338"/>
      <c r="H68" s="338"/>
      <c r="I68" s="338"/>
      <c r="J68" s="338">
        <v>1000039</v>
      </c>
      <c r="K68" s="338"/>
      <c r="L68" s="339">
        <v>457181</v>
      </c>
      <c r="M68" s="338"/>
      <c r="N68" s="338">
        <f>8580+358+1</f>
        <v>8939</v>
      </c>
      <c r="O68" s="338"/>
      <c r="P68" s="338">
        <v>358</v>
      </c>
      <c r="Q68" s="338"/>
      <c r="R68" s="338">
        <v>0</v>
      </c>
      <c r="S68" s="338"/>
      <c r="T68" s="339">
        <f>+L68-N68+P68-R68</f>
        <v>448600</v>
      </c>
      <c r="U68" s="288"/>
      <c r="V68" s="5"/>
    </row>
    <row r="69" spans="1:22" ht="15.6" x14ac:dyDescent="0.3">
      <c r="A69" s="337"/>
      <c r="B69" s="285" t="s">
        <v>20</v>
      </c>
      <c r="C69" s="338"/>
      <c r="D69" s="338"/>
      <c r="E69" s="338"/>
      <c r="F69" s="338"/>
      <c r="G69" s="338"/>
      <c r="H69" s="338"/>
      <c r="I69" s="338"/>
      <c r="J69" s="338">
        <v>10</v>
      </c>
      <c r="K69" s="338"/>
      <c r="L69" s="339">
        <v>0</v>
      </c>
      <c r="M69" s="338"/>
      <c r="N69" s="338">
        <v>0</v>
      </c>
      <c r="O69" s="338"/>
      <c r="P69" s="338">
        <v>0</v>
      </c>
      <c r="Q69" s="338"/>
      <c r="R69" s="338">
        <v>0</v>
      </c>
      <c r="S69" s="338"/>
      <c r="T69" s="339">
        <v>0</v>
      </c>
      <c r="U69" s="288"/>
      <c r="V69" s="5"/>
    </row>
    <row r="70" spans="1:22" ht="15.6" x14ac:dyDescent="0.3">
      <c r="A70" s="337"/>
      <c r="B70" s="285"/>
      <c r="C70" s="338"/>
      <c r="D70" s="338"/>
      <c r="E70" s="338"/>
      <c r="F70" s="338"/>
      <c r="G70" s="338"/>
      <c r="H70" s="338"/>
      <c r="I70" s="338"/>
      <c r="J70" s="338"/>
      <c r="K70" s="338"/>
      <c r="L70" s="339"/>
      <c r="M70" s="338"/>
      <c r="N70" s="338"/>
      <c r="O70" s="338"/>
      <c r="P70" s="338"/>
      <c r="Q70" s="338"/>
      <c r="R70" s="338"/>
      <c r="S70" s="338"/>
      <c r="T70" s="339"/>
      <c r="U70" s="288"/>
      <c r="V70" s="5"/>
    </row>
    <row r="71" spans="1:22" ht="15.6" x14ac:dyDescent="0.3">
      <c r="A71" s="337"/>
      <c r="B71" s="285" t="s">
        <v>21</v>
      </c>
      <c r="C71" s="338"/>
      <c r="D71" s="338"/>
      <c r="E71" s="338"/>
      <c r="F71" s="338"/>
      <c r="G71" s="338"/>
      <c r="H71" s="338"/>
      <c r="I71" s="338"/>
      <c r="J71" s="338">
        <f>SUM(J68:J70)</f>
        <v>1000049</v>
      </c>
      <c r="K71" s="338"/>
      <c r="L71" s="338">
        <f>L68+L69</f>
        <v>457181</v>
      </c>
      <c r="M71" s="338"/>
      <c r="N71" s="338">
        <f>SUM(N68:N70)</f>
        <v>8939</v>
      </c>
      <c r="O71" s="338"/>
      <c r="P71" s="338">
        <f>SUM(P68:P70)</f>
        <v>358</v>
      </c>
      <c r="Q71" s="338"/>
      <c r="R71" s="338">
        <f>SUM(R68:R70)</f>
        <v>0</v>
      </c>
      <c r="S71" s="338"/>
      <c r="T71" s="338">
        <f>SUM(T68:T70)</f>
        <v>448600</v>
      </c>
      <c r="U71" s="288"/>
      <c r="V71" s="5"/>
    </row>
    <row r="72" spans="1:22" ht="15.6" x14ac:dyDescent="0.3">
      <c r="A72" s="175"/>
      <c r="B72" s="334"/>
      <c r="C72" s="335"/>
      <c r="D72" s="335"/>
      <c r="E72" s="335"/>
      <c r="F72" s="335"/>
      <c r="G72" s="335"/>
      <c r="H72" s="335"/>
      <c r="I72" s="335"/>
      <c r="J72" s="335"/>
      <c r="K72" s="335"/>
      <c r="L72" s="335"/>
      <c r="M72" s="335"/>
      <c r="N72" s="335"/>
      <c r="O72" s="335"/>
      <c r="P72" s="335"/>
      <c r="Q72" s="335"/>
      <c r="R72" s="335"/>
      <c r="S72" s="335"/>
      <c r="T72" s="336"/>
      <c r="U72" s="334"/>
      <c r="V72" s="5"/>
    </row>
    <row r="73" spans="1:22" ht="15.6" x14ac:dyDescent="0.3">
      <c r="A73" s="175"/>
      <c r="B73" s="179" t="s">
        <v>22</v>
      </c>
      <c r="C73" s="199"/>
      <c r="D73" s="199"/>
      <c r="E73" s="199"/>
      <c r="F73" s="199"/>
      <c r="G73" s="199"/>
      <c r="H73" s="199"/>
      <c r="I73" s="199"/>
      <c r="J73" s="199"/>
      <c r="K73" s="199"/>
      <c r="L73" s="199"/>
      <c r="M73" s="199"/>
      <c r="N73" s="199"/>
      <c r="O73" s="199"/>
      <c r="P73" s="199"/>
      <c r="Q73" s="199"/>
      <c r="R73" s="199"/>
      <c r="S73" s="199"/>
      <c r="T73" s="200"/>
      <c r="U73" s="177"/>
      <c r="V73" s="5"/>
    </row>
    <row r="74" spans="1:22" ht="15.6" x14ac:dyDescent="0.3">
      <c r="A74" s="175"/>
      <c r="B74" s="177"/>
      <c r="C74" s="199"/>
      <c r="D74" s="199"/>
      <c r="E74" s="199"/>
      <c r="F74" s="199"/>
      <c r="G74" s="199"/>
      <c r="H74" s="199"/>
      <c r="I74" s="199"/>
      <c r="J74" s="199"/>
      <c r="K74" s="199"/>
      <c r="L74" s="199"/>
      <c r="M74" s="199"/>
      <c r="N74" s="199"/>
      <c r="O74" s="199"/>
      <c r="P74" s="199"/>
      <c r="Q74" s="199"/>
      <c r="R74" s="199"/>
      <c r="S74" s="199"/>
      <c r="T74" s="200"/>
      <c r="U74" s="177"/>
      <c r="V74" s="5"/>
    </row>
    <row r="75" spans="1:22" ht="15.6" x14ac:dyDescent="0.3">
      <c r="A75" s="284"/>
      <c r="B75" s="285" t="s">
        <v>19</v>
      </c>
      <c r="C75" s="338"/>
      <c r="D75" s="338"/>
      <c r="E75" s="338"/>
      <c r="F75" s="338"/>
      <c r="G75" s="338"/>
      <c r="H75" s="338"/>
      <c r="I75" s="338"/>
      <c r="J75" s="338"/>
      <c r="K75" s="338"/>
      <c r="L75" s="338"/>
      <c r="M75" s="338"/>
      <c r="N75" s="338"/>
      <c r="O75" s="338"/>
      <c r="P75" s="338"/>
      <c r="Q75" s="338"/>
      <c r="R75" s="338"/>
      <c r="S75" s="338"/>
      <c r="T75" s="338"/>
      <c r="U75" s="288"/>
      <c r="V75" s="5"/>
    </row>
    <row r="76" spans="1:22" ht="15.6" x14ac:dyDescent="0.3">
      <c r="A76" s="284"/>
      <c r="B76" s="285" t="s">
        <v>20</v>
      </c>
      <c r="C76" s="338"/>
      <c r="D76" s="338"/>
      <c r="E76" s="338"/>
      <c r="F76" s="338"/>
      <c r="G76" s="338"/>
      <c r="H76" s="338"/>
      <c r="I76" s="338"/>
      <c r="J76" s="338"/>
      <c r="K76" s="338"/>
      <c r="L76" s="338"/>
      <c r="M76" s="338"/>
      <c r="N76" s="338"/>
      <c r="O76" s="338"/>
      <c r="P76" s="338"/>
      <c r="Q76" s="338"/>
      <c r="R76" s="338"/>
      <c r="S76" s="338"/>
      <c r="T76" s="338"/>
      <c r="U76" s="288"/>
      <c r="V76" s="5"/>
    </row>
    <row r="77" spans="1:22" ht="15.6" x14ac:dyDescent="0.3">
      <c r="A77" s="284"/>
      <c r="B77" s="285"/>
      <c r="C77" s="338"/>
      <c r="D77" s="338"/>
      <c r="E77" s="338"/>
      <c r="F77" s="338"/>
      <c r="G77" s="338"/>
      <c r="H77" s="338"/>
      <c r="I77" s="338"/>
      <c r="J77" s="338"/>
      <c r="K77" s="338"/>
      <c r="L77" s="338"/>
      <c r="M77" s="338"/>
      <c r="N77" s="338"/>
      <c r="O77" s="338"/>
      <c r="P77" s="338"/>
      <c r="Q77" s="338"/>
      <c r="R77" s="338"/>
      <c r="S77" s="338"/>
      <c r="T77" s="338"/>
      <c r="U77" s="288"/>
      <c r="V77" s="5"/>
    </row>
    <row r="78" spans="1:22" ht="15.6" x14ac:dyDescent="0.3">
      <c r="A78" s="284"/>
      <c r="B78" s="285" t="s">
        <v>21</v>
      </c>
      <c r="C78" s="338"/>
      <c r="D78" s="338"/>
      <c r="E78" s="338"/>
      <c r="F78" s="338"/>
      <c r="G78" s="338"/>
      <c r="H78" s="338"/>
      <c r="I78" s="338"/>
      <c r="J78" s="338"/>
      <c r="K78" s="338"/>
      <c r="L78" s="338"/>
      <c r="M78" s="338"/>
      <c r="N78" s="338"/>
      <c r="O78" s="338"/>
      <c r="P78" s="338"/>
      <c r="Q78" s="338"/>
      <c r="R78" s="338"/>
      <c r="S78" s="338"/>
      <c r="T78" s="338"/>
      <c r="U78" s="288"/>
      <c r="V78" s="5"/>
    </row>
    <row r="79" spans="1:22" ht="15.6" x14ac:dyDescent="0.3">
      <c r="A79" s="284"/>
      <c r="B79" s="285"/>
      <c r="C79" s="338"/>
      <c r="D79" s="338"/>
      <c r="E79" s="338"/>
      <c r="F79" s="338"/>
      <c r="G79" s="338"/>
      <c r="H79" s="338"/>
      <c r="I79" s="338"/>
      <c r="J79" s="338"/>
      <c r="K79" s="338"/>
      <c r="L79" s="338"/>
      <c r="M79" s="338"/>
      <c r="N79" s="338"/>
      <c r="O79" s="338"/>
      <c r="P79" s="338"/>
      <c r="Q79" s="338"/>
      <c r="R79" s="338"/>
      <c r="S79" s="338"/>
      <c r="T79" s="338"/>
      <c r="U79" s="288"/>
      <c r="V79" s="5"/>
    </row>
    <row r="80" spans="1:22" ht="15.6" x14ac:dyDescent="0.3">
      <c r="A80" s="284"/>
      <c r="B80" s="285" t="s">
        <v>23</v>
      </c>
      <c r="C80" s="338"/>
      <c r="D80" s="338"/>
      <c r="E80" s="338"/>
      <c r="F80" s="338"/>
      <c r="G80" s="338"/>
      <c r="H80" s="338"/>
      <c r="I80" s="338"/>
      <c r="J80" s="338">
        <v>0</v>
      </c>
      <c r="K80" s="338"/>
      <c r="L80" s="338">
        <v>0</v>
      </c>
      <c r="M80" s="338"/>
      <c r="N80" s="338"/>
      <c r="O80" s="338"/>
      <c r="P80" s="338"/>
      <c r="Q80" s="338"/>
      <c r="R80" s="338"/>
      <c r="S80" s="338"/>
      <c r="T80" s="339">
        <v>0</v>
      </c>
      <c r="U80" s="288"/>
      <c r="V80" s="5"/>
    </row>
    <row r="81" spans="1:22" ht="15.6" x14ac:dyDescent="0.3">
      <c r="A81" s="284"/>
      <c r="B81" s="285" t="s">
        <v>123</v>
      </c>
      <c r="C81" s="338"/>
      <c r="D81" s="338"/>
      <c r="E81" s="338"/>
      <c r="F81" s="338"/>
      <c r="G81" s="338"/>
      <c r="H81" s="338"/>
      <c r="I81" s="338"/>
      <c r="J81" s="338">
        <v>0</v>
      </c>
      <c r="K81" s="338"/>
      <c r="L81" s="338">
        <v>0</v>
      </c>
      <c r="M81" s="338"/>
      <c r="N81" s="338"/>
      <c r="O81" s="338"/>
      <c r="P81" s="338"/>
      <c r="Q81" s="338"/>
      <c r="R81" s="338"/>
      <c r="S81" s="338"/>
      <c r="T81" s="338">
        <f>SUM(J81:P81)</f>
        <v>0</v>
      </c>
      <c r="U81" s="288"/>
      <c r="V81" s="5"/>
    </row>
    <row r="82" spans="1:22" ht="15.6" x14ac:dyDescent="0.3">
      <c r="A82" s="284"/>
      <c r="B82" s="285" t="s">
        <v>152</v>
      </c>
      <c r="C82" s="338"/>
      <c r="D82" s="338"/>
      <c r="E82" s="338"/>
      <c r="F82" s="338"/>
      <c r="G82" s="338"/>
      <c r="H82" s="338"/>
      <c r="I82" s="338"/>
      <c r="J82" s="338">
        <v>1</v>
      </c>
      <c r="K82" s="338"/>
      <c r="L82" s="338">
        <v>0</v>
      </c>
      <c r="M82" s="338"/>
      <c r="N82" s="338">
        <v>0</v>
      </c>
      <c r="O82" s="338"/>
      <c r="P82" s="338"/>
      <c r="Q82" s="338"/>
      <c r="R82" s="338"/>
      <c r="S82" s="338"/>
      <c r="T82" s="338">
        <f>+L82+N82</f>
        <v>0</v>
      </c>
      <c r="U82" s="288"/>
      <c r="V82" s="5"/>
    </row>
    <row r="83" spans="1:22" ht="15.6" x14ac:dyDescent="0.3">
      <c r="A83" s="284"/>
      <c r="B83" s="285" t="s">
        <v>25</v>
      </c>
      <c r="C83" s="338"/>
      <c r="D83" s="338"/>
      <c r="E83" s="338"/>
      <c r="F83" s="338"/>
      <c r="G83" s="338"/>
      <c r="H83" s="338"/>
      <c r="I83" s="338"/>
      <c r="J83" s="338">
        <v>0</v>
      </c>
      <c r="K83" s="338"/>
      <c r="L83" s="338">
        <v>0</v>
      </c>
      <c r="M83" s="338"/>
      <c r="N83" s="338"/>
      <c r="O83" s="338"/>
      <c r="P83" s="338"/>
      <c r="Q83" s="338"/>
      <c r="R83" s="338"/>
      <c r="S83" s="338"/>
      <c r="T83" s="338">
        <v>0</v>
      </c>
      <c r="U83" s="288"/>
      <c r="V83" s="5"/>
    </row>
    <row r="84" spans="1:22" ht="15.6" x14ac:dyDescent="0.3">
      <c r="A84" s="284"/>
      <c r="B84" s="285" t="s">
        <v>26</v>
      </c>
      <c r="C84" s="338"/>
      <c r="D84" s="338"/>
      <c r="E84" s="338"/>
      <c r="F84" s="338"/>
      <c r="G84" s="338"/>
      <c r="H84" s="338"/>
      <c r="I84" s="338"/>
      <c r="J84" s="338">
        <f>SUM(J71:J83)</f>
        <v>1000050</v>
      </c>
      <c r="K84" s="338"/>
      <c r="L84" s="338">
        <f>SUM(L71:L83)</f>
        <v>457181</v>
      </c>
      <c r="M84" s="338"/>
      <c r="N84" s="338"/>
      <c r="O84" s="338"/>
      <c r="P84" s="338"/>
      <c r="Q84" s="338"/>
      <c r="R84" s="338"/>
      <c r="S84" s="338"/>
      <c r="T84" s="338">
        <f>SUM(T71:T83)</f>
        <v>448600</v>
      </c>
      <c r="U84" s="288"/>
      <c r="V84" s="5"/>
    </row>
    <row r="85" spans="1:22" ht="15.6" x14ac:dyDescent="0.3">
      <c r="A85" s="175"/>
      <c r="B85" s="334"/>
      <c r="C85" s="335"/>
      <c r="D85" s="335"/>
      <c r="E85" s="335"/>
      <c r="F85" s="335"/>
      <c r="G85" s="335"/>
      <c r="H85" s="335"/>
      <c r="I85" s="335"/>
      <c r="J85" s="335"/>
      <c r="K85" s="335"/>
      <c r="L85" s="335"/>
      <c r="M85" s="335"/>
      <c r="N85" s="335"/>
      <c r="O85" s="335"/>
      <c r="P85" s="335"/>
      <c r="Q85" s="335"/>
      <c r="R85" s="335"/>
      <c r="S85" s="335"/>
      <c r="T85" s="336"/>
      <c r="U85" s="334"/>
      <c r="V85" s="5"/>
    </row>
    <row r="86" spans="1:22" ht="15.6" x14ac:dyDescent="0.3">
      <c r="A86" s="175"/>
      <c r="B86" s="177"/>
      <c r="C86" s="177"/>
      <c r="D86" s="177"/>
      <c r="E86" s="177"/>
      <c r="F86" s="177"/>
      <c r="G86" s="177"/>
      <c r="H86" s="177"/>
      <c r="I86" s="177"/>
      <c r="J86" s="177"/>
      <c r="K86" s="177"/>
      <c r="L86" s="177"/>
      <c r="M86" s="177"/>
      <c r="N86" s="177"/>
      <c r="O86" s="177"/>
      <c r="P86" s="177"/>
      <c r="Q86" s="177"/>
      <c r="R86" s="177"/>
      <c r="S86" s="177"/>
      <c r="T86" s="177"/>
      <c r="U86" s="177"/>
      <c r="V86" s="5"/>
    </row>
    <row r="87" spans="1:22" ht="15.6" x14ac:dyDescent="0.3">
      <c r="A87" s="222"/>
      <c r="B87" s="395" t="s">
        <v>27</v>
      </c>
      <c r="C87" s="395"/>
      <c r="D87" s="395"/>
      <c r="E87" s="395"/>
      <c r="F87" s="395"/>
      <c r="G87" s="395"/>
      <c r="H87" s="396"/>
      <c r="I87" s="396"/>
      <c r="J87" s="397" t="s">
        <v>98</v>
      </c>
      <c r="K87" s="396"/>
      <c r="L87" s="398">
        <f>+R194</f>
        <v>42734</v>
      </c>
      <c r="M87" s="396"/>
      <c r="N87" s="396"/>
      <c r="O87" s="396"/>
      <c r="P87" s="396"/>
      <c r="Q87" s="396"/>
      <c r="R87" s="396" t="s">
        <v>111</v>
      </c>
      <c r="S87" s="396"/>
      <c r="T87" s="396" t="s">
        <v>119</v>
      </c>
      <c r="U87" s="223"/>
      <c r="V87" s="5"/>
    </row>
    <row r="88" spans="1:22" ht="15.6" x14ac:dyDescent="0.3">
      <c r="A88" s="190"/>
      <c r="B88" s="239" t="s">
        <v>28</v>
      </c>
      <c r="C88" s="239"/>
      <c r="D88" s="239"/>
      <c r="E88" s="239"/>
      <c r="F88" s="239"/>
      <c r="G88" s="239"/>
      <c r="H88" s="239"/>
      <c r="I88" s="239"/>
      <c r="J88" s="239"/>
      <c r="K88" s="239"/>
      <c r="L88" s="239"/>
      <c r="M88" s="239"/>
      <c r="N88" s="239"/>
      <c r="O88" s="239"/>
      <c r="P88" s="239"/>
      <c r="Q88" s="239"/>
      <c r="R88" s="243">
        <v>0</v>
      </c>
      <c r="S88" s="239"/>
      <c r="T88" s="251">
        <v>0</v>
      </c>
      <c r="U88" s="239"/>
      <c r="V88" s="5"/>
    </row>
    <row r="89" spans="1:22" ht="15.6" x14ac:dyDescent="0.3">
      <c r="A89" s="284"/>
      <c r="B89" s="285" t="s">
        <v>29</v>
      </c>
      <c r="C89" s="285"/>
      <c r="D89" s="285"/>
      <c r="E89" s="285"/>
      <c r="F89" s="285"/>
      <c r="G89" s="285"/>
      <c r="H89" s="324"/>
      <c r="I89" s="341"/>
      <c r="J89" s="324"/>
      <c r="K89" s="285"/>
      <c r="L89" s="342"/>
      <c r="M89" s="285"/>
      <c r="N89" s="285"/>
      <c r="O89" s="285"/>
      <c r="P89" s="285"/>
      <c r="Q89" s="285"/>
      <c r="R89" s="338">
        <f>8939-266</f>
        <v>8673</v>
      </c>
      <c r="S89" s="285"/>
      <c r="T89" s="339"/>
      <c r="U89" s="288"/>
      <c r="V89" s="5"/>
    </row>
    <row r="90" spans="1:22" ht="15.6" x14ac:dyDescent="0.3">
      <c r="A90" s="284"/>
      <c r="B90" s="285" t="s">
        <v>225</v>
      </c>
      <c r="C90" s="285"/>
      <c r="D90" s="285"/>
      <c r="E90" s="285"/>
      <c r="F90" s="285"/>
      <c r="G90" s="285"/>
      <c r="H90" s="324"/>
      <c r="I90" s="341"/>
      <c r="J90" s="324"/>
      <c r="K90" s="285"/>
      <c r="L90" s="342"/>
      <c r="M90" s="285"/>
      <c r="N90" s="285"/>
      <c r="O90" s="285"/>
      <c r="P90" s="285"/>
      <c r="Q90" s="285"/>
      <c r="R90" s="338"/>
      <c r="S90" s="285"/>
      <c r="T90" s="339">
        <f>1669+1757-499-409</f>
        <v>2518</v>
      </c>
      <c r="U90" s="288"/>
      <c r="V90" s="5"/>
    </row>
    <row r="91" spans="1:22" ht="15.6" x14ac:dyDescent="0.3">
      <c r="A91" s="284"/>
      <c r="B91" s="285" t="s">
        <v>220</v>
      </c>
      <c r="C91" s="285"/>
      <c r="D91" s="285"/>
      <c r="E91" s="285"/>
      <c r="F91" s="285"/>
      <c r="G91" s="285"/>
      <c r="H91" s="324"/>
      <c r="I91" s="341"/>
      <c r="J91" s="324"/>
      <c r="K91" s="285"/>
      <c r="L91" s="342"/>
      <c r="M91" s="285"/>
      <c r="N91" s="285"/>
      <c r="O91" s="285"/>
      <c r="P91" s="285"/>
      <c r="Q91" s="285"/>
      <c r="R91" s="338"/>
      <c r="S91" s="285"/>
      <c r="T91" s="339">
        <f>60+243</f>
        <v>303</v>
      </c>
      <c r="U91" s="288"/>
      <c r="V91" s="5"/>
    </row>
    <row r="92" spans="1:22" ht="15.6" x14ac:dyDescent="0.3">
      <c r="A92" s="284"/>
      <c r="B92" s="285" t="s">
        <v>221</v>
      </c>
      <c r="C92" s="285"/>
      <c r="D92" s="285"/>
      <c r="E92" s="285"/>
      <c r="F92" s="285"/>
      <c r="G92" s="285"/>
      <c r="H92" s="324"/>
      <c r="I92" s="341"/>
      <c r="J92" s="324"/>
      <c r="K92" s="285"/>
      <c r="L92" s="342"/>
      <c r="M92" s="285"/>
      <c r="N92" s="285"/>
      <c r="O92" s="285"/>
      <c r="P92" s="285"/>
      <c r="Q92" s="285"/>
      <c r="R92" s="338"/>
      <c r="S92" s="285"/>
      <c r="T92" s="339">
        <v>26</v>
      </c>
      <c r="U92" s="288"/>
      <c r="V92" s="5"/>
    </row>
    <row r="93" spans="1:22" ht="15.6" x14ac:dyDescent="0.3">
      <c r="A93" s="284"/>
      <c r="B93" s="285" t="s">
        <v>261</v>
      </c>
      <c r="C93" s="285"/>
      <c r="D93" s="285"/>
      <c r="E93" s="285"/>
      <c r="F93" s="285"/>
      <c r="G93" s="285"/>
      <c r="H93" s="324"/>
      <c r="I93" s="341"/>
      <c r="J93" s="324"/>
      <c r="K93" s="285"/>
      <c r="L93" s="342"/>
      <c r="M93" s="285"/>
      <c r="N93" s="285"/>
      <c r="O93" s="285"/>
      <c r="P93" s="285"/>
      <c r="Q93" s="285"/>
      <c r="R93" s="338"/>
      <c r="S93" s="285"/>
      <c r="T93" s="339">
        <v>0</v>
      </c>
      <c r="U93" s="288"/>
      <c r="V93" s="5"/>
    </row>
    <row r="94" spans="1:22" ht="15.6" x14ac:dyDescent="0.3">
      <c r="A94" s="284"/>
      <c r="B94" s="285" t="s">
        <v>141</v>
      </c>
      <c r="C94" s="285"/>
      <c r="D94" s="285"/>
      <c r="E94" s="285"/>
      <c r="F94" s="285"/>
      <c r="G94" s="285"/>
      <c r="H94" s="285"/>
      <c r="I94" s="285"/>
      <c r="J94" s="285"/>
      <c r="K94" s="285"/>
      <c r="L94" s="285"/>
      <c r="M94" s="285"/>
      <c r="N94" s="285"/>
      <c r="O94" s="285"/>
      <c r="P94" s="285"/>
      <c r="Q94" s="285"/>
      <c r="R94" s="338"/>
      <c r="S94" s="285"/>
      <c r="T94" s="339">
        <v>0</v>
      </c>
      <c r="U94" s="288"/>
      <c r="V94" s="5"/>
    </row>
    <row r="95" spans="1:22" ht="15.6" x14ac:dyDescent="0.3">
      <c r="A95" s="284"/>
      <c r="B95" s="285" t="s">
        <v>250</v>
      </c>
      <c r="C95" s="285"/>
      <c r="D95" s="285"/>
      <c r="E95" s="285"/>
      <c r="F95" s="285"/>
      <c r="G95" s="285"/>
      <c r="H95" s="285"/>
      <c r="I95" s="285"/>
      <c r="J95" s="285"/>
      <c r="K95" s="285"/>
      <c r="L95" s="285"/>
      <c r="M95" s="285"/>
      <c r="N95" s="285"/>
      <c r="O95" s="285"/>
      <c r="P95" s="285"/>
      <c r="Q95" s="285"/>
      <c r="R95" s="338"/>
      <c r="S95" s="285"/>
      <c r="T95" s="339">
        <v>0</v>
      </c>
      <c r="U95" s="288"/>
      <c r="V95" s="5"/>
    </row>
    <row r="96" spans="1:22" ht="15.6" x14ac:dyDescent="0.3">
      <c r="A96" s="284"/>
      <c r="B96" s="285" t="s">
        <v>30</v>
      </c>
      <c r="C96" s="285"/>
      <c r="D96" s="285"/>
      <c r="E96" s="285"/>
      <c r="F96" s="285"/>
      <c r="G96" s="285"/>
      <c r="H96" s="285"/>
      <c r="I96" s="285"/>
      <c r="J96" s="285"/>
      <c r="K96" s="285"/>
      <c r="L96" s="285"/>
      <c r="M96" s="285"/>
      <c r="N96" s="285"/>
      <c r="O96" s="285"/>
      <c r="P96" s="285"/>
      <c r="Q96" s="285"/>
      <c r="R96" s="338">
        <f>SUM(R88:R95)</f>
        <v>8673</v>
      </c>
      <c r="S96" s="285"/>
      <c r="T96" s="338">
        <f>SUM(T88:T95)</f>
        <v>2847</v>
      </c>
      <c r="U96" s="288"/>
      <c r="V96" s="5"/>
    </row>
    <row r="97" spans="1:24" ht="15.6" x14ac:dyDescent="0.3">
      <c r="A97" s="284"/>
      <c r="B97" s="285" t="s">
        <v>168</v>
      </c>
      <c r="C97" s="285"/>
      <c r="D97" s="285"/>
      <c r="E97" s="285"/>
      <c r="F97" s="285"/>
      <c r="G97" s="285"/>
      <c r="H97" s="285"/>
      <c r="I97" s="285"/>
      <c r="J97" s="285"/>
      <c r="K97" s="285"/>
      <c r="L97" s="285"/>
      <c r="M97" s="285"/>
      <c r="N97" s="285"/>
      <c r="O97" s="285"/>
      <c r="P97" s="285"/>
      <c r="Q97" s="285"/>
      <c r="R97" s="338">
        <v>0</v>
      </c>
      <c r="S97" s="285"/>
      <c r="T97" s="338">
        <f>-R97</f>
        <v>0</v>
      </c>
      <c r="U97" s="288"/>
      <c r="V97" s="5"/>
    </row>
    <row r="98" spans="1:24" ht="15.6" x14ac:dyDescent="0.3">
      <c r="A98" s="284"/>
      <c r="B98" s="285" t="s">
        <v>31</v>
      </c>
      <c r="C98" s="285"/>
      <c r="D98" s="285"/>
      <c r="E98" s="285"/>
      <c r="F98" s="285"/>
      <c r="G98" s="285"/>
      <c r="H98" s="285"/>
      <c r="I98" s="285"/>
      <c r="J98" s="285"/>
      <c r="K98" s="285"/>
      <c r="L98" s="285"/>
      <c r="M98" s="285"/>
      <c r="N98" s="285"/>
      <c r="O98" s="285"/>
      <c r="P98" s="285"/>
      <c r="Q98" s="285"/>
      <c r="R98" s="338">
        <f>-T98</f>
        <v>0</v>
      </c>
      <c r="S98" s="285"/>
      <c r="T98" s="339">
        <v>0</v>
      </c>
      <c r="U98" s="288"/>
      <c r="V98" s="5"/>
    </row>
    <row r="99" spans="1:24" ht="15.6" x14ac:dyDescent="0.3">
      <c r="A99" s="284"/>
      <c r="B99" s="285" t="s">
        <v>273</v>
      </c>
      <c r="C99" s="285"/>
      <c r="D99" s="285"/>
      <c r="E99" s="285"/>
      <c r="F99" s="285"/>
      <c r="G99" s="285"/>
      <c r="H99" s="285"/>
      <c r="I99" s="285"/>
      <c r="J99" s="285"/>
      <c r="K99" s="285"/>
      <c r="L99" s="285"/>
      <c r="M99" s="285"/>
      <c r="N99" s="285"/>
      <c r="O99" s="285"/>
      <c r="P99" s="285"/>
      <c r="Q99" s="285"/>
      <c r="R99" s="338"/>
      <c r="S99" s="285"/>
      <c r="T99" s="339">
        <v>123</v>
      </c>
      <c r="U99" s="288"/>
      <c r="V99" s="5"/>
    </row>
    <row r="100" spans="1:24" ht="15.6" x14ac:dyDescent="0.3">
      <c r="A100" s="284"/>
      <c r="B100" s="285" t="s">
        <v>32</v>
      </c>
      <c r="C100" s="285"/>
      <c r="D100" s="285"/>
      <c r="E100" s="285"/>
      <c r="F100" s="285"/>
      <c r="G100" s="285"/>
      <c r="H100" s="285"/>
      <c r="I100" s="285"/>
      <c r="J100" s="285"/>
      <c r="K100" s="285"/>
      <c r="L100" s="285"/>
      <c r="M100" s="285"/>
      <c r="N100" s="285"/>
      <c r="O100" s="285"/>
      <c r="P100" s="285"/>
      <c r="Q100" s="285"/>
      <c r="R100" s="338">
        <f>R96+R98+R97</f>
        <v>8673</v>
      </c>
      <c r="S100" s="285"/>
      <c r="T100" s="338">
        <f>T96+T98+T97+T99</f>
        <v>2970</v>
      </c>
      <c r="U100" s="288"/>
      <c r="V100" s="5"/>
    </row>
    <row r="101" spans="1:24" ht="15.6" x14ac:dyDescent="0.3">
      <c r="A101" s="284"/>
      <c r="B101" s="343" t="s">
        <v>33</v>
      </c>
      <c r="C101" s="311"/>
      <c r="D101" s="311"/>
      <c r="E101" s="311"/>
      <c r="F101" s="311"/>
      <c r="G101" s="311"/>
      <c r="H101" s="311"/>
      <c r="I101" s="311"/>
      <c r="J101" s="311"/>
      <c r="K101" s="311"/>
      <c r="L101" s="311"/>
      <c r="M101" s="311"/>
      <c r="N101" s="311"/>
      <c r="O101" s="311"/>
      <c r="P101" s="311"/>
      <c r="Q101" s="311"/>
      <c r="R101" s="344"/>
      <c r="S101" s="311"/>
      <c r="T101" s="345"/>
      <c r="U101" s="317"/>
      <c r="V101" s="5"/>
    </row>
    <row r="102" spans="1:24" ht="15.6" x14ac:dyDescent="0.3">
      <c r="A102" s="337">
        <v>1</v>
      </c>
      <c r="B102" s="285" t="s">
        <v>34</v>
      </c>
      <c r="C102" s="285"/>
      <c r="D102" s="285"/>
      <c r="E102" s="285"/>
      <c r="F102" s="285"/>
      <c r="G102" s="285"/>
      <c r="H102" s="285"/>
      <c r="I102" s="285"/>
      <c r="J102" s="285"/>
      <c r="K102" s="285"/>
      <c r="L102" s="285"/>
      <c r="M102" s="285"/>
      <c r="N102" s="285"/>
      <c r="O102" s="285"/>
      <c r="P102" s="285"/>
      <c r="Q102" s="285"/>
      <c r="R102" s="285"/>
      <c r="S102" s="285"/>
      <c r="T102" s="339">
        <v>0</v>
      </c>
      <c r="U102" s="288"/>
      <c r="V102" s="5"/>
    </row>
    <row r="103" spans="1:24" ht="15.6" x14ac:dyDescent="0.3">
      <c r="A103" s="337">
        <f>+A102+1</f>
        <v>2</v>
      </c>
      <c r="B103" s="285" t="s">
        <v>312</v>
      </c>
      <c r="C103" s="285"/>
      <c r="D103" s="285"/>
      <c r="E103" s="285"/>
      <c r="F103" s="285"/>
      <c r="G103" s="285"/>
      <c r="H103" s="285"/>
      <c r="I103" s="285"/>
      <c r="J103" s="285"/>
      <c r="K103" s="285"/>
      <c r="L103" s="285"/>
      <c r="M103" s="285"/>
      <c r="N103" s="285"/>
      <c r="O103" s="285"/>
      <c r="P103" s="285"/>
      <c r="Q103" s="285"/>
      <c r="R103" s="285"/>
      <c r="S103" s="285"/>
      <c r="T103" s="339">
        <v>-2</v>
      </c>
      <c r="U103" s="288"/>
      <c r="V103" s="5"/>
    </row>
    <row r="104" spans="1:24" ht="15.6" x14ac:dyDescent="0.3">
      <c r="A104" s="337">
        <f>+A103+1</f>
        <v>3</v>
      </c>
      <c r="B104" s="407" t="s">
        <v>314</v>
      </c>
      <c r="C104" s="285"/>
      <c r="D104" s="285"/>
      <c r="E104" s="285"/>
      <c r="F104" s="285"/>
      <c r="G104" s="285"/>
      <c r="H104" s="285"/>
      <c r="I104" s="285"/>
      <c r="J104" s="285"/>
      <c r="K104" s="285"/>
      <c r="L104" s="285"/>
      <c r="M104" s="285"/>
      <c r="N104" s="285"/>
      <c r="O104" s="285"/>
      <c r="P104" s="285"/>
      <c r="Q104" s="285"/>
      <c r="R104" s="285"/>
      <c r="S104" s="285"/>
      <c r="T104" s="339">
        <f>-175-84-6</f>
        <v>-265</v>
      </c>
      <c r="U104" s="288"/>
      <c r="V104" s="5"/>
    </row>
    <row r="105" spans="1:24" ht="15.6" x14ac:dyDescent="0.3">
      <c r="A105" s="337" t="s">
        <v>133</v>
      </c>
      <c r="B105" s="285" t="s">
        <v>122</v>
      </c>
      <c r="C105" s="285"/>
      <c r="D105" s="285"/>
      <c r="E105" s="285"/>
      <c r="F105" s="285"/>
      <c r="G105" s="285"/>
      <c r="H105" s="285"/>
      <c r="I105" s="285"/>
      <c r="J105" s="285"/>
      <c r="K105" s="285"/>
      <c r="L105" s="285"/>
      <c r="M105" s="285"/>
      <c r="N105" s="285"/>
      <c r="O105" s="285"/>
      <c r="P105" s="285"/>
      <c r="Q105" s="285"/>
      <c r="R105" s="285"/>
      <c r="S105" s="285"/>
      <c r="T105" s="339">
        <v>0</v>
      </c>
      <c r="U105" s="288"/>
      <c r="V105" s="5"/>
    </row>
    <row r="106" spans="1:24" ht="15.6" x14ac:dyDescent="0.3">
      <c r="A106" s="337" t="s">
        <v>134</v>
      </c>
      <c r="B106" s="285" t="s">
        <v>194</v>
      </c>
      <c r="C106" s="285"/>
      <c r="D106" s="285"/>
      <c r="E106" s="285"/>
      <c r="F106" s="285"/>
      <c r="G106" s="285"/>
      <c r="H106" s="285"/>
      <c r="I106" s="285"/>
      <c r="J106" s="285"/>
      <c r="K106" s="285"/>
      <c r="L106" s="285"/>
      <c r="M106" s="285"/>
      <c r="N106" s="285"/>
      <c r="O106" s="285"/>
      <c r="P106" s="285"/>
      <c r="Q106" s="285"/>
      <c r="R106" s="285"/>
      <c r="S106" s="285"/>
      <c r="T106" s="339">
        <f>-477+93</f>
        <v>-384</v>
      </c>
      <c r="U106" s="288"/>
      <c r="V106" s="5"/>
      <c r="W106" s="109"/>
    </row>
    <row r="107" spans="1:24" ht="15.6" x14ac:dyDescent="0.3">
      <c r="A107" s="337" t="s">
        <v>156</v>
      </c>
      <c r="B107" s="285" t="s">
        <v>191</v>
      </c>
      <c r="C107" s="285"/>
      <c r="D107" s="285"/>
      <c r="E107" s="285"/>
      <c r="F107" s="285"/>
      <c r="G107" s="285"/>
      <c r="H107" s="285"/>
      <c r="I107" s="285"/>
      <c r="J107" s="285"/>
      <c r="K107" s="285"/>
      <c r="L107" s="285"/>
      <c r="M107" s="285"/>
      <c r="N107" s="285"/>
      <c r="O107" s="285"/>
      <c r="P107" s="285"/>
      <c r="Q107" s="285"/>
      <c r="R107" s="285"/>
      <c r="S107" s="285"/>
      <c r="T107" s="339">
        <v>-93</v>
      </c>
      <c r="U107" s="288"/>
      <c r="V107" s="5"/>
      <c r="W107" s="109"/>
    </row>
    <row r="108" spans="1:24" ht="15.6" x14ac:dyDescent="0.3">
      <c r="A108" s="337" t="s">
        <v>214</v>
      </c>
      <c r="B108" s="285" t="s">
        <v>192</v>
      </c>
      <c r="C108" s="285"/>
      <c r="D108" s="285"/>
      <c r="E108" s="285"/>
      <c r="F108" s="285"/>
      <c r="G108" s="285"/>
      <c r="H108" s="285"/>
      <c r="I108" s="285"/>
      <c r="J108" s="285"/>
      <c r="K108" s="285"/>
      <c r="L108" s="285"/>
      <c r="M108" s="285"/>
      <c r="N108" s="285"/>
      <c r="O108" s="285"/>
      <c r="P108" s="285"/>
      <c r="Q108" s="285"/>
      <c r="R108" s="285"/>
      <c r="S108" s="285"/>
      <c r="T108" s="339">
        <v>-119</v>
      </c>
      <c r="U108" s="288"/>
      <c r="V108" s="5"/>
      <c r="W108" s="109"/>
      <c r="X108" s="109"/>
    </row>
    <row r="109" spans="1:24" ht="15.6" x14ac:dyDescent="0.3">
      <c r="A109" s="337" t="s">
        <v>215</v>
      </c>
      <c r="B109" s="285" t="s">
        <v>193</v>
      </c>
      <c r="C109" s="285"/>
      <c r="D109" s="285"/>
      <c r="E109" s="285"/>
      <c r="F109" s="285"/>
      <c r="G109" s="285"/>
      <c r="H109" s="285"/>
      <c r="I109" s="285"/>
      <c r="J109" s="285"/>
      <c r="K109" s="285"/>
      <c r="L109" s="285"/>
      <c r="M109" s="285"/>
      <c r="N109" s="285"/>
      <c r="O109" s="285"/>
      <c r="P109" s="285"/>
      <c r="Q109" s="285"/>
      <c r="R109" s="285"/>
      <c r="S109" s="285"/>
      <c r="T109" s="339">
        <v>-33</v>
      </c>
      <c r="U109" s="288"/>
      <c r="V109" s="169"/>
      <c r="W109" s="109"/>
    </row>
    <row r="110" spans="1:24" ht="15.6" x14ac:dyDescent="0.3">
      <c r="A110" s="337" t="s">
        <v>216</v>
      </c>
      <c r="B110" s="285" t="s">
        <v>204</v>
      </c>
      <c r="C110" s="285"/>
      <c r="D110" s="285"/>
      <c r="E110" s="285"/>
      <c r="F110" s="285"/>
      <c r="G110" s="285"/>
      <c r="H110" s="285"/>
      <c r="I110" s="285"/>
      <c r="J110" s="285"/>
      <c r="K110" s="285"/>
      <c r="L110" s="285"/>
      <c r="M110" s="285"/>
      <c r="N110" s="285"/>
      <c r="O110" s="285"/>
      <c r="P110" s="285"/>
      <c r="Q110" s="285"/>
      <c r="R110" s="285"/>
      <c r="S110" s="285"/>
      <c r="T110" s="339">
        <v>-192</v>
      </c>
      <c r="U110" s="288"/>
      <c r="V110" s="5"/>
      <c r="W110" s="109"/>
    </row>
    <row r="111" spans="1:24" ht="15.6" x14ac:dyDescent="0.3">
      <c r="A111" s="406">
        <v>7</v>
      </c>
      <c r="B111" s="407" t="s">
        <v>313</v>
      </c>
      <c r="C111" s="407"/>
      <c r="D111" s="407"/>
      <c r="E111" s="407"/>
      <c r="F111" s="407"/>
      <c r="G111" s="285"/>
      <c r="H111" s="285"/>
      <c r="I111" s="285"/>
      <c r="J111" s="285"/>
      <c r="K111" s="285"/>
      <c r="L111" s="285"/>
      <c r="M111" s="285"/>
      <c r="N111" s="285"/>
      <c r="O111" s="285"/>
      <c r="P111" s="285"/>
      <c r="Q111" s="285"/>
      <c r="R111" s="285"/>
      <c r="S111" s="285"/>
      <c r="T111" s="339">
        <v>0</v>
      </c>
      <c r="U111" s="288"/>
      <c r="V111" s="5"/>
      <c r="W111" s="109"/>
    </row>
    <row r="112" spans="1:24" ht="15.6" x14ac:dyDescent="0.3">
      <c r="A112" s="337">
        <f t="shared" ref="A112:A118" si="0">+A111+1</f>
        <v>8</v>
      </c>
      <c r="B112" s="285" t="s">
        <v>35</v>
      </c>
      <c r="C112" s="285"/>
      <c r="D112" s="285"/>
      <c r="E112" s="285"/>
      <c r="F112" s="285"/>
      <c r="G112" s="285"/>
      <c r="H112" s="285"/>
      <c r="I112" s="285"/>
      <c r="J112" s="285"/>
      <c r="K112" s="285"/>
      <c r="L112" s="285"/>
      <c r="M112" s="285"/>
      <c r="N112" s="285"/>
      <c r="O112" s="285"/>
      <c r="P112" s="285"/>
      <c r="Q112" s="285"/>
      <c r="R112" s="285"/>
      <c r="S112" s="285"/>
      <c r="T112" s="339">
        <v>-25</v>
      </c>
      <c r="U112" s="288"/>
      <c r="V112" s="5"/>
    </row>
    <row r="113" spans="1:22" ht="15.6" x14ac:dyDescent="0.3">
      <c r="A113" s="337">
        <f t="shared" si="0"/>
        <v>9</v>
      </c>
      <c r="B113" s="285" t="s">
        <v>46</v>
      </c>
      <c r="C113" s="285"/>
      <c r="D113" s="285"/>
      <c r="E113" s="285"/>
      <c r="F113" s="285"/>
      <c r="G113" s="285"/>
      <c r="H113" s="285"/>
      <c r="I113" s="285"/>
      <c r="J113" s="285"/>
      <c r="K113" s="285"/>
      <c r="L113" s="285"/>
      <c r="M113" s="285"/>
      <c r="N113" s="285"/>
      <c r="O113" s="285"/>
      <c r="P113" s="285"/>
      <c r="Q113" s="285"/>
      <c r="R113" s="338">
        <f>-T113</f>
        <v>266</v>
      </c>
      <c r="S113" s="285"/>
      <c r="T113" s="339">
        <v>-266</v>
      </c>
      <c r="U113" s="288"/>
      <c r="V113" s="5"/>
    </row>
    <row r="114" spans="1:22" ht="15.6" x14ac:dyDescent="0.3">
      <c r="A114" s="337">
        <f t="shared" si="0"/>
        <v>10</v>
      </c>
      <c r="B114" s="285" t="s">
        <v>131</v>
      </c>
      <c r="C114" s="285"/>
      <c r="D114" s="285"/>
      <c r="E114" s="285"/>
      <c r="F114" s="285"/>
      <c r="G114" s="285"/>
      <c r="H114" s="285"/>
      <c r="I114" s="285"/>
      <c r="J114" s="285"/>
      <c r="K114" s="285"/>
      <c r="L114" s="285"/>
      <c r="M114" s="285"/>
      <c r="N114" s="285"/>
      <c r="O114" s="285"/>
      <c r="P114" s="285"/>
      <c r="Q114" s="285"/>
      <c r="R114" s="285"/>
      <c r="S114" s="285"/>
      <c r="T114" s="339">
        <v>0</v>
      </c>
      <c r="U114" s="288"/>
      <c r="V114" s="5"/>
    </row>
    <row r="115" spans="1:22" ht="15.6" x14ac:dyDescent="0.3">
      <c r="A115" s="337">
        <f t="shared" si="0"/>
        <v>11</v>
      </c>
      <c r="B115" s="285" t="s">
        <v>36</v>
      </c>
      <c r="C115" s="285"/>
      <c r="D115" s="285"/>
      <c r="E115" s="285"/>
      <c r="F115" s="285"/>
      <c r="G115" s="285"/>
      <c r="H115" s="285"/>
      <c r="I115" s="285"/>
      <c r="J115" s="285"/>
      <c r="K115" s="285"/>
      <c r="L115" s="285"/>
      <c r="M115" s="285"/>
      <c r="N115" s="285"/>
      <c r="O115" s="285"/>
      <c r="P115" s="285"/>
      <c r="Q115" s="285"/>
      <c r="R115" s="285"/>
      <c r="S115" s="285"/>
      <c r="T115" s="339">
        <v>0</v>
      </c>
      <c r="U115" s="288"/>
      <c r="V115" s="5"/>
    </row>
    <row r="116" spans="1:22" ht="15.6" x14ac:dyDescent="0.3">
      <c r="A116" s="337">
        <f t="shared" si="0"/>
        <v>12</v>
      </c>
      <c r="B116" s="285" t="s">
        <v>37</v>
      </c>
      <c r="C116" s="285"/>
      <c r="D116" s="285"/>
      <c r="E116" s="285"/>
      <c r="F116" s="285"/>
      <c r="G116" s="285"/>
      <c r="H116" s="285"/>
      <c r="I116" s="285"/>
      <c r="J116" s="285"/>
      <c r="K116" s="285"/>
      <c r="L116" s="285"/>
      <c r="M116" s="285"/>
      <c r="N116" s="285"/>
      <c r="O116" s="285"/>
      <c r="P116" s="285"/>
      <c r="Q116" s="285"/>
      <c r="R116" s="285"/>
      <c r="S116" s="285"/>
      <c r="T116" s="339">
        <v>0</v>
      </c>
      <c r="U116" s="288"/>
      <c r="V116" s="5"/>
    </row>
    <row r="117" spans="1:22" ht="15.6" x14ac:dyDescent="0.3">
      <c r="A117" s="337">
        <f t="shared" si="0"/>
        <v>13</v>
      </c>
      <c r="B117" s="285" t="s">
        <v>155</v>
      </c>
      <c r="C117" s="285"/>
      <c r="D117" s="285"/>
      <c r="E117" s="285"/>
      <c r="F117" s="285"/>
      <c r="G117" s="285"/>
      <c r="H117" s="285"/>
      <c r="I117" s="285"/>
      <c r="J117" s="285"/>
      <c r="K117" s="285"/>
      <c r="L117" s="285"/>
      <c r="M117" s="285"/>
      <c r="N117" s="285"/>
      <c r="O117" s="285"/>
      <c r="P117" s="285"/>
      <c r="Q117" s="285"/>
      <c r="R117" s="285"/>
      <c r="S117" s="285"/>
      <c r="T117" s="339">
        <v>-175</v>
      </c>
      <c r="U117" s="288"/>
      <c r="V117" s="5"/>
    </row>
    <row r="118" spans="1:22" ht="15.6" x14ac:dyDescent="0.3">
      <c r="A118" s="337">
        <f t="shared" si="0"/>
        <v>14</v>
      </c>
      <c r="B118" s="285" t="s">
        <v>132</v>
      </c>
      <c r="C118" s="285"/>
      <c r="D118" s="285"/>
      <c r="E118" s="285"/>
      <c r="F118" s="285"/>
      <c r="G118" s="285"/>
      <c r="H118" s="285"/>
      <c r="I118" s="285"/>
      <c r="J118" s="285"/>
      <c r="K118" s="285"/>
      <c r="L118" s="285"/>
      <c r="M118" s="285"/>
      <c r="N118" s="285"/>
      <c r="O118" s="285"/>
      <c r="P118" s="285"/>
      <c r="Q118" s="285"/>
      <c r="R118" s="285"/>
      <c r="S118" s="285"/>
      <c r="T118" s="339">
        <f>-T100-SUM(T102:T117)</f>
        <v>-1416</v>
      </c>
      <c r="U118" s="288"/>
      <c r="V118" s="5"/>
    </row>
    <row r="119" spans="1:22" ht="15.6" x14ac:dyDescent="0.3">
      <c r="A119" s="284"/>
      <c r="B119" s="343" t="s">
        <v>38</v>
      </c>
      <c r="C119" s="311"/>
      <c r="D119" s="311"/>
      <c r="E119" s="311"/>
      <c r="F119" s="311"/>
      <c r="G119" s="311"/>
      <c r="H119" s="311"/>
      <c r="I119" s="311"/>
      <c r="J119" s="311"/>
      <c r="K119" s="311"/>
      <c r="L119" s="311"/>
      <c r="M119" s="311"/>
      <c r="N119" s="311"/>
      <c r="O119" s="311"/>
      <c r="P119" s="311"/>
      <c r="Q119" s="311"/>
      <c r="R119" s="311"/>
      <c r="S119" s="311"/>
      <c r="T119" s="346"/>
      <c r="U119" s="317"/>
      <c r="V119" s="5"/>
    </row>
    <row r="120" spans="1:22" ht="15.6" x14ac:dyDescent="0.3">
      <c r="A120" s="337"/>
      <c r="B120" s="285" t="s">
        <v>180</v>
      </c>
      <c r="C120" s="285"/>
      <c r="D120" s="285"/>
      <c r="E120" s="285"/>
      <c r="F120" s="285"/>
      <c r="G120" s="285"/>
      <c r="H120" s="285"/>
      <c r="I120" s="285"/>
      <c r="J120" s="285"/>
      <c r="K120" s="285"/>
      <c r="L120" s="285"/>
      <c r="M120" s="285"/>
      <c r="N120" s="285"/>
      <c r="O120" s="285"/>
      <c r="P120" s="285"/>
      <c r="Q120" s="285"/>
      <c r="R120" s="338">
        <f>-R178</f>
        <v>0</v>
      </c>
      <c r="S120" s="338"/>
      <c r="T120" s="339"/>
      <c r="U120" s="288"/>
      <c r="V120" s="5"/>
    </row>
    <row r="121" spans="1:22" ht="15.6" x14ac:dyDescent="0.3">
      <c r="A121" s="337"/>
      <c r="B121" s="285" t="s">
        <v>181</v>
      </c>
      <c r="C121" s="285"/>
      <c r="D121" s="285"/>
      <c r="E121" s="285"/>
      <c r="F121" s="285"/>
      <c r="G121" s="285"/>
      <c r="H121" s="285"/>
      <c r="I121" s="285"/>
      <c r="J121" s="285"/>
      <c r="K121" s="285"/>
      <c r="L121" s="285"/>
      <c r="M121" s="285"/>
      <c r="N121" s="285"/>
      <c r="O121" s="285"/>
      <c r="P121" s="285"/>
      <c r="Q121" s="285"/>
      <c r="R121" s="338">
        <v>0</v>
      </c>
      <c r="S121" s="338"/>
      <c r="T121" s="339"/>
      <c r="U121" s="288"/>
      <c r="V121" s="5"/>
    </row>
    <row r="122" spans="1:22" ht="15.6" x14ac:dyDescent="0.3">
      <c r="A122" s="337"/>
      <c r="B122" s="285" t="s">
        <v>39</v>
      </c>
      <c r="C122" s="285"/>
      <c r="D122" s="285"/>
      <c r="E122" s="285"/>
      <c r="F122" s="285"/>
      <c r="G122" s="285"/>
      <c r="H122" s="285"/>
      <c r="I122" s="285"/>
      <c r="J122" s="285"/>
      <c r="K122" s="285"/>
      <c r="L122" s="285"/>
      <c r="M122" s="285"/>
      <c r="N122" s="285"/>
      <c r="O122" s="285"/>
      <c r="P122" s="285"/>
      <c r="Q122" s="285"/>
      <c r="R122" s="338">
        <f>-Q178</f>
        <v>-358</v>
      </c>
      <c r="S122" s="338"/>
      <c r="T122" s="339"/>
      <c r="U122" s="288"/>
      <c r="V122" s="5"/>
    </row>
    <row r="123" spans="1:22" ht="15.6" x14ac:dyDescent="0.3">
      <c r="A123" s="337"/>
      <c r="B123" s="285" t="s">
        <v>205</v>
      </c>
      <c r="C123" s="285"/>
      <c r="D123" s="285"/>
      <c r="E123" s="285"/>
      <c r="F123" s="285"/>
      <c r="G123" s="285"/>
      <c r="H123" s="285"/>
      <c r="I123" s="285"/>
      <c r="J123" s="285"/>
      <c r="K123" s="285"/>
      <c r="L123" s="285"/>
      <c r="M123" s="285"/>
      <c r="N123" s="285"/>
      <c r="O123" s="285"/>
      <c r="P123" s="285"/>
      <c r="Q123" s="285"/>
      <c r="R123" s="338">
        <v>-4119</v>
      </c>
      <c r="S123" s="338"/>
      <c r="T123" s="339"/>
      <c r="U123" s="288"/>
      <c r="V123" s="5"/>
    </row>
    <row r="124" spans="1:22" ht="15.6" x14ac:dyDescent="0.3">
      <c r="A124" s="337"/>
      <c r="B124" s="285" t="s">
        <v>203</v>
      </c>
      <c r="C124" s="285"/>
      <c r="D124" s="285"/>
      <c r="E124" s="285"/>
      <c r="F124" s="285"/>
      <c r="G124" s="285"/>
      <c r="H124" s="285"/>
      <c r="I124" s="285"/>
      <c r="J124" s="285"/>
      <c r="K124" s="285"/>
      <c r="L124" s="285"/>
      <c r="M124" s="285"/>
      <c r="N124" s="285"/>
      <c r="O124" s="285"/>
      <c r="P124" s="285"/>
      <c r="Q124" s="285"/>
      <c r="R124" s="338">
        <v>-1085</v>
      </c>
      <c r="S124" s="338"/>
      <c r="T124" s="339"/>
      <c r="U124" s="288"/>
      <c r="V124" s="5"/>
    </row>
    <row r="125" spans="1:22" ht="15.6" x14ac:dyDescent="0.3">
      <c r="A125" s="337"/>
      <c r="B125" s="285" t="s">
        <v>202</v>
      </c>
      <c r="C125" s="285"/>
      <c r="D125" s="285"/>
      <c r="E125" s="285"/>
      <c r="F125" s="285"/>
      <c r="G125" s="285"/>
      <c r="H125" s="285"/>
      <c r="I125" s="285"/>
      <c r="J125" s="285"/>
      <c r="K125" s="285"/>
      <c r="L125" s="285"/>
      <c r="M125" s="285"/>
      <c r="N125" s="285"/>
      <c r="O125" s="285"/>
      <c r="P125" s="285"/>
      <c r="Q125" s="285"/>
      <c r="R125" s="338">
        <v>-1094</v>
      </c>
      <c r="S125" s="338"/>
      <c r="T125" s="339"/>
      <c r="U125" s="288"/>
      <c r="V125" s="5"/>
    </row>
    <row r="126" spans="1:22" ht="15.6" x14ac:dyDescent="0.3">
      <c r="A126" s="337"/>
      <c r="B126" s="285" t="s">
        <v>197</v>
      </c>
      <c r="C126" s="285"/>
      <c r="D126" s="285"/>
      <c r="E126" s="285"/>
      <c r="F126" s="285"/>
      <c r="G126" s="285"/>
      <c r="H126" s="285"/>
      <c r="I126" s="285"/>
      <c r="J126" s="285"/>
      <c r="K126" s="285"/>
      <c r="L126" s="285"/>
      <c r="M126" s="285"/>
      <c r="N126" s="285"/>
      <c r="O126" s="285"/>
      <c r="P126" s="285"/>
      <c r="Q126" s="285"/>
      <c r="R126" s="338">
        <v>-276</v>
      </c>
      <c r="S126" s="338"/>
      <c r="T126" s="339"/>
      <c r="U126" s="288"/>
      <c r="V126" s="5"/>
    </row>
    <row r="127" spans="1:22" ht="15.6" x14ac:dyDescent="0.3">
      <c r="A127" s="337"/>
      <c r="B127" s="285" t="s">
        <v>196</v>
      </c>
      <c r="C127" s="285"/>
      <c r="D127" s="285"/>
      <c r="E127" s="285"/>
      <c r="F127" s="285"/>
      <c r="G127" s="285"/>
      <c r="H127" s="285"/>
      <c r="I127" s="285"/>
      <c r="J127" s="285"/>
      <c r="K127" s="285"/>
      <c r="L127" s="285"/>
      <c r="M127" s="285"/>
      <c r="N127" s="285"/>
      <c r="O127" s="285"/>
      <c r="P127" s="285"/>
      <c r="Q127" s="285"/>
      <c r="R127" s="338">
        <v>-973</v>
      </c>
      <c r="S127" s="338"/>
      <c r="T127" s="339"/>
      <c r="U127" s="288"/>
      <c r="V127" s="5"/>
    </row>
    <row r="128" spans="1:22" ht="15.6" x14ac:dyDescent="0.3">
      <c r="A128" s="337"/>
      <c r="B128" s="285" t="s">
        <v>195</v>
      </c>
      <c r="C128" s="285"/>
      <c r="D128" s="285"/>
      <c r="E128" s="285"/>
      <c r="F128" s="285"/>
      <c r="G128" s="285"/>
      <c r="H128" s="285"/>
      <c r="I128" s="285"/>
      <c r="J128" s="285"/>
      <c r="K128" s="285"/>
      <c r="L128" s="285"/>
      <c r="M128" s="285"/>
      <c r="N128" s="285"/>
      <c r="O128" s="285"/>
      <c r="P128" s="285"/>
      <c r="Q128" s="285"/>
      <c r="R128" s="338">
        <v>-1034</v>
      </c>
      <c r="S128" s="338"/>
      <c r="T128" s="339"/>
      <c r="U128" s="288"/>
      <c r="V128" s="5"/>
    </row>
    <row r="129" spans="1:22" ht="15.6" x14ac:dyDescent="0.3">
      <c r="A129" s="337"/>
      <c r="B129" s="285" t="s">
        <v>40</v>
      </c>
      <c r="C129" s="285"/>
      <c r="D129" s="285"/>
      <c r="E129" s="285"/>
      <c r="F129" s="285"/>
      <c r="G129" s="285"/>
      <c r="H129" s="285"/>
      <c r="I129" s="285"/>
      <c r="J129" s="285"/>
      <c r="K129" s="285"/>
      <c r="L129" s="285"/>
      <c r="M129" s="285"/>
      <c r="N129" s="285"/>
      <c r="O129" s="285"/>
      <c r="P129" s="285"/>
      <c r="Q129" s="285"/>
      <c r="R129" s="338">
        <f>SUM(R120:R128)</f>
        <v>-8939</v>
      </c>
      <c r="S129" s="338"/>
      <c r="T129" s="338">
        <f>SUM(T101:T127)</f>
        <v>-2970</v>
      </c>
      <c r="U129" s="288"/>
      <c r="V129" s="5"/>
    </row>
    <row r="130" spans="1:22" ht="15.6" x14ac:dyDescent="0.3">
      <c r="A130" s="337"/>
      <c r="B130" s="285" t="s">
        <v>41</v>
      </c>
      <c r="C130" s="285"/>
      <c r="D130" s="285"/>
      <c r="E130" s="285"/>
      <c r="F130" s="285"/>
      <c r="G130" s="285"/>
      <c r="H130" s="285"/>
      <c r="I130" s="285"/>
      <c r="J130" s="285"/>
      <c r="K130" s="285"/>
      <c r="L130" s="285"/>
      <c r="M130" s="285"/>
      <c r="N130" s="285"/>
      <c r="O130" s="285"/>
      <c r="P130" s="285"/>
      <c r="Q130" s="285"/>
      <c r="R130" s="338">
        <f>R100+R129+R113</f>
        <v>0</v>
      </c>
      <c r="S130" s="338"/>
      <c r="T130" s="338">
        <f>T100+T129</f>
        <v>0</v>
      </c>
      <c r="U130" s="288"/>
      <c r="V130" s="5"/>
    </row>
    <row r="131" spans="1:22" ht="15.6" x14ac:dyDescent="0.3">
      <c r="A131" s="256"/>
      <c r="B131" s="281"/>
      <c r="C131" s="281"/>
      <c r="D131" s="281"/>
      <c r="E131" s="281"/>
      <c r="F131" s="281"/>
      <c r="G131" s="281"/>
      <c r="H131" s="281"/>
      <c r="I131" s="281"/>
      <c r="J131" s="281"/>
      <c r="K131" s="281"/>
      <c r="L131" s="281"/>
      <c r="M131" s="281"/>
      <c r="N131" s="281"/>
      <c r="O131" s="281"/>
      <c r="P131" s="281"/>
      <c r="Q131" s="281"/>
      <c r="R131" s="340"/>
      <c r="S131" s="340"/>
      <c r="T131" s="340"/>
      <c r="U131" s="281"/>
      <c r="V131" s="5"/>
    </row>
    <row r="132" spans="1:22" ht="15.6" x14ac:dyDescent="0.3">
      <c r="A132" s="256"/>
      <c r="B132" s="231"/>
      <c r="C132" s="231"/>
      <c r="D132" s="231"/>
      <c r="E132" s="231"/>
      <c r="F132" s="231"/>
      <c r="G132" s="231"/>
      <c r="H132" s="231"/>
      <c r="I132" s="231"/>
      <c r="J132" s="231"/>
      <c r="K132" s="231"/>
      <c r="L132" s="231"/>
      <c r="M132" s="231"/>
      <c r="N132" s="231"/>
      <c r="O132" s="231"/>
      <c r="P132" s="231"/>
      <c r="Q132" s="231"/>
      <c r="R132" s="231"/>
      <c r="S132" s="231"/>
      <c r="T132" s="257"/>
      <c r="U132" s="231"/>
      <c r="V132" s="5"/>
    </row>
    <row r="133" spans="1:22" ht="18" thickBot="1" x14ac:dyDescent="0.35">
      <c r="A133" s="258"/>
      <c r="B133" s="246" t="str">
        <f>B64</f>
        <v>PM11 INVESTOR REPORT QUARTER ENDING DECEMBER 2016</v>
      </c>
      <c r="C133" s="247"/>
      <c r="D133" s="247"/>
      <c r="E133" s="247"/>
      <c r="F133" s="247"/>
      <c r="G133" s="247"/>
      <c r="H133" s="247"/>
      <c r="I133" s="247"/>
      <c r="J133" s="247"/>
      <c r="K133" s="247"/>
      <c r="L133" s="247"/>
      <c r="M133" s="247"/>
      <c r="N133" s="247"/>
      <c r="O133" s="247"/>
      <c r="P133" s="247"/>
      <c r="Q133" s="247"/>
      <c r="R133" s="247"/>
      <c r="S133" s="247"/>
      <c r="T133" s="259"/>
      <c r="U133" s="249"/>
      <c r="V133" s="5"/>
    </row>
    <row r="134" spans="1:22" ht="15.6" x14ac:dyDescent="0.3">
      <c r="A134" s="260"/>
      <c r="B134" s="399" t="s">
        <v>42</v>
      </c>
      <c r="C134" s="261"/>
      <c r="D134" s="261"/>
      <c r="E134" s="261"/>
      <c r="F134" s="261"/>
      <c r="G134" s="261"/>
      <c r="H134" s="261"/>
      <c r="I134" s="261"/>
      <c r="J134" s="261"/>
      <c r="K134" s="261"/>
      <c r="L134" s="261"/>
      <c r="M134" s="261"/>
      <c r="N134" s="261"/>
      <c r="O134" s="261"/>
      <c r="P134" s="261"/>
      <c r="Q134" s="261"/>
      <c r="R134" s="261"/>
      <c r="S134" s="261"/>
      <c r="T134" s="262"/>
      <c r="U134" s="261"/>
      <c r="V134" s="5"/>
    </row>
    <row r="135" spans="1:22" ht="15.6" x14ac:dyDescent="0.3">
      <c r="A135" s="175"/>
      <c r="B135" s="187"/>
      <c r="C135" s="177"/>
      <c r="D135" s="177"/>
      <c r="E135" s="177"/>
      <c r="F135" s="177"/>
      <c r="G135" s="177"/>
      <c r="H135" s="177"/>
      <c r="I135" s="177"/>
      <c r="J135" s="177"/>
      <c r="K135" s="177"/>
      <c r="L135" s="177"/>
      <c r="M135" s="177"/>
      <c r="N135" s="177"/>
      <c r="O135" s="177"/>
      <c r="P135" s="177"/>
      <c r="Q135" s="177"/>
      <c r="R135" s="177"/>
      <c r="S135" s="177"/>
      <c r="T135" s="194"/>
      <c r="U135" s="177"/>
      <c r="V135" s="5"/>
    </row>
    <row r="136" spans="1:22" ht="15.6" x14ac:dyDescent="0.3">
      <c r="A136" s="175"/>
      <c r="B136" s="201" t="s">
        <v>43</v>
      </c>
      <c r="C136" s="177"/>
      <c r="D136" s="177"/>
      <c r="E136" s="177"/>
      <c r="F136" s="177"/>
      <c r="G136" s="177"/>
      <c r="H136" s="177"/>
      <c r="I136" s="177"/>
      <c r="J136" s="177"/>
      <c r="K136" s="177"/>
      <c r="L136" s="177"/>
      <c r="M136" s="177"/>
      <c r="N136" s="177"/>
      <c r="O136" s="177"/>
      <c r="P136" s="177"/>
      <c r="Q136" s="177"/>
      <c r="R136" s="177"/>
      <c r="S136" s="177"/>
      <c r="T136" s="194"/>
      <c r="U136" s="177"/>
      <c r="V136" s="5"/>
    </row>
    <row r="137" spans="1:22" ht="15.6" x14ac:dyDescent="0.3">
      <c r="A137" s="284"/>
      <c r="B137" s="285" t="s">
        <v>44</v>
      </c>
      <c r="C137" s="285"/>
      <c r="D137" s="285"/>
      <c r="E137" s="285"/>
      <c r="F137" s="285"/>
      <c r="G137" s="285"/>
      <c r="H137" s="285"/>
      <c r="I137" s="285"/>
      <c r="J137" s="285"/>
      <c r="K137" s="285"/>
      <c r="L137" s="285"/>
      <c r="M137" s="285"/>
      <c r="N137" s="285"/>
      <c r="O137" s="285"/>
      <c r="P137" s="285"/>
      <c r="Q137" s="285"/>
      <c r="R137" s="285"/>
      <c r="S137" s="285"/>
      <c r="T137" s="339">
        <f>+T34*0.019</f>
        <v>19000.95</v>
      </c>
      <c r="U137" s="288"/>
      <c r="V137" s="5"/>
    </row>
    <row r="138" spans="1:22" ht="15.6" x14ac:dyDescent="0.3">
      <c r="A138" s="284"/>
      <c r="B138" s="285" t="s">
        <v>45</v>
      </c>
      <c r="C138" s="285"/>
      <c r="D138" s="285"/>
      <c r="E138" s="285"/>
      <c r="F138" s="285"/>
      <c r="G138" s="285"/>
      <c r="H138" s="285"/>
      <c r="I138" s="285"/>
      <c r="J138" s="285"/>
      <c r="K138" s="285"/>
      <c r="L138" s="285"/>
      <c r="M138" s="285"/>
      <c r="N138" s="285"/>
      <c r="O138" s="285"/>
      <c r="P138" s="285"/>
      <c r="Q138" s="285"/>
      <c r="R138" s="285"/>
      <c r="S138" s="285"/>
      <c r="T138" s="339">
        <v>19001</v>
      </c>
      <c r="U138" s="288"/>
      <c r="V138" s="5"/>
    </row>
    <row r="139" spans="1:22" ht="15.6" x14ac:dyDescent="0.3">
      <c r="A139" s="284"/>
      <c r="B139" s="285" t="s">
        <v>142</v>
      </c>
      <c r="C139" s="285"/>
      <c r="D139" s="285"/>
      <c r="E139" s="285"/>
      <c r="F139" s="285"/>
      <c r="G139" s="285"/>
      <c r="H139" s="285"/>
      <c r="I139" s="285"/>
      <c r="J139" s="285"/>
      <c r="K139" s="285"/>
      <c r="L139" s="285"/>
      <c r="M139" s="285"/>
      <c r="N139" s="285"/>
      <c r="O139" s="285"/>
      <c r="P139" s="285"/>
      <c r="Q139" s="285"/>
      <c r="R139" s="285"/>
      <c r="S139" s="285"/>
      <c r="T139" s="339">
        <v>0</v>
      </c>
      <c r="U139" s="288"/>
      <c r="V139" s="5"/>
    </row>
    <row r="140" spans="1:22" ht="15.6" x14ac:dyDescent="0.3">
      <c r="A140" s="284"/>
      <c r="B140" s="285" t="s">
        <v>129</v>
      </c>
      <c r="C140" s="285"/>
      <c r="D140" s="285"/>
      <c r="E140" s="285"/>
      <c r="F140" s="285"/>
      <c r="G140" s="285"/>
      <c r="H140" s="285"/>
      <c r="I140" s="285"/>
      <c r="J140" s="285"/>
      <c r="K140" s="285"/>
      <c r="L140" s="285"/>
      <c r="M140" s="285"/>
      <c r="N140" s="285"/>
      <c r="O140" s="285"/>
      <c r="P140" s="285"/>
      <c r="Q140" s="285"/>
      <c r="R140" s="285"/>
      <c r="S140" s="285"/>
      <c r="T140" s="339">
        <v>0</v>
      </c>
      <c r="U140" s="288"/>
      <c r="V140" s="5"/>
    </row>
    <row r="141" spans="1:22" ht="15.6" x14ac:dyDescent="0.3">
      <c r="A141" s="284"/>
      <c r="B141" s="285" t="s">
        <v>130</v>
      </c>
      <c r="C141" s="285"/>
      <c r="D141" s="285"/>
      <c r="E141" s="285"/>
      <c r="F141" s="285"/>
      <c r="G141" s="285"/>
      <c r="H141" s="285"/>
      <c r="I141" s="285"/>
      <c r="J141" s="285"/>
      <c r="K141" s="285"/>
      <c r="L141" s="285"/>
      <c r="M141" s="285"/>
      <c r="N141" s="285"/>
      <c r="O141" s="285"/>
      <c r="P141" s="285"/>
      <c r="Q141" s="285"/>
      <c r="R141" s="285"/>
      <c r="S141" s="285"/>
      <c r="T141" s="339">
        <v>0</v>
      </c>
      <c r="U141" s="288"/>
      <c r="V141" s="5"/>
    </row>
    <row r="142" spans="1:22" ht="15.6" x14ac:dyDescent="0.3">
      <c r="A142" s="284"/>
      <c r="B142" s="285" t="s">
        <v>182</v>
      </c>
      <c r="C142" s="285"/>
      <c r="D142" s="285"/>
      <c r="E142" s="285"/>
      <c r="F142" s="285"/>
      <c r="G142" s="285"/>
      <c r="H142" s="285"/>
      <c r="I142" s="285"/>
      <c r="J142" s="285"/>
      <c r="K142" s="285"/>
      <c r="L142" s="285"/>
      <c r="M142" s="285"/>
      <c r="N142" s="285"/>
      <c r="O142" s="285"/>
      <c r="P142" s="285"/>
      <c r="Q142" s="285"/>
      <c r="R142" s="285"/>
      <c r="S142" s="285"/>
      <c r="T142" s="339">
        <v>0</v>
      </c>
      <c r="U142" s="288"/>
      <c r="V142" s="5"/>
    </row>
    <row r="143" spans="1:22" ht="15.6" x14ac:dyDescent="0.3">
      <c r="A143" s="284"/>
      <c r="B143" s="285" t="s">
        <v>46</v>
      </c>
      <c r="C143" s="285"/>
      <c r="D143" s="285"/>
      <c r="E143" s="285"/>
      <c r="F143" s="285"/>
      <c r="G143" s="285"/>
      <c r="H143" s="285"/>
      <c r="I143" s="285"/>
      <c r="J143" s="285"/>
      <c r="K143" s="285"/>
      <c r="L143" s="285"/>
      <c r="M143" s="285"/>
      <c r="N143" s="285"/>
      <c r="O143" s="285"/>
      <c r="P143" s="285"/>
      <c r="Q143" s="285"/>
      <c r="R143" s="285"/>
      <c r="S143" s="285"/>
      <c r="T143" s="339">
        <v>0</v>
      </c>
      <c r="U143" s="288"/>
      <c r="V143" s="5"/>
    </row>
    <row r="144" spans="1:22" ht="15.6" x14ac:dyDescent="0.3">
      <c r="A144" s="284"/>
      <c r="B144" s="285" t="s">
        <v>135</v>
      </c>
      <c r="C144" s="285"/>
      <c r="D144" s="285"/>
      <c r="E144" s="285"/>
      <c r="F144" s="285"/>
      <c r="G144" s="285"/>
      <c r="H144" s="285"/>
      <c r="I144" s="285"/>
      <c r="J144" s="285"/>
      <c r="K144" s="285"/>
      <c r="L144" s="285"/>
      <c r="M144" s="285"/>
      <c r="N144" s="285"/>
      <c r="O144" s="285"/>
      <c r="P144" s="285"/>
      <c r="Q144" s="285"/>
      <c r="R144" s="285"/>
      <c r="S144" s="285"/>
      <c r="T144" s="339">
        <v>0</v>
      </c>
      <c r="U144" s="288"/>
      <c r="V144" s="5"/>
    </row>
    <row r="145" spans="1:23" ht="15.6" x14ac:dyDescent="0.3">
      <c r="A145" s="284"/>
      <c r="B145" s="285" t="s">
        <v>251</v>
      </c>
      <c r="C145" s="285"/>
      <c r="D145" s="285"/>
      <c r="E145" s="285"/>
      <c r="F145" s="285"/>
      <c r="G145" s="285"/>
      <c r="H145" s="285"/>
      <c r="I145" s="285"/>
      <c r="J145" s="285"/>
      <c r="K145" s="285"/>
      <c r="L145" s="285"/>
      <c r="M145" s="285"/>
      <c r="N145" s="285"/>
      <c r="O145" s="285"/>
      <c r="P145" s="285"/>
      <c r="Q145" s="285"/>
      <c r="R145" s="285"/>
      <c r="S145" s="285"/>
      <c r="T145" s="339">
        <v>0</v>
      </c>
      <c r="U145" s="288"/>
      <c r="V145" s="5"/>
      <c r="W145" s="109"/>
    </row>
    <row r="146" spans="1:23" ht="15.6" x14ac:dyDescent="0.3">
      <c r="A146" s="284"/>
      <c r="B146" s="285" t="s">
        <v>47</v>
      </c>
      <c r="C146" s="285"/>
      <c r="D146" s="285"/>
      <c r="E146" s="285"/>
      <c r="F146" s="285"/>
      <c r="G146" s="285"/>
      <c r="H146" s="285"/>
      <c r="I146" s="285"/>
      <c r="J146" s="285"/>
      <c r="K146" s="285"/>
      <c r="L146" s="285"/>
      <c r="M146" s="285"/>
      <c r="N146" s="285"/>
      <c r="O146" s="285"/>
      <c r="P146" s="285"/>
      <c r="Q146" s="285"/>
      <c r="R146" s="285"/>
      <c r="S146" s="285"/>
      <c r="T146" s="339">
        <f>SUM(T138:T145)</f>
        <v>19001</v>
      </c>
      <c r="U146" s="288"/>
      <c r="V146" s="5"/>
    </row>
    <row r="147" spans="1:23" ht="15.6" x14ac:dyDescent="0.3">
      <c r="A147" s="284"/>
      <c r="B147" s="311"/>
      <c r="C147" s="311"/>
      <c r="D147" s="311"/>
      <c r="E147" s="311"/>
      <c r="F147" s="311"/>
      <c r="G147" s="311"/>
      <c r="H147" s="311"/>
      <c r="I147" s="311"/>
      <c r="J147" s="311"/>
      <c r="K147" s="311"/>
      <c r="L147" s="311"/>
      <c r="M147" s="311"/>
      <c r="N147" s="311"/>
      <c r="O147" s="311"/>
      <c r="P147" s="311"/>
      <c r="Q147" s="311"/>
      <c r="R147" s="311"/>
      <c r="S147" s="311"/>
      <c r="T147" s="345"/>
      <c r="U147" s="317"/>
      <c r="V147" s="5"/>
    </row>
    <row r="148" spans="1:23" ht="15.6" x14ac:dyDescent="0.3">
      <c r="A148" s="284"/>
      <c r="B148" s="343" t="s">
        <v>262</v>
      </c>
      <c r="C148" s="311"/>
      <c r="D148" s="311"/>
      <c r="E148" s="311"/>
      <c r="F148" s="311"/>
      <c r="G148" s="311"/>
      <c r="H148" s="311"/>
      <c r="I148" s="311"/>
      <c r="J148" s="311"/>
      <c r="K148" s="311"/>
      <c r="L148" s="311"/>
      <c r="M148" s="311"/>
      <c r="N148" s="311"/>
      <c r="O148" s="311"/>
      <c r="P148" s="311"/>
      <c r="Q148" s="311"/>
      <c r="R148" s="311"/>
      <c r="S148" s="311"/>
      <c r="T148" s="345"/>
      <c r="U148" s="317"/>
      <c r="V148" s="5"/>
    </row>
    <row r="149" spans="1:23" ht="15.6" x14ac:dyDescent="0.3">
      <c r="A149" s="284"/>
      <c r="B149" s="285" t="s">
        <v>263</v>
      </c>
      <c r="C149" s="285"/>
      <c r="D149" s="285"/>
      <c r="E149" s="285"/>
      <c r="F149" s="285"/>
      <c r="G149" s="285"/>
      <c r="H149" s="285"/>
      <c r="I149" s="285"/>
      <c r="J149" s="285"/>
      <c r="K149" s="285"/>
      <c r="L149" s="285"/>
      <c r="M149" s="285"/>
      <c r="N149" s="285"/>
      <c r="O149" s="285"/>
      <c r="P149" s="285"/>
      <c r="Q149" s="285"/>
      <c r="R149" s="285"/>
      <c r="S149" s="285"/>
      <c r="T149" s="339">
        <v>0</v>
      </c>
      <c r="U149" s="288"/>
      <c r="V149" s="5"/>
    </row>
    <row r="150" spans="1:23" ht="15.6" x14ac:dyDescent="0.3">
      <c r="A150" s="284"/>
      <c r="B150" s="285" t="s">
        <v>179</v>
      </c>
      <c r="C150" s="285"/>
      <c r="D150" s="285"/>
      <c r="E150" s="285"/>
      <c r="F150" s="285"/>
      <c r="G150" s="285"/>
      <c r="H150" s="285"/>
      <c r="I150" s="285"/>
      <c r="J150" s="285"/>
      <c r="K150" s="285"/>
      <c r="L150" s="285"/>
      <c r="M150" s="285"/>
      <c r="N150" s="285"/>
      <c r="O150" s="285"/>
      <c r="P150" s="285"/>
      <c r="Q150" s="285"/>
      <c r="R150" s="285"/>
      <c r="S150" s="285"/>
      <c r="T150" s="339">
        <v>0</v>
      </c>
      <c r="U150" s="288"/>
      <c r="V150" s="5"/>
    </row>
    <row r="151" spans="1:23" ht="15.6" x14ac:dyDescent="0.3">
      <c r="A151" s="284"/>
      <c r="B151" s="285" t="s">
        <v>264</v>
      </c>
      <c r="C151" s="285"/>
      <c r="D151" s="285"/>
      <c r="E151" s="285"/>
      <c r="F151" s="285"/>
      <c r="G151" s="285"/>
      <c r="H151" s="285"/>
      <c r="I151" s="285"/>
      <c r="J151" s="285"/>
      <c r="K151" s="285"/>
      <c r="L151" s="285"/>
      <c r="M151" s="285"/>
      <c r="N151" s="285"/>
      <c r="O151" s="285"/>
      <c r="P151" s="285"/>
      <c r="Q151" s="285"/>
      <c r="R151" s="285"/>
      <c r="S151" s="285"/>
      <c r="T151" s="339">
        <v>0</v>
      </c>
      <c r="U151" s="288"/>
      <c r="V151" s="5"/>
    </row>
    <row r="152" spans="1:23" ht="15.6" x14ac:dyDescent="0.3">
      <c r="A152" s="284"/>
      <c r="B152" s="285"/>
      <c r="C152" s="285"/>
      <c r="D152" s="285"/>
      <c r="E152" s="285"/>
      <c r="F152" s="285"/>
      <c r="G152" s="285"/>
      <c r="H152" s="285"/>
      <c r="I152" s="285"/>
      <c r="J152" s="285"/>
      <c r="K152" s="285"/>
      <c r="L152" s="285"/>
      <c r="M152" s="285"/>
      <c r="N152" s="285"/>
      <c r="O152" s="285"/>
      <c r="P152" s="285"/>
      <c r="Q152" s="285"/>
      <c r="R152" s="285"/>
      <c r="S152" s="285"/>
      <c r="T152" s="339"/>
      <c r="U152" s="288"/>
      <c r="V152" s="5"/>
    </row>
    <row r="153" spans="1:23" ht="15.6" x14ac:dyDescent="0.3">
      <c r="A153" s="175"/>
      <c r="B153" s="334"/>
      <c r="C153" s="334"/>
      <c r="D153" s="334"/>
      <c r="E153" s="334"/>
      <c r="F153" s="334"/>
      <c r="G153" s="334"/>
      <c r="H153" s="334"/>
      <c r="I153" s="334"/>
      <c r="J153" s="334"/>
      <c r="K153" s="334"/>
      <c r="L153" s="334"/>
      <c r="M153" s="334"/>
      <c r="N153" s="334"/>
      <c r="O153" s="334"/>
      <c r="P153" s="334"/>
      <c r="Q153" s="334"/>
      <c r="R153" s="334"/>
      <c r="S153" s="334"/>
      <c r="T153" s="347"/>
      <c r="U153" s="334"/>
      <c r="V153" s="5"/>
    </row>
    <row r="154" spans="1:23" ht="15.6" x14ac:dyDescent="0.3">
      <c r="A154" s="175"/>
      <c r="B154" s="201" t="s">
        <v>24</v>
      </c>
      <c r="C154" s="177"/>
      <c r="D154" s="177"/>
      <c r="E154" s="177"/>
      <c r="F154" s="177"/>
      <c r="G154" s="177"/>
      <c r="H154" s="177"/>
      <c r="I154" s="177"/>
      <c r="J154" s="177"/>
      <c r="K154" s="177"/>
      <c r="L154" s="177"/>
      <c r="M154" s="177"/>
      <c r="N154" s="177"/>
      <c r="O154" s="177"/>
      <c r="P154" s="177"/>
      <c r="Q154" s="177"/>
      <c r="R154" s="177"/>
      <c r="S154" s="177"/>
      <c r="T154" s="194"/>
      <c r="U154" s="177"/>
      <c r="V154" s="5"/>
    </row>
    <row r="155" spans="1:23" ht="15.6" x14ac:dyDescent="0.3">
      <c r="A155" s="284"/>
      <c r="B155" s="285" t="s">
        <v>48</v>
      </c>
      <c r="C155" s="285"/>
      <c r="D155" s="285"/>
      <c r="E155" s="285"/>
      <c r="F155" s="285"/>
      <c r="G155" s="285"/>
      <c r="H155" s="285"/>
      <c r="I155" s="285"/>
      <c r="J155" s="285"/>
      <c r="K155" s="285"/>
      <c r="L155" s="285"/>
      <c r="M155" s="285"/>
      <c r="N155" s="285"/>
      <c r="O155" s="285"/>
      <c r="P155" s="285"/>
      <c r="Q155" s="285"/>
      <c r="R155" s="285"/>
      <c r="S155" s="285"/>
      <c r="T155" s="348" t="s">
        <v>124</v>
      </c>
      <c r="U155" s="288"/>
      <c r="V155" s="5"/>
    </row>
    <row r="156" spans="1:23" ht="15.6" x14ac:dyDescent="0.3">
      <c r="A156" s="284"/>
      <c r="B156" s="285" t="s">
        <v>49</v>
      </c>
      <c r="C156" s="287"/>
      <c r="D156" s="287"/>
      <c r="E156" s="287"/>
      <c r="F156" s="287"/>
      <c r="G156" s="287"/>
      <c r="H156" s="287"/>
      <c r="I156" s="287"/>
      <c r="J156" s="287"/>
      <c r="K156" s="287"/>
      <c r="L156" s="287"/>
      <c r="M156" s="287"/>
      <c r="N156" s="287"/>
      <c r="O156" s="287"/>
      <c r="P156" s="287"/>
      <c r="Q156" s="287"/>
      <c r="R156" s="287"/>
      <c r="S156" s="287"/>
      <c r="T156" s="348" t="s">
        <v>124</v>
      </c>
      <c r="U156" s="288"/>
      <c r="V156" s="5"/>
    </row>
    <row r="157" spans="1:23" ht="15.6" x14ac:dyDescent="0.3">
      <c r="A157" s="284"/>
      <c r="B157" s="285" t="s">
        <v>50</v>
      </c>
      <c r="C157" s="285"/>
      <c r="D157" s="285"/>
      <c r="E157" s="285"/>
      <c r="F157" s="285"/>
      <c r="G157" s="285"/>
      <c r="H157" s="285"/>
      <c r="I157" s="285"/>
      <c r="J157" s="285"/>
      <c r="K157" s="285"/>
      <c r="L157" s="285"/>
      <c r="M157" s="285"/>
      <c r="N157" s="285"/>
      <c r="O157" s="285"/>
      <c r="P157" s="285"/>
      <c r="Q157" s="285"/>
      <c r="R157" s="285"/>
      <c r="S157" s="285"/>
      <c r="T157" s="348" t="s">
        <v>124</v>
      </c>
      <c r="U157" s="288"/>
      <c r="V157" s="5"/>
    </row>
    <row r="158" spans="1:23" ht="15.6" x14ac:dyDescent="0.3">
      <c r="A158" s="284"/>
      <c r="B158" s="285" t="s">
        <v>51</v>
      </c>
      <c r="C158" s="285"/>
      <c r="D158" s="285"/>
      <c r="E158" s="285"/>
      <c r="F158" s="285"/>
      <c r="G158" s="285"/>
      <c r="H158" s="285"/>
      <c r="I158" s="285"/>
      <c r="J158" s="285"/>
      <c r="K158" s="285"/>
      <c r="L158" s="285"/>
      <c r="M158" s="285"/>
      <c r="N158" s="285"/>
      <c r="O158" s="285"/>
      <c r="P158" s="285"/>
      <c r="Q158" s="285"/>
      <c r="R158" s="285"/>
      <c r="S158" s="285"/>
      <c r="T158" s="348" t="s">
        <v>124</v>
      </c>
      <c r="U158" s="288"/>
      <c r="V158" s="5"/>
    </row>
    <row r="159" spans="1:23" ht="15.6" x14ac:dyDescent="0.3">
      <c r="A159" s="175"/>
      <c r="B159" s="334"/>
      <c r="C159" s="334"/>
      <c r="D159" s="334"/>
      <c r="E159" s="334"/>
      <c r="F159" s="334"/>
      <c r="G159" s="334"/>
      <c r="H159" s="334"/>
      <c r="I159" s="334"/>
      <c r="J159" s="334"/>
      <c r="K159" s="334"/>
      <c r="L159" s="334"/>
      <c r="M159" s="334"/>
      <c r="N159" s="334"/>
      <c r="O159" s="334"/>
      <c r="P159" s="334"/>
      <c r="Q159" s="334"/>
      <c r="R159" s="334"/>
      <c r="S159" s="334"/>
      <c r="T159" s="347"/>
      <c r="U159" s="334"/>
      <c r="V159" s="5"/>
    </row>
    <row r="160" spans="1:23" ht="15.6" x14ac:dyDescent="0.3">
      <c r="A160" s="175"/>
      <c r="B160" s="201" t="s">
        <v>52</v>
      </c>
      <c r="C160" s="177"/>
      <c r="D160" s="177"/>
      <c r="E160" s="177"/>
      <c r="F160" s="177"/>
      <c r="G160" s="177"/>
      <c r="H160" s="177"/>
      <c r="I160" s="177"/>
      <c r="J160" s="177"/>
      <c r="K160" s="177"/>
      <c r="L160" s="177"/>
      <c r="M160" s="177"/>
      <c r="N160" s="177"/>
      <c r="O160" s="177"/>
      <c r="P160" s="177"/>
      <c r="Q160" s="177"/>
      <c r="R160" s="177"/>
      <c r="S160" s="177"/>
      <c r="T160" s="202"/>
      <c r="U160" s="177"/>
      <c r="V160" s="5"/>
    </row>
    <row r="161" spans="1:22" ht="15.6" x14ac:dyDescent="0.3">
      <c r="A161" s="284"/>
      <c r="B161" s="285" t="s">
        <v>53</v>
      </c>
      <c r="C161" s="285"/>
      <c r="D161" s="285"/>
      <c r="E161" s="285"/>
      <c r="F161" s="285"/>
      <c r="G161" s="285"/>
      <c r="H161" s="285"/>
      <c r="I161" s="285"/>
      <c r="J161" s="285"/>
      <c r="K161" s="285"/>
      <c r="L161" s="285"/>
      <c r="M161" s="285"/>
      <c r="N161" s="285"/>
      <c r="O161" s="285"/>
      <c r="P161" s="285"/>
      <c r="Q161" s="285"/>
      <c r="R161" s="285"/>
      <c r="S161" s="285"/>
      <c r="T161" s="339">
        <v>0</v>
      </c>
      <c r="U161" s="288"/>
      <c r="V161" s="5"/>
    </row>
    <row r="162" spans="1:22" ht="15.6" x14ac:dyDescent="0.3">
      <c r="A162" s="284"/>
      <c r="B162" s="285" t="s">
        <v>54</v>
      </c>
      <c r="C162" s="285"/>
      <c r="D162" s="285"/>
      <c r="E162" s="285"/>
      <c r="F162" s="285"/>
      <c r="G162" s="285"/>
      <c r="H162" s="285"/>
      <c r="I162" s="285"/>
      <c r="J162" s="285"/>
      <c r="K162" s="285"/>
      <c r="L162" s="285"/>
      <c r="M162" s="285"/>
      <c r="N162" s="285"/>
      <c r="O162" s="285"/>
      <c r="P162" s="285"/>
      <c r="Q162" s="285"/>
      <c r="R162" s="285"/>
      <c r="S162" s="285"/>
      <c r="T162" s="339">
        <f>R113</f>
        <v>266</v>
      </c>
      <c r="U162" s="288"/>
      <c r="V162" s="5"/>
    </row>
    <row r="163" spans="1:22" ht="15.6" x14ac:dyDescent="0.3">
      <c r="A163" s="284"/>
      <c r="B163" s="285" t="s">
        <v>55</v>
      </c>
      <c r="C163" s="285"/>
      <c r="D163" s="285"/>
      <c r="E163" s="285"/>
      <c r="F163" s="285"/>
      <c r="G163" s="285"/>
      <c r="H163" s="285"/>
      <c r="I163" s="285"/>
      <c r="J163" s="285"/>
      <c r="K163" s="285"/>
      <c r="L163" s="285"/>
      <c r="M163" s="285"/>
      <c r="N163" s="285"/>
      <c r="O163" s="285"/>
      <c r="P163" s="285"/>
      <c r="Q163" s="285"/>
      <c r="R163" s="285"/>
      <c r="S163" s="285"/>
      <c r="T163" s="339">
        <f>T162+T161</f>
        <v>266</v>
      </c>
      <c r="U163" s="288"/>
      <c r="V163" s="5"/>
    </row>
    <row r="164" spans="1:22" ht="15.6" x14ac:dyDescent="0.3">
      <c r="A164" s="284"/>
      <c r="B164" s="285" t="s">
        <v>301</v>
      </c>
      <c r="C164" s="285"/>
      <c r="D164" s="285"/>
      <c r="E164" s="285"/>
      <c r="F164" s="285"/>
      <c r="G164" s="285"/>
      <c r="H164" s="285"/>
      <c r="I164" s="285"/>
      <c r="J164" s="285"/>
      <c r="K164" s="285"/>
      <c r="L164" s="285"/>
      <c r="M164" s="285"/>
      <c r="N164" s="285"/>
      <c r="O164" s="285"/>
      <c r="P164" s="285"/>
      <c r="Q164" s="285"/>
      <c r="R164" s="285"/>
      <c r="S164" s="285"/>
      <c r="T164" s="339">
        <f>T113</f>
        <v>-266</v>
      </c>
      <c r="U164" s="288"/>
      <c r="V164" s="5"/>
    </row>
    <row r="165" spans="1:22" ht="15.6" x14ac:dyDescent="0.3">
      <c r="A165" s="284"/>
      <c r="B165" s="285" t="s">
        <v>56</v>
      </c>
      <c r="C165" s="285"/>
      <c r="D165" s="285"/>
      <c r="E165" s="285"/>
      <c r="F165" s="285"/>
      <c r="G165" s="285"/>
      <c r="H165" s="285"/>
      <c r="I165" s="285"/>
      <c r="J165" s="285"/>
      <c r="K165" s="285"/>
      <c r="L165" s="285"/>
      <c r="M165" s="285"/>
      <c r="N165" s="285"/>
      <c r="O165" s="285"/>
      <c r="P165" s="285"/>
      <c r="Q165" s="285"/>
      <c r="R165" s="285"/>
      <c r="S165" s="285"/>
      <c r="T165" s="339">
        <f>T163+T164</f>
        <v>0</v>
      </c>
      <c r="U165" s="288"/>
      <c r="V165" s="5"/>
    </row>
    <row r="166" spans="1:22" ht="15.6" x14ac:dyDescent="0.3">
      <c r="A166" s="284"/>
      <c r="B166" s="285" t="s">
        <v>273</v>
      </c>
      <c r="C166" s="285"/>
      <c r="D166" s="285"/>
      <c r="E166" s="285"/>
      <c r="F166" s="285"/>
      <c r="G166" s="285"/>
      <c r="H166" s="285"/>
      <c r="I166" s="285"/>
      <c r="J166" s="285"/>
      <c r="K166" s="285"/>
      <c r="L166" s="285"/>
      <c r="M166" s="285"/>
      <c r="N166" s="285"/>
      <c r="O166" s="285"/>
      <c r="P166" s="285"/>
      <c r="Q166" s="285"/>
      <c r="R166" s="285"/>
      <c r="S166" s="285"/>
      <c r="T166" s="339">
        <v>0</v>
      </c>
      <c r="U166" s="288"/>
      <c r="V166" s="5"/>
    </row>
    <row r="167" spans="1:22" ht="16.2" thickBot="1" x14ac:dyDescent="0.35">
      <c r="A167" s="175"/>
      <c r="B167" s="334"/>
      <c r="C167" s="334"/>
      <c r="D167" s="334"/>
      <c r="E167" s="334"/>
      <c r="F167" s="334"/>
      <c r="G167" s="334"/>
      <c r="H167" s="334"/>
      <c r="I167" s="334"/>
      <c r="J167" s="334"/>
      <c r="K167" s="334"/>
      <c r="L167" s="334"/>
      <c r="M167" s="334"/>
      <c r="N167" s="334"/>
      <c r="O167" s="334"/>
      <c r="P167" s="334"/>
      <c r="Q167" s="334"/>
      <c r="R167" s="334"/>
      <c r="S167" s="334"/>
      <c r="T167" s="347"/>
      <c r="U167" s="334"/>
      <c r="V167" s="5"/>
    </row>
    <row r="168" spans="1:22" ht="15.6" x14ac:dyDescent="0.3">
      <c r="A168" s="173"/>
      <c r="B168" s="174"/>
      <c r="C168" s="174"/>
      <c r="D168" s="174"/>
      <c r="E168" s="174"/>
      <c r="F168" s="174"/>
      <c r="G168" s="174"/>
      <c r="H168" s="174"/>
      <c r="I168" s="174"/>
      <c r="J168" s="174"/>
      <c r="K168" s="174"/>
      <c r="L168" s="174"/>
      <c r="M168" s="174"/>
      <c r="N168" s="174"/>
      <c r="O168" s="174"/>
      <c r="P168" s="174"/>
      <c r="Q168" s="174"/>
      <c r="R168" s="174"/>
      <c r="S168" s="174"/>
      <c r="T168" s="193"/>
      <c r="U168" s="174"/>
      <c r="V168" s="5"/>
    </row>
    <row r="169" spans="1:22" ht="15.6" x14ac:dyDescent="0.3">
      <c r="A169" s="175"/>
      <c r="B169" s="201" t="s">
        <v>57</v>
      </c>
      <c r="C169" s="177"/>
      <c r="D169" s="177"/>
      <c r="E169" s="177"/>
      <c r="F169" s="177"/>
      <c r="G169" s="177"/>
      <c r="H169" s="177"/>
      <c r="I169" s="177"/>
      <c r="J169" s="177"/>
      <c r="K169" s="177"/>
      <c r="L169" s="177"/>
      <c r="M169" s="177"/>
      <c r="N169" s="177"/>
      <c r="O169" s="177"/>
      <c r="P169" s="177"/>
      <c r="Q169" s="177"/>
      <c r="R169" s="177"/>
      <c r="S169" s="177"/>
      <c r="T169" s="194"/>
      <c r="U169" s="177"/>
      <c r="V169" s="5"/>
    </row>
    <row r="170" spans="1:22" ht="15.6" x14ac:dyDescent="0.3">
      <c r="A170" s="175"/>
      <c r="B170" s="187"/>
      <c r="C170" s="177"/>
      <c r="D170" s="177"/>
      <c r="E170" s="177"/>
      <c r="F170" s="177"/>
      <c r="G170" s="177"/>
      <c r="H170" s="177"/>
      <c r="I170" s="177"/>
      <c r="J170" s="177"/>
      <c r="K170" s="177"/>
      <c r="L170" s="177"/>
      <c r="M170" s="177"/>
      <c r="N170" s="177"/>
      <c r="O170" s="177"/>
      <c r="P170" s="177"/>
      <c r="Q170" s="177"/>
      <c r="R170" s="177"/>
      <c r="S170" s="177"/>
      <c r="T170" s="194"/>
      <c r="U170" s="177"/>
      <c r="V170" s="5"/>
    </row>
    <row r="171" spans="1:22" ht="15.6" x14ac:dyDescent="0.3">
      <c r="A171" s="284"/>
      <c r="B171" s="285" t="s">
        <v>58</v>
      </c>
      <c r="C171" s="285"/>
      <c r="D171" s="285"/>
      <c r="E171" s="285"/>
      <c r="F171" s="285"/>
      <c r="G171" s="285"/>
      <c r="H171" s="285"/>
      <c r="I171" s="285"/>
      <c r="J171" s="285"/>
      <c r="K171" s="285"/>
      <c r="L171" s="285"/>
      <c r="M171" s="285"/>
      <c r="N171" s="285"/>
      <c r="O171" s="285"/>
      <c r="P171" s="285"/>
      <c r="Q171" s="285"/>
      <c r="R171" s="285"/>
      <c r="S171" s="285"/>
      <c r="T171" s="339">
        <f>T71</f>
        <v>448600</v>
      </c>
      <c r="U171" s="288"/>
      <c r="V171" s="5"/>
    </row>
    <row r="172" spans="1:22" ht="15.6" x14ac:dyDescent="0.3">
      <c r="A172" s="284"/>
      <c r="B172" s="285" t="s">
        <v>59</v>
      </c>
      <c r="C172" s="285"/>
      <c r="D172" s="285"/>
      <c r="E172" s="285"/>
      <c r="F172" s="285"/>
      <c r="G172" s="285"/>
      <c r="H172" s="285"/>
      <c r="I172" s="285"/>
      <c r="J172" s="285"/>
      <c r="K172" s="285"/>
      <c r="L172" s="285"/>
      <c r="M172" s="285"/>
      <c r="N172" s="285"/>
      <c r="O172" s="285"/>
      <c r="P172" s="285"/>
      <c r="Q172" s="285"/>
      <c r="R172" s="285"/>
      <c r="S172" s="285"/>
      <c r="T172" s="339">
        <f>T84</f>
        <v>448600</v>
      </c>
      <c r="U172" s="288"/>
      <c r="V172" s="5"/>
    </row>
    <row r="173" spans="1:22" ht="16.2" thickBot="1" x14ac:dyDescent="0.35">
      <c r="A173" s="175"/>
      <c r="B173" s="334"/>
      <c r="C173" s="334"/>
      <c r="D173" s="334"/>
      <c r="E173" s="334"/>
      <c r="F173" s="334"/>
      <c r="G173" s="334"/>
      <c r="H173" s="334"/>
      <c r="I173" s="334"/>
      <c r="J173" s="334"/>
      <c r="K173" s="334"/>
      <c r="L173" s="334"/>
      <c r="M173" s="334"/>
      <c r="N173" s="334"/>
      <c r="O173" s="334"/>
      <c r="P173" s="334"/>
      <c r="Q173" s="334"/>
      <c r="R173" s="334"/>
      <c r="S173" s="334"/>
      <c r="T173" s="347"/>
      <c r="U173" s="334"/>
      <c r="V173" s="5"/>
    </row>
    <row r="174" spans="1:22" ht="15.6" x14ac:dyDescent="0.3">
      <c r="A174" s="173"/>
      <c r="B174" s="174"/>
      <c r="C174" s="174"/>
      <c r="D174" s="174"/>
      <c r="E174" s="174"/>
      <c r="F174" s="174"/>
      <c r="G174" s="174"/>
      <c r="H174" s="174"/>
      <c r="I174" s="174"/>
      <c r="J174" s="174"/>
      <c r="K174" s="174"/>
      <c r="L174" s="174"/>
      <c r="M174" s="174"/>
      <c r="N174" s="174"/>
      <c r="O174" s="174"/>
      <c r="P174" s="174"/>
      <c r="Q174" s="174"/>
      <c r="R174" s="174"/>
      <c r="S174" s="174"/>
      <c r="T174" s="193"/>
      <c r="U174" s="174"/>
      <c r="V174" s="5"/>
    </row>
    <row r="175" spans="1:22" ht="15.6" x14ac:dyDescent="0.3">
      <c r="A175" s="175"/>
      <c r="B175" s="201" t="s">
        <v>60</v>
      </c>
      <c r="C175" s="198"/>
      <c r="D175" s="198"/>
      <c r="E175" s="198"/>
      <c r="F175" s="198"/>
      <c r="G175" s="198"/>
      <c r="H175" s="203"/>
      <c r="I175" s="203"/>
      <c r="J175" s="203"/>
      <c r="K175" s="203"/>
      <c r="L175" s="203"/>
      <c r="M175" s="203"/>
      <c r="N175" s="203"/>
      <c r="O175" s="203"/>
      <c r="P175" s="203"/>
      <c r="Q175" s="203" t="s">
        <v>104</v>
      </c>
      <c r="R175" s="203" t="s">
        <v>183</v>
      </c>
      <c r="S175" s="179"/>
      <c r="T175" s="204" t="s">
        <v>120</v>
      </c>
      <c r="U175" s="205"/>
      <c r="V175" s="5"/>
    </row>
    <row r="176" spans="1:22" ht="15.6" x14ac:dyDescent="0.3">
      <c r="A176" s="284"/>
      <c r="B176" s="285" t="s">
        <v>61</v>
      </c>
      <c r="C176" s="285"/>
      <c r="D176" s="285"/>
      <c r="E176" s="285"/>
      <c r="F176" s="285"/>
      <c r="G176" s="285"/>
      <c r="H176" s="285"/>
      <c r="I176" s="285"/>
      <c r="J176" s="285"/>
      <c r="K176" s="285"/>
      <c r="L176" s="285"/>
      <c r="M176" s="285"/>
      <c r="N176" s="285"/>
      <c r="O176" s="285"/>
      <c r="P176" s="285"/>
      <c r="Q176" s="339">
        <v>160008</v>
      </c>
      <c r="R176" s="324"/>
      <c r="S176" s="285"/>
      <c r="T176" s="339"/>
      <c r="U176" s="288"/>
      <c r="V176" s="5"/>
    </row>
    <row r="177" spans="1:22" ht="15.6" x14ac:dyDescent="0.3">
      <c r="A177" s="284"/>
      <c r="B177" s="285" t="s">
        <v>62</v>
      </c>
      <c r="C177" s="285"/>
      <c r="D177" s="285"/>
      <c r="E177" s="285"/>
      <c r="F177" s="285"/>
      <c r="G177" s="285"/>
      <c r="H177" s="285"/>
      <c r="I177" s="285"/>
      <c r="J177" s="285"/>
      <c r="K177" s="285"/>
      <c r="L177" s="285"/>
      <c r="M177" s="285"/>
      <c r="N177" s="285"/>
      <c r="O177" s="285"/>
      <c r="P177" s="285"/>
      <c r="Q177" s="339">
        <f>+'Sept 16'!Q179</f>
        <v>39189</v>
      </c>
      <c r="R177" s="339">
        <f>+'Sept 16'!R179</f>
        <v>3447</v>
      </c>
      <c r="S177" s="285"/>
      <c r="T177" s="339">
        <f>Q177+R177</f>
        <v>42636</v>
      </c>
      <c r="U177" s="288"/>
      <c r="V177" s="5"/>
    </row>
    <row r="178" spans="1:22" ht="15.6" x14ac:dyDescent="0.3">
      <c r="A178" s="284"/>
      <c r="B178" s="285" t="s">
        <v>63</v>
      </c>
      <c r="C178" s="285"/>
      <c r="D178" s="285"/>
      <c r="E178" s="285"/>
      <c r="F178" s="285"/>
      <c r="G178" s="285"/>
      <c r="H178" s="285"/>
      <c r="I178" s="285"/>
      <c r="J178" s="285"/>
      <c r="K178" s="285"/>
      <c r="L178" s="285"/>
      <c r="M178" s="285"/>
      <c r="N178" s="285"/>
      <c r="O178" s="285"/>
      <c r="P178" s="285"/>
      <c r="Q178" s="338">
        <v>358</v>
      </c>
      <c r="R178" s="338">
        <v>0</v>
      </c>
      <c r="S178" s="285"/>
      <c r="T178" s="339">
        <f>Q178+R178</f>
        <v>358</v>
      </c>
      <c r="U178" s="288"/>
      <c r="V178" s="5"/>
    </row>
    <row r="179" spans="1:22" ht="15.6" x14ac:dyDescent="0.3">
      <c r="A179" s="284"/>
      <c r="B179" s="285" t="s">
        <v>64</v>
      </c>
      <c r="C179" s="285"/>
      <c r="D179" s="285"/>
      <c r="E179" s="285"/>
      <c r="F179" s="285"/>
      <c r="G179" s="285"/>
      <c r="H179" s="285"/>
      <c r="I179" s="285"/>
      <c r="J179" s="285"/>
      <c r="K179" s="285"/>
      <c r="L179" s="285"/>
      <c r="M179" s="285"/>
      <c r="N179" s="285"/>
      <c r="O179" s="285"/>
      <c r="P179" s="285"/>
      <c r="Q179" s="339">
        <f>Q177+Q178</f>
        <v>39547</v>
      </c>
      <c r="R179" s="339">
        <f>R178+R177</f>
        <v>3447</v>
      </c>
      <c r="S179" s="285"/>
      <c r="T179" s="339">
        <f>Q179+R179</f>
        <v>42994</v>
      </c>
      <c r="U179" s="288"/>
      <c r="V179" s="5"/>
    </row>
    <row r="180" spans="1:22" ht="15.6" x14ac:dyDescent="0.3">
      <c r="A180" s="284"/>
      <c r="B180" s="285" t="s">
        <v>65</v>
      </c>
      <c r="C180" s="285"/>
      <c r="D180" s="285"/>
      <c r="E180" s="285"/>
      <c r="F180" s="285"/>
      <c r="G180" s="285"/>
      <c r="H180" s="285"/>
      <c r="I180" s="285"/>
      <c r="J180" s="285"/>
      <c r="K180" s="285"/>
      <c r="L180" s="285"/>
      <c r="M180" s="285"/>
      <c r="N180" s="285"/>
      <c r="O180" s="285"/>
      <c r="P180" s="285"/>
      <c r="Q180" s="339">
        <f>Q176-Q179-R179</f>
        <v>117014</v>
      </c>
      <c r="R180" s="324"/>
      <c r="S180" s="285"/>
      <c r="T180" s="339"/>
      <c r="U180" s="288"/>
      <c r="V180" s="5"/>
    </row>
    <row r="181" spans="1:22" ht="16.2" thickBot="1" x14ac:dyDescent="0.35">
      <c r="A181" s="175"/>
      <c r="B181" s="334"/>
      <c r="C181" s="334"/>
      <c r="D181" s="334"/>
      <c r="E181" s="334"/>
      <c r="F181" s="334"/>
      <c r="G181" s="334"/>
      <c r="H181" s="334"/>
      <c r="I181" s="334"/>
      <c r="J181" s="334"/>
      <c r="K181" s="334"/>
      <c r="L181" s="334"/>
      <c r="M181" s="334"/>
      <c r="N181" s="334"/>
      <c r="O181" s="334"/>
      <c r="P181" s="334"/>
      <c r="Q181" s="334"/>
      <c r="R181" s="334"/>
      <c r="S181" s="334"/>
      <c r="T181" s="347"/>
      <c r="U181" s="334"/>
      <c r="V181" s="5"/>
    </row>
    <row r="182" spans="1:22" ht="15.6" x14ac:dyDescent="0.3">
      <c r="A182" s="173"/>
      <c r="B182" s="174"/>
      <c r="C182" s="174"/>
      <c r="D182" s="174"/>
      <c r="E182" s="174"/>
      <c r="F182" s="174"/>
      <c r="G182" s="174"/>
      <c r="H182" s="174"/>
      <c r="I182" s="174"/>
      <c r="J182" s="174"/>
      <c r="K182" s="174"/>
      <c r="L182" s="174"/>
      <c r="M182" s="174"/>
      <c r="N182" s="174"/>
      <c r="O182" s="174"/>
      <c r="P182" s="174"/>
      <c r="Q182" s="174"/>
      <c r="R182" s="174"/>
      <c r="S182" s="174"/>
      <c r="T182" s="193"/>
      <c r="U182" s="174"/>
      <c r="V182" s="5"/>
    </row>
    <row r="183" spans="1:22" ht="15.6" x14ac:dyDescent="0.3">
      <c r="A183" s="175"/>
      <c r="B183" s="201" t="s">
        <v>66</v>
      </c>
      <c r="C183" s="177"/>
      <c r="D183" s="177"/>
      <c r="E183" s="177"/>
      <c r="F183" s="177"/>
      <c r="G183" s="177"/>
      <c r="H183" s="177"/>
      <c r="I183" s="177"/>
      <c r="J183" s="177"/>
      <c r="K183" s="177"/>
      <c r="L183" s="177"/>
      <c r="M183" s="177"/>
      <c r="N183" s="177"/>
      <c r="O183" s="177"/>
      <c r="P183" s="177"/>
      <c r="Q183" s="177"/>
      <c r="R183" s="177"/>
      <c r="S183" s="177"/>
      <c r="T183" s="206"/>
      <c r="U183" s="177"/>
      <c r="V183" s="5"/>
    </row>
    <row r="184" spans="1:22" ht="15.6" x14ac:dyDescent="0.3">
      <c r="A184" s="284"/>
      <c r="B184" s="285" t="s">
        <v>67</v>
      </c>
      <c r="C184" s="285"/>
      <c r="D184" s="285"/>
      <c r="E184" s="285"/>
      <c r="F184" s="285"/>
      <c r="G184" s="285"/>
      <c r="H184" s="285"/>
      <c r="I184" s="285"/>
      <c r="J184" s="285"/>
      <c r="K184" s="285"/>
      <c r="L184" s="285"/>
      <c r="M184" s="285"/>
      <c r="N184" s="285"/>
      <c r="O184" s="285"/>
      <c r="P184" s="285"/>
      <c r="Q184" s="285"/>
      <c r="R184" s="285"/>
      <c r="S184" s="285"/>
      <c r="T184" s="348">
        <f>(T100+T102+T103+T104+T105)/-(T106+T107)</f>
        <v>5.666666666666667</v>
      </c>
      <c r="U184" s="288" t="s">
        <v>121</v>
      </c>
      <c r="V184" s="5"/>
    </row>
    <row r="185" spans="1:22" ht="15.6" x14ac:dyDescent="0.3">
      <c r="A185" s="284"/>
      <c r="B185" s="285" t="s">
        <v>68</v>
      </c>
      <c r="C185" s="285"/>
      <c r="D185" s="285"/>
      <c r="E185" s="285"/>
      <c r="F185" s="285"/>
      <c r="G185" s="285"/>
      <c r="H185" s="285"/>
      <c r="I185" s="285"/>
      <c r="J185" s="285"/>
      <c r="K185" s="285"/>
      <c r="L185" s="285"/>
      <c r="M185" s="285"/>
      <c r="N185" s="285"/>
      <c r="O185" s="285"/>
      <c r="P185" s="285"/>
      <c r="Q185" s="285"/>
      <c r="R185" s="285"/>
      <c r="S185" s="285"/>
      <c r="T185" s="349">
        <v>1.87</v>
      </c>
      <c r="U185" s="288" t="s">
        <v>121</v>
      </c>
      <c r="V185" s="5"/>
    </row>
    <row r="186" spans="1:22" ht="15.6" x14ac:dyDescent="0.3">
      <c r="A186" s="284"/>
      <c r="B186" s="285" t="s">
        <v>69</v>
      </c>
      <c r="C186" s="285"/>
      <c r="D186" s="285"/>
      <c r="E186" s="285"/>
      <c r="F186" s="285"/>
      <c r="G186" s="285"/>
      <c r="H186" s="285"/>
      <c r="I186" s="285"/>
      <c r="J186" s="285"/>
      <c r="K186" s="285"/>
      <c r="L186" s="285"/>
      <c r="M186" s="285"/>
      <c r="N186" s="285"/>
      <c r="O186" s="285"/>
      <c r="P186" s="285"/>
      <c r="Q186" s="285"/>
      <c r="R186" s="285"/>
      <c r="S186" s="285"/>
      <c r="T186" s="348">
        <f>(T100+T102+T103+T104+T105+T106+T107)/-(T108+T109)</f>
        <v>14.644736842105264</v>
      </c>
      <c r="U186" s="288" t="s">
        <v>121</v>
      </c>
      <c r="V186" s="5"/>
    </row>
    <row r="187" spans="1:22" ht="15.6" x14ac:dyDescent="0.3">
      <c r="A187" s="284"/>
      <c r="B187" s="285" t="s">
        <v>70</v>
      </c>
      <c r="C187" s="285"/>
      <c r="D187" s="285"/>
      <c r="E187" s="285"/>
      <c r="F187" s="285"/>
      <c r="G187" s="285"/>
      <c r="H187" s="285"/>
      <c r="I187" s="285"/>
      <c r="J187" s="285"/>
      <c r="K187" s="285"/>
      <c r="L187" s="285"/>
      <c r="M187" s="285"/>
      <c r="N187" s="285"/>
      <c r="O187" s="285"/>
      <c r="P187" s="285"/>
      <c r="Q187" s="285"/>
      <c r="R187" s="285"/>
      <c r="S187" s="285"/>
      <c r="T187" s="349">
        <v>6.81</v>
      </c>
      <c r="U187" s="288" t="s">
        <v>121</v>
      </c>
      <c r="V187" s="5"/>
    </row>
    <row r="188" spans="1:22" ht="15.6" x14ac:dyDescent="0.3">
      <c r="A188" s="284"/>
      <c r="B188" s="285" t="s">
        <v>206</v>
      </c>
      <c r="C188" s="285"/>
      <c r="D188" s="285"/>
      <c r="E188" s="285"/>
      <c r="F188" s="285"/>
      <c r="G188" s="285"/>
      <c r="H188" s="285"/>
      <c r="I188" s="285"/>
      <c r="J188" s="285"/>
      <c r="K188" s="285"/>
      <c r="L188" s="285"/>
      <c r="M188" s="285"/>
      <c r="N188" s="285"/>
      <c r="O188" s="285"/>
      <c r="P188" s="285"/>
      <c r="Q188" s="285"/>
      <c r="R188" s="285"/>
      <c r="S188" s="285"/>
      <c r="T188" s="348">
        <f>(T100+T102+T103+T104+T105+T106+T107+T108+T109)/-(T110)</f>
        <v>10.802083333333334</v>
      </c>
      <c r="U188" s="288" t="s">
        <v>121</v>
      </c>
      <c r="V188" s="5"/>
    </row>
    <row r="189" spans="1:22" ht="15.6" x14ac:dyDescent="0.3">
      <c r="A189" s="284"/>
      <c r="B189" s="285" t="s">
        <v>207</v>
      </c>
      <c r="C189" s="285"/>
      <c r="D189" s="285"/>
      <c r="E189" s="285"/>
      <c r="F189" s="285"/>
      <c r="G189" s="285"/>
      <c r="H189" s="285"/>
      <c r="I189" s="285"/>
      <c r="J189" s="285"/>
      <c r="K189" s="285"/>
      <c r="L189" s="285"/>
      <c r="M189" s="285"/>
      <c r="N189" s="285"/>
      <c r="O189" s="285"/>
      <c r="P189" s="285"/>
      <c r="Q189" s="285"/>
      <c r="R189" s="285"/>
      <c r="S189" s="285"/>
      <c r="T189" s="349">
        <v>6.09</v>
      </c>
      <c r="U189" s="288" t="s">
        <v>121</v>
      </c>
      <c r="V189" s="5"/>
    </row>
    <row r="190" spans="1:22" ht="15.6" x14ac:dyDescent="0.3">
      <c r="A190" s="284"/>
      <c r="B190" s="311"/>
      <c r="C190" s="311"/>
      <c r="D190" s="311"/>
      <c r="E190" s="311"/>
      <c r="F190" s="311"/>
      <c r="G190" s="311"/>
      <c r="H190" s="311"/>
      <c r="I190" s="311"/>
      <c r="J190" s="311"/>
      <c r="K190" s="311"/>
      <c r="L190" s="311"/>
      <c r="M190" s="311"/>
      <c r="N190" s="311"/>
      <c r="O190" s="311"/>
      <c r="P190" s="311"/>
      <c r="Q190" s="311"/>
      <c r="R190" s="311"/>
      <c r="S190" s="311"/>
      <c r="T190" s="311"/>
      <c r="U190" s="317"/>
      <c r="V190" s="5"/>
    </row>
    <row r="191" spans="1:22" ht="15.6" x14ac:dyDescent="0.3">
      <c r="A191" s="175"/>
      <c r="B191" s="334"/>
      <c r="C191" s="334"/>
      <c r="D191" s="334"/>
      <c r="E191" s="334"/>
      <c r="F191" s="334"/>
      <c r="G191" s="334"/>
      <c r="H191" s="334"/>
      <c r="I191" s="334"/>
      <c r="J191" s="334"/>
      <c r="K191" s="334"/>
      <c r="L191" s="334"/>
      <c r="M191" s="334"/>
      <c r="N191" s="334"/>
      <c r="O191" s="334"/>
      <c r="P191" s="334"/>
      <c r="Q191" s="334"/>
      <c r="R191" s="334"/>
      <c r="S191" s="334"/>
      <c r="T191" s="334"/>
      <c r="U191" s="334"/>
      <c r="V191" s="5"/>
    </row>
    <row r="192" spans="1:22" ht="15.6" x14ac:dyDescent="0.3">
      <c r="A192" s="175"/>
      <c r="B192" s="177"/>
      <c r="C192" s="177"/>
      <c r="D192" s="177"/>
      <c r="E192" s="177"/>
      <c r="F192" s="177"/>
      <c r="G192" s="177"/>
      <c r="H192" s="177"/>
      <c r="I192" s="177"/>
      <c r="J192" s="177"/>
      <c r="K192" s="177"/>
      <c r="L192" s="177"/>
      <c r="M192" s="177"/>
      <c r="N192" s="177"/>
      <c r="O192" s="177"/>
      <c r="P192" s="177"/>
      <c r="Q192" s="177"/>
      <c r="R192" s="177"/>
      <c r="S192" s="177"/>
      <c r="T192" s="177"/>
      <c r="U192" s="177"/>
      <c r="V192" s="5"/>
    </row>
    <row r="193" spans="1:22" ht="18" thickBot="1" x14ac:dyDescent="0.35">
      <c r="A193" s="192"/>
      <c r="B193" s="246" t="str">
        <f>B133</f>
        <v>PM11 INVESTOR REPORT QUARTER ENDING DECEMBER 2016</v>
      </c>
      <c r="C193" s="207"/>
      <c r="D193" s="207"/>
      <c r="E193" s="207"/>
      <c r="F193" s="207"/>
      <c r="G193" s="207"/>
      <c r="H193" s="207"/>
      <c r="I193" s="207"/>
      <c r="J193" s="207"/>
      <c r="K193" s="207"/>
      <c r="L193" s="207"/>
      <c r="M193" s="207"/>
      <c r="N193" s="207"/>
      <c r="O193" s="207"/>
      <c r="P193" s="207"/>
      <c r="Q193" s="207"/>
      <c r="R193" s="207"/>
      <c r="S193" s="207"/>
      <c r="T193" s="207"/>
      <c r="U193" s="208"/>
      <c r="V193" s="5"/>
    </row>
    <row r="194" spans="1:22" ht="15.6" x14ac:dyDescent="0.3">
      <c r="A194" s="260"/>
      <c r="B194" s="399" t="s">
        <v>71</v>
      </c>
      <c r="C194" s="400"/>
      <c r="D194" s="400"/>
      <c r="E194" s="400"/>
      <c r="F194" s="400"/>
      <c r="G194" s="401"/>
      <c r="H194" s="401"/>
      <c r="I194" s="401"/>
      <c r="J194" s="401"/>
      <c r="K194" s="401"/>
      <c r="L194" s="401"/>
      <c r="M194" s="401"/>
      <c r="N194" s="401"/>
      <c r="O194" s="401"/>
      <c r="P194" s="401"/>
      <c r="Q194" s="401"/>
      <c r="R194" s="401">
        <v>42734</v>
      </c>
      <c r="S194" s="261"/>
      <c r="T194" s="261"/>
      <c r="U194" s="261"/>
      <c r="V194" s="5"/>
    </row>
    <row r="195" spans="1:22" ht="15.6" x14ac:dyDescent="0.3">
      <c r="A195" s="209"/>
      <c r="B195" s="210"/>
      <c r="C195" s="211"/>
      <c r="D195" s="211"/>
      <c r="E195" s="211"/>
      <c r="F195" s="211"/>
      <c r="G195" s="212"/>
      <c r="H195" s="212"/>
      <c r="I195" s="212"/>
      <c r="J195" s="212"/>
      <c r="K195" s="212"/>
      <c r="L195" s="212"/>
      <c r="M195" s="212"/>
      <c r="N195" s="212"/>
      <c r="O195" s="212"/>
      <c r="P195" s="212"/>
      <c r="Q195" s="212"/>
      <c r="R195" s="212"/>
      <c r="S195" s="177"/>
      <c r="T195" s="177"/>
      <c r="U195" s="177"/>
      <c r="V195" s="5"/>
    </row>
    <row r="196" spans="1:22" ht="15.6" x14ac:dyDescent="0.3">
      <c r="A196" s="352"/>
      <c r="B196" s="285" t="s">
        <v>72</v>
      </c>
      <c r="C196" s="353"/>
      <c r="D196" s="353"/>
      <c r="E196" s="353"/>
      <c r="F196" s="353"/>
      <c r="G196" s="329"/>
      <c r="H196" s="329"/>
      <c r="I196" s="329"/>
      <c r="J196" s="329"/>
      <c r="K196" s="329"/>
      <c r="L196" s="329"/>
      <c r="M196" s="329"/>
      <c r="N196" s="329"/>
      <c r="O196" s="329"/>
      <c r="P196" s="329"/>
      <c r="Q196" s="329"/>
      <c r="R196" s="320">
        <v>5.1569999999999998E-2</v>
      </c>
      <c r="S196" s="285"/>
      <c r="T196" s="285"/>
      <c r="U196" s="317"/>
      <c r="V196" s="5"/>
    </row>
    <row r="197" spans="1:22" ht="15.6" x14ac:dyDescent="0.3">
      <c r="A197" s="352"/>
      <c r="B197" s="285" t="s">
        <v>157</v>
      </c>
      <c r="C197" s="353"/>
      <c r="D197" s="353"/>
      <c r="E197" s="353"/>
      <c r="F197" s="353"/>
      <c r="G197" s="329"/>
      <c r="H197" s="329"/>
      <c r="I197" s="329"/>
      <c r="J197" s="329"/>
      <c r="K197" s="329"/>
      <c r="L197" s="329"/>
      <c r="M197" s="329"/>
      <c r="N197" s="329"/>
      <c r="O197" s="329"/>
      <c r="P197" s="329"/>
      <c r="Q197" s="329"/>
      <c r="R197" s="320">
        <v>4.6899999999999997E-2</v>
      </c>
      <c r="S197" s="285"/>
      <c r="T197" s="285"/>
      <c r="U197" s="317"/>
      <c r="V197" s="5"/>
    </row>
    <row r="198" spans="1:22" ht="15.6" x14ac:dyDescent="0.3">
      <c r="A198" s="352"/>
      <c r="B198" s="285" t="s">
        <v>73</v>
      </c>
      <c r="C198" s="353"/>
      <c r="D198" s="353"/>
      <c r="E198" s="353"/>
      <c r="F198" s="353"/>
      <c r="G198" s="329"/>
      <c r="H198" s="329"/>
      <c r="I198" s="329"/>
      <c r="J198" s="329"/>
      <c r="K198" s="329"/>
      <c r="L198" s="329"/>
      <c r="M198" s="329"/>
      <c r="N198" s="329"/>
      <c r="O198" s="329"/>
      <c r="P198" s="329"/>
      <c r="Q198" s="329"/>
      <c r="R198" s="320">
        <f>R196-R197</f>
        <v>4.6700000000000005E-3</v>
      </c>
      <c r="S198" s="285"/>
      <c r="T198" s="285"/>
      <c r="U198" s="317"/>
      <c r="V198" s="5"/>
    </row>
    <row r="199" spans="1:22" ht="15.6" x14ac:dyDescent="0.3">
      <c r="A199" s="352"/>
      <c r="B199" s="285" t="s">
        <v>74</v>
      </c>
      <c r="C199" s="353"/>
      <c r="D199" s="353"/>
      <c r="E199" s="353"/>
      <c r="F199" s="353"/>
      <c r="G199" s="329"/>
      <c r="H199" s="329"/>
      <c r="I199" s="329"/>
      <c r="J199" s="329"/>
      <c r="K199" s="329"/>
      <c r="L199" s="329"/>
      <c r="M199" s="329"/>
      <c r="N199" s="329"/>
      <c r="O199" s="329"/>
      <c r="P199" s="329"/>
      <c r="Q199" s="329"/>
      <c r="R199" s="320">
        <v>2.155E-2</v>
      </c>
      <c r="S199" s="285"/>
      <c r="T199" s="285"/>
      <c r="U199" s="317"/>
      <c r="V199" s="5"/>
    </row>
    <row r="200" spans="1:22" ht="15.6" x14ac:dyDescent="0.3">
      <c r="A200" s="352"/>
      <c r="B200" s="285" t="s">
        <v>257</v>
      </c>
      <c r="C200" s="353"/>
      <c r="D200" s="353"/>
      <c r="E200" s="353"/>
      <c r="F200" s="353"/>
      <c r="G200" s="329"/>
      <c r="H200" s="329"/>
      <c r="I200" s="329"/>
      <c r="J200" s="329"/>
      <c r="K200" s="329"/>
      <c r="L200" s="329"/>
      <c r="M200" s="329"/>
      <c r="N200" s="329"/>
      <c r="O200" s="329"/>
      <c r="P200" s="329"/>
      <c r="Q200" s="329"/>
      <c r="R200" s="320">
        <f>T43</f>
        <v>7.127458233880675E-3</v>
      </c>
      <c r="S200" s="285"/>
      <c r="T200" s="285"/>
      <c r="U200" s="317"/>
      <c r="V200" s="5"/>
    </row>
    <row r="201" spans="1:22" ht="15.6" x14ac:dyDescent="0.3">
      <c r="A201" s="352"/>
      <c r="B201" s="285" t="s">
        <v>75</v>
      </c>
      <c r="C201" s="353"/>
      <c r="D201" s="353"/>
      <c r="E201" s="353"/>
      <c r="F201" s="353"/>
      <c r="G201" s="329"/>
      <c r="H201" s="329"/>
      <c r="I201" s="329"/>
      <c r="J201" s="329"/>
      <c r="K201" s="329"/>
      <c r="L201" s="329"/>
      <c r="M201" s="329"/>
      <c r="N201" s="329"/>
      <c r="O201" s="329"/>
      <c r="P201" s="329"/>
      <c r="Q201" s="329"/>
      <c r="R201" s="320">
        <f>R199-R200</f>
        <v>1.4422541766119325E-2</v>
      </c>
      <c r="S201" s="285"/>
      <c r="T201" s="285"/>
      <c r="U201" s="317"/>
      <c r="V201" s="5"/>
    </row>
    <row r="202" spans="1:22" ht="15.6" x14ac:dyDescent="0.3">
      <c r="A202" s="352"/>
      <c r="B202" s="285" t="s">
        <v>260</v>
      </c>
      <c r="C202" s="353"/>
      <c r="D202" s="353"/>
      <c r="E202" s="353"/>
      <c r="F202" s="353"/>
      <c r="G202" s="329"/>
      <c r="H202" s="329"/>
      <c r="I202" s="329"/>
      <c r="J202" s="329"/>
      <c r="K202" s="329"/>
      <c r="L202" s="329"/>
      <c r="M202" s="329"/>
      <c r="N202" s="329"/>
      <c r="O202" s="329"/>
      <c r="P202" s="329"/>
      <c r="Q202" s="329"/>
      <c r="R202" s="320">
        <f>+T100/L71</f>
        <v>6.4963329622184651E-3</v>
      </c>
      <c r="S202" s="285"/>
      <c r="T202" s="285"/>
      <c r="U202" s="317"/>
      <c r="V202" s="5"/>
    </row>
    <row r="203" spans="1:22" ht="15.6" x14ac:dyDescent="0.3">
      <c r="A203" s="352"/>
      <c r="B203" s="285" t="s">
        <v>217</v>
      </c>
      <c r="C203" s="353"/>
      <c r="D203" s="353"/>
      <c r="E203" s="353"/>
      <c r="F203" s="353"/>
      <c r="G203" s="329"/>
      <c r="H203" s="329"/>
      <c r="I203" s="329"/>
      <c r="J203" s="329"/>
      <c r="K203" s="329"/>
      <c r="L203" s="329"/>
      <c r="M203" s="329"/>
      <c r="N203" s="329"/>
      <c r="O203" s="329"/>
      <c r="P203" s="329"/>
      <c r="Q203" s="329"/>
      <c r="R203" s="354">
        <v>15250</v>
      </c>
      <c r="S203" s="285"/>
      <c r="T203" s="285"/>
      <c r="U203" s="317"/>
      <c r="V203" s="5"/>
    </row>
    <row r="204" spans="1:22" ht="15.6" x14ac:dyDescent="0.3">
      <c r="A204" s="352"/>
      <c r="B204" s="285" t="s">
        <v>218</v>
      </c>
      <c r="C204" s="353"/>
      <c r="D204" s="353"/>
      <c r="E204" s="353"/>
      <c r="F204" s="353"/>
      <c r="G204" s="329"/>
      <c r="H204" s="329"/>
      <c r="I204" s="329"/>
      <c r="J204" s="329"/>
      <c r="K204" s="329"/>
      <c r="L204" s="329"/>
      <c r="M204" s="329"/>
      <c r="N204" s="329"/>
      <c r="O204" s="329"/>
      <c r="P204" s="329"/>
      <c r="Q204" s="329"/>
      <c r="R204" s="354">
        <v>15250</v>
      </c>
      <c r="S204" s="285"/>
      <c r="T204" s="285"/>
      <c r="U204" s="317"/>
      <c r="V204" s="5"/>
    </row>
    <row r="205" spans="1:22" ht="15.6" x14ac:dyDescent="0.3">
      <c r="A205" s="352"/>
      <c r="B205" s="285" t="s">
        <v>219</v>
      </c>
      <c r="C205" s="353"/>
      <c r="D205" s="353"/>
      <c r="E205" s="353"/>
      <c r="F205" s="353"/>
      <c r="G205" s="329"/>
      <c r="H205" s="329"/>
      <c r="I205" s="329"/>
      <c r="J205" s="329"/>
      <c r="K205" s="329"/>
      <c r="L205" s="329"/>
      <c r="M205" s="329"/>
      <c r="N205" s="329"/>
      <c r="O205" s="329"/>
      <c r="P205" s="329"/>
      <c r="Q205" s="329"/>
      <c r="R205" s="354">
        <v>15250</v>
      </c>
      <c r="S205" s="285"/>
      <c r="T205" s="285"/>
      <c r="U205" s="317"/>
      <c r="V205" s="5"/>
    </row>
    <row r="206" spans="1:22" ht="15.6" x14ac:dyDescent="0.3">
      <c r="A206" s="352"/>
      <c r="B206" s="285" t="s">
        <v>76</v>
      </c>
      <c r="C206" s="353"/>
      <c r="D206" s="353"/>
      <c r="E206" s="353"/>
      <c r="F206" s="353"/>
      <c r="G206" s="329"/>
      <c r="H206" s="329"/>
      <c r="I206" s="329"/>
      <c r="J206" s="329"/>
      <c r="K206" s="329"/>
      <c r="L206" s="329"/>
      <c r="M206" s="329"/>
      <c r="N206" s="329"/>
      <c r="O206" s="329"/>
      <c r="P206" s="329"/>
      <c r="Q206" s="329"/>
      <c r="R206" s="326">
        <v>21.18</v>
      </c>
      <c r="S206" s="285" t="s">
        <v>116</v>
      </c>
      <c r="T206" s="285"/>
      <c r="U206" s="317"/>
      <c r="V206" s="5"/>
    </row>
    <row r="207" spans="1:22" ht="15.6" x14ac:dyDescent="0.3">
      <c r="A207" s="352"/>
      <c r="B207" s="285" t="s">
        <v>77</v>
      </c>
      <c r="C207" s="353"/>
      <c r="D207" s="353"/>
      <c r="E207" s="353"/>
      <c r="F207" s="353"/>
      <c r="G207" s="329"/>
      <c r="H207" s="329"/>
      <c r="I207" s="329"/>
      <c r="J207" s="329"/>
      <c r="K207" s="329"/>
      <c r="L207" s="329"/>
      <c r="M207" s="329"/>
      <c r="N207" s="329"/>
      <c r="O207" s="329"/>
      <c r="P207" s="329"/>
      <c r="Q207" s="329"/>
      <c r="R207" s="326">
        <v>11.02</v>
      </c>
      <c r="S207" s="285" t="s">
        <v>116</v>
      </c>
      <c r="T207" s="285"/>
      <c r="U207" s="317"/>
      <c r="V207" s="5"/>
    </row>
    <row r="208" spans="1:22" ht="15.6" x14ac:dyDescent="0.3">
      <c r="A208" s="352"/>
      <c r="B208" s="285" t="s">
        <v>78</v>
      </c>
      <c r="C208" s="353"/>
      <c r="D208" s="353"/>
      <c r="E208" s="353"/>
      <c r="F208" s="353"/>
      <c r="G208" s="329"/>
      <c r="H208" s="329"/>
      <c r="I208" s="329"/>
      <c r="J208" s="329"/>
      <c r="K208" s="329"/>
      <c r="L208" s="329"/>
      <c r="M208" s="329"/>
      <c r="N208" s="329"/>
      <c r="O208" s="329"/>
      <c r="P208" s="329"/>
      <c r="Q208" s="329"/>
      <c r="R208" s="320">
        <f>N68/L68</f>
        <v>1.9552431094030591E-2</v>
      </c>
      <c r="S208" s="285"/>
      <c r="T208" s="285"/>
      <c r="U208" s="317"/>
      <c r="V208" s="5"/>
    </row>
    <row r="209" spans="1:22" ht="15.6" x14ac:dyDescent="0.3">
      <c r="A209" s="352"/>
      <c r="B209" s="285" t="s">
        <v>79</v>
      </c>
      <c r="C209" s="353"/>
      <c r="D209" s="353"/>
      <c r="E209" s="353"/>
      <c r="F209" s="353"/>
      <c r="G209" s="329"/>
      <c r="H209" s="329"/>
      <c r="I209" s="329"/>
      <c r="J209" s="329"/>
      <c r="K209" s="329"/>
      <c r="L209" s="329"/>
      <c r="M209" s="329"/>
      <c r="N209" s="329"/>
      <c r="O209" s="329"/>
      <c r="P209" s="329"/>
      <c r="Q209" s="329"/>
      <c r="R209" s="320">
        <v>7.6300000000000007E-2</v>
      </c>
      <c r="S209" s="285"/>
      <c r="T209" s="285"/>
      <c r="U209" s="317"/>
      <c r="V209" s="5"/>
    </row>
    <row r="210" spans="1:22" ht="15.6" x14ac:dyDescent="0.3">
      <c r="A210" s="209"/>
      <c r="B210" s="350"/>
      <c r="C210" s="350"/>
      <c r="D210" s="350"/>
      <c r="E210" s="350"/>
      <c r="F210" s="350"/>
      <c r="G210" s="334"/>
      <c r="H210" s="334"/>
      <c r="I210" s="334"/>
      <c r="J210" s="334"/>
      <c r="K210" s="334"/>
      <c r="L210" s="334"/>
      <c r="M210" s="334"/>
      <c r="N210" s="334"/>
      <c r="O210" s="334"/>
      <c r="P210" s="334"/>
      <c r="Q210" s="334"/>
      <c r="R210" s="347"/>
      <c r="S210" s="334"/>
      <c r="T210" s="351"/>
      <c r="U210" s="334"/>
      <c r="V210" s="5"/>
    </row>
    <row r="211" spans="1:22" ht="15.6" x14ac:dyDescent="0.3">
      <c r="A211" s="266"/>
      <c r="B211" s="395" t="s">
        <v>80</v>
      </c>
      <c r="C211" s="396"/>
      <c r="D211" s="396"/>
      <c r="E211" s="396"/>
      <c r="F211" s="402"/>
      <c r="G211" s="396"/>
      <c r="H211" s="396"/>
      <c r="I211" s="396"/>
      <c r="J211" s="396"/>
      <c r="K211" s="396"/>
      <c r="L211" s="396"/>
      <c r="M211" s="396"/>
      <c r="N211" s="396"/>
      <c r="O211" s="396"/>
      <c r="P211" s="396"/>
      <c r="Q211" s="396" t="s">
        <v>105</v>
      </c>
      <c r="R211" s="402" t="s">
        <v>112</v>
      </c>
      <c r="S211" s="223"/>
      <c r="T211" s="223"/>
      <c r="U211" s="223"/>
      <c r="V211" s="5"/>
    </row>
    <row r="212" spans="1:22" ht="15.6" x14ac:dyDescent="0.3">
      <c r="A212" s="214"/>
      <c r="B212" s="239" t="s">
        <v>81</v>
      </c>
      <c r="C212" s="243"/>
      <c r="D212" s="243"/>
      <c r="E212" s="243"/>
      <c r="F212" s="239"/>
      <c r="G212" s="239"/>
      <c r="H212" s="242"/>
      <c r="I212" s="242"/>
      <c r="J212" s="242"/>
      <c r="K212" s="242"/>
      <c r="L212" s="242"/>
      <c r="M212" s="242"/>
      <c r="N212" s="242"/>
      <c r="O212" s="242"/>
      <c r="P212" s="242"/>
      <c r="Q212" s="242">
        <v>0</v>
      </c>
      <c r="R212" s="272">
        <v>0</v>
      </c>
      <c r="S212" s="239"/>
      <c r="T212" s="273"/>
      <c r="U212" s="215"/>
      <c r="V212" s="5"/>
    </row>
    <row r="213" spans="1:22" ht="15.6" x14ac:dyDescent="0.3">
      <c r="A213" s="360"/>
      <c r="B213" s="285" t="s">
        <v>151</v>
      </c>
      <c r="C213" s="338"/>
      <c r="D213" s="338"/>
      <c r="E213" s="338"/>
      <c r="F213" s="285"/>
      <c r="G213" s="285"/>
      <c r="H213" s="293"/>
      <c r="I213" s="293"/>
      <c r="J213" s="293"/>
      <c r="K213" s="293"/>
      <c r="L213" s="293"/>
      <c r="M213" s="293"/>
      <c r="N213" s="293"/>
      <c r="O213" s="293"/>
      <c r="P213" s="293"/>
      <c r="Q213" s="361">
        <f>+P265</f>
        <v>42</v>
      </c>
      <c r="R213" s="362">
        <f>+R265</f>
        <v>6981</v>
      </c>
      <c r="S213" s="285"/>
      <c r="T213" s="363"/>
      <c r="U213" s="364"/>
      <c r="V213" s="5"/>
    </row>
    <row r="214" spans="1:22" ht="15.6" x14ac:dyDescent="0.3">
      <c r="A214" s="360"/>
      <c r="B214" s="285" t="s">
        <v>82</v>
      </c>
      <c r="C214" s="338"/>
      <c r="D214" s="338"/>
      <c r="E214" s="338"/>
      <c r="F214" s="285"/>
      <c r="G214" s="285"/>
      <c r="H214" s="293"/>
      <c r="I214" s="293"/>
      <c r="J214" s="293"/>
      <c r="K214" s="293"/>
      <c r="L214" s="293"/>
      <c r="M214" s="293"/>
      <c r="N214" s="293"/>
      <c r="O214" s="293"/>
      <c r="P214" s="293"/>
      <c r="Q214" s="361">
        <f>+P277</f>
        <v>0</v>
      </c>
      <c r="R214" s="362">
        <f>+R277</f>
        <v>0</v>
      </c>
      <c r="S214" s="285"/>
      <c r="T214" s="363"/>
      <c r="U214" s="364"/>
      <c r="V214" s="5"/>
    </row>
    <row r="215" spans="1:22" ht="15.6" x14ac:dyDescent="0.3">
      <c r="A215" s="360"/>
      <c r="B215" s="310" t="s">
        <v>83</v>
      </c>
      <c r="C215" s="365"/>
      <c r="D215" s="365"/>
      <c r="E215" s="365"/>
      <c r="F215" s="311"/>
      <c r="G215" s="311"/>
      <c r="H215" s="311"/>
      <c r="I215" s="311"/>
      <c r="J215" s="311"/>
      <c r="K215" s="311"/>
      <c r="L215" s="311"/>
      <c r="M215" s="311"/>
      <c r="N215" s="311"/>
      <c r="O215" s="311"/>
      <c r="P215" s="311"/>
      <c r="Q215" s="285"/>
      <c r="R215" s="362">
        <v>0</v>
      </c>
      <c r="S215" s="311"/>
      <c r="T215" s="366"/>
      <c r="U215" s="364"/>
      <c r="V215" s="5"/>
    </row>
    <row r="216" spans="1:22" ht="15.6" x14ac:dyDescent="0.3">
      <c r="A216" s="360"/>
      <c r="B216" s="310" t="s">
        <v>84</v>
      </c>
      <c r="C216" s="365"/>
      <c r="D216" s="365"/>
      <c r="E216" s="365"/>
      <c r="F216" s="311"/>
      <c r="G216" s="311"/>
      <c r="H216" s="311"/>
      <c r="I216" s="311"/>
      <c r="J216" s="311"/>
      <c r="K216" s="311"/>
      <c r="L216" s="311"/>
      <c r="M216" s="311"/>
      <c r="N216" s="311"/>
      <c r="O216" s="311"/>
      <c r="P216" s="311"/>
      <c r="Q216" s="285"/>
      <c r="R216" s="367" t="s">
        <v>113</v>
      </c>
      <c r="S216" s="311"/>
      <c r="T216" s="366"/>
      <c r="U216" s="364"/>
      <c r="V216" s="5"/>
    </row>
    <row r="217" spans="1:22" ht="15.6" x14ac:dyDescent="0.3">
      <c r="A217" s="368"/>
      <c r="B217" s="310" t="s">
        <v>85</v>
      </c>
      <c r="C217" s="369"/>
      <c r="D217" s="369"/>
      <c r="E217" s="369"/>
      <c r="F217" s="369"/>
      <c r="G217" s="311"/>
      <c r="H217" s="311"/>
      <c r="I217" s="311"/>
      <c r="J217" s="311"/>
      <c r="K217" s="311"/>
      <c r="L217" s="311"/>
      <c r="M217" s="311"/>
      <c r="N217" s="311"/>
      <c r="O217" s="311"/>
      <c r="P217" s="311"/>
      <c r="Q217" s="285"/>
      <c r="R217" s="362"/>
      <c r="S217" s="311"/>
      <c r="T217" s="366"/>
      <c r="U217" s="370"/>
      <c r="V217" s="5"/>
    </row>
    <row r="218" spans="1:22" ht="15.6" x14ac:dyDescent="0.3">
      <c r="A218" s="368"/>
      <c r="B218" s="285" t="s">
        <v>86</v>
      </c>
      <c r="C218" s="285"/>
      <c r="D218" s="285"/>
      <c r="E218" s="285"/>
      <c r="F218" s="285"/>
      <c r="G218" s="285"/>
      <c r="H218" s="285"/>
      <c r="I218" s="285"/>
      <c r="J218" s="285"/>
      <c r="K218" s="285"/>
      <c r="L218" s="285"/>
      <c r="M218" s="285"/>
      <c r="N218" s="285"/>
      <c r="O218" s="285"/>
      <c r="P218" s="285"/>
      <c r="Q218" s="293"/>
      <c r="R218" s="362">
        <f>T162</f>
        <v>266</v>
      </c>
      <c r="S218" s="285"/>
      <c r="T218" s="363"/>
      <c r="U218" s="370"/>
      <c r="V218" s="5"/>
    </row>
    <row r="219" spans="1:22" ht="15.6" x14ac:dyDescent="0.3">
      <c r="A219" s="360"/>
      <c r="B219" s="285" t="s">
        <v>87</v>
      </c>
      <c r="C219" s="338"/>
      <c r="D219" s="338"/>
      <c r="E219" s="338"/>
      <c r="F219" s="338"/>
      <c r="G219" s="285"/>
      <c r="H219" s="285"/>
      <c r="I219" s="285"/>
      <c r="J219" s="285"/>
      <c r="K219" s="285"/>
      <c r="L219" s="285"/>
      <c r="M219" s="285"/>
      <c r="N219" s="285"/>
      <c r="O219" s="285"/>
      <c r="P219" s="285"/>
      <c r="Q219" s="293"/>
      <c r="R219" s="362">
        <f>'Sept 16'!R219+R218</f>
        <v>6318</v>
      </c>
      <c r="S219" s="285"/>
      <c r="T219" s="363"/>
      <c r="U219" s="370"/>
      <c r="V219" s="5"/>
    </row>
    <row r="220" spans="1:22" ht="15.6" x14ac:dyDescent="0.3">
      <c r="A220" s="368"/>
      <c r="B220" s="310" t="s">
        <v>282</v>
      </c>
      <c r="C220" s="369"/>
      <c r="D220" s="369"/>
      <c r="E220" s="369"/>
      <c r="F220" s="369"/>
      <c r="G220" s="311"/>
      <c r="H220" s="311"/>
      <c r="I220" s="311"/>
      <c r="J220" s="311"/>
      <c r="K220" s="311"/>
      <c r="L220" s="311"/>
      <c r="M220" s="311"/>
      <c r="N220" s="311"/>
      <c r="O220" s="311"/>
      <c r="P220" s="311"/>
      <c r="Q220" s="293"/>
      <c r="R220" s="362"/>
      <c r="S220" s="311"/>
      <c r="T220" s="366"/>
      <c r="U220" s="370"/>
      <c r="V220" s="5"/>
    </row>
    <row r="221" spans="1:22" ht="15.6" x14ac:dyDescent="0.3">
      <c r="A221" s="368"/>
      <c r="B221" s="285" t="s">
        <v>280</v>
      </c>
      <c r="C221" s="369"/>
      <c r="D221" s="369"/>
      <c r="E221" s="369"/>
      <c r="F221" s="369"/>
      <c r="G221" s="311"/>
      <c r="H221" s="311"/>
      <c r="I221" s="311"/>
      <c r="J221" s="311"/>
      <c r="K221" s="311"/>
      <c r="L221" s="311"/>
      <c r="M221" s="311"/>
      <c r="N221" s="311"/>
      <c r="O221" s="311"/>
      <c r="P221" s="311"/>
      <c r="Q221" s="293">
        <v>0</v>
      </c>
      <c r="R221" s="362">
        <v>0</v>
      </c>
      <c r="S221" s="311"/>
      <c r="T221" s="366"/>
      <c r="U221" s="370"/>
      <c r="V221" s="5"/>
    </row>
    <row r="222" spans="1:22" ht="15.6" x14ac:dyDescent="0.3">
      <c r="A222" s="360"/>
      <c r="B222" s="285" t="s">
        <v>89</v>
      </c>
      <c r="C222" s="373"/>
      <c r="D222" s="373"/>
      <c r="E222" s="373"/>
      <c r="F222" s="374"/>
      <c r="G222" s="311"/>
      <c r="H222" s="311"/>
      <c r="I222" s="311"/>
      <c r="J222" s="311"/>
      <c r="K222" s="311"/>
      <c r="L222" s="311"/>
      <c r="M222" s="311"/>
      <c r="N222" s="311"/>
      <c r="O222" s="311"/>
      <c r="P222" s="311"/>
      <c r="Q222" s="285"/>
      <c r="R222" s="367">
        <v>0</v>
      </c>
      <c r="S222" s="311"/>
      <c r="T222" s="366"/>
      <c r="U222" s="370"/>
      <c r="V222" s="5"/>
    </row>
    <row r="223" spans="1:22" ht="15.6" x14ac:dyDescent="0.3">
      <c r="A223" s="360"/>
      <c r="B223" s="285" t="s">
        <v>90</v>
      </c>
      <c r="C223" s="373"/>
      <c r="D223" s="373"/>
      <c r="E223" s="373"/>
      <c r="F223" s="374"/>
      <c r="G223" s="311"/>
      <c r="H223" s="311"/>
      <c r="I223" s="311"/>
      <c r="J223" s="311"/>
      <c r="K223" s="311"/>
      <c r="L223" s="311"/>
      <c r="M223" s="311"/>
      <c r="N223" s="311"/>
      <c r="O223" s="311"/>
      <c r="P223" s="311"/>
      <c r="Q223" s="285"/>
      <c r="R223" s="367">
        <v>0</v>
      </c>
      <c r="S223" s="311"/>
      <c r="T223" s="366"/>
      <c r="U223" s="370"/>
      <c r="V223" s="5"/>
    </row>
    <row r="224" spans="1:22" ht="15.6" x14ac:dyDescent="0.3">
      <c r="A224" s="360"/>
      <c r="B224" s="310" t="s">
        <v>226</v>
      </c>
      <c r="C224" s="373"/>
      <c r="D224" s="373"/>
      <c r="E224" s="373"/>
      <c r="F224" s="374"/>
      <c r="G224" s="311"/>
      <c r="H224" s="311"/>
      <c r="I224" s="311"/>
      <c r="J224" s="311"/>
      <c r="K224" s="311"/>
      <c r="L224" s="311"/>
      <c r="M224" s="311"/>
      <c r="N224" s="311"/>
      <c r="O224" s="311"/>
      <c r="P224" s="311"/>
      <c r="Q224" s="293"/>
      <c r="R224" s="375"/>
      <c r="S224" s="311"/>
      <c r="T224" s="366"/>
      <c r="U224" s="370"/>
      <c r="V224" s="5"/>
    </row>
    <row r="225" spans="1:23" ht="15.6" x14ac:dyDescent="0.3">
      <c r="A225" s="360"/>
      <c r="B225" s="285" t="s">
        <v>280</v>
      </c>
      <c r="C225" s="373"/>
      <c r="D225" s="373"/>
      <c r="E225" s="373"/>
      <c r="F225" s="374"/>
      <c r="G225" s="311"/>
      <c r="H225" s="311"/>
      <c r="I225" s="311"/>
      <c r="J225" s="311"/>
      <c r="K225" s="311"/>
      <c r="L225" s="311"/>
      <c r="M225" s="311"/>
      <c r="N225" s="311"/>
      <c r="O225" s="311"/>
      <c r="P225" s="311"/>
      <c r="Q225" s="293">
        <v>10</v>
      </c>
      <c r="R225" s="362">
        <v>1028</v>
      </c>
      <c r="S225" s="311"/>
      <c r="T225" s="366"/>
      <c r="U225" s="370"/>
      <c r="V225" s="5"/>
    </row>
    <row r="226" spans="1:23" ht="15.6" x14ac:dyDescent="0.3">
      <c r="A226" s="360"/>
      <c r="B226" s="285" t="s">
        <v>227</v>
      </c>
      <c r="C226" s="373"/>
      <c r="D226" s="373"/>
      <c r="E226" s="373"/>
      <c r="F226" s="374"/>
      <c r="G226" s="311"/>
      <c r="H226" s="311"/>
      <c r="I226" s="311"/>
      <c r="J226" s="311"/>
      <c r="K226" s="311"/>
      <c r="L226" s="311"/>
      <c r="M226" s="311"/>
      <c r="N226" s="311"/>
      <c r="O226" s="311"/>
      <c r="P226" s="311"/>
      <c r="Q226" s="293"/>
      <c r="R226" s="367">
        <v>0.8</v>
      </c>
      <c r="S226" s="311"/>
      <c r="T226" s="366"/>
      <c r="U226" s="370"/>
      <c r="V226" s="5"/>
    </row>
    <row r="227" spans="1:23" ht="15.6" x14ac:dyDescent="0.3">
      <c r="A227" s="360"/>
      <c r="B227" s="369"/>
      <c r="C227" s="373"/>
      <c r="D227" s="373"/>
      <c r="E227" s="373"/>
      <c r="F227" s="374"/>
      <c r="G227" s="311"/>
      <c r="H227" s="311"/>
      <c r="I227" s="311"/>
      <c r="J227" s="311"/>
      <c r="K227" s="311"/>
      <c r="L227" s="311"/>
      <c r="M227" s="311"/>
      <c r="N227" s="311"/>
      <c r="O227" s="311"/>
      <c r="P227" s="311"/>
      <c r="Q227" s="311"/>
      <c r="R227" s="376"/>
      <c r="S227" s="311"/>
      <c r="T227" s="366"/>
      <c r="U227" s="370"/>
      <c r="V227" s="5"/>
    </row>
    <row r="228" spans="1:23" ht="15.6" x14ac:dyDescent="0.3">
      <c r="A228" s="360"/>
      <c r="B228" s="369"/>
      <c r="C228" s="373"/>
      <c r="D228" s="373"/>
      <c r="E228" s="373"/>
      <c r="F228" s="374"/>
      <c r="G228" s="311"/>
      <c r="H228" s="311"/>
      <c r="I228" s="311"/>
      <c r="J228" s="311"/>
      <c r="K228" s="311"/>
      <c r="L228" s="311"/>
      <c r="M228" s="311"/>
      <c r="N228" s="311"/>
      <c r="O228" s="311"/>
      <c r="P228" s="311"/>
      <c r="Q228" s="311"/>
      <c r="R228" s="376"/>
      <c r="S228" s="311"/>
      <c r="T228" s="366"/>
      <c r="U228" s="370"/>
      <c r="V228" s="5"/>
    </row>
    <row r="229" spans="1:23" ht="17.399999999999999" x14ac:dyDescent="0.3">
      <c r="A229" s="360"/>
      <c r="B229" s="377" t="s">
        <v>175</v>
      </c>
      <c r="C229" s="373"/>
      <c r="D229" s="373"/>
      <c r="E229" s="373"/>
      <c r="F229" s="374"/>
      <c r="G229" s="311"/>
      <c r="H229" s="311"/>
      <c r="I229" s="311"/>
      <c r="J229" s="311"/>
      <c r="K229" s="311"/>
      <c r="L229" s="311"/>
      <c r="M229" s="311"/>
      <c r="N229" s="378" t="s">
        <v>174</v>
      </c>
      <c r="O229" s="311"/>
      <c r="P229" s="311"/>
      <c r="Q229" s="311"/>
      <c r="R229" s="376"/>
      <c r="S229" s="311"/>
      <c r="T229" s="366"/>
      <c r="U229" s="370"/>
      <c r="V229" s="5"/>
    </row>
    <row r="230" spans="1:23" ht="15.6" x14ac:dyDescent="0.3">
      <c r="A230" s="355"/>
      <c r="B230" s="350"/>
      <c r="C230" s="356"/>
      <c r="D230" s="356"/>
      <c r="E230" s="356"/>
      <c r="F230" s="357"/>
      <c r="G230" s="334"/>
      <c r="H230" s="334"/>
      <c r="I230" s="334"/>
      <c r="J230" s="334"/>
      <c r="K230" s="334"/>
      <c r="L230" s="334"/>
      <c r="M230" s="334"/>
      <c r="N230" s="334"/>
      <c r="O230" s="334"/>
      <c r="P230" s="334"/>
      <c r="Q230" s="334"/>
      <c r="R230" s="358"/>
      <c r="S230" s="334"/>
      <c r="T230" s="351"/>
      <c r="U230" s="359"/>
      <c r="V230" s="5"/>
    </row>
    <row r="231" spans="1:23" ht="15.6" x14ac:dyDescent="0.3">
      <c r="A231" s="222"/>
      <c r="B231" s="395" t="s">
        <v>295</v>
      </c>
      <c r="C231" s="396"/>
      <c r="D231" s="396"/>
      <c r="E231" s="396"/>
      <c r="F231" s="402"/>
      <c r="G231" s="396"/>
      <c r="H231" s="396"/>
      <c r="I231" s="396"/>
      <c r="J231" s="396"/>
      <c r="K231" s="396"/>
      <c r="L231" s="396"/>
      <c r="M231" s="396"/>
      <c r="N231" s="396"/>
      <c r="O231" s="396"/>
      <c r="P231" s="402" t="s">
        <v>105</v>
      </c>
      <c r="Q231" s="396" t="s">
        <v>106</v>
      </c>
      <c r="R231" s="402" t="s">
        <v>114</v>
      </c>
      <c r="S231" s="396" t="s">
        <v>106</v>
      </c>
      <c r="T231" s="223"/>
      <c r="U231" s="395"/>
      <c r="V231" s="5"/>
    </row>
    <row r="232" spans="1:23" ht="15.6" x14ac:dyDescent="0.3">
      <c r="A232" s="190"/>
      <c r="B232" s="243" t="s">
        <v>91</v>
      </c>
      <c r="C232" s="217"/>
      <c r="D232" s="217"/>
      <c r="E232" s="217"/>
      <c r="F232" s="191"/>
      <c r="G232" s="217"/>
      <c r="H232" s="217"/>
      <c r="I232" s="217"/>
      <c r="J232" s="217"/>
      <c r="K232" s="217"/>
      <c r="L232" s="217"/>
      <c r="M232" s="217"/>
      <c r="N232" s="217"/>
      <c r="O232" s="217"/>
      <c r="P232" s="338">
        <f t="shared" ref="P232:P239" si="1">+P244+P256+P268</f>
        <v>3468</v>
      </c>
      <c r="Q232" s="384">
        <f t="shared" ref="Q232:Q239" si="2">P232/$P$241</f>
        <v>0.99626544096523983</v>
      </c>
      <c r="R232" s="339">
        <f t="shared" ref="R232:R239" si="3">+R244+R256+R268</f>
        <v>446742</v>
      </c>
      <c r="S232" s="384">
        <f t="shared" ref="S232:S239" si="4">R232/$R$241</f>
        <v>0.99585822559072668</v>
      </c>
      <c r="T232" s="213"/>
      <c r="U232" s="216"/>
      <c r="V232" s="5"/>
    </row>
    <row r="233" spans="1:23" ht="15.6" x14ac:dyDescent="0.3">
      <c r="A233" s="284"/>
      <c r="B233" s="338" t="s">
        <v>92</v>
      </c>
      <c r="C233" s="382"/>
      <c r="D233" s="382"/>
      <c r="E233" s="382"/>
      <c r="F233" s="311"/>
      <c r="G233" s="383"/>
      <c r="H233" s="382"/>
      <c r="I233" s="382"/>
      <c r="J233" s="382"/>
      <c r="K233" s="382"/>
      <c r="L233" s="382"/>
      <c r="M233" s="382"/>
      <c r="N233" s="382"/>
      <c r="O233" s="382"/>
      <c r="P233" s="338">
        <f t="shared" si="1"/>
        <v>5</v>
      </c>
      <c r="Q233" s="384">
        <f t="shared" si="2"/>
        <v>1.4363688595231256E-3</v>
      </c>
      <c r="R233" s="339">
        <f t="shared" si="3"/>
        <v>595</v>
      </c>
      <c r="S233" s="384">
        <f t="shared" si="4"/>
        <v>1.3263486402139992E-3</v>
      </c>
      <c r="T233" s="366"/>
      <c r="U233" s="370"/>
      <c r="V233" s="5"/>
      <c r="W233" s="109"/>
    </row>
    <row r="234" spans="1:23" ht="15.6" x14ac:dyDescent="0.3">
      <c r="A234" s="284"/>
      <c r="B234" s="338" t="s">
        <v>93</v>
      </c>
      <c r="C234" s="382"/>
      <c r="D234" s="382"/>
      <c r="E234" s="382"/>
      <c r="F234" s="311"/>
      <c r="G234" s="383"/>
      <c r="H234" s="382"/>
      <c r="I234" s="382"/>
      <c r="J234" s="382"/>
      <c r="K234" s="382"/>
      <c r="L234" s="382"/>
      <c r="M234" s="382"/>
      <c r="N234" s="382"/>
      <c r="O234" s="382"/>
      <c r="P234" s="338">
        <f t="shared" si="1"/>
        <v>3</v>
      </c>
      <c r="Q234" s="384">
        <f t="shared" si="2"/>
        <v>8.6182131571387532E-4</v>
      </c>
      <c r="R234" s="339">
        <f t="shared" si="3"/>
        <v>459</v>
      </c>
      <c r="S234" s="384">
        <f t="shared" si="4"/>
        <v>1.0231832367365136E-3</v>
      </c>
      <c r="T234" s="366"/>
      <c r="U234" s="370"/>
      <c r="V234" s="5"/>
    </row>
    <row r="235" spans="1:23" ht="15.6" x14ac:dyDescent="0.3">
      <c r="A235" s="284"/>
      <c r="B235" s="338" t="s">
        <v>163</v>
      </c>
      <c r="C235" s="382"/>
      <c r="D235" s="382"/>
      <c r="E235" s="382"/>
      <c r="F235" s="311"/>
      <c r="G235" s="383"/>
      <c r="H235" s="382"/>
      <c r="I235" s="382"/>
      <c r="J235" s="382"/>
      <c r="K235" s="382"/>
      <c r="L235" s="382"/>
      <c r="M235" s="382"/>
      <c r="N235" s="382"/>
      <c r="O235" s="382"/>
      <c r="P235" s="338">
        <f t="shared" si="1"/>
        <v>1</v>
      </c>
      <c r="Q235" s="384">
        <f t="shared" si="2"/>
        <v>2.8727377190462512E-4</v>
      </c>
      <c r="R235" s="339">
        <f t="shared" si="3"/>
        <v>122</v>
      </c>
      <c r="S235" s="384">
        <f t="shared" si="4"/>
        <v>2.7195720017833259E-4</v>
      </c>
      <c r="T235" s="366"/>
      <c r="U235" s="370"/>
      <c r="V235" s="5"/>
      <c r="W235" s="109"/>
    </row>
    <row r="236" spans="1:23" ht="15.6" x14ac:dyDescent="0.3">
      <c r="A236" s="284"/>
      <c r="B236" s="338" t="s">
        <v>164</v>
      </c>
      <c r="C236" s="382"/>
      <c r="D236" s="382"/>
      <c r="E236" s="382"/>
      <c r="F236" s="311"/>
      <c r="G236" s="383"/>
      <c r="H236" s="382"/>
      <c r="I236" s="382"/>
      <c r="J236" s="382"/>
      <c r="K236" s="382"/>
      <c r="L236" s="382"/>
      <c r="M236" s="382"/>
      <c r="N236" s="382"/>
      <c r="O236" s="382"/>
      <c r="P236" s="338">
        <f t="shared" si="1"/>
        <v>0</v>
      </c>
      <c r="Q236" s="384">
        <f t="shared" si="2"/>
        <v>0</v>
      </c>
      <c r="R236" s="339">
        <f t="shared" si="3"/>
        <v>0</v>
      </c>
      <c r="S236" s="384">
        <f t="shared" si="4"/>
        <v>0</v>
      </c>
      <c r="T236" s="366"/>
      <c r="U236" s="370"/>
      <c r="V236" s="5"/>
    </row>
    <row r="237" spans="1:23" ht="15.6" x14ac:dyDescent="0.3">
      <c r="A237" s="284"/>
      <c r="B237" s="338" t="s">
        <v>165</v>
      </c>
      <c r="C237" s="382"/>
      <c r="D237" s="382"/>
      <c r="E237" s="382"/>
      <c r="F237" s="311"/>
      <c r="G237" s="383"/>
      <c r="H237" s="382"/>
      <c r="I237" s="382"/>
      <c r="J237" s="382"/>
      <c r="K237" s="382"/>
      <c r="L237" s="382"/>
      <c r="M237" s="382"/>
      <c r="N237" s="382"/>
      <c r="O237" s="382"/>
      <c r="P237" s="338">
        <f t="shared" si="1"/>
        <v>0</v>
      </c>
      <c r="Q237" s="384">
        <f t="shared" si="2"/>
        <v>0</v>
      </c>
      <c r="R237" s="339">
        <f t="shared" si="3"/>
        <v>0</v>
      </c>
      <c r="S237" s="384">
        <f t="shared" si="4"/>
        <v>0</v>
      </c>
      <c r="T237" s="366"/>
      <c r="U237" s="370"/>
      <c r="V237" s="5"/>
      <c r="W237" s="109"/>
    </row>
    <row r="238" spans="1:23" ht="15.6" x14ac:dyDescent="0.3">
      <c r="A238" s="284"/>
      <c r="B238" s="338" t="s">
        <v>166</v>
      </c>
      <c r="C238" s="382"/>
      <c r="D238" s="382"/>
      <c r="E238" s="382"/>
      <c r="F238" s="311"/>
      <c r="G238" s="383"/>
      <c r="H238" s="382"/>
      <c r="I238" s="382"/>
      <c r="J238" s="382"/>
      <c r="K238" s="382"/>
      <c r="L238" s="382"/>
      <c r="M238" s="382"/>
      <c r="N238" s="382"/>
      <c r="O238" s="382"/>
      <c r="P238" s="338">
        <f t="shared" si="1"/>
        <v>1</v>
      </c>
      <c r="Q238" s="384">
        <f t="shared" si="2"/>
        <v>2.8727377190462512E-4</v>
      </c>
      <c r="R238" s="339">
        <f t="shared" si="3"/>
        <v>277</v>
      </c>
      <c r="S238" s="384">
        <f t="shared" si="4"/>
        <v>6.1747659384752567E-4</v>
      </c>
      <c r="T238" s="366"/>
      <c r="U238" s="370"/>
      <c r="V238" s="5"/>
    </row>
    <row r="239" spans="1:23" ht="15.6" x14ac:dyDescent="0.3">
      <c r="A239" s="284"/>
      <c r="B239" s="338" t="s">
        <v>167</v>
      </c>
      <c r="C239" s="382"/>
      <c r="D239" s="382"/>
      <c r="E239" s="382"/>
      <c r="F239" s="311"/>
      <c r="G239" s="383"/>
      <c r="H239" s="382"/>
      <c r="I239" s="382"/>
      <c r="J239" s="382"/>
      <c r="K239" s="382"/>
      <c r="L239" s="382"/>
      <c r="M239" s="382"/>
      <c r="N239" s="382"/>
      <c r="O239" s="382"/>
      <c r="P239" s="338">
        <f t="shared" si="1"/>
        <v>3</v>
      </c>
      <c r="Q239" s="384">
        <f t="shared" si="2"/>
        <v>8.6182131571387532E-4</v>
      </c>
      <c r="R239" s="339">
        <f t="shared" si="3"/>
        <v>405</v>
      </c>
      <c r="S239" s="384">
        <f t="shared" si="4"/>
        <v>9.0280873829692377E-4</v>
      </c>
      <c r="T239" s="366"/>
      <c r="U239" s="370"/>
      <c r="V239" s="5"/>
      <c r="W239" s="109"/>
    </row>
    <row r="240" spans="1:23" ht="15.6" x14ac:dyDescent="0.3">
      <c r="A240" s="284"/>
      <c r="B240" s="338"/>
      <c r="C240" s="382"/>
      <c r="D240" s="382"/>
      <c r="E240" s="382"/>
      <c r="F240" s="311"/>
      <c r="G240" s="383"/>
      <c r="H240" s="382"/>
      <c r="I240" s="382"/>
      <c r="J240" s="382"/>
      <c r="K240" s="382"/>
      <c r="L240" s="382"/>
      <c r="M240" s="382"/>
      <c r="N240" s="382"/>
      <c r="O240" s="382"/>
      <c r="P240" s="338"/>
      <c r="Q240" s="384"/>
      <c r="R240" s="339"/>
      <c r="S240" s="384"/>
      <c r="T240" s="366"/>
      <c r="U240" s="370"/>
      <c r="V240" s="5"/>
    </row>
    <row r="241" spans="1:23" ht="15.6" x14ac:dyDescent="0.3">
      <c r="A241" s="284"/>
      <c r="B241" s="285" t="s">
        <v>120</v>
      </c>
      <c r="C241" s="311"/>
      <c r="D241" s="311"/>
      <c r="E241" s="311"/>
      <c r="F241" s="311"/>
      <c r="G241" s="311"/>
      <c r="H241" s="385"/>
      <c r="I241" s="385"/>
      <c r="J241" s="385"/>
      <c r="K241" s="385"/>
      <c r="L241" s="385"/>
      <c r="M241" s="385"/>
      <c r="N241" s="385"/>
      <c r="O241" s="385"/>
      <c r="P241" s="338">
        <f>SUM(P232:P240)</f>
        <v>3481</v>
      </c>
      <c r="Q241" s="384">
        <f>SUM(Q232:Q240)</f>
        <v>1</v>
      </c>
      <c r="R241" s="339">
        <f>SUM(R232:R240)</f>
        <v>448600</v>
      </c>
      <c r="S241" s="384">
        <f>SUM(S232:S240)</f>
        <v>1</v>
      </c>
      <c r="T241" s="311"/>
      <c r="U241" s="317"/>
      <c r="V241" s="5"/>
    </row>
    <row r="242" spans="1:23" ht="15.6" x14ac:dyDescent="0.3">
      <c r="A242" s="355"/>
      <c r="B242" s="350"/>
      <c r="C242" s="356"/>
      <c r="D242" s="356"/>
      <c r="E242" s="356"/>
      <c r="F242" s="357"/>
      <c r="G242" s="334"/>
      <c r="H242" s="334"/>
      <c r="I242" s="334"/>
      <c r="J242" s="334"/>
      <c r="K242" s="334"/>
      <c r="L242" s="334"/>
      <c r="M242" s="334"/>
      <c r="N242" s="334"/>
      <c r="O242" s="334"/>
      <c r="P242" s="334"/>
      <c r="Q242" s="334"/>
      <c r="R242" s="358"/>
      <c r="S242" s="334"/>
      <c r="T242" s="351"/>
      <c r="U242" s="359"/>
      <c r="V242" s="5"/>
    </row>
    <row r="243" spans="1:23" ht="15.6" x14ac:dyDescent="0.3">
      <c r="A243" s="222"/>
      <c r="B243" s="395" t="s">
        <v>169</v>
      </c>
      <c r="C243" s="396"/>
      <c r="D243" s="396"/>
      <c r="E243" s="396"/>
      <c r="F243" s="402"/>
      <c r="G243" s="396"/>
      <c r="H243" s="396"/>
      <c r="I243" s="396"/>
      <c r="J243" s="396"/>
      <c r="K243" s="396"/>
      <c r="L243" s="396"/>
      <c r="M243" s="396"/>
      <c r="N243" s="396"/>
      <c r="O243" s="396"/>
      <c r="P243" s="402" t="s">
        <v>105</v>
      </c>
      <c r="Q243" s="396" t="s">
        <v>106</v>
      </c>
      <c r="R243" s="402" t="s">
        <v>114</v>
      </c>
      <c r="S243" s="396" t="s">
        <v>106</v>
      </c>
      <c r="T243" s="223"/>
      <c r="U243" s="395"/>
      <c r="V243" s="5"/>
    </row>
    <row r="244" spans="1:23" ht="15.6" x14ac:dyDescent="0.3">
      <c r="A244" s="190"/>
      <c r="B244" s="243" t="s">
        <v>91</v>
      </c>
      <c r="C244" s="217"/>
      <c r="D244" s="217"/>
      <c r="E244" s="217"/>
      <c r="F244" s="191"/>
      <c r="G244" s="217"/>
      <c r="H244" s="217"/>
      <c r="I244" s="217"/>
      <c r="J244" s="217"/>
      <c r="K244" s="217"/>
      <c r="L244" s="217"/>
      <c r="M244" s="217"/>
      <c r="N244" s="217"/>
      <c r="O244" s="217"/>
      <c r="P244" s="243">
        <v>3433</v>
      </c>
      <c r="Q244" s="274">
        <f t="shared" ref="Q244:Q251" si="5">P244/$P$253</f>
        <v>0.99825530677522534</v>
      </c>
      <c r="R244" s="251">
        <v>440906</v>
      </c>
      <c r="S244" s="274">
        <f t="shared" ref="S244:S251" si="6">R244/$R$253</f>
        <v>0.99838548613171085</v>
      </c>
      <c r="T244" s="213"/>
      <c r="U244" s="216"/>
      <c r="V244" s="5"/>
    </row>
    <row r="245" spans="1:23" ht="15.6" x14ac:dyDescent="0.3">
      <c r="A245" s="284"/>
      <c r="B245" s="338" t="s">
        <v>92</v>
      </c>
      <c r="C245" s="382"/>
      <c r="D245" s="382"/>
      <c r="E245" s="382"/>
      <c r="F245" s="311"/>
      <c r="G245" s="383"/>
      <c r="H245" s="382"/>
      <c r="I245" s="382"/>
      <c r="J245" s="382"/>
      <c r="K245" s="382"/>
      <c r="L245" s="382"/>
      <c r="M245" s="382"/>
      <c r="N245" s="382"/>
      <c r="O245" s="382"/>
      <c r="P245" s="338">
        <v>5</v>
      </c>
      <c r="Q245" s="384">
        <f t="shared" si="5"/>
        <v>1.4539110206455365E-3</v>
      </c>
      <c r="R245" s="339">
        <v>595</v>
      </c>
      <c r="S245" s="384">
        <f t="shared" si="6"/>
        <v>1.3473152196803128E-3</v>
      </c>
      <c r="T245" s="366"/>
      <c r="U245" s="370"/>
      <c r="V245" s="5"/>
      <c r="W245" s="109"/>
    </row>
    <row r="246" spans="1:23" ht="15.6" x14ac:dyDescent="0.3">
      <c r="A246" s="284"/>
      <c r="B246" s="338" t="s">
        <v>93</v>
      </c>
      <c r="C246" s="382"/>
      <c r="D246" s="382"/>
      <c r="E246" s="382"/>
      <c r="F246" s="311"/>
      <c r="G246" s="383"/>
      <c r="H246" s="382"/>
      <c r="I246" s="382"/>
      <c r="J246" s="382"/>
      <c r="K246" s="382"/>
      <c r="L246" s="382"/>
      <c r="M246" s="382"/>
      <c r="N246" s="382"/>
      <c r="O246" s="382"/>
      <c r="P246" s="338">
        <v>0</v>
      </c>
      <c r="Q246" s="384">
        <f t="shared" si="5"/>
        <v>0</v>
      </c>
      <c r="R246" s="339">
        <v>0</v>
      </c>
      <c r="S246" s="384">
        <f t="shared" si="6"/>
        <v>0</v>
      </c>
      <c r="T246" s="366"/>
      <c r="U246" s="370"/>
      <c r="V246" s="5"/>
    </row>
    <row r="247" spans="1:23" ht="15.6" x14ac:dyDescent="0.3">
      <c r="A247" s="284"/>
      <c r="B247" s="338" t="s">
        <v>163</v>
      </c>
      <c r="C247" s="382"/>
      <c r="D247" s="382"/>
      <c r="E247" s="382"/>
      <c r="F247" s="311"/>
      <c r="G247" s="383"/>
      <c r="H247" s="382"/>
      <c r="I247" s="382"/>
      <c r="J247" s="382"/>
      <c r="K247" s="382"/>
      <c r="L247" s="382"/>
      <c r="M247" s="382"/>
      <c r="N247" s="382"/>
      <c r="O247" s="382"/>
      <c r="P247" s="338">
        <v>0</v>
      </c>
      <c r="Q247" s="384">
        <f t="shared" si="5"/>
        <v>0</v>
      </c>
      <c r="R247" s="339">
        <v>0</v>
      </c>
      <c r="S247" s="384">
        <f t="shared" si="6"/>
        <v>0</v>
      </c>
      <c r="T247" s="366"/>
      <c r="U247" s="370"/>
      <c r="V247" s="5"/>
      <c r="W247" s="109"/>
    </row>
    <row r="248" spans="1:23" ht="15.6" x14ac:dyDescent="0.3">
      <c r="A248" s="284"/>
      <c r="B248" s="338" t="s">
        <v>164</v>
      </c>
      <c r="C248" s="382"/>
      <c r="D248" s="382"/>
      <c r="E248" s="382"/>
      <c r="F248" s="311"/>
      <c r="G248" s="383"/>
      <c r="H248" s="382"/>
      <c r="I248" s="382"/>
      <c r="J248" s="382"/>
      <c r="K248" s="382"/>
      <c r="L248" s="382"/>
      <c r="M248" s="382"/>
      <c r="N248" s="382"/>
      <c r="O248" s="382"/>
      <c r="P248" s="338">
        <v>0</v>
      </c>
      <c r="Q248" s="384">
        <f t="shared" si="5"/>
        <v>0</v>
      </c>
      <c r="R248" s="339">
        <v>0</v>
      </c>
      <c r="S248" s="384">
        <f t="shared" si="6"/>
        <v>0</v>
      </c>
      <c r="T248" s="366"/>
      <c r="U248" s="370"/>
      <c r="V248" s="5"/>
    </row>
    <row r="249" spans="1:23" ht="15.6" x14ac:dyDescent="0.3">
      <c r="A249" s="284"/>
      <c r="B249" s="338" t="s">
        <v>165</v>
      </c>
      <c r="C249" s="382"/>
      <c r="D249" s="382"/>
      <c r="E249" s="382"/>
      <c r="F249" s="311"/>
      <c r="G249" s="383"/>
      <c r="H249" s="382"/>
      <c r="I249" s="382"/>
      <c r="J249" s="382"/>
      <c r="K249" s="382"/>
      <c r="L249" s="382"/>
      <c r="M249" s="382"/>
      <c r="N249" s="382"/>
      <c r="O249" s="382"/>
      <c r="P249" s="338">
        <v>0</v>
      </c>
      <c r="Q249" s="384">
        <f t="shared" si="5"/>
        <v>0</v>
      </c>
      <c r="R249" s="339">
        <v>0</v>
      </c>
      <c r="S249" s="384">
        <f t="shared" si="6"/>
        <v>0</v>
      </c>
      <c r="T249" s="366"/>
      <c r="U249" s="370"/>
      <c r="V249" s="5"/>
      <c r="W249" s="109"/>
    </row>
    <row r="250" spans="1:23" ht="15.6" x14ac:dyDescent="0.3">
      <c r="A250" s="284"/>
      <c r="B250" s="338" t="s">
        <v>166</v>
      </c>
      <c r="C250" s="382"/>
      <c r="D250" s="382"/>
      <c r="E250" s="382"/>
      <c r="F250" s="311"/>
      <c r="G250" s="383"/>
      <c r="H250" s="382"/>
      <c r="I250" s="382"/>
      <c r="J250" s="382"/>
      <c r="K250" s="382"/>
      <c r="L250" s="382"/>
      <c r="M250" s="382"/>
      <c r="N250" s="382"/>
      <c r="O250" s="382"/>
      <c r="P250" s="338">
        <v>0</v>
      </c>
      <c r="Q250" s="384">
        <f t="shared" si="5"/>
        <v>0</v>
      </c>
      <c r="R250" s="339">
        <v>0</v>
      </c>
      <c r="S250" s="384">
        <f t="shared" si="6"/>
        <v>0</v>
      </c>
      <c r="T250" s="366"/>
      <c r="U250" s="370"/>
      <c r="V250" s="5"/>
    </row>
    <row r="251" spans="1:23" ht="15.6" x14ac:dyDescent="0.3">
      <c r="A251" s="284"/>
      <c r="B251" s="338" t="s">
        <v>167</v>
      </c>
      <c r="C251" s="382"/>
      <c r="D251" s="382"/>
      <c r="E251" s="382"/>
      <c r="F251" s="311"/>
      <c r="G251" s="383"/>
      <c r="H251" s="382"/>
      <c r="I251" s="382"/>
      <c r="J251" s="382"/>
      <c r="K251" s="382"/>
      <c r="L251" s="382"/>
      <c r="M251" s="382"/>
      <c r="N251" s="382"/>
      <c r="O251" s="382"/>
      <c r="P251" s="338">
        <v>1</v>
      </c>
      <c r="Q251" s="384">
        <f t="shared" si="5"/>
        <v>2.9078220412910729E-4</v>
      </c>
      <c r="R251" s="339">
        <v>118</v>
      </c>
      <c r="S251" s="384">
        <f t="shared" si="6"/>
        <v>2.6719864860886872E-4</v>
      </c>
      <c r="T251" s="366"/>
      <c r="U251" s="370"/>
      <c r="V251" s="5"/>
      <c r="W251" s="109"/>
    </row>
    <row r="252" spans="1:23" ht="15.6" x14ac:dyDescent="0.3">
      <c r="A252" s="284"/>
      <c r="B252" s="338"/>
      <c r="C252" s="382"/>
      <c r="D252" s="382"/>
      <c r="E252" s="382"/>
      <c r="F252" s="311"/>
      <c r="G252" s="383"/>
      <c r="H252" s="382"/>
      <c r="I252" s="382"/>
      <c r="J252" s="382"/>
      <c r="K252" s="382"/>
      <c r="L252" s="382"/>
      <c r="M252" s="382"/>
      <c r="N252" s="382"/>
      <c r="O252" s="382"/>
      <c r="P252" s="338"/>
      <c r="Q252" s="384"/>
      <c r="R252" s="339"/>
      <c r="S252" s="384"/>
      <c r="T252" s="366"/>
      <c r="U252" s="370"/>
      <c r="V252" s="5"/>
    </row>
    <row r="253" spans="1:23" ht="15.6" x14ac:dyDescent="0.3">
      <c r="A253" s="284"/>
      <c r="B253" s="285" t="s">
        <v>120</v>
      </c>
      <c r="C253" s="311"/>
      <c r="D253" s="311"/>
      <c r="E253" s="311"/>
      <c r="F253" s="311"/>
      <c r="G253" s="311"/>
      <c r="H253" s="385"/>
      <c r="I253" s="385"/>
      <c r="J253" s="385"/>
      <c r="K253" s="385"/>
      <c r="L253" s="385"/>
      <c r="M253" s="385"/>
      <c r="N253" s="385"/>
      <c r="O253" s="385"/>
      <c r="P253" s="338">
        <f>SUM(P244:P252)</f>
        <v>3439</v>
      </c>
      <c r="Q253" s="384">
        <f>SUM(Q244:Q252)</f>
        <v>1</v>
      </c>
      <c r="R253" s="339">
        <f>SUM(R244:R252)</f>
        <v>441619</v>
      </c>
      <c r="S253" s="384">
        <f>SUM(S244:S252)</f>
        <v>1</v>
      </c>
      <c r="T253" s="311"/>
      <c r="U253" s="317"/>
      <c r="V253" s="5"/>
    </row>
    <row r="254" spans="1:23" ht="15.6" x14ac:dyDescent="0.3">
      <c r="A254" s="175"/>
      <c r="B254" s="334"/>
      <c r="C254" s="334"/>
      <c r="D254" s="334"/>
      <c r="E254" s="334"/>
      <c r="F254" s="334"/>
      <c r="G254" s="334"/>
      <c r="H254" s="379"/>
      <c r="I254" s="379"/>
      <c r="J254" s="379"/>
      <c r="K254" s="379"/>
      <c r="L254" s="379"/>
      <c r="M254" s="379"/>
      <c r="N254" s="379"/>
      <c r="O254" s="379"/>
      <c r="P254" s="335"/>
      <c r="Q254" s="380"/>
      <c r="R254" s="381"/>
      <c r="S254" s="380"/>
      <c r="T254" s="334"/>
      <c r="U254" s="334"/>
      <c r="V254" s="5"/>
    </row>
    <row r="255" spans="1:23" ht="15.6" x14ac:dyDescent="0.3">
      <c r="A255" s="268"/>
      <c r="B255" s="395" t="s">
        <v>267</v>
      </c>
      <c r="C255" s="396"/>
      <c r="D255" s="396"/>
      <c r="E255" s="396"/>
      <c r="F255" s="402"/>
      <c r="G255" s="396"/>
      <c r="H255" s="396"/>
      <c r="I255" s="396"/>
      <c r="J255" s="396"/>
      <c r="K255" s="396"/>
      <c r="L255" s="396"/>
      <c r="M255" s="396"/>
      <c r="N255" s="396"/>
      <c r="O255" s="396"/>
      <c r="P255" s="402" t="s">
        <v>105</v>
      </c>
      <c r="Q255" s="396" t="s">
        <v>106</v>
      </c>
      <c r="R255" s="402" t="s">
        <v>114</v>
      </c>
      <c r="S255" s="396" t="s">
        <v>106</v>
      </c>
      <c r="T255" s="269"/>
      <c r="U255" s="270"/>
      <c r="V255" s="5"/>
    </row>
    <row r="256" spans="1:23" ht="15.6" x14ac:dyDescent="0.3">
      <c r="A256" s="190"/>
      <c r="B256" s="243" t="s">
        <v>91</v>
      </c>
      <c r="C256" s="217"/>
      <c r="D256" s="217"/>
      <c r="E256" s="217"/>
      <c r="F256" s="191"/>
      <c r="G256" s="217"/>
      <c r="H256" s="217"/>
      <c r="I256" s="217"/>
      <c r="J256" s="217"/>
      <c r="K256" s="217"/>
      <c r="L256" s="217"/>
      <c r="M256" s="217"/>
      <c r="N256" s="217"/>
      <c r="O256" s="217"/>
      <c r="P256" s="243">
        <v>35</v>
      </c>
      <c r="Q256" s="274">
        <f t="shared" ref="Q256:Q263" si="7">P256/$P$265</f>
        <v>0.83333333333333337</v>
      </c>
      <c r="R256" s="251">
        <v>5836</v>
      </c>
      <c r="S256" s="274">
        <f>R256/$R$265</f>
        <v>0.83598338346941703</v>
      </c>
      <c r="T256" s="191"/>
      <c r="U256" s="191"/>
      <c r="V256" s="5"/>
    </row>
    <row r="257" spans="1:22" ht="15.6" x14ac:dyDescent="0.3">
      <c r="A257" s="284"/>
      <c r="B257" s="338" t="s">
        <v>92</v>
      </c>
      <c r="C257" s="382"/>
      <c r="D257" s="382"/>
      <c r="E257" s="382"/>
      <c r="F257" s="311"/>
      <c r="G257" s="383"/>
      <c r="H257" s="382"/>
      <c r="I257" s="382"/>
      <c r="J257" s="382"/>
      <c r="K257" s="382"/>
      <c r="L257" s="382"/>
      <c r="M257" s="382"/>
      <c r="N257" s="382"/>
      <c r="O257" s="382"/>
      <c r="P257" s="338">
        <v>0</v>
      </c>
      <c r="Q257" s="384">
        <f t="shared" si="7"/>
        <v>0</v>
      </c>
      <c r="R257" s="339">
        <v>0</v>
      </c>
      <c r="S257" s="384">
        <f t="shared" ref="S257:S263" si="8">R257/$R$265</f>
        <v>0</v>
      </c>
      <c r="T257" s="311"/>
      <c r="U257" s="317"/>
      <c r="V257" s="5"/>
    </row>
    <row r="258" spans="1:22" ht="15.6" x14ac:dyDescent="0.3">
      <c r="A258" s="284"/>
      <c r="B258" s="338" t="s">
        <v>93</v>
      </c>
      <c r="C258" s="382"/>
      <c r="D258" s="382"/>
      <c r="E258" s="382"/>
      <c r="F258" s="311"/>
      <c r="G258" s="383"/>
      <c r="H258" s="382"/>
      <c r="I258" s="382"/>
      <c r="J258" s="382"/>
      <c r="K258" s="382"/>
      <c r="L258" s="382"/>
      <c r="M258" s="382"/>
      <c r="N258" s="382"/>
      <c r="O258" s="382"/>
      <c r="P258" s="338">
        <v>3</v>
      </c>
      <c r="Q258" s="384">
        <f t="shared" si="7"/>
        <v>7.1428571428571425E-2</v>
      </c>
      <c r="R258" s="339">
        <v>459</v>
      </c>
      <c r="S258" s="384">
        <f t="shared" si="8"/>
        <v>6.5749892565535026E-2</v>
      </c>
      <c r="T258" s="311"/>
      <c r="U258" s="317"/>
      <c r="V258" s="5"/>
    </row>
    <row r="259" spans="1:22" ht="15.6" x14ac:dyDescent="0.3">
      <c r="A259" s="284"/>
      <c r="B259" s="338" t="s">
        <v>163</v>
      </c>
      <c r="C259" s="382"/>
      <c r="D259" s="382"/>
      <c r="E259" s="382"/>
      <c r="F259" s="311"/>
      <c r="G259" s="383"/>
      <c r="H259" s="382"/>
      <c r="I259" s="382"/>
      <c r="J259" s="382"/>
      <c r="K259" s="382"/>
      <c r="L259" s="382"/>
      <c r="M259" s="382"/>
      <c r="N259" s="382"/>
      <c r="O259" s="382"/>
      <c r="P259" s="338">
        <v>1</v>
      </c>
      <c r="Q259" s="384">
        <f t="shared" si="7"/>
        <v>2.3809523809523808E-2</v>
      </c>
      <c r="R259" s="339">
        <v>122</v>
      </c>
      <c r="S259" s="384">
        <f t="shared" si="8"/>
        <v>1.7476006302821947E-2</v>
      </c>
      <c r="T259" s="311"/>
      <c r="U259" s="317"/>
      <c r="V259" s="5"/>
    </row>
    <row r="260" spans="1:22" ht="15.6" x14ac:dyDescent="0.3">
      <c r="A260" s="284"/>
      <c r="B260" s="338" t="s">
        <v>164</v>
      </c>
      <c r="C260" s="382"/>
      <c r="D260" s="382"/>
      <c r="E260" s="382"/>
      <c r="F260" s="311"/>
      <c r="G260" s="383"/>
      <c r="H260" s="382"/>
      <c r="I260" s="382"/>
      <c r="J260" s="382"/>
      <c r="K260" s="382"/>
      <c r="L260" s="382"/>
      <c r="M260" s="382"/>
      <c r="N260" s="382"/>
      <c r="O260" s="382"/>
      <c r="P260" s="338">
        <v>0</v>
      </c>
      <c r="Q260" s="384">
        <f t="shared" si="7"/>
        <v>0</v>
      </c>
      <c r="R260" s="339">
        <v>0</v>
      </c>
      <c r="S260" s="384">
        <f t="shared" si="8"/>
        <v>0</v>
      </c>
      <c r="T260" s="311"/>
      <c r="U260" s="317"/>
      <c r="V260" s="5"/>
    </row>
    <row r="261" spans="1:22" ht="15.6" x14ac:dyDescent="0.3">
      <c r="A261" s="284"/>
      <c r="B261" s="338" t="s">
        <v>165</v>
      </c>
      <c r="C261" s="382"/>
      <c r="D261" s="382"/>
      <c r="E261" s="382"/>
      <c r="F261" s="311"/>
      <c r="G261" s="383"/>
      <c r="H261" s="382"/>
      <c r="I261" s="382"/>
      <c r="J261" s="382"/>
      <c r="K261" s="382"/>
      <c r="L261" s="382"/>
      <c r="M261" s="382"/>
      <c r="N261" s="382"/>
      <c r="O261" s="382"/>
      <c r="P261" s="338">
        <v>0</v>
      </c>
      <c r="Q261" s="384">
        <f t="shared" si="7"/>
        <v>0</v>
      </c>
      <c r="R261" s="339">
        <v>0</v>
      </c>
      <c r="S261" s="384">
        <f t="shared" si="8"/>
        <v>0</v>
      </c>
      <c r="T261" s="311"/>
      <c r="U261" s="317"/>
      <c r="V261" s="5"/>
    </row>
    <row r="262" spans="1:22" ht="15.6" x14ac:dyDescent="0.3">
      <c r="A262" s="284"/>
      <c r="B262" s="338" t="s">
        <v>166</v>
      </c>
      <c r="C262" s="382"/>
      <c r="D262" s="382"/>
      <c r="E262" s="382"/>
      <c r="F262" s="311"/>
      <c r="G262" s="383"/>
      <c r="H262" s="382"/>
      <c r="I262" s="382"/>
      <c r="J262" s="382"/>
      <c r="K262" s="382"/>
      <c r="L262" s="382"/>
      <c r="M262" s="382"/>
      <c r="N262" s="382"/>
      <c r="O262" s="382"/>
      <c r="P262" s="338">
        <v>1</v>
      </c>
      <c r="Q262" s="384">
        <f t="shared" si="7"/>
        <v>2.3809523809523808E-2</v>
      </c>
      <c r="R262" s="339">
        <v>277</v>
      </c>
      <c r="S262" s="384">
        <f t="shared" si="8"/>
        <v>3.9679129064603927E-2</v>
      </c>
      <c r="T262" s="311"/>
      <c r="U262" s="317"/>
      <c r="V262" s="5"/>
    </row>
    <row r="263" spans="1:22" ht="15.6" x14ac:dyDescent="0.3">
      <c r="A263" s="284"/>
      <c r="B263" s="338" t="s">
        <v>167</v>
      </c>
      <c r="C263" s="382"/>
      <c r="D263" s="382"/>
      <c r="E263" s="382"/>
      <c r="F263" s="311"/>
      <c r="G263" s="383"/>
      <c r="H263" s="382"/>
      <c r="I263" s="382"/>
      <c r="J263" s="382"/>
      <c r="K263" s="382"/>
      <c r="L263" s="382"/>
      <c r="M263" s="382"/>
      <c r="N263" s="382"/>
      <c r="O263" s="382"/>
      <c r="P263" s="338">
        <v>2</v>
      </c>
      <c r="Q263" s="384">
        <f t="shared" si="7"/>
        <v>4.7619047619047616E-2</v>
      </c>
      <c r="R263" s="339">
        <v>287</v>
      </c>
      <c r="S263" s="384">
        <f t="shared" si="8"/>
        <v>4.1111588597622116E-2</v>
      </c>
      <c r="T263" s="311"/>
      <c r="U263" s="317"/>
      <c r="V263" s="5"/>
    </row>
    <row r="264" spans="1:22" ht="15.6" x14ac:dyDescent="0.3">
      <c r="A264" s="284"/>
      <c r="B264" s="338"/>
      <c r="C264" s="382"/>
      <c r="D264" s="382"/>
      <c r="E264" s="382"/>
      <c r="F264" s="311"/>
      <c r="G264" s="383"/>
      <c r="H264" s="382"/>
      <c r="I264" s="382"/>
      <c r="J264" s="382"/>
      <c r="K264" s="382"/>
      <c r="L264" s="382"/>
      <c r="M264" s="382"/>
      <c r="N264" s="382"/>
      <c r="O264" s="382"/>
      <c r="P264" s="338"/>
      <c r="Q264" s="384"/>
      <c r="R264" s="339"/>
      <c r="S264" s="384"/>
      <c r="T264" s="311"/>
      <c r="U264" s="317"/>
      <c r="V264" s="5"/>
    </row>
    <row r="265" spans="1:22" ht="15.6" x14ac:dyDescent="0.3">
      <c r="A265" s="284"/>
      <c r="B265" s="285" t="s">
        <v>120</v>
      </c>
      <c r="C265" s="311"/>
      <c r="D265" s="311"/>
      <c r="E265" s="311"/>
      <c r="F265" s="311"/>
      <c r="G265" s="311"/>
      <c r="H265" s="385"/>
      <c r="I265" s="385"/>
      <c r="J265" s="385"/>
      <c r="K265" s="385"/>
      <c r="L265" s="385"/>
      <c r="M265" s="385"/>
      <c r="N265" s="385"/>
      <c r="O265" s="385"/>
      <c r="P265" s="338">
        <f>SUM(P256:P264)</f>
        <v>42</v>
      </c>
      <c r="Q265" s="384">
        <f>SUM(Q256:Q264)</f>
        <v>1</v>
      </c>
      <c r="R265" s="339">
        <f>SUM(R256:R264)</f>
        <v>6981</v>
      </c>
      <c r="S265" s="384">
        <f>SUM(S256:S264)</f>
        <v>1</v>
      </c>
      <c r="T265" s="311"/>
      <c r="U265" s="317"/>
      <c r="V265" s="5"/>
    </row>
    <row r="266" spans="1:22" ht="15.6" x14ac:dyDescent="0.3">
      <c r="A266" s="175"/>
      <c r="B266" s="334"/>
      <c r="C266" s="334"/>
      <c r="D266" s="334"/>
      <c r="E266" s="334"/>
      <c r="F266" s="334"/>
      <c r="G266" s="334"/>
      <c r="H266" s="379"/>
      <c r="I266" s="379"/>
      <c r="J266" s="379"/>
      <c r="K266" s="379"/>
      <c r="L266" s="379"/>
      <c r="M266" s="379"/>
      <c r="N266" s="379"/>
      <c r="O266" s="379"/>
      <c r="P266" s="335"/>
      <c r="Q266" s="380"/>
      <c r="R266" s="381"/>
      <c r="S266" s="380"/>
      <c r="T266" s="334"/>
      <c r="U266" s="334"/>
      <c r="V266" s="5"/>
    </row>
    <row r="267" spans="1:22" ht="15.6" x14ac:dyDescent="0.3">
      <c r="A267" s="268"/>
      <c r="B267" s="395" t="s">
        <v>170</v>
      </c>
      <c r="C267" s="269"/>
      <c r="D267" s="269"/>
      <c r="E267" s="269"/>
      <c r="F267" s="269"/>
      <c r="G267" s="269"/>
      <c r="H267" s="271"/>
      <c r="I267" s="271"/>
      <c r="J267" s="271"/>
      <c r="K267" s="271"/>
      <c r="L267" s="271"/>
      <c r="M267" s="271"/>
      <c r="N267" s="271"/>
      <c r="O267" s="271"/>
      <c r="P267" s="402" t="s">
        <v>105</v>
      </c>
      <c r="Q267" s="396" t="s">
        <v>106</v>
      </c>
      <c r="R267" s="402" t="s">
        <v>114</v>
      </c>
      <c r="S267" s="396" t="s">
        <v>106</v>
      </c>
      <c r="T267" s="269"/>
      <c r="U267" s="270"/>
      <c r="V267" s="5"/>
    </row>
    <row r="268" spans="1:22" ht="15.6" x14ac:dyDescent="0.3">
      <c r="A268" s="190"/>
      <c r="B268" s="243" t="s">
        <v>91</v>
      </c>
      <c r="C268" s="239"/>
      <c r="D268" s="239"/>
      <c r="E268" s="239"/>
      <c r="F268" s="239"/>
      <c r="G268" s="239"/>
      <c r="H268" s="275"/>
      <c r="I268" s="275"/>
      <c r="J268" s="275"/>
      <c r="K268" s="275"/>
      <c r="L268" s="218"/>
      <c r="M268" s="218"/>
      <c r="N268" s="218"/>
      <c r="O268" s="218"/>
      <c r="P268" s="243">
        <v>0</v>
      </c>
      <c r="Q268" s="274">
        <v>0</v>
      </c>
      <c r="R268" s="251">
        <v>0</v>
      </c>
      <c r="S268" s="274">
        <v>0</v>
      </c>
      <c r="T268" s="239"/>
      <c r="U268" s="191"/>
      <c r="V268" s="5"/>
    </row>
    <row r="269" spans="1:22" ht="15.6" x14ac:dyDescent="0.3">
      <c r="A269" s="284"/>
      <c r="B269" s="338" t="s">
        <v>92</v>
      </c>
      <c r="C269" s="285"/>
      <c r="D269" s="285"/>
      <c r="E269" s="285"/>
      <c r="F269" s="285"/>
      <c r="G269" s="285"/>
      <c r="H269" s="387"/>
      <c r="I269" s="387"/>
      <c r="J269" s="387"/>
      <c r="K269" s="387"/>
      <c r="L269" s="385"/>
      <c r="M269" s="385"/>
      <c r="N269" s="385"/>
      <c r="O269" s="385"/>
      <c r="P269" s="338">
        <v>0</v>
      </c>
      <c r="Q269" s="384">
        <v>0</v>
      </c>
      <c r="R269" s="339">
        <v>0</v>
      </c>
      <c r="S269" s="384">
        <v>0</v>
      </c>
      <c r="T269" s="285"/>
      <c r="U269" s="317"/>
      <c r="V269" s="5"/>
    </row>
    <row r="270" spans="1:22" ht="15.6" x14ac:dyDescent="0.3">
      <c r="A270" s="284"/>
      <c r="B270" s="338" t="s">
        <v>93</v>
      </c>
      <c r="C270" s="285"/>
      <c r="D270" s="285"/>
      <c r="E270" s="285"/>
      <c r="F270" s="285"/>
      <c r="G270" s="285"/>
      <c r="H270" s="387"/>
      <c r="I270" s="387"/>
      <c r="J270" s="387"/>
      <c r="K270" s="387"/>
      <c r="L270" s="385"/>
      <c r="M270" s="385"/>
      <c r="N270" s="385"/>
      <c r="O270" s="385"/>
      <c r="P270" s="338">
        <v>0</v>
      </c>
      <c r="Q270" s="384">
        <v>0</v>
      </c>
      <c r="R270" s="339">
        <v>0</v>
      </c>
      <c r="S270" s="384">
        <v>0</v>
      </c>
      <c r="T270" s="285"/>
      <c r="U270" s="317"/>
      <c r="V270" s="5"/>
    </row>
    <row r="271" spans="1:22" ht="15.6" x14ac:dyDescent="0.3">
      <c r="A271" s="284"/>
      <c r="B271" s="338" t="s">
        <v>163</v>
      </c>
      <c r="C271" s="285"/>
      <c r="D271" s="285"/>
      <c r="E271" s="285"/>
      <c r="F271" s="285"/>
      <c r="G271" s="285"/>
      <c r="H271" s="387"/>
      <c r="I271" s="387"/>
      <c r="J271" s="387"/>
      <c r="K271" s="387"/>
      <c r="L271" s="385"/>
      <c r="M271" s="385"/>
      <c r="N271" s="385"/>
      <c r="O271" s="385"/>
      <c r="P271" s="338">
        <v>0</v>
      </c>
      <c r="Q271" s="384">
        <v>0</v>
      </c>
      <c r="R271" s="339">
        <v>0</v>
      </c>
      <c r="S271" s="384">
        <v>0</v>
      </c>
      <c r="T271" s="285"/>
      <c r="U271" s="317"/>
      <c r="V271" s="5"/>
    </row>
    <row r="272" spans="1:22" ht="15.6" x14ac:dyDescent="0.3">
      <c r="A272" s="284"/>
      <c r="B272" s="338" t="s">
        <v>164</v>
      </c>
      <c r="C272" s="285"/>
      <c r="D272" s="285"/>
      <c r="E272" s="285"/>
      <c r="F272" s="285"/>
      <c r="G272" s="285"/>
      <c r="H272" s="387"/>
      <c r="I272" s="387"/>
      <c r="J272" s="387"/>
      <c r="K272" s="387"/>
      <c r="L272" s="385"/>
      <c r="M272" s="385"/>
      <c r="N272" s="385"/>
      <c r="O272" s="385"/>
      <c r="P272" s="338">
        <v>0</v>
      </c>
      <c r="Q272" s="384">
        <v>0</v>
      </c>
      <c r="R272" s="339">
        <v>0</v>
      </c>
      <c r="S272" s="384">
        <v>0</v>
      </c>
      <c r="T272" s="285"/>
      <c r="U272" s="317"/>
      <c r="V272" s="5"/>
    </row>
    <row r="273" spans="1:22" ht="15.6" x14ac:dyDescent="0.3">
      <c r="A273" s="284"/>
      <c r="B273" s="338" t="s">
        <v>165</v>
      </c>
      <c r="C273" s="285"/>
      <c r="D273" s="285"/>
      <c r="E273" s="285"/>
      <c r="F273" s="285"/>
      <c r="G273" s="285"/>
      <c r="H273" s="387"/>
      <c r="I273" s="387"/>
      <c r="J273" s="387"/>
      <c r="K273" s="387"/>
      <c r="L273" s="385"/>
      <c r="M273" s="385"/>
      <c r="N273" s="385"/>
      <c r="O273" s="385"/>
      <c r="P273" s="338">
        <v>0</v>
      </c>
      <c r="Q273" s="384">
        <v>0</v>
      </c>
      <c r="R273" s="339">
        <v>0</v>
      </c>
      <c r="S273" s="384">
        <v>0</v>
      </c>
      <c r="T273" s="285"/>
      <c r="U273" s="317"/>
      <c r="V273" s="5"/>
    </row>
    <row r="274" spans="1:22" ht="15.6" x14ac:dyDescent="0.3">
      <c r="A274" s="284"/>
      <c r="B274" s="338" t="s">
        <v>166</v>
      </c>
      <c r="C274" s="285"/>
      <c r="D274" s="285"/>
      <c r="E274" s="285"/>
      <c r="F274" s="285"/>
      <c r="G274" s="285"/>
      <c r="H274" s="387"/>
      <c r="I274" s="387"/>
      <c r="J274" s="387"/>
      <c r="K274" s="387"/>
      <c r="L274" s="385"/>
      <c r="M274" s="385"/>
      <c r="N274" s="385"/>
      <c r="O274" s="385"/>
      <c r="P274" s="338">
        <v>0</v>
      </c>
      <c r="Q274" s="384">
        <v>0</v>
      </c>
      <c r="R274" s="339">
        <v>0</v>
      </c>
      <c r="S274" s="384">
        <v>0</v>
      </c>
      <c r="T274" s="285"/>
      <c r="U274" s="317"/>
      <c r="V274" s="5"/>
    </row>
    <row r="275" spans="1:22" ht="15.6" x14ac:dyDescent="0.3">
      <c r="A275" s="284"/>
      <c r="B275" s="338" t="s">
        <v>167</v>
      </c>
      <c r="C275" s="285"/>
      <c r="D275" s="285"/>
      <c r="E275" s="285"/>
      <c r="F275" s="285"/>
      <c r="G275" s="285"/>
      <c r="H275" s="387"/>
      <c r="I275" s="387"/>
      <c r="J275" s="387"/>
      <c r="K275" s="387"/>
      <c r="L275" s="385"/>
      <c r="M275" s="385"/>
      <c r="N275" s="385"/>
      <c r="O275" s="385"/>
      <c r="P275" s="338">
        <v>0</v>
      </c>
      <c r="Q275" s="384">
        <v>0</v>
      </c>
      <c r="R275" s="339">
        <v>0</v>
      </c>
      <c r="S275" s="384">
        <v>0</v>
      </c>
      <c r="T275" s="285"/>
      <c r="U275" s="317"/>
      <c r="V275" s="5"/>
    </row>
    <row r="276" spans="1:22" ht="15.6" x14ac:dyDescent="0.3">
      <c r="A276" s="284"/>
      <c r="B276" s="338"/>
      <c r="C276" s="285"/>
      <c r="D276" s="285"/>
      <c r="E276" s="285"/>
      <c r="F276" s="285"/>
      <c r="G276" s="285"/>
      <c r="H276" s="387"/>
      <c r="I276" s="387"/>
      <c r="J276" s="387"/>
      <c r="K276" s="387"/>
      <c r="L276" s="385"/>
      <c r="M276" s="385"/>
      <c r="N276" s="385"/>
      <c r="O276" s="385"/>
      <c r="P276" s="338"/>
      <c r="Q276" s="384"/>
      <c r="R276" s="339"/>
      <c r="S276" s="384"/>
      <c r="T276" s="285"/>
      <c r="U276" s="317"/>
      <c r="V276" s="5"/>
    </row>
    <row r="277" spans="1:22" ht="15.6" x14ac:dyDescent="0.3">
      <c r="A277" s="284"/>
      <c r="B277" s="285" t="s">
        <v>120</v>
      </c>
      <c r="C277" s="285"/>
      <c r="D277" s="285"/>
      <c r="E277" s="285"/>
      <c r="F277" s="285"/>
      <c r="G277" s="285"/>
      <c r="H277" s="387"/>
      <c r="I277" s="387"/>
      <c r="J277" s="387"/>
      <c r="K277" s="387"/>
      <c r="L277" s="385"/>
      <c r="M277" s="385"/>
      <c r="N277" s="385"/>
      <c r="O277" s="385"/>
      <c r="P277" s="338">
        <f>SUM(P268:P275)</f>
        <v>0</v>
      </c>
      <c r="Q277" s="384">
        <f>SUM(Q268:Q276)</f>
        <v>0</v>
      </c>
      <c r="R277" s="339">
        <f>SUM(R268:R275)</f>
        <v>0</v>
      </c>
      <c r="S277" s="384">
        <f>SUM(S268:S276)</f>
        <v>0</v>
      </c>
      <c r="T277" s="285"/>
      <c r="U277" s="317"/>
      <c r="V277" s="5"/>
    </row>
    <row r="278" spans="1:22" ht="15.6" x14ac:dyDescent="0.3">
      <c r="A278" s="284"/>
      <c r="B278" s="285"/>
      <c r="C278" s="285"/>
      <c r="D278" s="285"/>
      <c r="E278" s="285"/>
      <c r="F278" s="285"/>
      <c r="G278" s="285"/>
      <c r="H278" s="387"/>
      <c r="I278" s="387"/>
      <c r="J278" s="387"/>
      <c r="K278" s="387"/>
      <c r="L278" s="385"/>
      <c r="M278" s="385"/>
      <c r="N278" s="385"/>
      <c r="O278" s="385"/>
      <c r="P278" s="344"/>
      <c r="Q278" s="388"/>
      <c r="R278" s="345"/>
      <c r="S278" s="388"/>
      <c r="T278" s="311"/>
      <c r="U278" s="317"/>
      <c r="V278" s="5"/>
    </row>
    <row r="279" spans="1:22" ht="15.6" x14ac:dyDescent="0.3">
      <c r="A279" s="284"/>
      <c r="B279" s="292" t="s">
        <v>171</v>
      </c>
      <c r="C279" s="285"/>
      <c r="D279" s="285"/>
      <c r="E279" s="285"/>
      <c r="F279" s="285"/>
      <c r="G279" s="285"/>
      <c r="H279" s="387"/>
      <c r="I279" s="387"/>
      <c r="J279" s="387"/>
      <c r="K279" s="387"/>
      <c r="L279" s="385"/>
      <c r="M279" s="385"/>
      <c r="N279" s="385"/>
      <c r="O279" s="385"/>
      <c r="P279" s="403">
        <f>P277+P265+P253</f>
        <v>3481</v>
      </c>
      <c r="Q279" s="384"/>
      <c r="R279" s="404">
        <f>+R277+R265+R253</f>
        <v>448600</v>
      </c>
      <c r="S279" s="384"/>
      <c r="T279" s="311"/>
      <c r="U279" s="317"/>
      <c r="V279" s="5"/>
    </row>
    <row r="280" spans="1:22" ht="15.6" x14ac:dyDescent="0.3">
      <c r="A280" s="175"/>
      <c r="B280" s="281"/>
      <c r="C280" s="281"/>
      <c r="D280" s="281"/>
      <c r="E280" s="281"/>
      <c r="F280" s="281"/>
      <c r="G280" s="281"/>
      <c r="H280" s="386"/>
      <c r="I280" s="386"/>
      <c r="J280" s="386"/>
      <c r="K280" s="386"/>
      <c r="L280" s="379"/>
      <c r="M280" s="379"/>
      <c r="N280" s="379"/>
      <c r="O280" s="379"/>
      <c r="P280" s="379"/>
      <c r="Q280" s="379"/>
      <c r="R280" s="381"/>
      <c r="S280" s="379"/>
      <c r="T280" s="334"/>
      <c r="U280" s="334"/>
      <c r="V280" s="5"/>
    </row>
    <row r="281" spans="1:22" ht="15.6" x14ac:dyDescent="0.3">
      <c r="A281" s="175"/>
      <c r="B281" s="231"/>
      <c r="C281" s="231"/>
      <c r="D281" s="231"/>
      <c r="E281" s="231"/>
      <c r="F281" s="231"/>
      <c r="G281" s="231"/>
      <c r="H281" s="276"/>
      <c r="I281" s="276"/>
      <c r="J281" s="276"/>
      <c r="K281" s="276"/>
      <c r="L281" s="219"/>
      <c r="M281" s="219"/>
      <c r="N281" s="219"/>
      <c r="O281" s="219"/>
      <c r="P281" s="219"/>
      <c r="Q281" s="219"/>
      <c r="R281" s="220"/>
      <c r="S281" s="219"/>
      <c r="T281" s="177"/>
      <c r="U281" s="177"/>
      <c r="V281" s="5"/>
    </row>
    <row r="282" spans="1:22" ht="15.6" x14ac:dyDescent="0.3">
      <c r="A282" s="221"/>
      <c r="B282" s="230" t="s">
        <v>94</v>
      </c>
      <c r="C282" s="231"/>
      <c r="D282" s="231"/>
      <c r="E282" s="231"/>
      <c r="F282" s="236" t="s">
        <v>100</v>
      </c>
      <c r="G282" s="231"/>
      <c r="H282" s="230" t="s">
        <v>102</v>
      </c>
      <c r="I282" s="277"/>
      <c r="J282" s="277"/>
      <c r="K282" s="277"/>
      <c r="L282" s="188"/>
      <c r="M282" s="188"/>
      <c r="N282" s="188"/>
      <c r="O282" s="188"/>
      <c r="P282" s="188"/>
      <c r="Q282" s="188"/>
      <c r="R282" s="188"/>
      <c r="S282" s="188"/>
      <c r="T282" s="188"/>
      <c r="U282" s="188"/>
      <c r="V282" s="5"/>
    </row>
    <row r="283" spans="1:22" ht="15.6" x14ac:dyDescent="0.3">
      <c r="A283" s="221"/>
      <c r="B283" s="230" t="s">
        <v>316</v>
      </c>
      <c r="C283" s="230"/>
      <c r="D283" s="230"/>
      <c r="E283" s="230"/>
      <c r="F283" s="278" t="s">
        <v>154</v>
      </c>
      <c r="G283" s="230"/>
      <c r="H283" s="230" t="s">
        <v>158</v>
      </c>
      <c r="I283" s="277"/>
      <c r="J283" s="277"/>
      <c r="K283" s="277"/>
      <c r="L283" s="188"/>
      <c r="M283" s="188"/>
      <c r="N283" s="188"/>
      <c r="O283" s="188"/>
      <c r="P283" s="188"/>
      <c r="Q283" s="188"/>
      <c r="R283" s="188"/>
      <c r="S283" s="188"/>
      <c r="T283" s="188"/>
      <c r="U283" s="188"/>
      <c r="V283" s="5"/>
    </row>
    <row r="284" spans="1:22" ht="15.6" x14ac:dyDescent="0.3">
      <c r="A284" s="221"/>
      <c r="B284" s="230" t="s">
        <v>317</v>
      </c>
      <c r="C284" s="230"/>
      <c r="D284" s="230"/>
      <c r="E284" s="230"/>
      <c r="F284" s="278" t="s">
        <v>269</v>
      </c>
      <c r="G284" s="230"/>
      <c r="H284" s="230" t="s">
        <v>270</v>
      </c>
      <c r="I284" s="277"/>
      <c r="J284" s="277"/>
      <c r="K284" s="277"/>
      <c r="L284" s="188"/>
      <c r="M284" s="188"/>
      <c r="N284" s="188"/>
      <c r="O284" s="188"/>
      <c r="P284" s="188"/>
      <c r="Q284" s="188"/>
      <c r="R284" s="188"/>
      <c r="S284" s="188"/>
      <c r="T284" s="188"/>
      <c r="U284" s="188"/>
      <c r="V284" s="5"/>
    </row>
    <row r="285" spans="1:22" ht="15.6" x14ac:dyDescent="0.3">
      <c r="A285" s="221"/>
      <c r="B285" s="230" t="s">
        <v>318</v>
      </c>
      <c r="C285" s="230"/>
      <c r="D285" s="230"/>
      <c r="E285" s="230"/>
      <c r="F285" s="278" t="s">
        <v>153</v>
      </c>
      <c r="G285" s="230"/>
      <c r="H285" s="230" t="s">
        <v>159</v>
      </c>
      <c r="I285" s="277"/>
      <c r="J285" s="277"/>
      <c r="K285" s="277"/>
      <c r="L285" s="188"/>
      <c r="M285" s="188"/>
      <c r="N285" s="188"/>
      <c r="O285" s="188"/>
      <c r="P285" s="188"/>
      <c r="Q285" s="188"/>
      <c r="R285" s="188"/>
      <c r="S285" s="188"/>
      <c r="T285" s="188"/>
      <c r="U285" s="188"/>
      <c r="V285" s="5"/>
    </row>
    <row r="286" spans="1:22" ht="15.6" x14ac:dyDescent="0.3">
      <c r="A286" s="221"/>
      <c r="B286" s="230"/>
      <c r="C286" s="230"/>
      <c r="D286" s="230"/>
      <c r="E286" s="230"/>
      <c r="F286" s="230"/>
      <c r="G286" s="279"/>
      <c r="H286" s="277"/>
      <c r="I286" s="277"/>
      <c r="J286" s="277"/>
      <c r="K286" s="277"/>
      <c r="L286" s="188"/>
      <c r="M286" s="188"/>
      <c r="N286" s="188"/>
      <c r="O286" s="188"/>
      <c r="P286" s="188"/>
      <c r="Q286" s="188"/>
      <c r="R286" s="188"/>
      <c r="S286" s="188"/>
      <c r="T286" s="188"/>
      <c r="U286" s="188"/>
      <c r="V286" s="5"/>
    </row>
    <row r="287" spans="1:22" ht="15.6" x14ac:dyDescent="0.3">
      <c r="A287" s="221"/>
      <c r="B287" s="230"/>
      <c r="C287" s="230"/>
      <c r="D287" s="230"/>
      <c r="E287" s="230"/>
      <c r="F287" s="230"/>
      <c r="G287" s="279"/>
      <c r="H287" s="277"/>
      <c r="I287" s="277"/>
      <c r="J287" s="277"/>
      <c r="K287" s="277"/>
      <c r="L287" s="188"/>
      <c r="M287" s="188"/>
      <c r="N287" s="188"/>
      <c r="O287" s="188"/>
      <c r="P287" s="188"/>
      <c r="Q287" s="188"/>
      <c r="R287" s="188"/>
      <c r="S287" s="188"/>
      <c r="T287" s="188"/>
      <c r="U287" s="188"/>
      <c r="V287" s="5"/>
    </row>
    <row r="288" spans="1:22" ht="18" thickBot="1" x14ac:dyDescent="0.35">
      <c r="A288" s="221"/>
      <c r="B288" s="280" t="str">
        <f>B193</f>
        <v>PM11 INVESTOR REPORT QUARTER ENDING DECEMBER 2016</v>
      </c>
      <c r="C288" s="230"/>
      <c r="D288" s="230"/>
      <c r="E288" s="230"/>
      <c r="F288" s="230"/>
      <c r="G288" s="279"/>
      <c r="H288" s="277"/>
      <c r="I288" s="277"/>
      <c r="J288" s="277"/>
      <c r="K288" s="277"/>
      <c r="L288" s="188"/>
      <c r="M288" s="188"/>
      <c r="N288" s="188"/>
      <c r="O288" s="188"/>
      <c r="P288" s="188"/>
      <c r="Q288" s="188"/>
      <c r="R288" s="188"/>
      <c r="S288" s="188"/>
      <c r="T288" s="188"/>
      <c r="U288" s="188"/>
      <c r="V288" s="5"/>
    </row>
    <row r="289" spans="1:21" x14ac:dyDescent="0.25">
      <c r="A289" s="100"/>
      <c r="B289" s="100"/>
      <c r="C289" s="100"/>
      <c r="D289" s="100"/>
      <c r="E289" s="100"/>
      <c r="F289" s="100"/>
      <c r="G289" s="100"/>
      <c r="H289" s="100"/>
      <c r="I289" s="100"/>
      <c r="J289" s="100"/>
      <c r="K289" s="100"/>
      <c r="L289" s="100"/>
      <c r="M289" s="100"/>
      <c r="N289" s="100"/>
      <c r="O289" s="100"/>
      <c r="P289" s="100"/>
      <c r="Q289" s="100"/>
      <c r="R289" s="100"/>
      <c r="S289" s="100"/>
      <c r="T289" s="100"/>
      <c r="U289" s="100"/>
    </row>
  </sheetData>
  <hyperlinks>
    <hyperlink ref="N229" r:id="rId1" xr:uid="{00000000-0004-0000-2A00-000000000000}"/>
    <hyperlink ref="J9" r:id="rId2" xr:uid="{00000000-0004-0000-2A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4" max="20" man="1"/>
    <brk id="133" max="20" man="1"/>
    <brk id="193" max="20" man="1"/>
  </rowBreaks>
  <drawing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2D2926"/>
  </sheetPr>
  <dimension ref="A1:X293"/>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08984375" style="1" customWidth="1"/>
    <col min="10" max="10" width="17.81640625" style="1" customWidth="1"/>
    <col min="11" max="11" width="2.1796875" style="1" customWidth="1"/>
    <col min="12" max="12" width="14.81640625" style="1" customWidth="1"/>
    <col min="13" max="13" width="2.1796875" style="1" customWidth="1"/>
    <col min="14" max="14" width="15.54296875" style="1" customWidth="1"/>
    <col min="15" max="15" width="2.08984375" style="1" customWidth="1"/>
    <col min="16" max="16" width="15.54296875" style="1" customWidth="1"/>
    <col min="17" max="18" width="12.81640625" style="1" customWidth="1"/>
    <col min="19" max="19" width="7.81640625" style="1" customWidth="1"/>
    <col min="20" max="20" width="14.81640625" style="1" customWidth="1"/>
    <col min="21" max="21" width="11.81640625" style="1" customWidth="1"/>
    <col min="22" max="16384" width="9.81640625" style="1"/>
  </cols>
  <sheetData>
    <row r="1" spans="1:22" ht="20.399999999999999" x14ac:dyDescent="0.35">
      <c r="A1" s="173"/>
      <c r="B1" s="228" t="s">
        <v>228</v>
      </c>
      <c r="C1" s="174"/>
      <c r="D1" s="174"/>
      <c r="E1" s="174"/>
      <c r="F1" s="174"/>
      <c r="G1" s="174"/>
      <c r="H1" s="174"/>
      <c r="I1" s="174"/>
      <c r="J1" s="174"/>
      <c r="K1" s="174"/>
      <c r="L1" s="174"/>
      <c r="M1" s="174"/>
      <c r="N1" s="174"/>
      <c r="O1" s="174"/>
      <c r="P1" s="174"/>
      <c r="Q1" s="174"/>
      <c r="R1" s="174"/>
      <c r="S1" s="174"/>
      <c r="T1" s="174"/>
      <c r="U1" s="174"/>
      <c r="V1" s="5"/>
    </row>
    <row r="2" spans="1:22" ht="15.6" x14ac:dyDescent="0.3">
      <c r="A2" s="175"/>
      <c r="B2" s="176"/>
      <c r="C2" s="177"/>
      <c r="D2" s="177"/>
      <c r="E2" s="177"/>
      <c r="F2" s="177"/>
      <c r="G2" s="177"/>
      <c r="H2" s="177"/>
      <c r="I2" s="177"/>
      <c r="J2" s="177"/>
      <c r="K2" s="177"/>
      <c r="L2" s="177"/>
      <c r="M2" s="177"/>
      <c r="N2" s="177"/>
      <c r="O2" s="177"/>
      <c r="P2" s="177"/>
      <c r="Q2" s="177"/>
      <c r="R2" s="177"/>
      <c r="S2" s="177"/>
      <c r="T2" s="177"/>
      <c r="U2" s="177"/>
      <c r="V2" s="5"/>
    </row>
    <row r="3" spans="1:22" ht="15.6" x14ac:dyDescent="0.3">
      <c r="A3" s="178"/>
      <c r="B3" s="179" t="s">
        <v>229</v>
      </c>
      <c r="C3" s="177"/>
      <c r="D3" s="177"/>
      <c r="E3" s="177"/>
      <c r="F3" s="177"/>
      <c r="G3" s="177"/>
      <c r="H3" s="177"/>
      <c r="I3" s="177"/>
      <c r="J3" s="177"/>
      <c r="K3" s="177"/>
      <c r="L3" s="177"/>
      <c r="M3" s="177"/>
      <c r="N3" s="177"/>
      <c r="O3" s="177"/>
      <c r="P3" s="177"/>
      <c r="Q3" s="177"/>
      <c r="R3" s="177"/>
      <c r="S3" s="177"/>
      <c r="T3" s="177"/>
      <c r="U3" s="177"/>
      <c r="V3" s="5"/>
    </row>
    <row r="4" spans="1:22" ht="15.6" x14ac:dyDescent="0.3">
      <c r="A4" s="175"/>
      <c r="B4" s="176"/>
      <c r="C4" s="177"/>
      <c r="D4" s="177"/>
      <c r="E4" s="177"/>
      <c r="F4" s="177"/>
      <c r="G4" s="177"/>
      <c r="H4" s="177"/>
      <c r="I4" s="177"/>
      <c r="J4" s="177"/>
      <c r="K4" s="177"/>
      <c r="L4" s="177"/>
      <c r="M4" s="177"/>
      <c r="N4" s="177"/>
      <c r="O4" s="177"/>
      <c r="P4" s="177"/>
      <c r="Q4" s="177"/>
      <c r="R4" s="177"/>
      <c r="S4" s="177"/>
      <c r="T4" s="177"/>
      <c r="U4" s="177"/>
      <c r="V4" s="5"/>
    </row>
    <row r="5" spans="1:22" ht="15.6" x14ac:dyDescent="0.3">
      <c r="A5" s="175"/>
      <c r="B5" s="229" t="s">
        <v>143</v>
      </c>
      <c r="C5" s="177"/>
      <c r="D5" s="177"/>
      <c r="E5" s="177"/>
      <c r="F5" s="177"/>
      <c r="G5" s="177"/>
      <c r="H5" s="177"/>
      <c r="I5" s="177"/>
      <c r="J5" s="177"/>
      <c r="K5" s="177"/>
      <c r="L5" s="177"/>
      <c r="M5" s="177"/>
      <c r="N5" s="177"/>
      <c r="O5" s="177"/>
      <c r="P5" s="177"/>
      <c r="Q5" s="177"/>
      <c r="R5" s="177"/>
      <c r="S5" s="177"/>
      <c r="T5" s="177"/>
      <c r="U5" s="177"/>
      <c r="V5" s="5"/>
    </row>
    <row r="6" spans="1:22" ht="15.6" x14ac:dyDescent="0.3">
      <c r="A6" s="175"/>
      <c r="B6" s="229" t="s">
        <v>145</v>
      </c>
      <c r="C6" s="177"/>
      <c r="D6" s="177"/>
      <c r="E6" s="177"/>
      <c r="F6" s="177"/>
      <c r="G6" s="177"/>
      <c r="H6" s="177"/>
      <c r="I6" s="177"/>
      <c r="J6" s="177"/>
      <c r="K6" s="177"/>
      <c r="L6" s="177"/>
      <c r="M6" s="177"/>
      <c r="N6" s="177"/>
      <c r="O6" s="177"/>
      <c r="P6" s="177"/>
      <c r="Q6" s="177"/>
      <c r="R6" s="177"/>
      <c r="S6" s="177"/>
      <c r="T6" s="177"/>
      <c r="U6" s="177"/>
      <c r="V6" s="5"/>
    </row>
    <row r="7" spans="1:22" ht="15.6" x14ac:dyDescent="0.3">
      <c r="A7" s="175"/>
      <c r="B7" s="229" t="s">
        <v>144</v>
      </c>
      <c r="C7" s="177"/>
      <c r="D7" s="177"/>
      <c r="E7" s="177"/>
      <c r="F7" s="177"/>
      <c r="G7" s="177"/>
      <c r="H7" s="177"/>
      <c r="I7" s="177"/>
      <c r="J7" s="177"/>
      <c r="K7" s="177"/>
      <c r="L7" s="177"/>
      <c r="M7" s="177"/>
      <c r="N7" s="177"/>
      <c r="O7" s="177"/>
      <c r="P7" s="177"/>
      <c r="Q7" s="177"/>
      <c r="R7" s="177"/>
      <c r="S7" s="177"/>
      <c r="T7" s="177"/>
      <c r="U7" s="177"/>
      <c r="V7" s="5"/>
    </row>
    <row r="8" spans="1:22" ht="15.6" x14ac:dyDescent="0.3">
      <c r="A8" s="175"/>
      <c r="B8" s="180"/>
      <c r="C8" s="177"/>
      <c r="D8" s="177"/>
      <c r="E8" s="177"/>
      <c r="F8" s="177"/>
      <c r="G8" s="177"/>
      <c r="H8" s="177"/>
      <c r="I8" s="177"/>
      <c r="J8" s="177"/>
      <c r="K8" s="177"/>
      <c r="L8" s="177"/>
      <c r="M8" s="177"/>
      <c r="N8" s="177"/>
      <c r="O8" s="177"/>
      <c r="P8" s="177"/>
      <c r="Q8" s="177"/>
      <c r="R8" s="177"/>
      <c r="S8" s="177"/>
      <c r="T8" s="177"/>
      <c r="U8" s="177"/>
      <c r="V8" s="5"/>
    </row>
    <row r="9" spans="1:22" ht="17.399999999999999" x14ac:dyDescent="0.3">
      <c r="A9" s="175"/>
      <c r="B9" s="181" t="s">
        <v>173</v>
      </c>
      <c r="C9" s="177"/>
      <c r="D9" s="177"/>
      <c r="E9" s="177"/>
      <c r="F9" s="177"/>
      <c r="G9" s="177"/>
      <c r="H9" s="177"/>
      <c r="I9" s="177"/>
      <c r="J9" s="182" t="s">
        <v>174</v>
      </c>
      <c r="K9" s="177"/>
      <c r="L9" s="182"/>
      <c r="M9" s="177"/>
      <c r="N9" s="177"/>
      <c r="O9" s="177"/>
      <c r="P9" s="177"/>
      <c r="Q9" s="177"/>
      <c r="R9" s="177"/>
      <c r="S9" s="177"/>
      <c r="T9" s="177"/>
      <c r="U9" s="177"/>
      <c r="V9" s="5"/>
    </row>
    <row r="10" spans="1:22" ht="15.6" x14ac:dyDescent="0.3">
      <c r="A10" s="175"/>
      <c r="B10" s="180"/>
      <c r="C10" s="183"/>
      <c r="D10" s="183"/>
      <c r="E10" s="183"/>
      <c r="F10" s="177"/>
      <c r="G10" s="177"/>
      <c r="H10" s="177"/>
      <c r="I10" s="177"/>
      <c r="J10" s="177"/>
      <c r="K10" s="177"/>
      <c r="L10" s="177"/>
      <c r="M10" s="177"/>
      <c r="N10" s="177"/>
      <c r="O10" s="177"/>
      <c r="P10" s="177"/>
      <c r="Q10" s="177"/>
      <c r="R10" s="177"/>
      <c r="S10" s="177"/>
      <c r="T10" s="177"/>
      <c r="U10" s="177"/>
      <c r="V10" s="5"/>
    </row>
    <row r="11" spans="1:22" ht="15.6" x14ac:dyDescent="0.3">
      <c r="A11" s="175"/>
      <c r="B11" s="230" t="s">
        <v>0</v>
      </c>
      <c r="C11" s="177"/>
      <c r="D11" s="177"/>
      <c r="E11" s="177"/>
      <c r="F11" s="177"/>
      <c r="G11" s="177"/>
      <c r="H11" s="177"/>
      <c r="I11" s="177"/>
      <c r="J11" s="177"/>
      <c r="K11" s="177"/>
      <c r="L11" s="177"/>
      <c r="M11" s="177"/>
      <c r="N11" s="177"/>
      <c r="O11" s="177"/>
      <c r="P11" s="177"/>
      <c r="Q11" s="177"/>
      <c r="R11" s="177"/>
      <c r="S11" s="177"/>
      <c r="T11" s="177"/>
      <c r="U11" s="177"/>
      <c r="V11" s="5"/>
    </row>
    <row r="12" spans="1:22" ht="16.2" thickBot="1" x14ac:dyDescent="0.35">
      <c r="A12" s="175"/>
      <c r="B12" s="183"/>
      <c r="C12" s="177"/>
      <c r="D12" s="177"/>
      <c r="E12" s="177"/>
      <c r="F12" s="177"/>
      <c r="G12" s="177"/>
      <c r="H12" s="177"/>
      <c r="I12" s="177"/>
      <c r="J12" s="177"/>
      <c r="K12" s="177"/>
      <c r="L12" s="177"/>
      <c r="M12" s="177"/>
      <c r="N12" s="177"/>
      <c r="O12" s="177"/>
      <c r="P12" s="177"/>
      <c r="Q12" s="177"/>
      <c r="R12" s="177"/>
      <c r="S12" s="177"/>
      <c r="T12" s="177"/>
      <c r="U12" s="177"/>
      <c r="V12" s="5"/>
    </row>
    <row r="13" spans="1:22" ht="15.6" x14ac:dyDescent="0.3">
      <c r="A13" s="173"/>
      <c r="B13" s="174"/>
      <c r="C13" s="174"/>
      <c r="D13" s="174"/>
      <c r="E13" s="174"/>
      <c r="F13" s="174"/>
      <c r="G13" s="174"/>
      <c r="H13" s="174"/>
      <c r="I13" s="174"/>
      <c r="J13" s="174"/>
      <c r="K13" s="174"/>
      <c r="L13" s="174"/>
      <c r="M13" s="174"/>
      <c r="N13" s="174"/>
      <c r="O13" s="174"/>
      <c r="P13" s="174"/>
      <c r="Q13" s="174"/>
      <c r="R13" s="174"/>
      <c r="S13" s="174"/>
      <c r="T13" s="174"/>
      <c r="U13" s="174"/>
      <c r="V13" s="5"/>
    </row>
    <row r="14" spans="1:22" ht="15.6" x14ac:dyDescent="0.3">
      <c r="A14" s="175"/>
      <c r="B14" s="230" t="s">
        <v>1</v>
      </c>
      <c r="C14" s="184"/>
      <c r="D14" s="184"/>
      <c r="E14" s="184"/>
      <c r="F14" s="184"/>
      <c r="G14" s="184"/>
      <c r="H14" s="184"/>
      <c r="I14" s="184"/>
      <c r="J14" s="184"/>
      <c r="K14" s="184"/>
      <c r="L14" s="184"/>
      <c r="M14" s="184"/>
      <c r="N14" s="184"/>
      <c r="O14" s="184"/>
      <c r="P14" s="231"/>
      <c r="Q14" s="231"/>
      <c r="R14" s="231"/>
      <c r="S14" s="231"/>
      <c r="T14" s="233" t="s">
        <v>230</v>
      </c>
      <c r="U14" s="184"/>
      <c r="V14" s="5"/>
    </row>
    <row r="15" spans="1:22" ht="15.6" x14ac:dyDescent="0.3">
      <c r="A15" s="175"/>
      <c r="B15" s="230" t="s">
        <v>2</v>
      </c>
      <c r="C15" s="184"/>
      <c r="D15" s="184"/>
      <c r="E15" s="184"/>
      <c r="F15" s="184"/>
      <c r="G15" s="184"/>
      <c r="H15" s="185"/>
      <c r="I15" s="185"/>
      <c r="J15" s="185"/>
      <c r="K15" s="185"/>
      <c r="L15" s="185"/>
      <c r="M15" s="185"/>
      <c r="N15" s="185"/>
      <c r="O15" s="185"/>
      <c r="P15" s="234" t="s">
        <v>107</v>
      </c>
      <c r="Q15" s="235">
        <v>0.40749999999999997</v>
      </c>
      <c r="R15" s="236" t="s">
        <v>146</v>
      </c>
      <c r="S15" s="235">
        <v>0.59250000000000003</v>
      </c>
      <c r="T15" s="233"/>
      <c r="U15" s="184"/>
      <c r="V15" s="5"/>
    </row>
    <row r="16" spans="1:22" ht="15.6" x14ac:dyDescent="0.3">
      <c r="A16" s="175"/>
      <c r="B16" s="230" t="s">
        <v>3</v>
      </c>
      <c r="C16" s="184"/>
      <c r="D16" s="184"/>
      <c r="E16" s="184"/>
      <c r="F16" s="184"/>
      <c r="G16" s="184"/>
      <c r="H16" s="185"/>
      <c r="I16" s="185"/>
      <c r="J16" s="185"/>
      <c r="K16" s="185"/>
      <c r="L16" s="185"/>
      <c r="M16" s="185"/>
      <c r="N16" s="185"/>
      <c r="O16" s="185"/>
      <c r="P16" s="234" t="s">
        <v>107</v>
      </c>
      <c r="Q16" s="235">
        <v>0.48559999999999998</v>
      </c>
      <c r="R16" s="236" t="s">
        <v>146</v>
      </c>
      <c r="S16" s="235">
        <v>0.51439999999999997</v>
      </c>
      <c r="T16" s="233"/>
      <c r="U16" s="184"/>
      <c r="V16" s="5"/>
    </row>
    <row r="17" spans="1:22" ht="15.6" x14ac:dyDescent="0.3">
      <c r="A17" s="175"/>
      <c r="B17" s="230" t="s">
        <v>4</v>
      </c>
      <c r="C17" s="184"/>
      <c r="D17" s="184"/>
      <c r="E17" s="184"/>
      <c r="F17" s="184"/>
      <c r="G17" s="184"/>
      <c r="H17" s="184"/>
      <c r="I17" s="184"/>
      <c r="J17" s="184"/>
      <c r="K17" s="184"/>
      <c r="L17" s="184"/>
      <c r="M17" s="184"/>
      <c r="N17" s="184"/>
      <c r="O17" s="184"/>
      <c r="P17" s="231"/>
      <c r="Q17" s="231"/>
      <c r="R17" s="231"/>
      <c r="S17" s="231"/>
      <c r="T17" s="237">
        <v>38799</v>
      </c>
      <c r="U17" s="184"/>
      <c r="V17" s="5"/>
    </row>
    <row r="18" spans="1:22" ht="15.6" x14ac:dyDescent="0.3">
      <c r="A18" s="175"/>
      <c r="B18" s="230" t="s">
        <v>5</v>
      </c>
      <c r="C18" s="184"/>
      <c r="D18" s="184"/>
      <c r="E18" s="184"/>
      <c r="F18" s="184"/>
      <c r="G18" s="184"/>
      <c r="H18" s="184"/>
      <c r="I18" s="184"/>
      <c r="J18" s="184"/>
      <c r="K18" s="184"/>
      <c r="L18" s="184"/>
      <c r="M18" s="184"/>
      <c r="N18" s="184"/>
      <c r="O18" s="184"/>
      <c r="P18" s="231"/>
      <c r="Q18" s="231"/>
      <c r="R18" s="231"/>
      <c r="S18" s="231"/>
      <c r="T18" s="237">
        <v>42845</v>
      </c>
      <c r="U18" s="184"/>
      <c r="V18" s="5"/>
    </row>
    <row r="19" spans="1:22" ht="15.6" x14ac:dyDescent="0.3">
      <c r="A19" s="175"/>
      <c r="B19" s="177"/>
      <c r="C19" s="177"/>
      <c r="D19" s="177"/>
      <c r="E19" s="177"/>
      <c r="F19" s="177"/>
      <c r="G19" s="177"/>
      <c r="H19" s="177"/>
      <c r="I19" s="177"/>
      <c r="J19" s="177"/>
      <c r="K19" s="177"/>
      <c r="L19" s="177"/>
      <c r="M19" s="177"/>
      <c r="N19" s="177"/>
      <c r="O19" s="177"/>
      <c r="P19" s="177"/>
      <c r="Q19" s="177"/>
      <c r="R19" s="177"/>
      <c r="S19" s="177"/>
      <c r="T19" s="186"/>
      <c r="U19" s="177"/>
      <c r="V19" s="5"/>
    </row>
    <row r="20" spans="1:22" ht="15.6" x14ac:dyDescent="0.3">
      <c r="A20" s="175"/>
      <c r="B20" s="232" t="s">
        <v>6</v>
      </c>
      <c r="C20" s="177"/>
      <c r="D20" s="177"/>
      <c r="E20" s="177"/>
      <c r="F20" s="177"/>
      <c r="G20" s="177"/>
      <c r="H20" s="177"/>
      <c r="I20" s="177"/>
      <c r="J20" s="177"/>
      <c r="K20" s="177"/>
      <c r="L20" s="177"/>
      <c r="M20" s="177"/>
      <c r="N20" s="177"/>
      <c r="O20" s="177"/>
      <c r="P20" s="177"/>
      <c r="Q20" s="177"/>
      <c r="R20" s="238" t="s">
        <v>108</v>
      </c>
      <c r="S20" s="177"/>
      <c r="T20" s="188"/>
      <c r="U20" s="177"/>
      <c r="V20" s="5"/>
    </row>
    <row r="21" spans="1:22" ht="15.6" x14ac:dyDescent="0.3">
      <c r="A21" s="175"/>
      <c r="B21" s="177"/>
      <c r="C21" s="177"/>
      <c r="D21" s="177"/>
      <c r="E21" s="177"/>
      <c r="F21" s="177"/>
      <c r="G21" s="177"/>
      <c r="H21" s="177"/>
      <c r="I21" s="177"/>
      <c r="J21" s="177"/>
      <c r="K21" s="177"/>
      <c r="L21" s="177"/>
      <c r="M21" s="177"/>
      <c r="N21" s="177"/>
      <c r="O21" s="177"/>
      <c r="P21" s="177"/>
      <c r="Q21" s="177"/>
      <c r="R21" s="177"/>
      <c r="S21" s="177"/>
      <c r="T21" s="189"/>
      <c r="U21" s="177"/>
      <c r="V21" s="5"/>
    </row>
    <row r="22" spans="1:22" ht="15.6" x14ac:dyDescent="0.3">
      <c r="A22" s="222"/>
      <c r="B22" s="223"/>
      <c r="C22" s="224"/>
      <c r="D22" s="224" t="s">
        <v>184</v>
      </c>
      <c r="E22" s="224"/>
      <c r="F22" s="224" t="s">
        <v>185</v>
      </c>
      <c r="G22" s="224"/>
      <c r="H22" s="224" t="s">
        <v>186</v>
      </c>
      <c r="I22" s="224"/>
      <c r="J22" s="224" t="s">
        <v>187</v>
      </c>
      <c r="K22" s="224"/>
      <c r="L22" s="224" t="s">
        <v>188</v>
      </c>
      <c r="M22" s="224"/>
      <c r="N22" s="224" t="s">
        <v>189</v>
      </c>
      <c r="O22" s="224"/>
      <c r="P22" s="224"/>
      <c r="Q22" s="226"/>
      <c r="R22" s="226"/>
      <c r="S22" s="227"/>
      <c r="T22" s="227"/>
      <c r="U22" s="223"/>
      <c r="V22" s="5"/>
    </row>
    <row r="23" spans="1:22" ht="15.6" x14ac:dyDescent="0.3">
      <c r="A23" s="190"/>
      <c r="B23" s="239" t="s">
        <v>7</v>
      </c>
      <c r="C23" s="240"/>
      <c r="D23" s="240" t="s">
        <v>222</v>
      </c>
      <c r="E23" s="240"/>
      <c r="F23" s="240" t="s">
        <v>147</v>
      </c>
      <c r="G23" s="240"/>
      <c r="H23" s="240" t="s">
        <v>147</v>
      </c>
      <c r="I23" s="240"/>
      <c r="J23" s="240" t="s">
        <v>190</v>
      </c>
      <c r="K23" s="240"/>
      <c r="L23" s="240" t="s">
        <v>190</v>
      </c>
      <c r="M23" s="240"/>
      <c r="N23" s="240" t="s">
        <v>148</v>
      </c>
      <c r="O23" s="240"/>
      <c r="P23" s="240"/>
      <c r="Q23" s="240"/>
      <c r="R23" s="240"/>
      <c r="S23" s="241"/>
      <c r="T23" s="241"/>
      <c r="U23" s="239"/>
      <c r="V23" s="5"/>
    </row>
    <row r="24" spans="1:22" ht="15.6" x14ac:dyDescent="0.3">
      <c r="A24" s="284"/>
      <c r="B24" s="285" t="s">
        <v>8</v>
      </c>
      <c r="C24" s="286"/>
      <c r="D24" s="286" t="s">
        <v>223</v>
      </c>
      <c r="E24" s="286"/>
      <c r="F24" s="286" t="s">
        <v>149</v>
      </c>
      <c r="G24" s="286"/>
      <c r="H24" s="286" t="s">
        <v>149</v>
      </c>
      <c r="I24" s="286"/>
      <c r="J24" s="286" t="s">
        <v>172</v>
      </c>
      <c r="K24" s="286"/>
      <c r="L24" s="286" t="s">
        <v>172</v>
      </c>
      <c r="M24" s="286"/>
      <c r="N24" s="286" t="s">
        <v>150</v>
      </c>
      <c r="O24" s="286"/>
      <c r="P24" s="286"/>
      <c r="Q24" s="286"/>
      <c r="R24" s="286"/>
      <c r="S24" s="287"/>
      <c r="T24" s="287"/>
      <c r="U24" s="288"/>
      <c r="V24" s="5"/>
    </row>
    <row r="25" spans="1:22" ht="15.6" x14ac:dyDescent="0.3">
      <c r="A25" s="289"/>
      <c r="B25" s="285" t="s">
        <v>198</v>
      </c>
      <c r="C25" s="394"/>
      <c r="D25" s="286" t="s">
        <v>224</v>
      </c>
      <c r="E25" s="286"/>
      <c r="F25" s="286" t="s">
        <v>149</v>
      </c>
      <c r="G25" s="286"/>
      <c r="H25" s="286" t="s">
        <v>149</v>
      </c>
      <c r="I25" s="286"/>
      <c r="J25" s="286" t="s">
        <v>172</v>
      </c>
      <c r="K25" s="286"/>
      <c r="L25" s="286" t="s">
        <v>172</v>
      </c>
      <c r="M25" s="286"/>
      <c r="N25" s="286" t="s">
        <v>150</v>
      </c>
      <c r="O25" s="286"/>
      <c r="P25" s="286"/>
      <c r="Q25" s="394"/>
      <c r="R25" s="286"/>
      <c r="S25" s="287"/>
      <c r="T25" s="287"/>
      <c r="U25" s="288"/>
      <c r="V25" s="5"/>
    </row>
    <row r="26" spans="1:22" ht="15.6" x14ac:dyDescent="0.3">
      <c r="A26" s="289"/>
      <c r="B26" s="292" t="s">
        <v>9</v>
      </c>
      <c r="C26" s="394"/>
      <c r="D26" s="394" t="s">
        <v>147</v>
      </c>
      <c r="E26" s="394"/>
      <c r="F26" s="394" t="s">
        <v>147</v>
      </c>
      <c r="G26" s="394"/>
      <c r="H26" s="394" t="s">
        <v>147</v>
      </c>
      <c r="I26" s="394"/>
      <c r="J26" s="394" t="s">
        <v>190</v>
      </c>
      <c r="K26" s="394"/>
      <c r="L26" s="394" t="s">
        <v>190</v>
      </c>
      <c r="M26" s="394"/>
      <c r="N26" s="394" t="s">
        <v>148</v>
      </c>
      <c r="O26" s="394"/>
      <c r="P26" s="394"/>
      <c r="Q26" s="394"/>
      <c r="R26" s="286"/>
      <c r="S26" s="287"/>
      <c r="T26" s="287"/>
      <c r="U26" s="288"/>
      <c r="V26" s="5"/>
    </row>
    <row r="27" spans="1:22" ht="15.6" x14ac:dyDescent="0.3">
      <c r="A27" s="284"/>
      <c r="B27" s="292" t="s">
        <v>199</v>
      </c>
      <c r="C27" s="286"/>
      <c r="D27" s="394" t="s">
        <v>149</v>
      </c>
      <c r="E27" s="394"/>
      <c r="F27" s="394" t="s">
        <v>149</v>
      </c>
      <c r="G27" s="394"/>
      <c r="H27" s="394" t="s">
        <v>149</v>
      </c>
      <c r="I27" s="394"/>
      <c r="J27" s="394" t="s">
        <v>345</v>
      </c>
      <c r="K27" s="394"/>
      <c r="L27" s="394" t="s">
        <v>345</v>
      </c>
      <c r="M27" s="394"/>
      <c r="N27" s="394" t="s">
        <v>346</v>
      </c>
      <c r="O27" s="394"/>
      <c r="P27" s="394"/>
      <c r="Q27" s="286"/>
      <c r="R27" s="293"/>
      <c r="S27" s="287"/>
      <c r="T27" s="287"/>
      <c r="U27" s="288"/>
      <c r="V27" s="5"/>
    </row>
    <row r="28" spans="1:22" ht="15.6" x14ac:dyDescent="0.3">
      <c r="A28" s="284"/>
      <c r="B28" s="292" t="s">
        <v>200</v>
      </c>
      <c r="C28" s="286"/>
      <c r="D28" s="394" t="s">
        <v>149</v>
      </c>
      <c r="E28" s="394"/>
      <c r="F28" s="394" t="s">
        <v>149</v>
      </c>
      <c r="G28" s="394"/>
      <c r="H28" s="394" t="s">
        <v>149</v>
      </c>
      <c r="I28" s="394"/>
      <c r="J28" s="394" t="s">
        <v>149</v>
      </c>
      <c r="K28" s="394"/>
      <c r="L28" s="394" t="s">
        <v>149</v>
      </c>
      <c r="M28" s="394"/>
      <c r="N28" s="394" t="s">
        <v>150</v>
      </c>
      <c r="O28" s="394"/>
      <c r="P28" s="394"/>
      <c r="Q28" s="286"/>
      <c r="R28" s="293"/>
      <c r="S28" s="287"/>
      <c r="T28" s="287"/>
      <c r="U28" s="288"/>
      <c r="V28" s="5"/>
    </row>
    <row r="29" spans="1:22" ht="15.6" x14ac:dyDescent="0.3">
      <c r="A29" s="284"/>
      <c r="B29" s="285" t="s">
        <v>10</v>
      </c>
      <c r="C29" s="295"/>
      <c r="D29" s="286" t="s">
        <v>237</v>
      </c>
      <c r="E29" s="286"/>
      <c r="F29" s="293" t="s">
        <v>238</v>
      </c>
      <c r="G29" s="286"/>
      <c r="H29" s="286" t="s">
        <v>239</v>
      </c>
      <c r="I29" s="286"/>
      <c r="J29" s="286" t="s">
        <v>240</v>
      </c>
      <c r="K29" s="286"/>
      <c r="L29" s="286" t="s">
        <v>241</v>
      </c>
      <c r="M29" s="286"/>
      <c r="N29" s="286" t="s">
        <v>242</v>
      </c>
      <c r="O29" s="286"/>
      <c r="P29" s="286"/>
      <c r="Q29" s="296"/>
      <c r="R29" s="296"/>
      <c r="S29" s="297"/>
      <c r="T29" s="296"/>
      <c r="U29" s="298"/>
      <c r="V29" s="5"/>
    </row>
    <row r="30" spans="1:22" ht="15.6" x14ac:dyDescent="0.3">
      <c r="A30" s="284"/>
      <c r="B30" s="285" t="s">
        <v>10</v>
      </c>
      <c r="C30" s="295"/>
      <c r="D30" s="286" t="s">
        <v>236</v>
      </c>
      <c r="E30" s="286"/>
      <c r="F30" s="293" t="s">
        <v>124</v>
      </c>
      <c r="G30" s="286"/>
      <c r="H30" s="286" t="s">
        <v>124</v>
      </c>
      <c r="I30" s="286"/>
      <c r="J30" s="286" t="s">
        <v>124</v>
      </c>
      <c r="K30" s="286"/>
      <c r="L30" s="286" t="s">
        <v>124</v>
      </c>
      <c r="M30" s="286"/>
      <c r="N30" s="286" t="s">
        <v>124</v>
      </c>
      <c r="O30" s="286"/>
      <c r="P30" s="286"/>
      <c r="Q30" s="296"/>
      <c r="R30" s="296"/>
      <c r="S30" s="297"/>
      <c r="T30" s="296"/>
      <c r="U30" s="298"/>
      <c r="V30" s="5"/>
    </row>
    <row r="31" spans="1:22" ht="15.6" x14ac:dyDescent="0.3">
      <c r="A31" s="289"/>
      <c r="B31" s="285" t="s">
        <v>139</v>
      </c>
      <c r="C31" s="299"/>
      <c r="D31" s="300">
        <v>985000</v>
      </c>
      <c r="E31" s="295"/>
      <c r="F31" s="296">
        <v>149500</v>
      </c>
      <c r="G31" s="296"/>
      <c r="H31" s="301">
        <v>219700</v>
      </c>
      <c r="I31" s="296"/>
      <c r="J31" s="296">
        <v>16000</v>
      </c>
      <c r="K31" s="296"/>
      <c r="L31" s="301">
        <v>82400</v>
      </c>
      <c r="M31" s="296"/>
      <c r="N31" s="301">
        <v>87500</v>
      </c>
      <c r="O31" s="296"/>
      <c r="P31" s="301"/>
      <c r="Q31" s="302"/>
      <c r="R31" s="302"/>
      <c r="S31" s="303"/>
      <c r="T31" s="302"/>
      <c r="U31" s="298"/>
      <c r="V31" s="5"/>
    </row>
    <row r="32" spans="1:22" ht="15.6" x14ac:dyDescent="0.3">
      <c r="A32" s="284"/>
      <c r="B32" s="285" t="s">
        <v>138</v>
      </c>
      <c r="C32" s="295"/>
      <c r="D32" s="408">
        <f>D38*D34</f>
        <v>215320.4490582</v>
      </c>
      <c r="E32" s="295"/>
      <c r="F32" s="296">
        <f>F38*F31</f>
        <v>56745.266499999998</v>
      </c>
      <c r="G32" s="296"/>
      <c r="H32" s="301">
        <f>H38*H31</f>
        <v>83390.869899999991</v>
      </c>
      <c r="I32" s="296"/>
      <c r="J32" s="296">
        <f>J31*J38</f>
        <v>14403.6384</v>
      </c>
      <c r="K32" s="296"/>
      <c r="L32" s="301">
        <f>L31*L38</f>
        <v>74178.737760000004</v>
      </c>
      <c r="M32" s="296"/>
      <c r="N32" s="301">
        <f>N31*N38</f>
        <v>78769.897500000006</v>
      </c>
      <c r="O32" s="296"/>
      <c r="P32" s="301"/>
      <c r="Q32" s="296"/>
      <c r="R32" s="296"/>
      <c r="S32" s="297"/>
      <c r="T32" s="296"/>
      <c r="U32" s="298"/>
      <c r="V32" s="5"/>
    </row>
    <row r="33" spans="1:23" ht="15.6" x14ac:dyDescent="0.3">
      <c r="A33" s="284"/>
      <c r="B33" s="292" t="s">
        <v>140</v>
      </c>
      <c r="C33" s="295"/>
      <c r="D33" s="409">
        <f>D37*D34</f>
        <v>211775.78748120001</v>
      </c>
      <c r="E33" s="299"/>
      <c r="F33" s="302">
        <f>F37*F31</f>
        <v>55811.130700000002</v>
      </c>
      <c r="G33" s="302"/>
      <c r="H33" s="305">
        <f>H31*H37</f>
        <v>82018.096420000002</v>
      </c>
      <c r="I33" s="302"/>
      <c r="J33" s="302">
        <f>J31*J37</f>
        <v>14166.5216</v>
      </c>
      <c r="K33" s="302"/>
      <c r="L33" s="305">
        <f>L31*L37</f>
        <v>72957.58623999999</v>
      </c>
      <c r="M33" s="302"/>
      <c r="N33" s="305">
        <f>N31*N37</f>
        <v>77473.164999999994</v>
      </c>
      <c r="O33" s="302"/>
      <c r="P33" s="305"/>
      <c r="Q33" s="296"/>
      <c r="R33" s="296"/>
      <c r="S33" s="297"/>
      <c r="T33" s="296"/>
      <c r="U33" s="298"/>
      <c r="V33" s="5"/>
    </row>
    <row r="34" spans="1:23" ht="15.6" x14ac:dyDescent="0.3">
      <c r="A34" s="289"/>
      <c r="B34" s="285" t="s">
        <v>283</v>
      </c>
      <c r="C34" s="299"/>
      <c r="D34" s="296">
        <v>567282</v>
      </c>
      <c r="E34" s="295"/>
      <c r="F34" s="296">
        <v>149500</v>
      </c>
      <c r="G34" s="296"/>
      <c r="H34" s="296">
        <v>150716</v>
      </c>
      <c r="I34" s="296"/>
      <c r="J34" s="296">
        <v>16000</v>
      </c>
      <c r="K34" s="296"/>
      <c r="L34" s="296">
        <v>56527</v>
      </c>
      <c r="M34" s="296"/>
      <c r="N34" s="296">
        <v>60025</v>
      </c>
      <c r="O34" s="296"/>
      <c r="P34" s="296"/>
      <c r="Q34" s="302"/>
      <c r="R34" s="302"/>
      <c r="S34" s="303"/>
      <c r="T34" s="296">
        <f>SUM(C34:P34)</f>
        <v>1000050</v>
      </c>
      <c r="U34" s="298"/>
      <c r="V34" s="5"/>
    </row>
    <row r="35" spans="1:23" ht="15.6" x14ac:dyDescent="0.3">
      <c r="A35" s="289"/>
      <c r="B35" s="285" t="s">
        <v>284</v>
      </c>
      <c r="C35" s="299"/>
      <c r="D35" s="296">
        <f>D38*D34</f>
        <v>215320.4490582</v>
      </c>
      <c r="E35" s="295"/>
      <c r="F35" s="296">
        <f>F38*F34</f>
        <v>56745.266499999998</v>
      </c>
      <c r="G35" s="296"/>
      <c r="H35" s="296">
        <f>H38*H34</f>
        <v>57206.819971999998</v>
      </c>
      <c r="I35" s="296"/>
      <c r="J35" s="296">
        <f>J34*J38</f>
        <v>14403.6384</v>
      </c>
      <c r="K35" s="296"/>
      <c r="L35" s="296">
        <f>L34*L38</f>
        <v>50887.154239800002</v>
      </c>
      <c r="M35" s="296"/>
      <c r="N35" s="296">
        <f>N34*N38</f>
        <v>54036.149685000004</v>
      </c>
      <c r="O35" s="296"/>
      <c r="P35" s="296"/>
      <c r="Q35" s="296"/>
      <c r="R35" s="296"/>
      <c r="S35" s="297"/>
      <c r="T35" s="296">
        <f>SUM(C35:P35)+1</f>
        <v>448600.477855</v>
      </c>
      <c r="U35" s="298"/>
      <c r="V35" s="5"/>
    </row>
    <row r="36" spans="1:23" ht="15.6" x14ac:dyDescent="0.3">
      <c r="A36" s="289"/>
      <c r="B36" s="292" t="s">
        <v>285</v>
      </c>
      <c r="C36" s="299"/>
      <c r="D36" s="302">
        <f>D37*D34</f>
        <v>211775.78748120001</v>
      </c>
      <c r="E36" s="299"/>
      <c r="F36" s="302">
        <f>F37*F34</f>
        <v>55811.130700000002</v>
      </c>
      <c r="G36" s="302"/>
      <c r="H36" s="302">
        <f>H37*H34</f>
        <v>56265.086117600003</v>
      </c>
      <c r="I36" s="302"/>
      <c r="J36" s="302">
        <f>J37*J34</f>
        <v>14166.5216</v>
      </c>
      <c r="K36" s="302"/>
      <c r="L36" s="302">
        <f>L37*L34</f>
        <v>50049.435405199998</v>
      </c>
      <c r="M36" s="302"/>
      <c r="N36" s="302">
        <f>N37*N34</f>
        <v>53146.591189999999</v>
      </c>
      <c r="O36" s="302"/>
      <c r="P36" s="302"/>
      <c r="Q36" s="327"/>
      <c r="R36" s="327"/>
      <c r="S36" s="297"/>
      <c r="T36" s="302">
        <f>SUM(C36:P36)</f>
        <v>441214.552494</v>
      </c>
      <c r="U36" s="298"/>
      <c r="V36" s="5"/>
    </row>
    <row r="37" spans="1:23" ht="15.6" x14ac:dyDescent="0.3">
      <c r="A37" s="284"/>
      <c r="B37" s="310" t="s">
        <v>136</v>
      </c>
      <c r="C37" s="311"/>
      <c r="D37" s="312">
        <v>0.3733166</v>
      </c>
      <c r="E37" s="313"/>
      <c r="F37" s="312">
        <v>0.3733186</v>
      </c>
      <c r="G37" s="314"/>
      <c r="H37" s="312">
        <v>0.3733186</v>
      </c>
      <c r="I37" s="314"/>
      <c r="J37" s="312">
        <v>0.88540759999999996</v>
      </c>
      <c r="K37" s="314"/>
      <c r="L37" s="312">
        <v>0.88540759999999996</v>
      </c>
      <c r="M37" s="314"/>
      <c r="N37" s="312">
        <v>0.88540759999999996</v>
      </c>
      <c r="O37" s="314"/>
      <c r="P37" s="314"/>
      <c r="Q37" s="315"/>
      <c r="R37" s="315"/>
      <c r="S37" s="316"/>
      <c r="T37" s="316"/>
      <c r="U37" s="317"/>
      <c r="V37" s="5"/>
      <c r="W37" s="410"/>
    </row>
    <row r="38" spans="1:23" ht="15.6" x14ac:dyDescent="0.3">
      <c r="A38" s="284"/>
      <c r="B38" s="310" t="s">
        <v>137</v>
      </c>
      <c r="C38" s="311"/>
      <c r="D38" s="312">
        <v>0.37956509999999999</v>
      </c>
      <c r="E38" s="313"/>
      <c r="F38" s="312">
        <v>0.37956699999999999</v>
      </c>
      <c r="G38" s="314"/>
      <c r="H38" s="312">
        <v>0.37956699999999999</v>
      </c>
      <c r="I38" s="314"/>
      <c r="J38" s="312">
        <v>0.90022740000000001</v>
      </c>
      <c r="K38" s="314"/>
      <c r="L38" s="312">
        <v>0.90022740000000001</v>
      </c>
      <c r="M38" s="314"/>
      <c r="N38" s="312">
        <v>0.90022740000000001</v>
      </c>
      <c r="O38" s="314"/>
      <c r="P38" s="314"/>
      <c r="Q38" s="318"/>
      <c r="R38" s="319"/>
      <c r="S38" s="316"/>
      <c r="T38" s="318"/>
      <c r="U38" s="317"/>
      <c r="V38" s="5"/>
    </row>
    <row r="39" spans="1:23" ht="15.6" x14ac:dyDescent="0.3">
      <c r="A39" s="284"/>
      <c r="B39" s="285" t="s">
        <v>11</v>
      </c>
      <c r="C39" s="285"/>
      <c r="D39" s="293" t="s">
        <v>275</v>
      </c>
      <c r="E39" s="285"/>
      <c r="F39" s="293" t="s">
        <v>232</v>
      </c>
      <c r="G39" s="293"/>
      <c r="H39" s="293" t="s">
        <v>232</v>
      </c>
      <c r="I39" s="293"/>
      <c r="J39" s="293" t="s">
        <v>234</v>
      </c>
      <c r="K39" s="293"/>
      <c r="L39" s="293" t="s">
        <v>234</v>
      </c>
      <c r="M39" s="293"/>
      <c r="N39" s="293" t="s">
        <v>235</v>
      </c>
      <c r="O39" s="293"/>
      <c r="P39" s="293"/>
      <c r="Q39" s="320"/>
      <c r="R39" s="321"/>
      <c r="S39" s="287"/>
      <c r="T39" s="287"/>
      <c r="U39" s="288"/>
      <c r="V39" s="5"/>
    </row>
    <row r="40" spans="1:23" ht="15.6" x14ac:dyDescent="0.3">
      <c r="A40" s="284"/>
      <c r="B40" s="285" t="s">
        <v>12</v>
      </c>
      <c r="C40" s="285"/>
      <c r="D40" s="321">
        <v>4.5849999999999997E-3</v>
      </c>
      <c r="E40" s="285"/>
      <c r="F40" s="321">
        <v>5.9662999999999999E-3</v>
      </c>
      <c r="G40" s="320"/>
      <c r="H40" s="321">
        <v>0</v>
      </c>
      <c r="I40" s="320"/>
      <c r="J40" s="321">
        <v>8.3663000000000001E-3</v>
      </c>
      <c r="K40" s="320"/>
      <c r="L40" s="321">
        <v>1.5299999999999999E-3</v>
      </c>
      <c r="M40" s="320"/>
      <c r="N40" s="321">
        <v>5.7299999999999999E-3</v>
      </c>
      <c r="O40" s="320"/>
      <c r="P40" s="321"/>
      <c r="Q40" s="320"/>
      <c r="R40" s="321"/>
      <c r="S40" s="287"/>
      <c r="T40" s="293"/>
      <c r="U40" s="288"/>
      <c r="V40" s="5"/>
    </row>
    <row r="41" spans="1:23" ht="15.6" x14ac:dyDescent="0.3">
      <c r="A41" s="284"/>
      <c r="B41" s="285" t="s">
        <v>13</v>
      </c>
      <c r="C41" s="285"/>
      <c r="D41" s="321">
        <v>8.0388999999999999E-3</v>
      </c>
      <c r="E41" s="285"/>
      <c r="F41" s="321">
        <v>6.4099999999999999E-3</v>
      </c>
      <c r="G41" s="320"/>
      <c r="H41" s="321">
        <v>0</v>
      </c>
      <c r="I41" s="320"/>
      <c r="J41" s="321">
        <v>8.8100000000000001E-3</v>
      </c>
      <c r="K41" s="320"/>
      <c r="L41" s="321">
        <v>1.6900000000000001E-3</v>
      </c>
      <c r="M41" s="320"/>
      <c r="N41" s="321">
        <v>5.8900000000000003E-3</v>
      </c>
      <c r="O41" s="320"/>
      <c r="P41" s="321"/>
      <c r="Q41" s="320"/>
      <c r="R41" s="321"/>
      <c r="S41" s="287"/>
      <c r="T41" s="320" t="s">
        <v>201</v>
      </c>
      <c r="U41" s="288"/>
      <c r="V41" s="5"/>
    </row>
    <row r="42" spans="1:23" ht="15.6" x14ac:dyDescent="0.3">
      <c r="A42" s="284"/>
      <c r="B42" s="285" t="s">
        <v>286</v>
      </c>
      <c r="C42" s="285"/>
      <c r="D42" s="293" t="s">
        <v>275</v>
      </c>
      <c r="E42" s="285"/>
      <c r="F42" s="293" t="s">
        <v>232</v>
      </c>
      <c r="G42" s="293"/>
      <c r="H42" s="293" t="s">
        <v>232</v>
      </c>
      <c r="I42" s="293"/>
      <c r="J42" s="293" t="s">
        <v>234</v>
      </c>
      <c r="K42" s="293"/>
      <c r="L42" s="293" t="s">
        <v>245</v>
      </c>
      <c r="M42" s="293"/>
      <c r="N42" s="293" t="s">
        <v>247</v>
      </c>
      <c r="O42" s="293"/>
      <c r="P42" s="293"/>
      <c r="Q42" s="320"/>
      <c r="R42" s="321"/>
      <c r="S42" s="287"/>
      <c r="T42" s="287"/>
      <c r="U42" s="288"/>
      <c r="V42" s="5"/>
    </row>
    <row r="43" spans="1:23" ht="15.6" x14ac:dyDescent="0.3">
      <c r="A43" s="284"/>
      <c r="B43" s="285" t="s">
        <v>287</v>
      </c>
      <c r="C43" s="322"/>
      <c r="D43" s="321">
        <f>+D40</f>
        <v>4.5849999999999997E-3</v>
      </c>
      <c r="E43" s="321"/>
      <c r="F43" s="321">
        <f>+F40</f>
        <v>5.9662999999999999E-3</v>
      </c>
      <c r="G43" s="321"/>
      <c r="H43" s="321">
        <v>5.9623000000000002E-3</v>
      </c>
      <c r="I43" s="321"/>
      <c r="J43" s="321">
        <f>+J40</f>
        <v>8.3663000000000001E-3</v>
      </c>
      <c r="K43" s="321"/>
      <c r="L43" s="321">
        <v>8.6723000000000008E-3</v>
      </c>
      <c r="M43" s="321"/>
      <c r="N43" s="321">
        <v>1.3376300000000001E-2</v>
      </c>
      <c r="O43" s="320"/>
      <c r="P43" s="321"/>
      <c r="Q43" s="293"/>
      <c r="R43" s="293"/>
      <c r="S43" s="287"/>
      <c r="T43" s="320">
        <f>SUMPRODUCT(D43:N43,D35:N35)/T35</f>
        <v>6.5793629020945085E-3</v>
      </c>
      <c r="U43" s="288"/>
      <c r="V43" s="5"/>
    </row>
    <row r="44" spans="1:23" ht="15.6" x14ac:dyDescent="0.3">
      <c r="A44" s="284"/>
      <c r="B44" s="285" t="s">
        <v>288</v>
      </c>
      <c r="C44" s="322"/>
      <c r="D44" s="321">
        <v>5.2462000000000003E-3</v>
      </c>
      <c r="E44" s="321"/>
      <c r="F44" s="321">
        <f>+F41</f>
        <v>6.4099999999999999E-3</v>
      </c>
      <c r="G44" s="321"/>
      <c r="H44" s="321">
        <v>6.4060000000000002E-3</v>
      </c>
      <c r="I44" s="321"/>
      <c r="J44" s="321">
        <f>+J41</f>
        <v>8.8100000000000001E-3</v>
      </c>
      <c r="K44" s="321"/>
      <c r="L44" s="321">
        <v>9.1160000000000008E-3</v>
      </c>
      <c r="M44" s="321"/>
      <c r="N44" s="321">
        <v>1.3820000000000001E-2</v>
      </c>
      <c r="O44" s="320"/>
      <c r="P44" s="321"/>
      <c r="Q44" s="293"/>
      <c r="R44" s="293"/>
      <c r="S44" s="287"/>
      <c r="T44" s="287"/>
      <c r="U44" s="288"/>
      <c r="V44" s="5"/>
    </row>
    <row r="45" spans="1:23" ht="15.6" x14ac:dyDescent="0.3">
      <c r="A45" s="284"/>
      <c r="B45" s="285" t="s">
        <v>14</v>
      </c>
      <c r="C45" s="285"/>
      <c r="D45" s="322">
        <v>40283</v>
      </c>
      <c r="E45" s="322"/>
      <c r="F45" s="322">
        <v>40283</v>
      </c>
      <c r="G45" s="322"/>
      <c r="H45" s="322">
        <v>40283</v>
      </c>
      <c r="I45" s="322"/>
      <c r="J45" s="322">
        <v>40283</v>
      </c>
      <c r="K45" s="322"/>
      <c r="L45" s="322">
        <v>40283</v>
      </c>
      <c r="M45" s="322"/>
      <c r="N45" s="322">
        <v>40283</v>
      </c>
      <c r="O45" s="322"/>
      <c r="P45" s="322"/>
      <c r="Q45" s="293"/>
      <c r="R45" s="293"/>
      <c r="S45" s="287"/>
      <c r="T45" s="287"/>
      <c r="U45" s="288"/>
      <c r="V45" s="5"/>
    </row>
    <row r="46" spans="1:23" ht="15.6" x14ac:dyDescent="0.3">
      <c r="A46" s="284"/>
      <c r="B46" s="285" t="s">
        <v>15</v>
      </c>
      <c r="C46" s="285"/>
      <c r="D46" s="322">
        <v>40648</v>
      </c>
      <c r="E46" s="322"/>
      <c r="F46" s="322">
        <v>40648</v>
      </c>
      <c r="G46" s="322"/>
      <c r="H46" s="322">
        <v>40648</v>
      </c>
      <c r="I46" s="293"/>
      <c r="J46" s="322">
        <v>40648</v>
      </c>
      <c r="K46" s="293"/>
      <c r="L46" s="322">
        <v>40648</v>
      </c>
      <c r="M46" s="293"/>
      <c r="N46" s="322">
        <v>40648</v>
      </c>
      <c r="O46" s="293"/>
      <c r="P46" s="322"/>
      <c r="Q46" s="293"/>
      <c r="R46" s="293"/>
      <c r="S46" s="287"/>
      <c r="T46" s="287"/>
      <c r="U46" s="288"/>
      <c r="V46" s="5"/>
    </row>
    <row r="47" spans="1:23" ht="15.6" x14ac:dyDescent="0.3">
      <c r="A47" s="284"/>
      <c r="B47" s="285" t="s">
        <v>125</v>
      </c>
      <c r="C47" s="285"/>
      <c r="D47" s="293" t="s">
        <v>124</v>
      </c>
      <c r="E47" s="285"/>
      <c r="F47" s="293" t="s">
        <v>232</v>
      </c>
      <c r="G47" s="293"/>
      <c r="H47" s="293" t="s">
        <v>232</v>
      </c>
      <c r="I47" s="293"/>
      <c r="J47" s="293" t="s">
        <v>234</v>
      </c>
      <c r="K47" s="293"/>
      <c r="L47" s="293" t="s">
        <v>234</v>
      </c>
      <c r="M47" s="293"/>
      <c r="N47" s="293" t="s">
        <v>235</v>
      </c>
      <c r="O47" s="293"/>
      <c r="P47" s="293"/>
      <c r="Q47" s="324"/>
      <c r="R47" s="324"/>
      <c r="S47" s="324"/>
      <c r="T47" s="324"/>
      <c r="U47" s="288"/>
      <c r="V47" s="5"/>
    </row>
    <row r="48" spans="1:23" ht="15.6" x14ac:dyDescent="0.3">
      <c r="A48" s="284"/>
      <c r="B48" s="285" t="s">
        <v>289</v>
      </c>
      <c r="C48" s="285"/>
      <c r="D48" s="293" t="s">
        <v>124</v>
      </c>
      <c r="E48" s="285"/>
      <c r="F48" s="293" t="s">
        <v>232</v>
      </c>
      <c r="G48" s="293"/>
      <c r="H48" s="293" t="s">
        <v>232</v>
      </c>
      <c r="I48" s="293"/>
      <c r="J48" s="293" t="s">
        <v>234</v>
      </c>
      <c r="K48" s="293"/>
      <c r="L48" s="293" t="s">
        <v>245</v>
      </c>
      <c r="M48" s="293"/>
      <c r="N48" s="293" t="s">
        <v>247</v>
      </c>
      <c r="O48" s="293"/>
      <c r="P48" s="293"/>
      <c r="Q48" s="285"/>
      <c r="R48" s="285"/>
      <c r="S48" s="285"/>
      <c r="T48" s="320"/>
      <c r="U48" s="288"/>
      <c r="V48" s="5"/>
    </row>
    <row r="49" spans="1:23" ht="15.6" x14ac:dyDescent="0.3">
      <c r="A49" s="284"/>
      <c r="B49" s="285"/>
      <c r="C49" s="285"/>
      <c r="D49" s="293"/>
      <c r="E49" s="285"/>
      <c r="F49" s="293"/>
      <c r="G49" s="293"/>
      <c r="H49" s="293"/>
      <c r="I49" s="293"/>
      <c r="J49" s="293"/>
      <c r="K49" s="293"/>
      <c r="L49" s="293"/>
      <c r="M49" s="293"/>
      <c r="N49" s="293"/>
      <c r="O49" s="293"/>
      <c r="P49" s="293"/>
      <c r="Q49" s="285"/>
      <c r="R49" s="285"/>
      <c r="S49" s="285"/>
      <c r="T49" s="320" t="s">
        <v>201</v>
      </c>
      <c r="U49" s="288"/>
      <c r="V49" s="5"/>
    </row>
    <row r="50" spans="1:23" ht="15.6" x14ac:dyDescent="0.3">
      <c r="A50" s="284"/>
      <c r="B50" s="285" t="s">
        <v>176</v>
      </c>
      <c r="C50" s="285"/>
      <c r="D50" s="293"/>
      <c r="E50" s="285"/>
      <c r="F50" s="293"/>
      <c r="G50" s="293"/>
      <c r="H50" s="293"/>
      <c r="I50" s="293"/>
      <c r="J50" s="293"/>
      <c r="K50" s="293"/>
      <c r="L50" s="293"/>
      <c r="M50" s="293"/>
      <c r="N50" s="293"/>
      <c r="O50" s="293"/>
      <c r="P50" s="293"/>
      <c r="Q50" s="285"/>
      <c r="R50" s="285"/>
      <c r="S50" s="285"/>
      <c r="T50" s="320">
        <f>SUM(J34:P34)/SUM(D34:H34)</f>
        <v>0.15279804679664968</v>
      </c>
      <c r="U50" s="288"/>
      <c r="V50" s="5"/>
    </row>
    <row r="51" spans="1:23" ht="15.6" x14ac:dyDescent="0.3">
      <c r="A51" s="284"/>
      <c r="B51" s="285" t="s">
        <v>177</v>
      </c>
      <c r="C51" s="285"/>
      <c r="D51" s="285"/>
      <c r="E51" s="285"/>
      <c r="F51" s="325"/>
      <c r="G51" s="285"/>
      <c r="H51" s="285"/>
      <c r="I51" s="285"/>
      <c r="J51" s="285"/>
      <c r="K51" s="285"/>
      <c r="L51" s="285"/>
      <c r="M51" s="285"/>
      <c r="N51" s="285"/>
      <c r="O51" s="285"/>
      <c r="P51" s="285"/>
      <c r="Q51" s="285"/>
      <c r="R51" s="285"/>
      <c r="S51" s="285"/>
      <c r="T51" s="320">
        <f>SUM(J36:P36)/SUM(D36:H36)</f>
        <v>0.36239562095442884</v>
      </c>
      <c r="U51" s="288"/>
      <c r="V51" s="5"/>
    </row>
    <row r="52" spans="1:23" ht="15.6" x14ac:dyDescent="0.3">
      <c r="A52" s="284"/>
      <c r="B52" s="285" t="s">
        <v>178</v>
      </c>
      <c r="C52" s="285"/>
      <c r="D52" s="285"/>
      <c r="E52" s="285"/>
      <c r="F52" s="285"/>
      <c r="G52" s="285"/>
      <c r="H52" s="285"/>
      <c r="I52" s="285"/>
      <c r="J52" s="285"/>
      <c r="K52" s="285"/>
      <c r="L52" s="285"/>
      <c r="M52" s="285"/>
      <c r="N52" s="285"/>
      <c r="O52" s="285"/>
      <c r="P52" s="285"/>
      <c r="Q52" s="285"/>
      <c r="R52" s="293" t="s">
        <v>109</v>
      </c>
      <c r="S52" s="293" t="s">
        <v>115</v>
      </c>
      <c r="T52" s="296">
        <f>+T34/2-SUM(J34:P34)</f>
        <v>367473</v>
      </c>
      <c r="U52" s="288"/>
      <c r="V52" s="5"/>
    </row>
    <row r="53" spans="1:23" ht="15.6" x14ac:dyDescent="0.3">
      <c r="A53" s="284"/>
      <c r="B53" s="285"/>
      <c r="C53" s="285"/>
      <c r="D53" s="285"/>
      <c r="E53" s="285"/>
      <c r="F53" s="285"/>
      <c r="G53" s="285"/>
      <c r="H53" s="285"/>
      <c r="I53" s="285"/>
      <c r="J53" s="285"/>
      <c r="K53" s="285"/>
      <c r="L53" s="285"/>
      <c r="M53" s="285"/>
      <c r="N53" s="285"/>
      <c r="O53" s="285"/>
      <c r="P53" s="285"/>
      <c r="Q53" s="285"/>
      <c r="R53" s="285"/>
      <c r="S53" s="285"/>
      <c r="T53" s="326"/>
      <c r="U53" s="288"/>
      <c r="V53" s="5"/>
    </row>
    <row r="54" spans="1:23" ht="15.6" x14ac:dyDescent="0.3">
      <c r="A54" s="284"/>
      <c r="B54" s="285" t="s">
        <v>342</v>
      </c>
      <c r="C54" s="285"/>
      <c r="D54" s="285"/>
      <c r="E54" s="285"/>
      <c r="F54" s="285"/>
      <c r="G54" s="285"/>
      <c r="H54" s="285"/>
      <c r="I54" s="285"/>
      <c r="J54" s="285"/>
      <c r="K54" s="285"/>
      <c r="L54" s="285"/>
      <c r="M54" s="285"/>
      <c r="N54" s="285"/>
      <c r="O54" s="285"/>
      <c r="P54" s="285"/>
      <c r="Q54" s="285"/>
      <c r="R54" s="293"/>
      <c r="S54" s="293"/>
      <c r="T54" s="328" t="s">
        <v>117</v>
      </c>
      <c r="U54" s="288"/>
      <c r="V54" s="5"/>
    </row>
    <row r="55" spans="1:23" ht="15.6" x14ac:dyDescent="0.3">
      <c r="A55" s="284"/>
      <c r="B55" s="292" t="s">
        <v>210</v>
      </c>
      <c r="C55" s="292"/>
      <c r="D55" s="292"/>
      <c r="E55" s="292"/>
      <c r="F55" s="292"/>
      <c r="G55" s="292"/>
      <c r="H55" s="292"/>
      <c r="I55" s="292"/>
      <c r="J55" s="292"/>
      <c r="K55" s="292"/>
      <c r="L55" s="292"/>
      <c r="M55" s="292"/>
      <c r="N55" s="292"/>
      <c r="O55" s="292"/>
      <c r="P55" s="292"/>
      <c r="Q55" s="292"/>
      <c r="R55" s="329"/>
      <c r="S55" s="329"/>
      <c r="T55" s="330">
        <v>42843</v>
      </c>
      <c r="U55" s="288"/>
      <c r="V55" s="5"/>
    </row>
    <row r="56" spans="1:23" ht="15.6" x14ac:dyDescent="0.3">
      <c r="A56" s="284"/>
      <c r="B56" s="285" t="s">
        <v>127</v>
      </c>
      <c r="C56" s="285"/>
      <c r="D56" s="285"/>
      <c r="E56" s="285"/>
      <c r="F56" s="285"/>
      <c r="G56" s="285"/>
      <c r="H56" s="331"/>
      <c r="I56" s="331"/>
      <c r="J56" s="331"/>
      <c r="K56" s="331"/>
      <c r="L56" s="331"/>
      <c r="M56" s="331"/>
      <c r="N56" s="331"/>
      <c r="O56" s="331"/>
      <c r="P56" s="285">
        <f>+T56-R56+1</f>
        <v>92</v>
      </c>
      <c r="Q56" s="331"/>
      <c r="R56" s="332">
        <v>42660</v>
      </c>
      <c r="S56" s="333"/>
      <c r="T56" s="332">
        <v>42751</v>
      </c>
      <c r="U56" s="288"/>
      <c r="V56" s="5"/>
    </row>
    <row r="57" spans="1:23" ht="15.6" x14ac:dyDescent="0.3">
      <c r="A57" s="284"/>
      <c r="B57" s="285" t="s">
        <v>128</v>
      </c>
      <c r="C57" s="285"/>
      <c r="D57" s="285"/>
      <c r="E57" s="285"/>
      <c r="F57" s="285"/>
      <c r="G57" s="285"/>
      <c r="H57" s="285"/>
      <c r="I57" s="285"/>
      <c r="J57" s="285"/>
      <c r="K57" s="285"/>
      <c r="L57" s="285"/>
      <c r="M57" s="285"/>
      <c r="N57" s="285"/>
      <c r="O57" s="285"/>
      <c r="P57" s="285">
        <f>+T57-R57+1</f>
        <v>91</v>
      </c>
      <c r="Q57" s="285"/>
      <c r="R57" s="332">
        <v>42752</v>
      </c>
      <c r="S57" s="333"/>
      <c r="T57" s="332">
        <v>42842</v>
      </c>
      <c r="U57" s="288"/>
      <c r="V57" s="5"/>
    </row>
    <row r="58" spans="1:23" ht="15.6" x14ac:dyDescent="0.3">
      <c r="A58" s="284"/>
      <c r="B58" s="285" t="s">
        <v>344</v>
      </c>
      <c r="C58" s="285"/>
      <c r="D58" s="285"/>
      <c r="E58" s="285"/>
      <c r="F58" s="285"/>
      <c r="G58" s="285"/>
      <c r="H58" s="285"/>
      <c r="I58" s="285"/>
      <c r="J58" s="285"/>
      <c r="K58" s="285"/>
      <c r="L58" s="285"/>
      <c r="M58" s="285"/>
      <c r="N58" s="285"/>
      <c r="O58" s="285"/>
      <c r="P58" s="285"/>
      <c r="Q58" s="285"/>
      <c r="R58" s="332"/>
      <c r="S58" s="333"/>
      <c r="T58" s="332" t="s">
        <v>126</v>
      </c>
      <c r="U58" s="288"/>
      <c r="V58" s="5"/>
    </row>
    <row r="59" spans="1:23" ht="15.6" x14ac:dyDescent="0.3">
      <c r="A59" s="284"/>
      <c r="B59" s="285" t="s">
        <v>343</v>
      </c>
      <c r="C59" s="285"/>
      <c r="D59" s="285"/>
      <c r="E59" s="285"/>
      <c r="F59" s="285"/>
      <c r="G59" s="285"/>
      <c r="H59" s="285"/>
      <c r="I59" s="285"/>
      <c r="J59" s="285"/>
      <c r="K59" s="285"/>
      <c r="L59" s="285"/>
      <c r="M59" s="285"/>
      <c r="N59" s="285"/>
      <c r="O59" s="285"/>
      <c r="P59" s="285"/>
      <c r="Q59" s="285"/>
      <c r="R59" s="332"/>
      <c r="S59" s="333"/>
      <c r="T59" s="332" t="s">
        <v>160</v>
      </c>
      <c r="U59" s="288"/>
      <c r="V59" s="5"/>
      <c r="W59" s="134"/>
    </row>
    <row r="60" spans="1:23" ht="15.6" x14ac:dyDescent="0.3">
      <c r="A60" s="284"/>
      <c r="B60" s="285" t="s">
        <v>16</v>
      </c>
      <c r="C60" s="285"/>
      <c r="D60" s="285"/>
      <c r="E60" s="285"/>
      <c r="F60" s="285"/>
      <c r="G60" s="285"/>
      <c r="H60" s="285"/>
      <c r="I60" s="285"/>
      <c r="J60" s="285"/>
      <c r="K60" s="285"/>
      <c r="L60" s="285"/>
      <c r="M60" s="285"/>
      <c r="N60" s="285"/>
      <c r="O60" s="285"/>
      <c r="P60" s="285"/>
      <c r="Q60" s="285"/>
      <c r="R60" s="332"/>
      <c r="S60" s="333"/>
      <c r="T60" s="332">
        <v>42828</v>
      </c>
      <c r="U60" s="288"/>
      <c r="V60" s="5"/>
    </row>
    <row r="61" spans="1:23" ht="15.6" x14ac:dyDescent="0.3">
      <c r="A61" s="175"/>
      <c r="B61" s="281"/>
      <c r="C61" s="281"/>
      <c r="D61" s="281"/>
      <c r="E61" s="281"/>
      <c r="F61" s="281"/>
      <c r="G61" s="281"/>
      <c r="H61" s="281"/>
      <c r="I61" s="281"/>
      <c r="J61" s="281"/>
      <c r="K61" s="281"/>
      <c r="L61" s="281"/>
      <c r="M61" s="281"/>
      <c r="N61" s="281"/>
      <c r="O61" s="281"/>
      <c r="P61" s="281"/>
      <c r="Q61" s="281"/>
      <c r="R61" s="282"/>
      <c r="S61" s="283"/>
      <c r="T61" s="282"/>
      <c r="U61" s="281"/>
      <c r="V61" s="5"/>
    </row>
    <row r="62" spans="1:23" ht="15.6" x14ac:dyDescent="0.3">
      <c r="A62" s="175"/>
      <c r="B62" s="231"/>
      <c r="C62" s="231"/>
      <c r="D62" s="231"/>
      <c r="E62" s="231"/>
      <c r="F62" s="231"/>
      <c r="G62" s="231"/>
      <c r="H62" s="231"/>
      <c r="I62" s="231"/>
      <c r="J62" s="231"/>
      <c r="K62" s="231"/>
      <c r="L62" s="231"/>
      <c r="M62" s="231"/>
      <c r="N62" s="231"/>
      <c r="O62" s="231"/>
      <c r="P62" s="231"/>
      <c r="Q62" s="231"/>
      <c r="R62" s="244"/>
      <c r="S62" s="245"/>
      <c r="T62" s="244"/>
      <c r="U62" s="231"/>
      <c r="V62" s="5"/>
    </row>
    <row r="63" spans="1:23" ht="18" thickBot="1" x14ac:dyDescent="0.35">
      <c r="A63" s="192"/>
      <c r="B63" s="246" t="s">
        <v>341</v>
      </c>
      <c r="C63" s="247"/>
      <c r="D63" s="247"/>
      <c r="E63" s="247"/>
      <c r="F63" s="247"/>
      <c r="G63" s="247"/>
      <c r="H63" s="247"/>
      <c r="I63" s="247"/>
      <c r="J63" s="247"/>
      <c r="K63" s="247"/>
      <c r="L63" s="247"/>
      <c r="M63" s="247"/>
      <c r="N63" s="247"/>
      <c r="O63" s="247"/>
      <c r="P63" s="247"/>
      <c r="Q63" s="247"/>
      <c r="R63" s="247"/>
      <c r="S63" s="247"/>
      <c r="T63" s="248"/>
      <c r="U63" s="249"/>
      <c r="V63" s="5"/>
    </row>
    <row r="64" spans="1:23" ht="15.6" x14ac:dyDescent="0.3">
      <c r="A64" s="222"/>
      <c r="B64" s="395" t="s">
        <v>17</v>
      </c>
      <c r="C64" s="223"/>
      <c r="D64" s="223"/>
      <c r="E64" s="223"/>
      <c r="F64" s="223"/>
      <c r="G64" s="223"/>
      <c r="H64" s="223"/>
      <c r="I64" s="223"/>
      <c r="J64" s="223"/>
      <c r="K64" s="223"/>
      <c r="L64" s="223"/>
      <c r="M64" s="223"/>
      <c r="N64" s="223"/>
      <c r="O64" s="223"/>
      <c r="P64" s="223"/>
      <c r="Q64" s="223"/>
      <c r="R64" s="223"/>
      <c r="S64" s="223"/>
      <c r="T64" s="250"/>
      <c r="U64" s="223"/>
      <c r="V64" s="5"/>
    </row>
    <row r="65" spans="1:22" ht="15.6" x14ac:dyDescent="0.3">
      <c r="A65" s="175"/>
      <c r="B65" s="183"/>
      <c r="C65" s="177"/>
      <c r="D65" s="177"/>
      <c r="E65" s="177"/>
      <c r="F65" s="177"/>
      <c r="G65" s="177"/>
      <c r="H65" s="177"/>
      <c r="I65" s="177"/>
      <c r="J65" s="177"/>
      <c r="K65" s="177"/>
      <c r="L65" s="177"/>
      <c r="M65" s="177"/>
      <c r="N65" s="177"/>
      <c r="O65" s="177"/>
      <c r="P65" s="177"/>
      <c r="Q65" s="177"/>
      <c r="R65" s="177"/>
      <c r="S65" s="177"/>
      <c r="T65" s="194"/>
      <c r="U65" s="177"/>
      <c r="V65" s="5"/>
    </row>
    <row r="66" spans="1:22" ht="46.8" x14ac:dyDescent="0.3">
      <c r="A66" s="175"/>
      <c r="B66" s="195" t="s">
        <v>18</v>
      </c>
      <c r="C66" s="196"/>
      <c r="D66" s="196"/>
      <c r="E66" s="196"/>
      <c r="F66" s="196"/>
      <c r="G66" s="196"/>
      <c r="H66" s="196"/>
      <c r="I66" s="196"/>
      <c r="J66" s="196" t="s">
        <v>97</v>
      </c>
      <c r="K66" s="196"/>
      <c r="L66" s="196" t="s">
        <v>99</v>
      </c>
      <c r="M66" s="196"/>
      <c r="N66" s="196" t="s">
        <v>101</v>
      </c>
      <c r="O66" s="196"/>
      <c r="P66" s="196" t="s">
        <v>103</v>
      </c>
      <c r="Q66" s="196"/>
      <c r="R66" s="196" t="s">
        <v>110</v>
      </c>
      <c r="S66" s="196"/>
      <c r="T66" s="197" t="s">
        <v>118</v>
      </c>
      <c r="U66" s="198"/>
      <c r="V66" s="5"/>
    </row>
    <row r="67" spans="1:22" ht="15.6" x14ac:dyDescent="0.3">
      <c r="A67" s="337"/>
      <c r="B67" s="285" t="s">
        <v>19</v>
      </c>
      <c r="C67" s="338"/>
      <c r="D67" s="338"/>
      <c r="E67" s="338"/>
      <c r="F67" s="338"/>
      <c r="G67" s="338"/>
      <c r="H67" s="338"/>
      <c r="I67" s="338"/>
      <c r="J67" s="338">
        <v>1000039</v>
      </c>
      <c r="K67" s="338"/>
      <c r="L67" s="339">
        <v>448600</v>
      </c>
      <c r="M67" s="338"/>
      <c r="N67" s="338">
        <f>7385+568</f>
        <v>7953</v>
      </c>
      <c r="O67" s="338"/>
      <c r="P67" s="338">
        <v>568</v>
      </c>
      <c r="Q67" s="338"/>
      <c r="R67" s="338">
        <v>0</v>
      </c>
      <c r="S67" s="338"/>
      <c r="T67" s="339">
        <f>+L67-N67+P67-R67</f>
        <v>441215</v>
      </c>
      <c r="U67" s="288"/>
      <c r="V67" s="5"/>
    </row>
    <row r="68" spans="1:22" ht="15.6" x14ac:dyDescent="0.3">
      <c r="A68" s="337"/>
      <c r="B68" s="285" t="s">
        <v>20</v>
      </c>
      <c r="C68" s="338"/>
      <c r="D68" s="338"/>
      <c r="E68" s="338"/>
      <c r="F68" s="338"/>
      <c r="G68" s="338"/>
      <c r="H68" s="338"/>
      <c r="I68" s="338"/>
      <c r="J68" s="338">
        <v>10</v>
      </c>
      <c r="K68" s="338"/>
      <c r="L68" s="339">
        <v>0</v>
      </c>
      <c r="M68" s="338"/>
      <c r="N68" s="338">
        <v>0</v>
      </c>
      <c r="O68" s="338"/>
      <c r="P68" s="338">
        <v>0</v>
      </c>
      <c r="Q68" s="338"/>
      <c r="R68" s="338">
        <v>0</v>
      </c>
      <c r="S68" s="338"/>
      <c r="T68" s="339">
        <v>0</v>
      </c>
      <c r="U68" s="288"/>
      <c r="V68" s="5"/>
    </row>
    <row r="69" spans="1:22" ht="15.6" x14ac:dyDescent="0.3">
      <c r="A69" s="337"/>
      <c r="B69" s="285"/>
      <c r="C69" s="338"/>
      <c r="D69" s="338"/>
      <c r="E69" s="338"/>
      <c r="F69" s="338"/>
      <c r="G69" s="338"/>
      <c r="H69" s="338"/>
      <c r="I69" s="338"/>
      <c r="J69" s="338"/>
      <c r="K69" s="338"/>
      <c r="L69" s="339"/>
      <c r="M69" s="338"/>
      <c r="N69" s="338"/>
      <c r="O69" s="338"/>
      <c r="P69" s="338"/>
      <c r="Q69" s="338"/>
      <c r="R69" s="338"/>
      <c r="S69" s="338"/>
      <c r="T69" s="339"/>
      <c r="U69" s="288"/>
      <c r="V69" s="5"/>
    </row>
    <row r="70" spans="1:22" ht="15.6" x14ac:dyDescent="0.3">
      <c r="A70" s="337"/>
      <c r="B70" s="285" t="s">
        <v>21</v>
      </c>
      <c r="C70" s="338"/>
      <c r="D70" s="338"/>
      <c r="E70" s="338"/>
      <c r="F70" s="338"/>
      <c r="G70" s="338"/>
      <c r="H70" s="338"/>
      <c r="I70" s="338"/>
      <c r="J70" s="338">
        <f>SUM(J67:J69)</f>
        <v>1000049</v>
      </c>
      <c r="K70" s="338"/>
      <c r="L70" s="338">
        <f>L67+L68</f>
        <v>448600</v>
      </c>
      <c r="M70" s="338"/>
      <c r="N70" s="338">
        <f>SUM(N67:N69)</f>
        <v>7953</v>
      </c>
      <c r="O70" s="338"/>
      <c r="P70" s="338">
        <f>SUM(P67:P69)</f>
        <v>568</v>
      </c>
      <c r="Q70" s="338"/>
      <c r="R70" s="338">
        <f>SUM(R67:R69)</f>
        <v>0</v>
      </c>
      <c r="S70" s="338"/>
      <c r="T70" s="338">
        <f>SUM(T67:T69)</f>
        <v>441215</v>
      </c>
      <c r="U70" s="288"/>
      <c r="V70" s="5"/>
    </row>
    <row r="71" spans="1:22" ht="15.6" x14ac:dyDescent="0.3">
      <c r="A71" s="175"/>
      <c r="B71" s="334"/>
      <c r="C71" s="335"/>
      <c r="D71" s="335"/>
      <c r="E71" s="335"/>
      <c r="F71" s="335"/>
      <c r="G71" s="335"/>
      <c r="H71" s="335"/>
      <c r="I71" s="335"/>
      <c r="J71" s="335"/>
      <c r="K71" s="335"/>
      <c r="L71" s="335"/>
      <c r="M71" s="335"/>
      <c r="N71" s="335"/>
      <c r="O71" s="335"/>
      <c r="P71" s="335"/>
      <c r="Q71" s="335"/>
      <c r="R71" s="335"/>
      <c r="S71" s="335"/>
      <c r="T71" s="336"/>
      <c r="U71" s="334"/>
      <c r="V71" s="5"/>
    </row>
    <row r="72" spans="1:22" ht="15.6" x14ac:dyDescent="0.3">
      <c r="A72" s="175"/>
      <c r="B72" s="179" t="s">
        <v>22</v>
      </c>
      <c r="C72" s="199"/>
      <c r="D72" s="199"/>
      <c r="E72" s="199"/>
      <c r="F72" s="199"/>
      <c r="G72" s="199"/>
      <c r="H72" s="199"/>
      <c r="I72" s="199"/>
      <c r="J72" s="199"/>
      <c r="K72" s="199"/>
      <c r="L72" s="199"/>
      <c r="M72" s="199"/>
      <c r="N72" s="199"/>
      <c r="O72" s="199"/>
      <c r="P72" s="199"/>
      <c r="Q72" s="199"/>
      <c r="R72" s="199"/>
      <c r="S72" s="199"/>
      <c r="T72" s="200"/>
      <c r="U72" s="177"/>
      <c r="V72" s="5"/>
    </row>
    <row r="73" spans="1:22" ht="15.6" x14ac:dyDescent="0.3">
      <c r="A73" s="175"/>
      <c r="B73" s="177"/>
      <c r="C73" s="199"/>
      <c r="D73" s="199"/>
      <c r="E73" s="199"/>
      <c r="F73" s="199"/>
      <c r="G73" s="199"/>
      <c r="H73" s="199"/>
      <c r="I73" s="199"/>
      <c r="J73" s="199"/>
      <c r="K73" s="199"/>
      <c r="L73" s="199"/>
      <c r="M73" s="199"/>
      <c r="N73" s="199"/>
      <c r="O73" s="199"/>
      <c r="P73" s="199"/>
      <c r="Q73" s="199"/>
      <c r="R73" s="199"/>
      <c r="S73" s="199"/>
      <c r="T73" s="200"/>
      <c r="U73" s="177"/>
      <c r="V73" s="5"/>
    </row>
    <row r="74" spans="1:22" ht="15.6" x14ac:dyDescent="0.3">
      <c r="A74" s="284"/>
      <c r="B74" s="285" t="s">
        <v>19</v>
      </c>
      <c r="C74" s="338"/>
      <c r="D74" s="338"/>
      <c r="E74" s="338"/>
      <c r="F74" s="338"/>
      <c r="G74" s="338"/>
      <c r="H74" s="338"/>
      <c r="I74" s="338"/>
      <c r="J74" s="338"/>
      <c r="K74" s="338"/>
      <c r="L74" s="338"/>
      <c r="M74" s="338"/>
      <c r="N74" s="338"/>
      <c r="O74" s="338"/>
      <c r="P74" s="338"/>
      <c r="Q74" s="338"/>
      <c r="R74" s="338"/>
      <c r="S74" s="338"/>
      <c r="T74" s="338"/>
      <c r="U74" s="288"/>
      <c r="V74" s="5"/>
    </row>
    <row r="75" spans="1:22" ht="15.6" x14ac:dyDescent="0.3">
      <c r="A75" s="284"/>
      <c r="B75" s="285" t="s">
        <v>20</v>
      </c>
      <c r="C75" s="338"/>
      <c r="D75" s="338"/>
      <c r="E75" s="338"/>
      <c r="F75" s="338"/>
      <c r="G75" s="338"/>
      <c r="H75" s="338"/>
      <c r="I75" s="338"/>
      <c r="J75" s="338"/>
      <c r="K75" s="338"/>
      <c r="L75" s="338"/>
      <c r="M75" s="338"/>
      <c r="N75" s="338"/>
      <c r="O75" s="338"/>
      <c r="P75" s="338"/>
      <c r="Q75" s="338"/>
      <c r="R75" s="338"/>
      <c r="S75" s="338"/>
      <c r="T75" s="338"/>
      <c r="U75" s="288"/>
      <c r="V75" s="5"/>
    </row>
    <row r="76" spans="1:22" ht="15.6" x14ac:dyDescent="0.3">
      <c r="A76" s="284"/>
      <c r="B76" s="285"/>
      <c r="C76" s="338"/>
      <c r="D76" s="338"/>
      <c r="E76" s="338"/>
      <c r="F76" s="338"/>
      <c r="G76" s="338"/>
      <c r="H76" s="338"/>
      <c r="I76" s="338"/>
      <c r="J76" s="338"/>
      <c r="K76" s="338"/>
      <c r="L76" s="338"/>
      <c r="M76" s="338"/>
      <c r="N76" s="338"/>
      <c r="O76" s="338"/>
      <c r="P76" s="338"/>
      <c r="Q76" s="338"/>
      <c r="R76" s="338"/>
      <c r="S76" s="338"/>
      <c r="T76" s="338"/>
      <c r="U76" s="288"/>
      <c r="V76" s="5"/>
    </row>
    <row r="77" spans="1:22" ht="15.6" x14ac:dyDescent="0.3">
      <c r="A77" s="284"/>
      <c r="B77" s="285" t="s">
        <v>21</v>
      </c>
      <c r="C77" s="338"/>
      <c r="D77" s="338"/>
      <c r="E77" s="338"/>
      <c r="F77" s="338"/>
      <c r="G77" s="338"/>
      <c r="H77" s="338"/>
      <c r="I77" s="338"/>
      <c r="J77" s="338"/>
      <c r="K77" s="338"/>
      <c r="L77" s="338"/>
      <c r="M77" s="338"/>
      <c r="N77" s="338"/>
      <c r="O77" s="338"/>
      <c r="P77" s="338"/>
      <c r="Q77" s="338"/>
      <c r="R77" s="338"/>
      <c r="S77" s="338"/>
      <c r="T77" s="338"/>
      <c r="U77" s="288"/>
      <c r="V77" s="5"/>
    </row>
    <row r="78" spans="1:22" ht="15.6" x14ac:dyDescent="0.3">
      <c r="A78" s="284"/>
      <c r="B78" s="285"/>
      <c r="C78" s="338"/>
      <c r="D78" s="338"/>
      <c r="E78" s="338"/>
      <c r="F78" s="338"/>
      <c r="G78" s="338"/>
      <c r="H78" s="338"/>
      <c r="I78" s="338"/>
      <c r="J78" s="338"/>
      <c r="K78" s="338"/>
      <c r="L78" s="338"/>
      <c r="M78" s="338"/>
      <c r="N78" s="338"/>
      <c r="O78" s="338"/>
      <c r="P78" s="338"/>
      <c r="Q78" s="338"/>
      <c r="R78" s="338"/>
      <c r="S78" s="338"/>
      <c r="T78" s="338"/>
      <c r="U78" s="288"/>
      <c r="V78" s="5"/>
    </row>
    <row r="79" spans="1:22" ht="15.6" x14ac:dyDescent="0.3">
      <c r="A79" s="284"/>
      <c r="B79" s="285" t="s">
        <v>23</v>
      </c>
      <c r="C79" s="338"/>
      <c r="D79" s="338"/>
      <c r="E79" s="338"/>
      <c r="F79" s="338"/>
      <c r="G79" s="338"/>
      <c r="H79" s="338"/>
      <c r="I79" s="338"/>
      <c r="J79" s="338">
        <v>0</v>
      </c>
      <c r="K79" s="338"/>
      <c r="L79" s="338">
        <v>0</v>
      </c>
      <c r="M79" s="338"/>
      <c r="N79" s="338"/>
      <c r="O79" s="338"/>
      <c r="P79" s="338"/>
      <c r="Q79" s="338"/>
      <c r="R79" s="338"/>
      <c r="S79" s="338"/>
      <c r="T79" s="339">
        <v>0</v>
      </c>
      <c r="U79" s="288"/>
      <c r="V79" s="5"/>
    </row>
    <row r="80" spans="1:22" ht="15.6" x14ac:dyDescent="0.3">
      <c r="A80" s="284"/>
      <c r="B80" s="285" t="s">
        <v>123</v>
      </c>
      <c r="C80" s="338"/>
      <c r="D80" s="338"/>
      <c r="E80" s="338"/>
      <c r="F80" s="338"/>
      <c r="G80" s="338"/>
      <c r="H80" s="338"/>
      <c r="I80" s="338"/>
      <c r="J80" s="338">
        <v>0</v>
      </c>
      <c r="K80" s="338"/>
      <c r="L80" s="338">
        <v>0</v>
      </c>
      <c r="M80" s="338"/>
      <c r="N80" s="338"/>
      <c r="O80" s="338"/>
      <c r="P80" s="338"/>
      <c r="Q80" s="338"/>
      <c r="R80" s="338"/>
      <c r="S80" s="338"/>
      <c r="T80" s="338">
        <f>SUM(J80:P80)</f>
        <v>0</v>
      </c>
      <c r="U80" s="288"/>
      <c r="V80" s="5"/>
    </row>
    <row r="81" spans="1:22" ht="15.6" x14ac:dyDescent="0.3">
      <c r="A81" s="284"/>
      <c r="B81" s="285" t="s">
        <v>152</v>
      </c>
      <c r="C81" s="338"/>
      <c r="D81" s="338"/>
      <c r="E81" s="338"/>
      <c r="F81" s="338"/>
      <c r="G81" s="338"/>
      <c r="H81" s="338"/>
      <c r="I81" s="338"/>
      <c r="J81" s="338">
        <v>1</v>
      </c>
      <c r="K81" s="338"/>
      <c r="L81" s="338">
        <v>0</v>
      </c>
      <c r="M81" s="338"/>
      <c r="N81" s="338">
        <v>0</v>
      </c>
      <c r="O81" s="338"/>
      <c r="P81" s="338"/>
      <c r="Q81" s="338"/>
      <c r="R81" s="338"/>
      <c r="S81" s="338"/>
      <c r="T81" s="338">
        <f>+L81+N81</f>
        <v>0</v>
      </c>
      <c r="U81" s="288"/>
      <c r="V81" s="5"/>
    </row>
    <row r="82" spans="1:22" ht="15.6" x14ac:dyDescent="0.3">
      <c r="A82" s="284"/>
      <c r="B82" s="285" t="s">
        <v>25</v>
      </c>
      <c r="C82" s="338"/>
      <c r="D82" s="338"/>
      <c r="E82" s="338"/>
      <c r="F82" s="338"/>
      <c r="G82" s="338"/>
      <c r="H82" s="338"/>
      <c r="I82" s="338"/>
      <c r="J82" s="338">
        <v>0</v>
      </c>
      <c r="K82" s="338"/>
      <c r="L82" s="338">
        <v>0</v>
      </c>
      <c r="M82" s="338"/>
      <c r="N82" s="338"/>
      <c r="O82" s="338"/>
      <c r="P82" s="338"/>
      <c r="Q82" s="338"/>
      <c r="R82" s="338"/>
      <c r="S82" s="338"/>
      <c r="T82" s="338">
        <v>0</v>
      </c>
      <c r="U82" s="288"/>
      <c r="V82" s="5"/>
    </row>
    <row r="83" spans="1:22" ht="15.6" x14ac:dyDescent="0.3">
      <c r="A83" s="284"/>
      <c r="B83" s="285" t="s">
        <v>26</v>
      </c>
      <c r="C83" s="338"/>
      <c r="D83" s="338"/>
      <c r="E83" s="338"/>
      <c r="F83" s="338"/>
      <c r="G83" s="338"/>
      <c r="H83" s="338"/>
      <c r="I83" s="338"/>
      <c r="J83" s="338">
        <f>SUM(J70:J82)</f>
        <v>1000050</v>
      </c>
      <c r="K83" s="338"/>
      <c r="L83" s="338">
        <f>SUM(L70:L82)</f>
        <v>448600</v>
      </c>
      <c r="M83" s="338"/>
      <c r="N83" s="338"/>
      <c r="O83" s="338"/>
      <c r="P83" s="338"/>
      <c r="Q83" s="338"/>
      <c r="R83" s="338"/>
      <c r="S83" s="338"/>
      <c r="T83" s="338">
        <f>SUM(T70:T82)</f>
        <v>441215</v>
      </c>
      <c r="U83" s="288"/>
      <c r="V83" s="5"/>
    </row>
    <row r="84" spans="1:22" ht="15.6" x14ac:dyDescent="0.3">
      <c r="A84" s="175"/>
      <c r="B84" s="334"/>
      <c r="C84" s="335"/>
      <c r="D84" s="335"/>
      <c r="E84" s="335"/>
      <c r="F84" s="335"/>
      <c r="G84" s="335"/>
      <c r="H84" s="335"/>
      <c r="I84" s="335"/>
      <c r="J84" s="335"/>
      <c r="K84" s="335"/>
      <c r="L84" s="335"/>
      <c r="M84" s="335"/>
      <c r="N84" s="335"/>
      <c r="O84" s="335"/>
      <c r="P84" s="335"/>
      <c r="Q84" s="335"/>
      <c r="R84" s="335"/>
      <c r="S84" s="335"/>
      <c r="T84" s="336"/>
      <c r="U84" s="334"/>
      <c r="V84" s="5"/>
    </row>
    <row r="85" spans="1:22" ht="15.6" x14ac:dyDescent="0.3">
      <c r="A85" s="175"/>
      <c r="B85" s="177"/>
      <c r="C85" s="177"/>
      <c r="D85" s="177"/>
      <c r="E85" s="177"/>
      <c r="F85" s="177"/>
      <c r="G85" s="177"/>
      <c r="H85" s="177"/>
      <c r="I85" s="177"/>
      <c r="J85" s="177"/>
      <c r="K85" s="177"/>
      <c r="L85" s="177"/>
      <c r="M85" s="177"/>
      <c r="N85" s="177"/>
      <c r="O85" s="177"/>
      <c r="P85" s="177"/>
      <c r="Q85" s="177"/>
      <c r="R85" s="177"/>
      <c r="S85" s="177"/>
      <c r="T85" s="177"/>
      <c r="U85" s="177"/>
      <c r="V85" s="5"/>
    </row>
    <row r="86" spans="1:22" ht="15.6" x14ac:dyDescent="0.3">
      <c r="A86" s="222"/>
      <c r="B86" s="395" t="s">
        <v>27</v>
      </c>
      <c r="C86" s="395"/>
      <c r="D86" s="395"/>
      <c r="E86" s="395"/>
      <c r="F86" s="395"/>
      <c r="G86" s="395"/>
      <c r="H86" s="396"/>
      <c r="I86" s="396"/>
      <c r="J86" s="397" t="s">
        <v>98</v>
      </c>
      <c r="K86" s="396"/>
      <c r="L86" s="398">
        <f>+R193</f>
        <v>42825</v>
      </c>
      <c r="M86" s="396"/>
      <c r="N86" s="396"/>
      <c r="O86" s="396"/>
      <c r="P86" s="396"/>
      <c r="Q86" s="396"/>
      <c r="R86" s="396" t="s">
        <v>111</v>
      </c>
      <c r="S86" s="396"/>
      <c r="T86" s="396" t="s">
        <v>119</v>
      </c>
      <c r="U86" s="223"/>
      <c r="V86" s="5"/>
    </row>
    <row r="87" spans="1:22" ht="15.6" x14ac:dyDescent="0.3">
      <c r="A87" s="190"/>
      <c r="B87" s="239" t="s">
        <v>28</v>
      </c>
      <c r="C87" s="239"/>
      <c r="D87" s="239"/>
      <c r="E87" s="239"/>
      <c r="F87" s="239"/>
      <c r="G87" s="239"/>
      <c r="H87" s="239"/>
      <c r="I87" s="239"/>
      <c r="J87" s="239"/>
      <c r="K87" s="239"/>
      <c r="L87" s="239"/>
      <c r="M87" s="239"/>
      <c r="N87" s="239"/>
      <c r="O87" s="239"/>
      <c r="P87" s="239"/>
      <c r="Q87" s="239"/>
      <c r="R87" s="243">
        <v>0</v>
      </c>
      <c r="S87" s="239"/>
      <c r="T87" s="251">
        <v>0</v>
      </c>
      <c r="U87" s="239"/>
      <c r="V87" s="5"/>
    </row>
    <row r="88" spans="1:22" ht="15.6" x14ac:dyDescent="0.3">
      <c r="A88" s="284"/>
      <c r="B88" s="285" t="s">
        <v>29</v>
      </c>
      <c r="C88" s="285"/>
      <c r="D88" s="285"/>
      <c r="E88" s="285"/>
      <c r="F88" s="285"/>
      <c r="G88" s="285"/>
      <c r="H88" s="324"/>
      <c r="I88" s="341"/>
      <c r="J88" s="324"/>
      <c r="K88" s="285"/>
      <c r="L88" s="342"/>
      <c r="M88" s="285"/>
      <c r="N88" s="285"/>
      <c r="O88" s="285"/>
      <c r="P88" s="285"/>
      <c r="Q88" s="285"/>
      <c r="R88" s="338">
        <f>7953-138</f>
        <v>7815</v>
      </c>
      <c r="S88" s="285"/>
      <c r="T88" s="339"/>
      <c r="U88" s="288"/>
      <c r="V88" s="5"/>
    </row>
    <row r="89" spans="1:22" ht="15.6" x14ac:dyDescent="0.3">
      <c r="A89" s="284"/>
      <c r="B89" s="285" t="s">
        <v>225</v>
      </c>
      <c r="C89" s="285"/>
      <c r="D89" s="285"/>
      <c r="E89" s="285"/>
      <c r="F89" s="285"/>
      <c r="G89" s="285"/>
      <c r="H89" s="324"/>
      <c r="I89" s="341"/>
      <c r="J89" s="324"/>
      <c r="K89" s="285"/>
      <c r="L89" s="342"/>
      <c r="M89" s="285"/>
      <c r="N89" s="285"/>
      <c r="O89" s="285"/>
      <c r="P89" s="285"/>
      <c r="Q89" s="285"/>
      <c r="R89" s="338"/>
      <c r="S89" s="285"/>
      <c r="T89" s="339">
        <f>1533+1654-358-356</f>
        <v>2473</v>
      </c>
      <c r="U89" s="288"/>
      <c r="V89" s="5"/>
    </row>
    <row r="90" spans="1:22" ht="15.6" x14ac:dyDescent="0.3">
      <c r="A90" s="284"/>
      <c r="B90" s="285" t="s">
        <v>220</v>
      </c>
      <c r="C90" s="285"/>
      <c r="D90" s="285"/>
      <c r="E90" s="285"/>
      <c r="F90" s="285"/>
      <c r="G90" s="285"/>
      <c r="H90" s="324"/>
      <c r="I90" s="341"/>
      <c r="J90" s="324"/>
      <c r="K90" s="285"/>
      <c r="L90" s="342"/>
      <c r="M90" s="285"/>
      <c r="N90" s="285"/>
      <c r="O90" s="285"/>
      <c r="P90" s="285"/>
      <c r="Q90" s="285"/>
      <c r="R90" s="338"/>
      <c r="S90" s="285"/>
      <c r="T90" s="339">
        <f>83+26</f>
        <v>109</v>
      </c>
      <c r="U90" s="288"/>
      <c r="V90" s="5"/>
    </row>
    <row r="91" spans="1:22" ht="15.6" x14ac:dyDescent="0.3">
      <c r="A91" s="284"/>
      <c r="B91" s="285" t="s">
        <v>221</v>
      </c>
      <c r="C91" s="285"/>
      <c r="D91" s="285"/>
      <c r="E91" s="285"/>
      <c r="F91" s="285"/>
      <c r="G91" s="285"/>
      <c r="H91" s="324"/>
      <c r="I91" s="341"/>
      <c r="J91" s="324"/>
      <c r="K91" s="285"/>
      <c r="L91" s="342"/>
      <c r="M91" s="285"/>
      <c r="N91" s="285"/>
      <c r="O91" s="285"/>
      <c r="P91" s="285"/>
      <c r="Q91" s="285"/>
      <c r="R91" s="338"/>
      <c r="S91" s="285"/>
      <c r="T91" s="339">
        <v>23</v>
      </c>
      <c r="U91" s="288"/>
      <c r="V91" s="5"/>
    </row>
    <row r="92" spans="1:22" ht="15.6" x14ac:dyDescent="0.3">
      <c r="A92" s="284"/>
      <c r="B92" s="285" t="s">
        <v>261</v>
      </c>
      <c r="C92" s="285"/>
      <c r="D92" s="285"/>
      <c r="E92" s="285"/>
      <c r="F92" s="285"/>
      <c r="G92" s="285"/>
      <c r="H92" s="324"/>
      <c r="I92" s="341"/>
      <c r="J92" s="324"/>
      <c r="K92" s="285"/>
      <c r="L92" s="342"/>
      <c r="M92" s="285"/>
      <c r="N92" s="285"/>
      <c r="O92" s="285"/>
      <c r="P92" s="285"/>
      <c r="Q92" s="285"/>
      <c r="R92" s="338"/>
      <c r="S92" s="285"/>
      <c r="T92" s="339">
        <v>0</v>
      </c>
      <c r="U92" s="288"/>
      <c r="V92" s="5"/>
    </row>
    <row r="93" spans="1:22" ht="15.6" x14ac:dyDescent="0.3">
      <c r="A93" s="284"/>
      <c r="B93" s="285" t="s">
        <v>141</v>
      </c>
      <c r="C93" s="285"/>
      <c r="D93" s="285"/>
      <c r="E93" s="285"/>
      <c r="F93" s="285"/>
      <c r="G93" s="285"/>
      <c r="H93" s="285"/>
      <c r="I93" s="285"/>
      <c r="J93" s="285"/>
      <c r="K93" s="285"/>
      <c r="L93" s="285"/>
      <c r="M93" s="285"/>
      <c r="N93" s="285"/>
      <c r="O93" s="285"/>
      <c r="P93" s="285"/>
      <c r="Q93" s="285"/>
      <c r="R93" s="338"/>
      <c r="S93" s="285"/>
      <c r="T93" s="339">
        <v>0</v>
      </c>
      <c r="U93" s="288"/>
      <c r="V93" s="5"/>
    </row>
    <row r="94" spans="1:22" ht="15.6" x14ac:dyDescent="0.3">
      <c r="A94" s="284"/>
      <c r="B94" s="285" t="s">
        <v>250</v>
      </c>
      <c r="C94" s="285"/>
      <c r="D94" s="285"/>
      <c r="E94" s="285"/>
      <c r="F94" s="285"/>
      <c r="G94" s="285"/>
      <c r="H94" s="285"/>
      <c r="I94" s="285"/>
      <c r="J94" s="285"/>
      <c r="K94" s="285"/>
      <c r="L94" s="285"/>
      <c r="M94" s="285"/>
      <c r="N94" s="285"/>
      <c r="O94" s="285"/>
      <c r="P94" s="285"/>
      <c r="Q94" s="285"/>
      <c r="R94" s="338"/>
      <c r="S94" s="285"/>
      <c r="T94" s="339">
        <v>100</v>
      </c>
      <c r="U94" s="288"/>
      <c r="V94" s="5"/>
    </row>
    <row r="95" spans="1:22" ht="15.6" x14ac:dyDescent="0.3">
      <c r="A95" s="284"/>
      <c r="B95" s="285" t="s">
        <v>30</v>
      </c>
      <c r="C95" s="285"/>
      <c r="D95" s="285"/>
      <c r="E95" s="285"/>
      <c r="F95" s="285"/>
      <c r="G95" s="285"/>
      <c r="H95" s="285"/>
      <c r="I95" s="285"/>
      <c r="J95" s="285"/>
      <c r="K95" s="285"/>
      <c r="L95" s="285"/>
      <c r="M95" s="285"/>
      <c r="N95" s="285"/>
      <c r="O95" s="285"/>
      <c r="P95" s="285"/>
      <c r="Q95" s="285"/>
      <c r="R95" s="338">
        <f>SUM(R87:R94)</f>
        <v>7815</v>
      </c>
      <c r="S95" s="285"/>
      <c r="T95" s="338">
        <f>SUM(T87:T94)</f>
        <v>2705</v>
      </c>
      <c r="U95" s="288"/>
      <c r="V95" s="5"/>
    </row>
    <row r="96" spans="1:22" ht="15.6" x14ac:dyDescent="0.3">
      <c r="A96" s="284"/>
      <c r="B96" s="285" t="s">
        <v>168</v>
      </c>
      <c r="C96" s="285"/>
      <c r="D96" s="285"/>
      <c r="E96" s="285"/>
      <c r="F96" s="285"/>
      <c r="G96" s="285"/>
      <c r="H96" s="285"/>
      <c r="I96" s="285"/>
      <c r="J96" s="285"/>
      <c r="K96" s="285"/>
      <c r="L96" s="285"/>
      <c r="M96" s="285"/>
      <c r="N96" s="285"/>
      <c r="O96" s="285"/>
      <c r="P96" s="285"/>
      <c r="Q96" s="285"/>
      <c r="R96" s="338">
        <v>0</v>
      </c>
      <c r="S96" s="285"/>
      <c r="T96" s="338">
        <f>-R96</f>
        <v>0</v>
      </c>
      <c r="U96" s="288"/>
      <c r="V96" s="5"/>
    </row>
    <row r="97" spans="1:24" ht="15.6" x14ac:dyDescent="0.3">
      <c r="A97" s="284"/>
      <c r="B97" s="285" t="s">
        <v>31</v>
      </c>
      <c r="C97" s="285"/>
      <c r="D97" s="285"/>
      <c r="E97" s="285"/>
      <c r="F97" s="285"/>
      <c r="G97" s="285"/>
      <c r="H97" s="285"/>
      <c r="I97" s="285"/>
      <c r="J97" s="285"/>
      <c r="K97" s="285"/>
      <c r="L97" s="285"/>
      <c r="M97" s="285"/>
      <c r="N97" s="285"/>
      <c r="O97" s="285"/>
      <c r="P97" s="285"/>
      <c r="Q97" s="285"/>
      <c r="R97" s="338">
        <f>-T97</f>
        <v>0</v>
      </c>
      <c r="S97" s="285"/>
      <c r="T97" s="339">
        <v>0</v>
      </c>
      <c r="U97" s="288"/>
      <c r="V97" s="5"/>
    </row>
    <row r="98" spans="1:24" ht="15.6" x14ac:dyDescent="0.3">
      <c r="A98" s="284"/>
      <c r="B98" s="285" t="s">
        <v>273</v>
      </c>
      <c r="C98" s="285"/>
      <c r="D98" s="285"/>
      <c r="E98" s="285"/>
      <c r="F98" s="285"/>
      <c r="G98" s="285"/>
      <c r="H98" s="285"/>
      <c r="I98" s="285"/>
      <c r="J98" s="285"/>
      <c r="K98" s="285"/>
      <c r="L98" s="285"/>
      <c r="M98" s="285"/>
      <c r="N98" s="285"/>
      <c r="O98" s="285"/>
      <c r="P98" s="285"/>
      <c r="Q98" s="285"/>
      <c r="R98" s="338"/>
      <c r="S98" s="285"/>
      <c r="T98" s="339">
        <v>96</v>
      </c>
      <c r="U98" s="288"/>
      <c r="V98" s="5"/>
    </row>
    <row r="99" spans="1:24" ht="15.6" x14ac:dyDescent="0.3">
      <c r="A99" s="284"/>
      <c r="B99" s="285" t="s">
        <v>32</v>
      </c>
      <c r="C99" s="285"/>
      <c r="D99" s="285"/>
      <c r="E99" s="285"/>
      <c r="F99" s="285"/>
      <c r="G99" s="285"/>
      <c r="H99" s="285"/>
      <c r="I99" s="285"/>
      <c r="J99" s="285"/>
      <c r="K99" s="285"/>
      <c r="L99" s="285"/>
      <c r="M99" s="285"/>
      <c r="N99" s="285"/>
      <c r="O99" s="285"/>
      <c r="P99" s="285"/>
      <c r="Q99" s="285"/>
      <c r="R99" s="338">
        <f>R95+R97+R96</f>
        <v>7815</v>
      </c>
      <c r="S99" s="285"/>
      <c r="T99" s="338">
        <f>T95+T97+T96+T98</f>
        <v>2801</v>
      </c>
      <c r="U99" s="288"/>
      <c r="V99" s="5"/>
    </row>
    <row r="100" spans="1:24" ht="15.6" x14ac:dyDescent="0.3">
      <c r="A100" s="284"/>
      <c r="B100" s="343" t="s">
        <v>33</v>
      </c>
      <c r="C100" s="311"/>
      <c r="D100" s="311"/>
      <c r="E100" s="311"/>
      <c r="F100" s="311"/>
      <c r="G100" s="311"/>
      <c r="H100" s="311"/>
      <c r="I100" s="311"/>
      <c r="J100" s="311"/>
      <c r="K100" s="311"/>
      <c r="L100" s="311"/>
      <c r="M100" s="311"/>
      <c r="N100" s="311"/>
      <c r="O100" s="311"/>
      <c r="P100" s="311"/>
      <c r="Q100" s="311"/>
      <c r="R100" s="344"/>
      <c r="S100" s="311"/>
      <c r="T100" s="345"/>
      <c r="U100" s="317"/>
      <c r="V100" s="5"/>
    </row>
    <row r="101" spans="1:24" ht="15.6" x14ac:dyDescent="0.3">
      <c r="A101" s="337">
        <v>1</v>
      </c>
      <c r="B101" s="285" t="s">
        <v>34</v>
      </c>
      <c r="C101" s="285"/>
      <c r="D101" s="285"/>
      <c r="E101" s="285"/>
      <c r="F101" s="285"/>
      <c r="G101" s="285"/>
      <c r="H101" s="285"/>
      <c r="I101" s="285"/>
      <c r="J101" s="285"/>
      <c r="K101" s="285"/>
      <c r="L101" s="285"/>
      <c r="M101" s="285"/>
      <c r="N101" s="285"/>
      <c r="O101" s="285"/>
      <c r="P101" s="285"/>
      <c r="Q101" s="285"/>
      <c r="R101" s="285"/>
      <c r="S101" s="285"/>
      <c r="T101" s="339">
        <v>0</v>
      </c>
      <c r="U101" s="288"/>
      <c r="V101" s="5"/>
    </row>
    <row r="102" spans="1:24" ht="15.6" x14ac:dyDescent="0.3">
      <c r="A102" s="337">
        <f>+A101+1</f>
        <v>2</v>
      </c>
      <c r="B102" s="285" t="s">
        <v>312</v>
      </c>
      <c r="C102" s="285"/>
      <c r="D102" s="285"/>
      <c r="E102" s="285"/>
      <c r="F102" s="285"/>
      <c r="G102" s="285"/>
      <c r="H102" s="285"/>
      <c r="I102" s="285"/>
      <c r="J102" s="285"/>
      <c r="K102" s="285"/>
      <c r="L102" s="285"/>
      <c r="M102" s="285"/>
      <c r="N102" s="285"/>
      <c r="O102" s="285"/>
      <c r="P102" s="285"/>
      <c r="Q102" s="285"/>
      <c r="R102" s="285"/>
      <c r="S102" s="285"/>
      <c r="T102" s="339">
        <v>-2</v>
      </c>
      <c r="U102" s="288"/>
      <c r="V102" s="5"/>
    </row>
    <row r="103" spans="1:24" ht="15.6" x14ac:dyDescent="0.3">
      <c r="A103" s="337">
        <f>+A102+1</f>
        <v>3</v>
      </c>
      <c r="B103" s="407" t="s">
        <v>314</v>
      </c>
      <c r="C103" s="285"/>
      <c r="D103" s="285"/>
      <c r="E103" s="285"/>
      <c r="F103" s="285"/>
      <c r="G103" s="285"/>
      <c r="H103" s="285"/>
      <c r="I103" s="285"/>
      <c r="J103" s="285"/>
      <c r="K103" s="285"/>
      <c r="L103" s="285"/>
      <c r="M103" s="285"/>
      <c r="N103" s="285"/>
      <c r="O103" s="285"/>
      <c r="P103" s="285"/>
      <c r="Q103" s="285"/>
      <c r="R103" s="285"/>
      <c r="S103" s="285"/>
      <c r="T103" s="339">
        <f>-168-65-6</f>
        <v>-239</v>
      </c>
      <c r="U103" s="288"/>
      <c r="V103" s="5"/>
    </row>
    <row r="104" spans="1:24" ht="15.6" x14ac:dyDescent="0.3">
      <c r="A104" s="337" t="s">
        <v>133</v>
      </c>
      <c r="B104" s="285" t="s">
        <v>122</v>
      </c>
      <c r="C104" s="285"/>
      <c r="D104" s="285"/>
      <c r="E104" s="285"/>
      <c r="F104" s="285"/>
      <c r="G104" s="285"/>
      <c r="H104" s="285"/>
      <c r="I104" s="285"/>
      <c r="J104" s="285"/>
      <c r="K104" s="285"/>
      <c r="L104" s="285"/>
      <c r="M104" s="285"/>
      <c r="N104" s="285"/>
      <c r="O104" s="285"/>
      <c r="P104" s="285"/>
      <c r="Q104" s="285"/>
      <c r="R104" s="285"/>
      <c r="S104" s="285"/>
      <c r="T104" s="339">
        <v>0</v>
      </c>
      <c r="U104" s="288"/>
      <c r="V104" s="5"/>
    </row>
    <row r="105" spans="1:24" ht="15.6" x14ac:dyDescent="0.3">
      <c r="A105" s="337" t="s">
        <v>134</v>
      </c>
      <c r="B105" s="285" t="s">
        <v>348</v>
      </c>
      <c r="C105" s="285"/>
      <c r="D105" s="285"/>
      <c r="E105" s="285"/>
      <c r="F105" s="285"/>
      <c r="G105" s="285"/>
      <c r="H105" s="285"/>
      <c r="I105" s="285"/>
      <c r="J105" s="285"/>
      <c r="K105" s="285"/>
      <c r="L105" s="285"/>
      <c r="M105" s="285"/>
      <c r="N105" s="285"/>
      <c r="O105" s="285"/>
      <c r="P105" s="285"/>
      <c r="Q105" s="285"/>
      <c r="R105" s="285"/>
      <c r="S105" s="285"/>
      <c r="T105" s="339">
        <f>-246-84</f>
        <v>-330</v>
      </c>
      <c r="U105" s="288"/>
      <c r="V105" s="5"/>
      <c r="W105" s="109"/>
    </row>
    <row r="106" spans="1:24" ht="15.6" x14ac:dyDescent="0.3">
      <c r="A106" s="337" t="s">
        <v>156</v>
      </c>
      <c r="B106" s="285" t="s">
        <v>349</v>
      </c>
      <c r="C106" s="285"/>
      <c r="D106" s="285"/>
      <c r="E106" s="285"/>
      <c r="F106" s="285"/>
      <c r="G106" s="285"/>
      <c r="H106" s="285"/>
      <c r="I106" s="285"/>
      <c r="J106" s="285"/>
      <c r="K106" s="285"/>
      <c r="L106" s="285"/>
      <c r="M106" s="285"/>
      <c r="N106" s="285"/>
      <c r="O106" s="285"/>
      <c r="P106" s="285"/>
      <c r="Q106" s="285"/>
      <c r="R106" s="285"/>
      <c r="S106" s="285"/>
      <c r="T106" s="339">
        <v>-85</v>
      </c>
      <c r="U106" s="288"/>
      <c r="V106" s="5"/>
      <c r="W106" s="109"/>
    </row>
    <row r="107" spans="1:24" ht="15.6" x14ac:dyDescent="0.3">
      <c r="A107" s="337" t="s">
        <v>214</v>
      </c>
      <c r="B107" s="285" t="s">
        <v>192</v>
      </c>
      <c r="C107" s="285"/>
      <c r="D107" s="285"/>
      <c r="E107" s="285"/>
      <c r="F107" s="285"/>
      <c r="G107" s="285"/>
      <c r="H107" s="285"/>
      <c r="I107" s="285"/>
      <c r="J107" s="285"/>
      <c r="K107" s="285"/>
      <c r="L107" s="285"/>
      <c r="M107" s="285"/>
      <c r="N107" s="285"/>
      <c r="O107" s="285"/>
      <c r="P107" s="285"/>
      <c r="Q107" s="285"/>
      <c r="R107" s="285"/>
      <c r="S107" s="285"/>
      <c r="T107" s="339">
        <v>-110</v>
      </c>
      <c r="U107" s="288"/>
      <c r="V107" s="5"/>
      <c r="W107" s="109"/>
      <c r="X107" s="109"/>
    </row>
    <row r="108" spans="1:24" ht="15.6" x14ac:dyDescent="0.3">
      <c r="A108" s="337" t="s">
        <v>215</v>
      </c>
      <c r="B108" s="285" t="s">
        <v>193</v>
      </c>
      <c r="C108" s="285"/>
      <c r="D108" s="285"/>
      <c r="E108" s="285"/>
      <c r="F108" s="285"/>
      <c r="G108" s="285"/>
      <c r="H108" s="285"/>
      <c r="I108" s="285"/>
      <c r="J108" s="285"/>
      <c r="K108" s="285"/>
      <c r="L108" s="285"/>
      <c r="M108" s="285"/>
      <c r="N108" s="285"/>
      <c r="O108" s="285"/>
      <c r="P108" s="285"/>
      <c r="Q108" s="285"/>
      <c r="R108" s="285"/>
      <c r="S108" s="285"/>
      <c r="T108" s="339">
        <v>-30</v>
      </c>
      <c r="U108" s="288"/>
      <c r="V108" s="169"/>
      <c r="W108" s="109"/>
    </row>
    <row r="109" spans="1:24" ht="15.6" x14ac:dyDescent="0.3">
      <c r="A109" s="337" t="s">
        <v>216</v>
      </c>
      <c r="B109" s="285" t="s">
        <v>204</v>
      </c>
      <c r="C109" s="285"/>
      <c r="D109" s="285"/>
      <c r="E109" s="285"/>
      <c r="F109" s="285"/>
      <c r="G109" s="285"/>
      <c r="H109" s="285"/>
      <c r="I109" s="285"/>
      <c r="J109" s="285"/>
      <c r="K109" s="285"/>
      <c r="L109" s="285"/>
      <c r="M109" s="285"/>
      <c r="N109" s="285"/>
      <c r="O109" s="285"/>
      <c r="P109" s="285"/>
      <c r="Q109" s="285"/>
      <c r="R109" s="285"/>
      <c r="S109" s="285"/>
      <c r="T109" s="339">
        <v>-180</v>
      </c>
      <c r="U109" s="288"/>
      <c r="V109" s="5"/>
      <c r="W109" s="109"/>
    </row>
    <row r="110" spans="1:24" ht="15.6" x14ac:dyDescent="0.3">
      <c r="A110" s="406">
        <v>7</v>
      </c>
      <c r="B110" s="407" t="s">
        <v>313</v>
      </c>
      <c r="C110" s="407"/>
      <c r="D110" s="407"/>
      <c r="E110" s="407"/>
      <c r="F110" s="407"/>
      <c r="G110" s="285"/>
      <c r="H110" s="285"/>
      <c r="I110" s="285"/>
      <c r="J110" s="285"/>
      <c r="K110" s="285"/>
      <c r="L110" s="285"/>
      <c r="M110" s="285"/>
      <c r="N110" s="285"/>
      <c r="O110" s="285"/>
      <c r="P110" s="285"/>
      <c r="Q110" s="285"/>
      <c r="R110" s="285"/>
      <c r="S110" s="285"/>
      <c r="T110" s="339">
        <v>0</v>
      </c>
      <c r="U110" s="288"/>
      <c r="V110" s="5"/>
      <c r="W110" s="109"/>
    </row>
    <row r="111" spans="1:24" ht="15.6" x14ac:dyDescent="0.3">
      <c r="A111" s="337">
        <f t="shared" ref="A111:A117" si="0">+A110+1</f>
        <v>8</v>
      </c>
      <c r="B111" s="285" t="s">
        <v>35</v>
      </c>
      <c r="C111" s="285"/>
      <c r="D111" s="285"/>
      <c r="E111" s="285"/>
      <c r="F111" s="285"/>
      <c r="G111" s="285"/>
      <c r="H111" s="285"/>
      <c r="I111" s="285"/>
      <c r="J111" s="285"/>
      <c r="K111" s="285"/>
      <c r="L111" s="285"/>
      <c r="M111" s="285"/>
      <c r="N111" s="285"/>
      <c r="O111" s="285"/>
      <c r="P111" s="285"/>
      <c r="Q111" s="285"/>
      <c r="R111" s="285"/>
      <c r="S111" s="285"/>
      <c r="T111" s="339">
        <v>-25</v>
      </c>
      <c r="U111" s="288"/>
      <c r="V111" s="5"/>
    </row>
    <row r="112" spans="1:24" ht="15.6" x14ac:dyDescent="0.3">
      <c r="A112" s="337">
        <f t="shared" si="0"/>
        <v>9</v>
      </c>
      <c r="B112" s="285" t="s">
        <v>46</v>
      </c>
      <c r="C112" s="285"/>
      <c r="D112" s="285"/>
      <c r="E112" s="285"/>
      <c r="F112" s="285"/>
      <c r="G112" s="285"/>
      <c r="H112" s="285"/>
      <c r="I112" s="285"/>
      <c r="J112" s="285"/>
      <c r="K112" s="285"/>
      <c r="L112" s="285"/>
      <c r="M112" s="285"/>
      <c r="N112" s="285"/>
      <c r="O112" s="285"/>
      <c r="P112" s="285"/>
      <c r="Q112" s="285"/>
      <c r="R112" s="338">
        <f>-T112</f>
        <v>138</v>
      </c>
      <c r="S112" s="285"/>
      <c r="T112" s="339">
        <v>-138</v>
      </c>
      <c r="U112" s="288"/>
      <c r="V112" s="5"/>
    </row>
    <row r="113" spans="1:22" ht="15.6" x14ac:dyDescent="0.3">
      <c r="A113" s="337">
        <f t="shared" si="0"/>
        <v>10</v>
      </c>
      <c r="B113" s="285" t="s">
        <v>131</v>
      </c>
      <c r="C113" s="285"/>
      <c r="D113" s="285"/>
      <c r="E113" s="285"/>
      <c r="F113" s="285"/>
      <c r="G113" s="285"/>
      <c r="H113" s="285"/>
      <c r="I113" s="285"/>
      <c r="J113" s="285"/>
      <c r="K113" s="285"/>
      <c r="L113" s="285"/>
      <c r="M113" s="285"/>
      <c r="N113" s="285"/>
      <c r="O113" s="285"/>
      <c r="P113" s="285"/>
      <c r="Q113" s="285"/>
      <c r="R113" s="285"/>
      <c r="S113" s="285"/>
      <c r="T113" s="339">
        <v>0</v>
      </c>
      <c r="U113" s="288"/>
      <c r="V113" s="5"/>
    </row>
    <row r="114" spans="1:22" ht="15.6" x14ac:dyDescent="0.3">
      <c r="A114" s="337">
        <f t="shared" si="0"/>
        <v>11</v>
      </c>
      <c r="B114" s="285" t="s">
        <v>36</v>
      </c>
      <c r="C114" s="285"/>
      <c r="D114" s="285"/>
      <c r="E114" s="285"/>
      <c r="F114" s="285"/>
      <c r="G114" s="285"/>
      <c r="H114" s="285"/>
      <c r="I114" s="285"/>
      <c r="J114" s="285"/>
      <c r="K114" s="285"/>
      <c r="L114" s="285"/>
      <c r="M114" s="285"/>
      <c r="N114" s="285"/>
      <c r="O114" s="285"/>
      <c r="P114" s="285"/>
      <c r="Q114" s="285"/>
      <c r="R114" s="285"/>
      <c r="S114" s="285"/>
      <c r="T114" s="339">
        <v>0</v>
      </c>
      <c r="U114" s="288"/>
      <c r="V114" s="5"/>
    </row>
    <row r="115" spans="1:22" ht="15.6" x14ac:dyDescent="0.3">
      <c r="A115" s="337">
        <f t="shared" si="0"/>
        <v>12</v>
      </c>
      <c r="B115" s="285" t="s">
        <v>37</v>
      </c>
      <c r="C115" s="285"/>
      <c r="D115" s="285"/>
      <c r="E115" s="285"/>
      <c r="F115" s="285"/>
      <c r="G115" s="285"/>
      <c r="H115" s="285"/>
      <c r="I115" s="285"/>
      <c r="J115" s="285"/>
      <c r="K115" s="285"/>
      <c r="L115" s="285"/>
      <c r="M115" s="285"/>
      <c r="N115" s="285"/>
      <c r="O115" s="285"/>
      <c r="P115" s="285"/>
      <c r="Q115" s="285"/>
      <c r="R115" s="285"/>
      <c r="S115" s="285"/>
      <c r="T115" s="339">
        <v>0</v>
      </c>
      <c r="U115" s="288"/>
      <c r="V115" s="5"/>
    </row>
    <row r="116" spans="1:22" ht="15.6" x14ac:dyDescent="0.3">
      <c r="A116" s="337">
        <f t="shared" si="0"/>
        <v>13</v>
      </c>
      <c r="B116" s="285" t="s">
        <v>155</v>
      </c>
      <c r="C116" s="285"/>
      <c r="D116" s="285"/>
      <c r="E116" s="285"/>
      <c r="F116" s="285"/>
      <c r="G116" s="285"/>
      <c r="H116" s="285"/>
      <c r="I116" s="285"/>
      <c r="J116" s="285"/>
      <c r="K116" s="285"/>
      <c r="L116" s="285"/>
      <c r="M116" s="285"/>
      <c r="N116" s="285"/>
      <c r="O116" s="285"/>
      <c r="P116" s="285"/>
      <c r="Q116" s="285"/>
      <c r="R116" s="285"/>
      <c r="S116" s="285"/>
      <c r="T116" s="339">
        <v>-168</v>
      </c>
      <c r="U116" s="288"/>
      <c r="V116" s="5"/>
    </row>
    <row r="117" spans="1:22" ht="15.6" x14ac:dyDescent="0.3">
      <c r="A117" s="337">
        <f t="shared" si="0"/>
        <v>14</v>
      </c>
      <c r="B117" s="285" t="s">
        <v>132</v>
      </c>
      <c r="C117" s="285"/>
      <c r="D117" s="285"/>
      <c r="E117" s="285"/>
      <c r="F117" s="285"/>
      <c r="G117" s="285"/>
      <c r="H117" s="285"/>
      <c r="I117" s="285"/>
      <c r="J117" s="285"/>
      <c r="K117" s="285"/>
      <c r="L117" s="285"/>
      <c r="M117" s="285"/>
      <c r="N117" s="285"/>
      <c r="O117" s="285"/>
      <c r="P117" s="285"/>
      <c r="Q117" s="285"/>
      <c r="R117" s="285"/>
      <c r="S117" s="285"/>
      <c r="T117" s="339">
        <f>-T99-SUM(T101:T116)</f>
        <v>-1494</v>
      </c>
      <c r="U117" s="288"/>
      <c r="V117" s="5"/>
    </row>
    <row r="118" spans="1:22" ht="15.6" x14ac:dyDescent="0.3">
      <c r="A118" s="284"/>
      <c r="B118" s="343" t="s">
        <v>38</v>
      </c>
      <c r="C118" s="311"/>
      <c r="D118" s="311"/>
      <c r="E118" s="311"/>
      <c r="F118" s="311"/>
      <c r="G118" s="311"/>
      <c r="H118" s="311"/>
      <c r="I118" s="311"/>
      <c r="J118" s="311"/>
      <c r="K118" s="311"/>
      <c r="L118" s="311"/>
      <c r="M118" s="311"/>
      <c r="N118" s="311"/>
      <c r="O118" s="311"/>
      <c r="P118" s="311"/>
      <c r="Q118" s="311"/>
      <c r="R118" s="311"/>
      <c r="S118" s="311"/>
      <c r="T118" s="346"/>
      <c r="U118" s="317"/>
      <c r="V118" s="5"/>
    </row>
    <row r="119" spans="1:22" ht="15.6" x14ac:dyDescent="0.3">
      <c r="A119" s="337"/>
      <c r="B119" s="285" t="s">
        <v>180</v>
      </c>
      <c r="C119" s="285"/>
      <c r="D119" s="285"/>
      <c r="E119" s="285"/>
      <c r="F119" s="285"/>
      <c r="G119" s="285"/>
      <c r="H119" s="285"/>
      <c r="I119" s="285"/>
      <c r="J119" s="285"/>
      <c r="K119" s="285"/>
      <c r="L119" s="285"/>
      <c r="M119" s="285"/>
      <c r="N119" s="285"/>
      <c r="O119" s="285"/>
      <c r="P119" s="285"/>
      <c r="Q119" s="285"/>
      <c r="R119" s="338">
        <f>-R177</f>
        <v>0</v>
      </c>
      <c r="S119" s="338"/>
      <c r="T119" s="339"/>
      <c r="U119" s="288"/>
      <c r="V119" s="5"/>
    </row>
    <row r="120" spans="1:22" ht="15.6" x14ac:dyDescent="0.3">
      <c r="A120" s="337"/>
      <c r="B120" s="285" t="s">
        <v>181</v>
      </c>
      <c r="C120" s="285"/>
      <c r="D120" s="285"/>
      <c r="E120" s="285"/>
      <c r="F120" s="285"/>
      <c r="G120" s="285"/>
      <c r="H120" s="285"/>
      <c r="I120" s="285"/>
      <c r="J120" s="285"/>
      <c r="K120" s="285"/>
      <c r="L120" s="285"/>
      <c r="M120" s="285"/>
      <c r="N120" s="285"/>
      <c r="O120" s="285"/>
      <c r="P120" s="285"/>
      <c r="Q120" s="285"/>
      <c r="R120" s="338">
        <v>0</v>
      </c>
      <c r="S120" s="338"/>
      <c r="T120" s="339"/>
      <c r="U120" s="288"/>
      <c r="V120" s="5"/>
    </row>
    <row r="121" spans="1:22" ht="15.6" x14ac:dyDescent="0.3">
      <c r="A121" s="337"/>
      <c r="B121" s="285" t="s">
        <v>39</v>
      </c>
      <c r="C121" s="285"/>
      <c r="D121" s="285"/>
      <c r="E121" s="285"/>
      <c r="F121" s="285"/>
      <c r="G121" s="285"/>
      <c r="H121" s="285"/>
      <c r="I121" s="285"/>
      <c r="J121" s="285"/>
      <c r="K121" s="285"/>
      <c r="L121" s="285"/>
      <c r="M121" s="285"/>
      <c r="N121" s="285"/>
      <c r="O121" s="285"/>
      <c r="P121" s="285"/>
      <c r="Q121" s="285"/>
      <c r="R121" s="338">
        <f>-Q177</f>
        <v>-568</v>
      </c>
      <c r="S121" s="338"/>
      <c r="T121" s="339"/>
      <c r="U121" s="288"/>
      <c r="V121" s="5"/>
    </row>
    <row r="122" spans="1:22" ht="15.6" x14ac:dyDescent="0.3">
      <c r="A122" s="337"/>
      <c r="B122" s="285" t="s">
        <v>372</v>
      </c>
      <c r="C122" s="285"/>
      <c r="D122" s="285"/>
      <c r="E122" s="285"/>
      <c r="F122" s="285"/>
      <c r="G122" s="285"/>
      <c r="H122" s="285"/>
      <c r="I122" s="285"/>
      <c r="J122" s="285"/>
      <c r="K122" s="285"/>
      <c r="L122" s="285"/>
      <c r="M122" s="285"/>
      <c r="N122" s="285"/>
      <c r="O122" s="285"/>
      <c r="P122" s="285"/>
      <c r="Q122" s="285"/>
      <c r="R122" s="338">
        <v>-3545</v>
      </c>
      <c r="S122" s="338"/>
      <c r="T122" s="339"/>
      <c r="U122" s="288"/>
      <c r="V122" s="5"/>
    </row>
    <row r="123" spans="1:22" ht="15.6" x14ac:dyDescent="0.3">
      <c r="A123" s="337"/>
      <c r="B123" s="285" t="s">
        <v>203</v>
      </c>
      <c r="C123" s="285"/>
      <c r="D123" s="285"/>
      <c r="E123" s="285"/>
      <c r="F123" s="285"/>
      <c r="G123" s="285"/>
      <c r="H123" s="285"/>
      <c r="I123" s="285"/>
      <c r="J123" s="285"/>
      <c r="K123" s="285"/>
      <c r="L123" s="285"/>
      <c r="M123" s="285"/>
      <c r="N123" s="285"/>
      <c r="O123" s="285"/>
      <c r="P123" s="285"/>
      <c r="Q123" s="285"/>
      <c r="R123" s="338">
        <v>-934</v>
      </c>
      <c r="S123" s="338"/>
      <c r="T123" s="339"/>
      <c r="U123" s="288"/>
      <c r="V123" s="5"/>
    </row>
    <row r="124" spans="1:22" ht="15.6" x14ac:dyDescent="0.3">
      <c r="A124" s="337"/>
      <c r="B124" s="285" t="s">
        <v>202</v>
      </c>
      <c r="C124" s="285"/>
      <c r="D124" s="285"/>
      <c r="E124" s="285"/>
      <c r="F124" s="285"/>
      <c r="G124" s="285"/>
      <c r="H124" s="285"/>
      <c r="I124" s="285"/>
      <c r="J124" s="285"/>
      <c r="K124" s="285"/>
      <c r="L124" s="285"/>
      <c r="M124" s="285"/>
      <c r="N124" s="285"/>
      <c r="O124" s="285"/>
      <c r="P124" s="285"/>
      <c r="Q124" s="285"/>
      <c r="R124" s="338">
        <v>-942</v>
      </c>
      <c r="S124" s="338"/>
      <c r="T124" s="339"/>
      <c r="U124" s="288"/>
      <c r="V124" s="5"/>
    </row>
    <row r="125" spans="1:22" ht="15.6" x14ac:dyDescent="0.3">
      <c r="A125" s="337"/>
      <c r="B125" s="285" t="s">
        <v>197</v>
      </c>
      <c r="C125" s="285"/>
      <c r="D125" s="285"/>
      <c r="E125" s="285"/>
      <c r="F125" s="285"/>
      <c r="G125" s="285"/>
      <c r="H125" s="285"/>
      <c r="I125" s="285"/>
      <c r="J125" s="285"/>
      <c r="K125" s="285"/>
      <c r="L125" s="285"/>
      <c r="M125" s="285"/>
      <c r="N125" s="285"/>
      <c r="O125" s="285"/>
      <c r="P125" s="285"/>
      <c r="Q125" s="285"/>
      <c r="R125" s="338">
        <v>-237</v>
      </c>
      <c r="S125" s="338"/>
      <c r="T125" s="339"/>
      <c r="U125" s="288"/>
      <c r="V125" s="5"/>
    </row>
    <row r="126" spans="1:22" ht="15.6" x14ac:dyDescent="0.3">
      <c r="A126" s="337"/>
      <c r="B126" s="285" t="s">
        <v>196</v>
      </c>
      <c r="C126" s="285"/>
      <c r="D126" s="285"/>
      <c r="E126" s="285"/>
      <c r="F126" s="285"/>
      <c r="G126" s="285"/>
      <c r="H126" s="285"/>
      <c r="I126" s="285"/>
      <c r="J126" s="285"/>
      <c r="K126" s="285"/>
      <c r="L126" s="285"/>
      <c r="M126" s="285"/>
      <c r="N126" s="285"/>
      <c r="O126" s="285"/>
      <c r="P126" s="285"/>
      <c r="Q126" s="285"/>
      <c r="R126" s="338">
        <v>-838</v>
      </c>
      <c r="S126" s="338"/>
      <c r="T126" s="339"/>
      <c r="U126" s="288"/>
      <c r="V126" s="5"/>
    </row>
    <row r="127" spans="1:22" ht="15.6" x14ac:dyDescent="0.3">
      <c r="A127" s="337"/>
      <c r="B127" s="285" t="s">
        <v>195</v>
      </c>
      <c r="C127" s="285"/>
      <c r="D127" s="285"/>
      <c r="E127" s="285"/>
      <c r="F127" s="285"/>
      <c r="G127" s="285"/>
      <c r="H127" s="285"/>
      <c r="I127" s="285"/>
      <c r="J127" s="285"/>
      <c r="K127" s="285"/>
      <c r="L127" s="285"/>
      <c r="M127" s="285"/>
      <c r="N127" s="285"/>
      <c r="O127" s="285"/>
      <c r="P127" s="285"/>
      <c r="Q127" s="285"/>
      <c r="R127" s="338">
        <v>-889</v>
      </c>
      <c r="S127" s="338"/>
      <c r="T127" s="339"/>
      <c r="U127" s="288"/>
      <c r="V127" s="5"/>
    </row>
    <row r="128" spans="1:22" ht="15.6" x14ac:dyDescent="0.3">
      <c r="A128" s="337"/>
      <c r="B128" s="285" t="s">
        <v>40</v>
      </c>
      <c r="C128" s="285"/>
      <c r="D128" s="285"/>
      <c r="E128" s="285"/>
      <c r="F128" s="285"/>
      <c r="G128" s="285"/>
      <c r="H128" s="285"/>
      <c r="I128" s="285"/>
      <c r="J128" s="285"/>
      <c r="K128" s="285"/>
      <c r="L128" s="285"/>
      <c r="M128" s="285"/>
      <c r="N128" s="285"/>
      <c r="O128" s="285"/>
      <c r="P128" s="285"/>
      <c r="Q128" s="285"/>
      <c r="R128" s="338">
        <f>SUM(R119:R127)</f>
        <v>-7953</v>
      </c>
      <c r="S128" s="338"/>
      <c r="T128" s="338">
        <f>SUM(T100:T126)</f>
        <v>-2801</v>
      </c>
      <c r="U128" s="288"/>
      <c r="V128" s="5"/>
    </row>
    <row r="129" spans="1:23" ht="15.6" x14ac:dyDescent="0.3">
      <c r="A129" s="337"/>
      <c r="B129" s="285" t="s">
        <v>41</v>
      </c>
      <c r="C129" s="285"/>
      <c r="D129" s="285"/>
      <c r="E129" s="285"/>
      <c r="F129" s="285"/>
      <c r="G129" s="285"/>
      <c r="H129" s="285"/>
      <c r="I129" s="285"/>
      <c r="J129" s="285"/>
      <c r="K129" s="285"/>
      <c r="L129" s="285"/>
      <c r="M129" s="285"/>
      <c r="N129" s="285"/>
      <c r="O129" s="285"/>
      <c r="P129" s="285"/>
      <c r="Q129" s="285"/>
      <c r="R129" s="338">
        <f>R99+R128+R112</f>
        <v>0</v>
      </c>
      <c r="S129" s="338"/>
      <c r="T129" s="338">
        <f>T99+T128</f>
        <v>0</v>
      </c>
      <c r="U129" s="288"/>
      <c r="V129" s="5"/>
    </row>
    <row r="130" spans="1:23" ht="15.6" x14ac:dyDescent="0.3">
      <c r="A130" s="256"/>
      <c r="B130" s="281"/>
      <c r="C130" s="281"/>
      <c r="D130" s="281"/>
      <c r="E130" s="281"/>
      <c r="F130" s="281"/>
      <c r="G130" s="281"/>
      <c r="H130" s="281"/>
      <c r="I130" s="281"/>
      <c r="J130" s="281"/>
      <c r="K130" s="281"/>
      <c r="L130" s="281"/>
      <c r="M130" s="281"/>
      <c r="N130" s="281"/>
      <c r="O130" s="281"/>
      <c r="P130" s="281"/>
      <c r="Q130" s="281"/>
      <c r="R130" s="340"/>
      <c r="S130" s="340"/>
      <c r="T130" s="340"/>
      <c r="U130" s="281"/>
      <c r="V130" s="5"/>
    </row>
    <row r="131" spans="1:23" ht="15.6" x14ac:dyDescent="0.3">
      <c r="A131" s="256"/>
      <c r="B131" s="231"/>
      <c r="C131" s="231"/>
      <c r="D131" s="231"/>
      <c r="E131" s="231"/>
      <c r="F131" s="231"/>
      <c r="G131" s="231"/>
      <c r="H131" s="231"/>
      <c r="I131" s="231"/>
      <c r="J131" s="231"/>
      <c r="K131" s="231"/>
      <c r="L131" s="231"/>
      <c r="M131" s="231"/>
      <c r="N131" s="231"/>
      <c r="O131" s="231"/>
      <c r="P131" s="231"/>
      <c r="Q131" s="231"/>
      <c r="R131" s="231"/>
      <c r="S131" s="231"/>
      <c r="T131" s="257"/>
      <c r="U131" s="231"/>
      <c r="V131" s="5"/>
    </row>
    <row r="132" spans="1:23" ht="18" thickBot="1" x14ac:dyDescent="0.35">
      <c r="A132" s="258"/>
      <c r="B132" s="246" t="str">
        <f>B63</f>
        <v>PM11 INVESTOR REPORT QUARTER ENDING MARCH 2017</v>
      </c>
      <c r="C132" s="247"/>
      <c r="D132" s="247"/>
      <c r="E132" s="247"/>
      <c r="F132" s="247"/>
      <c r="G132" s="247"/>
      <c r="H132" s="247"/>
      <c r="I132" s="247"/>
      <c r="J132" s="247"/>
      <c r="K132" s="247"/>
      <c r="L132" s="247"/>
      <c r="M132" s="247"/>
      <c r="N132" s="247"/>
      <c r="O132" s="247"/>
      <c r="P132" s="247"/>
      <c r="Q132" s="247"/>
      <c r="R132" s="247"/>
      <c r="S132" s="247"/>
      <c r="T132" s="259"/>
      <c r="U132" s="249"/>
      <c r="V132" s="5"/>
    </row>
    <row r="133" spans="1:23" ht="15.6" x14ac:dyDescent="0.3">
      <c r="A133" s="260"/>
      <c r="B133" s="399" t="s">
        <v>42</v>
      </c>
      <c r="C133" s="261"/>
      <c r="D133" s="261"/>
      <c r="E133" s="261"/>
      <c r="F133" s="261"/>
      <c r="G133" s="261"/>
      <c r="H133" s="261"/>
      <c r="I133" s="261"/>
      <c r="J133" s="261"/>
      <c r="K133" s="261"/>
      <c r="L133" s="261"/>
      <c r="M133" s="261"/>
      <c r="N133" s="261"/>
      <c r="O133" s="261"/>
      <c r="P133" s="261"/>
      <c r="Q133" s="261"/>
      <c r="R133" s="261"/>
      <c r="S133" s="261"/>
      <c r="T133" s="262"/>
      <c r="U133" s="261"/>
      <c r="V133" s="5"/>
    </row>
    <row r="134" spans="1:23" ht="15.6" x14ac:dyDescent="0.3">
      <c r="A134" s="175"/>
      <c r="B134" s="187"/>
      <c r="C134" s="177"/>
      <c r="D134" s="177"/>
      <c r="E134" s="177"/>
      <c r="F134" s="177"/>
      <c r="G134" s="177"/>
      <c r="H134" s="177"/>
      <c r="I134" s="177"/>
      <c r="J134" s="177"/>
      <c r="K134" s="177"/>
      <c r="L134" s="177"/>
      <c r="M134" s="177"/>
      <c r="N134" s="177"/>
      <c r="O134" s="177"/>
      <c r="P134" s="177"/>
      <c r="Q134" s="177"/>
      <c r="R134" s="177"/>
      <c r="S134" s="177"/>
      <c r="T134" s="194"/>
      <c r="U134" s="177"/>
      <c r="V134" s="5"/>
    </row>
    <row r="135" spans="1:23" ht="15.6" x14ac:dyDescent="0.3">
      <c r="A135" s="175"/>
      <c r="B135" s="201" t="s">
        <v>43</v>
      </c>
      <c r="C135" s="177"/>
      <c r="D135" s="177"/>
      <c r="E135" s="177"/>
      <c r="F135" s="177"/>
      <c r="G135" s="177"/>
      <c r="H135" s="177"/>
      <c r="I135" s="177"/>
      <c r="J135" s="177"/>
      <c r="K135" s="177"/>
      <c r="L135" s="177"/>
      <c r="M135" s="177"/>
      <c r="N135" s="177"/>
      <c r="O135" s="177"/>
      <c r="P135" s="177"/>
      <c r="Q135" s="177"/>
      <c r="R135" s="177"/>
      <c r="S135" s="177"/>
      <c r="T135" s="194"/>
      <c r="U135" s="177"/>
      <c r="V135" s="5"/>
    </row>
    <row r="136" spans="1:23" ht="15.6" x14ac:dyDescent="0.3">
      <c r="A136" s="284"/>
      <c r="B136" s="285" t="s">
        <v>44</v>
      </c>
      <c r="C136" s="285"/>
      <c r="D136" s="285"/>
      <c r="E136" s="285"/>
      <c r="F136" s="285"/>
      <c r="G136" s="285"/>
      <c r="H136" s="285"/>
      <c r="I136" s="285"/>
      <c r="J136" s="285"/>
      <c r="K136" s="285"/>
      <c r="L136" s="285"/>
      <c r="M136" s="285"/>
      <c r="N136" s="285"/>
      <c r="O136" s="285"/>
      <c r="P136" s="285"/>
      <c r="Q136" s="285"/>
      <c r="R136" s="285"/>
      <c r="S136" s="285"/>
      <c r="T136" s="339">
        <f>+T34*0.019</f>
        <v>19000.95</v>
      </c>
      <c r="U136" s="288"/>
      <c r="V136" s="5"/>
    </row>
    <row r="137" spans="1:23" ht="15.6" x14ac:dyDescent="0.3">
      <c r="A137" s="284"/>
      <c r="B137" s="285" t="s">
        <v>45</v>
      </c>
      <c r="C137" s="285"/>
      <c r="D137" s="285"/>
      <c r="E137" s="285"/>
      <c r="F137" s="285"/>
      <c r="G137" s="285"/>
      <c r="H137" s="285"/>
      <c r="I137" s="285"/>
      <c r="J137" s="285"/>
      <c r="K137" s="285"/>
      <c r="L137" s="285"/>
      <c r="M137" s="285"/>
      <c r="N137" s="285"/>
      <c r="O137" s="285"/>
      <c r="P137" s="285"/>
      <c r="Q137" s="285"/>
      <c r="R137" s="285"/>
      <c r="S137" s="285"/>
      <c r="T137" s="339">
        <v>19001</v>
      </c>
      <c r="U137" s="288"/>
      <c r="V137" s="5"/>
    </row>
    <row r="138" spans="1:23" ht="15.6" x14ac:dyDescent="0.3">
      <c r="A138" s="284"/>
      <c r="B138" s="285" t="s">
        <v>142</v>
      </c>
      <c r="C138" s="285"/>
      <c r="D138" s="285"/>
      <c r="E138" s="285"/>
      <c r="F138" s="285"/>
      <c r="G138" s="285"/>
      <c r="H138" s="285"/>
      <c r="I138" s="285"/>
      <c r="J138" s="285"/>
      <c r="K138" s="285"/>
      <c r="L138" s="285"/>
      <c r="M138" s="285"/>
      <c r="N138" s="285"/>
      <c r="O138" s="285"/>
      <c r="P138" s="285"/>
      <c r="Q138" s="285"/>
      <c r="R138" s="285"/>
      <c r="S138" s="285"/>
      <c r="T138" s="339">
        <v>0</v>
      </c>
      <c r="U138" s="288"/>
      <c r="V138" s="5"/>
    </row>
    <row r="139" spans="1:23" ht="15.6" x14ac:dyDescent="0.3">
      <c r="A139" s="284"/>
      <c r="B139" s="285" t="s">
        <v>129</v>
      </c>
      <c r="C139" s="285"/>
      <c r="D139" s="285"/>
      <c r="E139" s="285"/>
      <c r="F139" s="285"/>
      <c r="G139" s="285"/>
      <c r="H139" s="285"/>
      <c r="I139" s="285"/>
      <c r="J139" s="285"/>
      <c r="K139" s="285"/>
      <c r="L139" s="285"/>
      <c r="M139" s="285"/>
      <c r="N139" s="285"/>
      <c r="O139" s="285"/>
      <c r="P139" s="285"/>
      <c r="Q139" s="285"/>
      <c r="R139" s="285"/>
      <c r="S139" s="285"/>
      <c r="T139" s="339">
        <v>0</v>
      </c>
      <c r="U139" s="288"/>
      <c r="V139" s="5"/>
    </row>
    <row r="140" spans="1:23" ht="15.6" x14ac:dyDescent="0.3">
      <c r="A140" s="284"/>
      <c r="B140" s="285" t="s">
        <v>130</v>
      </c>
      <c r="C140" s="285"/>
      <c r="D140" s="285"/>
      <c r="E140" s="285"/>
      <c r="F140" s="285"/>
      <c r="G140" s="285"/>
      <c r="H140" s="285"/>
      <c r="I140" s="285"/>
      <c r="J140" s="285"/>
      <c r="K140" s="285"/>
      <c r="L140" s="285"/>
      <c r="M140" s="285"/>
      <c r="N140" s="285"/>
      <c r="O140" s="285"/>
      <c r="P140" s="285"/>
      <c r="Q140" s="285"/>
      <c r="R140" s="285"/>
      <c r="S140" s="285"/>
      <c r="T140" s="339">
        <v>0</v>
      </c>
      <c r="U140" s="288"/>
      <c r="V140" s="5"/>
    </row>
    <row r="141" spans="1:23" ht="15.6" x14ac:dyDescent="0.3">
      <c r="A141" s="284"/>
      <c r="B141" s="285" t="s">
        <v>182</v>
      </c>
      <c r="C141" s="285"/>
      <c r="D141" s="285"/>
      <c r="E141" s="285"/>
      <c r="F141" s="285"/>
      <c r="G141" s="285"/>
      <c r="H141" s="285"/>
      <c r="I141" s="285"/>
      <c r="J141" s="285"/>
      <c r="K141" s="285"/>
      <c r="L141" s="285"/>
      <c r="M141" s="285"/>
      <c r="N141" s="285"/>
      <c r="O141" s="285"/>
      <c r="P141" s="285"/>
      <c r="Q141" s="285"/>
      <c r="R141" s="285"/>
      <c r="S141" s="285"/>
      <c r="T141" s="339">
        <v>0</v>
      </c>
      <c r="U141" s="288"/>
      <c r="V141" s="5"/>
    </row>
    <row r="142" spans="1:23" ht="15.6" x14ac:dyDescent="0.3">
      <c r="A142" s="284"/>
      <c r="B142" s="285" t="s">
        <v>46</v>
      </c>
      <c r="C142" s="285"/>
      <c r="D142" s="285"/>
      <c r="E142" s="285"/>
      <c r="F142" s="285"/>
      <c r="G142" s="285"/>
      <c r="H142" s="285"/>
      <c r="I142" s="285"/>
      <c r="J142" s="285"/>
      <c r="K142" s="285"/>
      <c r="L142" s="285"/>
      <c r="M142" s="285"/>
      <c r="N142" s="285"/>
      <c r="O142" s="285"/>
      <c r="P142" s="285"/>
      <c r="Q142" s="285"/>
      <c r="R142" s="285"/>
      <c r="S142" s="285"/>
      <c r="T142" s="339">
        <v>0</v>
      </c>
      <c r="U142" s="288"/>
      <c r="V142" s="5"/>
    </row>
    <row r="143" spans="1:23" ht="15.6" x14ac:dyDescent="0.3">
      <c r="A143" s="284"/>
      <c r="B143" s="285" t="s">
        <v>135</v>
      </c>
      <c r="C143" s="285"/>
      <c r="D143" s="285"/>
      <c r="E143" s="285"/>
      <c r="F143" s="285"/>
      <c r="G143" s="285"/>
      <c r="H143" s="285"/>
      <c r="I143" s="285"/>
      <c r="J143" s="285"/>
      <c r="K143" s="285"/>
      <c r="L143" s="285"/>
      <c r="M143" s="285"/>
      <c r="N143" s="285"/>
      <c r="O143" s="285"/>
      <c r="P143" s="285"/>
      <c r="Q143" s="285"/>
      <c r="R143" s="285"/>
      <c r="S143" s="285"/>
      <c r="T143" s="339">
        <v>0</v>
      </c>
      <c r="U143" s="288"/>
      <c r="V143" s="5"/>
    </row>
    <row r="144" spans="1:23" ht="15.6" x14ac:dyDescent="0.3">
      <c r="A144" s="284"/>
      <c r="B144" s="285" t="s">
        <v>251</v>
      </c>
      <c r="C144" s="285"/>
      <c r="D144" s="285"/>
      <c r="E144" s="285"/>
      <c r="F144" s="285"/>
      <c r="G144" s="285"/>
      <c r="H144" s="285"/>
      <c r="I144" s="285"/>
      <c r="J144" s="285"/>
      <c r="K144" s="285"/>
      <c r="L144" s="285"/>
      <c r="M144" s="285"/>
      <c r="N144" s="285"/>
      <c r="O144" s="285"/>
      <c r="P144" s="285"/>
      <c r="Q144" s="285"/>
      <c r="R144" s="285"/>
      <c r="S144" s="285"/>
      <c r="T144" s="339">
        <v>0</v>
      </c>
      <c r="U144" s="288"/>
      <c r="V144" s="5"/>
      <c r="W144" s="109"/>
    </row>
    <row r="145" spans="1:22" ht="15.6" x14ac:dyDescent="0.3">
      <c r="A145" s="284"/>
      <c r="B145" s="285" t="s">
        <v>47</v>
      </c>
      <c r="C145" s="285"/>
      <c r="D145" s="285"/>
      <c r="E145" s="285"/>
      <c r="F145" s="285"/>
      <c r="G145" s="285"/>
      <c r="H145" s="285"/>
      <c r="I145" s="285"/>
      <c r="J145" s="285"/>
      <c r="K145" s="285"/>
      <c r="L145" s="285"/>
      <c r="M145" s="285"/>
      <c r="N145" s="285"/>
      <c r="O145" s="285"/>
      <c r="P145" s="285"/>
      <c r="Q145" s="285"/>
      <c r="R145" s="285"/>
      <c r="S145" s="285"/>
      <c r="T145" s="339">
        <f>SUM(T137:T144)</f>
        <v>19001</v>
      </c>
      <c r="U145" s="288"/>
      <c r="V145" s="5"/>
    </row>
    <row r="146" spans="1:22" ht="15.6" x14ac:dyDescent="0.3">
      <c r="A146" s="284"/>
      <c r="B146" s="311"/>
      <c r="C146" s="311"/>
      <c r="D146" s="311"/>
      <c r="E146" s="311"/>
      <c r="F146" s="311"/>
      <c r="G146" s="311"/>
      <c r="H146" s="311"/>
      <c r="I146" s="311"/>
      <c r="J146" s="311"/>
      <c r="K146" s="311"/>
      <c r="L146" s="311"/>
      <c r="M146" s="311"/>
      <c r="N146" s="311"/>
      <c r="O146" s="311"/>
      <c r="P146" s="311"/>
      <c r="Q146" s="311"/>
      <c r="R146" s="311"/>
      <c r="S146" s="311"/>
      <c r="T146" s="345"/>
      <c r="U146" s="317"/>
      <c r="V146" s="5"/>
    </row>
    <row r="147" spans="1:22" ht="15.6" x14ac:dyDescent="0.3">
      <c r="A147" s="284"/>
      <c r="B147" s="343" t="s">
        <v>262</v>
      </c>
      <c r="C147" s="311"/>
      <c r="D147" s="311"/>
      <c r="E147" s="311"/>
      <c r="F147" s="311"/>
      <c r="G147" s="311"/>
      <c r="H147" s="311"/>
      <c r="I147" s="311"/>
      <c r="J147" s="311"/>
      <c r="K147" s="311"/>
      <c r="L147" s="311"/>
      <c r="M147" s="311"/>
      <c r="N147" s="311"/>
      <c r="O147" s="311"/>
      <c r="P147" s="311"/>
      <c r="Q147" s="311"/>
      <c r="R147" s="311"/>
      <c r="S147" s="311"/>
      <c r="T147" s="345"/>
      <c r="U147" s="317"/>
      <c r="V147" s="5"/>
    </row>
    <row r="148" spans="1:22" ht="15.6" x14ac:dyDescent="0.3">
      <c r="A148" s="284"/>
      <c r="B148" s="285" t="s">
        <v>263</v>
      </c>
      <c r="C148" s="285"/>
      <c r="D148" s="285"/>
      <c r="E148" s="285"/>
      <c r="F148" s="285"/>
      <c r="G148" s="285"/>
      <c r="H148" s="285"/>
      <c r="I148" s="285"/>
      <c r="J148" s="285"/>
      <c r="K148" s="285"/>
      <c r="L148" s="285"/>
      <c r="M148" s="285"/>
      <c r="N148" s="285"/>
      <c r="O148" s="285"/>
      <c r="P148" s="285"/>
      <c r="Q148" s="285"/>
      <c r="R148" s="285"/>
      <c r="S148" s="285"/>
      <c r="T148" s="339">
        <v>0</v>
      </c>
      <c r="U148" s="288"/>
      <c r="V148" s="5"/>
    </row>
    <row r="149" spans="1:22" ht="15.6" x14ac:dyDescent="0.3">
      <c r="A149" s="284"/>
      <c r="B149" s="285" t="s">
        <v>179</v>
      </c>
      <c r="C149" s="285"/>
      <c r="D149" s="285"/>
      <c r="E149" s="285"/>
      <c r="F149" s="285"/>
      <c r="G149" s="285"/>
      <c r="H149" s="285"/>
      <c r="I149" s="285"/>
      <c r="J149" s="285"/>
      <c r="K149" s="285"/>
      <c r="L149" s="285"/>
      <c r="M149" s="285"/>
      <c r="N149" s="285"/>
      <c r="O149" s="285"/>
      <c r="P149" s="285"/>
      <c r="Q149" s="285"/>
      <c r="R149" s="285"/>
      <c r="S149" s="285"/>
      <c r="T149" s="339">
        <v>0</v>
      </c>
      <c r="U149" s="288"/>
      <c r="V149" s="5"/>
    </row>
    <row r="150" spans="1:22" ht="15.6" x14ac:dyDescent="0.3">
      <c r="A150" s="284"/>
      <c r="B150" s="285" t="s">
        <v>264</v>
      </c>
      <c r="C150" s="285"/>
      <c r="D150" s="285"/>
      <c r="E150" s="285"/>
      <c r="F150" s="285"/>
      <c r="G150" s="285"/>
      <c r="H150" s="285"/>
      <c r="I150" s="285"/>
      <c r="J150" s="285"/>
      <c r="K150" s="285"/>
      <c r="L150" s="285"/>
      <c r="M150" s="285"/>
      <c r="N150" s="285"/>
      <c r="O150" s="285"/>
      <c r="P150" s="285"/>
      <c r="Q150" s="285"/>
      <c r="R150" s="285"/>
      <c r="S150" s="285"/>
      <c r="T150" s="339">
        <v>0</v>
      </c>
      <c r="U150" s="288"/>
      <c r="V150" s="5"/>
    </row>
    <row r="151" spans="1:22" ht="15.6" x14ac:dyDescent="0.3">
      <c r="A151" s="284"/>
      <c r="B151" s="285"/>
      <c r="C151" s="285"/>
      <c r="D151" s="285"/>
      <c r="E151" s="285"/>
      <c r="F151" s="285"/>
      <c r="G151" s="285"/>
      <c r="H151" s="285"/>
      <c r="I151" s="285"/>
      <c r="J151" s="285"/>
      <c r="K151" s="285"/>
      <c r="L151" s="285"/>
      <c r="M151" s="285"/>
      <c r="N151" s="285"/>
      <c r="O151" s="285"/>
      <c r="P151" s="285"/>
      <c r="Q151" s="285"/>
      <c r="R151" s="285"/>
      <c r="S151" s="285"/>
      <c r="T151" s="339"/>
      <c r="U151" s="288"/>
      <c r="V151" s="5"/>
    </row>
    <row r="152" spans="1:22" ht="15.6" x14ac:dyDescent="0.3">
      <c r="A152" s="175"/>
      <c r="B152" s="334"/>
      <c r="C152" s="334"/>
      <c r="D152" s="334"/>
      <c r="E152" s="334"/>
      <c r="F152" s="334"/>
      <c r="G152" s="334"/>
      <c r="H152" s="334"/>
      <c r="I152" s="334"/>
      <c r="J152" s="334"/>
      <c r="K152" s="334"/>
      <c r="L152" s="334"/>
      <c r="M152" s="334"/>
      <c r="N152" s="334"/>
      <c r="O152" s="334"/>
      <c r="P152" s="334"/>
      <c r="Q152" s="334"/>
      <c r="R152" s="334"/>
      <c r="S152" s="334"/>
      <c r="T152" s="347"/>
      <c r="U152" s="334"/>
      <c r="V152" s="5"/>
    </row>
    <row r="153" spans="1:22" ht="15.6" x14ac:dyDescent="0.3">
      <c r="A153" s="175"/>
      <c r="B153" s="201" t="s">
        <v>24</v>
      </c>
      <c r="C153" s="177"/>
      <c r="D153" s="177"/>
      <c r="E153" s="177"/>
      <c r="F153" s="177"/>
      <c r="G153" s="177"/>
      <c r="H153" s="177"/>
      <c r="I153" s="177"/>
      <c r="J153" s="177"/>
      <c r="K153" s="177"/>
      <c r="L153" s="177"/>
      <c r="M153" s="177"/>
      <c r="N153" s="177"/>
      <c r="O153" s="177"/>
      <c r="P153" s="177"/>
      <c r="Q153" s="177"/>
      <c r="R153" s="177"/>
      <c r="S153" s="177"/>
      <c r="T153" s="194"/>
      <c r="U153" s="177"/>
      <c r="V153" s="5"/>
    </row>
    <row r="154" spans="1:22" ht="15.6" x14ac:dyDescent="0.3">
      <c r="A154" s="284"/>
      <c r="B154" s="285" t="s">
        <v>48</v>
      </c>
      <c r="C154" s="285"/>
      <c r="D154" s="285"/>
      <c r="E154" s="285"/>
      <c r="F154" s="285"/>
      <c r="G154" s="285"/>
      <c r="H154" s="285"/>
      <c r="I154" s="285"/>
      <c r="J154" s="285"/>
      <c r="K154" s="285"/>
      <c r="L154" s="285"/>
      <c r="M154" s="285"/>
      <c r="N154" s="285"/>
      <c r="O154" s="285"/>
      <c r="P154" s="285"/>
      <c r="Q154" s="285"/>
      <c r="R154" s="285"/>
      <c r="S154" s="285"/>
      <c r="T154" s="348" t="s">
        <v>124</v>
      </c>
      <c r="U154" s="288"/>
      <c r="V154" s="5"/>
    </row>
    <row r="155" spans="1:22" ht="15.6" x14ac:dyDescent="0.3">
      <c r="A155" s="284"/>
      <c r="B155" s="285" t="s">
        <v>49</v>
      </c>
      <c r="C155" s="287"/>
      <c r="D155" s="287"/>
      <c r="E155" s="287"/>
      <c r="F155" s="287"/>
      <c r="G155" s="287"/>
      <c r="H155" s="287"/>
      <c r="I155" s="287"/>
      <c r="J155" s="287"/>
      <c r="K155" s="287"/>
      <c r="L155" s="287"/>
      <c r="M155" s="287"/>
      <c r="N155" s="287"/>
      <c r="O155" s="287"/>
      <c r="P155" s="287"/>
      <c r="Q155" s="287"/>
      <c r="R155" s="287"/>
      <c r="S155" s="287"/>
      <c r="T155" s="348" t="s">
        <v>124</v>
      </c>
      <c r="U155" s="288"/>
      <c r="V155" s="5"/>
    </row>
    <row r="156" spans="1:22" ht="15.6" x14ac:dyDescent="0.3">
      <c r="A156" s="284"/>
      <c r="B156" s="285" t="s">
        <v>50</v>
      </c>
      <c r="C156" s="285"/>
      <c r="D156" s="285"/>
      <c r="E156" s="285"/>
      <c r="F156" s="285"/>
      <c r="G156" s="285"/>
      <c r="H156" s="285"/>
      <c r="I156" s="285"/>
      <c r="J156" s="285"/>
      <c r="K156" s="285"/>
      <c r="L156" s="285"/>
      <c r="M156" s="285"/>
      <c r="N156" s="285"/>
      <c r="O156" s="285"/>
      <c r="P156" s="285"/>
      <c r="Q156" s="285"/>
      <c r="R156" s="285"/>
      <c r="S156" s="285"/>
      <c r="T156" s="348" t="s">
        <v>124</v>
      </c>
      <c r="U156" s="288"/>
      <c r="V156" s="5"/>
    </row>
    <row r="157" spans="1:22" ht="15.6" x14ac:dyDescent="0.3">
      <c r="A157" s="284"/>
      <c r="B157" s="285" t="s">
        <v>51</v>
      </c>
      <c r="C157" s="285"/>
      <c r="D157" s="285"/>
      <c r="E157" s="285"/>
      <c r="F157" s="285"/>
      <c r="G157" s="285"/>
      <c r="H157" s="285"/>
      <c r="I157" s="285"/>
      <c r="J157" s="285"/>
      <c r="K157" s="285"/>
      <c r="L157" s="285"/>
      <c r="M157" s="285"/>
      <c r="N157" s="285"/>
      <c r="O157" s="285"/>
      <c r="P157" s="285"/>
      <c r="Q157" s="285"/>
      <c r="R157" s="285"/>
      <c r="S157" s="285"/>
      <c r="T157" s="348" t="s">
        <v>124</v>
      </c>
      <c r="U157" s="288"/>
      <c r="V157" s="5"/>
    </row>
    <row r="158" spans="1:22" ht="15.6" x14ac:dyDescent="0.3">
      <c r="A158" s="175"/>
      <c r="B158" s="334"/>
      <c r="C158" s="334"/>
      <c r="D158" s="334"/>
      <c r="E158" s="334"/>
      <c r="F158" s="334"/>
      <c r="G158" s="334"/>
      <c r="H158" s="334"/>
      <c r="I158" s="334"/>
      <c r="J158" s="334"/>
      <c r="K158" s="334"/>
      <c r="L158" s="334"/>
      <c r="M158" s="334"/>
      <c r="N158" s="334"/>
      <c r="O158" s="334"/>
      <c r="P158" s="334"/>
      <c r="Q158" s="334"/>
      <c r="R158" s="334"/>
      <c r="S158" s="334"/>
      <c r="T158" s="347"/>
      <c r="U158" s="334"/>
      <c r="V158" s="5"/>
    </row>
    <row r="159" spans="1:22" ht="15.6" x14ac:dyDescent="0.3">
      <c r="A159" s="175"/>
      <c r="B159" s="201" t="s">
        <v>52</v>
      </c>
      <c r="C159" s="177"/>
      <c r="D159" s="177"/>
      <c r="E159" s="177"/>
      <c r="F159" s="177"/>
      <c r="G159" s="177"/>
      <c r="H159" s="177"/>
      <c r="I159" s="177"/>
      <c r="J159" s="177"/>
      <c r="K159" s="177"/>
      <c r="L159" s="177"/>
      <c r="M159" s="177"/>
      <c r="N159" s="177"/>
      <c r="O159" s="177"/>
      <c r="P159" s="177"/>
      <c r="Q159" s="177"/>
      <c r="R159" s="177"/>
      <c r="S159" s="177"/>
      <c r="T159" s="202"/>
      <c r="U159" s="177"/>
      <c r="V159" s="5"/>
    </row>
    <row r="160" spans="1:22" ht="15.6" x14ac:dyDescent="0.3">
      <c r="A160" s="284"/>
      <c r="B160" s="285" t="s">
        <v>53</v>
      </c>
      <c r="C160" s="285"/>
      <c r="D160" s="285"/>
      <c r="E160" s="285"/>
      <c r="F160" s="285"/>
      <c r="G160" s="285"/>
      <c r="H160" s="285"/>
      <c r="I160" s="285"/>
      <c r="J160" s="285"/>
      <c r="K160" s="285"/>
      <c r="L160" s="285"/>
      <c r="M160" s="285"/>
      <c r="N160" s="285"/>
      <c r="O160" s="285"/>
      <c r="P160" s="285"/>
      <c r="Q160" s="285"/>
      <c r="R160" s="285"/>
      <c r="S160" s="285"/>
      <c r="T160" s="339">
        <v>0</v>
      </c>
      <c r="U160" s="288"/>
      <c r="V160" s="5"/>
    </row>
    <row r="161" spans="1:22" ht="15.6" x14ac:dyDescent="0.3">
      <c r="A161" s="284"/>
      <c r="B161" s="285" t="s">
        <v>54</v>
      </c>
      <c r="C161" s="285"/>
      <c r="D161" s="285"/>
      <c r="E161" s="285"/>
      <c r="F161" s="285"/>
      <c r="G161" s="285"/>
      <c r="H161" s="285"/>
      <c r="I161" s="285"/>
      <c r="J161" s="285"/>
      <c r="K161" s="285"/>
      <c r="L161" s="285"/>
      <c r="M161" s="285"/>
      <c r="N161" s="285"/>
      <c r="O161" s="285"/>
      <c r="P161" s="285"/>
      <c r="Q161" s="285"/>
      <c r="R161" s="285"/>
      <c r="S161" s="285"/>
      <c r="T161" s="339">
        <f>R112</f>
        <v>138</v>
      </c>
      <c r="U161" s="288"/>
      <c r="V161" s="5"/>
    </row>
    <row r="162" spans="1:22" ht="15.6" x14ac:dyDescent="0.3">
      <c r="A162" s="284"/>
      <c r="B162" s="285" t="s">
        <v>55</v>
      </c>
      <c r="C162" s="285"/>
      <c r="D162" s="285"/>
      <c r="E162" s="285"/>
      <c r="F162" s="285"/>
      <c r="G162" s="285"/>
      <c r="H162" s="285"/>
      <c r="I162" s="285"/>
      <c r="J162" s="285"/>
      <c r="K162" s="285"/>
      <c r="L162" s="285"/>
      <c r="M162" s="285"/>
      <c r="N162" s="285"/>
      <c r="O162" s="285"/>
      <c r="P162" s="285"/>
      <c r="Q162" s="285"/>
      <c r="R162" s="285"/>
      <c r="S162" s="285"/>
      <c r="T162" s="339">
        <f>T161+T160</f>
        <v>138</v>
      </c>
      <c r="U162" s="288"/>
      <c r="V162" s="5"/>
    </row>
    <row r="163" spans="1:22" ht="15.6" x14ac:dyDescent="0.3">
      <c r="A163" s="284"/>
      <c r="B163" s="285" t="s">
        <v>301</v>
      </c>
      <c r="C163" s="285"/>
      <c r="D163" s="285"/>
      <c r="E163" s="285"/>
      <c r="F163" s="285"/>
      <c r="G163" s="285"/>
      <c r="H163" s="285"/>
      <c r="I163" s="285"/>
      <c r="J163" s="285"/>
      <c r="K163" s="285"/>
      <c r="L163" s="285"/>
      <c r="M163" s="285"/>
      <c r="N163" s="285"/>
      <c r="O163" s="285"/>
      <c r="P163" s="285"/>
      <c r="Q163" s="285"/>
      <c r="R163" s="285"/>
      <c r="S163" s="285"/>
      <c r="T163" s="339">
        <f>T112</f>
        <v>-138</v>
      </c>
      <c r="U163" s="288"/>
      <c r="V163" s="5"/>
    </row>
    <row r="164" spans="1:22" ht="15.6" x14ac:dyDescent="0.3">
      <c r="A164" s="284"/>
      <c r="B164" s="285" t="s">
        <v>56</v>
      </c>
      <c r="C164" s="285"/>
      <c r="D164" s="285"/>
      <c r="E164" s="285"/>
      <c r="F164" s="285"/>
      <c r="G164" s="285"/>
      <c r="H164" s="285"/>
      <c r="I164" s="285"/>
      <c r="J164" s="285"/>
      <c r="K164" s="285"/>
      <c r="L164" s="285"/>
      <c r="M164" s="285"/>
      <c r="N164" s="285"/>
      <c r="O164" s="285"/>
      <c r="P164" s="285"/>
      <c r="Q164" s="285"/>
      <c r="R164" s="285"/>
      <c r="S164" s="285"/>
      <c r="T164" s="339">
        <f>T162+T163</f>
        <v>0</v>
      </c>
      <c r="U164" s="288"/>
      <c r="V164" s="5"/>
    </row>
    <row r="165" spans="1:22" ht="15.6" x14ac:dyDescent="0.3">
      <c r="A165" s="284"/>
      <c r="B165" s="285" t="s">
        <v>273</v>
      </c>
      <c r="C165" s="285"/>
      <c r="D165" s="285"/>
      <c r="E165" s="285"/>
      <c r="F165" s="285"/>
      <c r="G165" s="285"/>
      <c r="H165" s="285"/>
      <c r="I165" s="285"/>
      <c r="J165" s="285"/>
      <c r="K165" s="285"/>
      <c r="L165" s="285"/>
      <c r="M165" s="285"/>
      <c r="N165" s="285"/>
      <c r="O165" s="285"/>
      <c r="P165" s="285"/>
      <c r="Q165" s="285"/>
      <c r="R165" s="285"/>
      <c r="S165" s="285"/>
      <c r="T165" s="339">
        <v>0</v>
      </c>
      <c r="U165" s="288"/>
      <c r="V165" s="5"/>
    </row>
    <row r="166" spans="1:22" ht="16.2" thickBot="1" x14ac:dyDescent="0.35">
      <c r="A166" s="175"/>
      <c r="B166" s="334"/>
      <c r="C166" s="334"/>
      <c r="D166" s="334"/>
      <c r="E166" s="334"/>
      <c r="F166" s="334"/>
      <c r="G166" s="334"/>
      <c r="H166" s="334"/>
      <c r="I166" s="334"/>
      <c r="J166" s="334"/>
      <c r="K166" s="334"/>
      <c r="L166" s="334"/>
      <c r="M166" s="334"/>
      <c r="N166" s="334"/>
      <c r="O166" s="334"/>
      <c r="P166" s="334"/>
      <c r="Q166" s="334"/>
      <c r="R166" s="334"/>
      <c r="S166" s="334"/>
      <c r="T166" s="347"/>
      <c r="U166" s="334"/>
      <c r="V166" s="5"/>
    </row>
    <row r="167" spans="1:22" ht="15.6" x14ac:dyDescent="0.3">
      <c r="A167" s="173"/>
      <c r="B167" s="174"/>
      <c r="C167" s="174"/>
      <c r="D167" s="174"/>
      <c r="E167" s="174"/>
      <c r="F167" s="174"/>
      <c r="G167" s="174"/>
      <c r="H167" s="174"/>
      <c r="I167" s="174"/>
      <c r="J167" s="174"/>
      <c r="K167" s="174"/>
      <c r="L167" s="174"/>
      <c r="M167" s="174"/>
      <c r="N167" s="174"/>
      <c r="O167" s="174"/>
      <c r="P167" s="174"/>
      <c r="Q167" s="174"/>
      <c r="R167" s="174"/>
      <c r="S167" s="174"/>
      <c r="T167" s="193"/>
      <c r="U167" s="174"/>
      <c r="V167" s="5"/>
    </row>
    <row r="168" spans="1:22" ht="15.6" x14ac:dyDescent="0.3">
      <c r="A168" s="175"/>
      <c r="B168" s="201" t="s">
        <v>57</v>
      </c>
      <c r="C168" s="177"/>
      <c r="D168" s="177"/>
      <c r="E168" s="177"/>
      <c r="F168" s="177"/>
      <c r="G168" s="177"/>
      <c r="H168" s="177"/>
      <c r="I168" s="177"/>
      <c r="J168" s="177"/>
      <c r="K168" s="177"/>
      <c r="L168" s="177"/>
      <c r="M168" s="177"/>
      <c r="N168" s="177"/>
      <c r="O168" s="177"/>
      <c r="P168" s="177"/>
      <c r="Q168" s="177"/>
      <c r="R168" s="177"/>
      <c r="S168" s="177"/>
      <c r="T168" s="194"/>
      <c r="U168" s="177"/>
      <c r="V168" s="5"/>
    </row>
    <row r="169" spans="1:22" ht="15.6" x14ac:dyDescent="0.3">
      <c r="A169" s="175"/>
      <c r="B169" s="187"/>
      <c r="C169" s="177"/>
      <c r="D169" s="177"/>
      <c r="E169" s="177"/>
      <c r="F169" s="177"/>
      <c r="G169" s="177"/>
      <c r="H169" s="177"/>
      <c r="I169" s="177"/>
      <c r="J169" s="177"/>
      <c r="K169" s="177"/>
      <c r="L169" s="177"/>
      <c r="M169" s="177"/>
      <c r="N169" s="177"/>
      <c r="O169" s="177"/>
      <c r="P169" s="177"/>
      <c r="Q169" s="177"/>
      <c r="R169" s="177"/>
      <c r="S169" s="177"/>
      <c r="T169" s="194"/>
      <c r="U169" s="177"/>
      <c r="V169" s="5"/>
    </row>
    <row r="170" spans="1:22" ht="15.6" x14ac:dyDescent="0.3">
      <c r="A170" s="284"/>
      <c r="B170" s="285" t="s">
        <v>58</v>
      </c>
      <c r="C170" s="285"/>
      <c r="D170" s="285"/>
      <c r="E170" s="285"/>
      <c r="F170" s="285"/>
      <c r="G170" s="285"/>
      <c r="H170" s="285"/>
      <c r="I170" s="285"/>
      <c r="J170" s="285"/>
      <c r="K170" s="285"/>
      <c r="L170" s="285"/>
      <c r="M170" s="285"/>
      <c r="N170" s="285"/>
      <c r="O170" s="285"/>
      <c r="P170" s="285"/>
      <c r="Q170" s="285"/>
      <c r="R170" s="285"/>
      <c r="S170" s="285"/>
      <c r="T170" s="339">
        <f>T70</f>
        <v>441215</v>
      </c>
      <c r="U170" s="288"/>
      <c r="V170" s="5"/>
    </row>
    <row r="171" spans="1:22" ht="15.6" x14ac:dyDescent="0.3">
      <c r="A171" s="284"/>
      <c r="B171" s="285" t="s">
        <v>59</v>
      </c>
      <c r="C171" s="285"/>
      <c r="D171" s="285"/>
      <c r="E171" s="285"/>
      <c r="F171" s="285"/>
      <c r="G171" s="285"/>
      <c r="H171" s="285"/>
      <c r="I171" s="285"/>
      <c r="J171" s="285"/>
      <c r="K171" s="285"/>
      <c r="L171" s="285"/>
      <c r="M171" s="285"/>
      <c r="N171" s="285"/>
      <c r="O171" s="285"/>
      <c r="P171" s="285"/>
      <c r="Q171" s="285"/>
      <c r="R171" s="285"/>
      <c r="S171" s="285"/>
      <c r="T171" s="339">
        <f>T83</f>
        <v>441215</v>
      </c>
      <c r="U171" s="288"/>
      <c r="V171" s="5"/>
    </row>
    <row r="172" spans="1:22" ht="16.2" thickBot="1" x14ac:dyDescent="0.35">
      <c r="A172" s="175"/>
      <c r="B172" s="334"/>
      <c r="C172" s="334"/>
      <c r="D172" s="334"/>
      <c r="E172" s="334"/>
      <c r="F172" s="334"/>
      <c r="G172" s="334"/>
      <c r="H172" s="334"/>
      <c r="I172" s="334"/>
      <c r="J172" s="334"/>
      <c r="K172" s="334"/>
      <c r="L172" s="334"/>
      <c r="M172" s="334"/>
      <c r="N172" s="334"/>
      <c r="O172" s="334"/>
      <c r="P172" s="334"/>
      <c r="Q172" s="334"/>
      <c r="R172" s="334"/>
      <c r="S172" s="334"/>
      <c r="T172" s="347"/>
      <c r="U172" s="334"/>
      <c r="V172" s="5"/>
    </row>
    <row r="173" spans="1:22" ht="15.6" x14ac:dyDescent="0.3">
      <c r="A173" s="173"/>
      <c r="B173" s="174"/>
      <c r="C173" s="174"/>
      <c r="D173" s="174"/>
      <c r="E173" s="174"/>
      <c r="F173" s="174"/>
      <c r="G173" s="174"/>
      <c r="H173" s="174"/>
      <c r="I173" s="174"/>
      <c r="J173" s="174"/>
      <c r="K173" s="174"/>
      <c r="L173" s="174"/>
      <c r="M173" s="174"/>
      <c r="N173" s="174"/>
      <c r="O173" s="174"/>
      <c r="P173" s="174"/>
      <c r="Q173" s="174"/>
      <c r="R173" s="174"/>
      <c r="S173" s="174"/>
      <c r="T173" s="193"/>
      <c r="U173" s="174"/>
      <c r="V173" s="5"/>
    </row>
    <row r="174" spans="1:22" ht="15.6" x14ac:dyDescent="0.3">
      <c r="A174" s="175"/>
      <c r="B174" s="201" t="s">
        <v>60</v>
      </c>
      <c r="C174" s="198"/>
      <c r="D174" s="198"/>
      <c r="E174" s="198"/>
      <c r="F174" s="198"/>
      <c r="G174" s="198"/>
      <c r="H174" s="203"/>
      <c r="I174" s="203"/>
      <c r="J174" s="203"/>
      <c r="K174" s="203"/>
      <c r="L174" s="203"/>
      <c r="M174" s="203"/>
      <c r="N174" s="203"/>
      <c r="O174" s="203"/>
      <c r="P174" s="203"/>
      <c r="Q174" s="203" t="s">
        <v>104</v>
      </c>
      <c r="R174" s="203" t="s">
        <v>183</v>
      </c>
      <c r="S174" s="179"/>
      <c r="T174" s="204" t="s">
        <v>120</v>
      </c>
      <c r="U174" s="205"/>
      <c r="V174" s="5"/>
    </row>
    <row r="175" spans="1:22" ht="15.6" x14ac:dyDescent="0.3">
      <c r="A175" s="284"/>
      <c r="B175" s="285" t="s">
        <v>61</v>
      </c>
      <c r="C175" s="285"/>
      <c r="D175" s="285"/>
      <c r="E175" s="285"/>
      <c r="F175" s="285"/>
      <c r="G175" s="285"/>
      <c r="H175" s="285"/>
      <c r="I175" s="285"/>
      <c r="J175" s="285"/>
      <c r="K175" s="285"/>
      <c r="L175" s="285"/>
      <c r="M175" s="285"/>
      <c r="N175" s="285"/>
      <c r="O175" s="285"/>
      <c r="P175" s="285"/>
      <c r="Q175" s="339">
        <v>160008</v>
      </c>
      <c r="R175" s="324"/>
      <c r="S175" s="285"/>
      <c r="T175" s="339"/>
      <c r="U175" s="288"/>
      <c r="V175" s="5"/>
    </row>
    <row r="176" spans="1:22" ht="15.6" x14ac:dyDescent="0.3">
      <c r="A176" s="284"/>
      <c r="B176" s="285" t="s">
        <v>62</v>
      </c>
      <c r="C176" s="285"/>
      <c r="D176" s="285"/>
      <c r="E176" s="285"/>
      <c r="F176" s="285"/>
      <c r="G176" s="285"/>
      <c r="H176" s="285"/>
      <c r="I176" s="285"/>
      <c r="J176" s="285"/>
      <c r="K176" s="285"/>
      <c r="L176" s="285"/>
      <c r="M176" s="285"/>
      <c r="N176" s="285"/>
      <c r="O176" s="285"/>
      <c r="P176" s="285"/>
      <c r="Q176" s="339">
        <f>+'Dec 16'!Q179</f>
        <v>39547</v>
      </c>
      <c r="R176" s="339">
        <f>+'Dec 16'!R179</f>
        <v>3447</v>
      </c>
      <c r="S176" s="285"/>
      <c r="T176" s="339">
        <f>Q176+R176</f>
        <v>42994</v>
      </c>
      <c r="U176" s="288"/>
      <c r="V176" s="5"/>
    </row>
    <row r="177" spans="1:22" ht="15.6" x14ac:dyDescent="0.3">
      <c r="A177" s="284"/>
      <c r="B177" s="285" t="s">
        <v>63</v>
      </c>
      <c r="C177" s="285"/>
      <c r="D177" s="285"/>
      <c r="E177" s="285"/>
      <c r="F177" s="285"/>
      <c r="G177" s="285"/>
      <c r="H177" s="285"/>
      <c r="I177" s="285"/>
      <c r="J177" s="285"/>
      <c r="K177" s="285"/>
      <c r="L177" s="285"/>
      <c r="M177" s="285"/>
      <c r="N177" s="285"/>
      <c r="O177" s="285"/>
      <c r="P177" s="285"/>
      <c r="Q177" s="338">
        <v>568</v>
      </c>
      <c r="R177" s="338">
        <v>0</v>
      </c>
      <c r="S177" s="285"/>
      <c r="T177" s="339">
        <f>Q177+R177</f>
        <v>568</v>
      </c>
      <c r="U177" s="288"/>
      <c r="V177" s="5"/>
    </row>
    <row r="178" spans="1:22" ht="15.6" x14ac:dyDescent="0.3">
      <c r="A178" s="284"/>
      <c r="B178" s="285" t="s">
        <v>64</v>
      </c>
      <c r="C178" s="285"/>
      <c r="D178" s="285"/>
      <c r="E178" s="285"/>
      <c r="F178" s="285"/>
      <c r="G178" s="285"/>
      <c r="H178" s="285"/>
      <c r="I178" s="285"/>
      <c r="J178" s="285"/>
      <c r="K178" s="285"/>
      <c r="L178" s="285"/>
      <c r="M178" s="285"/>
      <c r="N178" s="285"/>
      <c r="O178" s="285"/>
      <c r="P178" s="285"/>
      <c r="Q178" s="339">
        <f>Q176+Q177</f>
        <v>40115</v>
      </c>
      <c r="R178" s="339">
        <f>R177+R176</f>
        <v>3447</v>
      </c>
      <c r="S178" s="285"/>
      <c r="T178" s="339">
        <f>Q178+R178</f>
        <v>43562</v>
      </c>
      <c r="U178" s="288"/>
      <c r="V178" s="5"/>
    </row>
    <row r="179" spans="1:22" ht="15.6" x14ac:dyDescent="0.3">
      <c r="A179" s="284"/>
      <c r="B179" s="285" t="s">
        <v>65</v>
      </c>
      <c r="C179" s="285"/>
      <c r="D179" s="285"/>
      <c r="E179" s="285"/>
      <c r="F179" s="285"/>
      <c r="G179" s="285"/>
      <c r="H179" s="285"/>
      <c r="I179" s="285"/>
      <c r="J179" s="285"/>
      <c r="K179" s="285"/>
      <c r="L179" s="285"/>
      <c r="M179" s="285"/>
      <c r="N179" s="285"/>
      <c r="O179" s="285"/>
      <c r="P179" s="285"/>
      <c r="Q179" s="339">
        <f>Q175-Q178-R178</f>
        <v>116446</v>
      </c>
      <c r="R179" s="324"/>
      <c r="S179" s="285"/>
      <c r="T179" s="339"/>
      <c r="U179" s="288"/>
      <c r="V179" s="5"/>
    </row>
    <row r="180" spans="1:22" ht="16.2" thickBot="1" x14ac:dyDescent="0.35">
      <c r="A180" s="175"/>
      <c r="B180" s="334"/>
      <c r="C180" s="334"/>
      <c r="D180" s="334"/>
      <c r="E180" s="334"/>
      <c r="F180" s="334"/>
      <c r="G180" s="334"/>
      <c r="H180" s="334"/>
      <c r="I180" s="334"/>
      <c r="J180" s="334"/>
      <c r="K180" s="334"/>
      <c r="L180" s="334"/>
      <c r="M180" s="334"/>
      <c r="N180" s="334"/>
      <c r="O180" s="334"/>
      <c r="P180" s="334"/>
      <c r="Q180" s="334"/>
      <c r="R180" s="334"/>
      <c r="S180" s="334"/>
      <c r="T180" s="347"/>
      <c r="U180" s="334"/>
      <c r="V180" s="5"/>
    </row>
    <row r="181" spans="1:22" ht="15.6" x14ac:dyDescent="0.3">
      <c r="A181" s="173"/>
      <c r="B181" s="174"/>
      <c r="C181" s="174"/>
      <c r="D181" s="174"/>
      <c r="E181" s="174"/>
      <c r="F181" s="174"/>
      <c r="G181" s="174"/>
      <c r="H181" s="174"/>
      <c r="I181" s="174"/>
      <c r="J181" s="174"/>
      <c r="K181" s="174"/>
      <c r="L181" s="174"/>
      <c r="M181" s="174"/>
      <c r="N181" s="174"/>
      <c r="O181" s="174"/>
      <c r="P181" s="174"/>
      <c r="Q181" s="174"/>
      <c r="R181" s="174"/>
      <c r="S181" s="174"/>
      <c r="T181" s="193"/>
      <c r="U181" s="174"/>
      <c r="V181" s="5"/>
    </row>
    <row r="182" spans="1:22" ht="15.6" x14ac:dyDescent="0.3">
      <c r="A182" s="175"/>
      <c r="B182" s="201" t="s">
        <v>66</v>
      </c>
      <c r="C182" s="177"/>
      <c r="D182" s="177"/>
      <c r="E182" s="177"/>
      <c r="F182" s="177"/>
      <c r="G182" s="177"/>
      <c r="H182" s="177"/>
      <c r="I182" s="177"/>
      <c r="J182" s="177"/>
      <c r="K182" s="177"/>
      <c r="L182" s="177"/>
      <c r="M182" s="177"/>
      <c r="N182" s="177"/>
      <c r="O182" s="177"/>
      <c r="P182" s="177"/>
      <c r="Q182" s="177"/>
      <c r="R182" s="177"/>
      <c r="S182" s="177"/>
      <c r="T182" s="206"/>
      <c r="U182" s="177"/>
      <c r="V182" s="5"/>
    </row>
    <row r="183" spans="1:22" ht="15.6" x14ac:dyDescent="0.3">
      <c r="A183" s="284"/>
      <c r="B183" s="285" t="s">
        <v>67</v>
      </c>
      <c r="C183" s="285"/>
      <c r="D183" s="285"/>
      <c r="E183" s="285"/>
      <c r="F183" s="285"/>
      <c r="G183" s="285"/>
      <c r="H183" s="285"/>
      <c r="I183" s="285"/>
      <c r="J183" s="285"/>
      <c r="K183" s="285"/>
      <c r="L183" s="285"/>
      <c r="M183" s="285"/>
      <c r="N183" s="285"/>
      <c r="O183" s="285"/>
      <c r="P183" s="285"/>
      <c r="Q183" s="285"/>
      <c r="R183" s="285"/>
      <c r="S183" s="285"/>
      <c r="T183" s="348">
        <f>(T99+T101+T102+T103+T104)/-(T105+T106)</f>
        <v>6.168674698795181</v>
      </c>
      <c r="U183" s="288" t="s">
        <v>121</v>
      </c>
      <c r="V183" s="5"/>
    </row>
    <row r="184" spans="1:22" ht="15.6" x14ac:dyDescent="0.3">
      <c r="A184" s="284"/>
      <c r="B184" s="285" t="s">
        <v>68</v>
      </c>
      <c r="C184" s="285"/>
      <c r="D184" s="285"/>
      <c r="E184" s="285"/>
      <c r="F184" s="285"/>
      <c r="G184" s="285"/>
      <c r="H184" s="285"/>
      <c r="I184" s="285"/>
      <c r="J184" s="285"/>
      <c r="K184" s="285"/>
      <c r="L184" s="285"/>
      <c r="M184" s="285"/>
      <c r="N184" s="285"/>
      <c r="O184" s="285"/>
      <c r="P184" s="285"/>
      <c r="Q184" s="285"/>
      <c r="R184" s="285"/>
      <c r="S184" s="285"/>
      <c r="T184" s="349">
        <v>1.88</v>
      </c>
      <c r="U184" s="288" t="s">
        <v>121</v>
      </c>
      <c r="V184" s="5"/>
    </row>
    <row r="185" spans="1:22" ht="15.6" x14ac:dyDescent="0.3">
      <c r="A185" s="284"/>
      <c r="B185" s="285" t="s">
        <v>69</v>
      </c>
      <c r="C185" s="285"/>
      <c r="D185" s="285"/>
      <c r="E185" s="285"/>
      <c r="F185" s="285"/>
      <c r="G185" s="285"/>
      <c r="H185" s="285"/>
      <c r="I185" s="285"/>
      <c r="J185" s="285"/>
      <c r="K185" s="285"/>
      <c r="L185" s="285"/>
      <c r="M185" s="285"/>
      <c r="N185" s="285"/>
      <c r="O185" s="285"/>
      <c r="P185" s="285"/>
      <c r="Q185" s="285"/>
      <c r="R185" s="285"/>
      <c r="S185" s="285"/>
      <c r="T185" s="348">
        <f>(T99+T101+T102+T103+T104+T105+T106)/-(T107+T108)</f>
        <v>15.321428571428571</v>
      </c>
      <c r="U185" s="288" t="s">
        <v>121</v>
      </c>
      <c r="V185" s="5"/>
    </row>
    <row r="186" spans="1:22" ht="15.6" x14ac:dyDescent="0.3">
      <c r="A186" s="284"/>
      <c r="B186" s="285" t="s">
        <v>70</v>
      </c>
      <c r="C186" s="285"/>
      <c r="D186" s="285"/>
      <c r="E186" s="285"/>
      <c r="F186" s="285"/>
      <c r="G186" s="285"/>
      <c r="H186" s="285"/>
      <c r="I186" s="285"/>
      <c r="J186" s="285"/>
      <c r="K186" s="285"/>
      <c r="L186" s="285"/>
      <c r="M186" s="285"/>
      <c r="N186" s="285"/>
      <c r="O186" s="285"/>
      <c r="P186" s="285"/>
      <c r="Q186" s="285"/>
      <c r="R186" s="285"/>
      <c r="S186" s="285"/>
      <c r="T186" s="349">
        <v>6.87</v>
      </c>
      <c r="U186" s="288" t="s">
        <v>121</v>
      </c>
      <c r="V186" s="5"/>
    </row>
    <row r="187" spans="1:22" ht="15.6" x14ac:dyDescent="0.3">
      <c r="A187" s="284"/>
      <c r="B187" s="285" t="s">
        <v>206</v>
      </c>
      <c r="C187" s="285"/>
      <c r="D187" s="285"/>
      <c r="E187" s="285"/>
      <c r="F187" s="285"/>
      <c r="G187" s="285"/>
      <c r="H187" s="285"/>
      <c r="I187" s="285"/>
      <c r="J187" s="285"/>
      <c r="K187" s="285"/>
      <c r="L187" s="285"/>
      <c r="M187" s="285"/>
      <c r="N187" s="285"/>
      <c r="O187" s="285"/>
      <c r="P187" s="285"/>
      <c r="Q187" s="285"/>
      <c r="R187" s="285"/>
      <c r="S187" s="285"/>
      <c r="T187" s="348">
        <f>(T99+T101+T102+T103+T104+T105+T106+T107+T108)/-(T109)</f>
        <v>11.138888888888889</v>
      </c>
      <c r="U187" s="288" t="s">
        <v>121</v>
      </c>
      <c r="V187" s="5"/>
    </row>
    <row r="188" spans="1:22" ht="15.6" x14ac:dyDescent="0.3">
      <c r="A188" s="284"/>
      <c r="B188" s="285" t="s">
        <v>207</v>
      </c>
      <c r="C188" s="285"/>
      <c r="D188" s="285"/>
      <c r="E188" s="285"/>
      <c r="F188" s="285"/>
      <c r="G188" s="285"/>
      <c r="H188" s="285"/>
      <c r="I188" s="285"/>
      <c r="J188" s="285"/>
      <c r="K188" s="285"/>
      <c r="L188" s="285"/>
      <c r="M188" s="285"/>
      <c r="N188" s="285"/>
      <c r="O188" s="285"/>
      <c r="P188" s="285"/>
      <c r="Q188" s="285"/>
      <c r="R188" s="285"/>
      <c r="S188" s="285"/>
      <c r="T188" s="349">
        <v>6.14</v>
      </c>
      <c r="U188" s="288" t="s">
        <v>121</v>
      </c>
      <c r="V188" s="5"/>
    </row>
    <row r="189" spans="1:22" ht="15.6" x14ac:dyDescent="0.3">
      <c r="A189" s="284"/>
      <c r="B189" s="311"/>
      <c r="C189" s="311"/>
      <c r="D189" s="311"/>
      <c r="E189" s="311"/>
      <c r="F189" s="311"/>
      <c r="G189" s="311"/>
      <c r="H189" s="311"/>
      <c r="I189" s="311"/>
      <c r="J189" s="311"/>
      <c r="K189" s="311"/>
      <c r="L189" s="311"/>
      <c r="M189" s="311"/>
      <c r="N189" s="311"/>
      <c r="O189" s="311"/>
      <c r="P189" s="311"/>
      <c r="Q189" s="311"/>
      <c r="R189" s="311"/>
      <c r="S189" s="311"/>
      <c r="T189" s="311"/>
      <c r="U189" s="317"/>
      <c r="V189" s="5"/>
    </row>
    <row r="190" spans="1:22" ht="15.6" x14ac:dyDescent="0.3">
      <c r="A190" s="175"/>
      <c r="B190" s="334"/>
      <c r="C190" s="334"/>
      <c r="D190" s="334"/>
      <c r="E190" s="334"/>
      <c r="F190" s="334"/>
      <c r="G190" s="334"/>
      <c r="H190" s="334"/>
      <c r="I190" s="334"/>
      <c r="J190" s="334"/>
      <c r="K190" s="334"/>
      <c r="L190" s="334"/>
      <c r="M190" s="334"/>
      <c r="N190" s="334"/>
      <c r="O190" s="334"/>
      <c r="P190" s="334"/>
      <c r="Q190" s="334"/>
      <c r="R190" s="334"/>
      <c r="S190" s="334"/>
      <c r="T190" s="334"/>
      <c r="U190" s="334"/>
      <c r="V190" s="5"/>
    </row>
    <row r="191" spans="1:22" ht="15.6" x14ac:dyDescent="0.3">
      <c r="A191" s="175"/>
      <c r="B191" s="177"/>
      <c r="C191" s="177"/>
      <c r="D191" s="177"/>
      <c r="E191" s="177"/>
      <c r="F191" s="177"/>
      <c r="G191" s="177"/>
      <c r="H191" s="177"/>
      <c r="I191" s="177"/>
      <c r="J191" s="177"/>
      <c r="K191" s="177"/>
      <c r="L191" s="177"/>
      <c r="M191" s="177"/>
      <c r="N191" s="177"/>
      <c r="O191" s="177"/>
      <c r="P191" s="177"/>
      <c r="Q191" s="177"/>
      <c r="R191" s="177"/>
      <c r="S191" s="177"/>
      <c r="T191" s="177"/>
      <c r="U191" s="177"/>
      <c r="V191" s="5"/>
    </row>
    <row r="192" spans="1:22" ht="18" thickBot="1" x14ac:dyDescent="0.35">
      <c r="A192" s="192"/>
      <c r="B192" s="246" t="str">
        <f>B132</f>
        <v>PM11 INVESTOR REPORT QUARTER ENDING MARCH 2017</v>
      </c>
      <c r="C192" s="207"/>
      <c r="D192" s="207"/>
      <c r="E192" s="207"/>
      <c r="F192" s="207"/>
      <c r="G192" s="207"/>
      <c r="H192" s="207"/>
      <c r="I192" s="207"/>
      <c r="J192" s="207"/>
      <c r="K192" s="207"/>
      <c r="L192" s="207"/>
      <c r="M192" s="207"/>
      <c r="N192" s="207"/>
      <c r="O192" s="207"/>
      <c r="P192" s="207"/>
      <c r="Q192" s="207"/>
      <c r="R192" s="207"/>
      <c r="S192" s="207"/>
      <c r="T192" s="207"/>
      <c r="U192" s="208"/>
      <c r="V192" s="5"/>
    </row>
    <row r="193" spans="1:22" ht="15.6" x14ac:dyDescent="0.3">
      <c r="A193" s="260"/>
      <c r="B193" s="399" t="s">
        <v>71</v>
      </c>
      <c r="C193" s="400"/>
      <c r="D193" s="400"/>
      <c r="E193" s="400"/>
      <c r="F193" s="400"/>
      <c r="G193" s="401"/>
      <c r="H193" s="401"/>
      <c r="I193" s="401"/>
      <c r="J193" s="401"/>
      <c r="K193" s="401"/>
      <c r="L193" s="401"/>
      <c r="M193" s="401"/>
      <c r="N193" s="401"/>
      <c r="O193" s="401"/>
      <c r="P193" s="401"/>
      <c r="Q193" s="401"/>
      <c r="R193" s="401">
        <v>42825</v>
      </c>
      <c r="S193" s="261"/>
      <c r="T193" s="261"/>
      <c r="U193" s="261"/>
      <c r="V193" s="5"/>
    </row>
    <row r="194" spans="1:22" ht="15.6" x14ac:dyDescent="0.3">
      <c r="A194" s="209"/>
      <c r="B194" s="210"/>
      <c r="C194" s="211"/>
      <c r="D194" s="211"/>
      <c r="E194" s="211"/>
      <c r="F194" s="211"/>
      <c r="G194" s="212"/>
      <c r="H194" s="212"/>
      <c r="I194" s="212"/>
      <c r="J194" s="212"/>
      <c r="K194" s="212"/>
      <c r="L194" s="212"/>
      <c r="M194" s="212"/>
      <c r="N194" s="212"/>
      <c r="O194" s="212"/>
      <c r="P194" s="212"/>
      <c r="Q194" s="212"/>
      <c r="R194" s="212"/>
      <c r="S194" s="177"/>
      <c r="T194" s="177"/>
      <c r="U194" s="177"/>
      <c r="V194" s="5"/>
    </row>
    <row r="195" spans="1:22" ht="15.6" x14ac:dyDescent="0.3">
      <c r="A195" s="352"/>
      <c r="B195" s="285" t="s">
        <v>72</v>
      </c>
      <c r="C195" s="353"/>
      <c r="D195" s="353"/>
      <c r="E195" s="353"/>
      <c r="F195" s="353"/>
      <c r="G195" s="329"/>
      <c r="H195" s="329"/>
      <c r="I195" s="329"/>
      <c r="J195" s="329"/>
      <c r="K195" s="329"/>
      <c r="L195" s="329"/>
      <c r="M195" s="329"/>
      <c r="N195" s="329"/>
      <c r="O195" s="329"/>
      <c r="P195" s="329"/>
      <c r="Q195" s="329"/>
      <c r="R195" s="320">
        <v>5.1569999999999998E-2</v>
      </c>
      <c r="S195" s="285"/>
      <c r="T195" s="285"/>
      <c r="U195" s="317"/>
      <c r="V195" s="5"/>
    </row>
    <row r="196" spans="1:22" ht="15.6" x14ac:dyDescent="0.3">
      <c r="A196" s="352"/>
      <c r="B196" s="285" t="s">
        <v>157</v>
      </c>
      <c r="C196" s="353"/>
      <c r="D196" s="353"/>
      <c r="E196" s="353"/>
      <c r="F196" s="353"/>
      <c r="G196" s="329"/>
      <c r="H196" s="329"/>
      <c r="I196" s="329"/>
      <c r="J196" s="329"/>
      <c r="K196" s="329"/>
      <c r="L196" s="329"/>
      <c r="M196" s="329"/>
      <c r="N196" s="329"/>
      <c r="O196" s="329"/>
      <c r="P196" s="329"/>
      <c r="Q196" s="329"/>
      <c r="R196" s="320">
        <v>4.6899999999999997E-2</v>
      </c>
      <c r="S196" s="285"/>
      <c r="T196" s="285"/>
      <c r="U196" s="317"/>
      <c r="V196" s="5"/>
    </row>
    <row r="197" spans="1:22" ht="15.6" x14ac:dyDescent="0.3">
      <c r="A197" s="352"/>
      <c r="B197" s="285" t="s">
        <v>73</v>
      </c>
      <c r="C197" s="353"/>
      <c r="D197" s="353"/>
      <c r="E197" s="353"/>
      <c r="F197" s="353"/>
      <c r="G197" s="329"/>
      <c r="H197" s="329"/>
      <c r="I197" s="329"/>
      <c r="J197" s="329"/>
      <c r="K197" s="329"/>
      <c r="L197" s="329"/>
      <c r="M197" s="329"/>
      <c r="N197" s="329"/>
      <c r="O197" s="329"/>
      <c r="P197" s="329"/>
      <c r="Q197" s="329"/>
      <c r="R197" s="320">
        <f>R195-R196</f>
        <v>4.6700000000000005E-3</v>
      </c>
      <c r="S197" s="285"/>
      <c r="T197" s="285"/>
      <c r="U197" s="317"/>
      <c r="V197" s="5"/>
    </row>
    <row r="198" spans="1:22" ht="15.6" x14ac:dyDescent="0.3">
      <c r="A198" s="352"/>
      <c r="B198" s="285" t="s">
        <v>74</v>
      </c>
      <c r="C198" s="353"/>
      <c r="D198" s="353"/>
      <c r="E198" s="353"/>
      <c r="F198" s="353"/>
      <c r="G198" s="329"/>
      <c r="H198" s="329"/>
      <c r="I198" s="329"/>
      <c r="J198" s="329"/>
      <c r="K198" s="329"/>
      <c r="L198" s="329"/>
      <c r="M198" s="329"/>
      <c r="N198" s="329"/>
      <c r="O198" s="329"/>
      <c r="P198" s="329"/>
      <c r="Q198" s="329"/>
      <c r="R198" s="320">
        <v>2.1360000000000001E-2</v>
      </c>
      <c r="S198" s="285"/>
      <c r="T198" s="285"/>
      <c r="U198" s="317"/>
      <c r="V198" s="5"/>
    </row>
    <row r="199" spans="1:22" ht="15.6" x14ac:dyDescent="0.3">
      <c r="A199" s="352"/>
      <c r="B199" s="285" t="s">
        <v>257</v>
      </c>
      <c r="C199" s="353"/>
      <c r="D199" s="353"/>
      <c r="E199" s="353"/>
      <c r="F199" s="353"/>
      <c r="G199" s="329"/>
      <c r="H199" s="329"/>
      <c r="I199" s="329"/>
      <c r="J199" s="329"/>
      <c r="K199" s="329"/>
      <c r="L199" s="329"/>
      <c r="M199" s="329"/>
      <c r="N199" s="329"/>
      <c r="O199" s="329"/>
      <c r="P199" s="329"/>
      <c r="Q199" s="329"/>
      <c r="R199" s="320">
        <f>T43</f>
        <v>6.5793629020945085E-3</v>
      </c>
      <c r="S199" s="285"/>
      <c r="T199" s="285"/>
      <c r="U199" s="317"/>
      <c r="V199" s="5"/>
    </row>
    <row r="200" spans="1:22" ht="15.6" x14ac:dyDescent="0.3">
      <c r="A200" s="352"/>
      <c r="B200" s="285" t="s">
        <v>75</v>
      </c>
      <c r="C200" s="353"/>
      <c r="D200" s="353"/>
      <c r="E200" s="353"/>
      <c r="F200" s="353"/>
      <c r="G200" s="329"/>
      <c r="H200" s="329"/>
      <c r="I200" s="329"/>
      <c r="J200" s="329"/>
      <c r="K200" s="329"/>
      <c r="L200" s="329"/>
      <c r="M200" s="329"/>
      <c r="N200" s="329"/>
      <c r="O200" s="329"/>
      <c r="P200" s="329"/>
      <c r="Q200" s="329"/>
      <c r="R200" s="320">
        <f>R198-R199</f>
        <v>1.4780637097905492E-2</v>
      </c>
      <c r="S200" s="285"/>
      <c r="T200" s="285"/>
      <c r="U200" s="317"/>
      <c r="V200" s="5"/>
    </row>
    <row r="201" spans="1:22" ht="15.6" x14ac:dyDescent="0.3">
      <c r="A201" s="352"/>
      <c r="B201" s="285" t="s">
        <v>260</v>
      </c>
      <c r="C201" s="353"/>
      <c r="D201" s="353"/>
      <c r="E201" s="353"/>
      <c r="F201" s="353"/>
      <c r="G201" s="329"/>
      <c r="H201" s="329"/>
      <c r="I201" s="329"/>
      <c r="J201" s="329"/>
      <c r="K201" s="329"/>
      <c r="L201" s="329"/>
      <c r="M201" s="329"/>
      <c r="N201" s="329"/>
      <c r="O201" s="329"/>
      <c r="P201" s="329"/>
      <c r="Q201" s="329"/>
      <c r="R201" s="320">
        <f>+T99/L70</f>
        <v>6.2438698172090946E-3</v>
      </c>
      <c r="S201" s="285"/>
      <c r="T201" s="285"/>
      <c r="U201" s="317"/>
      <c r="V201" s="5"/>
    </row>
    <row r="202" spans="1:22" ht="15.6" x14ac:dyDescent="0.3">
      <c r="A202" s="352"/>
      <c r="B202" s="285" t="s">
        <v>217</v>
      </c>
      <c r="C202" s="353"/>
      <c r="D202" s="353"/>
      <c r="E202" s="353"/>
      <c r="F202" s="353"/>
      <c r="G202" s="329"/>
      <c r="H202" s="329"/>
      <c r="I202" s="329"/>
      <c r="J202" s="329"/>
      <c r="K202" s="329"/>
      <c r="L202" s="329"/>
      <c r="M202" s="329"/>
      <c r="N202" s="329"/>
      <c r="O202" s="329"/>
      <c r="P202" s="329"/>
      <c r="Q202" s="329"/>
      <c r="R202" s="354">
        <v>15250</v>
      </c>
      <c r="S202" s="285"/>
      <c r="T202" s="285"/>
      <c r="U202" s="317"/>
      <c r="V202" s="5"/>
    </row>
    <row r="203" spans="1:22" ht="15.6" x14ac:dyDescent="0.3">
      <c r="A203" s="352"/>
      <c r="B203" s="285" t="s">
        <v>218</v>
      </c>
      <c r="C203" s="353"/>
      <c r="D203" s="353"/>
      <c r="E203" s="353"/>
      <c r="F203" s="353"/>
      <c r="G203" s="329"/>
      <c r="H203" s="329"/>
      <c r="I203" s="329"/>
      <c r="J203" s="329"/>
      <c r="K203" s="329"/>
      <c r="L203" s="329"/>
      <c r="M203" s="329"/>
      <c r="N203" s="329"/>
      <c r="O203" s="329"/>
      <c r="P203" s="329"/>
      <c r="Q203" s="329"/>
      <c r="R203" s="354">
        <v>15250</v>
      </c>
      <c r="S203" s="285"/>
      <c r="T203" s="285"/>
      <c r="U203" s="317"/>
      <c r="V203" s="5"/>
    </row>
    <row r="204" spans="1:22" ht="15.6" x14ac:dyDescent="0.3">
      <c r="A204" s="352"/>
      <c r="B204" s="285" t="s">
        <v>219</v>
      </c>
      <c r="C204" s="353"/>
      <c r="D204" s="353"/>
      <c r="E204" s="353"/>
      <c r="F204" s="353"/>
      <c r="G204" s="329"/>
      <c r="H204" s="329"/>
      <c r="I204" s="329"/>
      <c r="J204" s="329"/>
      <c r="K204" s="329"/>
      <c r="L204" s="329"/>
      <c r="M204" s="329"/>
      <c r="N204" s="329"/>
      <c r="O204" s="329"/>
      <c r="P204" s="329"/>
      <c r="Q204" s="329"/>
      <c r="R204" s="354">
        <v>15250</v>
      </c>
      <c r="S204" s="285"/>
      <c r="T204" s="285"/>
      <c r="U204" s="317"/>
      <c r="V204" s="5"/>
    </row>
    <row r="205" spans="1:22" ht="15.6" x14ac:dyDescent="0.3">
      <c r="A205" s="352"/>
      <c r="B205" s="285" t="s">
        <v>76</v>
      </c>
      <c r="C205" s="353"/>
      <c r="D205" s="353"/>
      <c r="E205" s="353"/>
      <c r="F205" s="353"/>
      <c r="G205" s="329"/>
      <c r="H205" s="329"/>
      <c r="I205" s="329"/>
      <c r="J205" s="329"/>
      <c r="K205" s="329"/>
      <c r="L205" s="329"/>
      <c r="M205" s="329"/>
      <c r="N205" s="329"/>
      <c r="O205" s="329"/>
      <c r="P205" s="329"/>
      <c r="Q205" s="329"/>
      <c r="R205" s="326">
        <v>21.18</v>
      </c>
      <c r="S205" s="285" t="s">
        <v>116</v>
      </c>
      <c r="T205" s="285"/>
      <c r="U205" s="317"/>
      <c r="V205" s="5"/>
    </row>
    <row r="206" spans="1:22" ht="15.6" x14ac:dyDescent="0.3">
      <c r="A206" s="352"/>
      <c r="B206" s="285" t="s">
        <v>77</v>
      </c>
      <c r="C206" s="353"/>
      <c r="D206" s="353"/>
      <c r="E206" s="353"/>
      <c r="F206" s="353"/>
      <c r="G206" s="329"/>
      <c r="H206" s="329"/>
      <c r="I206" s="329"/>
      <c r="J206" s="329"/>
      <c r="K206" s="329"/>
      <c r="L206" s="329"/>
      <c r="M206" s="329"/>
      <c r="N206" s="329"/>
      <c r="O206" s="329"/>
      <c r="P206" s="329"/>
      <c r="Q206" s="329"/>
      <c r="R206" s="326">
        <v>10.79</v>
      </c>
      <c r="S206" s="285" t="s">
        <v>116</v>
      </c>
      <c r="T206" s="285"/>
      <c r="U206" s="317"/>
      <c r="V206" s="5"/>
    </row>
    <row r="207" spans="1:22" ht="15.6" x14ac:dyDescent="0.3">
      <c r="A207" s="352"/>
      <c r="B207" s="285" t="s">
        <v>78</v>
      </c>
      <c r="C207" s="353"/>
      <c r="D207" s="353"/>
      <c r="E207" s="353"/>
      <c r="F207" s="353"/>
      <c r="G207" s="329"/>
      <c r="H207" s="329"/>
      <c r="I207" s="329"/>
      <c r="J207" s="329"/>
      <c r="K207" s="329"/>
      <c r="L207" s="329"/>
      <c r="M207" s="329"/>
      <c r="N207" s="329"/>
      <c r="O207" s="329"/>
      <c r="P207" s="329"/>
      <c r="Q207" s="329"/>
      <c r="R207" s="320">
        <f>N67/L67</f>
        <v>1.7728488631297369E-2</v>
      </c>
      <c r="S207" s="285"/>
      <c r="T207" s="285"/>
      <c r="U207" s="317"/>
      <c r="V207" s="5"/>
    </row>
    <row r="208" spans="1:22" ht="15.6" x14ac:dyDescent="0.3">
      <c r="A208" s="352"/>
      <c r="B208" s="285" t="s">
        <v>79</v>
      </c>
      <c r="C208" s="353"/>
      <c r="D208" s="353"/>
      <c r="E208" s="353"/>
      <c r="F208" s="353"/>
      <c r="G208" s="329"/>
      <c r="H208" s="329"/>
      <c r="I208" s="329"/>
      <c r="J208" s="329"/>
      <c r="K208" s="329"/>
      <c r="L208" s="329"/>
      <c r="M208" s="329"/>
      <c r="N208" s="329"/>
      <c r="O208" s="329"/>
      <c r="P208" s="329"/>
      <c r="Q208" s="329"/>
      <c r="R208" s="320">
        <v>7.6200000000000004E-2</v>
      </c>
      <c r="S208" s="285"/>
      <c r="T208" s="285"/>
      <c r="U208" s="317"/>
      <c r="V208" s="5"/>
    </row>
    <row r="209" spans="1:22" ht="15.6" x14ac:dyDescent="0.3">
      <c r="A209" s="209"/>
      <c r="B209" s="350"/>
      <c r="C209" s="350"/>
      <c r="D209" s="350"/>
      <c r="E209" s="350"/>
      <c r="F209" s="350"/>
      <c r="G209" s="334"/>
      <c r="H209" s="334"/>
      <c r="I209" s="334"/>
      <c r="J209" s="334"/>
      <c r="K209" s="334"/>
      <c r="L209" s="334"/>
      <c r="M209" s="334"/>
      <c r="N209" s="334"/>
      <c r="O209" s="334"/>
      <c r="P209" s="334"/>
      <c r="Q209" s="334"/>
      <c r="R209" s="347"/>
      <c r="S209" s="334"/>
      <c r="T209" s="351"/>
      <c r="U209" s="334"/>
      <c r="V209" s="5"/>
    </row>
    <row r="210" spans="1:22" ht="15.6" x14ac:dyDescent="0.3">
      <c r="A210" s="266"/>
      <c r="B210" s="395" t="s">
        <v>80</v>
      </c>
      <c r="C210" s="396"/>
      <c r="D210" s="396"/>
      <c r="E210" s="396"/>
      <c r="F210" s="402"/>
      <c r="G210" s="396"/>
      <c r="H210" s="396"/>
      <c r="I210" s="396"/>
      <c r="J210" s="396"/>
      <c r="K210" s="396"/>
      <c r="L210" s="396"/>
      <c r="M210" s="396"/>
      <c r="N210" s="396"/>
      <c r="O210" s="396"/>
      <c r="P210" s="396"/>
      <c r="Q210" s="396" t="s">
        <v>105</v>
      </c>
      <c r="R210" s="402" t="s">
        <v>112</v>
      </c>
      <c r="S210" s="223"/>
      <c r="T210" s="223"/>
      <c r="U210" s="223"/>
      <c r="V210" s="5"/>
    </row>
    <row r="211" spans="1:22" ht="15.6" x14ac:dyDescent="0.3">
      <c r="A211" s="214"/>
      <c r="B211" s="239" t="s">
        <v>81</v>
      </c>
      <c r="C211" s="243"/>
      <c r="D211" s="243"/>
      <c r="E211" s="243"/>
      <c r="F211" s="239"/>
      <c r="G211" s="239"/>
      <c r="H211" s="242"/>
      <c r="I211" s="242"/>
      <c r="J211" s="242"/>
      <c r="K211" s="242"/>
      <c r="L211" s="242"/>
      <c r="M211" s="242"/>
      <c r="N211" s="242"/>
      <c r="O211" s="242"/>
      <c r="P211" s="242"/>
      <c r="Q211" s="242">
        <v>0</v>
      </c>
      <c r="R211" s="272">
        <v>0</v>
      </c>
      <c r="S211" s="239"/>
      <c r="T211" s="273"/>
      <c r="U211" s="215"/>
      <c r="V211" s="5"/>
    </row>
    <row r="212" spans="1:22" ht="15.6" x14ac:dyDescent="0.3">
      <c r="A212" s="360"/>
      <c r="B212" s="285" t="s">
        <v>151</v>
      </c>
      <c r="C212" s="338"/>
      <c r="D212" s="338"/>
      <c r="E212" s="338"/>
      <c r="F212" s="285"/>
      <c r="G212" s="285"/>
      <c r="H212" s="293"/>
      <c r="I212" s="293"/>
      <c r="J212" s="293"/>
      <c r="K212" s="293"/>
      <c r="L212" s="293"/>
      <c r="M212" s="293"/>
      <c r="N212" s="293"/>
      <c r="O212" s="293"/>
      <c r="P212" s="293"/>
      <c r="Q212" s="361">
        <f>+P264</f>
        <v>37</v>
      </c>
      <c r="R212" s="362">
        <f>+R264</f>
        <v>5992</v>
      </c>
      <c r="S212" s="285"/>
      <c r="T212" s="363"/>
      <c r="U212" s="364"/>
      <c r="V212" s="5"/>
    </row>
    <row r="213" spans="1:22" ht="15.6" x14ac:dyDescent="0.3">
      <c r="A213" s="360"/>
      <c r="B213" s="285" t="s">
        <v>82</v>
      </c>
      <c r="C213" s="338"/>
      <c r="D213" s="338"/>
      <c r="E213" s="338"/>
      <c r="F213" s="285"/>
      <c r="G213" s="285"/>
      <c r="H213" s="293"/>
      <c r="I213" s="293"/>
      <c r="J213" s="293"/>
      <c r="K213" s="293"/>
      <c r="L213" s="293"/>
      <c r="M213" s="293"/>
      <c r="N213" s="293"/>
      <c r="O213" s="293"/>
      <c r="P213" s="293"/>
      <c r="Q213" s="361">
        <f>+P276</f>
        <v>0</v>
      </c>
      <c r="R213" s="362">
        <f>+R276</f>
        <v>0</v>
      </c>
      <c r="S213" s="285"/>
      <c r="T213" s="363"/>
      <c r="U213" s="364"/>
      <c r="V213" s="5"/>
    </row>
    <row r="214" spans="1:22" ht="15.6" x14ac:dyDescent="0.3">
      <c r="A214" s="360"/>
      <c r="B214" s="310" t="s">
        <v>83</v>
      </c>
      <c r="C214" s="365"/>
      <c r="D214" s="365"/>
      <c r="E214" s="365"/>
      <c r="F214" s="311"/>
      <c r="G214" s="311"/>
      <c r="H214" s="311"/>
      <c r="I214" s="311"/>
      <c r="J214" s="311"/>
      <c r="K214" s="311"/>
      <c r="L214" s="311"/>
      <c r="M214" s="311"/>
      <c r="N214" s="311"/>
      <c r="O214" s="311"/>
      <c r="P214" s="311"/>
      <c r="Q214" s="285"/>
      <c r="R214" s="362">
        <v>0</v>
      </c>
      <c r="S214" s="311"/>
      <c r="T214" s="366"/>
      <c r="U214" s="364"/>
      <c r="V214" s="5"/>
    </row>
    <row r="215" spans="1:22" ht="15.6" x14ac:dyDescent="0.3">
      <c r="A215" s="360"/>
      <c r="B215" s="310" t="s">
        <v>84</v>
      </c>
      <c r="C215" s="365"/>
      <c r="D215" s="365"/>
      <c r="E215" s="365"/>
      <c r="F215" s="311"/>
      <c r="G215" s="311"/>
      <c r="H215" s="311"/>
      <c r="I215" s="311"/>
      <c r="J215" s="311"/>
      <c r="K215" s="311"/>
      <c r="L215" s="311"/>
      <c r="M215" s="311"/>
      <c r="N215" s="311"/>
      <c r="O215" s="311"/>
      <c r="P215" s="311"/>
      <c r="Q215" s="285"/>
      <c r="R215" s="367" t="s">
        <v>113</v>
      </c>
      <c r="S215" s="311"/>
      <c r="T215" s="366"/>
      <c r="U215" s="364"/>
      <c r="V215" s="5"/>
    </row>
    <row r="216" spans="1:22" ht="15.6" x14ac:dyDescent="0.3">
      <c r="A216" s="368"/>
      <c r="B216" s="310" t="s">
        <v>85</v>
      </c>
      <c r="C216" s="369"/>
      <c r="D216" s="369"/>
      <c r="E216" s="369"/>
      <c r="F216" s="369"/>
      <c r="G216" s="311"/>
      <c r="H216" s="311"/>
      <c r="I216" s="311"/>
      <c r="J216" s="311"/>
      <c r="K216" s="311"/>
      <c r="L216" s="311"/>
      <c r="M216" s="311"/>
      <c r="N216" s="311"/>
      <c r="O216" s="311"/>
      <c r="P216" s="311"/>
      <c r="Q216" s="285"/>
      <c r="R216" s="362"/>
      <c r="S216" s="311"/>
      <c r="T216" s="366"/>
      <c r="U216" s="370"/>
      <c r="V216" s="5"/>
    </row>
    <row r="217" spans="1:22" ht="15.6" x14ac:dyDescent="0.3">
      <c r="A217" s="368"/>
      <c r="B217" s="285" t="s">
        <v>86</v>
      </c>
      <c r="C217" s="285"/>
      <c r="D217" s="285"/>
      <c r="E217" s="285"/>
      <c r="F217" s="285"/>
      <c r="G217" s="285"/>
      <c r="H217" s="285"/>
      <c r="I217" s="285"/>
      <c r="J217" s="285"/>
      <c r="K217" s="285"/>
      <c r="L217" s="285"/>
      <c r="M217" s="285"/>
      <c r="N217" s="285"/>
      <c r="O217" s="285"/>
      <c r="P217" s="285"/>
      <c r="Q217" s="293"/>
      <c r="R217" s="362">
        <f>T161</f>
        <v>138</v>
      </c>
      <c r="S217" s="285"/>
      <c r="T217" s="363"/>
      <c r="U217" s="370"/>
      <c r="V217" s="5"/>
    </row>
    <row r="218" spans="1:22" ht="15.6" x14ac:dyDescent="0.3">
      <c r="A218" s="360"/>
      <c r="B218" s="285" t="s">
        <v>87</v>
      </c>
      <c r="C218" s="338"/>
      <c r="D218" s="338"/>
      <c r="E218" s="338"/>
      <c r="F218" s="338"/>
      <c r="G218" s="285"/>
      <c r="H218" s="285"/>
      <c r="I218" s="285"/>
      <c r="J218" s="285"/>
      <c r="K218" s="285"/>
      <c r="L218" s="285"/>
      <c r="M218" s="285"/>
      <c r="N218" s="285"/>
      <c r="O218" s="285"/>
      <c r="P218" s="285"/>
      <c r="Q218" s="293"/>
      <c r="R218" s="362">
        <f>'Dec 16'!R219+R217</f>
        <v>6456</v>
      </c>
      <c r="S218" s="285"/>
      <c r="T218" s="363"/>
      <c r="U218" s="370"/>
      <c r="V218" s="5"/>
    </row>
    <row r="219" spans="1:22" ht="15.6" x14ac:dyDescent="0.3">
      <c r="A219" s="368"/>
      <c r="B219" s="310" t="s">
        <v>282</v>
      </c>
      <c r="C219" s="369"/>
      <c r="D219" s="369"/>
      <c r="E219" s="369"/>
      <c r="F219" s="369"/>
      <c r="G219" s="311"/>
      <c r="H219" s="311"/>
      <c r="I219" s="311"/>
      <c r="J219" s="311"/>
      <c r="K219" s="311"/>
      <c r="L219" s="311"/>
      <c r="M219" s="311"/>
      <c r="N219" s="311"/>
      <c r="O219" s="311"/>
      <c r="P219" s="311"/>
      <c r="Q219" s="293"/>
      <c r="R219" s="362"/>
      <c r="S219" s="311"/>
      <c r="T219" s="366"/>
      <c r="U219" s="370"/>
      <c r="V219" s="5"/>
    </row>
    <row r="220" spans="1:22" ht="15.6" x14ac:dyDescent="0.3">
      <c r="A220" s="368"/>
      <c r="B220" s="285" t="s">
        <v>280</v>
      </c>
      <c r="C220" s="369"/>
      <c r="D220" s="369"/>
      <c r="E220" s="369"/>
      <c r="F220" s="369"/>
      <c r="G220" s="311"/>
      <c r="H220" s="311"/>
      <c r="I220" s="311"/>
      <c r="J220" s="311"/>
      <c r="K220" s="311"/>
      <c r="L220" s="311"/>
      <c r="M220" s="311"/>
      <c r="N220" s="311"/>
      <c r="O220" s="311"/>
      <c r="P220" s="311"/>
      <c r="Q220" s="293">
        <v>0</v>
      </c>
      <c r="R220" s="362">
        <v>0</v>
      </c>
      <c r="S220" s="311"/>
      <c r="T220" s="366"/>
      <c r="U220" s="370"/>
      <c r="V220" s="5"/>
    </row>
    <row r="221" spans="1:22" ht="15.6" x14ac:dyDescent="0.3">
      <c r="A221" s="360"/>
      <c r="B221" s="285" t="s">
        <v>89</v>
      </c>
      <c r="C221" s="373"/>
      <c r="D221" s="373"/>
      <c r="E221" s="373"/>
      <c r="F221" s="374"/>
      <c r="G221" s="311"/>
      <c r="H221" s="311"/>
      <c r="I221" s="311"/>
      <c r="J221" s="311"/>
      <c r="K221" s="311"/>
      <c r="L221" s="311"/>
      <c r="M221" s="311"/>
      <c r="N221" s="311"/>
      <c r="O221" s="311"/>
      <c r="P221" s="311"/>
      <c r="Q221" s="285"/>
      <c r="R221" s="367">
        <v>0</v>
      </c>
      <c r="S221" s="311"/>
      <c r="T221" s="366"/>
      <c r="U221" s="370"/>
      <c r="V221" s="5"/>
    </row>
    <row r="222" spans="1:22" ht="15.6" x14ac:dyDescent="0.3">
      <c r="A222" s="360"/>
      <c r="B222" s="285" t="s">
        <v>90</v>
      </c>
      <c r="C222" s="373"/>
      <c r="D222" s="373"/>
      <c r="E222" s="373"/>
      <c r="F222" s="374"/>
      <c r="G222" s="311"/>
      <c r="H222" s="311"/>
      <c r="I222" s="311"/>
      <c r="J222" s="311"/>
      <c r="K222" s="311"/>
      <c r="L222" s="311"/>
      <c r="M222" s="311"/>
      <c r="N222" s="311"/>
      <c r="O222" s="311"/>
      <c r="P222" s="311"/>
      <c r="Q222" s="285"/>
      <c r="R222" s="367">
        <v>0</v>
      </c>
      <c r="S222" s="311"/>
      <c r="T222" s="366"/>
      <c r="U222" s="370"/>
      <c r="V222" s="5"/>
    </row>
    <row r="223" spans="1:22" ht="15.6" x14ac:dyDescent="0.3">
      <c r="A223" s="360"/>
      <c r="B223" s="310" t="s">
        <v>226</v>
      </c>
      <c r="C223" s="373"/>
      <c r="D223" s="373"/>
      <c r="E223" s="373"/>
      <c r="F223" s="374"/>
      <c r="G223" s="311"/>
      <c r="H223" s="311"/>
      <c r="I223" s="311"/>
      <c r="J223" s="311"/>
      <c r="K223" s="311"/>
      <c r="L223" s="311"/>
      <c r="M223" s="311"/>
      <c r="N223" s="311"/>
      <c r="O223" s="311"/>
      <c r="P223" s="311"/>
      <c r="Q223" s="293"/>
      <c r="R223" s="375"/>
      <c r="S223" s="311"/>
      <c r="T223" s="366"/>
      <c r="U223" s="370"/>
      <c r="V223" s="5"/>
    </row>
    <row r="224" spans="1:22" ht="15.6" x14ac:dyDescent="0.3">
      <c r="A224" s="360"/>
      <c r="B224" s="285" t="s">
        <v>280</v>
      </c>
      <c r="C224" s="373"/>
      <c r="D224" s="373"/>
      <c r="E224" s="373"/>
      <c r="F224" s="374"/>
      <c r="G224" s="311"/>
      <c r="H224" s="311"/>
      <c r="I224" s="311"/>
      <c r="J224" s="311"/>
      <c r="K224" s="311"/>
      <c r="L224" s="311"/>
      <c r="M224" s="311"/>
      <c r="N224" s="311"/>
      <c r="O224" s="311"/>
      <c r="P224" s="311"/>
      <c r="Q224" s="293">
        <v>4</v>
      </c>
      <c r="R224" s="362">
        <v>859</v>
      </c>
      <c r="S224" s="311"/>
      <c r="T224" s="366"/>
      <c r="U224" s="370"/>
      <c r="V224" s="5"/>
    </row>
    <row r="225" spans="1:23" ht="15.6" x14ac:dyDescent="0.3">
      <c r="A225" s="360"/>
      <c r="B225" s="285" t="s">
        <v>227</v>
      </c>
      <c r="C225" s="373"/>
      <c r="D225" s="373"/>
      <c r="E225" s="373"/>
      <c r="F225" s="374"/>
      <c r="G225" s="311"/>
      <c r="H225" s="311"/>
      <c r="I225" s="311"/>
      <c r="J225" s="311"/>
      <c r="K225" s="311"/>
      <c r="L225" s="311"/>
      <c r="M225" s="311"/>
      <c r="N225" s="311"/>
      <c r="O225" s="311"/>
      <c r="P225" s="311"/>
      <c r="Q225" s="293"/>
      <c r="R225" s="367">
        <v>2.06</v>
      </c>
      <c r="S225" s="311"/>
      <c r="T225" s="366"/>
      <c r="U225" s="370"/>
      <c r="V225" s="5"/>
    </row>
    <row r="226" spans="1:23" ht="15.6" x14ac:dyDescent="0.3">
      <c r="A226" s="360"/>
      <c r="B226" s="369"/>
      <c r="C226" s="373"/>
      <c r="D226" s="373"/>
      <c r="E226" s="373"/>
      <c r="F226" s="374"/>
      <c r="G226" s="311"/>
      <c r="H226" s="311"/>
      <c r="I226" s="311"/>
      <c r="J226" s="311"/>
      <c r="K226" s="311"/>
      <c r="L226" s="311"/>
      <c r="M226" s="311"/>
      <c r="N226" s="311"/>
      <c r="O226" s="311"/>
      <c r="P226" s="311"/>
      <c r="Q226" s="311"/>
      <c r="R226" s="376"/>
      <c r="S226" s="311"/>
      <c r="T226" s="366"/>
      <c r="U226" s="370"/>
      <c r="V226" s="5"/>
    </row>
    <row r="227" spans="1:23" ht="15.6" x14ac:dyDescent="0.3">
      <c r="A227" s="360"/>
      <c r="B227" s="369"/>
      <c r="C227" s="373"/>
      <c r="D227" s="373"/>
      <c r="E227" s="373"/>
      <c r="F227" s="374"/>
      <c r="G227" s="311"/>
      <c r="H227" s="311"/>
      <c r="I227" s="311"/>
      <c r="J227" s="311"/>
      <c r="K227" s="311"/>
      <c r="L227" s="311"/>
      <c r="M227" s="311"/>
      <c r="N227" s="311"/>
      <c r="O227" s="311"/>
      <c r="P227" s="311"/>
      <c r="Q227" s="311"/>
      <c r="R227" s="376"/>
      <c r="S227" s="311"/>
      <c r="T227" s="366"/>
      <c r="U227" s="370"/>
      <c r="V227" s="5"/>
    </row>
    <row r="228" spans="1:23" ht="17.399999999999999" x14ac:dyDescent="0.3">
      <c r="A228" s="360"/>
      <c r="B228" s="377" t="s">
        <v>175</v>
      </c>
      <c r="C228" s="373"/>
      <c r="D228" s="373"/>
      <c r="E228" s="373"/>
      <c r="F228" s="374"/>
      <c r="G228" s="311"/>
      <c r="H228" s="311"/>
      <c r="I228" s="311"/>
      <c r="J228" s="311"/>
      <c r="K228" s="311"/>
      <c r="L228" s="311"/>
      <c r="M228" s="311"/>
      <c r="N228" s="378" t="s">
        <v>174</v>
      </c>
      <c r="O228" s="311"/>
      <c r="P228" s="311"/>
      <c r="Q228" s="311"/>
      <c r="R228" s="376"/>
      <c r="S228" s="311"/>
      <c r="T228" s="366"/>
      <c r="U228" s="370"/>
      <c r="V228" s="5"/>
    </row>
    <row r="229" spans="1:23" ht="15.6" x14ac:dyDescent="0.3">
      <c r="A229" s="355"/>
      <c r="B229" s="350"/>
      <c r="C229" s="356"/>
      <c r="D229" s="356"/>
      <c r="E229" s="356"/>
      <c r="F229" s="357"/>
      <c r="G229" s="334"/>
      <c r="H229" s="334"/>
      <c r="I229" s="334"/>
      <c r="J229" s="334"/>
      <c r="K229" s="334"/>
      <c r="L229" s="334"/>
      <c r="M229" s="334"/>
      <c r="N229" s="334"/>
      <c r="O229" s="334"/>
      <c r="P229" s="334"/>
      <c r="Q229" s="334"/>
      <c r="R229" s="358"/>
      <c r="S229" s="334"/>
      <c r="T229" s="351"/>
      <c r="U229" s="359"/>
      <c r="V229" s="5"/>
    </row>
    <row r="230" spans="1:23" ht="15.6" x14ac:dyDescent="0.3">
      <c r="A230" s="222"/>
      <c r="B230" s="395" t="s">
        <v>295</v>
      </c>
      <c r="C230" s="396"/>
      <c r="D230" s="396"/>
      <c r="E230" s="396"/>
      <c r="F230" s="402"/>
      <c r="G230" s="396"/>
      <c r="H230" s="396"/>
      <c r="I230" s="396"/>
      <c r="J230" s="396"/>
      <c r="K230" s="396"/>
      <c r="L230" s="396"/>
      <c r="M230" s="396"/>
      <c r="N230" s="396"/>
      <c r="O230" s="396"/>
      <c r="P230" s="402" t="s">
        <v>105</v>
      </c>
      <c r="Q230" s="396" t="s">
        <v>106</v>
      </c>
      <c r="R230" s="402" t="s">
        <v>114</v>
      </c>
      <c r="S230" s="396" t="s">
        <v>106</v>
      </c>
      <c r="T230" s="223"/>
      <c r="U230" s="395"/>
      <c r="V230" s="5"/>
    </row>
    <row r="231" spans="1:23" ht="15.6" x14ac:dyDescent="0.3">
      <c r="A231" s="190"/>
      <c r="B231" s="243" t="s">
        <v>91</v>
      </c>
      <c r="C231" s="217"/>
      <c r="D231" s="217"/>
      <c r="E231" s="217"/>
      <c r="F231" s="191"/>
      <c r="G231" s="217"/>
      <c r="H231" s="217"/>
      <c r="I231" s="217"/>
      <c r="J231" s="217"/>
      <c r="K231" s="217"/>
      <c r="L231" s="217"/>
      <c r="M231" s="217"/>
      <c r="N231" s="217"/>
      <c r="O231" s="217"/>
      <c r="P231" s="338">
        <f t="shared" ref="P231:P238" si="1">+P243+P255+P267</f>
        <v>3422</v>
      </c>
      <c r="Q231" s="384">
        <f t="shared" ref="Q231:Q238" si="2">P231/$P$240</f>
        <v>0.997667638483965</v>
      </c>
      <c r="R231" s="339">
        <f t="shared" ref="R231:R238" si="3">+R243+R255+R267</f>
        <v>440090</v>
      </c>
      <c r="S231" s="384">
        <f t="shared" ref="S231:S238" si="4">R231/$R$240</f>
        <v>0.99745022268055261</v>
      </c>
      <c r="T231" s="213"/>
      <c r="U231" s="216"/>
      <c r="V231" s="5"/>
    </row>
    <row r="232" spans="1:23" ht="15.6" x14ac:dyDescent="0.3">
      <c r="A232" s="284"/>
      <c r="B232" s="338" t="s">
        <v>92</v>
      </c>
      <c r="C232" s="382"/>
      <c r="D232" s="382"/>
      <c r="E232" s="382"/>
      <c r="F232" s="311"/>
      <c r="G232" s="383"/>
      <c r="H232" s="382"/>
      <c r="I232" s="382"/>
      <c r="J232" s="382"/>
      <c r="K232" s="382"/>
      <c r="L232" s="382"/>
      <c r="M232" s="382"/>
      <c r="N232" s="382"/>
      <c r="O232" s="382"/>
      <c r="P232" s="338">
        <f t="shared" si="1"/>
        <v>4</v>
      </c>
      <c r="Q232" s="384">
        <f t="shared" si="2"/>
        <v>1.1661807580174927E-3</v>
      </c>
      <c r="R232" s="339">
        <f t="shared" si="3"/>
        <v>633</v>
      </c>
      <c r="S232" s="384">
        <f t="shared" si="4"/>
        <v>1.4346747050757566E-3</v>
      </c>
      <c r="T232" s="366"/>
      <c r="U232" s="370"/>
      <c r="V232" s="5"/>
      <c r="W232" s="109"/>
    </row>
    <row r="233" spans="1:23" ht="15.6" x14ac:dyDescent="0.3">
      <c r="A233" s="284"/>
      <c r="B233" s="338" t="s">
        <v>93</v>
      </c>
      <c r="C233" s="382"/>
      <c r="D233" s="382"/>
      <c r="E233" s="382"/>
      <c r="F233" s="311"/>
      <c r="G233" s="383"/>
      <c r="H233" s="382"/>
      <c r="I233" s="382"/>
      <c r="J233" s="382"/>
      <c r="K233" s="382"/>
      <c r="L233" s="382"/>
      <c r="M233" s="382"/>
      <c r="N233" s="382"/>
      <c r="O233" s="382"/>
      <c r="P233" s="338">
        <f t="shared" si="1"/>
        <v>1</v>
      </c>
      <c r="Q233" s="384">
        <f t="shared" si="2"/>
        <v>2.9154518950437317E-4</v>
      </c>
      <c r="R233" s="339">
        <f t="shared" si="3"/>
        <v>141</v>
      </c>
      <c r="S233" s="384">
        <f t="shared" si="4"/>
        <v>3.1957209070407853E-4</v>
      </c>
      <c r="T233" s="366"/>
      <c r="U233" s="370"/>
      <c r="V233" s="5"/>
    </row>
    <row r="234" spans="1:23" ht="15.6" x14ac:dyDescent="0.3">
      <c r="A234" s="284"/>
      <c r="B234" s="338" t="s">
        <v>163</v>
      </c>
      <c r="C234" s="382"/>
      <c r="D234" s="382"/>
      <c r="E234" s="382"/>
      <c r="F234" s="311"/>
      <c r="G234" s="383"/>
      <c r="H234" s="382"/>
      <c r="I234" s="382"/>
      <c r="J234" s="382"/>
      <c r="K234" s="382"/>
      <c r="L234" s="382"/>
      <c r="M234" s="382"/>
      <c r="N234" s="382"/>
      <c r="O234" s="382"/>
      <c r="P234" s="338">
        <f t="shared" si="1"/>
        <v>0</v>
      </c>
      <c r="Q234" s="384">
        <f t="shared" si="2"/>
        <v>0</v>
      </c>
      <c r="R234" s="339">
        <f t="shared" si="3"/>
        <v>0</v>
      </c>
      <c r="S234" s="384">
        <f t="shared" si="4"/>
        <v>0</v>
      </c>
      <c r="T234" s="366"/>
      <c r="U234" s="370"/>
      <c r="V234" s="5"/>
      <c r="W234" s="109"/>
    </row>
    <row r="235" spans="1:23" ht="15.6" x14ac:dyDescent="0.3">
      <c r="A235" s="284"/>
      <c r="B235" s="338" t="s">
        <v>164</v>
      </c>
      <c r="C235" s="382"/>
      <c r="D235" s="382"/>
      <c r="E235" s="382"/>
      <c r="F235" s="311"/>
      <c r="G235" s="383"/>
      <c r="H235" s="382"/>
      <c r="I235" s="382"/>
      <c r="J235" s="382"/>
      <c r="K235" s="382"/>
      <c r="L235" s="382"/>
      <c r="M235" s="382"/>
      <c r="N235" s="382"/>
      <c r="O235" s="382"/>
      <c r="P235" s="338">
        <f t="shared" si="1"/>
        <v>0</v>
      </c>
      <c r="Q235" s="384">
        <f t="shared" si="2"/>
        <v>0</v>
      </c>
      <c r="R235" s="339">
        <f t="shared" si="3"/>
        <v>0</v>
      </c>
      <c r="S235" s="384">
        <f t="shared" si="4"/>
        <v>0</v>
      </c>
      <c r="T235" s="366"/>
      <c r="U235" s="370"/>
      <c r="V235" s="5"/>
    </row>
    <row r="236" spans="1:23" ht="15.6" x14ac:dyDescent="0.3">
      <c r="A236" s="284"/>
      <c r="B236" s="338" t="s">
        <v>165</v>
      </c>
      <c r="C236" s="382"/>
      <c r="D236" s="382"/>
      <c r="E236" s="382"/>
      <c r="F236" s="311"/>
      <c r="G236" s="383"/>
      <c r="H236" s="382"/>
      <c r="I236" s="382"/>
      <c r="J236" s="382"/>
      <c r="K236" s="382"/>
      <c r="L236" s="382"/>
      <c r="M236" s="382"/>
      <c r="N236" s="382"/>
      <c r="O236" s="382"/>
      <c r="P236" s="338">
        <f t="shared" si="1"/>
        <v>1</v>
      </c>
      <c r="Q236" s="384">
        <f t="shared" si="2"/>
        <v>2.9154518950437317E-4</v>
      </c>
      <c r="R236" s="339">
        <f t="shared" si="3"/>
        <v>64</v>
      </c>
      <c r="S236" s="384">
        <f t="shared" si="4"/>
        <v>1.4505399861745408E-4</v>
      </c>
      <c r="T236" s="366"/>
      <c r="U236" s="370"/>
      <c r="V236" s="5"/>
      <c r="W236" s="109"/>
    </row>
    <row r="237" spans="1:23" ht="15.6" x14ac:dyDescent="0.3">
      <c r="A237" s="284"/>
      <c r="B237" s="338" t="s">
        <v>166</v>
      </c>
      <c r="C237" s="382"/>
      <c r="D237" s="382"/>
      <c r="E237" s="382"/>
      <c r="F237" s="311"/>
      <c r="G237" s="383"/>
      <c r="H237" s="382"/>
      <c r="I237" s="382"/>
      <c r="J237" s="382"/>
      <c r="K237" s="382"/>
      <c r="L237" s="382"/>
      <c r="M237" s="382"/>
      <c r="N237" s="382"/>
      <c r="O237" s="382"/>
      <c r="P237" s="338">
        <f t="shared" si="1"/>
        <v>1</v>
      </c>
      <c r="Q237" s="384">
        <f t="shared" si="2"/>
        <v>2.9154518950437317E-4</v>
      </c>
      <c r="R237" s="339">
        <f t="shared" si="3"/>
        <v>181</v>
      </c>
      <c r="S237" s="384">
        <f t="shared" si="4"/>
        <v>4.102308398399873E-4</v>
      </c>
      <c r="T237" s="366"/>
      <c r="U237" s="370"/>
      <c r="V237" s="5"/>
    </row>
    <row r="238" spans="1:23" ht="15.6" x14ac:dyDescent="0.3">
      <c r="A238" s="284"/>
      <c r="B238" s="338" t="s">
        <v>167</v>
      </c>
      <c r="C238" s="382"/>
      <c r="D238" s="382"/>
      <c r="E238" s="382"/>
      <c r="F238" s="311"/>
      <c r="G238" s="383"/>
      <c r="H238" s="382"/>
      <c r="I238" s="382"/>
      <c r="J238" s="382"/>
      <c r="K238" s="382"/>
      <c r="L238" s="382"/>
      <c r="M238" s="382"/>
      <c r="N238" s="382"/>
      <c r="O238" s="382"/>
      <c r="P238" s="338">
        <f t="shared" si="1"/>
        <v>1</v>
      </c>
      <c r="Q238" s="384">
        <f t="shared" si="2"/>
        <v>2.9154518950437317E-4</v>
      </c>
      <c r="R238" s="339">
        <f t="shared" si="3"/>
        <v>106</v>
      </c>
      <c r="S238" s="384">
        <f t="shared" si="4"/>
        <v>2.4024568521015832E-4</v>
      </c>
      <c r="T238" s="366"/>
      <c r="U238" s="370"/>
      <c r="V238" s="5"/>
      <c r="W238" s="109"/>
    </row>
    <row r="239" spans="1:23" ht="15.6" x14ac:dyDescent="0.3">
      <c r="A239" s="284"/>
      <c r="B239" s="338"/>
      <c r="C239" s="382"/>
      <c r="D239" s="382"/>
      <c r="E239" s="382"/>
      <c r="F239" s="311"/>
      <c r="G239" s="383"/>
      <c r="H239" s="382"/>
      <c r="I239" s="382"/>
      <c r="J239" s="382"/>
      <c r="K239" s="382"/>
      <c r="L239" s="382"/>
      <c r="M239" s="382"/>
      <c r="N239" s="382"/>
      <c r="O239" s="382"/>
      <c r="P239" s="338"/>
      <c r="Q239" s="384"/>
      <c r="R239" s="339"/>
      <c r="S239" s="384"/>
      <c r="T239" s="366"/>
      <c r="U239" s="370"/>
      <c r="V239" s="5"/>
    </row>
    <row r="240" spans="1:23" ht="15.6" x14ac:dyDescent="0.3">
      <c r="A240" s="284"/>
      <c r="B240" s="285" t="s">
        <v>120</v>
      </c>
      <c r="C240" s="311"/>
      <c r="D240" s="311"/>
      <c r="E240" s="311"/>
      <c r="F240" s="311"/>
      <c r="G240" s="311"/>
      <c r="H240" s="385"/>
      <c r="I240" s="385"/>
      <c r="J240" s="385"/>
      <c r="K240" s="385"/>
      <c r="L240" s="385"/>
      <c r="M240" s="385"/>
      <c r="N240" s="385"/>
      <c r="O240" s="385"/>
      <c r="P240" s="338">
        <f>SUM(P231:P239)</f>
        <v>3430</v>
      </c>
      <c r="Q240" s="384">
        <f>SUM(Q231:Q239)</f>
        <v>0.99999999999999989</v>
      </c>
      <c r="R240" s="339">
        <f>SUM(R231:R239)</f>
        <v>441215</v>
      </c>
      <c r="S240" s="384">
        <f>SUM(S231:S239)</f>
        <v>1</v>
      </c>
      <c r="T240" s="311"/>
      <c r="U240" s="317"/>
      <c r="V240" s="5"/>
    </row>
    <row r="241" spans="1:23" ht="15.6" x14ac:dyDescent="0.3">
      <c r="A241" s="355"/>
      <c r="B241" s="350"/>
      <c r="C241" s="356"/>
      <c r="D241" s="356"/>
      <c r="E241" s="356"/>
      <c r="F241" s="357"/>
      <c r="G241" s="334"/>
      <c r="H241" s="334"/>
      <c r="I241" s="334"/>
      <c r="J241" s="334"/>
      <c r="K241" s="334"/>
      <c r="L241" s="334"/>
      <c r="M241" s="334"/>
      <c r="N241" s="334"/>
      <c r="O241" s="334"/>
      <c r="P241" s="334"/>
      <c r="Q241" s="334"/>
      <c r="R241" s="358"/>
      <c r="S241" s="334"/>
      <c r="T241" s="351"/>
      <c r="U241" s="359"/>
      <c r="V241" s="5"/>
    </row>
    <row r="242" spans="1:23" ht="15.6" x14ac:dyDescent="0.3">
      <c r="A242" s="222"/>
      <c r="B242" s="395" t="s">
        <v>169</v>
      </c>
      <c r="C242" s="396"/>
      <c r="D242" s="396"/>
      <c r="E242" s="396"/>
      <c r="F242" s="402"/>
      <c r="G242" s="396"/>
      <c r="H242" s="396"/>
      <c r="I242" s="396"/>
      <c r="J242" s="396"/>
      <c r="K242" s="396"/>
      <c r="L242" s="396"/>
      <c r="M242" s="396"/>
      <c r="N242" s="396"/>
      <c r="O242" s="396"/>
      <c r="P242" s="402" t="s">
        <v>105</v>
      </c>
      <c r="Q242" s="396" t="s">
        <v>106</v>
      </c>
      <c r="R242" s="402" t="s">
        <v>114</v>
      </c>
      <c r="S242" s="396" t="s">
        <v>106</v>
      </c>
      <c r="T242" s="223"/>
      <c r="U242" s="395"/>
      <c r="V242" s="5"/>
    </row>
    <row r="243" spans="1:23" ht="15.6" x14ac:dyDescent="0.3">
      <c r="A243" s="190"/>
      <c r="B243" s="243" t="s">
        <v>91</v>
      </c>
      <c r="C243" s="217"/>
      <c r="D243" s="217"/>
      <c r="E243" s="217"/>
      <c r="F243" s="191"/>
      <c r="G243" s="217"/>
      <c r="H243" s="217"/>
      <c r="I243" s="217"/>
      <c r="J243" s="217"/>
      <c r="K243" s="217"/>
      <c r="L243" s="217"/>
      <c r="M243" s="217"/>
      <c r="N243" s="217"/>
      <c r="O243" s="217"/>
      <c r="P243" s="243">
        <v>3389</v>
      </c>
      <c r="Q243" s="274">
        <f t="shared" ref="Q243:Q250" si="5">P243/$P$252</f>
        <v>0.99882110226937815</v>
      </c>
      <c r="R243" s="251">
        <v>434590</v>
      </c>
      <c r="S243" s="274">
        <f t="shared" ref="S243:S250" si="6">R243/$R$252</f>
        <v>0.9985455731889169</v>
      </c>
      <c r="T243" s="213"/>
      <c r="U243" s="216"/>
      <c r="V243" s="5"/>
    </row>
    <row r="244" spans="1:23" ht="15.6" x14ac:dyDescent="0.3">
      <c r="A244" s="284"/>
      <c r="B244" s="338" t="s">
        <v>92</v>
      </c>
      <c r="C244" s="382"/>
      <c r="D244" s="382"/>
      <c r="E244" s="382"/>
      <c r="F244" s="311"/>
      <c r="G244" s="383"/>
      <c r="H244" s="382"/>
      <c r="I244" s="382"/>
      <c r="J244" s="382"/>
      <c r="K244" s="382"/>
      <c r="L244" s="382"/>
      <c r="M244" s="382"/>
      <c r="N244" s="382"/>
      <c r="O244" s="382"/>
      <c r="P244" s="338">
        <v>4</v>
      </c>
      <c r="Q244" s="384">
        <f t="shared" si="5"/>
        <v>1.1788977306218685E-3</v>
      </c>
      <c r="R244" s="339">
        <v>633</v>
      </c>
      <c r="S244" s="384">
        <f t="shared" si="6"/>
        <v>1.454426811083054E-3</v>
      </c>
      <c r="T244" s="366"/>
      <c r="U244" s="370"/>
      <c r="V244" s="5"/>
      <c r="W244" s="109"/>
    </row>
    <row r="245" spans="1:23" ht="15.6" x14ac:dyDescent="0.3">
      <c r="A245" s="284"/>
      <c r="B245" s="338" t="s">
        <v>93</v>
      </c>
      <c r="C245" s="382"/>
      <c r="D245" s="382"/>
      <c r="E245" s="382"/>
      <c r="F245" s="311"/>
      <c r="G245" s="383"/>
      <c r="H245" s="382"/>
      <c r="I245" s="382"/>
      <c r="J245" s="382"/>
      <c r="K245" s="382"/>
      <c r="L245" s="382"/>
      <c r="M245" s="382"/>
      <c r="N245" s="382"/>
      <c r="O245" s="382"/>
      <c r="P245" s="338">
        <v>0</v>
      </c>
      <c r="Q245" s="384">
        <f t="shared" si="5"/>
        <v>0</v>
      </c>
      <c r="R245" s="339">
        <v>0</v>
      </c>
      <c r="S245" s="384">
        <f t="shared" si="6"/>
        <v>0</v>
      </c>
      <c r="T245" s="366"/>
      <c r="U245" s="370"/>
      <c r="V245" s="5"/>
    </row>
    <row r="246" spans="1:23" ht="15.6" x14ac:dyDescent="0.3">
      <c r="A246" s="284"/>
      <c r="B246" s="338" t="s">
        <v>163</v>
      </c>
      <c r="C246" s="382"/>
      <c r="D246" s="382"/>
      <c r="E246" s="382"/>
      <c r="F246" s="311"/>
      <c r="G246" s="383"/>
      <c r="H246" s="382"/>
      <c r="I246" s="382"/>
      <c r="J246" s="382"/>
      <c r="K246" s="382"/>
      <c r="L246" s="382"/>
      <c r="M246" s="382"/>
      <c r="N246" s="382"/>
      <c r="O246" s="382"/>
      <c r="P246" s="338">
        <v>0</v>
      </c>
      <c r="Q246" s="384">
        <f t="shared" si="5"/>
        <v>0</v>
      </c>
      <c r="R246" s="339">
        <v>0</v>
      </c>
      <c r="S246" s="384">
        <f t="shared" si="6"/>
        <v>0</v>
      </c>
      <c r="T246" s="366"/>
      <c r="U246" s="370"/>
      <c r="V246" s="5"/>
      <c r="W246" s="109"/>
    </row>
    <row r="247" spans="1:23" ht="15.6" x14ac:dyDescent="0.3">
      <c r="A247" s="284"/>
      <c r="B247" s="338" t="s">
        <v>164</v>
      </c>
      <c r="C247" s="382"/>
      <c r="D247" s="382"/>
      <c r="E247" s="382"/>
      <c r="F247" s="311"/>
      <c r="G247" s="383"/>
      <c r="H247" s="382"/>
      <c r="I247" s="382"/>
      <c r="J247" s="382"/>
      <c r="K247" s="382"/>
      <c r="L247" s="382"/>
      <c r="M247" s="382"/>
      <c r="N247" s="382"/>
      <c r="O247" s="382"/>
      <c r="P247" s="338">
        <v>0</v>
      </c>
      <c r="Q247" s="384">
        <f t="shared" si="5"/>
        <v>0</v>
      </c>
      <c r="R247" s="339">
        <v>0</v>
      </c>
      <c r="S247" s="384">
        <f t="shared" si="6"/>
        <v>0</v>
      </c>
      <c r="T247" s="366"/>
      <c r="U247" s="370"/>
      <c r="V247" s="5"/>
    </row>
    <row r="248" spans="1:23" ht="15.6" x14ac:dyDescent="0.3">
      <c r="A248" s="284"/>
      <c r="B248" s="338" t="s">
        <v>165</v>
      </c>
      <c r="C248" s="382"/>
      <c r="D248" s="382"/>
      <c r="E248" s="382"/>
      <c r="F248" s="311"/>
      <c r="G248" s="383"/>
      <c r="H248" s="382"/>
      <c r="I248" s="382"/>
      <c r="J248" s="382"/>
      <c r="K248" s="382"/>
      <c r="L248" s="382"/>
      <c r="M248" s="382"/>
      <c r="N248" s="382"/>
      <c r="O248" s="382"/>
      <c r="P248" s="338">
        <v>0</v>
      </c>
      <c r="Q248" s="384">
        <f t="shared" si="5"/>
        <v>0</v>
      </c>
      <c r="R248" s="339">
        <v>0</v>
      </c>
      <c r="S248" s="384">
        <f t="shared" si="6"/>
        <v>0</v>
      </c>
      <c r="T248" s="366"/>
      <c r="U248" s="370"/>
      <c r="V248" s="5"/>
      <c r="W248" s="109"/>
    </row>
    <row r="249" spans="1:23" ht="15.6" x14ac:dyDescent="0.3">
      <c r="A249" s="284"/>
      <c r="B249" s="338" t="s">
        <v>166</v>
      </c>
      <c r="C249" s="382"/>
      <c r="D249" s="382"/>
      <c r="E249" s="382"/>
      <c r="F249" s="311"/>
      <c r="G249" s="383"/>
      <c r="H249" s="382"/>
      <c r="I249" s="382"/>
      <c r="J249" s="382"/>
      <c r="K249" s="382"/>
      <c r="L249" s="382"/>
      <c r="M249" s="382"/>
      <c r="N249" s="382"/>
      <c r="O249" s="382"/>
      <c r="P249" s="338">
        <v>0</v>
      </c>
      <c r="Q249" s="384">
        <f t="shared" si="5"/>
        <v>0</v>
      </c>
      <c r="R249" s="339">
        <v>0</v>
      </c>
      <c r="S249" s="384">
        <f t="shared" si="6"/>
        <v>0</v>
      </c>
      <c r="T249" s="366"/>
      <c r="U249" s="370"/>
      <c r="V249" s="5"/>
    </row>
    <row r="250" spans="1:23" ht="15.6" x14ac:dyDescent="0.3">
      <c r="A250" s="284"/>
      <c r="B250" s="338" t="s">
        <v>167</v>
      </c>
      <c r="C250" s="382"/>
      <c r="D250" s="382"/>
      <c r="E250" s="382"/>
      <c r="F250" s="311"/>
      <c r="G250" s="383"/>
      <c r="H250" s="382"/>
      <c r="I250" s="382"/>
      <c r="J250" s="382"/>
      <c r="K250" s="382"/>
      <c r="L250" s="382"/>
      <c r="M250" s="382"/>
      <c r="N250" s="382"/>
      <c r="O250" s="382"/>
      <c r="P250" s="338">
        <v>0</v>
      </c>
      <c r="Q250" s="384">
        <f t="shared" si="5"/>
        <v>0</v>
      </c>
      <c r="R250" s="339">
        <v>0</v>
      </c>
      <c r="S250" s="384">
        <f t="shared" si="6"/>
        <v>0</v>
      </c>
      <c r="T250" s="366"/>
      <c r="U250" s="370"/>
      <c r="V250" s="5"/>
      <c r="W250" s="109"/>
    </row>
    <row r="251" spans="1:23" ht="15.6" x14ac:dyDescent="0.3">
      <c r="A251" s="284"/>
      <c r="B251" s="338"/>
      <c r="C251" s="382"/>
      <c r="D251" s="382"/>
      <c r="E251" s="382"/>
      <c r="F251" s="311"/>
      <c r="G251" s="383"/>
      <c r="H251" s="382"/>
      <c r="I251" s="382"/>
      <c r="J251" s="382"/>
      <c r="K251" s="382"/>
      <c r="L251" s="382"/>
      <c r="M251" s="382"/>
      <c r="N251" s="382"/>
      <c r="O251" s="382"/>
      <c r="P251" s="338"/>
      <c r="Q251" s="384"/>
      <c r="R251" s="339"/>
      <c r="S251" s="384"/>
      <c r="T251" s="366"/>
      <c r="U251" s="370"/>
      <c r="V251" s="5"/>
    </row>
    <row r="252" spans="1:23" ht="15.6" x14ac:dyDescent="0.3">
      <c r="A252" s="284"/>
      <c r="B252" s="285" t="s">
        <v>120</v>
      </c>
      <c r="C252" s="311"/>
      <c r="D252" s="311"/>
      <c r="E252" s="311"/>
      <c r="F252" s="311"/>
      <c r="G252" s="311"/>
      <c r="H252" s="385"/>
      <c r="I252" s="385"/>
      <c r="J252" s="385"/>
      <c r="K252" s="385"/>
      <c r="L252" s="385"/>
      <c r="M252" s="385"/>
      <c r="N252" s="385"/>
      <c r="O252" s="385"/>
      <c r="P252" s="338">
        <f>SUM(P243:P251)</f>
        <v>3393</v>
      </c>
      <c r="Q252" s="384">
        <f>SUM(Q243:Q251)</f>
        <v>1</v>
      </c>
      <c r="R252" s="339">
        <f>SUM(R243:R251)</f>
        <v>435223</v>
      </c>
      <c r="S252" s="384">
        <f>SUM(S243:S251)</f>
        <v>1</v>
      </c>
      <c r="T252" s="311"/>
      <c r="U252" s="317"/>
      <c r="V252" s="5"/>
    </row>
    <row r="253" spans="1:23" ht="15.6" x14ac:dyDescent="0.3">
      <c r="A253" s="175"/>
      <c r="B253" s="334"/>
      <c r="C253" s="334"/>
      <c r="D253" s="334"/>
      <c r="E253" s="334"/>
      <c r="F253" s="334"/>
      <c r="G253" s="334"/>
      <c r="H253" s="379"/>
      <c r="I253" s="379"/>
      <c r="J253" s="379"/>
      <c r="K253" s="379"/>
      <c r="L253" s="379"/>
      <c r="M253" s="379"/>
      <c r="N253" s="379"/>
      <c r="O253" s="379"/>
      <c r="P253" s="335"/>
      <c r="Q253" s="380"/>
      <c r="R253" s="381"/>
      <c r="S253" s="380"/>
      <c r="T253" s="334"/>
      <c r="U253" s="334"/>
      <c r="V253" s="5"/>
    </row>
    <row r="254" spans="1:23" ht="15.6" x14ac:dyDescent="0.3">
      <c r="A254" s="268"/>
      <c r="B254" s="395" t="s">
        <v>267</v>
      </c>
      <c r="C254" s="396"/>
      <c r="D254" s="396"/>
      <c r="E254" s="396"/>
      <c r="F254" s="402"/>
      <c r="G254" s="396"/>
      <c r="H254" s="396"/>
      <c r="I254" s="396"/>
      <c r="J254" s="396"/>
      <c r="K254" s="396"/>
      <c r="L254" s="396"/>
      <c r="M254" s="396"/>
      <c r="N254" s="396"/>
      <c r="O254" s="396"/>
      <c r="P254" s="402" t="s">
        <v>105</v>
      </c>
      <c r="Q254" s="396" t="s">
        <v>106</v>
      </c>
      <c r="R254" s="402" t="s">
        <v>114</v>
      </c>
      <c r="S254" s="396" t="s">
        <v>106</v>
      </c>
      <c r="T254" s="269"/>
      <c r="U254" s="270"/>
      <c r="V254" s="5"/>
    </row>
    <row r="255" spans="1:23" ht="15.6" x14ac:dyDescent="0.3">
      <c r="A255" s="190"/>
      <c r="B255" s="243" t="s">
        <v>91</v>
      </c>
      <c r="C255" s="217"/>
      <c r="D255" s="217"/>
      <c r="E255" s="217"/>
      <c r="F255" s="191"/>
      <c r="G255" s="217"/>
      <c r="H255" s="217"/>
      <c r="I255" s="217"/>
      <c r="J255" s="217"/>
      <c r="K255" s="217"/>
      <c r="L255" s="217"/>
      <c r="M255" s="217"/>
      <c r="N255" s="217"/>
      <c r="O255" s="217"/>
      <c r="P255" s="243">
        <v>33</v>
      </c>
      <c r="Q255" s="274">
        <f t="shared" ref="Q255:Q262" si="7">P255/$P$264</f>
        <v>0.89189189189189189</v>
      </c>
      <c r="R255" s="251">
        <v>5500</v>
      </c>
      <c r="S255" s="274">
        <f>R255/$R$264</f>
        <v>0.91789052069425903</v>
      </c>
      <c r="T255" s="191"/>
      <c r="U255" s="191"/>
      <c r="V255" s="5"/>
    </row>
    <row r="256" spans="1:23" ht="15.6" x14ac:dyDescent="0.3">
      <c r="A256" s="284"/>
      <c r="B256" s="338" t="s">
        <v>92</v>
      </c>
      <c r="C256" s="382"/>
      <c r="D256" s="382"/>
      <c r="E256" s="382"/>
      <c r="F256" s="311"/>
      <c r="G256" s="383"/>
      <c r="H256" s="382"/>
      <c r="I256" s="382"/>
      <c r="J256" s="382"/>
      <c r="K256" s="382"/>
      <c r="L256" s="382"/>
      <c r="M256" s="382"/>
      <c r="N256" s="382"/>
      <c r="O256" s="382"/>
      <c r="P256" s="338">
        <v>0</v>
      </c>
      <c r="Q256" s="384">
        <f t="shared" si="7"/>
        <v>0</v>
      </c>
      <c r="R256" s="339">
        <v>0</v>
      </c>
      <c r="S256" s="384">
        <f t="shared" ref="S256:S262" si="8">R256/$R$264</f>
        <v>0</v>
      </c>
      <c r="T256" s="311"/>
      <c r="U256" s="317"/>
      <c r="V256" s="5"/>
    </row>
    <row r="257" spans="1:22" ht="15.6" x14ac:dyDescent="0.3">
      <c r="A257" s="284"/>
      <c r="B257" s="338" t="s">
        <v>93</v>
      </c>
      <c r="C257" s="382"/>
      <c r="D257" s="382"/>
      <c r="E257" s="382"/>
      <c r="F257" s="311"/>
      <c r="G257" s="383"/>
      <c r="H257" s="382"/>
      <c r="I257" s="382"/>
      <c r="J257" s="382"/>
      <c r="K257" s="382"/>
      <c r="L257" s="382"/>
      <c r="M257" s="382"/>
      <c r="N257" s="382"/>
      <c r="O257" s="382"/>
      <c r="P257" s="338">
        <v>1</v>
      </c>
      <c r="Q257" s="384">
        <f t="shared" si="7"/>
        <v>2.7027027027027029E-2</v>
      </c>
      <c r="R257" s="339">
        <v>141</v>
      </c>
      <c r="S257" s="384">
        <f t="shared" si="8"/>
        <v>2.3531375166889187E-2</v>
      </c>
      <c r="T257" s="311"/>
      <c r="U257" s="317"/>
      <c r="V257" s="5"/>
    </row>
    <row r="258" spans="1:22" ht="15.6" x14ac:dyDescent="0.3">
      <c r="A258" s="284"/>
      <c r="B258" s="338" t="s">
        <v>163</v>
      </c>
      <c r="C258" s="382"/>
      <c r="D258" s="382"/>
      <c r="E258" s="382"/>
      <c r="F258" s="311"/>
      <c r="G258" s="383"/>
      <c r="H258" s="382"/>
      <c r="I258" s="382"/>
      <c r="J258" s="382"/>
      <c r="K258" s="382"/>
      <c r="L258" s="382"/>
      <c r="M258" s="382"/>
      <c r="N258" s="382"/>
      <c r="O258" s="382"/>
      <c r="P258" s="338">
        <v>0</v>
      </c>
      <c r="Q258" s="384">
        <f t="shared" si="7"/>
        <v>0</v>
      </c>
      <c r="R258" s="339">
        <v>0</v>
      </c>
      <c r="S258" s="384">
        <f t="shared" si="8"/>
        <v>0</v>
      </c>
      <c r="T258" s="311"/>
      <c r="U258" s="317"/>
      <c r="V258" s="5"/>
    </row>
    <row r="259" spans="1:22" ht="15.6" x14ac:dyDescent="0.3">
      <c r="A259" s="284"/>
      <c r="B259" s="338" t="s">
        <v>164</v>
      </c>
      <c r="C259" s="382"/>
      <c r="D259" s="382"/>
      <c r="E259" s="382"/>
      <c r="F259" s="311"/>
      <c r="G259" s="383"/>
      <c r="H259" s="382"/>
      <c r="I259" s="382"/>
      <c r="J259" s="382"/>
      <c r="K259" s="382"/>
      <c r="L259" s="382"/>
      <c r="M259" s="382"/>
      <c r="N259" s="382"/>
      <c r="O259" s="382"/>
      <c r="P259" s="338">
        <v>0</v>
      </c>
      <c r="Q259" s="384">
        <f t="shared" si="7"/>
        <v>0</v>
      </c>
      <c r="R259" s="339">
        <v>0</v>
      </c>
      <c r="S259" s="384">
        <f t="shared" si="8"/>
        <v>0</v>
      </c>
      <c r="T259" s="311"/>
      <c r="U259" s="317"/>
      <c r="V259" s="5"/>
    </row>
    <row r="260" spans="1:22" ht="15.6" x14ac:dyDescent="0.3">
      <c r="A260" s="284"/>
      <c r="B260" s="338" t="s">
        <v>165</v>
      </c>
      <c r="C260" s="382"/>
      <c r="D260" s="382"/>
      <c r="E260" s="382"/>
      <c r="F260" s="311"/>
      <c r="G260" s="383"/>
      <c r="H260" s="382"/>
      <c r="I260" s="382"/>
      <c r="J260" s="382"/>
      <c r="K260" s="382"/>
      <c r="L260" s="382"/>
      <c r="M260" s="382"/>
      <c r="N260" s="382"/>
      <c r="O260" s="382"/>
      <c r="P260" s="338">
        <v>1</v>
      </c>
      <c r="Q260" s="384">
        <f t="shared" si="7"/>
        <v>2.7027027027027029E-2</v>
      </c>
      <c r="R260" s="339">
        <v>64</v>
      </c>
      <c r="S260" s="384">
        <f t="shared" si="8"/>
        <v>1.0680907877169559E-2</v>
      </c>
      <c r="T260" s="311"/>
      <c r="U260" s="317"/>
      <c r="V260" s="5"/>
    </row>
    <row r="261" spans="1:22" ht="15.6" x14ac:dyDescent="0.3">
      <c r="A261" s="284"/>
      <c r="B261" s="338" t="s">
        <v>166</v>
      </c>
      <c r="C261" s="382"/>
      <c r="D261" s="382"/>
      <c r="E261" s="382"/>
      <c r="F261" s="311"/>
      <c r="G261" s="383"/>
      <c r="H261" s="382"/>
      <c r="I261" s="382"/>
      <c r="J261" s="382"/>
      <c r="K261" s="382"/>
      <c r="L261" s="382"/>
      <c r="M261" s="382"/>
      <c r="N261" s="382"/>
      <c r="O261" s="382"/>
      <c r="P261" s="338">
        <v>1</v>
      </c>
      <c r="Q261" s="384">
        <f t="shared" si="7"/>
        <v>2.7027027027027029E-2</v>
      </c>
      <c r="R261" s="339">
        <v>181</v>
      </c>
      <c r="S261" s="384">
        <f t="shared" si="8"/>
        <v>3.0206942590120162E-2</v>
      </c>
      <c r="T261" s="311"/>
      <c r="U261" s="317"/>
      <c r="V261" s="5"/>
    </row>
    <row r="262" spans="1:22" ht="15.6" x14ac:dyDescent="0.3">
      <c r="A262" s="284"/>
      <c r="B262" s="338" t="s">
        <v>167</v>
      </c>
      <c r="C262" s="382"/>
      <c r="D262" s="382"/>
      <c r="E262" s="382"/>
      <c r="F262" s="311"/>
      <c r="G262" s="383"/>
      <c r="H262" s="382"/>
      <c r="I262" s="382"/>
      <c r="J262" s="382"/>
      <c r="K262" s="382"/>
      <c r="L262" s="382"/>
      <c r="M262" s="382"/>
      <c r="N262" s="382"/>
      <c r="O262" s="382"/>
      <c r="P262" s="338">
        <v>1</v>
      </c>
      <c r="Q262" s="384">
        <f t="shared" si="7"/>
        <v>2.7027027027027029E-2</v>
      </c>
      <c r="R262" s="339">
        <v>106</v>
      </c>
      <c r="S262" s="384">
        <f t="shared" si="8"/>
        <v>1.7690253671562083E-2</v>
      </c>
      <c r="T262" s="311"/>
      <c r="U262" s="317"/>
      <c r="V262" s="5"/>
    </row>
    <row r="263" spans="1:22" ht="15.6" x14ac:dyDescent="0.3">
      <c r="A263" s="284"/>
      <c r="B263" s="338"/>
      <c r="C263" s="382"/>
      <c r="D263" s="382"/>
      <c r="E263" s="382"/>
      <c r="F263" s="311"/>
      <c r="G263" s="383"/>
      <c r="H263" s="382"/>
      <c r="I263" s="382"/>
      <c r="J263" s="382"/>
      <c r="K263" s="382"/>
      <c r="L263" s="382"/>
      <c r="M263" s="382"/>
      <c r="N263" s="382"/>
      <c r="O263" s="382"/>
      <c r="P263" s="338"/>
      <c r="Q263" s="384"/>
      <c r="R263" s="339"/>
      <c r="S263" s="384"/>
      <c r="T263" s="311"/>
      <c r="U263" s="317"/>
      <c r="V263" s="5"/>
    </row>
    <row r="264" spans="1:22" ht="15.6" x14ac:dyDescent="0.3">
      <c r="A264" s="284"/>
      <c r="B264" s="285" t="s">
        <v>120</v>
      </c>
      <c r="C264" s="311"/>
      <c r="D264" s="311"/>
      <c r="E264" s="311"/>
      <c r="F264" s="311"/>
      <c r="G264" s="311"/>
      <c r="H264" s="385"/>
      <c r="I264" s="385"/>
      <c r="J264" s="385"/>
      <c r="K264" s="385"/>
      <c r="L264" s="385"/>
      <c r="M264" s="385"/>
      <c r="N264" s="385"/>
      <c r="O264" s="385"/>
      <c r="P264" s="338">
        <f>SUM(P255:P263)</f>
        <v>37</v>
      </c>
      <c r="Q264" s="384">
        <f>SUM(Q255:Q263)</f>
        <v>0.99999999999999978</v>
      </c>
      <c r="R264" s="339">
        <f>SUM(R255:R263)</f>
        <v>5992</v>
      </c>
      <c r="S264" s="384">
        <f>SUM(S255:S263)</f>
        <v>1</v>
      </c>
      <c r="T264" s="311"/>
      <c r="U264" s="317"/>
      <c r="V264" s="5"/>
    </row>
    <row r="265" spans="1:22" ht="15.6" x14ac:dyDescent="0.3">
      <c r="A265" s="175"/>
      <c r="B265" s="334"/>
      <c r="C265" s="334"/>
      <c r="D265" s="334"/>
      <c r="E265" s="334"/>
      <c r="F265" s="334"/>
      <c r="G265" s="334"/>
      <c r="H265" s="379"/>
      <c r="I265" s="379"/>
      <c r="J265" s="379"/>
      <c r="K265" s="379"/>
      <c r="L265" s="379"/>
      <c r="M265" s="379"/>
      <c r="N265" s="379"/>
      <c r="O265" s="379"/>
      <c r="P265" s="335"/>
      <c r="Q265" s="380"/>
      <c r="R265" s="381"/>
      <c r="S265" s="380"/>
      <c r="T265" s="334"/>
      <c r="U265" s="334"/>
      <c r="V265" s="5"/>
    </row>
    <row r="266" spans="1:22" ht="15.6" x14ac:dyDescent="0.3">
      <c r="A266" s="268"/>
      <c r="B266" s="395" t="s">
        <v>170</v>
      </c>
      <c r="C266" s="269"/>
      <c r="D266" s="269"/>
      <c r="E266" s="269"/>
      <c r="F266" s="269"/>
      <c r="G266" s="269"/>
      <c r="H266" s="271"/>
      <c r="I266" s="271"/>
      <c r="J266" s="271"/>
      <c r="K266" s="271"/>
      <c r="L266" s="271"/>
      <c r="M266" s="271"/>
      <c r="N266" s="271"/>
      <c r="O266" s="271"/>
      <c r="P266" s="402" t="s">
        <v>105</v>
      </c>
      <c r="Q266" s="396" t="s">
        <v>106</v>
      </c>
      <c r="R266" s="402" t="s">
        <v>114</v>
      </c>
      <c r="S266" s="396" t="s">
        <v>106</v>
      </c>
      <c r="T266" s="269"/>
      <c r="U266" s="270"/>
      <c r="V266" s="5"/>
    </row>
    <row r="267" spans="1:22" ht="15.6" x14ac:dyDescent="0.3">
      <c r="A267" s="190"/>
      <c r="B267" s="243" t="s">
        <v>91</v>
      </c>
      <c r="C267" s="239"/>
      <c r="D267" s="239"/>
      <c r="E267" s="239"/>
      <c r="F267" s="239"/>
      <c r="G267" s="239"/>
      <c r="H267" s="275"/>
      <c r="I267" s="275"/>
      <c r="J267" s="275"/>
      <c r="K267" s="275"/>
      <c r="L267" s="218"/>
      <c r="M267" s="218"/>
      <c r="N267" s="218"/>
      <c r="O267" s="218"/>
      <c r="P267" s="243">
        <v>0</v>
      </c>
      <c r="Q267" s="274">
        <v>0</v>
      </c>
      <c r="R267" s="251">
        <v>0</v>
      </c>
      <c r="S267" s="274">
        <v>0</v>
      </c>
      <c r="T267" s="239"/>
      <c r="U267" s="191"/>
      <c r="V267" s="5"/>
    </row>
    <row r="268" spans="1:22" ht="15.6" x14ac:dyDescent="0.3">
      <c r="A268" s="284"/>
      <c r="B268" s="338" t="s">
        <v>92</v>
      </c>
      <c r="C268" s="285"/>
      <c r="D268" s="285"/>
      <c r="E268" s="285"/>
      <c r="F268" s="285"/>
      <c r="G268" s="285"/>
      <c r="H268" s="387"/>
      <c r="I268" s="387"/>
      <c r="J268" s="387"/>
      <c r="K268" s="387"/>
      <c r="L268" s="385"/>
      <c r="M268" s="385"/>
      <c r="N268" s="385"/>
      <c r="O268" s="385"/>
      <c r="P268" s="338">
        <v>0</v>
      </c>
      <c r="Q268" s="384">
        <v>0</v>
      </c>
      <c r="R268" s="339">
        <v>0</v>
      </c>
      <c r="S268" s="384">
        <v>0</v>
      </c>
      <c r="T268" s="285"/>
      <c r="U268" s="317"/>
      <c r="V268" s="5"/>
    </row>
    <row r="269" spans="1:22" ht="15.6" x14ac:dyDescent="0.3">
      <c r="A269" s="284"/>
      <c r="B269" s="338" t="s">
        <v>93</v>
      </c>
      <c r="C269" s="285"/>
      <c r="D269" s="285"/>
      <c r="E269" s="285"/>
      <c r="F269" s="285"/>
      <c r="G269" s="285"/>
      <c r="H269" s="387"/>
      <c r="I269" s="387"/>
      <c r="J269" s="387"/>
      <c r="K269" s="387"/>
      <c r="L269" s="385"/>
      <c r="M269" s="385"/>
      <c r="N269" s="385"/>
      <c r="O269" s="385"/>
      <c r="P269" s="338">
        <v>0</v>
      </c>
      <c r="Q269" s="384">
        <v>0</v>
      </c>
      <c r="R269" s="339">
        <v>0</v>
      </c>
      <c r="S269" s="384">
        <v>0</v>
      </c>
      <c r="T269" s="285"/>
      <c r="U269" s="317"/>
      <c r="V269" s="5"/>
    </row>
    <row r="270" spans="1:22" ht="15.6" x14ac:dyDescent="0.3">
      <c r="A270" s="284"/>
      <c r="B270" s="338" t="s">
        <v>163</v>
      </c>
      <c r="C270" s="285"/>
      <c r="D270" s="285"/>
      <c r="E270" s="285"/>
      <c r="F270" s="285"/>
      <c r="G270" s="285"/>
      <c r="H270" s="387"/>
      <c r="I270" s="387"/>
      <c r="J270" s="387"/>
      <c r="K270" s="387"/>
      <c r="L270" s="385"/>
      <c r="M270" s="385"/>
      <c r="N270" s="385"/>
      <c r="O270" s="385"/>
      <c r="P270" s="338">
        <v>0</v>
      </c>
      <c r="Q270" s="384">
        <v>0</v>
      </c>
      <c r="R270" s="339">
        <v>0</v>
      </c>
      <c r="S270" s="384">
        <v>0</v>
      </c>
      <c r="T270" s="285"/>
      <c r="U270" s="317"/>
      <c r="V270" s="5"/>
    </row>
    <row r="271" spans="1:22" ht="15.6" x14ac:dyDescent="0.3">
      <c r="A271" s="284"/>
      <c r="B271" s="338" t="s">
        <v>164</v>
      </c>
      <c r="C271" s="285"/>
      <c r="D271" s="285"/>
      <c r="E271" s="285"/>
      <c r="F271" s="285"/>
      <c r="G271" s="285"/>
      <c r="H271" s="387"/>
      <c r="I271" s="387"/>
      <c r="J271" s="387"/>
      <c r="K271" s="387"/>
      <c r="L271" s="385"/>
      <c r="M271" s="385"/>
      <c r="N271" s="385"/>
      <c r="O271" s="385"/>
      <c r="P271" s="338">
        <v>0</v>
      </c>
      <c r="Q271" s="384">
        <v>0</v>
      </c>
      <c r="R271" s="339">
        <v>0</v>
      </c>
      <c r="S271" s="384">
        <v>0</v>
      </c>
      <c r="T271" s="285"/>
      <c r="U271" s="317"/>
      <c r="V271" s="5"/>
    </row>
    <row r="272" spans="1:22" ht="15.6" x14ac:dyDescent="0.3">
      <c r="A272" s="284"/>
      <c r="B272" s="338" t="s">
        <v>165</v>
      </c>
      <c r="C272" s="285"/>
      <c r="D272" s="285"/>
      <c r="E272" s="285"/>
      <c r="F272" s="285"/>
      <c r="G272" s="285"/>
      <c r="H272" s="387"/>
      <c r="I272" s="387"/>
      <c r="J272" s="387"/>
      <c r="K272" s="387"/>
      <c r="L272" s="385"/>
      <c r="M272" s="385"/>
      <c r="N272" s="385"/>
      <c r="O272" s="385"/>
      <c r="P272" s="338">
        <v>0</v>
      </c>
      <c r="Q272" s="384">
        <v>0</v>
      </c>
      <c r="R272" s="339">
        <v>0</v>
      </c>
      <c r="S272" s="384">
        <v>0</v>
      </c>
      <c r="T272" s="285"/>
      <c r="U272" s="317"/>
      <c r="V272" s="5"/>
    </row>
    <row r="273" spans="1:22" ht="15.6" x14ac:dyDescent="0.3">
      <c r="A273" s="284"/>
      <c r="B273" s="338" t="s">
        <v>166</v>
      </c>
      <c r="C273" s="285"/>
      <c r="D273" s="285"/>
      <c r="E273" s="285"/>
      <c r="F273" s="285"/>
      <c r="G273" s="285"/>
      <c r="H273" s="387"/>
      <c r="I273" s="387"/>
      <c r="J273" s="387"/>
      <c r="K273" s="387"/>
      <c r="L273" s="385"/>
      <c r="M273" s="385"/>
      <c r="N273" s="385"/>
      <c r="O273" s="385"/>
      <c r="P273" s="338">
        <v>0</v>
      </c>
      <c r="Q273" s="384">
        <v>0</v>
      </c>
      <c r="R273" s="339">
        <v>0</v>
      </c>
      <c r="S273" s="384">
        <v>0</v>
      </c>
      <c r="T273" s="285"/>
      <c r="U273" s="317"/>
      <c r="V273" s="5"/>
    </row>
    <row r="274" spans="1:22" ht="15.6" x14ac:dyDescent="0.3">
      <c r="A274" s="284"/>
      <c r="B274" s="338" t="s">
        <v>167</v>
      </c>
      <c r="C274" s="285"/>
      <c r="D274" s="285"/>
      <c r="E274" s="285"/>
      <c r="F274" s="285"/>
      <c r="G274" s="285"/>
      <c r="H274" s="387"/>
      <c r="I274" s="387"/>
      <c r="J274" s="387"/>
      <c r="K274" s="387"/>
      <c r="L274" s="385"/>
      <c r="M274" s="385"/>
      <c r="N274" s="385"/>
      <c r="O274" s="385"/>
      <c r="P274" s="338">
        <v>0</v>
      </c>
      <c r="Q274" s="384">
        <v>0</v>
      </c>
      <c r="R274" s="339">
        <v>0</v>
      </c>
      <c r="S274" s="384">
        <v>0</v>
      </c>
      <c r="T274" s="285"/>
      <c r="U274" s="317"/>
      <c r="V274" s="5"/>
    </row>
    <row r="275" spans="1:22" ht="15.6" x14ac:dyDescent="0.3">
      <c r="A275" s="284"/>
      <c r="B275" s="338"/>
      <c r="C275" s="285"/>
      <c r="D275" s="285"/>
      <c r="E275" s="285"/>
      <c r="F275" s="285"/>
      <c r="G275" s="285"/>
      <c r="H275" s="387"/>
      <c r="I275" s="387"/>
      <c r="J275" s="387"/>
      <c r="K275" s="387"/>
      <c r="L275" s="385"/>
      <c r="M275" s="385"/>
      <c r="N275" s="385"/>
      <c r="O275" s="385"/>
      <c r="P275" s="338"/>
      <c r="Q275" s="384"/>
      <c r="R275" s="339"/>
      <c r="S275" s="384"/>
      <c r="T275" s="285"/>
      <c r="U275" s="317"/>
      <c r="V275" s="5"/>
    </row>
    <row r="276" spans="1:22" ht="15.6" x14ac:dyDescent="0.3">
      <c r="A276" s="284"/>
      <c r="B276" s="285" t="s">
        <v>120</v>
      </c>
      <c r="C276" s="285"/>
      <c r="D276" s="285"/>
      <c r="E276" s="285"/>
      <c r="F276" s="285"/>
      <c r="G276" s="285"/>
      <c r="H276" s="387"/>
      <c r="I276" s="387"/>
      <c r="J276" s="387"/>
      <c r="K276" s="387"/>
      <c r="L276" s="385"/>
      <c r="M276" s="385"/>
      <c r="N276" s="385"/>
      <c r="O276" s="385"/>
      <c r="P276" s="338">
        <f>SUM(P267:P274)</f>
        <v>0</v>
      </c>
      <c r="Q276" s="384">
        <f>SUM(Q267:Q275)</f>
        <v>0</v>
      </c>
      <c r="R276" s="339">
        <f>SUM(R267:R274)</f>
        <v>0</v>
      </c>
      <c r="S276" s="384">
        <f>SUM(S267:S275)</f>
        <v>0</v>
      </c>
      <c r="T276" s="285"/>
      <c r="U276" s="317"/>
      <c r="V276" s="5"/>
    </row>
    <row r="277" spans="1:22" ht="15.6" x14ac:dyDescent="0.3">
      <c r="A277" s="284"/>
      <c r="B277" s="285"/>
      <c r="C277" s="285"/>
      <c r="D277" s="285"/>
      <c r="E277" s="285"/>
      <c r="F277" s="285"/>
      <c r="G277" s="285"/>
      <c r="H277" s="387"/>
      <c r="I277" s="387"/>
      <c r="J277" s="387"/>
      <c r="K277" s="387"/>
      <c r="L277" s="385"/>
      <c r="M277" s="385"/>
      <c r="N277" s="385"/>
      <c r="O277" s="385"/>
      <c r="P277" s="344"/>
      <c r="Q277" s="388"/>
      <c r="R277" s="345"/>
      <c r="S277" s="388"/>
      <c r="T277" s="311"/>
      <c r="U277" s="317"/>
      <c r="V277" s="5"/>
    </row>
    <row r="278" spans="1:22" ht="15.6" x14ac:dyDescent="0.3">
      <c r="A278" s="284"/>
      <c r="B278" s="292" t="s">
        <v>171</v>
      </c>
      <c r="C278" s="285"/>
      <c r="D278" s="285"/>
      <c r="E278" s="285"/>
      <c r="F278" s="285"/>
      <c r="G278" s="285"/>
      <c r="H278" s="387"/>
      <c r="I278" s="387"/>
      <c r="J278" s="387"/>
      <c r="K278" s="387"/>
      <c r="L278" s="385"/>
      <c r="M278" s="385"/>
      <c r="N278" s="385"/>
      <c r="O278" s="385"/>
      <c r="P278" s="403">
        <f>P276+P264+P252</f>
        <v>3430</v>
      </c>
      <c r="Q278" s="384"/>
      <c r="R278" s="404">
        <f>+R276+R264+R252</f>
        <v>441215</v>
      </c>
      <c r="S278" s="384"/>
      <c r="T278" s="311"/>
      <c r="U278" s="317"/>
      <c r="V278" s="5"/>
    </row>
    <row r="279" spans="1:22" ht="15.6" x14ac:dyDescent="0.3">
      <c r="A279" s="175"/>
      <c r="B279" s="281"/>
      <c r="C279" s="281"/>
      <c r="D279" s="281"/>
      <c r="E279" s="281"/>
      <c r="F279" s="281"/>
      <c r="G279" s="281"/>
      <c r="H279" s="386"/>
      <c r="I279" s="386"/>
      <c r="J279" s="386"/>
      <c r="K279" s="386"/>
      <c r="L279" s="379"/>
      <c r="M279" s="379"/>
      <c r="N279" s="379"/>
      <c r="O279" s="379"/>
      <c r="P279" s="379"/>
      <c r="Q279" s="379"/>
      <c r="R279" s="381"/>
      <c r="S279" s="379"/>
      <c r="T279" s="334"/>
      <c r="U279" s="334"/>
      <c r="V279" s="5"/>
    </row>
    <row r="280" spans="1:22" ht="15.6" x14ac:dyDescent="0.3">
      <c r="A280" s="175"/>
      <c r="B280" s="231"/>
      <c r="C280" s="231"/>
      <c r="D280" s="231"/>
      <c r="E280" s="231"/>
      <c r="F280" s="231"/>
      <c r="G280" s="231"/>
      <c r="H280" s="276"/>
      <c r="I280" s="276"/>
      <c r="J280" s="276"/>
      <c r="K280" s="276"/>
      <c r="L280" s="219"/>
      <c r="M280" s="219"/>
      <c r="N280" s="219"/>
      <c r="O280" s="219"/>
      <c r="P280" s="219"/>
      <c r="Q280" s="219"/>
      <c r="R280" s="220"/>
      <c r="S280" s="219"/>
      <c r="T280" s="177"/>
      <c r="U280" s="177"/>
      <c r="V280" s="5"/>
    </row>
    <row r="281" spans="1:22" ht="15.6" x14ac:dyDescent="0.3">
      <c r="A281" s="221"/>
      <c r="B281" s="230" t="s">
        <v>94</v>
      </c>
      <c r="C281" s="231"/>
      <c r="D281" s="231"/>
      <c r="E281" s="231"/>
      <c r="F281" s="236" t="s">
        <v>100</v>
      </c>
      <c r="G281" s="231"/>
      <c r="H281" s="230" t="s">
        <v>102</v>
      </c>
      <c r="I281" s="277"/>
      <c r="J281" s="277"/>
      <c r="K281" s="277"/>
      <c r="L281" s="188"/>
      <c r="M281" s="188"/>
      <c r="N281" s="188"/>
      <c r="O281" s="188"/>
      <c r="P281" s="188"/>
      <c r="Q281" s="188"/>
      <c r="R281" s="188"/>
      <c r="S281" s="188"/>
      <c r="T281" s="188"/>
      <c r="U281" s="188"/>
      <c r="V281" s="5"/>
    </row>
    <row r="282" spans="1:22" ht="15.6" x14ac:dyDescent="0.3">
      <c r="A282" s="221"/>
      <c r="B282" s="230" t="s">
        <v>317</v>
      </c>
      <c r="C282" s="230"/>
      <c r="D282" s="230"/>
      <c r="E282" s="230"/>
      <c r="F282" s="278" t="s">
        <v>269</v>
      </c>
      <c r="G282" s="230"/>
      <c r="H282" s="230" t="s">
        <v>270</v>
      </c>
      <c r="I282" s="277"/>
      <c r="J282" s="277"/>
      <c r="K282" s="277"/>
      <c r="L282" s="188"/>
      <c r="M282" s="188"/>
      <c r="N282" s="188"/>
      <c r="O282" s="188"/>
      <c r="P282" s="188"/>
      <c r="Q282" s="188"/>
      <c r="R282" s="188"/>
      <c r="S282" s="188"/>
      <c r="T282" s="188"/>
      <c r="U282" s="188"/>
      <c r="V282" s="5"/>
    </row>
    <row r="283" spans="1:22" ht="15.6" x14ac:dyDescent="0.3">
      <c r="A283" s="221"/>
      <c r="B283" s="230" t="s">
        <v>318</v>
      </c>
      <c r="C283" s="230"/>
      <c r="D283" s="230"/>
      <c r="E283" s="230"/>
      <c r="F283" s="278" t="s">
        <v>153</v>
      </c>
      <c r="G283" s="230"/>
      <c r="H283" s="230" t="s">
        <v>159</v>
      </c>
      <c r="I283" s="277"/>
      <c r="J283" s="277"/>
      <c r="K283" s="277"/>
      <c r="L283" s="188"/>
      <c r="M283" s="188"/>
      <c r="N283" s="188"/>
      <c r="O283" s="188"/>
      <c r="P283" s="188"/>
      <c r="Q283" s="188"/>
      <c r="R283" s="188"/>
      <c r="S283" s="188"/>
      <c r="T283" s="188"/>
      <c r="U283" s="188"/>
      <c r="V283" s="5"/>
    </row>
    <row r="284" spans="1:22" ht="15.6" x14ac:dyDescent="0.3">
      <c r="A284" s="221"/>
      <c r="B284" s="230"/>
      <c r="C284" s="230"/>
      <c r="D284" s="230"/>
      <c r="E284" s="230"/>
      <c r="F284" s="278"/>
      <c r="G284" s="230"/>
      <c r="H284" s="230"/>
      <c r="I284" s="277"/>
      <c r="J284" s="277"/>
      <c r="K284" s="277"/>
      <c r="L284" s="188"/>
      <c r="M284" s="188"/>
      <c r="N284" s="188"/>
      <c r="O284" s="188"/>
      <c r="P284" s="188"/>
      <c r="Q284" s="188"/>
      <c r="R284" s="188"/>
      <c r="S284" s="188"/>
      <c r="T284" s="188"/>
      <c r="U284" s="188"/>
      <c r="V284" s="5"/>
    </row>
    <row r="285" spans="1:22" ht="15.6" x14ac:dyDescent="0.3">
      <c r="A285" s="221"/>
      <c r="B285" s="281" t="s">
        <v>354</v>
      </c>
      <c r="C285" s="230"/>
      <c r="D285" s="230"/>
      <c r="E285" s="230"/>
      <c r="F285" s="278"/>
      <c r="G285" s="230"/>
      <c r="H285" s="230"/>
      <c r="I285" s="277"/>
      <c r="J285" s="277"/>
      <c r="K285" s="277"/>
      <c r="L285" s="188"/>
      <c r="M285" s="188"/>
      <c r="N285" s="188"/>
      <c r="O285" s="188"/>
      <c r="P285" s="188"/>
      <c r="Q285" s="188"/>
      <c r="R285" s="188"/>
      <c r="S285" s="188"/>
      <c r="T285" s="188"/>
      <c r="U285" s="188"/>
      <c r="V285" s="5"/>
    </row>
    <row r="286" spans="1:22" ht="15.6" x14ac:dyDescent="0.3">
      <c r="A286" s="221"/>
      <c r="B286" s="281" t="s">
        <v>350</v>
      </c>
      <c r="C286" s="230"/>
      <c r="D286" s="230"/>
      <c r="E286" s="230"/>
      <c r="F286" s="278"/>
      <c r="G286" s="230"/>
      <c r="H286" s="230"/>
      <c r="I286" s="277"/>
      <c r="J286" s="277"/>
      <c r="K286" s="277"/>
      <c r="L286" s="188"/>
      <c r="M286" s="188"/>
      <c r="N286" s="188"/>
      <c r="O286" s="188"/>
      <c r="P286" s="188"/>
      <c r="Q286" s="188"/>
      <c r="R286" s="188"/>
      <c r="S286" s="188"/>
      <c r="T286" s="188"/>
      <c r="U286" s="188"/>
      <c r="V286" s="5"/>
    </row>
    <row r="287" spans="1:22" ht="15.6" x14ac:dyDescent="0.3">
      <c r="A287" s="221"/>
      <c r="B287" s="281" t="s">
        <v>352</v>
      </c>
      <c r="C287" s="230"/>
      <c r="D287" s="230"/>
      <c r="E287" s="230"/>
      <c r="F287" s="278"/>
      <c r="G287" s="230"/>
      <c r="H287" s="230"/>
      <c r="I287" s="277"/>
      <c r="J287" s="277"/>
      <c r="K287" s="277"/>
      <c r="L287" s="188"/>
      <c r="M287" s="188"/>
      <c r="N287" s="188"/>
      <c r="O287" s="188"/>
      <c r="P287" s="188"/>
      <c r="Q287" s="188"/>
      <c r="R287" s="188"/>
      <c r="S287" s="188"/>
      <c r="T287" s="188"/>
      <c r="U287" s="188"/>
      <c r="V287" s="5"/>
    </row>
    <row r="288" spans="1:22" ht="15.6" x14ac:dyDescent="0.3">
      <c r="A288" s="221"/>
      <c r="B288" s="281" t="s">
        <v>351</v>
      </c>
      <c r="C288" s="230"/>
      <c r="D288" s="230"/>
      <c r="E288" s="230"/>
      <c r="F288" s="278"/>
      <c r="G288" s="230"/>
      <c r="H288" s="230"/>
      <c r="I288" s="277"/>
      <c r="J288" s="277"/>
      <c r="K288" s="277"/>
      <c r="L288" s="188"/>
      <c r="M288" s="188"/>
      <c r="N288" s="188"/>
      <c r="O288" s="188"/>
      <c r="P288" s="188"/>
      <c r="Q288" s="188"/>
      <c r="R288" s="188"/>
      <c r="S288" s="188"/>
      <c r="T288" s="188"/>
      <c r="U288" s="188"/>
      <c r="V288" s="5"/>
    </row>
    <row r="289" spans="1:22" ht="15.6" x14ac:dyDescent="0.3">
      <c r="A289" s="221"/>
      <c r="B289" s="281"/>
      <c r="C289" s="230"/>
      <c r="D289" s="230"/>
      <c r="E289" s="230"/>
      <c r="F289" s="278"/>
      <c r="G289" s="230"/>
      <c r="H289" s="230"/>
      <c r="I289" s="277"/>
      <c r="J289" s="277"/>
      <c r="K289" s="277"/>
      <c r="L289" s="188"/>
      <c r="M289" s="188"/>
      <c r="N289" s="188"/>
      <c r="O289" s="188"/>
      <c r="P289" s="188"/>
      <c r="Q289" s="188"/>
      <c r="R289" s="188"/>
      <c r="S289" s="188"/>
      <c r="T289" s="188"/>
      <c r="U289" s="188"/>
      <c r="V289" s="5"/>
    </row>
    <row r="290" spans="1:22" ht="17.399999999999999" x14ac:dyDescent="0.3">
      <c r="A290" s="221"/>
      <c r="B290" s="411" t="s">
        <v>353</v>
      </c>
      <c r="C290" s="230"/>
      <c r="D290" s="230"/>
      <c r="E290" s="230"/>
      <c r="F290" s="230"/>
      <c r="G290" s="279"/>
      <c r="H290" s="277"/>
      <c r="I290" s="277"/>
      <c r="J290" s="277"/>
      <c r="K290" s="277"/>
      <c r="L290" s="188"/>
      <c r="M290" s="188"/>
      <c r="N290" s="412"/>
      <c r="O290" s="188"/>
      <c r="P290" s="412" t="s">
        <v>174</v>
      </c>
      <c r="Q290" s="188"/>
      <c r="R290" s="188"/>
      <c r="S290" s="188"/>
      <c r="T290" s="188"/>
      <c r="U290" s="188"/>
      <c r="V290" s="5"/>
    </row>
    <row r="291" spans="1:22" ht="15.6" x14ac:dyDescent="0.3">
      <c r="A291" s="221"/>
      <c r="B291" s="230"/>
      <c r="C291" s="230"/>
      <c r="D291" s="230"/>
      <c r="E291" s="230"/>
      <c r="F291" s="230"/>
      <c r="G291" s="279"/>
      <c r="H291" s="277"/>
      <c r="I291" s="277"/>
      <c r="J291" s="277"/>
      <c r="K291" s="277"/>
      <c r="L291" s="188"/>
      <c r="M291" s="188"/>
      <c r="N291" s="188"/>
      <c r="O291" s="188"/>
      <c r="P291" s="188"/>
      <c r="Q291" s="188"/>
      <c r="R291" s="188"/>
      <c r="S291" s="188"/>
      <c r="T291" s="188"/>
      <c r="U291" s="188"/>
      <c r="V291" s="5"/>
    </row>
    <row r="292" spans="1:22" ht="18" thickBot="1" x14ac:dyDescent="0.35">
      <c r="A292" s="221"/>
      <c r="B292" s="280" t="str">
        <f>B192</f>
        <v>PM11 INVESTOR REPORT QUARTER ENDING MARCH 2017</v>
      </c>
      <c r="C292" s="230"/>
      <c r="D292" s="230"/>
      <c r="E292" s="230"/>
      <c r="F292" s="230"/>
      <c r="G292" s="279"/>
      <c r="H292" s="277"/>
      <c r="I292" s="277"/>
      <c r="J292" s="277"/>
      <c r="K292" s="277"/>
      <c r="L292" s="188"/>
      <c r="M292" s="188"/>
      <c r="N292" s="188"/>
      <c r="O292" s="188"/>
      <c r="P292" s="188"/>
      <c r="Q292" s="188"/>
      <c r="R292" s="188"/>
      <c r="S292" s="188"/>
      <c r="T292" s="188"/>
      <c r="U292" s="188"/>
      <c r="V292" s="5"/>
    </row>
    <row r="293" spans="1:22" x14ac:dyDescent="0.25">
      <c r="A293" s="100"/>
      <c r="B293" s="100"/>
      <c r="C293" s="100"/>
      <c r="D293" s="100"/>
      <c r="E293" s="100"/>
      <c r="F293" s="100"/>
      <c r="G293" s="100"/>
      <c r="H293" s="100"/>
      <c r="I293" s="100"/>
      <c r="J293" s="100"/>
      <c r="K293" s="100"/>
      <c r="L293" s="100"/>
      <c r="M293" s="100"/>
      <c r="N293" s="100"/>
      <c r="O293" s="100"/>
      <c r="P293" s="100"/>
      <c r="Q293" s="100"/>
      <c r="R293" s="100"/>
      <c r="S293" s="100"/>
      <c r="T293" s="100"/>
      <c r="U293" s="100"/>
    </row>
  </sheetData>
  <hyperlinks>
    <hyperlink ref="N228" r:id="rId1" xr:uid="{00000000-0004-0000-2B00-000000000000}"/>
    <hyperlink ref="J9" r:id="rId2" xr:uid="{00000000-0004-0000-2B00-000001000000}"/>
    <hyperlink ref="P290" r:id="rId3" xr:uid="{00000000-0004-0000-2B00-000002000000}"/>
  </hyperlinks>
  <printOptions horizontalCentered="1" verticalCentered="1"/>
  <pageMargins left="0.19685039370078741" right="0.19685039370078741" top="0.27559055118110237" bottom="0.27559055118110237" header="0" footer="0"/>
  <pageSetup scale="38" orientation="landscape" r:id="rId4"/>
  <headerFooter alignWithMargins="0"/>
  <rowBreaks count="3" manualBreakCount="3">
    <brk id="63" max="20" man="1"/>
    <brk id="132" max="20" man="1"/>
    <brk id="192" max="20" man="1"/>
  </rowBreaks>
  <drawing r:id="rId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89CB31"/>
  </sheetPr>
  <dimension ref="A1:X293"/>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08984375" style="1" customWidth="1"/>
    <col min="10" max="10" width="17.81640625" style="1" customWidth="1"/>
    <col min="11" max="11" width="2.1796875" style="1" customWidth="1"/>
    <col min="12" max="12" width="14.81640625" style="1" customWidth="1"/>
    <col min="13" max="13" width="2.1796875" style="1" customWidth="1"/>
    <col min="14" max="14" width="15.54296875" style="1" customWidth="1"/>
    <col min="15" max="15" width="2.08984375" style="1" customWidth="1"/>
    <col min="16" max="16" width="15.54296875" style="1" customWidth="1"/>
    <col min="17" max="18" width="12.81640625" style="1" customWidth="1"/>
    <col min="19" max="19" width="7.81640625" style="1" customWidth="1"/>
    <col min="20" max="20" width="14.81640625" style="1" customWidth="1"/>
    <col min="21" max="21" width="11.81640625" style="1" customWidth="1"/>
    <col min="22" max="16384" width="9.81640625" style="1"/>
  </cols>
  <sheetData>
    <row r="1" spans="1:22" ht="20.399999999999999" x14ac:dyDescent="0.35">
      <c r="A1" s="173"/>
      <c r="B1" s="228" t="s">
        <v>228</v>
      </c>
      <c r="C1" s="174"/>
      <c r="D1" s="174"/>
      <c r="E1" s="174"/>
      <c r="F1" s="174"/>
      <c r="G1" s="174"/>
      <c r="H1" s="174"/>
      <c r="I1" s="174"/>
      <c r="J1" s="174"/>
      <c r="K1" s="174"/>
      <c r="L1" s="174"/>
      <c r="M1" s="174"/>
      <c r="N1" s="174"/>
      <c r="O1" s="174"/>
      <c r="P1" s="174"/>
      <c r="Q1" s="174"/>
      <c r="R1" s="174"/>
      <c r="S1" s="174"/>
      <c r="T1" s="174"/>
      <c r="U1" s="174"/>
      <c r="V1" s="5"/>
    </row>
    <row r="2" spans="1:22" ht="15.6" x14ac:dyDescent="0.3">
      <c r="A2" s="175"/>
      <c r="B2" s="176"/>
      <c r="C2" s="177"/>
      <c r="D2" s="177"/>
      <c r="E2" s="177"/>
      <c r="F2" s="177"/>
      <c r="G2" s="177"/>
      <c r="H2" s="177"/>
      <c r="I2" s="177"/>
      <c r="J2" s="177"/>
      <c r="K2" s="177"/>
      <c r="L2" s="177"/>
      <c r="M2" s="177"/>
      <c r="N2" s="177"/>
      <c r="O2" s="177"/>
      <c r="P2" s="177"/>
      <c r="Q2" s="177"/>
      <c r="R2" s="177"/>
      <c r="S2" s="177"/>
      <c r="T2" s="177"/>
      <c r="U2" s="177"/>
      <c r="V2" s="5"/>
    </row>
    <row r="3" spans="1:22" ht="15.6" x14ac:dyDescent="0.3">
      <c r="A3" s="178"/>
      <c r="B3" s="179" t="s">
        <v>229</v>
      </c>
      <c r="C3" s="177"/>
      <c r="D3" s="177"/>
      <c r="E3" s="177"/>
      <c r="F3" s="177"/>
      <c r="G3" s="177"/>
      <c r="H3" s="177"/>
      <c r="I3" s="177"/>
      <c r="J3" s="177"/>
      <c r="K3" s="177"/>
      <c r="L3" s="177"/>
      <c r="M3" s="177"/>
      <c r="N3" s="177"/>
      <c r="O3" s="177"/>
      <c r="P3" s="177"/>
      <c r="Q3" s="177"/>
      <c r="R3" s="177"/>
      <c r="S3" s="177"/>
      <c r="T3" s="177"/>
      <c r="U3" s="177"/>
      <c r="V3" s="5"/>
    </row>
    <row r="4" spans="1:22" ht="15.6" x14ac:dyDescent="0.3">
      <c r="A4" s="175"/>
      <c r="B4" s="176"/>
      <c r="C4" s="177"/>
      <c r="D4" s="177"/>
      <c r="E4" s="177"/>
      <c r="F4" s="177"/>
      <c r="G4" s="177"/>
      <c r="H4" s="177"/>
      <c r="I4" s="177"/>
      <c r="J4" s="177"/>
      <c r="K4" s="177"/>
      <c r="L4" s="177"/>
      <c r="M4" s="177"/>
      <c r="N4" s="177"/>
      <c r="O4" s="177"/>
      <c r="P4" s="177"/>
      <c r="Q4" s="177"/>
      <c r="R4" s="177"/>
      <c r="S4" s="177"/>
      <c r="T4" s="177"/>
      <c r="U4" s="177"/>
      <c r="V4" s="5"/>
    </row>
    <row r="5" spans="1:22" ht="15.6" x14ac:dyDescent="0.3">
      <c r="A5" s="175"/>
      <c r="B5" s="229" t="s">
        <v>143</v>
      </c>
      <c r="C5" s="177"/>
      <c r="D5" s="177"/>
      <c r="E5" s="177"/>
      <c r="F5" s="177"/>
      <c r="G5" s="177"/>
      <c r="H5" s="177"/>
      <c r="I5" s="177"/>
      <c r="J5" s="177"/>
      <c r="K5" s="177"/>
      <c r="L5" s="177"/>
      <c r="M5" s="177"/>
      <c r="N5" s="177"/>
      <c r="O5" s="177"/>
      <c r="P5" s="177"/>
      <c r="Q5" s="177"/>
      <c r="R5" s="177"/>
      <c r="S5" s="177"/>
      <c r="T5" s="177"/>
      <c r="U5" s="177"/>
      <c r="V5" s="5"/>
    </row>
    <row r="6" spans="1:22" ht="15.6" x14ac:dyDescent="0.3">
      <c r="A6" s="175"/>
      <c r="B6" s="229" t="s">
        <v>145</v>
      </c>
      <c r="C6" s="177"/>
      <c r="D6" s="177"/>
      <c r="E6" s="177"/>
      <c r="F6" s="177"/>
      <c r="G6" s="177"/>
      <c r="H6" s="177"/>
      <c r="I6" s="177"/>
      <c r="J6" s="177"/>
      <c r="K6" s="177"/>
      <c r="L6" s="177"/>
      <c r="M6" s="177"/>
      <c r="N6" s="177"/>
      <c r="O6" s="177"/>
      <c r="P6" s="177"/>
      <c r="Q6" s="177"/>
      <c r="R6" s="177"/>
      <c r="S6" s="177"/>
      <c r="T6" s="177"/>
      <c r="U6" s="177"/>
      <c r="V6" s="5"/>
    </row>
    <row r="7" spans="1:22" ht="15.6" x14ac:dyDescent="0.3">
      <c r="A7" s="175"/>
      <c r="B7" s="229" t="s">
        <v>144</v>
      </c>
      <c r="C7" s="177"/>
      <c r="D7" s="177"/>
      <c r="E7" s="177"/>
      <c r="F7" s="177"/>
      <c r="G7" s="177"/>
      <c r="H7" s="177"/>
      <c r="I7" s="177"/>
      <c r="J7" s="177"/>
      <c r="K7" s="177"/>
      <c r="L7" s="177"/>
      <c r="M7" s="177"/>
      <c r="N7" s="177"/>
      <c r="O7" s="177"/>
      <c r="P7" s="177"/>
      <c r="Q7" s="177"/>
      <c r="R7" s="177"/>
      <c r="S7" s="177"/>
      <c r="T7" s="177"/>
      <c r="U7" s="177"/>
      <c r="V7" s="5"/>
    </row>
    <row r="8" spans="1:22" ht="15.6" x14ac:dyDescent="0.3">
      <c r="A8" s="175"/>
      <c r="B8" s="180"/>
      <c r="C8" s="177"/>
      <c r="D8" s="177"/>
      <c r="E8" s="177"/>
      <c r="F8" s="177"/>
      <c r="G8" s="177"/>
      <c r="H8" s="177"/>
      <c r="I8" s="177"/>
      <c r="J8" s="177"/>
      <c r="K8" s="177"/>
      <c r="L8" s="177"/>
      <c r="M8" s="177"/>
      <c r="N8" s="177"/>
      <c r="O8" s="177"/>
      <c r="P8" s="177"/>
      <c r="Q8" s="177"/>
      <c r="R8" s="177"/>
      <c r="S8" s="177"/>
      <c r="T8" s="177"/>
      <c r="U8" s="177"/>
      <c r="V8" s="5"/>
    </row>
    <row r="9" spans="1:22" ht="17.399999999999999" x14ac:dyDescent="0.3">
      <c r="A9" s="175"/>
      <c r="B9" s="181" t="s">
        <v>173</v>
      </c>
      <c r="C9" s="177"/>
      <c r="D9" s="177"/>
      <c r="E9" s="177"/>
      <c r="F9" s="177"/>
      <c r="G9" s="177"/>
      <c r="H9" s="177"/>
      <c r="I9" s="177"/>
      <c r="J9" s="182" t="s">
        <v>174</v>
      </c>
      <c r="K9" s="177"/>
      <c r="L9" s="182"/>
      <c r="M9" s="177"/>
      <c r="N9" s="177"/>
      <c r="O9" s="177"/>
      <c r="P9" s="177"/>
      <c r="Q9" s="177"/>
      <c r="R9" s="177"/>
      <c r="S9" s="177"/>
      <c r="T9" s="177"/>
      <c r="U9" s="177"/>
      <c r="V9" s="5"/>
    </row>
    <row r="10" spans="1:22" ht="15.6" x14ac:dyDescent="0.3">
      <c r="A10" s="175"/>
      <c r="B10" s="180"/>
      <c r="C10" s="183"/>
      <c r="D10" s="183"/>
      <c r="E10" s="183"/>
      <c r="F10" s="177"/>
      <c r="G10" s="177"/>
      <c r="H10" s="177"/>
      <c r="I10" s="177"/>
      <c r="J10" s="177"/>
      <c r="K10" s="177"/>
      <c r="L10" s="177"/>
      <c r="M10" s="177"/>
      <c r="N10" s="177"/>
      <c r="O10" s="177"/>
      <c r="P10" s="177"/>
      <c r="Q10" s="177"/>
      <c r="R10" s="177"/>
      <c r="S10" s="177"/>
      <c r="T10" s="177"/>
      <c r="U10" s="177"/>
      <c r="V10" s="5"/>
    </row>
    <row r="11" spans="1:22" ht="15.6" x14ac:dyDescent="0.3">
      <c r="A11" s="175"/>
      <c r="B11" s="230" t="s">
        <v>0</v>
      </c>
      <c r="C11" s="177"/>
      <c r="D11" s="177"/>
      <c r="E11" s="177"/>
      <c r="F11" s="177"/>
      <c r="G11" s="177"/>
      <c r="H11" s="177"/>
      <c r="I11" s="177"/>
      <c r="J11" s="177"/>
      <c r="K11" s="177"/>
      <c r="L11" s="177"/>
      <c r="M11" s="177"/>
      <c r="N11" s="177"/>
      <c r="O11" s="177"/>
      <c r="P11" s="177"/>
      <c r="Q11" s="177"/>
      <c r="R11" s="177"/>
      <c r="S11" s="177"/>
      <c r="T11" s="177"/>
      <c r="U11" s="177"/>
      <c r="V11" s="5"/>
    </row>
    <row r="12" spans="1:22" ht="16.2" thickBot="1" x14ac:dyDescent="0.35">
      <c r="A12" s="175"/>
      <c r="B12" s="183"/>
      <c r="C12" s="177"/>
      <c r="D12" s="177"/>
      <c r="E12" s="177"/>
      <c r="F12" s="177"/>
      <c r="G12" s="177"/>
      <c r="H12" s="177"/>
      <c r="I12" s="177"/>
      <c r="J12" s="177"/>
      <c r="K12" s="177"/>
      <c r="L12" s="177"/>
      <c r="M12" s="177"/>
      <c r="N12" s="177"/>
      <c r="O12" s="177"/>
      <c r="P12" s="177"/>
      <c r="Q12" s="177"/>
      <c r="R12" s="177"/>
      <c r="S12" s="177"/>
      <c r="T12" s="177"/>
      <c r="U12" s="177"/>
      <c r="V12" s="5"/>
    </row>
    <row r="13" spans="1:22" ht="15.6" x14ac:dyDescent="0.3">
      <c r="A13" s="173"/>
      <c r="B13" s="174"/>
      <c r="C13" s="174"/>
      <c r="D13" s="174"/>
      <c r="E13" s="174"/>
      <c r="F13" s="174"/>
      <c r="G13" s="174"/>
      <c r="H13" s="174"/>
      <c r="I13" s="174"/>
      <c r="J13" s="174"/>
      <c r="K13" s="174"/>
      <c r="L13" s="174"/>
      <c r="M13" s="174"/>
      <c r="N13" s="174"/>
      <c r="O13" s="174"/>
      <c r="P13" s="174"/>
      <c r="Q13" s="174"/>
      <c r="R13" s="174"/>
      <c r="S13" s="174"/>
      <c r="T13" s="174"/>
      <c r="U13" s="174"/>
      <c r="V13" s="5"/>
    </row>
    <row r="14" spans="1:22" ht="15.6" x14ac:dyDescent="0.3">
      <c r="A14" s="175"/>
      <c r="B14" s="230" t="s">
        <v>1</v>
      </c>
      <c r="C14" s="184"/>
      <c r="D14" s="184"/>
      <c r="E14" s="184"/>
      <c r="F14" s="184"/>
      <c r="G14" s="184"/>
      <c r="H14" s="184"/>
      <c r="I14" s="184"/>
      <c r="J14" s="184"/>
      <c r="K14" s="184"/>
      <c r="L14" s="184"/>
      <c r="M14" s="184"/>
      <c r="N14" s="184"/>
      <c r="O14" s="184"/>
      <c r="P14" s="231"/>
      <c r="Q14" s="231"/>
      <c r="R14" s="231"/>
      <c r="S14" s="231"/>
      <c r="T14" s="233" t="s">
        <v>230</v>
      </c>
      <c r="U14" s="184"/>
      <c r="V14" s="5"/>
    </row>
    <row r="15" spans="1:22" ht="15.6" x14ac:dyDescent="0.3">
      <c r="A15" s="175"/>
      <c r="B15" s="230" t="s">
        <v>2</v>
      </c>
      <c r="C15" s="184"/>
      <c r="D15" s="184"/>
      <c r="E15" s="184"/>
      <c r="F15" s="184"/>
      <c r="G15" s="184"/>
      <c r="H15" s="185"/>
      <c r="I15" s="185"/>
      <c r="J15" s="185"/>
      <c r="K15" s="185"/>
      <c r="L15" s="185"/>
      <c r="M15" s="185"/>
      <c r="N15" s="185"/>
      <c r="O15" s="185"/>
      <c r="P15" s="234" t="s">
        <v>107</v>
      </c>
      <c r="Q15" s="235">
        <v>0.40749999999999997</v>
      </c>
      <c r="R15" s="236" t="s">
        <v>146</v>
      </c>
      <c r="S15" s="235">
        <v>0.59250000000000003</v>
      </c>
      <c r="T15" s="233"/>
      <c r="U15" s="184"/>
      <c r="V15" s="5"/>
    </row>
    <row r="16" spans="1:22" ht="15.6" x14ac:dyDescent="0.3">
      <c r="A16" s="175"/>
      <c r="B16" s="230" t="s">
        <v>3</v>
      </c>
      <c r="C16" s="184"/>
      <c r="D16" s="184"/>
      <c r="E16" s="184"/>
      <c r="F16" s="184"/>
      <c r="G16" s="184"/>
      <c r="H16" s="185"/>
      <c r="I16" s="185"/>
      <c r="J16" s="185"/>
      <c r="K16" s="185"/>
      <c r="L16" s="185"/>
      <c r="M16" s="185"/>
      <c r="N16" s="185"/>
      <c r="O16" s="185"/>
      <c r="P16" s="234" t="s">
        <v>107</v>
      </c>
      <c r="Q16" s="235">
        <v>0.48830000000000001</v>
      </c>
      <c r="R16" s="236" t="s">
        <v>146</v>
      </c>
      <c r="S16" s="235">
        <v>0.51170000000000004</v>
      </c>
      <c r="T16" s="233"/>
      <c r="U16" s="184"/>
      <c r="V16" s="5"/>
    </row>
    <row r="17" spans="1:22" ht="15.6" x14ac:dyDescent="0.3">
      <c r="A17" s="175"/>
      <c r="B17" s="230" t="s">
        <v>4</v>
      </c>
      <c r="C17" s="184"/>
      <c r="D17" s="184"/>
      <c r="E17" s="184"/>
      <c r="F17" s="184"/>
      <c r="G17" s="184"/>
      <c r="H17" s="184"/>
      <c r="I17" s="184"/>
      <c r="J17" s="184"/>
      <c r="K17" s="184"/>
      <c r="L17" s="184"/>
      <c r="M17" s="184"/>
      <c r="N17" s="184"/>
      <c r="O17" s="184"/>
      <c r="P17" s="231"/>
      <c r="Q17" s="231"/>
      <c r="R17" s="231"/>
      <c r="S17" s="231"/>
      <c r="T17" s="237">
        <v>38799</v>
      </c>
      <c r="U17" s="184"/>
      <c r="V17" s="5"/>
    </row>
    <row r="18" spans="1:22" ht="15.6" x14ac:dyDescent="0.3">
      <c r="A18" s="175"/>
      <c r="B18" s="230" t="s">
        <v>5</v>
      </c>
      <c r="C18" s="184"/>
      <c r="D18" s="184"/>
      <c r="E18" s="184"/>
      <c r="F18" s="184"/>
      <c r="G18" s="184"/>
      <c r="H18" s="184"/>
      <c r="I18" s="184"/>
      <c r="J18" s="184"/>
      <c r="K18" s="184"/>
      <c r="L18" s="184"/>
      <c r="M18" s="184"/>
      <c r="N18" s="184"/>
      <c r="O18" s="184"/>
      <c r="P18" s="231"/>
      <c r="Q18" s="231"/>
      <c r="R18" s="231"/>
      <c r="S18" s="231"/>
      <c r="T18" s="237">
        <v>42934</v>
      </c>
      <c r="U18" s="184"/>
      <c r="V18" s="5"/>
    </row>
    <row r="19" spans="1:22" ht="15.6" x14ac:dyDescent="0.3">
      <c r="A19" s="175"/>
      <c r="B19" s="177"/>
      <c r="C19" s="177"/>
      <c r="D19" s="177"/>
      <c r="E19" s="177"/>
      <c r="F19" s="177"/>
      <c r="G19" s="177"/>
      <c r="H19" s="177"/>
      <c r="I19" s="177"/>
      <c r="J19" s="177"/>
      <c r="K19" s="177"/>
      <c r="L19" s="177"/>
      <c r="M19" s="177"/>
      <c r="N19" s="177"/>
      <c r="O19" s="177"/>
      <c r="P19" s="177"/>
      <c r="Q19" s="177"/>
      <c r="R19" s="177"/>
      <c r="S19" s="177"/>
      <c r="T19" s="186"/>
      <c r="U19" s="177"/>
      <c r="V19" s="5"/>
    </row>
    <row r="20" spans="1:22" ht="15.6" x14ac:dyDescent="0.3">
      <c r="A20" s="175"/>
      <c r="B20" s="232" t="s">
        <v>6</v>
      </c>
      <c r="C20" s="177"/>
      <c r="D20" s="177"/>
      <c r="E20" s="177"/>
      <c r="F20" s="177"/>
      <c r="G20" s="177"/>
      <c r="H20" s="177"/>
      <c r="I20" s="177"/>
      <c r="J20" s="177"/>
      <c r="K20" s="177"/>
      <c r="L20" s="177"/>
      <c r="M20" s="177"/>
      <c r="N20" s="177"/>
      <c r="O20" s="177"/>
      <c r="P20" s="177"/>
      <c r="Q20" s="177"/>
      <c r="R20" s="238" t="s">
        <v>108</v>
      </c>
      <c r="S20" s="177"/>
      <c r="T20" s="188"/>
      <c r="U20" s="177"/>
      <c r="V20" s="5"/>
    </row>
    <row r="21" spans="1:22" ht="15.6" x14ac:dyDescent="0.3">
      <c r="A21" s="175"/>
      <c r="B21" s="177"/>
      <c r="C21" s="177"/>
      <c r="D21" s="177"/>
      <c r="E21" s="177"/>
      <c r="F21" s="177"/>
      <c r="G21" s="177"/>
      <c r="H21" s="177"/>
      <c r="I21" s="177"/>
      <c r="J21" s="177"/>
      <c r="K21" s="177"/>
      <c r="L21" s="177"/>
      <c r="M21" s="177"/>
      <c r="N21" s="177"/>
      <c r="O21" s="177"/>
      <c r="P21" s="177"/>
      <c r="Q21" s="177"/>
      <c r="R21" s="177"/>
      <c r="S21" s="177"/>
      <c r="T21" s="189"/>
      <c r="U21" s="177"/>
      <c r="V21" s="5"/>
    </row>
    <row r="22" spans="1:22" ht="15.6" x14ac:dyDescent="0.3">
      <c r="A22" s="222"/>
      <c r="B22" s="223"/>
      <c r="C22" s="224"/>
      <c r="D22" s="224" t="s">
        <v>184</v>
      </c>
      <c r="E22" s="224"/>
      <c r="F22" s="224" t="s">
        <v>185</v>
      </c>
      <c r="G22" s="224"/>
      <c r="H22" s="224" t="s">
        <v>186</v>
      </c>
      <c r="I22" s="224"/>
      <c r="J22" s="224" t="s">
        <v>187</v>
      </c>
      <c r="K22" s="224"/>
      <c r="L22" s="224" t="s">
        <v>188</v>
      </c>
      <c r="M22" s="224"/>
      <c r="N22" s="224" t="s">
        <v>189</v>
      </c>
      <c r="O22" s="224"/>
      <c r="P22" s="224"/>
      <c r="Q22" s="226"/>
      <c r="R22" s="226"/>
      <c r="S22" s="227"/>
      <c r="T22" s="227"/>
      <c r="U22" s="223"/>
      <c r="V22" s="5"/>
    </row>
    <row r="23" spans="1:22" ht="15.6" x14ac:dyDescent="0.3">
      <c r="A23" s="190"/>
      <c r="B23" s="239" t="s">
        <v>7</v>
      </c>
      <c r="C23" s="240"/>
      <c r="D23" s="240" t="s">
        <v>222</v>
      </c>
      <c r="E23" s="240"/>
      <c r="F23" s="240" t="s">
        <v>147</v>
      </c>
      <c r="G23" s="240"/>
      <c r="H23" s="240" t="s">
        <v>147</v>
      </c>
      <c r="I23" s="240"/>
      <c r="J23" s="240" t="s">
        <v>190</v>
      </c>
      <c r="K23" s="240"/>
      <c r="L23" s="240" t="s">
        <v>190</v>
      </c>
      <c r="M23" s="240"/>
      <c r="N23" s="240" t="s">
        <v>148</v>
      </c>
      <c r="O23" s="240"/>
      <c r="P23" s="240"/>
      <c r="Q23" s="240"/>
      <c r="R23" s="240"/>
      <c r="S23" s="241"/>
      <c r="T23" s="241"/>
      <c r="U23" s="239"/>
      <c r="V23" s="5"/>
    </row>
    <row r="24" spans="1:22" ht="15.6" x14ac:dyDescent="0.3">
      <c r="A24" s="284"/>
      <c r="B24" s="285" t="s">
        <v>8</v>
      </c>
      <c r="C24" s="286"/>
      <c r="D24" s="286" t="s">
        <v>223</v>
      </c>
      <c r="E24" s="286"/>
      <c r="F24" s="286" t="s">
        <v>149</v>
      </c>
      <c r="G24" s="286"/>
      <c r="H24" s="286" t="s">
        <v>149</v>
      </c>
      <c r="I24" s="286"/>
      <c r="J24" s="286" t="s">
        <v>172</v>
      </c>
      <c r="K24" s="286"/>
      <c r="L24" s="286" t="s">
        <v>172</v>
      </c>
      <c r="M24" s="286"/>
      <c r="N24" s="286" t="s">
        <v>150</v>
      </c>
      <c r="O24" s="286"/>
      <c r="P24" s="286"/>
      <c r="Q24" s="286"/>
      <c r="R24" s="286"/>
      <c r="S24" s="287"/>
      <c r="T24" s="287"/>
      <c r="U24" s="288"/>
      <c r="V24" s="5"/>
    </row>
    <row r="25" spans="1:22" ht="15.6" x14ac:dyDescent="0.3">
      <c r="A25" s="289"/>
      <c r="B25" s="285" t="s">
        <v>198</v>
      </c>
      <c r="C25" s="394"/>
      <c r="D25" s="286" t="s">
        <v>224</v>
      </c>
      <c r="E25" s="286"/>
      <c r="F25" s="286" t="s">
        <v>149</v>
      </c>
      <c r="G25" s="286"/>
      <c r="H25" s="286" t="s">
        <v>149</v>
      </c>
      <c r="I25" s="286"/>
      <c r="J25" s="286" t="s">
        <v>172</v>
      </c>
      <c r="K25" s="286"/>
      <c r="L25" s="286" t="s">
        <v>172</v>
      </c>
      <c r="M25" s="286"/>
      <c r="N25" s="286" t="s">
        <v>150</v>
      </c>
      <c r="O25" s="286"/>
      <c r="P25" s="286"/>
      <c r="Q25" s="394"/>
      <c r="R25" s="286"/>
      <c r="S25" s="287"/>
      <c r="T25" s="287"/>
      <c r="U25" s="288"/>
      <c r="V25" s="5"/>
    </row>
    <row r="26" spans="1:22" ht="15.6" x14ac:dyDescent="0.3">
      <c r="A26" s="289"/>
      <c r="B26" s="292" t="s">
        <v>9</v>
      </c>
      <c r="C26" s="394"/>
      <c r="D26" s="394" t="s">
        <v>147</v>
      </c>
      <c r="E26" s="394"/>
      <c r="F26" s="394" t="s">
        <v>147</v>
      </c>
      <c r="G26" s="394"/>
      <c r="H26" s="394" t="s">
        <v>147</v>
      </c>
      <c r="I26" s="394"/>
      <c r="J26" s="394" t="s">
        <v>190</v>
      </c>
      <c r="K26" s="394"/>
      <c r="L26" s="394" t="s">
        <v>190</v>
      </c>
      <c r="M26" s="394"/>
      <c r="N26" s="394" t="s">
        <v>148</v>
      </c>
      <c r="O26" s="394"/>
      <c r="P26" s="394"/>
      <c r="Q26" s="394"/>
      <c r="R26" s="286"/>
      <c r="S26" s="287"/>
      <c r="T26" s="287"/>
      <c r="U26" s="288"/>
      <c r="V26" s="5"/>
    </row>
    <row r="27" spans="1:22" ht="15.6" x14ac:dyDescent="0.3">
      <c r="A27" s="284"/>
      <c r="B27" s="292" t="s">
        <v>199</v>
      </c>
      <c r="C27" s="286"/>
      <c r="D27" s="394" t="s">
        <v>149</v>
      </c>
      <c r="E27" s="394"/>
      <c r="F27" s="394" t="s">
        <v>149</v>
      </c>
      <c r="G27" s="394"/>
      <c r="H27" s="394" t="s">
        <v>149</v>
      </c>
      <c r="I27" s="394"/>
      <c r="J27" s="394" t="s">
        <v>345</v>
      </c>
      <c r="K27" s="394"/>
      <c r="L27" s="394" t="s">
        <v>345</v>
      </c>
      <c r="M27" s="394"/>
      <c r="N27" s="394" t="s">
        <v>346</v>
      </c>
      <c r="O27" s="394"/>
      <c r="P27" s="394"/>
      <c r="Q27" s="286"/>
      <c r="R27" s="293"/>
      <c r="S27" s="287"/>
      <c r="T27" s="287"/>
      <c r="U27" s="288"/>
      <c r="V27" s="5"/>
    </row>
    <row r="28" spans="1:22" ht="15.6" x14ac:dyDescent="0.3">
      <c r="A28" s="284"/>
      <c r="B28" s="292" t="s">
        <v>200</v>
      </c>
      <c r="C28" s="286"/>
      <c r="D28" s="394" t="s">
        <v>149</v>
      </c>
      <c r="E28" s="394"/>
      <c r="F28" s="394" t="s">
        <v>149</v>
      </c>
      <c r="G28" s="394"/>
      <c r="H28" s="394" t="s">
        <v>149</v>
      </c>
      <c r="I28" s="394"/>
      <c r="J28" s="394" t="s">
        <v>149</v>
      </c>
      <c r="K28" s="394"/>
      <c r="L28" s="394" t="s">
        <v>149</v>
      </c>
      <c r="M28" s="394"/>
      <c r="N28" s="394" t="s">
        <v>150</v>
      </c>
      <c r="O28" s="394"/>
      <c r="P28" s="394"/>
      <c r="Q28" s="286"/>
      <c r="R28" s="293"/>
      <c r="S28" s="287"/>
      <c r="T28" s="287"/>
      <c r="U28" s="288"/>
      <c r="V28" s="5"/>
    </row>
    <row r="29" spans="1:22" ht="15.6" x14ac:dyDescent="0.3">
      <c r="A29" s="284"/>
      <c r="B29" s="285" t="s">
        <v>10</v>
      </c>
      <c r="C29" s="295"/>
      <c r="D29" s="286" t="s">
        <v>237</v>
      </c>
      <c r="E29" s="286"/>
      <c r="F29" s="293" t="s">
        <v>238</v>
      </c>
      <c r="G29" s="286"/>
      <c r="H29" s="286" t="s">
        <v>239</v>
      </c>
      <c r="I29" s="286"/>
      <c r="J29" s="286" t="s">
        <v>240</v>
      </c>
      <c r="K29" s="286"/>
      <c r="L29" s="286" t="s">
        <v>241</v>
      </c>
      <c r="M29" s="286"/>
      <c r="N29" s="286" t="s">
        <v>242</v>
      </c>
      <c r="O29" s="286"/>
      <c r="P29" s="286"/>
      <c r="Q29" s="296"/>
      <c r="R29" s="296"/>
      <c r="S29" s="297"/>
      <c r="T29" s="296"/>
      <c r="U29" s="298"/>
      <c r="V29" s="5"/>
    </row>
    <row r="30" spans="1:22" ht="15.6" x14ac:dyDescent="0.3">
      <c r="A30" s="284"/>
      <c r="B30" s="285" t="s">
        <v>10</v>
      </c>
      <c r="C30" s="295"/>
      <c r="D30" s="286" t="s">
        <v>236</v>
      </c>
      <c r="E30" s="286"/>
      <c r="F30" s="293" t="s">
        <v>124</v>
      </c>
      <c r="G30" s="286"/>
      <c r="H30" s="286" t="s">
        <v>124</v>
      </c>
      <c r="I30" s="286"/>
      <c r="J30" s="286" t="s">
        <v>124</v>
      </c>
      <c r="K30" s="286"/>
      <c r="L30" s="286" t="s">
        <v>124</v>
      </c>
      <c r="M30" s="286"/>
      <c r="N30" s="286" t="s">
        <v>124</v>
      </c>
      <c r="O30" s="286"/>
      <c r="P30" s="286"/>
      <c r="Q30" s="296"/>
      <c r="R30" s="296"/>
      <c r="S30" s="297"/>
      <c r="T30" s="296"/>
      <c r="U30" s="298"/>
      <c r="V30" s="5"/>
    </row>
    <row r="31" spans="1:22" ht="15.6" x14ac:dyDescent="0.3">
      <c r="A31" s="289"/>
      <c r="B31" s="285" t="s">
        <v>139</v>
      </c>
      <c r="C31" s="299"/>
      <c r="D31" s="300">
        <v>985000</v>
      </c>
      <c r="E31" s="295"/>
      <c r="F31" s="296">
        <v>149500</v>
      </c>
      <c r="G31" s="296"/>
      <c r="H31" s="301">
        <v>219700</v>
      </c>
      <c r="I31" s="296"/>
      <c r="J31" s="296">
        <v>16000</v>
      </c>
      <c r="K31" s="296"/>
      <c r="L31" s="301">
        <v>82400</v>
      </c>
      <c r="M31" s="296"/>
      <c r="N31" s="301">
        <v>87500</v>
      </c>
      <c r="O31" s="296"/>
      <c r="P31" s="301"/>
      <c r="Q31" s="302"/>
      <c r="R31" s="302"/>
      <c r="S31" s="303"/>
      <c r="T31" s="302"/>
      <c r="U31" s="298"/>
      <c r="V31" s="5"/>
    </row>
    <row r="32" spans="1:22" ht="15.6" x14ac:dyDescent="0.3">
      <c r="A32" s="284"/>
      <c r="B32" s="285" t="s">
        <v>138</v>
      </c>
      <c r="C32" s="295"/>
      <c r="D32" s="408">
        <f>D38*D34</f>
        <v>211775.78748120001</v>
      </c>
      <c r="E32" s="295"/>
      <c r="F32" s="296">
        <f>F38*F31</f>
        <v>55811.130700000002</v>
      </c>
      <c r="G32" s="296"/>
      <c r="H32" s="301">
        <f>H38*H31</f>
        <v>82018.096420000002</v>
      </c>
      <c r="I32" s="296"/>
      <c r="J32" s="296">
        <f>J31*J38</f>
        <v>14166.5216</v>
      </c>
      <c r="K32" s="296"/>
      <c r="L32" s="301">
        <f>L31*L38</f>
        <v>72957.58623999999</v>
      </c>
      <c r="M32" s="296"/>
      <c r="N32" s="301">
        <f>N31*N38</f>
        <v>77473.164999999994</v>
      </c>
      <c r="O32" s="296"/>
      <c r="P32" s="301"/>
      <c r="Q32" s="296"/>
      <c r="R32" s="296"/>
      <c r="S32" s="297"/>
      <c r="T32" s="296"/>
      <c r="U32" s="298"/>
      <c r="V32" s="5"/>
    </row>
    <row r="33" spans="1:23" ht="15.6" x14ac:dyDescent="0.3">
      <c r="A33" s="284"/>
      <c r="B33" s="292" t="s">
        <v>140</v>
      </c>
      <c r="C33" s="295"/>
      <c r="D33" s="409">
        <f>D37*D34</f>
        <v>208858.70998080002</v>
      </c>
      <c r="E33" s="299"/>
      <c r="F33" s="302">
        <f>F37*F31</f>
        <v>55042.371800000001</v>
      </c>
      <c r="G33" s="302"/>
      <c r="H33" s="305">
        <f>H31*H37</f>
        <v>80888.355080000008</v>
      </c>
      <c r="I33" s="302"/>
      <c r="J33" s="302">
        <f>J31*J37</f>
        <v>13971.388800000001</v>
      </c>
      <c r="K33" s="302"/>
      <c r="L33" s="305">
        <f>L31*L37</f>
        <v>71952.652319999994</v>
      </c>
      <c r="M33" s="302"/>
      <c r="N33" s="305">
        <f>N31*N37</f>
        <v>76406.032500000001</v>
      </c>
      <c r="O33" s="302"/>
      <c r="P33" s="305"/>
      <c r="Q33" s="296"/>
      <c r="R33" s="296"/>
      <c r="S33" s="297"/>
      <c r="T33" s="296"/>
      <c r="U33" s="298"/>
      <c r="V33" s="5"/>
    </row>
    <row r="34" spans="1:23" ht="15.6" x14ac:dyDescent="0.3">
      <c r="A34" s="289"/>
      <c r="B34" s="285" t="s">
        <v>283</v>
      </c>
      <c r="C34" s="299"/>
      <c r="D34" s="296">
        <v>567282</v>
      </c>
      <c r="E34" s="295"/>
      <c r="F34" s="296">
        <v>149500</v>
      </c>
      <c r="G34" s="296"/>
      <c r="H34" s="296">
        <v>150716</v>
      </c>
      <c r="I34" s="296"/>
      <c r="J34" s="296">
        <v>16000</v>
      </c>
      <c r="K34" s="296"/>
      <c r="L34" s="296">
        <v>56527</v>
      </c>
      <c r="M34" s="296"/>
      <c r="N34" s="296">
        <v>60025</v>
      </c>
      <c r="O34" s="296"/>
      <c r="P34" s="296"/>
      <c r="Q34" s="302"/>
      <c r="R34" s="302"/>
      <c r="S34" s="303"/>
      <c r="T34" s="296">
        <f>SUM(C34:P34)</f>
        <v>1000050</v>
      </c>
      <c r="U34" s="298"/>
      <c r="V34" s="5"/>
    </row>
    <row r="35" spans="1:23" ht="15.6" x14ac:dyDescent="0.3">
      <c r="A35" s="289"/>
      <c r="B35" s="285" t="s">
        <v>284</v>
      </c>
      <c r="C35" s="299"/>
      <c r="D35" s="296">
        <f>D38*D34</f>
        <v>211775.78748120001</v>
      </c>
      <c r="E35" s="295"/>
      <c r="F35" s="296">
        <f>F38*F34</f>
        <v>55811.130700000002</v>
      </c>
      <c r="G35" s="296"/>
      <c r="H35" s="296">
        <f>H38*H34</f>
        <v>56265.086117600003</v>
      </c>
      <c r="I35" s="296"/>
      <c r="J35" s="296">
        <f>J34*J38</f>
        <v>14166.5216</v>
      </c>
      <c r="K35" s="296"/>
      <c r="L35" s="296">
        <f>L34*L38</f>
        <v>50049.435405199998</v>
      </c>
      <c r="M35" s="296"/>
      <c r="N35" s="296">
        <f>N34*N38</f>
        <v>53146.591189999999</v>
      </c>
      <c r="O35" s="296"/>
      <c r="P35" s="296"/>
      <c r="Q35" s="296"/>
      <c r="R35" s="296"/>
      <c r="S35" s="297"/>
      <c r="T35" s="296">
        <f>SUM(C35:P35)</f>
        <v>441214.552494</v>
      </c>
      <c r="U35" s="298"/>
      <c r="V35" s="5"/>
    </row>
    <row r="36" spans="1:23" ht="15.6" x14ac:dyDescent="0.3">
      <c r="A36" s="289"/>
      <c r="B36" s="292" t="s">
        <v>285</v>
      </c>
      <c r="C36" s="299"/>
      <c r="D36" s="302">
        <f>D37*D34</f>
        <v>208858.70998080002</v>
      </c>
      <c r="E36" s="299"/>
      <c r="F36" s="302">
        <f>F37*F34</f>
        <v>55042.371800000001</v>
      </c>
      <c r="G36" s="302"/>
      <c r="H36" s="302">
        <f>H37*H34</f>
        <v>55490.074302400004</v>
      </c>
      <c r="I36" s="302"/>
      <c r="J36" s="302">
        <f>J37*J34</f>
        <v>13971.388800000001</v>
      </c>
      <c r="K36" s="302"/>
      <c r="L36" s="302">
        <f>L37*L34</f>
        <v>49360.043418599998</v>
      </c>
      <c r="M36" s="302"/>
      <c r="N36" s="302">
        <f>N37*N34</f>
        <v>52414.538294999998</v>
      </c>
      <c r="O36" s="302"/>
      <c r="P36" s="302"/>
      <c r="Q36" s="327"/>
      <c r="R36" s="327"/>
      <c r="S36" s="297"/>
      <c r="T36" s="302">
        <f>SUM(C36:P36)+1</f>
        <v>435138.12659679999</v>
      </c>
      <c r="U36" s="298"/>
      <c r="V36" s="5"/>
    </row>
    <row r="37" spans="1:23" ht="15.6" x14ac:dyDescent="0.3">
      <c r="A37" s="284"/>
      <c r="B37" s="310" t="s">
        <v>136</v>
      </c>
      <c r="C37" s="311"/>
      <c r="D37" s="312">
        <v>0.36817440000000001</v>
      </c>
      <c r="E37" s="313"/>
      <c r="F37" s="312">
        <v>0.36817640000000001</v>
      </c>
      <c r="G37" s="314"/>
      <c r="H37" s="312">
        <v>0.36817640000000001</v>
      </c>
      <c r="I37" s="314"/>
      <c r="J37" s="312">
        <v>0.87321179999999998</v>
      </c>
      <c r="K37" s="314"/>
      <c r="L37" s="312">
        <v>0.87321179999999998</v>
      </c>
      <c r="M37" s="314"/>
      <c r="N37" s="312">
        <v>0.87321179999999998</v>
      </c>
      <c r="O37" s="314"/>
      <c r="P37" s="314"/>
      <c r="Q37" s="315"/>
      <c r="R37" s="315"/>
      <c r="S37" s="316"/>
      <c r="T37" s="316"/>
      <c r="U37" s="317"/>
      <c r="V37" s="5"/>
      <c r="W37" s="410"/>
    </row>
    <row r="38" spans="1:23" ht="15.6" x14ac:dyDescent="0.3">
      <c r="A38" s="284"/>
      <c r="B38" s="310" t="s">
        <v>137</v>
      </c>
      <c r="C38" s="311"/>
      <c r="D38" s="312">
        <v>0.3733166</v>
      </c>
      <c r="E38" s="313"/>
      <c r="F38" s="312">
        <v>0.3733186</v>
      </c>
      <c r="G38" s="314"/>
      <c r="H38" s="312">
        <v>0.3733186</v>
      </c>
      <c r="I38" s="314"/>
      <c r="J38" s="312">
        <v>0.88540759999999996</v>
      </c>
      <c r="K38" s="314"/>
      <c r="L38" s="312">
        <v>0.88540759999999996</v>
      </c>
      <c r="M38" s="314"/>
      <c r="N38" s="312">
        <v>0.88540759999999996</v>
      </c>
      <c r="O38" s="314"/>
      <c r="P38" s="314"/>
      <c r="Q38" s="318"/>
      <c r="R38" s="319"/>
      <c r="S38" s="316"/>
      <c r="T38" s="318"/>
      <c r="U38" s="317"/>
      <c r="V38" s="5"/>
    </row>
    <row r="39" spans="1:23" ht="15.6" x14ac:dyDescent="0.3">
      <c r="A39" s="284"/>
      <c r="B39" s="285" t="s">
        <v>11</v>
      </c>
      <c r="C39" s="285"/>
      <c r="D39" s="293" t="s">
        <v>275</v>
      </c>
      <c r="E39" s="285"/>
      <c r="F39" s="293" t="s">
        <v>232</v>
      </c>
      <c r="G39" s="293"/>
      <c r="H39" s="293" t="s">
        <v>232</v>
      </c>
      <c r="I39" s="293"/>
      <c r="J39" s="293" t="s">
        <v>234</v>
      </c>
      <c r="K39" s="293"/>
      <c r="L39" s="293" t="s">
        <v>234</v>
      </c>
      <c r="M39" s="293"/>
      <c r="N39" s="293" t="s">
        <v>235</v>
      </c>
      <c r="O39" s="293"/>
      <c r="P39" s="293"/>
      <c r="Q39" s="320"/>
      <c r="R39" s="321"/>
      <c r="S39" s="287"/>
      <c r="T39" s="287"/>
      <c r="U39" s="288"/>
      <c r="V39" s="5"/>
    </row>
    <row r="40" spans="1:23" ht="15.6" x14ac:dyDescent="0.3">
      <c r="A40" s="284"/>
      <c r="B40" s="285" t="s">
        <v>12</v>
      </c>
      <c r="C40" s="285"/>
      <c r="D40" s="321">
        <v>4.3556000000000003E-3</v>
      </c>
      <c r="E40" s="285"/>
      <c r="F40" s="321">
        <v>5.7555999999999996E-3</v>
      </c>
      <c r="G40" s="320"/>
      <c r="H40" s="321">
        <v>0</v>
      </c>
      <c r="I40" s="320"/>
      <c r="J40" s="321">
        <v>8.1556000000000007E-3</v>
      </c>
      <c r="K40" s="320"/>
      <c r="L40" s="321">
        <v>1.48E-3</v>
      </c>
      <c r="M40" s="320"/>
      <c r="N40" s="321">
        <v>5.6800000000000002E-3</v>
      </c>
      <c r="O40" s="320"/>
      <c r="P40" s="321"/>
      <c r="Q40" s="320"/>
      <c r="R40" s="321"/>
      <c r="S40" s="287"/>
      <c r="T40" s="293"/>
      <c r="U40" s="288"/>
      <c r="V40" s="5"/>
    </row>
    <row r="41" spans="1:23" ht="15.6" x14ac:dyDescent="0.3">
      <c r="A41" s="284"/>
      <c r="B41" s="285" t="s">
        <v>13</v>
      </c>
      <c r="C41" s="285"/>
      <c r="D41" s="321">
        <v>4.5849999999999997E-3</v>
      </c>
      <c r="E41" s="285"/>
      <c r="F41" s="321">
        <v>5.9662999999999999E-3</v>
      </c>
      <c r="G41" s="320"/>
      <c r="H41" s="321">
        <v>0</v>
      </c>
      <c r="I41" s="320"/>
      <c r="J41" s="321">
        <v>8.3663000000000001E-3</v>
      </c>
      <c r="K41" s="320"/>
      <c r="L41" s="321">
        <v>1.5299999999999999E-3</v>
      </c>
      <c r="M41" s="320"/>
      <c r="N41" s="321">
        <v>5.7299999999999999E-3</v>
      </c>
      <c r="O41" s="320"/>
      <c r="P41" s="321"/>
      <c r="Q41" s="320"/>
      <c r="R41" s="321"/>
      <c r="S41" s="287"/>
      <c r="T41" s="320" t="s">
        <v>201</v>
      </c>
      <c r="U41" s="288"/>
      <c r="V41" s="5"/>
    </row>
    <row r="42" spans="1:23" ht="15.6" x14ac:dyDescent="0.3">
      <c r="A42" s="284"/>
      <c r="B42" s="285" t="s">
        <v>286</v>
      </c>
      <c r="C42" s="285"/>
      <c r="D42" s="293" t="s">
        <v>275</v>
      </c>
      <c r="E42" s="285"/>
      <c r="F42" s="293" t="s">
        <v>232</v>
      </c>
      <c r="G42" s="293"/>
      <c r="H42" s="293" t="s">
        <v>232</v>
      </c>
      <c r="I42" s="293"/>
      <c r="J42" s="293" t="s">
        <v>234</v>
      </c>
      <c r="K42" s="293"/>
      <c r="L42" s="293" t="s">
        <v>245</v>
      </c>
      <c r="M42" s="293"/>
      <c r="N42" s="293" t="s">
        <v>247</v>
      </c>
      <c r="O42" s="293"/>
      <c r="P42" s="293"/>
      <c r="Q42" s="320"/>
      <c r="R42" s="321"/>
      <c r="S42" s="287"/>
      <c r="T42" s="287"/>
      <c r="U42" s="288"/>
      <c r="V42" s="5"/>
    </row>
    <row r="43" spans="1:23" ht="15.6" x14ac:dyDescent="0.3">
      <c r="A43" s="284"/>
      <c r="B43" s="285" t="s">
        <v>287</v>
      </c>
      <c r="C43" s="322"/>
      <c r="D43" s="321">
        <f>+D40</f>
        <v>4.3556000000000003E-3</v>
      </c>
      <c r="E43" s="321"/>
      <c r="F43" s="321">
        <f>+F40</f>
        <v>5.7555999999999996E-3</v>
      </c>
      <c r="G43" s="321"/>
      <c r="H43" s="321">
        <v>5.7515999999999999E-3</v>
      </c>
      <c r="I43" s="321"/>
      <c r="J43" s="321">
        <f>+J40</f>
        <v>8.1556000000000007E-3</v>
      </c>
      <c r="K43" s="321"/>
      <c r="L43" s="321">
        <v>8.4615999999999997E-3</v>
      </c>
      <c r="M43" s="321"/>
      <c r="N43" s="321">
        <v>1.31656E-2</v>
      </c>
      <c r="O43" s="320"/>
      <c r="P43" s="321"/>
      <c r="Q43" s="293"/>
      <c r="R43" s="293"/>
      <c r="S43" s="287"/>
      <c r="T43" s="320">
        <f>SUMPRODUCT(D43:N43,D35:N35)/T35</f>
        <v>6.3597017922903745E-3</v>
      </c>
      <c r="U43" s="288"/>
      <c r="V43" s="5"/>
    </row>
    <row r="44" spans="1:23" ht="15.6" x14ac:dyDescent="0.3">
      <c r="A44" s="284"/>
      <c r="B44" s="285" t="s">
        <v>288</v>
      </c>
      <c r="C44" s="322"/>
      <c r="D44" s="321">
        <f>+D41</f>
        <v>4.5849999999999997E-3</v>
      </c>
      <c r="E44" s="321"/>
      <c r="F44" s="321">
        <f>+F41</f>
        <v>5.9662999999999999E-3</v>
      </c>
      <c r="G44" s="321"/>
      <c r="H44" s="321">
        <v>5.9623000000000002E-3</v>
      </c>
      <c r="I44" s="321"/>
      <c r="J44" s="321">
        <f>+J41</f>
        <v>8.3663000000000001E-3</v>
      </c>
      <c r="K44" s="321"/>
      <c r="L44" s="321">
        <v>8.6723000000000008E-3</v>
      </c>
      <c r="M44" s="321"/>
      <c r="N44" s="321">
        <v>1.3376300000000001E-2</v>
      </c>
      <c r="O44" s="320"/>
      <c r="P44" s="321"/>
      <c r="Q44" s="293"/>
      <c r="R44" s="293"/>
      <c r="S44" s="287"/>
      <c r="T44" s="287"/>
      <c r="U44" s="288"/>
      <c r="V44" s="5"/>
    </row>
    <row r="45" spans="1:23" ht="15.6" x14ac:dyDescent="0.3">
      <c r="A45" s="284"/>
      <c r="B45" s="285" t="s">
        <v>14</v>
      </c>
      <c r="C45" s="285"/>
      <c r="D45" s="322">
        <v>40283</v>
      </c>
      <c r="E45" s="322"/>
      <c r="F45" s="322">
        <v>40283</v>
      </c>
      <c r="G45" s="322"/>
      <c r="H45" s="322">
        <v>40283</v>
      </c>
      <c r="I45" s="322"/>
      <c r="J45" s="322">
        <v>40283</v>
      </c>
      <c r="K45" s="322"/>
      <c r="L45" s="322">
        <v>40283</v>
      </c>
      <c r="M45" s="322"/>
      <c r="N45" s="322">
        <v>40283</v>
      </c>
      <c r="O45" s="322"/>
      <c r="P45" s="322"/>
      <c r="Q45" s="293"/>
      <c r="R45" s="293"/>
      <c r="S45" s="287"/>
      <c r="T45" s="287"/>
      <c r="U45" s="288"/>
      <c r="V45" s="5"/>
    </row>
    <row r="46" spans="1:23" ht="15.6" x14ac:dyDescent="0.3">
      <c r="A46" s="284"/>
      <c r="B46" s="285" t="s">
        <v>15</v>
      </c>
      <c r="C46" s="285"/>
      <c r="D46" s="322">
        <v>40648</v>
      </c>
      <c r="E46" s="322"/>
      <c r="F46" s="322">
        <v>40648</v>
      </c>
      <c r="G46" s="322"/>
      <c r="H46" s="322">
        <v>40648</v>
      </c>
      <c r="I46" s="293"/>
      <c r="J46" s="322">
        <v>40648</v>
      </c>
      <c r="K46" s="293"/>
      <c r="L46" s="322">
        <v>40648</v>
      </c>
      <c r="M46" s="293"/>
      <c r="N46" s="322">
        <v>40648</v>
      </c>
      <c r="O46" s="293"/>
      <c r="P46" s="322"/>
      <c r="Q46" s="293"/>
      <c r="R46" s="293"/>
      <c r="S46" s="287"/>
      <c r="T46" s="287"/>
      <c r="U46" s="288"/>
      <c r="V46" s="5"/>
    </row>
    <row r="47" spans="1:23" ht="15.6" x14ac:dyDescent="0.3">
      <c r="A47" s="284"/>
      <c r="B47" s="285" t="s">
        <v>125</v>
      </c>
      <c r="C47" s="285"/>
      <c r="D47" s="293" t="s">
        <v>124</v>
      </c>
      <c r="E47" s="285"/>
      <c r="F47" s="293" t="s">
        <v>232</v>
      </c>
      <c r="G47" s="293"/>
      <c r="H47" s="293" t="s">
        <v>232</v>
      </c>
      <c r="I47" s="293"/>
      <c r="J47" s="293" t="s">
        <v>234</v>
      </c>
      <c r="K47" s="293"/>
      <c r="L47" s="293" t="s">
        <v>234</v>
      </c>
      <c r="M47" s="293"/>
      <c r="N47" s="293" t="s">
        <v>235</v>
      </c>
      <c r="O47" s="293"/>
      <c r="P47" s="293"/>
      <c r="Q47" s="324"/>
      <c r="R47" s="324"/>
      <c r="S47" s="324"/>
      <c r="T47" s="324"/>
      <c r="U47" s="288"/>
      <c r="V47" s="5"/>
    </row>
    <row r="48" spans="1:23" ht="15.6" x14ac:dyDescent="0.3">
      <c r="A48" s="284"/>
      <c r="B48" s="285" t="s">
        <v>289</v>
      </c>
      <c r="C48" s="285"/>
      <c r="D48" s="293" t="s">
        <v>124</v>
      </c>
      <c r="E48" s="285"/>
      <c r="F48" s="293" t="s">
        <v>232</v>
      </c>
      <c r="G48" s="293"/>
      <c r="H48" s="293" t="s">
        <v>232</v>
      </c>
      <c r="I48" s="293"/>
      <c r="J48" s="293" t="s">
        <v>234</v>
      </c>
      <c r="K48" s="293"/>
      <c r="L48" s="293" t="s">
        <v>245</v>
      </c>
      <c r="M48" s="293"/>
      <c r="N48" s="293" t="s">
        <v>247</v>
      </c>
      <c r="O48" s="293"/>
      <c r="P48" s="293"/>
      <c r="Q48" s="285"/>
      <c r="R48" s="285"/>
      <c r="S48" s="285"/>
      <c r="T48" s="320"/>
      <c r="U48" s="288"/>
      <c r="V48" s="5"/>
    </row>
    <row r="49" spans="1:23" ht="15.6" x14ac:dyDescent="0.3">
      <c r="A49" s="284"/>
      <c r="B49" s="285"/>
      <c r="C49" s="285"/>
      <c r="D49" s="293"/>
      <c r="E49" s="285"/>
      <c r="F49" s="293"/>
      <c r="G49" s="293"/>
      <c r="H49" s="293"/>
      <c r="I49" s="293"/>
      <c r="J49" s="293"/>
      <c r="K49" s="293"/>
      <c r="L49" s="293"/>
      <c r="M49" s="293"/>
      <c r="N49" s="293"/>
      <c r="O49" s="293"/>
      <c r="P49" s="293"/>
      <c r="Q49" s="285"/>
      <c r="R49" s="285"/>
      <c r="S49" s="285"/>
      <c r="T49" s="320" t="s">
        <v>201</v>
      </c>
      <c r="U49" s="288"/>
      <c r="V49" s="5"/>
    </row>
    <row r="50" spans="1:23" ht="15.6" x14ac:dyDescent="0.3">
      <c r="A50" s="284"/>
      <c r="B50" s="285" t="s">
        <v>176</v>
      </c>
      <c r="C50" s="285"/>
      <c r="D50" s="293"/>
      <c r="E50" s="285"/>
      <c r="F50" s="293"/>
      <c r="G50" s="293"/>
      <c r="H50" s="293"/>
      <c r="I50" s="293"/>
      <c r="J50" s="293"/>
      <c r="K50" s="293"/>
      <c r="L50" s="293"/>
      <c r="M50" s="293"/>
      <c r="N50" s="293"/>
      <c r="O50" s="293"/>
      <c r="P50" s="293"/>
      <c r="Q50" s="285"/>
      <c r="R50" s="285"/>
      <c r="S50" s="285"/>
      <c r="T50" s="320">
        <f>SUM(J34:P34)/SUM(D34:H34)</f>
        <v>0.15279804679664968</v>
      </c>
      <c r="U50" s="288"/>
      <c r="V50" s="5"/>
    </row>
    <row r="51" spans="1:23" ht="15.6" x14ac:dyDescent="0.3">
      <c r="A51" s="284"/>
      <c r="B51" s="285" t="s">
        <v>177</v>
      </c>
      <c r="C51" s="285"/>
      <c r="D51" s="285"/>
      <c r="E51" s="285"/>
      <c r="F51" s="325"/>
      <c r="G51" s="285"/>
      <c r="H51" s="285"/>
      <c r="I51" s="285"/>
      <c r="J51" s="285"/>
      <c r="K51" s="285"/>
      <c r="L51" s="285"/>
      <c r="M51" s="285"/>
      <c r="N51" s="285"/>
      <c r="O51" s="285"/>
      <c r="P51" s="285"/>
      <c r="Q51" s="285"/>
      <c r="R51" s="285"/>
      <c r="S51" s="285"/>
      <c r="T51" s="320">
        <f>SUM(J36:P36)/SUM(D36:H36)</f>
        <v>0.3623956653434971</v>
      </c>
      <c r="U51" s="288"/>
      <c r="V51" s="5"/>
    </row>
    <row r="52" spans="1:23" ht="15.6" x14ac:dyDescent="0.3">
      <c r="A52" s="284"/>
      <c r="B52" s="285" t="s">
        <v>178</v>
      </c>
      <c r="C52" s="285"/>
      <c r="D52" s="285"/>
      <c r="E52" s="285"/>
      <c r="F52" s="285"/>
      <c r="G52" s="285"/>
      <c r="H52" s="285"/>
      <c r="I52" s="285"/>
      <c r="J52" s="285"/>
      <c r="K52" s="285"/>
      <c r="L52" s="285"/>
      <c r="M52" s="285"/>
      <c r="N52" s="285"/>
      <c r="O52" s="285"/>
      <c r="P52" s="285"/>
      <c r="Q52" s="285"/>
      <c r="R52" s="293" t="s">
        <v>109</v>
      </c>
      <c r="S52" s="293" t="s">
        <v>115</v>
      </c>
      <c r="T52" s="296">
        <f>+T34/2-SUM(J34:P34)</f>
        <v>367473</v>
      </c>
      <c r="U52" s="288"/>
      <c r="V52" s="5"/>
    </row>
    <row r="53" spans="1:23" ht="15.6" x14ac:dyDescent="0.3">
      <c r="A53" s="284"/>
      <c r="B53" s="285"/>
      <c r="C53" s="285"/>
      <c r="D53" s="285"/>
      <c r="E53" s="285"/>
      <c r="F53" s="285"/>
      <c r="G53" s="285"/>
      <c r="H53" s="285"/>
      <c r="I53" s="285"/>
      <c r="J53" s="285"/>
      <c r="K53" s="285"/>
      <c r="L53" s="285"/>
      <c r="M53" s="285"/>
      <c r="N53" s="285"/>
      <c r="O53" s="285"/>
      <c r="P53" s="285"/>
      <c r="Q53" s="285"/>
      <c r="R53" s="285"/>
      <c r="S53" s="285"/>
      <c r="T53" s="326"/>
      <c r="U53" s="288"/>
      <c r="V53" s="5"/>
    </row>
    <row r="54" spans="1:23" ht="15.6" x14ac:dyDescent="0.3">
      <c r="A54" s="284"/>
      <c r="B54" s="285" t="s">
        <v>342</v>
      </c>
      <c r="C54" s="285"/>
      <c r="D54" s="285"/>
      <c r="E54" s="285"/>
      <c r="F54" s="285"/>
      <c r="G54" s="285"/>
      <c r="H54" s="285"/>
      <c r="I54" s="285"/>
      <c r="J54" s="285"/>
      <c r="K54" s="285"/>
      <c r="L54" s="285"/>
      <c r="M54" s="285"/>
      <c r="N54" s="285"/>
      <c r="O54" s="285"/>
      <c r="P54" s="285"/>
      <c r="Q54" s="285"/>
      <c r="R54" s="293"/>
      <c r="S54" s="293"/>
      <c r="T54" s="328" t="s">
        <v>117</v>
      </c>
      <c r="U54" s="288"/>
      <c r="V54" s="5"/>
    </row>
    <row r="55" spans="1:23" ht="15.6" x14ac:dyDescent="0.3">
      <c r="A55" s="284"/>
      <c r="B55" s="292" t="s">
        <v>210</v>
      </c>
      <c r="C55" s="292"/>
      <c r="D55" s="292"/>
      <c r="E55" s="292"/>
      <c r="F55" s="292"/>
      <c r="G55" s="292"/>
      <c r="H55" s="292"/>
      <c r="I55" s="292"/>
      <c r="J55" s="292"/>
      <c r="K55" s="292"/>
      <c r="L55" s="292"/>
      <c r="M55" s="292"/>
      <c r="N55" s="292"/>
      <c r="O55" s="292"/>
      <c r="P55" s="292"/>
      <c r="Q55" s="292"/>
      <c r="R55" s="329"/>
      <c r="S55" s="329"/>
      <c r="T55" s="330">
        <v>42933</v>
      </c>
      <c r="U55" s="288"/>
      <c r="V55" s="5"/>
    </row>
    <row r="56" spans="1:23" ht="15.6" x14ac:dyDescent="0.3">
      <c r="A56" s="284"/>
      <c r="B56" s="285" t="s">
        <v>127</v>
      </c>
      <c r="C56" s="285"/>
      <c r="D56" s="285"/>
      <c r="E56" s="285"/>
      <c r="F56" s="285"/>
      <c r="G56" s="285"/>
      <c r="H56" s="331"/>
      <c r="I56" s="331"/>
      <c r="J56" s="331"/>
      <c r="K56" s="331"/>
      <c r="L56" s="331"/>
      <c r="M56" s="331"/>
      <c r="N56" s="331"/>
      <c r="O56" s="331"/>
      <c r="P56" s="285">
        <f>+T56-R56+1</f>
        <v>91</v>
      </c>
      <c r="Q56" s="331"/>
      <c r="R56" s="332">
        <v>42752</v>
      </c>
      <c r="S56" s="333"/>
      <c r="T56" s="332">
        <v>42842</v>
      </c>
      <c r="U56" s="288"/>
      <c r="V56" s="5"/>
    </row>
    <row r="57" spans="1:23" ht="15.6" x14ac:dyDescent="0.3">
      <c r="A57" s="284"/>
      <c r="B57" s="285" t="s">
        <v>128</v>
      </c>
      <c r="C57" s="285"/>
      <c r="D57" s="285"/>
      <c r="E57" s="285"/>
      <c r="F57" s="285"/>
      <c r="G57" s="285"/>
      <c r="H57" s="285"/>
      <c r="I57" s="285"/>
      <c r="J57" s="285"/>
      <c r="K57" s="285"/>
      <c r="L57" s="285"/>
      <c r="M57" s="285"/>
      <c r="N57" s="285"/>
      <c r="O57" s="285"/>
      <c r="P57" s="285">
        <f>+T57-R57+1</f>
        <v>90</v>
      </c>
      <c r="Q57" s="285"/>
      <c r="R57" s="332">
        <v>42843</v>
      </c>
      <c r="S57" s="333"/>
      <c r="T57" s="332">
        <v>42932</v>
      </c>
      <c r="U57" s="288"/>
      <c r="V57" s="5"/>
    </row>
    <row r="58" spans="1:23" ht="15.6" x14ac:dyDescent="0.3">
      <c r="A58" s="284"/>
      <c r="B58" s="285" t="s">
        <v>344</v>
      </c>
      <c r="C58" s="285"/>
      <c r="D58" s="285"/>
      <c r="E58" s="285"/>
      <c r="F58" s="285"/>
      <c r="G58" s="285"/>
      <c r="H58" s="285"/>
      <c r="I58" s="285"/>
      <c r="J58" s="285"/>
      <c r="K58" s="285"/>
      <c r="L58" s="285"/>
      <c r="M58" s="285"/>
      <c r="N58" s="285"/>
      <c r="O58" s="285"/>
      <c r="P58" s="285"/>
      <c r="Q58" s="285"/>
      <c r="R58" s="332"/>
      <c r="S58" s="333"/>
      <c r="T58" s="332" t="s">
        <v>126</v>
      </c>
      <c r="U58" s="288"/>
      <c r="V58" s="5"/>
    </row>
    <row r="59" spans="1:23" ht="15.6" x14ac:dyDescent="0.3">
      <c r="A59" s="284"/>
      <c r="B59" s="285" t="s">
        <v>343</v>
      </c>
      <c r="C59" s="285"/>
      <c r="D59" s="285"/>
      <c r="E59" s="285"/>
      <c r="F59" s="285"/>
      <c r="G59" s="285"/>
      <c r="H59" s="285"/>
      <c r="I59" s="285"/>
      <c r="J59" s="285"/>
      <c r="K59" s="285"/>
      <c r="L59" s="285"/>
      <c r="M59" s="285"/>
      <c r="N59" s="285"/>
      <c r="O59" s="285"/>
      <c r="P59" s="285"/>
      <c r="Q59" s="285"/>
      <c r="R59" s="332"/>
      <c r="S59" s="333"/>
      <c r="T59" s="332" t="s">
        <v>160</v>
      </c>
      <c r="U59" s="288"/>
      <c r="V59" s="5"/>
      <c r="W59" s="134"/>
    </row>
    <row r="60" spans="1:23" ht="15.6" x14ac:dyDescent="0.3">
      <c r="A60" s="284"/>
      <c r="B60" s="285" t="s">
        <v>16</v>
      </c>
      <c r="C60" s="285"/>
      <c r="D60" s="285"/>
      <c r="E60" s="285"/>
      <c r="F60" s="285"/>
      <c r="G60" s="285"/>
      <c r="H60" s="285"/>
      <c r="I60" s="285"/>
      <c r="J60" s="285"/>
      <c r="K60" s="285"/>
      <c r="L60" s="285"/>
      <c r="M60" s="285"/>
      <c r="N60" s="285"/>
      <c r="O60" s="285"/>
      <c r="P60" s="285"/>
      <c r="Q60" s="285"/>
      <c r="R60" s="332"/>
      <c r="S60" s="333"/>
      <c r="T60" s="332">
        <v>42919</v>
      </c>
      <c r="U60" s="288"/>
      <c r="V60" s="5"/>
    </row>
    <row r="61" spans="1:23" ht="15.6" x14ac:dyDescent="0.3">
      <c r="A61" s="175"/>
      <c r="B61" s="281"/>
      <c r="C61" s="281"/>
      <c r="D61" s="281"/>
      <c r="E61" s="281"/>
      <c r="F61" s="281"/>
      <c r="G61" s="281"/>
      <c r="H61" s="281"/>
      <c r="I61" s="281"/>
      <c r="J61" s="281"/>
      <c r="K61" s="281"/>
      <c r="L61" s="281"/>
      <c r="M61" s="281"/>
      <c r="N61" s="281"/>
      <c r="O61" s="281"/>
      <c r="P61" s="281"/>
      <c r="Q61" s="281"/>
      <c r="R61" s="282"/>
      <c r="S61" s="283"/>
      <c r="T61" s="282"/>
      <c r="U61" s="281"/>
      <c r="V61" s="5"/>
    </row>
    <row r="62" spans="1:23" ht="15.6" x14ac:dyDescent="0.3">
      <c r="A62" s="175"/>
      <c r="B62" s="231"/>
      <c r="C62" s="231"/>
      <c r="D62" s="231"/>
      <c r="E62" s="231"/>
      <c r="F62" s="231"/>
      <c r="G62" s="231"/>
      <c r="H62" s="231"/>
      <c r="I62" s="231"/>
      <c r="J62" s="231"/>
      <c r="K62" s="231"/>
      <c r="L62" s="231"/>
      <c r="M62" s="231"/>
      <c r="N62" s="231"/>
      <c r="O62" s="231"/>
      <c r="P62" s="231"/>
      <c r="Q62" s="231"/>
      <c r="R62" s="244"/>
      <c r="S62" s="245"/>
      <c r="T62" s="244"/>
      <c r="U62" s="231"/>
      <c r="V62" s="5"/>
    </row>
    <row r="63" spans="1:23" ht="18" thickBot="1" x14ac:dyDescent="0.35">
      <c r="A63" s="192"/>
      <c r="B63" s="246" t="s">
        <v>347</v>
      </c>
      <c r="C63" s="247"/>
      <c r="D63" s="247"/>
      <c r="E63" s="247"/>
      <c r="F63" s="247"/>
      <c r="G63" s="247"/>
      <c r="H63" s="247"/>
      <c r="I63" s="247"/>
      <c r="J63" s="247"/>
      <c r="K63" s="247"/>
      <c r="L63" s="247"/>
      <c r="M63" s="247"/>
      <c r="N63" s="247"/>
      <c r="O63" s="247"/>
      <c r="P63" s="247"/>
      <c r="Q63" s="247"/>
      <c r="R63" s="247"/>
      <c r="S63" s="247"/>
      <c r="T63" s="248"/>
      <c r="U63" s="249"/>
      <c r="V63" s="5"/>
    </row>
    <row r="64" spans="1:23" ht="15.6" x14ac:dyDescent="0.3">
      <c r="A64" s="222"/>
      <c r="B64" s="395" t="s">
        <v>17</v>
      </c>
      <c r="C64" s="223"/>
      <c r="D64" s="223"/>
      <c r="E64" s="223"/>
      <c r="F64" s="223"/>
      <c r="G64" s="223"/>
      <c r="H64" s="223"/>
      <c r="I64" s="223"/>
      <c r="J64" s="223"/>
      <c r="K64" s="223"/>
      <c r="L64" s="223"/>
      <c r="M64" s="223"/>
      <c r="N64" s="223"/>
      <c r="O64" s="223"/>
      <c r="P64" s="223"/>
      <c r="Q64" s="223"/>
      <c r="R64" s="223"/>
      <c r="S64" s="223"/>
      <c r="T64" s="250"/>
      <c r="U64" s="223"/>
      <c r="V64" s="5"/>
    </row>
    <row r="65" spans="1:22" ht="15.6" x14ac:dyDescent="0.3">
      <c r="A65" s="175"/>
      <c r="B65" s="183"/>
      <c r="C65" s="177"/>
      <c r="D65" s="177"/>
      <c r="E65" s="177"/>
      <c r="F65" s="177"/>
      <c r="G65" s="177"/>
      <c r="H65" s="177"/>
      <c r="I65" s="177"/>
      <c r="J65" s="177"/>
      <c r="K65" s="177"/>
      <c r="L65" s="177"/>
      <c r="M65" s="177"/>
      <c r="N65" s="177"/>
      <c r="O65" s="177"/>
      <c r="P65" s="177"/>
      <c r="Q65" s="177"/>
      <c r="R65" s="177"/>
      <c r="S65" s="177"/>
      <c r="T65" s="194"/>
      <c r="U65" s="177"/>
      <c r="V65" s="5"/>
    </row>
    <row r="66" spans="1:22" ht="46.8" x14ac:dyDescent="0.3">
      <c r="A66" s="175"/>
      <c r="B66" s="195" t="s">
        <v>18</v>
      </c>
      <c r="C66" s="196"/>
      <c r="D66" s="196"/>
      <c r="E66" s="196"/>
      <c r="F66" s="196"/>
      <c r="G66" s="196"/>
      <c r="H66" s="196"/>
      <c r="I66" s="196"/>
      <c r="J66" s="196" t="s">
        <v>97</v>
      </c>
      <c r="K66" s="196"/>
      <c r="L66" s="196" t="s">
        <v>99</v>
      </c>
      <c r="M66" s="196"/>
      <c r="N66" s="196" t="s">
        <v>101</v>
      </c>
      <c r="O66" s="196"/>
      <c r="P66" s="196" t="s">
        <v>103</v>
      </c>
      <c r="Q66" s="196"/>
      <c r="R66" s="196" t="s">
        <v>110</v>
      </c>
      <c r="S66" s="196"/>
      <c r="T66" s="197" t="s">
        <v>118</v>
      </c>
      <c r="U66" s="198"/>
      <c r="V66" s="5"/>
    </row>
    <row r="67" spans="1:22" ht="15.6" x14ac:dyDescent="0.3">
      <c r="A67" s="337"/>
      <c r="B67" s="285" t="s">
        <v>19</v>
      </c>
      <c r="C67" s="338"/>
      <c r="D67" s="338"/>
      <c r="E67" s="338"/>
      <c r="F67" s="338"/>
      <c r="G67" s="338"/>
      <c r="H67" s="338"/>
      <c r="I67" s="338"/>
      <c r="J67" s="338">
        <v>1000039</v>
      </c>
      <c r="K67" s="338"/>
      <c r="L67" s="339">
        <v>441215</v>
      </c>
      <c r="M67" s="338"/>
      <c r="N67" s="338">
        <f>6077+65</f>
        <v>6142</v>
      </c>
      <c r="O67" s="338"/>
      <c r="P67" s="338">
        <v>65</v>
      </c>
      <c r="Q67" s="338"/>
      <c r="R67" s="338">
        <v>0</v>
      </c>
      <c r="S67" s="338"/>
      <c r="T67" s="339">
        <f>+L67-N67+P67-R67</f>
        <v>435138</v>
      </c>
      <c r="U67" s="288"/>
      <c r="V67" s="5"/>
    </row>
    <row r="68" spans="1:22" ht="15.6" x14ac:dyDescent="0.3">
      <c r="A68" s="337"/>
      <c r="B68" s="285" t="s">
        <v>20</v>
      </c>
      <c r="C68" s="338"/>
      <c r="D68" s="338"/>
      <c r="E68" s="338"/>
      <c r="F68" s="338"/>
      <c r="G68" s="338"/>
      <c r="H68" s="338"/>
      <c r="I68" s="338"/>
      <c r="J68" s="338">
        <v>10</v>
      </c>
      <c r="K68" s="338"/>
      <c r="L68" s="339">
        <v>0</v>
      </c>
      <c r="M68" s="338"/>
      <c r="N68" s="338">
        <v>0</v>
      </c>
      <c r="O68" s="338"/>
      <c r="P68" s="338">
        <v>0</v>
      </c>
      <c r="Q68" s="338"/>
      <c r="R68" s="338">
        <v>0</v>
      </c>
      <c r="S68" s="338"/>
      <c r="T68" s="339">
        <v>0</v>
      </c>
      <c r="U68" s="288"/>
      <c r="V68" s="5"/>
    </row>
    <row r="69" spans="1:22" ht="15.6" x14ac:dyDescent="0.3">
      <c r="A69" s="337"/>
      <c r="B69" s="285"/>
      <c r="C69" s="338"/>
      <c r="D69" s="338"/>
      <c r="E69" s="338"/>
      <c r="F69" s="338"/>
      <c r="G69" s="338"/>
      <c r="H69" s="338"/>
      <c r="I69" s="338"/>
      <c r="J69" s="338"/>
      <c r="K69" s="338"/>
      <c r="L69" s="339"/>
      <c r="M69" s="338"/>
      <c r="N69" s="338"/>
      <c r="O69" s="338"/>
      <c r="P69" s="338"/>
      <c r="Q69" s="338"/>
      <c r="R69" s="338"/>
      <c r="S69" s="338"/>
      <c r="T69" s="339"/>
      <c r="U69" s="288"/>
      <c r="V69" s="5"/>
    </row>
    <row r="70" spans="1:22" ht="15.6" x14ac:dyDescent="0.3">
      <c r="A70" s="337"/>
      <c r="B70" s="285" t="s">
        <v>21</v>
      </c>
      <c r="C70" s="338"/>
      <c r="D70" s="338"/>
      <c r="E70" s="338"/>
      <c r="F70" s="338"/>
      <c r="G70" s="338"/>
      <c r="H70" s="338"/>
      <c r="I70" s="338"/>
      <c r="J70" s="338">
        <f>SUM(J67:J69)</f>
        <v>1000049</v>
      </c>
      <c r="K70" s="338"/>
      <c r="L70" s="338">
        <f>L67+L68</f>
        <v>441215</v>
      </c>
      <c r="M70" s="338"/>
      <c r="N70" s="338">
        <f>SUM(N67:N69)</f>
        <v>6142</v>
      </c>
      <c r="O70" s="338"/>
      <c r="P70" s="338">
        <f>SUM(P67:P69)</f>
        <v>65</v>
      </c>
      <c r="Q70" s="338"/>
      <c r="R70" s="338">
        <f>SUM(R67:R69)</f>
        <v>0</v>
      </c>
      <c r="S70" s="338"/>
      <c r="T70" s="338">
        <f>SUM(T67:T69)</f>
        <v>435138</v>
      </c>
      <c r="U70" s="288"/>
      <c r="V70" s="5"/>
    </row>
    <row r="71" spans="1:22" ht="15.6" x14ac:dyDescent="0.3">
      <c r="A71" s="175"/>
      <c r="B71" s="334"/>
      <c r="C71" s="335"/>
      <c r="D71" s="335"/>
      <c r="E71" s="335"/>
      <c r="F71" s="335"/>
      <c r="G71" s="335"/>
      <c r="H71" s="335"/>
      <c r="I71" s="335"/>
      <c r="J71" s="335"/>
      <c r="K71" s="335"/>
      <c r="L71" s="335"/>
      <c r="M71" s="335"/>
      <c r="N71" s="335"/>
      <c r="O71" s="335"/>
      <c r="P71" s="335"/>
      <c r="Q71" s="335"/>
      <c r="R71" s="335"/>
      <c r="S71" s="335"/>
      <c r="T71" s="336"/>
      <c r="U71" s="334"/>
      <c r="V71" s="5"/>
    </row>
    <row r="72" spans="1:22" ht="15.6" x14ac:dyDescent="0.3">
      <c r="A72" s="175"/>
      <c r="B72" s="179" t="s">
        <v>22</v>
      </c>
      <c r="C72" s="199"/>
      <c r="D72" s="199"/>
      <c r="E72" s="199"/>
      <c r="F72" s="199"/>
      <c r="G72" s="199"/>
      <c r="H72" s="199"/>
      <c r="I72" s="199"/>
      <c r="J72" s="199"/>
      <c r="K72" s="199"/>
      <c r="L72" s="199"/>
      <c r="M72" s="199"/>
      <c r="N72" s="199"/>
      <c r="O72" s="199"/>
      <c r="P72" s="199"/>
      <c r="Q72" s="199"/>
      <c r="R72" s="199"/>
      <c r="S72" s="199"/>
      <c r="T72" s="200"/>
      <c r="U72" s="177"/>
      <c r="V72" s="5"/>
    </row>
    <row r="73" spans="1:22" ht="15.6" x14ac:dyDescent="0.3">
      <c r="A73" s="175"/>
      <c r="B73" s="177"/>
      <c r="C73" s="199"/>
      <c r="D73" s="199"/>
      <c r="E73" s="199"/>
      <c r="F73" s="199"/>
      <c r="G73" s="199"/>
      <c r="H73" s="199"/>
      <c r="I73" s="199"/>
      <c r="J73" s="199"/>
      <c r="K73" s="199"/>
      <c r="L73" s="199"/>
      <c r="M73" s="199"/>
      <c r="N73" s="199"/>
      <c r="O73" s="199"/>
      <c r="P73" s="199"/>
      <c r="Q73" s="199"/>
      <c r="R73" s="199"/>
      <c r="S73" s="199"/>
      <c r="T73" s="200"/>
      <c r="U73" s="177"/>
      <c r="V73" s="5"/>
    </row>
    <row r="74" spans="1:22" ht="15.6" x14ac:dyDescent="0.3">
      <c r="A74" s="284"/>
      <c r="B74" s="285" t="s">
        <v>19</v>
      </c>
      <c r="C74" s="338"/>
      <c r="D74" s="338"/>
      <c r="E74" s="338"/>
      <c r="F74" s="338"/>
      <c r="G74" s="338"/>
      <c r="H74" s="338"/>
      <c r="I74" s="338"/>
      <c r="J74" s="338"/>
      <c r="K74" s="338"/>
      <c r="L74" s="338"/>
      <c r="M74" s="338"/>
      <c r="N74" s="338"/>
      <c r="O74" s="338"/>
      <c r="P74" s="338"/>
      <c r="Q74" s="338"/>
      <c r="R74" s="338"/>
      <c r="S74" s="338"/>
      <c r="T74" s="338"/>
      <c r="U74" s="288"/>
      <c r="V74" s="5"/>
    </row>
    <row r="75" spans="1:22" ht="15.6" x14ac:dyDescent="0.3">
      <c r="A75" s="284"/>
      <c r="B75" s="285" t="s">
        <v>20</v>
      </c>
      <c r="C75" s="338"/>
      <c r="D75" s="338"/>
      <c r="E75" s="338"/>
      <c r="F75" s="338"/>
      <c r="G75" s="338"/>
      <c r="H75" s="338"/>
      <c r="I75" s="338"/>
      <c r="J75" s="338"/>
      <c r="K75" s="338"/>
      <c r="L75" s="338"/>
      <c r="M75" s="338"/>
      <c r="N75" s="338"/>
      <c r="O75" s="338"/>
      <c r="P75" s="338"/>
      <c r="Q75" s="338"/>
      <c r="R75" s="338"/>
      <c r="S75" s="338"/>
      <c r="T75" s="338"/>
      <c r="U75" s="288"/>
      <c r="V75" s="5"/>
    </row>
    <row r="76" spans="1:22" ht="15.6" x14ac:dyDescent="0.3">
      <c r="A76" s="284"/>
      <c r="B76" s="285"/>
      <c r="C76" s="338"/>
      <c r="D76" s="338"/>
      <c r="E76" s="338"/>
      <c r="F76" s="338"/>
      <c r="G76" s="338"/>
      <c r="H76" s="338"/>
      <c r="I76" s="338"/>
      <c r="J76" s="338"/>
      <c r="K76" s="338"/>
      <c r="L76" s="338"/>
      <c r="M76" s="338"/>
      <c r="N76" s="338"/>
      <c r="O76" s="338"/>
      <c r="P76" s="338"/>
      <c r="Q76" s="338"/>
      <c r="R76" s="338"/>
      <c r="S76" s="338"/>
      <c r="T76" s="338"/>
      <c r="U76" s="288"/>
      <c r="V76" s="5"/>
    </row>
    <row r="77" spans="1:22" ht="15.6" x14ac:dyDescent="0.3">
      <c r="A77" s="284"/>
      <c r="B77" s="285" t="s">
        <v>21</v>
      </c>
      <c r="C77" s="338"/>
      <c r="D77" s="338"/>
      <c r="E77" s="338"/>
      <c r="F77" s="338"/>
      <c r="G77" s="338"/>
      <c r="H77" s="338"/>
      <c r="I77" s="338"/>
      <c r="J77" s="338"/>
      <c r="K77" s="338"/>
      <c r="L77" s="338"/>
      <c r="M77" s="338"/>
      <c r="N77" s="338"/>
      <c r="O77" s="338"/>
      <c r="P77" s="338"/>
      <c r="Q77" s="338"/>
      <c r="R77" s="338"/>
      <c r="S77" s="338"/>
      <c r="T77" s="338"/>
      <c r="U77" s="288"/>
      <c r="V77" s="5"/>
    </row>
    <row r="78" spans="1:22" ht="15.6" x14ac:dyDescent="0.3">
      <c r="A78" s="284"/>
      <c r="B78" s="285"/>
      <c r="C78" s="338"/>
      <c r="D78" s="338"/>
      <c r="E78" s="338"/>
      <c r="F78" s="338"/>
      <c r="G78" s="338"/>
      <c r="H78" s="338"/>
      <c r="I78" s="338"/>
      <c r="J78" s="338"/>
      <c r="K78" s="338"/>
      <c r="L78" s="338"/>
      <c r="M78" s="338"/>
      <c r="N78" s="338"/>
      <c r="O78" s="338"/>
      <c r="P78" s="338"/>
      <c r="Q78" s="338"/>
      <c r="R78" s="338"/>
      <c r="S78" s="338"/>
      <c r="T78" s="338"/>
      <c r="U78" s="288"/>
      <c r="V78" s="5"/>
    </row>
    <row r="79" spans="1:22" ht="15.6" x14ac:dyDescent="0.3">
      <c r="A79" s="284"/>
      <c r="B79" s="285" t="s">
        <v>23</v>
      </c>
      <c r="C79" s="338"/>
      <c r="D79" s="338"/>
      <c r="E79" s="338"/>
      <c r="F79" s="338"/>
      <c r="G79" s="338"/>
      <c r="H79" s="338"/>
      <c r="I79" s="338"/>
      <c r="J79" s="338">
        <v>0</v>
      </c>
      <c r="K79" s="338"/>
      <c r="L79" s="338">
        <v>0</v>
      </c>
      <c r="M79" s="338"/>
      <c r="N79" s="338"/>
      <c r="O79" s="338"/>
      <c r="P79" s="338"/>
      <c r="Q79" s="338"/>
      <c r="R79" s="338"/>
      <c r="S79" s="338"/>
      <c r="T79" s="339">
        <v>0</v>
      </c>
      <c r="U79" s="288"/>
      <c r="V79" s="5"/>
    </row>
    <row r="80" spans="1:22" ht="15.6" x14ac:dyDescent="0.3">
      <c r="A80" s="284"/>
      <c r="B80" s="285" t="s">
        <v>123</v>
      </c>
      <c r="C80" s="338"/>
      <c r="D80" s="338"/>
      <c r="E80" s="338"/>
      <c r="F80" s="338"/>
      <c r="G80" s="338"/>
      <c r="H80" s="338"/>
      <c r="I80" s="338"/>
      <c r="J80" s="338">
        <v>0</v>
      </c>
      <c r="K80" s="338"/>
      <c r="L80" s="338">
        <v>0</v>
      </c>
      <c r="M80" s="338"/>
      <c r="N80" s="338"/>
      <c r="O80" s="338"/>
      <c r="P80" s="338"/>
      <c r="Q80" s="338"/>
      <c r="R80" s="338"/>
      <c r="S80" s="338"/>
      <c r="T80" s="338">
        <f>SUM(J80:P80)</f>
        <v>0</v>
      </c>
      <c r="U80" s="288"/>
      <c r="V80" s="5"/>
    </row>
    <row r="81" spans="1:22" ht="15.6" x14ac:dyDescent="0.3">
      <c r="A81" s="284"/>
      <c r="B81" s="285" t="s">
        <v>152</v>
      </c>
      <c r="C81" s="338"/>
      <c r="D81" s="338"/>
      <c r="E81" s="338"/>
      <c r="F81" s="338"/>
      <c r="G81" s="338"/>
      <c r="H81" s="338"/>
      <c r="I81" s="338"/>
      <c r="J81" s="338">
        <v>1</v>
      </c>
      <c r="K81" s="338"/>
      <c r="L81" s="338">
        <v>0</v>
      </c>
      <c r="M81" s="338"/>
      <c r="N81" s="338">
        <v>0</v>
      </c>
      <c r="O81" s="338"/>
      <c r="P81" s="338"/>
      <c r="Q81" s="338"/>
      <c r="R81" s="338"/>
      <c r="S81" s="338"/>
      <c r="T81" s="338">
        <f>+L81+N81</f>
        <v>0</v>
      </c>
      <c r="U81" s="288"/>
      <c r="V81" s="5"/>
    </row>
    <row r="82" spans="1:22" ht="15.6" x14ac:dyDescent="0.3">
      <c r="A82" s="284"/>
      <c r="B82" s="285" t="s">
        <v>25</v>
      </c>
      <c r="C82" s="338"/>
      <c r="D82" s="338"/>
      <c r="E82" s="338"/>
      <c r="F82" s="338"/>
      <c r="G82" s="338"/>
      <c r="H82" s="338"/>
      <c r="I82" s="338"/>
      <c r="J82" s="338">
        <v>0</v>
      </c>
      <c r="K82" s="338"/>
      <c r="L82" s="338">
        <v>0</v>
      </c>
      <c r="M82" s="338"/>
      <c r="N82" s="338"/>
      <c r="O82" s="338"/>
      <c r="P82" s="338"/>
      <c r="Q82" s="338"/>
      <c r="R82" s="338"/>
      <c r="S82" s="338"/>
      <c r="T82" s="338">
        <v>0</v>
      </c>
      <c r="U82" s="288"/>
      <c r="V82" s="5"/>
    </row>
    <row r="83" spans="1:22" ht="15.6" x14ac:dyDescent="0.3">
      <c r="A83" s="284"/>
      <c r="B83" s="285" t="s">
        <v>26</v>
      </c>
      <c r="C83" s="338"/>
      <c r="D83" s="338"/>
      <c r="E83" s="338"/>
      <c r="F83" s="338"/>
      <c r="G83" s="338"/>
      <c r="H83" s="338"/>
      <c r="I83" s="338"/>
      <c r="J83" s="338">
        <f>SUM(J70:J82)</f>
        <v>1000050</v>
      </c>
      <c r="K83" s="338"/>
      <c r="L83" s="338">
        <f>SUM(L70:L82)</f>
        <v>441215</v>
      </c>
      <c r="M83" s="338"/>
      <c r="N83" s="338"/>
      <c r="O83" s="338"/>
      <c r="P83" s="338"/>
      <c r="Q83" s="338"/>
      <c r="R83" s="338"/>
      <c r="S83" s="338"/>
      <c r="T83" s="338">
        <f>SUM(T70:T82)</f>
        <v>435138</v>
      </c>
      <c r="U83" s="288"/>
      <c r="V83" s="5"/>
    </row>
    <row r="84" spans="1:22" ht="15.6" x14ac:dyDescent="0.3">
      <c r="A84" s="175"/>
      <c r="B84" s="334"/>
      <c r="C84" s="335"/>
      <c r="D84" s="335"/>
      <c r="E84" s="335"/>
      <c r="F84" s="335"/>
      <c r="G84" s="335"/>
      <c r="H84" s="335"/>
      <c r="I84" s="335"/>
      <c r="J84" s="335"/>
      <c r="K84" s="335"/>
      <c r="L84" s="335"/>
      <c r="M84" s="335"/>
      <c r="N84" s="335"/>
      <c r="O84" s="335"/>
      <c r="P84" s="335"/>
      <c r="Q84" s="335"/>
      <c r="R84" s="335"/>
      <c r="S84" s="335"/>
      <c r="T84" s="336"/>
      <c r="U84" s="334"/>
      <c r="V84" s="5"/>
    </row>
    <row r="85" spans="1:22" ht="15.6" x14ac:dyDescent="0.3">
      <c r="A85" s="175"/>
      <c r="B85" s="177"/>
      <c r="C85" s="177"/>
      <c r="D85" s="177"/>
      <c r="E85" s="177"/>
      <c r="F85" s="177"/>
      <c r="G85" s="177"/>
      <c r="H85" s="177"/>
      <c r="I85" s="177"/>
      <c r="J85" s="177"/>
      <c r="K85" s="177"/>
      <c r="L85" s="177"/>
      <c r="M85" s="177"/>
      <c r="N85" s="177"/>
      <c r="O85" s="177"/>
      <c r="P85" s="177"/>
      <c r="Q85" s="177"/>
      <c r="R85" s="177"/>
      <c r="S85" s="177"/>
      <c r="T85" s="177"/>
      <c r="U85" s="177"/>
      <c r="V85" s="5"/>
    </row>
    <row r="86" spans="1:22" ht="15.6" x14ac:dyDescent="0.3">
      <c r="A86" s="222"/>
      <c r="B86" s="395" t="s">
        <v>27</v>
      </c>
      <c r="C86" s="395"/>
      <c r="D86" s="395"/>
      <c r="E86" s="395"/>
      <c r="F86" s="395"/>
      <c r="G86" s="395"/>
      <c r="H86" s="396"/>
      <c r="I86" s="396"/>
      <c r="J86" s="397" t="s">
        <v>98</v>
      </c>
      <c r="K86" s="396"/>
      <c r="L86" s="398">
        <f>+R193</f>
        <v>42916</v>
      </c>
      <c r="M86" s="396"/>
      <c r="N86" s="396"/>
      <c r="O86" s="396"/>
      <c r="P86" s="396"/>
      <c r="Q86" s="396"/>
      <c r="R86" s="396" t="s">
        <v>111</v>
      </c>
      <c r="S86" s="396"/>
      <c r="T86" s="396" t="s">
        <v>119</v>
      </c>
      <c r="U86" s="223"/>
      <c r="V86" s="5"/>
    </row>
    <row r="87" spans="1:22" ht="15.6" x14ac:dyDescent="0.3">
      <c r="A87" s="190"/>
      <c r="B87" s="239" t="s">
        <v>28</v>
      </c>
      <c r="C87" s="239"/>
      <c r="D87" s="239"/>
      <c r="E87" s="239"/>
      <c r="F87" s="239"/>
      <c r="G87" s="239"/>
      <c r="H87" s="239"/>
      <c r="I87" s="239"/>
      <c r="J87" s="239"/>
      <c r="K87" s="239"/>
      <c r="L87" s="239"/>
      <c r="M87" s="239"/>
      <c r="N87" s="239"/>
      <c r="O87" s="239"/>
      <c r="P87" s="239"/>
      <c r="Q87" s="239"/>
      <c r="R87" s="243">
        <v>0</v>
      </c>
      <c r="S87" s="239"/>
      <c r="T87" s="251">
        <v>0</v>
      </c>
      <c r="U87" s="239"/>
      <c r="V87" s="5"/>
    </row>
    <row r="88" spans="1:22" ht="15.6" x14ac:dyDescent="0.3">
      <c r="A88" s="284"/>
      <c r="B88" s="285" t="s">
        <v>29</v>
      </c>
      <c r="C88" s="285"/>
      <c r="D88" s="285"/>
      <c r="E88" s="285"/>
      <c r="F88" s="285"/>
      <c r="G88" s="285"/>
      <c r="H88" s="324"/>
      <c r="I88" s="341"/>
      <c r="J88" s="324"/>
      <c r="K88" s="285"/>
      <c r="L88" s="342"/>
      <c r="M88" s="285"/>
      <c r="N88" s="285"/>
      <c r="O88" s="285"/>
      <c r="P88" s="285"/>
      <c r="Q88" s="285"/>
      <c r="R88" s="338">
        <f>6143-68</f>
        <v>6075</v>
      </c>
      <c r="S88" s="285"/>
      <c r="T88" s="339"/>
      <c r="U88" s="288"/>
      <c r="V88" s="5"/>
    </row>
    <row r="89" spans="1:22" ht="15.6" x14ac:dyDescent="0.3">
      <c r="A89" s="284"/>
      <c r="B89" s="285" t="s">
        <v>225</v>
      </c>
      <c r="C89" s="285"/>
      <c r="D89" s="285"/>
      <c r="E89" s="285"/>
      <c r="F89" s="285"/>
      <c r="G89" s="285"/>
      <c r="H89" s="324"/>
      <c r="I89" s="341"/>
      <c r="J89" s="324"/>
      <c r="K89" s="285"/>
      <c r="L89" s="342"/>
      <c r="M89" s="285"/>
      <c r="N89" s="285"/>
      <c r="O89" s="285"/>
      <c r="P89" s="285"/>
      <c r="Q89" s="285"/>
      <c r="R89" s="338"/>
      <c r="S89" s="285"/>
      <c r="T89" s="339">
        <f>1779+1573-601-332</f>
        <v>2419</v>
      </c>
      <c r="U89" s="288"/>
      <c r="V89" s="5"/>
    </row>
    <row r="90" spans="1:22" ht="15.6" x14ac:dyDescent="0.3">
      <c r="A90" s="284"/>
      <c r="B90" s="285" t="s">
        <v>220</v>
      </c>
      <c r="C90" s="285"/>
      <c r="D90" s="285"/>
      <c r="E90" s="285"/>
      <c r="F90" s="285"/>
      <c r="G90" s="285"/>
      <c r="H90" s="324"/>
      <c r="I90" s="341"/>
      <c r="J90" s="324"/>
      <c r="K90" s="285"/>
      <c r="L90" s="342"/>
      <c r="M90" s="285"/>
      <c r="N90" s="285"/>
      <c r="O90" s="285"/>
      <c r="P90" s="285"/>
      <c r="Q90" s="285"/>
      <c r="R90" s="338"/>
      <c r="S90" s="285"/>
      <c r="T90" s="339">
        <f>29+101</f>
        <v>130</v>
      </c>
      <c r="U90" s="288"/>
      <c r="V90" s="5"/>
    </row>
    <row r="91" spans="1:22" ht="15.6" x14ac:dyDescent="0.3">
      <c r="A91" s="284"/>
      <c r="B91" s="285" t="s">
        <v>221</v>
      </c>
      <c r="C91" s="285"/>
      <c r="D91" s="285"/>
      <c r="E91" s="285"/>
      <c r="F91" s="285"/>
      <c r="G91" s="285"/>
      <c r="H91" s="324"/>
      <c r="I91" s="341"/>
      <c r="J91" s="324"/>
      <c r="K91" s="285"/>
      <c r="L91" s="342"/>
      <c r="M91" s="285"/>
      <c r="N91" s="285"/>
      <c r="O91" s="285"/>
      <c r="P91" s="285"/>
      <c r="Q91" s="285"/>
      <c r="R91" s="338"/>
      <c r="S91" s="285"/>
      <c r="T91" s="339">
        <v>21</v>
      </c>
      <c r="U91" s="288"/>
      <c r="V91" s="5"/>
    </row>
    <row r="92" spans="1:22" ht="15.6" x14ac:dyDescent="0.3">
      <c r="A92" s="284"/>
      <c r="B92" s="285" t="s">
        <v>261</v>
      </c>
      <c r="C92" s="285"/>
      <c r="D92" s="285"/>
      <c r="E92" s="285"/>
      <c r="F92" s="285"/>
      <c r="G92" s="285"/>
      <c r="H92" s="324"/>
      <c r="I92" s="341"/>
      <c r="J92" s="324"/>
      <c r="K92" s="285"/>
      <c r="L92" s="342"/>
      <c r="M92" s="285"/>
      <c r="N92" s="285"/>
      <c r="O92" s="285"/>
      <c r="P92" s="285"/>
      <c r="Q92" s="285"/>
      <c r="R92" s="338"/>
      <c r="S92" s="285"/>
      <c r="T92" s="339">
        <v>0</v>
      </c>
      <c r="U92" s="288"/>
      <c r="V92" s="5"/>
    </row>
    <row r="93" spans="1:22" ht="15.6" x14ac:dyDescent="0.3">
      <c r="A93" s="284"/>
      <c r="B93" s="285" t="s">
        <v>141</v>
      </c>
      <c r="C93" s="285"/>
      <c r="D93" s="285"/>
      <c r="E93" s="285"/>
      <c r="F93" s="285"/>
      <c r="G93" s="285"/>
      <c r="H93" s="285"/>
      <c r="I93" s="285"/>
      <c r="J93" s="285"/>
      <c r="K93" s="285"/>
      <c r="L93" s="285"/>
      <c r="M93" s="285"/>
      <c r="N93" s="285"/>
      <c r="O93" s="285"/>
      <c r="P93" s="285"/>
      <c r="Q93" s="285"/>
      <c r="R93" s="338"/>
      <c r="S93" s="285"/>
      <c r="T93" s="339">
        <v>0</v>
      </c>
      <c r="U93" s="288"/>
      <c r="V93" s="5"/>
    </row>
    <row r="94" spans="1:22" ht="15.6" x14ac:dyDescent="0.3">
      <c r="A94" s="284"/>
      <c r="B94" s="285" t="s">
        <v>250</v>
      </c>
      <c r="C94" s="285"/>
      <c r="D94" s="285"/>
      <c r="E94" s="285"/>
      <c r="F94" s="285"/>
      <c r="G94" s="285"/>
      <c r="H94" s="285"/>
      <c r="I94" s="285"/>
      <c r="J94" s="285"/>
      <c r="K94" s="285"/>
      <c r="L94" s="285"/>
      <c r="M94" s="285"/>
      <c r="N94" s="285"/>
      <c r="O94" s="285"/>
      <c r="P94" s="285"/>
      <c r="Q94" s="285"/>
      <c r="R94" s="338"/>
      <c r="S94" s="285"/>
      <c r="T94" s="339">
        <v>79</v>
      </c>
      <c r="U94" s="288"/>
      <c r="V94" s="5"/>
    </row>
    <row r="95" spans="1:22" ht="15.6" x14ac:dyDescent="0.3">
      <c r="A95" s="284"/>
      <c r="B95" s="285" t="s">
        <v>30</v>
      </c>
      <c r="C95" s="285"/>
      <c r="D95" s="285"/>
      <c r="E95" s="285"/>
      <c r="F95" s="285"/>
      <c r="G95" s="285"/>
      <c r="H95" s="285"/>
      <c r="I95" s="285"/>
      <c r="J95" s="285"/>
      <c r="K95" s="285"/>
      <c r="L95" s="285"/>
      <c r="M95" s="285"/>
      <c r="N95" s="285"/>
      <c r="O95" s="285"/>
      <c r="P95" s="285"/>
      <c r="Q95" s="285"/>
      <c r="R95" s="338">
        <f>SUM(R87:R94)</f>
        <v>6075</v>
      </c>
      <c r="S95" s="285"/>
      <c r="T95" s="338">
        <f>SUM(T87:T94)</f>
        <v>2649</v>
      </c>
      <c r="U95" s="288"/>
      <c r="V95" s="5"/>
    </row>
    <row r="96" spans="1:22" ht="15.6" x14ac:dyDescent="0.3">
      <c r="A96" s="284"/>
      <c r="B96" s="285" t="s">
        <v>168</v>
      </c>
      <c r="C96" s="285"/>
      <c r="D96" s="285"/>
      <c r="E96" s="285"/>
      <c r="F96" s="285"/>
      <c r="G96" s="285"/>
      <c r="H96" s="285"/>
      <c r="I96" s="285"/>
      <c r="J96" s="285"/>
      <c r="K96" s="285"/>
      <c r="L96" s="285"/>
      <c r="M96" s="285"/>
      <c r="N96" s="285"/>
      <c r="O96" s="285"/>
      <c r="P96" s="285"/>
      <c r="Q96" s="285"/>
      <c r="R96" s="338">
        <v>0</v>
      </c>
      <c r="S96" s="285"/>
      <c r="T96" s="338">
        <f>-R96</f>
        <v>0</v>
      </c>
      <c r="U96" s="288"/>
      <c r="V96" s="5"/>
    </row>
    <row r="97" spans="1:24" ht="15.6" x14ac:dyDescent="0.3">
      <c r="A97" s="284"/>
      <c r="B97" s="285" t="s">
        <v>31</v>
      </c>
      <c r="C97" s="285"/>
      <c r="D97" s="285"/>
      <c r="E97" s="285"/>
      <c r="F97" s="285"/>
      <c r="G97" s="285"/>
      <c r="H97" s="285"/>
      <c r="I97" s="285"/>
      <c r="J97" s="285"/>
      <c r="K97" s="285"/>
      <c r="L97" s="285"/>
      <c r="M97" s="285"/>
      <c r="N97" s="285"/>
      <c r="O97" s="285"/>
      <c r="P97" s="285"/>
      <c r="Q97" s="285"/>
      <c r="R97" s="338">
        <f>-T97</f>
        <v>0</v>
      </c>
      <c r="S97" s="285"/>
      <c r="T97" s="339">
        <v>0</v>
      </c>
      <c r="U97" s="288"/>
      <c r="V97" s="5"/>
    </row>
    <row r="98" spans="1:24" ht="15.6" x14ac:dyDescent="0.3">
      <c r="A98" s="284"/>
      <c r="B98" s="285" t="s">
        <v>273</v>
      </c>
      <c r="C98" s="285"/>
      <c r="D98" s="285"/>
      <c r="E98" s="285"/>
      <c r="F98" s="285"/>
      <c r="G98" s="285"/>
      <c r="H98" s="285"/>
      <c r="I98" s="285"/>
      <c r="J98" s="285"/>
      <c r="K98" s="285"/>
      <c r="L98" s="285"/>
      <c r="M98" s="285"/>
      <c r="N98" s="285"/>
      <c r="O98" s="285"/>
      <c r="P98" s="285"/>
      <c r="Q98" s="285"/>
      <c r="R98" s="338"/>
      <c r="S98" s="285"/>
      <c r="T98" s="339">
        <v>-117</v>
      </c>
      <c r="U98" s="288"/>
      <c r="V98" s="5"/>
    </row>
    <row r="99" spans="1:24" ht="15.6" x14ac:dyDescent="0.3">
      <c r="A99" s="284"/>
      <c r="B99" s="285" t="s">
        <v>32</v>
      </c>
      <c r="C99" s="285"/>
      <c r="D99" s="285"/>
      <c r="E99" s="285"/>
      <c r="F99" s="285"/>
      <c r="G99" s="285"/>
      <c r="H99" s="285"/>
      <c r="I99" s="285"/>
      <c r="J99" s="285"/>
      <c r="K99" s="285"/>
      <c r="L99" s="285"/>
      <c r="M99" s="285"/>
      <c r="N99" s="285"/>
      <c r="O99" s="285"/>
      <c r="P99" s="285"/>
      <c r="Q99" s="285"/>
      <c r="R99" s="338">
        <f>R95+R97+R96</f>
        <v>6075</v>
      </c>
      <c r="S99" s="285"/>
      <c r="T99" s="338">
        <f>T95+T97+T96+T98</f>
        <v>2532</v>
      </c>
      <c r="U99" s="288"/>
      <c r="V99" s="5"/>
    </row>
    <row r="100" spans="1:24" ht="15.6" x14ac:dyDescent="0.3">
      <c r="A100" s="284"/>
      <c r="B100" s="343" t="s">
        <v>33</v>
      </c>
      <c r="C100" s="311"/>
      <c r="D100" s="311"/>
      <c r="E100" s="311"/>
      <c r="F100" s="311"/>
      <c r="G100" s="311"/>
      <c r="H100" s="311"/>
      <c r="I100" s="311"/>
      <c r="J100" s="311"/>
      <c r="K100" s="311"/>
      <c r="L100" s="311"/>
      <c r="M100" s="311"/>
      <c r="N100" s="311"/>
      <c r="O100" s="311"/>
      <c r="P100" s="311"/>
      <c r="Q100" s="311"/>
      <c r="R100" s="344"/>
      <c r="S100" s="311"/>
      <c r="T100" s="345"/>
      <c r="U100" s="317"/>
      <c r="V100" s="5"/>
    </row>
    <row r="101" spans="1:24" ht="15.6" x14ac:dyDescent="0.3">
      <c r="A101" s="337">
        <v>1</v>
      </c>
      <c r="B101" s="285" t="s">
        <v>34</v>
      </c>
      <c r="C101" s="285"/>
      <c r="D101" s="285"/>
      <c r="E101" s="285"/>
      <c r="F101" s="285"/>
      <c r="G101" s="285"/>
      <c r="H101" s="285"/>
      <c r="I101" s="285"/>
      <c r="J101" s="285"/>
      <c r="K101" s="285"/>
      <c r="L101" s="285"/>
      <c r="M101" s="285"/>
      <c r="N101" s="285"/>
      <c r="O101" s="285"/>
      <c r="P101" s="285"/>
      <c r="Q101" s="285"/>
      <c r="R101" s="285"/>
      <c r="S101" s="285"/>
      <c r="T101" s="339">
        <v>0</v>
      </c>
      <c r="U101" s="288"/>
      <c r="V101" s="5"/>
    </row>
    <row r="102" spans="1:24" ht="15.6" x14ac:dyDescent="0.3">
      <c r="A102" s="337">
        <f>+A101+1</f>
        <v>2</v>
      </c>
      <c r="B102" s="285" t="s">
        <v>312</v>
      </c>
      <c r="C102" s="285"/>
      <c r="D102" s="285"/>
      <c r="E102" s="285"/>
      <c r="F102" s="285"/>
      <c r="G102" s="285"/>
      <c r="H102" s="285"/>
      <c r="I102" s="285"/>
      <c r="J102" s="285"/>
      <c r="K102" s="285"/>
      <c r="L102" s="285"/>
      <c r="M102" s="285"/>
      <c r="N102" s="285"/>
      <c r="O102" s="285"/>
      <c r="P102" s="285"/>
      <c r="Q102" s="285"/>
      <c r="R102" s="285"/>
      <c r="S102" s="285"/>
      <c r="T102" s="339">
        <v>-2</v>
      </c>
      <c r="U102" s="288"/>
      <c r="V102" s="5"/>
    </row>
    <row r="103" spans="1:24" ht="15.6" x14ac:dyDescent="0.3">
      <c r="A103" s="337">
        <f>+A102+1</f>
        <v>3</v>
      </c>
      <c r="B103" s="407" t="s">
        <v>314</v>
      </c>
      <c r="C103" s="285"/>
      <c r="D103" s="285"/>
      <c r="E103" s="285"/>
      <c r="F103" s="285"/>
      <c r="G103" s="285"/>
      <c r="H103" s="285"/>
      <c r="I103" s="285"/>
      <c r="J103" s="285"/>
      <c r="K103" s="285"/>
      <c r="L103" s="285"/>
      <c r="M103" s="285"/>
      <c r="N103" s="285"/>
      <c r="O103" s="285"/>
      <c r="P103" s="285"/>
      <c r="Q103" s="285"/>
      <c r="R103" s="285"/>
      <c r="S103" s="285"/>
      <c r="T103" s="339">
        <f>-167-63-6</f>
        <v>-236</v>
      </c>
      <c r="U103" s="288"/>
      <c r="V103" s="5"/>
    </row>
    <row r="104" spans="1:24" ht="15.6" x14ac:dyDescent="0.3">
      <c r="A104" s="337" t="s">
        <v>133</v>
      </c>
      <c r="B104" s="285" t="s">
        <v>122</v>
      </c>
      <c r="C104" s="285"/>
      <c r="D104" s="285"/>
      <c r="E104" s="285"/>
      <c r="F104" s="285"/>
      <c r="G104" s="285"/>
      <c r="H104" s="285"/>
      <c r="I104" s="285"/>
      <c r="J104" s="285"/>
      <c r="K104" s="285"/>
      <c r="L104" s="285"/>
      <c r="M104" s="285"/>
      <c r="N104" s="285"/>
      <c r="O104" s="285"/>
      <c r="P104" s="285"/>
      <c r="Q104" s="285"/>
      <c r="R104" s="285"/>
      <c r="S104" s="285"/>
      <c r="T104" s="339">
        <v>0</v>
      </c>
      <c r="U104" s="288"/>
      <c r="V104" s="5"/>
    </row>
    <row r="105" spans="1:24" ht="15.6" x14ac:dyDescent="0.3">
      <c r="A105" s="337" t="s">
        <v>134</v>
      </c>
      <c r="B105" s="285" t="s">
        <v>348</v>
      </c>
      <c r="C105" s="285"/>
      <c r="D105" s="285"/>
      <c r="E105" s="285"/>
      <c r="F105" s="285"/>
      <c r="G105" s="285"/>
      <c r="H105" s="285"/>
      <c r="I105" s="285"/>
      <c r="J105" s="285"/>
      <c r="K105" s="285"/>
      <c r="L105" s="285"/>
      <c r="M105" s="285"/>
      <c r="N105" s="285"/>
      <c r="O105" s="285"/>
      <c r="P105" s="285"/>
      <c r="Q105" s="285"/>
      <c r="R105" s="285"/>
      <c r="S105" s="285"/>
      <c r="T105" s="339">
        <f>-227-79</f>
        <v>-306</v>
      </c>
      <c r="U105" s="288"/>
      <c r="V105" s="5"/>
      <c r="W105" s="109"/>
    </row>
    <row r="106" spans="1:24" ht="15.6" x14ac:dyDescent="0.3">
      <c r="A106" s="337" t="s">
        <v>156</v>
      </c>
      <c r="B106" s="285" t="s">
        <v>349</v>
      </c>
      <c r="C106" s="285"/>
      <c r="D106" s="285"/>
      <c r="E106" s="285"/>
      <c r="F106" s="285"/>
      <c r="G106" s="285"/>
      <c r="H106" s="285"/>
      <c r="I106" s="285"/>
      <c r="J106" s="285"/>
      <c r="K106" s="285"/>
      <c r="L106" s="285"/>
      <c r="M106" s="285"/>
      <c r="N106" s="285"/>
      <c r="O106" s="285"/>
      <c r="P106" s="285"/>
      <c r="Q106" s="285"/>
      <c r="R106" s="285"/>
      <c r="S106" s="285"/>
      <c r="T106" s="339">
        <v>-80</v>
      </c>
      <c r="U106" s="288"/>
      <c r="V106" s="5"/>
      <c r="W106" s="109"/>
    </row>
    <row r="107" spans="1:24" ht="15.6" x14ac:dyDescent="0.3">
      <c r="A107" s="337" t="s">
        <v>214</v>
      </c>
      <c r="B107" s="285" t="s">
        <v>192</v>
      </c>
      <c r="C107" s="285"/>
      <c r="D107" s="285"/>
      <c r="E107" s="285"/>
      <c r="F107" s="285"/>
      <c r="G107" s="285"/>
      <c r="H107" s="285"/>
      <c r="I107" s="285"/>
      <c r="J107" s="285"/>
      <c r="K107" s="285"/>
      <c r="L107" s="285"/>
      <c r="M107" s="285"/>
      <c r="N107" s="285"/>
      <c r="O107" s="285"/>
      <c r="P107" s="285"/>
      <c r="Q107" s="285"/>
      <c r="R107" s="285"/>
      <c r="S107" s="285"/>
      <c r="T107" s="339">
        <v>-104</v>
      </c>
      <c r="U107" s="288"/>
      <c r="V107" s="5"/>
      <c r="W107" s="109"/>
      <c r="X107" s="109"/>
    </row>
    <row r="108" spans="1:24" ht="15.6" x14ac:dyDescent="0.3">
      <c r="A108" s="337" t="s">
        <v>215</v>
      </c>
      <c r="B108" s="285" t="s">
        <v>193</v>
      </c>
      <c r="C108" s="285"/>
      <c r="D108" s="285"/>
      <c r="E108" s="285"/>
      <c r="F108" s="285"/>
      <c r="G108" s="285"/>
      <c r="H108" s="285"/>
      <c r="I108" s="285"/>
      <c r="J108" s="285"/>
      <c r="K108" s="285"/>
      <c r="L108" s="285"/>
      <c r="M108" s="285"/>
      <c r="N108" s="285"/>
      <c r="O108" s="285"/>
      <c r="P108" s="285"/>
      <c r="Q108" s="285"/>
      <c r="R108" s="285"/>
      <c r="S108" s="285"/>
      <c r="T108" s="339">
        <v>-29</v>
      </c>
      <c r="U108" s="288"/>
      <c r="V108" s="169"/>
      <c r="W108" s="109"/>
    </row>
    <row r="109" spans="1:24" ht="15.6" x14ac:dyDescent="0.3">
      <c r="A109" s="337" t="s">
        <v>216</v>
      </c>
      <c r="B109" s="285" t="s">
        <v>204</v>
      </c>
      <c r="C109" s="285"/>
      <c r="D109" s="285"/>
      <c r="E109" s="285"/>
      <c r="F109" s="285"/>
      <c r="G109" s="285"/>
      <c r="H109" s="285"/>
      <c r="I109" s="285"/>
      <c r="J109" s="285"/>
      <c r="K109" s="285"/>
      <c r="L109" s="285"/>
      <c r="M109" s="285"/>
      <c r="N109" s="285"/>
      <c r="O109" s="285"/>
      <c r="P109" s="285"/>
      <c r="Q109" s="285"/>
      <c r="R109" s="285"/>
      <c r="S109" s="285"/>
      <c r="T109" s="339">
        <v>-173</v>
      </c>
      <c r="U109" s="288"/>
      <c r="V109" s="5"/>
      <c r="W109" s="109"/>
    </row>
    <row r="110" spans="1:24" ht="15.6" x14ac:dyDescent="0.3">
      <c r="A110" s="406">
        <v>7</v>
      </c>
      <c r="B110" s="407" t="s">
        <v>313</v>
      </c>
      <c r="C110" s="407"/>
      <c r="D110" s="407"/>
      <c r="E110" s="407"/>
      <c r="F110" s="407"/>
      <c r="G110" s="285"/>
      <c r="H110" s="285"/>
      <c r="I110" s="285"/>
      <c r="J110" s="285"/>
      <c r="K110" s="285"/>
      <c r="L110" s="285"/>
      <c r="M110" s="285"/>
      <c r="N110" s="285"/>
      <c r="O110" s="285"/>
      <c r="P110" s="285"/>
      <c r="Q110" s="285"/>
      <c r="R110" s="285"/>
      <c r="S110" s="285"/>
      <c r="T110" s="339">
        <v>0</v>
      </c>
      <c r="U110" s="288"/>
      <c r="V110" s="5"/>
      <c r="W110" s="109"/>
    </row>
    <row r="111" spans="1:24" ht="15.6" x14ac:dyDescent="0.3">
      <c r="A111" s="337">
        <f t="shared" ref="A111:A117" si="0">+A110+1</f>
        <v>8</v>
      </c>
      <c r="B111" s="285" t="s">
        <v>35</v>
      </c>
      <c r="C111" s="285"/>
      <c r="D111" s="285"/>
      <c r="E111" s="285"/>
      <c r="F111" s="285"/>
      <c r="G111" s="285"/>
      <c r="H111" s="285"/>
      <c r="I111" s="285"/>
      <c r="J111" s="285"/>
      <c r="K111" s="285"/>
      <c r="L111" s="285"/>
      <c r="M111" s="285"/>
      <c r="N111" s="285"/>
      <c r="O111" s="285"/>
      <c r="P111" s="285"/>
      <c r="Q111" s="285"/>
      <c r="R111" s="285"/>
      <c r="S111" s="285"/>
      <c r="T111" s="339">
        <v>-29</v>
      </c>
      <c r="U111" s="288"/>
      <c r="V111" s="5"/>
    </row>
    <row r="112" spans="1:24" ht="15.6" x14ac:dyDescent="0.3">
      <c r="A112" s="337">
        <f t="shared" si="0"/>
        <v>9</v>
      </c>
      <c r="B112" s="285" t="s">
        <v>46</v>
      </c>
      <c r="C112" s="285"/>
      <c r="D112" s="285"/>
      <c r="E112" s="285"/>
      <c r="F112" s="285"/>
      <c r="G112" s="285"/>
      <c r="H112" s="285"/>
      <c r="I112" s="285"/>
      <c r="J112" s="285"/>
      <c r="K112" s="285"/>
      <c r="L112" s="285"/>
      <c r="M112" s="285"/>
      <c r="N112" s="285"/>
      <c r="O112" s="285"/>
      <c r="P112" s="285"/>
      <c r="Q112" s="285"/>
      <c r="R112" s="338">
        <f>-T112</f>
        <v>68</v>
      </c>
      <c r="S112" s="285"/>
      <c r="T112" s="339">
        <v>-68</v>
      </c>
      <c r="U112" s="288"/>
      <c r="V112" s="5"/>
    </row>
    <row r="113" spans="1:22" ht="15.6" x14ac:dyDescent="0.3">
      <c r="A113" s="337">
        <f t="shared" si="0"/>
        <v>10</v>
      </c>
      <c r="B113" s="285" t="s">
        <v>131</v>
      </c>
      <c r="C113" s="285"/>
      <c r="D113" s="285"/>
      <c r="E113" s="285"/>
      <c r="F113" s="285"/>
      <c r="G113" s="285"/>
      <c r="H113" s="285"/>
      <c r="I113" s="285"/>
      <c r="J113" s="285"/>
      <c r="K113" s="285"/>
      <c r="L113" s="285"/>
      <c r="M113" s="285"/>
      <c r="N113" s="285"/>
      <c r="O113" s="285"/>
      <c r="P113" s="285"/>
      <c r="Q113" s="285"/>
      <c r="R113" s="285"/>
      <c r="S113" s="285"/>
      <c r="T113" s="339">
        <v>0</v>
      </c>
      <c r="U113" s="288"/>
      <c r="V113" s="5"/>
    </row>
    <row r="114" spans="1:22" ht="15.6" x14ac:dyDescent="0.3">
      <c r="A114" s="337">
        <f t="shared" si="0"/>
        <v>11</v>
      </c>
      <c r="B114" s="285" t="s">
        <v>36</v>
      </c>
      <c r="C114" s="285"/>
      <c r="D114" s="285"/>
      <c r="E114" s="285"/>
      <c r="F114" s="285"/>
      <c r="G114" s="285"/>
      <c r="H114" s="285"/>
      <c r="I114" s="285"/>
      <c r="J114" s="285"/>
      <c r="K114" s="285"/>
      <c r="L114" s="285"/>
      <c r="M114" s="285"/>
      <c r="N114" s="285"/>
      <c r="O114" s="285"/>
      <c r="P114" s="285"/>
      <c r="Q114" s="285"/>
      <c r="R114" s="285"/>
      <c r="S114" s="285"/>
      <c r="T114" s="339">
        <v>0</v>
      </c>
      <c r="U114" s="288"/>
      <c r="V114" s="5"/>
    </row>
    <row r="115" spans="1:22" ht="15.6" x14ac:dyDescent="0.3">
      <c r="A115" s="337">
        <f t="shared" si="0"/>
        <v>12</v>
      </c>
      <c r="B115" s="285" t="s">
        <v>37</v>
      </c>
      <c r="C115" s="285"/>
      <c r="D115" s="285"/>
      <c r="E115" s="285"/>
      <c r="F115" s="285"/>
      <c r="G115" s="285"/>
      <c r="H115" s="285"/>
      <c r="I115" s="285"/>
      <c r="J115" s="285"/>
      <c r="K115" s="285"/>
      <c r="L115" s="285"/>
      <c r="M115" s="285"/>
      <c r="N115" s="285"/>
      <c r="O115" s="285"/>
      <c r="P115" s="285"/>
      <c r="Q115" s="285"/>
      <c r="R115" s="285"/>
      <c r="S115" s="285"/>
      <c r="T115" s="339">
        <v>0</v>
      </c>
      <c r="U115" s="288"/>
      <c r="V115" s="5"/>
    </row>
    <row r="116" spans="1:22" ht="15.6" x14ac:dyDescent="0.3">
      <c r="A116" s="337">
        <f t="shared" si="0"/>
        <v>13</v>
      </c>
      <c r="B116" s="285" t="s">
        <v>155</v>
      </c>
      <c r="C116" s="285"/>
      <c r="D116" s="285"/>
      <c r="E116" s="285"/>
      <c r="F116" s="285"/>
      <c r="G116" s="285"/>
      <c r="H116" s="285"/>
      <c r="I116" s="285"/>
      <c r="J116" s="285"/>
      <c r="K116" s="285"/>
      <c r="L116" s="285"/>
      <c r="M116" s="285"/>
      <c r="N116" s="285"/>
      <c r="O116" s="285"/>
      <c r="P116" s="285"/>
      <c r="Q116" s="285"/>
      <c r="R116" s="285"/>
      <c r="S116" s="285"/>
      <c r="T116" s="339">
        <v>-167</v>
      </c>
      <c r="U116" s="288"/>
      <c r="V116" s="5"/>
    </row>
    <row r="117" spans="1:22" ht="15.6" x14ac:dyDescent="0.3">
      <c r="A117" s="337">
        <f t="shared" si="0"/>
        <v>14</v>
      </c>
      <c r="B117" s="285" t="s">
        <v>132</v>
      </c>
      <c r="C117" s="285"/>
      <c r="D117" s="285"/>
      <c r="E117" s="285"/>
      <c r="F117" s="285"/>
      <c r="G117" s="285"/>
      <c r="H117" s="285"/>
      <c r="I117" s="285"/>
      <c r="J117" s="285"/>
      <c r="K117" s="285"/>
      <c r="L117" s="285"/>
      <c r="M117" s="285"/>
      <c r="N117" s="285"/>
      <c r="O117" s="285"/>
      <c r="P117" s="285"/>
      <c r="Q117" s="285"/>
      <c r="R117" s="285"/>
      <c r="S117" s="285"/>
      <c r="T117" s="339">
        <f>-T99-SUM(T101:T116)</f>
        <v>-1338</v>
      </c>
      <c r="U117" s="288"/>
      <c r="V117" s="5"/>
    </row>
    <row r="118" spans="1:22" ht="15.6" x14ac:dyDescent="0.3">
      <c r="A118" s="284"/>
      <c r="B118" s="343" t="s">
        <v>38</v>
      </c>
      <c r="C118" s="311"/>
      <c r="D118" s="311"/>
      <c r="E118" s="311"/>
      <c r="F118" s="311"/>
      <c r="G118" s="311"/>
      <c r="H118" s="311"/>
      <c r="I118" s="311"/>
      <c r="J118" s="311"/>
      <c r="K118" s="311"/>
      <c r="L118" s="311"/>
      <c r="M118" s="311"/>
      <c r="N118" s="311"/>
      <c r="O118" s="311"/>
      <c r="P118" s="311"/>
      <c r="Q118" s="311"/>
      <c r="R118" s="311"/>
      <c r="S118" s="311"/>
      <c r="T118" s="346"/>
      <c r="U118" s="317"/>
      <c r="V118" s="5"/>
    </row>
    <row r="119" spans="1:22" ht="15.6" x14ac:dyDescent="0.3">
      <c r="A119" s="337"/>
      <c r="B119" s="285" t="s">
        <v>180</v>
      </c>
      <c r="C119" s="285"/>
      <c r="D119" s="285"/>
      <c r="E119" s="285"/>
      <c r="F119" s="285"/>
      <c r="G119" s="285"/>
      <c r="H119" s="285"/>
      <c r="I119" s="285"/>
      <c r="J119" s="285"/>
      <c r="K119" s="285"/>
      <c r="L119" s="285"/>
      <c r="M119" s="285"/>
      <c r="N119" s="285"/>
      <c r="O119" s="285"/>
      <c r="P119" s="285"/>
      <c r="Q119" s="285"/>
      <c r="R119" s="338">
        <f>-R177</f>
        <v>0</v>
      </c>
      <c r="S119" s="338"/>
      <c r="T119" s="339"/>
      <c r="U119" s="288"/>
      <c r="V119" s="5"/>
    </row>
    <row r="120" spans="1:22" ht="15.6" x14ac:dyDescent="0.3">
      <c r="A120" s="337"/>
      <c r="B120" s="285" t="s">
        <v>181</v>
      </c>
      <c r="C120" s="285"/>
      <c r="D120" s="285"/>
      <c r="E120" s="285"/>
      <c r="F120" s="285"/>
      <c r="G120" s="285"/>
      <c r="H120" s="285"/>
      <c r="I120" s="285"/>
      <c r="J120" s="285"/>
      <c r="K120" s="285"/>
      <c r="L120" s="285"/>
      <c r="M120" s="285"/>
      <c r="N120" s="285"/>
      <c r="O120" s="285"/>
      <c r="P120" s="285"/>
      <c r="Q120" s="285"/>
      <c r="R120" s="338">
        <v>0</v>
      </c>
      <c r="S120" s="338"/>
      <c r="T120" s="339"/>
      <c r="U120" s="288"/>
      <c r="V120" s="5"/>
    </row>
    <row r="121" spans="1:22" ht="15.6" x14ac:dyDescent="0.3">
      <c r="A121" s="337"/>
      <c r="B121" s="285" t="s">
        <v>39</v>
      </c>
      <c r="C121" s="285"/>
      <c r="D121" s="285"/>
      <c r="E121" s="285"/>
      <c r="F121" s="285"/>
      <c r="G121" s="285"/>
      <c r="H121" s="285"/>
      <c r="I121" s="285"/>
      <c r="J121" s="285"/>
      <c r="K121" s="285"/>
      <c r="L121" s="285"/>
      <c r="M121" s="285"/>
      <c r="N121" s="285"/>
      <c r="O121" s="285"/>
      <c r="P121" s="285"/>
      <c r="Q121" s="285"/>
      <c r="R121" s="338">
        <f>-Q177</f>
        <v>-65</v>
      </c>
      <c r="S121" s="338"/>
      <c r="T121" s="339"/>
      <c r="U121" s="288"/>
      <c r="V121" s="5"/>
    </row>
    <row r="122" spans="1:22" ht="15.6" x14ac:dyDescent="0.3">
      <c r="A122" s="337"/>
      <c r="B122" s="285" t="s">
        <v>372</v>
      </c>
      <c r="C122" s="285"/>
      <c r="D122" s="285"/>
      <c r="E122" s="285"/>
      <c r="F122" s="285"/>
      <c r="G122" s="285"/>
      <c r="H122" s="285"/>
      <c r="I122" s="285"/>
      <c r="J122" s="285"/>
      <c r="K122" s="285"/>
      <c r="L122" s="285"/>
      <c r="M122" s="285"/>
      <c r="N122" s="285"/>
      <c r="O122" s="285"/>
      <c r="P122" s="285"/>
      <c r="Q122" s="285"/>
      <c r="R122" s="338">
        <v>-2917</v>
      </c>
      <c r="S122" s="338"/>
      <c r="T122" s="339"/>
      <c r="U122" s="288"/>
      <c r="V122" s="5"/>
    </row>
    <row r="123" spans="1:22" ht="15.6" x14ac:dyDescent="0.3">
      <c r="A123" s="337"/>
      <c r="B123" s="285" t="s">
        <v>203</v>
      </c>
      <c r="C123" s="285"/>
      <c r="D123" s="285"/>
      <c r="E123" s="285"/>
      <c r="F123" s="285"/>
      <c r="G123" s="285"/>
      <c r="H123" s="285"/>
      <c r="I123" s="285"/>
      <c r="J123" s="285"/>
      <c r="K123" s="285"/>
      <c r="L123" s="285"/>
      <c r="M123" s="285"/>
      <c r="N123" s="285"/>
      <c r="O123" s="285"/>
      <c r="P123" s="285"/>
      <c r="Q123" s="285"/>
      <c r="R123" s="338">
        <v>-769</v>
      </c>
      <c r="S123" s="338"/>
      <c r="T123" s="339"/>
      <c r="U123" s="288"/>
      <c r="V123" s="5"/>
    </row>
    <row r="124" spans="1:22" ht="15.6" x14ac:dyDescent="0.3">
      <c r="A124" s="337"/>
      <c r="B124" s="285" t="s">
        <v>202</v>
      </c>
      <c r="C124" s="285"/>
      <c r="D124" s="285"/>
      <c r="E124" s="285"/>
      <c r="F124" s="285"/>
      <c r="G124" s="285"/>
      <c r="H124" s="285"/>
      <c r="I124" s="285"/>
      <c r="J124" s="285"/>
      <c r="K124" s="285"/>
      <c r="L124" s="285"/>
      <c r="M124" s="285"/>
      <c r="N124" s="285"/>
      <c r="O124" s="285"/>
      <c r="P124" s="285"/>
      <c r="Q124" s="285"/>
      <c r="R124" s="338">
        <v>-775</v>
      </c>
      <c r="S124" s="338"/>
      <c r="T124" s="339"/>
      <c r="U124" s="288"/>
      <c r="V124" s="5"/>
    </row>
    <row r="125" spans="1:22" ht="15.6" x14ac:dyDescent="0.3">
      <c r="A125" s="337"/>
      <c r="B125" s="285" t="s">
        <v>197</v>
      </c>
      <c r="C125" s="285"/>
      <c r="D125" s="285"/>
      <c r="E125" s="285"/>
      <c r="F125" s="285"/>
      <c r="G125" s="285"/>
      <c r="H125" s="285"/>
      <c r="I125" s="285"/>
      <c r="J125" s="285"/>
      <c r="K125" s="285"/>
      <c r="L125" s="285"/>
      <c r="M125" s="285"/>
      <c r="N125" s="285"/>
      <c r="O125" s="285"/>
      <c r="P125" s="285"/>
      <c r="Q125" s="285"/>
      <c r="R125" s="338">
        <v>-195</v>
      </c>
      <c r="S125" s="338"/>
      <c r="T125" s="339"/>
      <c r="U125" s="288"/>
      <c r="V125" s="5"/>
    </row>
    <row r="126" spans="1:22" ht="15.6" x14ac:dyDescent="0.3">
      <c r="A126" s="337"/>
      <c r="B126" s="285" t="s">
        <v>196</v>
      </c>
      <c r="C126" s="285"/>
      <c r="D126" s="285"/>
      <c r="E126" s="285"/>
      <c r="F126" s="285"/>
      <c r="G126" s="285"/>
      <c r="H126" s="285"/>
      <c r="I126" s="285"/>
      <c r="J126" s="285"/>
      <c r="K126" s="285"/>
      <c r="L126" s="285"/>
      <c r="M126" s="285"/>
      <c r="N126" s="285"/>
      <c r="O126" s="285"/>
      <c r="P126" s="285"/>
      <c r="Q126" s="285"/>
      <c r="R126" s="338">
        <v>-690</v>
      </c>
      <c r="S126" s="338"/>
      <c r="T126" s="339"/>
      <c r="U126" s="288"/>
      <c r="V126" s="5"/>
    </row>
    <row r="127" spans="1:22" ht="15.6" x14ac:dyDescent="0.3">
      <c r="A127" s="337"/>
      <c r="B127" s="285" t="s">
        <v>195</v>
      </c>
      <c r="C127" s="285"/>
      <c r="D127" s="285"/>
      <c r="E127" s="285"/>
      <c r="F127" s="285"/>
      <c r="G127" s="285"/>
      <c r="H127" s="285"/>
      <c r="I127" s="285"/>
      <c r="J127" s="285"/>
      <c r="K127" s="285"/>
      <c r="L127" s="285"/>
      <c r="M127" s="285"/>
      <c r="N127" s="285"/>
      <c r="O127" s="285"/>
      <c r="P127" s="285"/>
      <c r="Q127" s="285"/>
      <c r="R127" s="338">
        <v>-732</v>
      </c>
      <c r="S127" s="338"/>
      <c r="T127" s="339"/>
      <c r="U127" s="288"/>
      <c r="V127" s="5"/>
    </row>
    <row r="128" spans="1:22" ht="15.6" x14ac:dyDescent="0.3">
      <c r="A128" s="337"/>
      <c r="B128" s="285" t="s">
        <v>40</v>
      </c>
      <c r="C128" s="285"/>
      <c r="D128" s="285"/>
      <c r="E128" s="285"/>
      <c r="F128" s="285"/>
      <c r="G128" s="285"/>
      <c r="H128" s="285"/>
      <c r="I128" s="285"/>
      <c r="J128" s="285"/>
      <c r="K128" s="285"/>
      <c r="L128" s="285"/>
      <c r="M128" s="285"/>
      <c r="N128" s="285"/>
      <c r="O128" s="285"/>
      <c r="P128" s="285"/>
      <c r="Q128" s="285"/>
      <c r="R128" s="338">
        <f>SUM(R119:R127)</f>
        <v>-6143</v>
      </c>
      <c r="S128" s="338"/>
      <c r="T128" s="338">
        <f>SUM(T100:T126)</f>
        <v>-2532</v>
      </c>
      <c r="U128" s="288"/>
      <c r="V128" s="5"/>
    </row>
    <row r="129" spans="1:23" ht="15.6" x14ac:dyDescent="0.3">
      <c r="A129" s="337"/>
      <c r="B129" s="285" t="s">
        <v>41</v>
      </c>
      <c r="C129" s="285"/>
      <c r="D129" s="285"/>
      <c r="E129" s="285"/>
      <c r="F129" s="285"/>
      <c r="G129" s="285"/>
      <c r="H129" s="285"/>
      <c r="I129" s="285"/>
      <c r="J129" s="285"/>
      <c r="K129" s="285"/>
      <c r="L129" s="285"/>
      <c r="M129" s="285"/>
      <c r="N129" s="285"/>
      <c r="O129" s="285"/>
      <c r="P129" s="285"/>
      <c r="Q129" s="285"/>
      <c r="R129" s="338">
        <f>R99+R128+R112</f>
        <v>0</v>
      </c>
      <c r="S129" s="338"/>
      <c r="T129" s="338">
        <f>T99+T128</f>
        <v>0</v>
      </c>
      <c r="U129" s="288"/>
      <c r="V129" s="5"/>
    </row>
    <row r="130" spans="1:23" ht="15.6" x14ac:dyDescent="0.3">
      <c r="A130" s="256"/>
      <c r="B130" s="281"/>
      <c r="C130" s="281"/>
      <c r="D130" s="281"/>
      <c r="E130" s="281"/>
      <c r="F130" s="281"/>
      <c r="G130" s="281"/>
      <c r="H130" s="281"/>
      <c r="I130" s="281"/>
      <c r="J130" s="281"/>
      <c r="K130" s="281"/>
      <c r="L130" s="281"/>
      <c r="M130" s="281"/>
      <c r="N130" s="281"/>
      <c r="O130" s="281"/>
      <c r="P130" s="281"/>
      <c r="Q130" s="281"/>
      <c r="R130" s="340"/>
      <c r="S130" s="340"/>
      <c r="T130" s="340"/>
      <c r="U130" s="281"/>
      <c r="V130" s="5"/>
    </row>
    <row r="131" spans="1:23" ht="15.6" x14ac:dyDescent="0.3">
      <c r="A131" s="256"/>
      <c r="B131" s="231"/>
      <c r="C131" s="231"/>
      <c r="D131" s="231"/>
      <c r="E131" s="231"/>
      <c r="F131" s="231"/>
      <c r="G131" s="231"/>
      <c r="H131" s="231"/>
      <c r="I131" s="231"/>
      <c r="J131" s="231"/>
      <c r="K131" s="231"/>
      <c r="L131" s="231"/>
      <c r="M131" s="231"/>
      <c r="N131" s="231"/>
      <c r="O131" s="231"/>
      <c r="P131" s="231"/>
      <c r="Q131" s="231"/>
      <c r="R131" s="231"/>
      <c r="S131" s="231"/>
      <c r="T131" s="257"/>
      <c r="U131" s="231"/>
      <c r="V131" s="5"/>
    </row>
    <row r="132" spans="1:23" ht="18" thickBot="1" x14ac:dyDescent="0.35">
      <c r="A132" s="258"/>
      <c r="B132" s="246" t="str">
        <f>B63</f>
        <v>PM11 INVESTOR REPORT QUARTER ENDING JUNE 2017</v>
      </c>
      <c r="C132" s="247"/>
      <c r="D132" s="247"/>
      <c r="E132" s="247"/>
      <c r="F132" s="247"/>
      <c r="G132" s="247"/>
      <c r="H132" s="247"/>
      <c r="I132" s="247"/>
      <c r="J132" s="247"/>
      <c r="K132" s="247"/>
      <c r="L132" s="247"/>
      <c r="M132" s="247"/>
      <c r="N132" s="247"/>
      <c r="O132" s="247"/>
      <c r="P132" s="247"/>
      <c r="Q132" s="247"/>
      <c r="R132" s="247"/>
      <c r="S132" s="247"/>
      <c r="T132" s="259"/>
      <c r="U132" s="249"/>
      <c r="V132" s="5"/>
    </row>
    <row r="133" spans="1:23" ht="15.6" x14ac:dyDescent="0.3">
      <c r="A133" s="260"/>
      <c r="B133" s="399" t="s">
        <v>42</v>
      </c>
      <c r="C133" s="261"/>
      <c r="D133" s="261"/>
      <c r="E133" s="261"/>
      <c r="F133" s="261"/>
      <c r="G133" s="261"/>
      <c r="H133" s="261"/>
      <c r="I133" s="261"/>
      <c r="J133" s="261"/>
      <c r="K133" s="261"/>
      <c r="L133" s="261"/>
      <c r="M133" s="261"/>
      <c r="N133" s="261"/>
      <c r="O133" s="261"/>
      <c r="P133" s="261"/>
      <c r="Q133" s="261"/>
      <c r="R133" s="261"/>
      <c r="S133" s="261"/>
      <c r="T133" s="262"/>
      <c r="U133" s="261"/>
      <c r="V133" s="5"/>
    </row>
    <row r="134" spans="1:23" ht="15.6" x14ac:dyDescent="0.3">
      <c r="A134" s="175"/>
      <c r="B134" s="187"/>
      <c r="C134" s="177"/>
      <c r="D134" s="177"/>
      <c r="E134" s="177"/>
      <c r="F134" s="177"/>
      <c r="G134" s="177"/>
      <c r="H134" s="177"/>
      <c r="I134" s="177"/>
      <c r="J134" s="177"/>
      <c r="K134" s="177"/>
      <c r="L134" s="177"/>
      <c r="M134" s="177"/>
      <c r="N134" s="177"/>
      <c r="O134" s="177"/>
      <c r="P134" s="177"/>
      <c r="Q134" s="177"/>
      <c r="R134" s="177"/>
      <c r="S134" s="177"/>
      <c r="T134" s="194"/>
      <c r="U134" s="177"/>
      <c r="V134" s="5"/>
    </row>
    <row r="135" spans="1:23" ht="15.6" x14ac:dyDescent="0.3">
      <c r="A135" s="175"/>
      <c r="B135" s="201" t="s">
        <v>43</v>
      </c>
      <c r="C135" s="177"/>
      <c r="D135" s="177"/>
      <c r="E135" s="177"/>
      <c r="F135" s="177"/>
      <c r="G135" s="177"/>
      <c r="H135" s="177"/>
      <c r="I135" s="177"/>
      <c r="J135" s="177"/>
      <c r="K135" s="177"/>
      <c r="L135" s="177"/>
      <c r="M135" s="177"/>
      <c r="N135" s="177"/>
      <c r="O135" s="177"/>
      <c r="P135" s="177"/>
      <c r="Q135" s="177"/>
      <c r="R135" s="177"/>
      <c r="S135" s="177"/>
      <c r="T135" s="194"/>
      <c r="U135" s="177"/>
      <c r="V135" s="5"/>
    </row>
    <row r="136" spans="1:23" ht="15.6" x14ac:dyDescent="0.3">
      <c r="A136" s="284"/>
      <c r="B136" s="285" t="s">
        <v>44</v>
      </c>
      <c r="C136" s="285"/>
      <c r="D136" s="285"/>
      <c r="E136" s="285"/>
      <c r="F136" s="285"/>
      <c r="G136" s="285"/>
      <c r="H136" s="285"/>
      <c r="I136" s="285"/>
      <c r="J136" s="285"/>
      <c r="K136" s="285"/>
      <c r="L136" s="285"/>
      <c r="M136" s="285"/>
      <c r="N136" s="285"/>
      <c r="O136" s="285"/>
      <c r="P136" s="285"/>
      <c r="Q136" s="285"/>
      <c r="R136" s="285"/>
      <c r="S136" s="285"/>
      <c r="T136" s="339">
        <f>+T34*0.019</f>
        <v>19000.95</v>
      </c>
      <c r="U136" s="288"/>
      <c r="V136" s="5"/>
    </row>
    <row r="137" spans="1:23" ht="15.6" x14ac:dyDescent="0.3">
      <c r="A137" s="284"/>
      <c r="B137" s="285" t="s">
        <v>45</v>
      </c>
      <c r="C137" s="285"/>
      <c r="D137" s="285"/>
      <c r="E137" s="285"/>
      <c r="F137" s="285"/>
      <c r="G137" s="285"/>
      <c r="H137" s="285"/>
      <c r="I137" s="285"/>
      <c r="J137" s="285"/>
      <c r="K137" s="285"/>
      <c r="L137" s="285"/>
      <c r="M137" s="285"/>
      <c r="N137" s="285"/>
      <c r="O137" s="285"/>
      <c r="P137" s="285"/>
      <c r="Q137" s="285"/>
      <c r="R137" s="285"/>
      <c r="S137" s="285"/>
      <c r="T137" s="339">
        <v>19001</v>
      </c>
      <c r="U137" s="288"/>
      <c r="V137" s="5"/>
    </row>
    <row r="138" spans="1:23" ht="15.6" x14ac:dyDescent="0.3">
      <c r="A138" s="284"/>
      <c r="B138" s="285" t="s">
        <v>142</v>
      </c>
      <c r="C138" s="285"/>
      <c r="D138" s="285"/>
      <c r="E138" s="285"/>
      <c r="F138" s="285"/>
      <c r="G138" s="285"/>
      <c r="H138" s="285"/>
      <c r="I138" s="285"/>
      <c r="J138" s="285"/>
      <c r="K138" s="285"/>
      <c r="L138" s="285"/>
      <c r="M138" s="285"/>
      <c r="N138" s="285"/>
      <c r="O138" s="285"/>
      <c r="P138" s="285"/>
      <c r="Q138" s="285"/>
      <c r="R138" s="285"/>
      <c r="S138" s="285"/>
      <c r="T138" s="339">
        <v>0</v>
      </c>
      <c r="U138" s="288"/>
      <c r="V138" s="5"/>
    </row>
    <row r="139" spans="1:23" ht="15.6" x14ac:dyDescent="0.3">
      <c r="A139" s="284"/>
      <c r="B139" s="285" t="s">
        <v>129</v>
      </c>
      <c r="C139" s="285"/>
      <c r="D139" s="285"/>
      <c r="E139" s="285"/>
      <c r="F139" s="285"/>
      <c r="G139" s="285"/>
      <c r="H139" s="285"/>
      <c r="I139" s="285"/>
      <c r="J139" s="285"/>
      <c r="K139" s="285"/>
      <c r="L139" s="285"/>
      <c r="M139" s="285"/>
      <c r="N139" s="285"/>
      <c r="O139" s="285"/>
      <c r="P139" s="285"/>
      <c r="Q139" s="285"/>
      <c r="R139" s="285"/>
      <c r="S139" s="285"/>
      <c r="T139" s="339">
        <v>0</v>
      </c>
      <c r="U139" s="288"/>
      <c r="V139" s="5"/>
    </row>
    <row r="140" spans="1:23" ht="15.6" x14ac:dyDescent="0.3">
      <c r="A140" s="284"/>
      <c r="B140" s="285" t="s">
        <v>130</v>
      </c>
      <c r="C140" s="285"/>
      <c r="D140" s="285"/>
      <c r="E140" s="285"/>
      <c r="F140" s="285"/>
      <c r="G140" s="285"/>
      <c r="H140" s="285"/>
      <c r="I140" s="285"/>
      <c r="J140" s="285"/>
      <c r="K140" s="285"/>
      <c r="L140" s="285"/>
      <c r="M140" s="285"/>
      <c r="N140" s="285"/>
      <c r="O140" s="285"/>
      <c r="P140" s="285"/>
      <c r="Q140" s="285"/>
      <c r="R140" s="285"/>
      <c r="S140" s="285"/>
      <c r="T140" s="339">
        <v>0</v>
      </c>
      <c r="U140" s="288"/>
      <c r="V140" s="5"/>
    </row>
    <row r="141" spans="1:23" ht="15.6" x14ac:dyDescent="0.3">
      <c r="A141" s="284"/>
      <c r="B141" s="285" t="s">
        <v>182</v>
      </c>
      <c r="C141" s="285"/>
      <c r="D141" s="285"/>
      <c r="E141" s="285"/>
      <c r="F141" s="285"/>
      <c r="G141" s="285"/>
      <c r="H141" s="285"/>
      <c r="I141" s="285"/>
      <c r="J141" s="285"/>
      <c r="K141" s="285"/>
      <c r="L141" s="285"/>
      <c r="M141" s="285"/>
      <c r="N141" s="285"/>
      <c r="O141" s="285"/>
      <c r="P141" s="285"/>
      <c r="Q141" s="285"/>
      <c r="R141" s="285"/>
      <c r="S141" s="285"/>
      <c r="T141" s="339">
        <v>0</v>
      </c>
      <c r="U141" s="288"/>
      <c r="V141" s="5"/>
    </row>
    <row r="142" spans="1:23" ht="15.6" x14ac:dyDescent="0.3">
      <c r="A142" s="284"/>
      <c r="B142" s="285" t="s">
        <v>46</v>
      </c>
      <c r="C142" s="285"/>
      <c r="D142" s="285"/>
      <c r="E142" s="285"/>
      <c r="F142" s="285"/>
      <c r="G142" s="285"/>
      <c r="H142" s="285"/>
      <c r="I142" s="285"/>
      <c r="J142" s="285"/>
      <c r="K142" s="285"/>
      <c r="L142" s="285"/>
      <c r="M142" s="285"/>
      <c r="N142" s="285"/>
      <c r="O142" s="285"/>
      <c r="P142" s="285"/>
      <c r="Q142" s="285"/>
      <c r="R142" s="285"/>
      <c r="S142" s="285"/>
      <c r="T142" s="339">
        <v>0</v>
      </c>
      <c r="U142" s="288"/>
      <c r="V142" s="5"/>
    </row>
    <row r="143" spans="1:23" ht="15.6" x14ac:dyDescent="0.3">
      <c r="A143" s="284"/>
      <c r="B143" s="285" t="s">
        <v>135</v>
      </c>
      <c r="C143" s="285"/>
      <c r="D143" s="285"/>
      <c r="E143" s="285"/>
      <c r="F143" s="285"/>
      <c r="G143" s="285"/>
      <c r="H143" s="285"/>
      <c r="I143" s="285"/>
      <c r="J143" s="285"/>
      <c r="K143" s="285"/>
      <c r="L143" s="285"/>
      <c r="M143" s="285"/>
      <c r="N143" s="285"/>
      <c r="O143" s="285"/>
      <c r="P143" s="285"/>
      <c r="Q143" s="285"/>
      <c r="R143" s="285"/>
      <c r="S143" s="285"/>
      <c r="T143" s="339">
        <v>0</v>
      </c>
      <c r="U143" s="288"/>
      <c r="V143" s="5"/>
    </row>
    <row r="144" spans="1:23" ht="15.6" x14ac:dyDescent="0.3">
      <c r="A144" s="284"/>
      <c r="B144" s="285" t="s">
        <v>251</v>
      </c>
      <c r="C144" s="285"/>
      <c r="D144" s="285"/>
      <c r="E144" s="285"/>
      <c r="F144" s="285"/>
      <c r="G144" s="285"/>
      <c r="H144" s="285"/>
      <c r="I144" s="285"/>
      <c r="J144" s="285"/>
      <c r="K144" s="285"/>
      <c r="L144" s="285"/>
      <c r="M144" s="285"/>
      <c r="N144" s="285"/>
      <c r="O144" s="285"/>
      <c r="P144" s="285"/>
      <c r="Q144" s="285"/>
      <c r="R144" s="285"/>
      <c r="S144" s="285"/>
      <c r="T144" s="339">
        <v>0</v>
      </c>
      <c r="U144" s="288"/>
      <c r="V144" s="5"/>
      <c r="W144" s="109"/>
    </row>
    <row r="145" spans="1:22" ht="15.6" x14ac:dyDescent="0.3">
      <c r="A145" s="284"/>
      <c r="B145" s="285" t="s">
        <v>47</v>
      </c>
      <c r="C145" s="285"/>
      <c r="D145" s="285"/>
      <c r="E145" s="285"/>
      <c r="F145" s="285"/>
      <c r="G145" s="285"/>
      <c r="H145" s="285"/>
      <c r="I145" s="285"/>
      <c r="J145" s="285"/>
      <c r="K145" s="285"/>
      <c r="L145" s="285"/>
      <c r="M145" s="285"/>
      <c r="N145" s="285"/>
      <c r="O145" s="285"/>
      <c r="P145" s="285"/>
      <c r="Q145" s="285"/>
      <c r="R145" s="285"/>
      <c r="S145" s="285"/>
      <c r="T145" s="339">
        <f>SUM(T137:T144)</f>
        <v>19001</v>
      </c>
      <c r="U145" s="288"/>
      <c r="V145" s="5"/>
    </row>
    <row r="146" spans="1:22" ht="15.6" x14ac:dyDescent="0.3">
      <c r="A146" s="284"/>
      <c r="B146" s="311"/>
      <c r="C146" s="311"/>
      <c r="D146" s="311"/>
      <c r="E146" s="311"/>
      <c r="F146" s="311"/>
      <c r="G146" s="311"/>
      <c r="H146" s="311"/>
      <c r="I146" s="311"/>
      <c r="J146" s="311"/>
      <c r="K146" s="311"/>
      <c r="L146" s="311"/>
      <c r="M146" s="311"/>
      <c r="N146" s="311"/>
      <c r="O146" s="311"/>
      <c r="P146" s="311"/>
      <c r="Q146" s="311"/>
      <c r="R146" s="311"/>
      <c r="S146" s="311"/>
      <c r="T146" s="345"/>
      <c r="U146" s="317"/>
      <c r="V146" s="5"/>
    </row>
    <row r="147" spans="1:22" ht="15.6" x14ac:dyDescent="0.3">
      <c r="A147" s="284"/>
      <c r="B147" s="343" t="s">
        <v>262</v>
      </c>
      <c r="C147" s="311"/>
      <c r="D147" s="311"/>
      <c r="E147" s="311"/>
      <c r="F147" s="311"/>
      <c r="G147" s="311"/>
      <c r="H147" s="311"/>
      <c r="I147" s="311"/>
      <c r="J147" s="311"/>
      <c r="K147" s="311"/>
      <c r="L147" s="311"/>
      <c r="M147" s="311"/>
      <c r="N147" s="311"/>
      <c r="O147" s="311"/>
      <c r="P147" s="311"/>
      <c r="Q147" s="311"/>
      <c r="R147" s="311"/>
      <c r="S147" s="311"/>
      <c r="T147" s="345"/>
      <c r="U147" s="317"/>
      <c r="V147" s="5"/>
    </row>
    <row r="148" spans="1:22" ht="15.6" x14ac:dyDescent="0.3">
      <c r="A148" s="284"/>
      <c r="B148" s="285" t="s">
        <v>263</v>
      </c>
      <c r="C148" s="285"/>
      <c r="D148" s="285"/>
      <c r="E148" s="285"/>
      <c r="F148" s="285"/>
      <c r="G148" s="285"/>
      <c r="H148" s="285"/>
      <c r="I148" s="285"/>
      <c r="J148" s="285"/>
      <c r="K148" s="285"/>
      <c r="L148" s="285"/>
      <c r="M148" s="285"/>
      <c r="N148" s="285"/>
      <c r="O148" s="285"/>
      <c r="P148" s="285"/>
      <c r="Q148" s="285"/>
      <c r="R148" s="285"/>
      <c r="S148" s="285"/>
      <c r="T148" s="339">
        <v>0</v>
      </c>
      <c r="U148" s="288"/>
      <c r="V148" s="5"/>
    </row>
    <row r="149" spans="1:22" ht="15.6" x14ac:dyDescent="0.3">
      <c r="A149" s="284"/>
      <c r="B149" s="285" t="s">
        <v>179</v>
      </c>
      <c r="C149" s="285"/>
      <c r="D149" s="285"/>
      <c r="E149" s="285"/>
      <c r="F149" s="285"/>
      <c r="G149" s="285"/>
      <c r="H149" s="285"/>
      <c r="I149" s="285"/>
      <c r="J149" s="285"/>
      <c r="K149" s="285"/>
      <c r="L149" s="285"/>
      <c r="M149" s="285"/>
      <c r="N149" s="285"/>
      <c r="O149" s="285"/>
      <c r="P149" s="285"/>
      <c r="Q149" s="285"/>
      <c r="R149" s="285"/>
      <c r="S149" s="285"/>
      <c r="T149" s="339">
        <v>0</v>
      </c>
      <c r="U149" s="288"/>
      <c r="V149" s="5"/>
    </row>
    <row r="150" spans="1:22" ht="15.6" x14ac:dyDescent="0.3">
      <c r="A150" s="284"/>
      <c r="B150" s="285" t="s">
        <v>264</v>
      </c>
      <c r="C150" s="285"/>
      <c r="D150" s="285"/>
      <c r="E150" s="285"/>
      <c r="F150" s="285"/>
      <c r="G150" s="285"/>
      <c r="H150" s="285"/>
      <c r="I150" s="285"/>
      <c r="J150" s="285"/>
      <c r="K150" s="285"/>
      <c r="L150" s="285"/>
      <c r="M150" s="285"/>
      <c r="N150" s="285"/>
      <c r="O150" s="285"/>
      <c r="P150" s="285"/>
      <c r="Q150" s="285"/>
      <c r="R150" s="285"/>
      <c r="S150" s="285"/>
      <c r="T150" s="339">
        <v>0</v>
      </c>
      <c r="U150" s="288"/>
      <c r="V150" s="5"/>
    </row>
    <row r="151" spans="1:22" ht="15.6" x14ac:dyDescent="0.3">
      <c r="A151" s="284"/>
      <c r="B151" s="285"/>
      <c r="C151" s="285"/>
      <c r="D151" s="285"/>
      <c r="E151" s="285"/>
      <c r="F151" s="285"/>
      <c r="G151" s="285"/>
      <c r="H151" s="285"/>
      <c r="I151" s="285"/>
      <c r="J151" s="285"/>
      <c r="K151" s="285"/>
      <c r="L151" s="285"/>
      <c r="M151" s="285"/>
      <c r="N151" s="285"/>
      <c r="O151" s="285"/>
      <c r="P151" s="285"/>
      <c r="Q151" s="285"/>
      <c r="R151" s="285"/>
      <c r="S151" s="285"/>
      <c r="T151" s="339"/>
      <c r="U151" s="288"/>
      <c r="V151" s="5"/>
    </row>
    <row r="152" spans="1:22" ht="15.6" x14ac:dyDescent="0.3">
      <c r="A152" s="175"/>
      <c r="B152" s="334"/>
      <c r="C152" s="334"/>
      <c r="D152" s="334"/>
      <c r="E152" s="334"/>
      <c r="F152" s="334"/>
      <c r="G152" s="334"/>
      <c r="H152" s="334"/>
      <c r="I152" s="334"/>
      <c r="J152" s="334"/>
      <c r="K152" s="334"/>
      <c r="L152" s="334"/>
      <c r="M152" s="334"/>
      <c r="N152" s="334"/>
      <c r="O152" s="334"/>
      <c r="P152" s="334"/>
      <c r="Q152" s="334"/>
      <c r="R152" s="334"/>
      <c r="S152" s="334"/>
      <c r="T152" s="347"/>
      <c r="U152" s="334"/>
      <c r="V152" s="5"/>
    </row>
    <row r="153" spans="1:22" ht="15.6" x14ac:dyDescent="0.3">
      <c r="A153" s="175"/>
      <c r="B153" s="201" t="s">
        <v>24</v>
      </c>
      <c r="C153" s="177"/>
      <c r="D153" s="177"/>
      <c r="E153" s="177"/>
      <c r="F153" s="177"/>
      <c r="G153" s="177"/>
      <c r="H153" s="177"/>
      <c r="I153" s="177"/>
      <c r="J153" s="177"/>
      <c r="K153" s="177"/>
      <c r="L153" s="177"/>
      <c r="M153" s="177"/>
      <c r="N153" s="177"/>
      <c r="O153" s="177"/>
      <c r="P153" s="177"/>
      <c r="Q153" s="177"/>
      <c r="R153" s="177"/>
      <c r="S153" s="177"/>
      <c r="T153" s="194"/>
      <c r="U153" s="177"/>
      <c r="V153" s="5"/>
    </row>
    <row r="154" spans="1:22" ht="15.6" x14ac:dyDescent="0.3">
      <c r="A154" s="284"/>
      <c r="B154" s="285" t="s">
        <v>48</v>
      </c>
      <c r="C154" s="285"/>
      <c r="D154" s="285"/>
      <c r="E154" s="285"/>
      <c r="F154" s="285"/>
      <c r="G154" s="285"/>
      <c r="H154" s="285"/>
      <c r="I154" s="285"/>
      <c r="J154" s="285"/>
      <c r="K154" s="285"/>
      <c r="L154" s="285"/>
      <c r="M154" s="285"/>
      <c r="N154" s="285"/>
      <c r="O154" s="285"/>
      <c r="P154" s="285"/>
      <c r="Q154" s="285"/>
      <c r="R154" s="285"/>
      <c r="S154" s="285"/>
      <c r="T154" s="348" t="s">
        <v>124</v>
      </c>
      <c r="U154" s="288"/>
      <c r="V154" s="5"/>
    </row>
    <row r="155" spans="1:22" ht="15.6" x14ac:dyDescent="0.3">
      <c r="A155" s="284"/>
      <c r="B155" s="285" t="s">
        <v>49</v>
      </c>
      <c r="C155" s="287"/>
      <c r="D155" s="287"/>
      <c r="E155" s="287"/>
      <c r="F155" s="287"/>
      <c r="G155" s="287"/>
      <c r="H155" s="287"/>
      <c r="I155" s="287"/>
      <c r="J155" s="287"/>
      <c r="K155" s="287"/>
      <c r="L155" s="287"/>
      <c r="M155" s="287"/>
      <c r="N155" s="287"/>
      <c r="O155" s="287"/>
      <c r="P155" s="287"/>
      <c r="Q155" s="287"/>
      <c r="R155" s="287"/>
      <c r="S155" s="287"/>
      <c r="T155" s="348" t="s">
        <v>124</v>
      </c>
      <c r="U155" s="288"/>
      <c r="V155" s="5"/>
    </row>
    <row r="156" spans="1:22" ht="15.6" x14ac:dyDescent="0.3">
      <c r="A156" s="284"/>
      <c r="B156" s="285" t="s">
        <v>50</v>
      </c>
      <c r="C156" s="285"/>
      <c r="D156" s="285"/>
      <c r="E156" s="285"/>
      <c r="F156" s="285"/>
      <c r="G156" s="285"/>
      <c r="H156" s="285"/>
      <c r="I156" s="285"/>
      <c r="J156" s="285"/>
      <c r="K156" s="285"/>
      <c r="L156" s="285"/>
      <c r="M156" s="285"/>
      <c r="N156" s="285"/>
      <c r="O156" s="285"/>
      <c r="P156" s="285"/>
      <c r="Q156" s="285"/>
      <c r="R156" s="285"/>
      <c r="S156" s="285"/>
      <c r="T156" s="348" t="s">
        <v>124</v>
      </c>
      <c r="U156" s="288"/>
      <c r="V156" s="5"/>
    </row>
    <row r="157" spans="1:22" ht="15.6" x14ac:dyDescent="0.3">
      <c r="A157" s="284"/>
      <c r="B157" s="285" t="s">
        <v>51</v>
      </c>
      <c r="C157" s="285"/>
      <c r="D157" s="285"/>
      <c r="E157" s="285"/>
      <c r="F157" s="285"/>
      <c r="G157" s="285"/>
      <c r="H157" s="285"/>
      <c r="I157" s="285"/>
      <c r="J157" s="285"/>
      <c r="K157" s="285"/>
      <c r="L157" s="285"/>
      <c r="M157" s="285"/>
      <c r="N157" s="285"/>
      <c r="O157" s="285"/>
      <c r="P157" s="285"/>
      <c r="Q157" s="285"/>
      <c r="R157" s="285"/>
      <c r="S157" s="285"/>
      <c r="T157" s="348" t="s">
        <v>124</v>
      </c>
      <c r="U157" s="288"/>
      <c r="V157" s="5"/>
    </row>
    <row r="158" spans="1:22" ht="15.6" x14ac:dyDescent="0.3">
      <c r="A158" s="175"/>
      <c r="B158" s="334"/>
      <c r="C158" s="334"/>
      <c r="D158" s="334"/>
      <c r="E158" s="334"/>
      <c r="F158" s="334"/>
      <c r="G158" s="334"/>
      <c r="H158" s="334"/>
      <c r="I158" s="334"/>
      <c r="J158" s="334"/>
      <c r="K158" s="334"/>
      <c r="L158" s="334"/>
      <c r="M158" s="334"/>
      <c r="N158" s="334"/>
      <c r="O158" s="334"/>
      <c r="P158" s="334"/>
      <c r="Q158" s="334"/>
      <c r="R158" s="334"/>
      <c r="S158" s="334"/>
      <c r="T158" s="347"/>
      <c r="U158" s="334"/>
      <c r="V158" s="5"/>
    </row>
    <row r="159" spans="1:22" ht="15.6" x14ac:dyDescent="0.3">
      <c r="A159" s="175"/>
      <c r="B159" s="201" t="s">
        <v>52</v>
      </c>
      <c r="C159" s="177"/>
      <c r="D159" s="177"/>
      <c r="E159" s="177"/>
      <c r="F159" s="177"/>
      <c r="G159" s="177"/>
      <c r="H159" s="177"/>
      <c r="I159" s="177"/>
      <c r="J159" s="177"/>
      <c r="K159" s="177"/>
      <c r="L159" s="177"/>
      <c r="M159" s="177"/>
      <c r="N159" s="177"/>
      <c r="O159" s="177"/>
      <c r="P159" s="177"/>
      <c r="Q159" s="177"/>
      <c r="R159" s="177"/>
      <c r="S159" s="177"/>
      <c r="T159" s="202"/>
      <c r="U159" s="177"/>
      <c r="V159" s="5"/>
    </row>
    <row r="160" spans="1:22" ht="15.6" x14ac:dyDescent="0.3">
      <c r="A160" s="284"/>
      <c r="B160" s="285" t="s">
        <v>53</v>
      </c>
      <c r="C160" s="285"/>
      <c r="D160" s="285"/>
      <c r="E160" s="285"/>
      <c r="F160" s="285"/>
      <c r="G160" s="285"/>
      <c r="H160" s="285"/>
      <c r="I160" s="285"/>
      <c r="J160" s="285"/>
      <c r="K160" s="285"/>
      <c r="L160" s="285"/>
      <c r="M160" s="285"/>
      <c r="N160" s="285"/>
      <c r="O160" s="285"/>
      <c r="P160" s="285"/>
      <c r="Q160" s="285"/>
      <c r="R160" s="285"/>
      <c r="S160" s="285"/>
      <c r="T160" s="339">
        <v>0</v>
      </c>
      <c r="U160" s="288"/>
      <c r="V160" s="5"/>
    </row>
    <row r="161" spans="1:22" ht="15.6" x14ac:dyDescent="0.3">
      <c r="A161" s="284"/>
      <c r="B161" s="285" t="s">
        <v>54</v>
      </c>
      <c r="C161" s="285"/>
      <c r="D161" s="285"/>
      <c r="E161" s="285"/>
      <c r="F161" s="285"/>
      <c r="G161" s="285"/>
      <c r="H161" s="285"/>
      <c r="I161" s="285"/>
      <c r="J161" s="285"/>
      <c r="K161" s="285"/>
      <c r="L161" s="285"/>
      <c r="M161" s="285"/>
      <c r="N161" s="285"/>
      <c r="O161" s="285"/>
      <c r="P161" s="285"/>
      <c r="Q161" s="285"/>
      <c r="R161" s="285"/>
      <c r="S161" s="285"/>
      <c r="T161" s="339">
        <f>R112</f>
        <v>68</v>
      </c>
      <c r="U161" s="288"/>
      <c r="V161" s="5"/>
    </row>
    <row r="162" spans="1:22" ht="15.6" x14ac:dyDescent="0.3">
      <c r="A162" s="284"/>
      <c r="B162" s="285" t="s">
        <v>55</v>
      </c>
      <c r="C162" s="285"/>
      <c r="D162" s="285"/>
      <c r="E162" s="285"/>
      <c r="F162" s="285"/>
      <c r="G162" s="285"/>
      <c r="H162" s="285"/>
      <c r="I162" s="285"/>
      <c r="J162" s="285"/>
      <c r="K162" s="285"/>
      <c r="L162" s="285"/>
      <c r="M162" s="285"/>
      <c r="N162" s="285"/>
      <c r="O162" s="285"/>
      <c r="P162" s="285"/>
      <c r="Q162" s="285"/>
      <c r="R162" s="285"/>
      <c r="S162" s="285"/>
      <c r="T162" s="339">
        <f>T161+T160</f>
        <v>68</v>
      </c>
      <c r="U162" s="288"/>
      <c r="V162" s="5"/>
    </row>
    <row r="163" spans="1:22" ht="15.6" x14ac:dyDescent="0.3">
      <c r="A163" s="284"/>
      <c r="B163" s="285" t="s">
        <v>301</v>
      </c>
      <c r="C163" s="285"/>
      <c r="D163" s="285"/>
      <c r="E163" s="285"/>
      <c r="F163" s="285"/>
      <c r="G163" s="285"/>
      <c r="H163" s="285"/>
      <c r="I163" s="285"/>
      <c r="J163" s="285"/>
      <c r="K163" s="285"/>
      <c r="L163" s="285"/>
      <c r="M163" s="285"/>
      <c r="N163" s="285"/>
      <c r="O163" s="285"/>
      <c r="P163" s="285"/>
      <c r="Q163" s="285"/>
      <c r="R163" s="285"/>
      <c r="S163" s="285"/>
      <c r="T163" s="339">
        <f>T112</f>
        <v>-68</v>
      </c>
      <c r="U163" s="288"/>
      <c r="V163" s="5"/>
    </row>
    <row r="164" spans="1:22" ht="15.6" x14ac:dyDescent="0.3">
      <c r="A164" s="284"/>
      <c r="B164" s="285" t="s">
        <v>56</v>
      </c>
      <c r="C164" s="285"/>
      <c r="D164" s="285"/>
      <c r="E164" s="285"/>
      <c r="F164" s="285"/>
      <c r="G164" s="285"/>
      <c r="H164" s="285"/>
      <c r="I164" s="285"/>
      <c r="J164" s="285"/>
      <c r="K164" s="285"/>
      <c r="L164" s="285"/>
      <c r="M164" s="285"/>
      <c r="N164" s="285"/>
      <c r="O164" s="285"/>
      <c r="P164" s="285"/>
      <c r="Q164" s="285"/>
      <c r="R164" s="285"/>
      <c r="S164" s="285"/>
      <c r="T164" s="339">
        <f>T162+T163</f>
        <v>0</v>
      </c>
      <c r="U164" s="288"/>
      <c r="V164" s="5"/>
    </row>
    <row r="165" spans="1:22" ht="15.6" x14ac:dyDescent="0.3">
      <c r="A165" s="284"/>
      <c r="B165" s="285" t="s">
        <v>273</v>
      </c>
      <c r="C165" s="285"/>
      <c r="D165" s="285"/>
      <c r="E165" s="285"/>
      <c r="F165" s="285"/>
      <c r="G165" s="285"/>
      <c r="H165" s="285"/>
      <c r="I165" s="285"/>
      <c r="J165" s="285"/>
      <c r="K165" s="285"/>
      <c r="L165" s="285"/>
      <c r="M165" s="285"/>
      <c r="N165" s="285"/>
      <c r="O165" s="285"/>
      <c r="P165" s="285"/>
      <c r="Q165" s="285"/>
      <c r="R165" s="285"/>
      <c r="S165" s="285"/>
      <c r="T165" s="339">
        <f>-T98</f>
        <v>117</v>
      </c>
      <c r="U165" s="288"/>
      <c r="V165" s="5"/>
    </row>
    <row r="166" spans="1:22" ht="16.2" thickBot="1" x14ac:dyDescent="0.35">
      <c r="A166" s="175"/>
      <c r="B166" s="334"/>
      <c r="C166" s="334"/>
      <c r="D166" s="334"/>
      <c r="E166" s="334"/>
      <c r="F166" s="334"/>
      <c r="G166" s="334"/>
      <c r="H166" s="334"/>
      <c r="I166" s="334"/>
      <c r="J166" s="334"/>
      <c r="K166" s="334"/>
      <c r="L166" s="334"/>
      <c r="M166" s="334"/>
      <c r="N166" s="334"/>
      <c r="O166" s="334"/>
      <c r="P166" s="334"/>
      <c r="Q166" s="334"/>
      <c r="R166" s="334"/>
      <c r="S166" s="334"/>
      <c r="T166" s="347"/>
      <c r="U166" s="334"/>
      <c r="V166" s="5"/>
    </row>
    <row r="167" spans="1:22" ht="15.6" x14ac:dyDescent="0.3">
      <c r="A167" s="173"/>
      <c r="B167" s="174"/>
      <c r="C167" s="174"/>
      <c r="D167" s="174"/>
      <c r="E167" s="174"/>
      <c r="F167" s="174"/>
      <c r="G167" s="174"/>
      <c r="H167" s="174"/>
      <c r="I167" s="174"/>
      <c r="J167" s="174"/>
      <c r="K167" s="174"/>
      <c r="L167" s="174"/>
      <c r="M167" s="174"/>
      <c r="N167" s="174"/>
      <c r="O167" s="174"/>
      <c r="P167" s="174"/>
      <c r="Q167" s="174"/>
      <c r="R167" s="174"/>
      <c r="S167" s="174"/>
      <c r="T167" s="193"/>
      <c r="U167" s="174"/>
      <c r="V167" s="5"/>
    </row>
    <row r="168" spans="1:22" ht="15.6" x14ac:dyDescent="0.3">
      <c r="A168" s="175"/>
      <c r="B168" s="201" t="s">
        <v>57</v>
      </c>
      <c r="C168" s="177"/>
      <c r="D168" s="177"/>
      <c r="E168" s="177"/>
      <c r="F168" s="177"/>
      <c r="G168" s="177"/>
      <c r="H168" s="177"/>
      <c r="I168" s="177"/>
      <c r="J168" s="177"/>
      <c r="K168" s="177"/>
      <c r="L168" s="177"/>
      <c r="M168" s="177"/>
      <c r="N168" s="177"/>
      <c r="O168" s="177"/>
      <c r="P168" s="177"/>
      <c r="Q168" s="177"/>
      <c r="R168" s="177"/>
      <c r="S168" s="177"/>
      <c r="T168" s="194"/>
      <c r="U168" s="177"/>
      <c r="V168" s="5"/>
    </row>
    <row r="169" spans="1:22" ht="15.6" x14ac:dyDescent="0.3">
      <c r="A169" s="175"/>
      <c r="B169" s="187"/>
      <c r="C169" s="177"/>
      <c r="D169" s="177"/>
      <c r="E169" s="177"/>
      <c r="F169" s="177"/>
      <c r="G169" s="177"/>
      <c r="H169" s="177"/>
      <c r="I169" s="177"/>
      <c r="J169" s="177"/>
      <c r="K169" s="177"/>
      <c r="L169" s="177"/>
      <c r="M169" s="177"/>
      <c r="N169" s="177"/>
      <c r="O169" s="177"/>
      <c r="P169" s="177"/>
      <c r="Q169" s="177"/>
      <c r="R169" s="177"/>
      <c r="S169" s="177"/>
      <c r="T169" s="194"/>
      <c r="U169" s="177"/>
      <c r="V169" s="5"/>
    </row>
    <row r="170" spans="1:22" ht="15.6" x14ac:dyDescent="0.3">
      <c r="A170" s="284"/>
      <c r="B170" s="285" t="s">
        <v>58</v>
      </c>
      <c r="C170" s="285"/>
      <c r="D170" s="285"/>
      <c r="E170" s="285"/>
      <c r="F170" s="285"/>
      <c r="G170" s="285"/>
      <c r="H170" s="285"/>
      <c r="I170" s="285"/>
      <c r="J170" s="285"/>
      <c r="K170" s="285"/>
      <c r="L170" s="285"/>
      <c r="M170" s="285"/>
      <c r="N170" s="285"/>
      <c r="O170" s="285"/>
      <c r="P170" s="285"/>
      <c r="Q170" s="285"/>
      <c r="R170" s="285"/>
      <c r="S170" s="285"/>
      <c r="T170" s="339">
        <f>T70</f>
        <v>435138</v>
      </c>
      <c r="U170" s="288"/>
      <c r="V170" s="5"/>
    </row>
    <row r="171" spans="1:22" ht="15.6" x14ac:dyDescent="0.3">
      <c r="A171" s="284"/>
      <c r="B171" s="285" t="s">
        <v>59</v>
      </c>
      <c r="C171" s="285"/>
      <c r="D171" s="285"/>
      <c r="E171" s="285"/>
      <c r="F171" s="285"/>
      <c r="G171" s="285"/>
      <c r="H171" s="285"/>
      <c r="I171" s="285"/>
      <c r="J171" s="285"/>
      <c r="K171" s="285"/>
      <c r="L171" s="285"/>
      <c r="M171" s="285"/>
      <c r="N171" s="285"/>
      <c r="O171" s="285"/>
      <c r="P171" s="285"/>
      <c r="Q171" s="285"/>
      <c r="R171" s="285"/>
      <c r="S171" s="285"/>
      <c r="T171" s="339">
        <f>T83</f>
        <v>435138</v>
      </c>
      <c r="U171" s="288"/>
      <c r="V171" s="5"/>
    </row>
    <row r="172" spans="1:22" ht="16.2" thickBot="1" x14ac:dyDescent="0.35">
      <c r="A172" s="175"/>
      <c r="B172" s="334"/>
      <c r="C172" s="334"/>
      <c r="D172" s="334"/>
      <c r="E172" s="334"/>
      <c r="F172" s="334"/>
      <c r="G172" s="334"/>
      <c r="H172" s="334"/>
      <c r="I172" s="334"/>
      <c r="J172" s="334"/>
      <c r="K172" s="334"/>
      <c r="L172" s="334"/>
      <c r="M172" s="334"/>
      <c r="N172" s="334"/>
      <c r="O172" s="334"/>
      <c r="P172" s="334"/>
      <c r="Q172" s="334"/>
      <c r="R172" s="334"/>
      <c r="S172" s="334"/>
      <c r="T172" s="347"/>
      <c r="U172" s="334"/>
      <c r="V172" s="5"/>
    </row>
    <row r="173" spans="1:22" ht="15.6" x14ac:dyDescent="0.3">
      <c r="A173" s="173"/>
      <c r="B173" s="174"/>
      <c r="C173" s="174"/>
      <c r="D173" s="174"/>
      <c r="E173" s="174"/>
      <c r="F173" s="174"/>
      <c r="G173" s="174"/>
      <c r="H173" s="174"/>
      <c r="I173" s="174"/>
      <c r="J173" s="174"/>
      <c r="K173" s="174"/>
      <c r="L173" s="174"/>
      <c r="M173" s="174"/>
      <c r="N173" s="174"/>
      <c r="O173" s="174"/>
      <c r="P173" s="174"/>
      <c r="Q173" s="174"/>
      <c r="R173" s="174"/>
      <c r="S173" s="174"/>
      <c r="T173" s="193"/>
      <c r="U173" s="174"/>
      <c r="V173" s="5"/>
    </row>
    <row r="174" spans="1:22" ht="15.6" x14ac:dyDescent="0.3">
      <c r="A174" s="175"/>
      <c r="B174" s="201" t="s">
        <v>60</v>
      </c>
      <c r="C174" s="198"/>
      <c r="D174" s="198"/>
      <c r="E174" s="198"/>
      <c r="F174" s="198"/>
      <c r="G174" s="198"/>
      <c r="H174" s="203"/>
      <c r="I174" s="203"/>
      <c r="J174" s="203"/>
      <c r="K174" s="203"/>
      <c r="L174" s="203"/>
      <c r="M174" s="203"/>
      <c r="N174" s="203"/>
      <c r="O174" s="203"/>
      <c r="P174" s="203"/>
      <c r="Q174" s="203" t="s">
        <v>104</v>
      </c>
      <c r="R174" s="203" t="s">
        <v>183</v>
      </c>
      <c r="S174" s="179"/>
      <c r="T174" s="204" t="s">
        <v>120</v>
      </c>
      <c r="U174" s="205"/>
      <c r="V174" s="5"/>
    </row>
    <row r="175" spans="1:22" ht="15.6" x14ac:dyDescent="0.3">
      <c r="A175" s="284"/>
      <c r="B175" s="285" t="s">
        <v>61</v>
      </c>
      <c r="C175" s="285"/>
      <c r="D175" s="285"/>
      <c r="E175" s="285"/>
      <c r="F175" s="285"/>
      <c r="G175" s="285"/>
      <c r="H175" s="285"/>
      <c r="I175" s="285"/>
      <c r="J175" s="285"/>
      <c r="K175" s="285"/>
      <c r="L175" s="285"/>
      <c r="M175" s="285"/>
      <c r="N175" s="285"/>
      <c r="O175" s="285"/>
      <c r="P175" s="285"/>
      <c r="Q175" s="339">
        <v>160008</v>
      </c>
      <c r="R175" s="324"/>
      <c r="S175" s="285"/>
      <c r="T175" s="339"/>
      <c r="U175" s="288"/>
      <c r="V175" s="5"/>
    </row>
    <row r="176" spans="1:22" ht="15.6" x14ac:dyDescent="0.3">
      <c r="A176" s="284"/>
      <c r="B176" s="285" t="s">
        <v>62</v>
      </c>
      <c r="C176" s="285"/>
      <c r="D176" s="285"/>
      <c r="E176" s="285"/>
      <c r="F176" s="285"/>
      <c r="G176" s="285"/>
      <c r="H176" s="285"/>
      <c r="I176" s="285"/>
      <c r="J176" s="285"/>
      <c r="K176" s="285"/>
      <c r="L176" s="285"/>
      <c r="M176" s="285"/>
      <c r="N176" s="285"/>
      <c r="O176" s="285"/>
      <c r="P176" s="285"/>
      <c r="Q176" s="339">
        <f>+'March 17'!Q178</f>
        <v>40115</v>
      </c>
      <c r="R176" s="339">
        <f>+'March 17'!R178</f>
        <v>3447</v>
      </c>
      <c r="S176" s="285"/>
      <c r="T176" s="339">
        <f>Q176+R176</f>
        <v>43562</v>
      </c>
      <c r="U176" s="288"/>
      <c r="V176" s="5"/>
    </row>
    <row r="177" spans="1:22" ht="15.6" x14ac:dyDescent="0.3">
      <c r="A177" s="284"/>
      <c r="B177" s="285" t="s">
        <v>63</v>
      </c>
      <c r="C177" s="285"/>
      <c r="D177" s="285"/>
      <c r="E177" s="285"/>
      <c r="F177" s="285"/>
      <c r="G177" s="285"/>
      <c r="H177" s="285"/>
      <c r="I177" s="285"/>
      <c r="J177" s="285"/>
      <c r="K177" s="285"/>
      <c r="L177" s="285"/>
      <c r="M177" s="285"/>
      <c r="N177" s="285"/>
      <c r="O177" s="285"/>
      <c r="P177" s="285"/>
      <c r="Q177" s="338">
        <v>65</v>
      </c>
      <c r="R177" s="338">
        <v>0</v>
      </c>
      <c r="S177" s="285"/>
      <c r="T177" s="339">
        <f>Q177+R177</f>
        <v>65</v>
      </c>
      <c r="U177" s="288"/>
      <c r="V177" s="5"/>
    </row>
    <row r="178" spans="1:22" ht="15.6" x14ac:dyDescent="0.3">
      <c r="A178" s="284"/>
      <c r="B178" s="285" t="s">
        <v>64</v>
      </c>
      <c r="C178" s="285"/>
      <c r="D178" s="285"/>
      <c r="E178" s="285"/>
      <c r="F178" s="285"/>
      <c r="G178" s="285"/>
      <c r="H178" s="285"/>
      <c r="I178" s="285"/>
      <c r="J178" s="285"/>
      <c r="K178" s="285"/>
      <c r="L178" s="285"/>
      <c r="M178" s="285"/>
      <c r="N178" s="285"/>
      <c r="O178" s="285"/>
      <c r="P178" s="285"/>
      <c r="Q178" s="339">
        <f>Q176+Q177</f>
        <v>40180</v>
      </c>
      <c r="R178" s="339">
        <f>R177+R176</f>
        <v>3447</v>
      </c>
      <c r="S178" s="285"/>
      <c r="T178" s="339">
        <f>Q178+R178</f>
        <v>43627</v>
      </c>
      <c r="U178" s="288"/>
      <c r="V178" s="5"/>
    </row>
    <row r="179" spans="1:22" ht="15.6" x14ac:dyDescent="0.3">
      <c r="A179" s="284"/>
      <c r="B179" s="285" t="s">
        <v>65</v>
      </c>
      <c r="C179" s="285"/>
      <c r="D179" s="285"/>
      <c r="E179" s="285"/>
      <c r="F179" s="285"/>
      <c r="G179" s="285"/>
      <c r="H179" s="285"/>
      <c r="I179" s="285"/>
      <c r="J179" s="285"/>
      <c r="K179" s="285"/>
      <c r="L179" s="285"/>
      <c r="M179" s="285"/>
      <c r="N179" s="285"/>
      <c r="O179" s="285"/>
      <c r="P179" s="285"/>
      <c r="Q179" s="339">
        <f>Q175-Q178-R178</f>
        <v>116381</v>
      </c>
      <c r="R179" s="324"/>
      <c r="S179" s="285"/>
      <c r="T179" s="339"/>
      <c r="U179" s="288"/>
      <c r="V179" s="5"/>
    </row>
    <row r="180" spans="1:22" ht="16.2" thickBot="1" x14ac:dyDescent="0.35">
      <c r="A180" s="175"/>
      <c r="B180" s="334"/>
      <c r="C180" s="334"/>
      <c r="D180" s="334"/>
      <c r="E180" s="334"/>
      <c r="F180" s="334"/>
      <c r="G180" s="334"/>
      <c r="H180" s="334"/>
      <c r="I180" s="334"/>
      <c r="J180" s="334"/>
      <c r="K180" s="334"/>
      <c r="L180" s="334"/>
      <c r="M180" s="334"/>
      <c r="N180" s="334"/>
      <c r="O180" s="334"/>
      <c r="P180" s="334"/>
      <c r="Q180" s="334"/>
      <c r="R180" s="334"/>
      <c r="S180" s="334"/>
      <c r="T180" s="347"/>
      <c r="U180" s="334"/>
      <c r="V180" s="5"/>
    </row>
    <row r="181" spans="1:22" ht="15.6" x14ac:dyDescent="0.3">
      <c r="A181" s="173"/>
      <c r="B181" s="174"/>
      <c r="C181" s="174"/>
      <c r="D181" s="174"/>
      <c r="E181" s="174"/>
      <c r="F181" s="174"/>
      <c r="G181" s="174"/>
      <c r="H181" s="174"/>
      <c r="I181" s="174"/>
      <c r="J181" s="174"/>
      <c r="K181" s="174"/>
      <c r="L181" s="174"/>
      <c r="M181" s="174"/>
      <c r="N181" s="174"/>
      <c r="O181" s="174"/>
      <c r="P181" s="174"/>
      <c r="Q181" s="174"/>
      <c r="R181" s="174"/>
      <c r="S181" s="174"/>
      <c r="T181" s="193"/>
      <c r="U181" s="174"/>
      <c r="V181" s="5"/>
    </row>
    <row r="182" spans="1:22" ht="15.6" x14ac:dyDescent="0.3">
      <c r="A182" s="175"/>
      <c r="B182" s="201" t="s">
        <v>66</v>
      </c>
      <c r="C182" s="177"/>
      <c r="D182" s="177"/>
      <c r="E182" s="177"/>
      <c r="F182" s="177"/>
      <c r="G182" s="177"/>
      <c r="H182" s="177"/>
      <c r="I182" s="177"/>
      <c r="J182" s="177"/>
      <c r="K182" s="177"/>
      <c r="L182" s="177"/>
      <c r="M182" s="177"/>
      <c r="N182" s="177"/>
      <c r="O182" s="177"/>
      <c r="P182" s="177"/>
      <c r="Q182" s="177"/>
      <c r="R182" s="177"/>
      <c r="S182" s="177"/>
      <c r="T182" s="206"/>
      <c r="U182" s="177"/>
      <c r="V182" s="5"/>
    </row>
    <row r="183" spans="1:22" ht="15.6" x14ac:dyDescent="0.3">
      <c r="A183" s="284"/>
      <c r="B183" s="285" t="s">
        <v>67</v>
      </c>
      <c r="C183" s="285"/>
      <c r="D183" s="285"/>
      <c r="E183" s="285"/>
      <c r="F183" s="285"/>
      <c r="G183" s="285"/>
      <c r="H183" s="285"/>
      <c r="I183" s="285"/>
      <c r="J183" s="285"/>
      <c r="K183" s="285"/>
      <c r="L183" s="285"/>
      <c r="M183" s="285"/>
      <c r="N183" s="285"/>
      <c r="O183" s="285"/>
      <c r="P183" s="285"/>
      <c r="Q183" s="285"/>
      <c r="R183" s="285"/>
      <c r="S183" s="285"/>
      <c r="T183" s="348">
        <f>(T99+T101+T102+T103+T104)/-(T105+T106)</f>
        <v>5.9430051813471501</v>
      </c>
      <c r="U183" s="288" t="s">
        <v>121</v>
      </c>
      <c r="V183" s="5"/>
    </row>
    <row r="184" spans="1:22" ht="15.6" x14ac:dyDescent="0.3">
      <c r="A184" s="284"/>
      <c r="B184" s="285" t="s">
        <v>68</v>
      </c>
      <c r="C184" s="285"/>
      <c r="D184" s="285"/>
      <c r="E184" s="285"/>
      <c r="F184" s="285"/>
      <c r="G184" s="285"/>
      <c r="H184" s="285"/>
      <c r="I184" s="285"/>
      <c r="J184" s="285"/>
      <c r="K184" s="285"/>
      <c r="L184" s="285"/>
      <c r="M184" s="285"/>
      <c r="N184" s="285"/>
      <c r="O184" s="285"/>
      <c r="P184" s="285"/>
      <c r="Q184" s="285"/>
      <c r="R184" s="285"/>
      <c r="S184" s="285"/>
      <c r="T184" s="349">
        <v>1.89</v>
      </c>
      <c r="U184" s="288" t="s">
        <v>121</v>
      </c>
      <c r="V184" s="5"/>
    </row>
    <row r="185" spans="1:22" ht="15.6" x14ac:dyDescent="0.3">
      <c r="A185" s="284"/>
      <c r="B185" s="285" t="s">
        <v>69</v>
      </c>
      <c r="C185" s="285"/>
      <c r="D185" s="285"/>
      <c r="E185" s="285"/>
      <c r="F185" s="285"/>
      <c r="G185" s="285"/>
      <c r="H185" s="285"/>
      <c r="I185" s="285"/>
      <c r="J185" s="285"/>
      <c r="K185" s="285"/>
      <c r="L185" s="285"/>
      <c r="M185" s="285"/>
      <c r="N185" s="285"/>
      <c r="O185" s="285"/>
      <c r="P185" s="285"/>
      <c r="Q185" s="285"/>
      <c r="R185" s="285"/>
      <c r="S185" s="285"/>
      <c r="T185" s="348">
        <f>(T99+T101+T102+T103+T104+T105+T106)/-(T107+T108)</f>
        <v>14.345864661654135</v>
      </c>
      <c r="U185" s="288" t="s">
        <v>121</v>
      </c>
      <c r="V185" s="5"/>
    </row>
    <row r="186" spans="1:22" ht="15.6" x14ac:dyDescent="0.3">
      <c r="A186" s="284"/>
      <c r="B186" s="285" t="s">
        <v>70</v>
      </c>
      <c r="C186" s="285"/>
      <c r="D186" s="285"/>
      <c r="E186" s="285"/>
      <c r="F186" s="285"/>
      <c r="G186" s="285"/>
      <c r="H186" s="285"/>
      <c r="I186" s="285"/>
      <c r="J186" s="285"/>
      <c r="K186" s="285"/>
      <c r="L186" s="285"/>
      <c r="M186" s="285"/>
      <c r="N186" s="285"/>
      <c r="O186" s="285"/>
      <c r="P186" s="285"/>
      <c r="Q186" s="285"/>
      <c r="R186" s="285"/>
      <c r="S186" s="285"/>
      <c r="T186" s="349">
        <v>6.93</v>
      </c>
      <c r="U186" s="288" t="s">
        <v>121</v>
      </c>
      <c r="V186" s="5"/>
    </row>
    <row r="187" spans="1:22" ht="15.6" x14ac:dyDescent="0.3">
      <c r="A187" s="284"/>
      <c r="B187" s="285" t="s">
        <v>206</v>
      </c>
      <c r="C187" s="285"/>
      <c r="D187" s="285"/>
      <c r="E187" s="285"/>
      <c r="F187" s="285"/>
      <c r="G187" s="285"/>
      <c r="H187" s="285"/>
      <c r="I187" s="285"/>
      <c r="J187" s="285"/>
      <c r="K187" s="285"/>
      <c r="L187" s="285"/>
      <c r="M187" s="285"/>
      <c r="N187" s="285"/>
      <c r="O187" s="285"/>
      <c r="P187" s="285"/>
      <c r="Q187" s="285"/>
      <c r="R187" s="285"/>
      <c r="S187" s="285"/>
      <c r="T187" s="348">
        <f>(T99+T101+T102+T103+T104+T105+T106+T107+T108)/-(T109)</f>
        <v>10.260115606936417</v>
      </c>
      <c r="U187" s="288" t="s">
        <v>121</v>
      </c>
      <c r="V187" s="5"/>
    </row>
    <row r="188" spans="1:22" ht="15.6" x14ac:dyDescent="0.3">
      <c r="A188" s="284"/>
      <c r="B188" s="285" t="s">
        <v>207</v>
      </c>
      <c r="C188" s="285"/>
      <c r="D188" s="285"/>
      <c r="E188" s="285"/>
      <c r="F188" s="285"/>
      <c r="G188" s="285"/>
      <c r="H188" s="285"/>
      <c r="I188" s="285"/>
      <c r="J188" s="285"/>
      <c r="K188" s="285"/>
      <c r="L188" s="285"/>
      <c r="M188" s="285"/>
      <c r="N188" s="285"/>
      <c r="O188" s="285"/>
      <c r="P188" s="285"/>
      <c r="Q188" s="285"/>
      <c r="R188" s="285"/>
      <c r="S188" s="285"/>
      <c r="T188" s="349">
        <v>6.18</v>
      </c>
      <c r="U188" s="288" t="s">
        <v>121</v>
      </c>
      <c r="V188" s="5"/>
    </row>
    <row r="189" spans="1:22" ht="15.6" x14ac:dyDescent="0.3">
      <c r="A189" s="284"/>
      <c r="B189" s="311"/>
      <c r="C189" s="311"/>
      <c r="D189" s="311"/>
      <c r="E189" s="311"/>
      <c r="F189" s="311"/>
      <c r="G189" s="311"/>
      <c r="H189" s="311"/>
      <c r="I189" s="311"/>
      <c r="J189" s="311"/>
      <c r="K189" s="311"/>
      <c r="L189" s="311"/>
      <c r="M189" s="311"/>
      <c r="N189" s="311"/>
      <c r="O189" s="311"/>
      <c r="P189" s="311"/>
      <c r="Q189" s="311"/>
      <c r="R189" s="311"/>
      <c r="S189" s="311"/>
      <c r="T189" s="311"/>
      <c r="U189" s="317"/>
      <c r="V189" s="5"/>
    </row>
    <row r="190" spans="1:22" ht="15.6" x14ac:dyDescent="0.3">
      <c r="A190" s="175"/>
      <c r="B190" s="334"/>
      <c r="C190" s="334"/>
      <c r="D190" s="334"/>
      <c r="E190" s="334"/>
      <c r="F190" s="334"/>
      <c r="G190" s="334"/>
      <c r="H190" s="334"/>
      <c r="I190" s="334"/>
      <c r="J190" s="334"/>
      <c r="K190" s="334"/>
      <c r="L190" s="334"/>
      <c r="M190" s="334"/>
      <c r="N190" s="334"/>
      <c r="O190" s="334"/>
      <c r="P190" s="334"/>
      <c r="Q190" s="334"/>
      <c r="R190" s="334"/>
      <c r="S190" s="334"/>
      <c r="T190" s="334"/>
      <c r="U190" s="334"/>
      <c r="V190" s="5"/>
    </row>
    <row r="191" spans="1:22" ht="15.6" x14ac:dyDescent="0.3">
      <c r="A191" s="175"/>
      <c r="B191" s="177"/>
      <c r="C191" s="177"/>
      <c r="D191" s="177"/>
      <c r="E191" s="177"/>
      <c r="F191" s="177"/>
      <c r="G191" s="177"/>
      <c r="H191" s="177"/>
      <c r="I191" s="177"/>
      <c r="J191" s="177"/>
      <c r="K191" s="177"/>
      <c r="L191" s="177"/>
      <c r="M191" s="177"/>
      <c r="N191" s="177"/>
      <c r="O191" s="177"/>
      <c r="P191" s="177"/>
      <c r="Q191" s="177"/>
      <c r="R191" s="177"/>
      <c r="S191" s="177"/>
      <c r="T191" s="177"/>
      <c r="U191" s="177"/>
      <c r="V191" s="5"/>
    </row>
    <row r="192" spans="1:22" ht="18" thickBot="1" x14ac:dyDescent="0.35">
      <c r="A192" s="192"/>
      <c r="B192" s="246" t="str">
        <f>B132</f>
        <v>PM11 INVESTOR REPORT QUARTER ENDING JUNE 2017</v>
      </c>
      <c r="C192" s="207"/>
      <c r="D192" s="207"/>
      <c r="E192" s="207"/>
      <c r="F192" s="207"/>
      <c r="G192" s="207"/>
      <c r="H192" s="207"/>
      <c r="I192" s="207"/>
      <c r="J192" s="207"/>
      <c r="K192" s="207"/>
      <c r="L192" s="207"/>
      <c r="M192" s="207"/>
      <c r="N192" s="207"/>
      <c r="O192" s="207"/>
      <c r="P192" s="207"/>
      <c r="Q192" s="207"/>
      <c r="R192" s="207"/>
      <c r="S192" s="207"/>
      <c r="T192" s="207"/>
      <c r="U192" s="208"/>
      <c r="V192" s="5"/>
    </row>
    <row r="193" spans="1:22" ht="15.6" x14ac:dyDescent="0.3">
      <c r="A193" s="260"/>
      <c r="B193" s="399" t="s">
        <v>71</v>
      </c>
      <c r="C193" s="400"/>
      <c r="D193" s="400"/>
      <c r="E193" s="400"/>
      <c r="F193" s="400"/>
      <c r="G193" s="401"/>
      <c r="H193" s="401"/>
      <c r="I193" s="401"/>
      <c r="J193" s="401"/>
      <c r="K193" s="401"/>
      <c r="L193" s="401"/>
      <c r="M193" s="401"/>
      <c r="N193" s="401"/>
      <c r="O193" s="401"/>
      <c r="P193" s="401"/>
      <c r="Q193" s="401"/>
      <c r="R193" s="401">
        <v>42916</v>
      </c>
      <c r="S193" s="261"/>
      <c r="T193" s="261"/>
      <c r="U193" s="261"/>
      <c r="V193" s="5"/>
    </row>
    <row r="194" spans="1:22" ht="15.6" x14ac:dyDescent="0.3">
      <c r="A194" s="209"/>
      <c r="B194" s="210"/>
      <c r="C194" s="211"/>
      <c r="D194" s="211"/>
      <c r="E194" s="211"/>
      <c r="F194" s="211"/>
      <c r="G194" s="212"/>
      <c r="H194" s="212"/>
      <c r="I194" s="212"/>
      <c r="J194" s="212"/>
      <c r="K194" s="212"/>
      <c r="L194" s="212"/>
      <c r="M194" s="212"/>
      <c r="N194" s="212"/>
      <c r="O194" s="212"/>
      <c r="P194" s="212"/>
      <c r="Q194" s="212"/>
      <c r="R194" s="212"/>
      <c r="S194" s="177"/>
      <c r="T194" s="177"/>
      <c r="U194" s="177"/>
      <c r="V194" s="5"/>
    </row>
    <row r="195" spans="1:22" ht="15.6" x14ac:dyDescent="0.3">
      <c r="A195" s="352"/>
      <c r="B195" s="285" t="s">
        <v>72</v>
      </c>
      <c r="C195" s="353"/>
      <c r="D195" s="353"/>
      <c r="E195" s="353"/>
      <c r="F195" s="353"/>
      <c r="G195" s="329"/>
      <c r="H195" s="329"/>
      <c r="I195" s="329"/>
      <c r="J195" s="329"/>
      <c r="K195" s="329"/>
      <c r="L195" s="329"/>
      <c r="M195" s="329"/>
      <c r="N195" s="329"/>
      <c r="O195" s="329"/>
      <c r="P195" s="329"/>
      <c r="Q195" s="329"/>
      <c r="R195" s="320">
        <v>5.1569999999999998E-2</v>
      </c>
      <c r="S195" s="285"/>
      <c r="T195" s="285"/>
      <c r="U195" s="317"/>
      <c r="V195" s="5"/>
    </row>
    <row r="196" spans="1:22" ht="15.6" x14ac:dyDescent="0.3">
      <c r="A196" s="352"/>
      <c r="B196" s="285" t="s">
        <v>157</v>
      </c>
      <c r="C196" s="353"/>
      <c r="D196" s="353"/>
      <c r="E196" s="353"/>
      <c r="F196" s="353"/>
      <c r="G196" s="329"/>
      <c r="H196" s="329"/>
      <c r="I196" s="329"/>
      <c r="J196" s="329"/>
      <c r="K196" s="329"/>
      <c r="L196" s="329"/>
      <c r="M196" s="329"/>
      <c r="N196" s="329"/>
      <c r="O196" s="329"/>
      <c r="P196" s="329"/>
      <c r="Q196" s="329"/>
      <c r="R196" s="320">
        <v>4.6899999999999997E-2</v>
      </c>
      <c r="S196" s="285"/>
      <c r="T196" s="285"/>
      <c r="U196" s="317"/>
      <c r="V196" s="5"/>
    </row>
    <row r="197" spans="1:22" ht="15.6" x14ac:dyDescent="0.3">
      <c r="A197" s="352"/>
      <c r="B197" s="285" t="s">
        <v>73</v>
      </c>
      <c r="C197" s="353"/>
      <c r="D197" s="353"/>
      <c r="E197" s="353"/>
      <c r="F197" s="353"/>
      <c r="G197" s="329"/>
      <c r="H197" s="329"/>
      <c r="I197" s="329"/>
      <c r="J197" s="329"/>
      <c r="K197" s="329"/>
      <c r="L197" s="329"/>
      <c r="M197" s="329"/>
      <c r="N197" s="329"/>
      <c r="O197" s="329"/>
      <c r="P197" s="329"/>
      <c r="Q197" s="329"/>
      <c r="R197" s="320">
        <f>R195-R196</f>
        <v>4.6700000000000005E-3</v>
      </c>
      <c r="S197" s="285"/>
      <c r="T197" s="285"/>
      <c r="U197" s="317"/>
      <c r="V197" s="5"/>
    </row>
    <row r="198" spans="1:22" ht="15.6" x14ac:dyDescent="0.3">
      <c r="A198" s="352"/>
      <c r="B198" s="285" t="s">
        <v>74</v>
      </c>
      <c r="C198" s="353"/>
      <c r="D198" s="353"/>
      <c r="E198" s="353"/>
      <c r="F198" s="353"/>
      <c r="G198" s="329"/>
      <c r="H198" s="329"/>
      <c r="I198" s="329"/>
      <c r="J198" s="329"/>
      <c r="K198" s="329"/>
      <c r="L198" s="329"/>
      <c r="M198" s="329"/>
      <c r="N198" s="329"/>
      <c r="O198" s="329"/>
      <c r="P198" s="329"/>
      <c r="Q198" s="329"/>
      <c r="R198" s="320">
        <v>2.1059999999999999E-2</v>
      </c>
      <c r="S198" s="285"/>
      <c r="T198" s="285"/>
      <c r="U198" s="317"/>
      <c r="V198" s="5"/>
    </row>
    <row r="199" spans="1:22" ht="15.6" x14ac:dyDescent="0.3">
      <c r="A199" s="352"/>
      <c r="B199" s="285" t="s">
        <v>257</v>
      </c>
      <c r="C199" s="353"/>
      <c r="D199" s="353"/>
      <c r="E199" s="353"/>
      <c r="F199" s="353"/>
      <c r="G199" s="329"/>
      <c r="H199" s="329"/>
      <c r="I199" s="329"/>
      <c r="J199" s="329"/>
      <c r="K199" s="329"/>
      <c r="L199" s="329"/>
      <c r="M199" s="329"/>
      <c r="N199" s="329"/>
      <c r="O199" s="329"/>
      <c r="P199" s="329"/>
      <c r="Q199" s="329"/>
      <c r="R199" s="320">
        <f>T43</f>
        <v>6.3597017922903745E-3</v>
      </c>
      <c r="S199" s="285"/>
      <c r="T199" s="285"/>
      <c r="U199" s="317"/>
      <c r="V199" s="5"/>
    </row>
    <row r="200" spans="1:22" ht="15.6" x14ac:dyDescent="0.3">
      <c r="A200" s="352"/>
      <c r="B200" s="285" t="s">
        <v>75</v>
      </c>
      <c r="C200" s="353"/>
      <c r="D200" s="353"/>
      <c r="E200" s="353"/>
      <c r="F200" s="353"/>
      <c r="G200" s="329"/>
      <c r="H200" s="329"/>
      <c r="I200" s="329"/>
      <c r="J200" s="329"/>
      <c r="K200" s="329"/>
      <c r="L200" s="329"/>
      <c r="M200" s="329"/>
      <c r="N200" s="329"/>
      <c r="O200" s="329"/>
      <c r="P200" s="329"/>
      <c r="Q200" s="329"/>
      <c r="R200" s="320">
        <f>R198-R199</f>
        <v>1.4700298207709624E-2</v>
      </c>
      <c r="S200" s="285"/>
      <c r="T200" s="285"/>
      <c r="U200" s="317"/>
      <c r="V200" s="5"/>
    </row>
    <row r="201" spans="1:22" ht="15.6" x14ac:dyDescent="0.3">
      <c r="A201" s="352"/>
      <c r="B201" s="285" t="s">
        <v>260</v>
      </c>
      <c r="C201" s="353"/>
      <c r="D201" s="353"/>
      <c r="E201" s="353"/>
      <c r="F201" s="353"/>
      <c r="G201" s="329"/>
      <c r="H201" s="329"/>
      <c r="I201" s="329"/>
      <c r="J201" s="329"/>
      <c r="K201" s="329"/>
      <c r="L201" s="329"/>
      <c r="M201" s="329"/>
      <c r="N201" s="329"/>
      <c r="O201" s="329"/>
      <c r="P201" s="329"/>
      <c r="Q201" s="329"/>
      <c r="R201" s="320">
        <f>+T99/L70</f>
        <v>5.7386988203030264E-3</v>
      </c>
      <c r="S201" s="285"/>
      <c r="T201" s="285"/>
      <c r="U201" s="317"/>
      <c r="V201" s="5"/>
    </row>
    <row r="202" spans="1:22" ht="15.6" x14ac:dyDescent="0.3">
      <c r="A202" s="352"/>
      <c r="B202" s="285" t="s">
        <v>217</v>
      </c>
      <c r="C202" s="353"/>
      <c r="D202" s="353"/>
      <c r="E202" s="353"/>
      <c r="F202" s="353"/>
      <c r="G202" s="329"/>
      <c r="H202" s="329"/>
      <c r="I202" s="329"/>
      <c r="J202" s="329"/>
      <c r="K202" s="329"/>
      <c r="L202" s="329"/>
      <c r="M202" s="329"/>
      <c r="N202" s="329"/>
      <c r="O202" s="329"/>
      <c r="P202" s="329"/>
      <c r="Q202" s="329"/>
      <c r="R202" s="354">
        <v>15250</v>
      </c>
      <c r="S202" s="285"/>
      <c r="T202" s="285"/>
      <c r="U202" s="317"/>
      <c r="V202" s="5"/>
    </row>
    <row r="203" spans="1:22" ht="15.6" x14ac:dyDescent="0.3">
      <c r="A203" s="352"/>
      <c r="B203" s="285" t="s">
        <v>218</v>
      </c>
      <c r="C203" s="353"/>
      <c r="D203" s="353"/>
      <c r="E203" s="353"/>
      <c r="F203" s="353"/>
      <c r="G203" s="329"/>
      <c r="H203" s="329"/>
      <c r="I203" s="329"/>
      <c r="J203" s="329"/>
      <c r="K203" s="329"/>
      <c r="L203" s="329"/>
      <c r="M203" s="329"/>
      <c r="N203" s="329"/>
      <c r="O203" s="329"/>
      <c r="P203" s="329"/>
      <c r="Q203" s="329"/>
      <c r="R203" s="354">
        <v>15250</v>
      </c>
      <c r="S203" s="285"/>
      <c r="T203" s="285"/>
      <c r="U203" s="317"/>
      <c r="V203" s="5"/>
    </row>
    <row r="204" spans="1:22" ht="15.6" x14ac:dyDescent="0.3">
      <c r="A204" s="352"/>
      <c r="B204" s="285" t="s">
        <v>219</v>
      </c>
      <c r="C204" s="353"/>
      <c r="D204" s="353"/>
      <c r="E204" s="353"/>
      <c r="F204" s="353"/>
      <c r="G204" s="329"/>
      <c r="H204" s="329"/>
      <c r="I204" s="329"/>
      <c r="J204" s="329"/>
      <c r="K204" s="329"/>
      <c r="L204" s="329"/>
      <c r="M204" s="329"/>
      <c r="N204" s="329"/>
      <c r="O204" s="329"/>
      <c r="P204" s="329"/>
      <c r="Q204" s="329"/>
      <c r="R204" s="354">
        <v>15250</v>
      </c>
      <c r="S204" s="285"/>
      <c r="T204" s="285"/>
      <c r="U204" s="317"/>
      <c r="V204" s="5"/>
    </row>
    <row r="205" spans="1:22" ht="15.6" x14ac:dyDescent="0.3">
      <c r="A205" s="352"/>
      <c r="B205" s="285" t="s">
        <v>76</v>
      </c>
      <c r="C205" s="353"/>
      <c r="D205" s="353"/>
      <c r="E205" s="353"/>
      <c r="F205" s="353"/>
      <c r="G205" s="329"/>
      <c r="H205" s="329"/>
      <c r="I205" s="329"/>
      <c r="J205" s="329"/>
      <c r="K205" s="329"/>
      <c r="L205" s="329"/>
      <c r="M205" s="329"/>
      <c r="N205" s="329"/>
      <c r="O205" s="329"/>
      <c r="P205" s="329"/>
      <c r="Q205" s="329"/>
      <c r="R205" s="326">
        <v>21.18</v>
      </c>
      <c r="S205" s="285" t="s">
        <v>116</v>
      </c>
      <c r="T205" s="285"/>
      <c r="U205" s="317"/>
      <c r="V205" s="5"/>
    </row>
    <row r="206" spans="1:22" ht="15.6" x14ac:dyDescent="0.3">
      <c r="A206" s="352"/>
      <c r="B206" s="285" t="s">
        <v>77</v>
      </c>
      <c r="C206" s="353"/>
      <c r="D206" s="353"/>
      <c r="E206" s="353"/>
      <c r="F206" s="353"/>
      <c r="G206" s="329"/>
      <c r="H206" s="329"/>
      <c r="I206" s="329"/>
      <c r="J206" s="329"/>
      <c r="K206" s="329"/>
      <c r="L206" s="329"/>
      <c r="M206" s="329"/>
      <c r="N206" s="329"/>
      <c r="O206" s="329"/>
      <c r="P206" s="329"/>
      <c r="Q206" s="329"/>
      <c r="R206" s="326">
        <v>10.56</v>
      </c>
      <c r="S206" s="285" t="s">
        <v>116</v>
      </c>
      <c r="T206" s="285"/>
      <c r="U206" s="317"/>
      <c r="V206" s="5"/>
    </row>
    <row r="207" spans="1:22" ht="15.6" x14ac:dyDescent="0.3">
      <c r="A207" s="352"/>
      <c r="B207" s="285" t="s">
        <v>78</v>
      </c>
      <c r="C207" s="353"/>
      <c r="D207" s="353"/>
      <c r="E207" s="353"/>
      <c r="F207" s="353"/>
      <c r="G207" s="329"/>
      <c r="H207" s="329"/>
      <c r="I207" s="329"/>
      <c r="J207" s="329"/>
      <c r="K207" s="329"/>
      <c r="L207" s="329"/>
      <c r="M207" s="329"/>
      <c r="N207" s="329"/>
      <c r="O207" s="329"/>
      <c r="P207" s="329"/>
      <c r="Q207" s="329"/>
      <c r="R207" s="320">
        <f>N67/L67</f>
        <v>1.3920650929818796E-2</v>
      </c>
      <c r="S207" s="285"/>
      <c r="T207" s="285"/>
      <c r="U207" s="317"/>
      <c r="V207" s="5"/>
    </row>
    <row r="208" spans="1:22" ht="15.6" x14ac:dyDescent="0.3">
      <c r="A208" s="352"/>
      <c r="B208" s="285" t="s">
        <v>79</v>
      </c>
      <c r="C208" s="353"/>
      <c r="D208" s="353"/>
      <c r="E208" s="353"/>
      <c r="F208" s="353"/>
      <c r="G208" s="329"/>
      <c r="H208" s="329"/>
      <c r="I208" s="329"/>
      <c r="J208" s="329"/>
      <c r="K208" s="329"/>
      <c r="L208" s="329"/>
      <c r="M208" s="329"/>
      <c r="N208" s="329"/>
      <c r="O208" s="329"/>
      <c r="P208" s="329"/>
      <c r="Q208" s="329"/>
      <c r="R208" s="320">
        <v>7.5700000000000003E-2</v>
      </c>
      <c r="S208" s="285"/>
      <c r="T208" s="285"/>
      <c r="U208" s="317"/>
      <c r="V208" s="5"/>
    </row>
    <row r="209" spans="1:22" ht="15.6" x14ac:dyDescent="0.3">
      <c r="A209" s="209"/>
      <c r="B209" s="350"/>
      <c r="C209" s="350"/>
      <c r="D209" s="350"/>
      <c r="E209" s="350"/>
      <c r="F209" s="350"/>
      <c r="G209" s="334"/>
      <c r="H209" s="334"/>
      <c r="I209" s="334"/>
      <c r="J209" s="334"/>
      <c r="K209" s="334"/>
      <c r="L209" s="334"/>
      <c r="M209" s="334"/>
      <c r="N209" s="334"/>
      <c r="O209" s="334"/>
      <c r="P209" s="334"/>
      <c r="Q209" s="334"/>
      <c r="R209" s="347"/>
      <c r="S209" s="334"/>
      <c r="T209" s="351"/>
      <c r="U209" s="334"/>
      <c r="V209" s="5"/>
    </row>
    <row r="210" spans="1:22" ht="15.6" x14ac:dyDescent="0.3">
      <c r="A210" s="266"/>
      <c r="B210" s="395" t="s">
        <v>80</v>
      </c>
      <c r="C210" s="396"/>
      <c r="D210" s="396"/>
      <c r="E210" s="396"/>
      <c r="F210" s="402"/>
      <c r="G210" s="396"/>
      <c r="H210" s="396"/>
      <c r="I210" s="396"/>
      <c r="J210" s="396"/>
      <c r="K210" s="396"/>
      <c r="L210" s="396"/>
      <c r="M210" s="396"/>
      <c r="N210" s="396"/>
      <c r="O210" s="396"/>
      <c r="P210" s="396"/>
      <c r="Q210" s="396" t="s">
        <v>105</v>
      </c>
      <c r="R210" s="402" t="s">
        <v>112</v>
      </c>
      <c r="S210" s="223"/>
      <c r="T210" s="223"/>
      <c r="U210" s="223"/>
      <c r="V210" s="5"/>
    </row>
    <row r="211" spans="1:22" ht="15.6" x14ac:dyDescent="0.3">
      <c r="A211" s="214"/>
      <c r="B211" s="239" t="s">
        <v>81</v>
      </c>
      <c r="C211" s="243"/>
      <c r="D211" s="243"/>
      <c r="E211" s="243"/>
      <c r="F211" s="239"/>
      <c r="G211" s="239"/>
      <c r="H211" s="242"/>
      <c r="I211" s="242"/>
      <c r="J211" s="242"/>
      <c r="K211" s="242"/>
      <c r="L211" s="242"/>
      <c r="M211" s="242"/>
      <c r="N211" s="242"/>
      <c r="O211" s="242"/>
      <c r="P211" s="242"/>
      <c r="Q211" s="242">
        <v>0</v>
      </c>
      <c r="R211" s="272">
        <v>0</v>
      </c>
      <c r="S211" s="239"/>
      <c r="T211" s="273"/>
      <c r="U211" s="215"/>
      <c r="V211" s="5"/>
    </row>
    <row r="212" spans="1:22" ht="15.6" x14ac:dyDescent="0.3">
      <c r="A212" s="360"/>
      <c r="B212" s="285" t="s">
        <v>151</v>
      </c>
      <c r="C212" s="338"/>
      <c r="D212" s="338"/>
      <c r="E212" s="338"/>
      <c r="F212" s="285"/>
      <c r="G212" s="285"/>
      <c r="H212" s="293"/>
      <c r="I212" s="293"/>
      <c r="J212" s="293"/>
      <c r="K212" s="293"/>
      <c r="L212" s="293"/>
      <c r="M212" s="293"/>
      <c r="N212" s="293"/>
      <c r="O212" s="293"/>
      <c r="P212" s="293"/>
      <c r="Q212" s="361">
        <f>+P264</f>
        <v>34</v>
      </c>
      <c r="R212" s="362">
        <f>+R264</f>
        <v>5608</v>
      </c>
      <c r="S212" s="285"/>
      <c r="T212" s="363"/>
      <c r="U212" s="364"/>
      <c r="V212" s="5"/>
    </row>
    <row r="213" spans="1:22" ht="15.6" x14ac:dyDescent="0.3">
      <c r="A213" s="360"/>
      <c r="B213" s="285" t="s">
        <v>82</v>
      </c>
      <c r="C213" s="338"/>
      <c r="D213" s="338"/>
      <c r="E213" s="338"/>
      <c r="F213" s="285"/>
      <c r="G213" s="285"/>
      <c r="H213" s="293"/>
      <c r="I213" s="293"/>
      <c r="J213" s="293"/>
      <c r="K213" s="293"/>
      <c r="L213" s="293"/>
      <c r="M213" s="293"/>
      <c r="N213" s="293"/>
      <c r="O213" s="293"/>
      <c r="P213" s="293"/>
      <c r="Q213" s="361">
        <f>+P276</f>
        <v>0</v>
      </c>
      <c r="R213" s="362">
        <f>+R276</f>
        <v>0</v>
      </c>
      <c r="S213" s="285"/>
      <c r="T213" s="363"/>
      <c r="U213" s="364"/>
      <c r="V213" s="5"/>
    </row>
    <row r="214" spans="1:22" ht="15.6" x14ac:dyDescent="0.3">
      <c r="A214" s="360"/>
      <c r="B214" s="310" t="s">
        <v>83</v>
      </c>
      <c r="C214" s="365"/>
      <c r="D214" s="365"/>
      <c r="E214" s="365"/>
      <c r="F214" s="311"/>
      <c r="G214" s="311"/>
      <c r="H214" s="311"/>
      <c r="I214" s="311"/>
      <c r="J214" s="311"/>
      <c r="K214" s="311"/>
      <c r="L214" s="311"/>
      <c r="M214" s="311"/>
      <c r="N214" s="311"/>
      <c r="O214" s="311"/>
      <c r="P214" s="311"/>
      <c r="Q214" s="285"/>
      <c r="R214" s="362">
        <v>0</v>
      </c>
      <c r="S214" s="311"/>
      <c r="T214" s="366"/>
      <c r="U214" s="364"/>
      <c r="V214" s="5"/>
    </row>
    <row r="215" spans="1:22" ht="15.6" x14ac:dyDescent="0.3">
      <c r="A215" s="360"/>
      <c r="B215" s="310" t="s">
        <v>84</v>
      </c>
      <c r="C215" s="365"/>
      <c r="D215" s="365"/>
      <c r="E215" s="365"/>
      <c r="F215" s="311"/>
      <c r="G215" s="311"/>
      <c r="H215" s="311"/>
      <c r="I215" s="311"/>
      <c r="J215" s="311"/>
      <c r="K215" s="311"/>
      <c r="L215" s="311"/>
      <c r="M215" s="311"/>
      <c r="N215" s="311"/>
      <c r="O215" s="311"/>
      <c r="P215" s="311"/>
      <c r="Q215" s="285"/>
      <c r="R215" s="367" t="s">
        <v>113</v>
      </c>
      <c r="S215" s="311"/>
      <c r="T215" s="366"/>
      <c r="U215" s="364"/>
      <c r="V215" s="5"/>
    </row>
    <row r="216" spans="1:22" ht="15.6" x14ac:dyDescent="0.3">
      <c r="A216" s="368"/>
      <c r="B216" s="310" t="s">
        <v>85</v>
      </c>
      <c r="C216" s="369"/>
      <c r="D216" s="369"/>
      <c r="E216" s="369"/>
      <c r="F216" s="369"/>
      <c r="G216" s="311"/>
      <c r="H216" s="311"/>
      <c r="I216" s="311"/>
      <c r="J216" s="311"/>
      <c r="K216" s="311"/>
      <c r="L216" s="311"/>
      <c r="M216" s="311"/>
      <c r="N216" s="311"/>
      <c r="O216" s="311"/>
      <c r="P216" s="311"/>
      <c r="Q216" s="285"/>
      <c r="R216" s="362"/>
      <c r="S216" s="311"/>
      <c r="T216" s="366"/>
      <c r="U216" s="370"/>
      <c r="V216" s="5"/>
    </row>
    <row r="217" spans="1:22" ht="15.6" x14ac:dyDescent="0.3">
      <c r="A217" s="368"/>
      <c r="B217" s="285" t="s">
        <v>86</v>
      </c>
      <c r="C217" s="285"/>
      <c r="D217" s="285"/>
      <c r="E217" s="285"/>
      <c r="F217" s="285"/>
      <c r="G217" s="285"/>
      <c r="H217" s="285"/>
      <c r="I217" s="285"/>
      <c r="J217" s="285"/>
      <c r="K217" s="285"/>
      <c r="L217" s="285"/>
      <c r="M217" s="285"/>
      <c r="N217" s="285"/>
      <c r="O217" s="285"/>
      <c r="P217" s="285"/>
      <c r="Q217" s="293"/>
      <c r="R217" s="362">
        <f>T161</f>
        <v>68</v>
      </c>
      <c r="S217" s="285"/>
      <c r="T217" s="363"/>
      <c r="U217" s="370"/>
      <c r="V217" s="5"/>
    </row>
    <row r="218" spans="1:22" ht="15.6" x14ac:dyDescent="0.3">
      <c r="A218" s="360"/>
      <c r="B218" s="285" t="s">
        <v>87</v>
      </c>
      <c r="C218" s="338"/>
      <c r="D218" s="338"/>
      <c r="E218" s="338"/>
      <c r="F218" s="338"/>
      <c r="G218" s="285"/>
      <c r="H218" s="285"/>
      <c r="I218" s="285"/>
      <c r="J218" s="285"/>
      <c r="K218" s="285"/>
      <c r="L218" s="285"/>
      <c r="M218" s="285"/>
      <c r="N218" s="285"/>
      <c r="O218" s="285"/>
      <c r="P218" s="285"/>
      <c r="Q218" s="293"/>
      <c r="R218" s="362">
        <f>'March 17'!R218+R217</f>
        <v>6524</v>
      </c>
      <c r="S218" s="285"/>
      <c r="T218" s="363"/>
      <c r="U218" s="370"/>
      <c r="V218" s="5"/>
    </row>
    <row r="219" spans="1:22" ht="15.6" x14ac:dyDescent="0.3">
      <c r="A219" s="368"/>
      <c r="B219" s="310" t="s">
        <v>282</v>
      </c>
      <c r="C219" s="369"/>
      <c r="D219" s="369"/>
      <c r="E219" s="369"/>
      <c r="F219" s="369"/>
      <c r="G219" s="311"/>
      <c r="H219" s="311"/>
      <c r="I219" s="311"/>
      <c r="J219" s="311"/>
      <c r="K219" s="311"/>
      <c r="L219" s="311"/>
      <c r="M219" s="311"/>
      <c r="N219" s="311"/>
      <c r="O219" s="311"/>
      <c r="P219" s="311"/>
      <c r="Q219" s="293"/>
      <c r="R219" s="362"/>
      <c r="S219" s="311"/>
      <c r="T219" s="366"/>
      <c r="U219" s="370"/>
      <c r="V219" s="5"/>
    </row>
    <row r="220" spans="1:22" ht="15.6" x14ac:dyDescent="0.3">
      <c r="A220" s="368"/>
      <c r="B220" s="285" t="s">
        <v>280</v>
      </c>
      <c r="C220" s="369"/>
      <c r="D220" s="369"/>
      <c r="E220" s="369"/>
      <c r="F220" s="369"/>
      <c r="G220" s="311"/>
      <c r="H220" s="311"/>
      <c r="I220" s="311"/>
      <c r="J220" s="311"/>
      <c r="K220" s="311"/>
      <c r="L220" s="311"/>
      <c r="M220" s="311"/>
      <c r="N220" s="311"/>
      <c r="O220" s="311"/>
      <c r="P220" s="311"/>
      <c r="Q220" s="293">
        <v>0</v>
      </c>
      <c r="R220" s="362">
        <v>0</v>
      </c>
      <c r="S220" s="311"/>
      <c r="T220" s="366"/>
      <c r="U220" s="370"/>
      <c r="V220" s="5"/>
    </row>
    <row r="221" spans="1:22" ht="15.6" x14ac:dyDescent="0.3">
      <c r="A221" s="360"/>
      <c r="B221" s="285" t="s">
        <v>89</v>
      </c>
      <c r="C221" s="373"/>
      <c r="D221" s="373"/>
      <c r="E221" s="373"/>
      <c r="F221" s="374"/>
      <c r="G221" s="311"/>
      <c r="H221" s="311"/>
      <c r="I221" s="311"/>
      <c r="J221" s="311"/>
      <c r="K221" s="311"/>
      <c r="L221" s="311"/>
      <c r="M221" s="311"/>
      <c r="N221" s="311"/>
      <c r="O221" s="311"/>
      <c r="P221" s="311"/>
      <c r="Q221" s="285"/>
      <c r="R221" s="367">
        <v>0</v>
      </c>
      <c r="S221" s="311"/>
      <c r="T221" s="366"/>
      <c r="U221" s="370"/>
      <c r="V221" s="5"/>
    </row>
    <row r="222" spans="1:22" ht="15.6" x14ac:dyDescent="0.3">
      <c r="A222" s="360"/>
      <c r="B222" s="285" t="s">
        <v>90</v>
      </c>
      <c r="C222" s="373"/>
      <c r="D222" s="373"/>
      <c r="E222" s="373"/>
      <c r="F222" s="374"/>
      <c r="G222" s="311"/>
      <c r="H222" s="311"/>
      <c r="I222" s="311"/>
      <c r="J222" s="311"/>
      <c r="K222" s="311"/>
      <c r="L222" s="311"/>
      <c r="M222" s="311"/>
      <c r="N222" s="311"/>
      <c r="O222" s="311"/>
      <c r="P222" s="311"/>
      <c r="Q222" s="285"/>
      <c r="R222" s="367">
        <v>0</v>
      </c>
      <c r="S222" s="311"/>
      <c r="T222" s="366"/>
      <c r="U222" s="370"/>
      <c r="V222" s="5"/>
    </row>
    <row r="223" spans="1:22" ht="15.6" x14ac:dyDescent="0.3">
      <c r="A223" s="360"/>
      <c r="B223" s="310" t="s">
        <v>226</v>
      </c>
      <c r="C223" s="373"/>
      <c r="D223" s="373"/>
      <c r="E223" s="373"/>
      <c r="F223" s="374"/>
      <c r="G223" s="311"/>
      <c r="H223" s="311"/>
      <c r="I223" s="311"/>
      <c r="J223" s="311"/>
      <c r="K223" s="311"/>
      <c r="L223" s="311"/>
      <c r="M223" s="311"/>
      <c r="N223" s="311"/>
      <c r="O223" s="311"/>
      <c r="P223" s="311"/>
      <c r="Q223" s="293"/>
      <c r="R223" s="375"/>
      <c r="S223" s="311"/>
      <c r="T223" s="366"/>
      <c r="U223" s="370"/>
      <c r="V223" s="5"/>
    </row>
    <row r="224" spans="1:22" ht="15.6" x14ac:dyDescent="0.3">
      <c r="A224" s="360"/>
      <c r="B224" s="285" t="s">
        <v>280</v>
      </c>
      <c r="C224" s="373"/>
      <c r="D224" s="373"/>
      <c r="E224" s="373"/>
      <c r="F224" s="374"/>
      <c r="G224" s="311"/>
      <c r="H224" s="311"/>
      <c r="I224" s="311"/>
      <c r="J224" s="311"/>
      <c r="K224" s="311"/>
      <c r="L224" s="311"/>
      <c r="M224" s="311"/>
      <c r="N224" s="311"/>
      <c r="O224" s="311"/>
      <c r="P224" s="311"/>
      <c r="Q224" s="293">
        <v>3</v>
      </c>
      <c r="R224" s="362">
        <v>385</v>
      </c>
      <c r="S224" s="311"/>
      <c r="T224" s="366"/>
      <c r="U224" s="370"/>
      <c r="V224" s="5"/>
    </row>
    <row r="225" spans="1:23" ht="15.6" x14ac:dyDescent="0.3">
      <c r="A225" s="360"/>
      <c r="B225" s="285" t="s">
        <v>227</v>
      </c>
      <c r="C225" s="373"/>
      <c r="D225" s="373"/>
      <c r="E225" s="373"/>
      <c r="F225" s="374"/>
      <c r="G225" s="311"/>
      <c r="H225" s="311"/>
      <c r="I225" s="311"/>
      <c r="J225" s="311"/>
      <c r="K225" s="311"/>
      <c r="L225" s="311"/>
      <c r="M225" s="311"/>
      <c r="N225" s="311"/>
      <c r="O225" s="311"/>
      <c r="P225" s="311"/>
      <c r="Q225" s="293"/>
      <c r="R225" s="367">
        <v>0.67</v>
      </c>
      <c r="S225" s="311"/>
      <c r="T225" s="366"/>
      <c r="U225" s="370"/>
      <c r="V225" s="5"/>
    </row>
    <row r="226" spans="1:23" ht="15.6" x14ac:dyDescent="0.3">
      <c r="A226" s="360"/>
      <c r="B226" s="369"/>
      <c r="C226" s="373"/>
      <c r="D226" s="373"/>
      <c r="E226" s="373"/>
      <c r="F226" s="374"/>
      <c r="G226" s="311"/>
      <c r="H226" s="311"/>
      <c r="I226" s="311"/>
      <c r="J226" s="311"/>
      <c r="K226" s="311"/>
      <c r="L226" s="311"/>
      <c r="M226" s="311"/>
      <c r="N226" s="311"/>
      <c r="O226" s="311"/>
      <c r="P226" s="311"/>
      <c r="Q226" s="311"/>
      <c r="R226" s="376"/>
      <c r="S226" s="311"/>
      <c r="T226" s="366"/>
      <c r="U226" s="370"/>
      <c r="V226" s="5"/>
    </row>
    <row r="227" spans="1:23" ht="15.6" x14ac:dyDescent="0.3">
      <c r="A227" s="360"/>
      <c r="B227" s="369"/>
      <c r="C227" s="373"/>
      <c r="D227" s="373"/>
      <c r="E227" s="373"/>
      <c r="F227" s="374"/>
      <c r="G227" s="311"/>
      <c r="H227" s="311"/>
      <c r="I227" s="311"/>
      <c r="J227" s="311"/>
      <c r="K227" s="311"/>
      <c r="L227" s="311"/>
      <c r="M227" s="311"/>
      <c r="N227" s="311"/>
      <c r="O227" s="311"/>
      <c r="P227" s="311"/>
      <c r="Q227" s="311"/>
      <c r="R227" s="376"/>
      <c r="S227" s="311"/>
      <c r="T227" s="366"/>
      <c r="U227" s="370"/>
      <c r="V227" s="5"/>
    </row>
    <row r="228" spans="1:23" ht="17.399999999999999" x14ac:dyDescent="0.3">
      <c r="A228" s="360"/>
      <c r="B228" s="377" t="s">
        <v>175</v>
      </c>
      <c r="C228" s="373"/>
      <c r="D228" s="373"/>
      <c r="E228" s="373"/>
      <c r="F228" s="374"/>
      <c r="G228" s="311"/>
      <c r="H228" s="311"/>
      <c r="I228" s="311"/>
      <c r="J228" s="311"/>
      <c r="K228" s="311"/>
      <c r="L228" s="311"/>
      <c r="M228" s="311"/>
      <c r="N228" s="378" t="s">
        <v>174</v>
      </c>
      <c r="O228" s="311"/>
      <c r="P228" s="311"/>
      <c r="Q228" s="311"/>
      <c r="R228" s="376"/>
      <c r="S228" s="311"/>
      <c r="T228" s="366"/>
      <c r="U228" s="370"/>
      <c r="V228" s="5"/>
    </row>
    <row r="229" spans="1:23" ht="15.6" x14ac:dyDescent="0.3">
      <c r="A229" s="355"/>
      <c r="B229" s="350"/>
      <c r="C229" s="356"/>
      <c r="D229" s="356"/>
      <c r="E229" s="356"/>
      <c r="F229" s="357"/>
      <c r="G229" s="334"/>
      <c r="H229" s="334"/>
      <c r="I229" s="334"/>
      <c r="J229" s="334"/>
      <c r="K229" s="334"/>
      <c r="L229" s="334"/>
      <c r="M229" s="334"/>
      <c r="N229" s="334"/>
      <c r="O229" s="334"/>
      <c r="P229" s="334"/>
      <c r="Q229" s="334"/>
      <c r="R229" s="358"/>
      <c r="S229" s="334"/>
      <c r="T229" s="351"/>
      <c r="U229" s="359"/>
      <c r="V229" s="5"/>
    </row>
    <row r="230" spans="1:23" ht="15.6" x14ac:dyDescent="0.3">
      <c r="A230" s="222"/>
      <c r="B230" s="395" t="s">
        <v>295</v>
      </c>
      <c r="C230" s="396"/>
      <c r="D230" s="396"/>
      <c r="E230" s="396"/>
      <c r="F230" s="402"/>
      <c r="G230" s="396"/>
      <c r="H230" s="396"/>
      <c r="I230" s="396"/>
      <c r="J230" s="396"/>
      <c r="K230" s="396"/>
      <c r="L230" s="396"/>
      <c r="M230" s="396"/>
      <c r="N230" s="396"/>
      <c r="O230" s="396"/>
      <c r="P230" s="402" t="s">
        <v>105</v>
      </c>
      <c r="Q230" s="396" t="s">
        <v>106</v>
      </c>
      <c r="R230" s="402" t="s">
        <v>114</v>
      </c>
      <c r="S230" s="396" t="s">
        <v>106</v>
      </c>
      <c r="T230" s="223"/>
      <c r="U230" s="395"/>
      <c r="V230" s="5"/>
    </row>
    <row r="231" spans="1:23" ht="15.6" x14ac:dyDescent="0.3">
      <c r="A231" s="190"/>
      <c r="B231" s="243" t="s">
        <v>91</v>
      </c>
      <c r="C231" s="217"/>
      <c r="D231" s="217"/>
      <c r="E231" s="217"/>
      <c r="F231" s="191"/>
      <c r="G231" s="217"/>
      <c r="H231" s="217"/>
      <c r="I231" s="217"/>
      <c r="J231" s="217"/>
      <c r="K231" s="217"/>
      <c r="L231" s="217"/>
      <c r="M231" s="217"/>
      <c r="N231" s="217"/>
      <c r="O231" s="217"/>
      <c r="P231" s="338">
        <f t="shared" ref="P231:P238" si="1">+P243+P255+P267</f>
        <v>3376</v>
      </c>
      <c r="Q231" s="384">
        <f t="shared" ref="Q231:Q238" si="2">P231/$P$240</f>
        <v>0.99763593380614657</v>
      </c>
      <c r="R231" s="339">
        <f t="shared" ref="R231:R238" si="3">+R243+R255+R267</f>
        <v>434273</v>
      </c>
      <c r="S231" s="384">
        <f t="shared" ref="S231:S238" si="4">R231/$R$240</f>
        <v>0.99801212488911561</v>
      </c>
      <c r="T231" s="213"/>
      <c r="U231" s="216"/>
      <c r="V231" s="5"/>
    </row>
    <row r="232" spans="1:23" ht="15.6" x14ac:dyDescent="0.3">
      <c r="A232" s="284"/>
      <c r="B232" s="338" t="s">
        <v>92</v>
      </c>
      <c r="C232" s="382"/>
      <c r="D232" s="382"/>
      <c r="E232" s="382"/>
      <c r="F232" s="311"/>
      <c r="G232" s="383"/>
      <c r="H232" s="382"/>
      <c r="I232" s="382"/>
      <c r="J232" s="382"/>
      <c r="K232" s="382"/>
      <c r="L232" s="382"/>
      <c r="M232" s="382"/>
      <c r="N232" s="382"/>
      <c r="O232" s="382"/>
      <c r="P232" s="338">
        <f t="shared" si="1"/>
        <v>5</v>
      </c>
      <c r="Q232" s="384">
        <f t="shared" si="2"/>
        <v>1.4775413711583924E-3</v>
      </c>
      <c r="R232" s="339">
        <f t="shared" si="3"/>
        <v>513</v>
      </c>
      <c r="S232" s="384">
        <f t="shared" si="4"/>
        <v>1.1789363374377785E-3</v>
      </c>
      <c r="T232" s="366"/>
      <c r="U232" s="370"/>
      <c r="V232" s="5"/>
      <c r="W232" s="109"/>
    </row>
    <row r="233" spans="1:23" ht="15.6" x14ac:dyDescent="0.3">
      <c r="A233" s="284"/>
      <c r="B233" s="338" t="s">
        <v>93</v>
      </c>
      <c r="C233" s="382"/>
      <c r="D233" s="382"/>
      <c r="E233" s="382"/>
      <c r="F233" s="311"/>
      <c r="G233" s="383"/>
      <c r="H233" s="382"/>
      <c r="I233" s="382"/>
      <c r="J233" s="382"/>
      <c r="K233" s="382"/>
      <c r="L233" s="382"/>
      <c r="M233" s="382"/>
      <c r="N233" s="382"/>
      <c r="O233" s="382"/>
      <c r="P233" s="338">
        <f t="shared" si="1"/>
        <v>0</v>
      </c>
      <c r="Q233" s="384">
        <f t="shared" si="2"/>
        <v>0</v>
      </c>
      <c r="R233" s="339">
        <f t="shared" si="3"/>
        <v>0</v>
      </c>
      <c r="S233" s="384">
        <f t="shared" si="4"/>
        <v>0</v>
      </c>
      <c r="T233" s="366"/>
      <c r="U233" s="370"/>
      <c r="V233" s="5"/>
    </row>
    <row r="234" spans="1:23" ht="15.6" x14ac:dyDescent="0.3">
      <c r="A234" s="284"/>
      <c r="B234" s="338" t="s">
        <v>163</v>
      </c>
      <c r="C234" s="382"/>
      <c r="D234" s="382"/>
      <c r="E234" s="382"/>
      <c r="F234" s="311"/>
      <c r="G234" s="383"/>
      <c r="H234" s="382"/>
      <c r="I234" s="382"/>
      <c r="J234" s="382"/>
      <c r="K234" s="382"/>
      <c r="L234" s="382"/>
      <c r="M234" s="382"/>
      <c r="N234" s="382"/>
      <c r="O234" s="382"/>
      <c r="P234" s="338">
        <f t="shared" si="1"/>
        <v>0</v>
      </c>
      <c r="Q234" s="384">
        <f t="shared" si="2"/>
        <v>0</v>
      </c>
      <c r="R234" s="339">
        <f t="shared" si="3"/>
        <v>0</v>
      </c>
      <c r="S234" s="384">
        <f t="shared" si="4"/>
        <v>0</v>
      </c>
      <c r="T234" s="366"/>
      <c r="U234" s="370"/>
      <c r="V234" s="5"/>
      <c r="W234" s="109"/>
    </row>
    <row r="235" spans="1:23" ht="15.6" x14ac:dyDescent="0.3">
      <c r="A235" s="284"/>
      <c r="B235" s="338" t="s">
        <v>164</v>
      </c>
      <c r="C235" s="382"/>
      <c r="D235" s="382"/>
      <c r="E235" s="382"/>
      <c r="F235" s="311"/>
      <c r="G235" s="383"/>
      <c r="H235" s="382"/>
      <c r="I235" s="382"/>
      <c r="J235" s="382"/>
      <c r="K235" s="382"/>
      <c r="L235" s="382"/>
      <c r="M235" s="382"/>
      <c r="N235" s="382"/>
      <c r="O235" s="382"/>
      <c r="P235" s="338">
        <f t="shared" si="1"/>
        <v>0</v>
      </c>
      <c r="Q235" s="384">
        <f t="shared" si="2"/>
        <v>0</v>
      </c>
      <c r="R235" s="339">
        <f t="shared" si="3"/>
        <v>0</v>
      </c>
      <c r="S235" s="384">
        <f t="shared" si="4"/>
        <v>0</v>
      </c>
      <c r="T235" s="366"/>
      <c r="U235" s="370"/>
      <c r="V235" s="5"/>
    </row>
    <row r="236" spans="1:23" ht="15.6" x14ac:dyDescent="0.3">
      <c r="A236" s="284"/>
      <c r="B236" s="338" t="s">
        <v>165</v>
      </c>
      <c r="C236" s="382"/>
      <c r="D236" s="382"/>
      <c r="E236" s="382"/>
      <c r="F236" s="311"/>
      <c r="G236" s="383"/>
      <c r="H236" s="382"/>
      <c r="I236" s="382"/>
      <c r="J236" s="382"/>
      <c r="K236" s="382"/>
      <c r="L236" s="382"/>
      <c r="M236" s="382"/>
      <c r="N236" s="382"/>
      <c r="O236" s="382"/>
      <c r="P236" s="338">
        <f t="shared" si="1"/>
        <v>0</v>
      </c>
      <c r="Q236" s="384">
        <f t="shared" si="2"/>
        <v>0</v>
      </c>
      <c r="R236" s="339">
        <f t="shared" si="3"/>
        <v>0</v>
      </c>
      <c r="S236" s="384">
        <f t="shared" si="4"/>
        <v>0</v>
      </c>
      <c r="T236" s="366"/>
      <c r="U236" s="370"/>
      <c r="V236" s="5"/>
      <c r="W236" s="109"/>
    </row>
    <row r="237" spans="1:23" ht="15.6" x14ac:dyDescent="0.3">
      <c r="A237" s="284"/>
      <c r="B237" s="338" t="s">
        <v>166</v>
      </c>
      <c r="C237" s="382"/>
      <c r="D237" s="382"/>
      <c r="E237" s="382"/>
      <c r="F237" s="311"/>
      <c r="G237" s="383"/>
      <c r="H237" s="382"/>
      <c r="I237" s="382"/>
      <c r="J237" s="382"/>
      <c r="K237" s="382"/>
      <c r="L237" s="382"/>
      <c r="M237" s="382"/>
      <c r="N237" s="382"/>
      <c r="O237" s="382"/>
      <c r="P237" s="338">
        <f t="shared" si="1"/>
        <v>2</v>
      </c>
      <c r="Q237" s="384">
        <f t="shared" si="2"/>
        <v>5.9101654846335696E-4</v>
      </c>
      <c r="R237" s="339">
        <f t="shared" si="3"/>
        <v>245</v>
      </c>
      <c r="S237" s="384">
        <f t="shared" si="4"/>
        <v>5.6303977129094679E-4</v>
      </c>
      <c r="T237" s="366"/>
      <c r="U237" s="370"/>
      <c r="V237" s="5"/>
    </row>
    <row r="238" spans="1:23" ht="15.6" x14ac:dyDescent="0.3">
      <c r="A238" s="284"/>
      <c r="B238" s="338" t="s">
        <v>167</v>
      </c>
      <c r="C238" s="382"/>
      <c r="D238" s="382"/>
      <c r="E238" s="382"/>
      <c r="F238" s="311"/>
      <c r="G238" s="383"/>
      <c r="H238" s="382"/>
      <c r="I238" s="382"/>
      <c r="J238" s="382"/>
      <c r="K238" s="382"/>
      <c r="L238" s="382"/>
      <c r="M238" s="382"/>
      <c r="N238" s="382"/>
      <c r="O238" s="382"/>
      <c r="P238" s="338">
        <f t="shared" si="1"/>
        <v>1</v>
      </c>
      <c r="Q238" s="384">
        <f t="shared" si="2"/>
        <v>2.9550827423167848E-4</v>
      </c>
      <c r="R238" s="339">
        <f t="shared" si="3"/>
        <v>107</v>
      </c>
      <c r="S238" s="384">
        <f t="shared" si="4"/>
        <v>2.4589900215563797E-4</v>
      </c>
      <c r="T238" s="366"/>
      <c r="U238" s="370"/>
      <c r="V238" s="5"/>
      <c r="W238" s="109"/>
    </row>
    <row r="239" spans="1:23" ht="15.6" x14ac:dyDescent="0.3">
      <c r="A239" s="284"/>
      <c r="B239" s="338"/>
      <c r="C239" s="382"/>
      <c r="D239" s="382"/>
      <c r="E239" s="382"/>
      <c r="F239" s="311"/>
      <c r="G239" s="383"/>
      <c r="H239" s="382"/>
      <c r="I239" s="382"/>
      <c r="J239" s="382"/>
      <c r="K239" s="382"/>
      <c r="L239" s="382"/>
      <c r="M239" s="382"/>
      <c r="N239" s="382"/>
      <c r="O239" s="382"/>
      <c r="P239" s="338"/>
      <c r="Q239" s="384"/>
      <c r="R239" s="339"/>
      <c r="S239" s="384"/>
      <c r="T239" s="366"/>
      <c r="U239" s="370"/>
      <c r="V239" s="5"/>
    </row>
    <row r="240" spans="1:23" ht="15.6" x14ac:dyDescent="0.3">
      <c r="A240" s="284"/>
      <c r="B240" s="285" t="s">
        <v>120</v>
      </c>
      <c r="C240" s="311"/>
      <c r="D240" s="311"/>
      <c r="E240" s="311"/>
      <c r="F240" s="311"/>
      <c r="G240" s="311"/>
      <c r="H240" s="385"/>
      <c r="I240" s="385"/>
      <c r="J240" s="385"/>
      <c r="K240" s="385"/>
      <c r="L240" s="385"/>
      <c r="M240" s="385"/>
      <c r="N240" s="385"/>
      <c r="O240" s="385"/>
      <c r="P240" s="338">
        <f>SUM(P231:P239)</f>
        <v>3384</v>
      </c>
      <c r="Q240" s="384">
        <f>SUM(Q231:Q239)</f>
        <v>1</v>
      </c>
      <c r="R240" s="339">
        <f>SUM(R231:R239)</f>
        <v>435138</v>
      </c>
      <c r="S240" s="384">
        <f>SUM(S231:S239)</f>
        <v>1</v>
      </c>
      <c r="T240" s="311"/>
      <c r="U240" s="317"/>
      <c r="V240" s="5"/>
    </row>
    <row r="241" spans="1:23" ht="15.6" x14ac:dyDescent="0.3">
      <c r="A241" s="355"/>
      <c r="B241" s="350"/>
      <c r="C241" s="356"/>
      <c r="D241" s="356"/>
      <c r="E241" s="356"/>
      <c r="F241" s="357"/>
      <c r="G241" s="334"/>
      <c r="H241" s="334"/>
      <c r="I241" s="334"/>
      <c r="J241" s="334"/>
      <c r="K241" s="334"/>
      <c r="L241" s="334"/>
      <c r="M241" s="334"/>
      <c r="N241" s="334"/>
      <c r="O241" s="334"/>
      <c r="P241" s="334"/>
      <c r="Q241" s="334"/>
      <c r="R241" s="358"/>
      <c r="S241" s="334"/>
      <c r="T241" s="351"/>
      <c r="U241" s="359"/>
      <c r="V241" s="5"/>
    </row>
    <row r="242" spans="1:23" ht="15.6" x14ac:dyDescent="0.3">
      <c r="A242" s="222"/>
      <c r="B242" s="395" t="s">
        <v>169</v>
      </c>
      <c r="C242" s="396"/>
      <c r="D242" s="396"/>
      <c r="E242" s="396"/>
      <c r="F242" s="402"/>
      <c r="G242" s="396"/>
      <c r="H242" s="396"/>
      <c r="I242" s="396"/>
      <c r="J242" s="396"/>
      <c r="K242" s="396"/>
      <c r="L242" s="396"/>
      <c r="M242" s="396"/>
      <c r="N242" s="396"/>
      <c r="O242" s="396"/>
      <c r="P242" s="402" t="s">
        <v>105</v>
      </c>
      <c r="Q242" s="396" t="s">
        <v>106</v>
      </c>
      <c r="R242" s="402" t="s">
        <v>114</v>
      </c>
      <c r="S242" s="396" t="s">
        <v>106</v>
      </c>
      <c r="T242" s="223"/>
      <c r="U242" s="395"/>
      <c r="V242" s="5"/>
    </row>
    <row r="243" spans="1:23" ht="15.6" x14ac:dyDescent="0.3">
      <c r="A243" s="190"/>
      <c r="B243" s="243" t="s">
        <v>91</v>
      </c>
      <c r="C243" s="217"/>
      <c r="D243" s="217"/>
      <c r="E243" s="217"/>
      <c r="F243" s="191"/>
      <c r="G243" s="217"/>
      <c r="H243" s="217"/>
      <c r="I243" s="217"/>
      <c r="J243" s="217"/>
      <c r="K243" s="217"/>
      <c r="L243" s="217"/>
      <c r="M243" s="217"/>
      <c r="N243" s="217"/>
      <c r="O243" s="217"/>
      <c r="P243" s="243">
        <v>3345</v>
      </c>
      <c r="Q243" s="274">
        <f t="shared" ref="Q243:Q250" si="5">P243/$P$252</f>
        <v>0.9985074626865672</v>
      </c>
      <c r="R243" s="251">
        <v>429017</v>
      </c>
      <c r="S243" s="274">
        <f t="shared" ref="S243:S250" si="6">R243/$R$252</f>
        <v>0.99880567131515841</v>
      </c>
      <c r="T243" s="213"/>
      <c r="U243" s="216"/>
      <c r="V243" s="5"/>
    </row>
    <row r="244" spans="1:23" ht="15.6" x14ac:dyDescent="0.3">
      <c r="A244" s="284"/>
      <c r="B244" s="338" t="s">
        <v>92</v>
      </c>
      <c r="C244" s="382"/>
      <c r="D244" s="382"/>
      <c r="E244" s="382"/>
      <c r="F244" s="311"/>
      <c r="G244" s="383"/>
      <c r="H244" s="382"/>
      <c r="I244" s="382"/>
      <c r="J244" s="382"/>
      <c r="K244" s="382"/>
      <c r="L244" s="382"/>
      <c r="M244" s="382"/>
      <c r="N244" s="382"/>
      <c r="O244" s="382"/>
      <c r="P244" s="338">
        <v>5</v>
      </c>
      <c r="Q244" s="384">
        <f t="shared" si="5"/>
        <v>1.4925373134328358E-3</v>
      </c>
      <c r="R244" s="339">
        <v>513</v>
      </c>
      <c r="S244" s="384">
        <f t="shared" si="6"/>
        <v>1.194328684841571E-3</v>
      </c>
      <c r="T244" s="366"/>
      <c r="U244" s="370"/>
      <c r="V244" s="5"/>
      <c r="W244" s="109"/>
    </row>
    <row r="245" spans="1:23" ht="15.6" x14ac:dyDescent="0.3">
      <c r="A245" s="284"/>
      <c r="B245" s="338" t="s">
        <v>93</v>
      </c>
      <c r="C245" s="382"/>
      <c r="D245" s="382"/>
      <c r="E245" s="382"/>
      <c r="F245" s="311"/>
      <c r="G245" s="383"/>
      <c r="H245" s="382"/>
      <c r="I245" s="382"/>
      <c r="J245" s="382"/>
      <c r="K245" s="382"/>
      <c r="L245" s="382"/>
      <c r="M245" s="382"/>
      <c r="N245" s="382"/>
      <c r="O245" s="382"/>
      <c r="P245" s="338">
        <v>0</v>
      </c>
      <c r="Q245" s="384">
        <f t="shared" si="5"/>
        <v>0</v>
      </c>
      <c r="R245" s="339">
        <v>0</v>
      </c>
      <c r="S245" s="384">
        <f t="shared" si="6"/>
        <v>0</v>
      </c>
      <c r="T245" s="366"/>
      <c r="U245" s="370"/>
      <c r="V245" s="5"/>
    </row>
    <row r="246" spans="1:23" ht="15.6" x14ac:dyDescent="0.3">
      <c r="A246" s="284"/>
      <c r="B246" s="338" t="s">
        <v>163</v>
      </c>
      <c r="C246" s="382"/>
      <c r="D246" s="382"/>
      <c r="E246" s="382"/>
      <c r="F246" s="311"/>
      <c r="G246" s="383"/>
      <c r="H246" s="382"/>
      <c r="I246" s="382"/>
      <c r="J246" s="382"/>
      <c r="K246" s="382"/>
      <c r="L246" s="382"/>
      <c r="M246" s="382"/>
      <c r="N246" s="382"/>
      <c r="O246" s="382"/>
      <c r="P246" s="338">
        <v>0</v>
      </c>
      <c r="Q246" s="384">
        <f t="shared" si="5"/>
        <v>0</v>
      </c>
      <c r="R246" s="339">
        <v>0</v>
      </c>
      <c r="S246" s="384">
        <f t="shared" si="6"/>
        <v>0</v>
      </c>
      <c r="T246" s="366"/>
      <c r="U246" s="370"/>
      <c r="V246" s="5"/>
      <c r="W246" s="109"/>
    </row>
    <row r="247" spans="1:23" ht="15.6" x14ac:dyDescent="0.3">
      <c r="A247" s="284"/>
      <c r="B247" s="338" t="s">
        <v>164</v>
      </c>
      <c r="C247" s="382"/>
      <c r="D247" s="382"/>
      <c r="E247" s="382"/>
      <c r="F247" s="311"/>
      <c r="G247" s="383"/>
      <c r="H247" s="382"/>
      <c r="I247" s="382"/>
      <c r="J247" s="382"/>
      <c r="K247" s="382"/>
      <c r="L247" s="382"/>
      <c r="M247" s="382"/>
      <c r="N247" s="382"/>
      <c r="O247" s="382"/>
      <c r="P247" s="338">
        <v>0</v>
      </c>
      <c r="Q247" s="384">
        <f t="shared" si="5"/>
        <v>0</v>
      </c>
      <c r="R247" s="339">
        <v>0</v>
      </c>
      <c r="S247" s="384">
        <f t="shared" si="6"/>
        <v>0</v>
      </c>
      <c r="T247" s="366"/>
      <c r="U247" s="370"/>
      <c r="V247" s="5"/>
    </row>
    <row r="248" spans="1:23" ht="15.6" x14ac:dyDescent="0.3">
      <c r="A248" s="284"/>
      <c r="B248" s="338" t="s">
        <v>165</v>
      </c>
      <c r="C248" s="382"/>
      <c r="D248" s="382"/>
      <c r="E248" s="382"/>
      <c r="F248" s="311"/>
      <c r="G248" s="383"/>
      <c r="H248" s="382"/>
      <c r="I248" s="382"/>
      <c r="J248" s="382"/>
      <c r="K248" s="382"/>
      <c r="L248" s="382"/>
      <c r="M248" s="382"/>
      <c r="N248" s="382"/>
      <c r="O248" s="382"/>
      <c r="P248" s="338">
        <v>0</v>
      </c>
      <c r="Q248" s="384">
        <f t="shared" si="5"/>
        <v>0</v>
      </c>
      <c r="R248" s="339">
        <v>0</v>
      </c>
      <c r="S248" s="384">
        <f t="shared" si="6"/>
        <v>0</v>
      </c>
      <c r="T248" s="366"/>
      <c r="U248" s="370"/>
      <c r="V248" s="5"/>
      <c r="W248" s="109"/>
    </row>
    <row r="249" spans="1:23" ht="15.6" x14ac:dyDescent="0.3">
      <c r="A249" s="284"/>
      <c r="B249" s="338" t="s">
        <v>166</v>
      </c>
      <c r="C249" s="382"/>
      <c r="D249" s="382"/>
      <c r="E249" s="382"/>
      <c r="F249" s="311"/>
      <c r="G249" s="383"/>
      <c r="H249" s="382"/>
      <c r="I249" s="382"/>
      <c r="J249" s="382"/>
      <c r="K249" s="382"/>
      <c r="L249" s="382"/>
      <c r="M249" s="382"/>
      <c r="N249" s="382"/>
      <c r="O249" s="382"/>
      <c r="P249" s="338">
        <v>0</v>
      </c>
      <c r="Q249" s="384">
        <f t="shared" si="5"/>
        <v>0</v>
      </c>
      <c r="R249" s="339">
        <v>0</v>
      </c>
      <c r="S249" s="384">
        <f t="shared" si="6"/>
        <v>0</v>
      </c>
      <c r="T249" s="366"/>
      <c r="U249" s="370"/>
      <c r="V249" s="5"/>
    </row>
    <row r="250" spans="1:23" ht="15.6" x14ac:dyDescent="0.3">
      <c r="A250" s="284"/>
      <c r="B250" s="338" t="s">
        <v>167</v>
      </c>
      <c r="C250" s="382"/>
      <c r="D250" s="382"/>
      <c r="E250" s="382"/>
      <c r="F250" s="311"/>
      <c r="G250" s="383"/>
      <c r="H250" s="382"/>
      <c r="I250" s="382"/>
      <c r="J250" s="382"/>
      <c r="K250" s="382"/>
      <c r="L250" s="382"/>
      <c r="M250" s="382"/>
      <c r="N250" s="382"/>
      <c r="O250" s="382"/>
      <c r="P250" s="338">
        <v>0</v>
      </c>
      <c r="Q250" s="384">
        <f t="shared" si="5"/>
        <v>0</v>
      </c>
      <c r="R250" s="339">
        <v>0</v>
      </c>
      <c r="S250" s="384">
        <f t="shared" si="6"/>
        <v>0</v>
      </c>
      <c r="T250" s="366"/>
      <c r="U250" s="370"/>
      <c r="V250" s="5"/>
      <c r="W250" s="109"/>
    </row>
    <row r="251" spans="1:23" ht="15.6" x14ac:dyDescent="0.3">
      <c r="A251" s="284"/>
      <c r="B251" s="338"/>
      <c r="C251" s="382"/>
      <c r="D251" s="382"/>
      <c r="E251" s="382"/>
      <c r="F251" s="311"/>
      <c r="G251" s="383"/>
      <c r="H251" s="382"/>
      <c r="I251" s="382"/>
      <c r="J251" s="382"/>
      <c r="K251" s="382"/>
      <c r="L251" s="382"/>
      <c r="M251" s="382"/>
      <c r="N251" s="382"/>
      <c r="O251" s="382"/>
      <c r="P251" s="338"/>
      <c r="Q251" s="384"/>
      <c r="R251" s="339"/>
      <c r="S251" s="384"/>
      <c r="T251" s="366"/>
      <c r="U251" s="370"/>
      <c r="V251" s="5"/>
    </row>
    <row r="252" spans="1:23" ht="15.6" x14ac:dyDescent="0.3">
      <c r="A252" s="284"/>
      <c r="B252" s="285" t="s">
        <v>120</v>
      </c>
      <c r="C252" s="311"/>
      <c r="D252" s="311"/>
      <c r="E252" s="311"/>
      <c r="F252" s="311"/>
      <c r="G252" s="311"/>
      <c r="H252" s="385"/>
      <c r="I252" s="385"/>
      <c r="J252" s="385"/>
      <c r="K252" s="385"/>
      <c r="L252" s="385"/>
      <c r="M252" s="385"/>
      <c r="N252" s="385"/>
      <c r="O252" s="385"/>
      <c r="P252" s="338">
        <f>SUM(P243:P251)</f>
        <v>3350</v>
      </c>
      <c r="Q252" s="384">
        <f>SUM(Q243:Q251)</f>
        <v>1</v>
      </c>
      <c r="R252" s="339">
        <f>SUM(R243:R251)</f>
        <v>429530</v>
      </c>
      <c r="S252" s="384">
        <f>SUM(S243:S251)</f>
        <v>1</v>
      </c>
      <c r="T252" s="311"/>
      <c r="U252" s="317"/>
      <c r="V252" s="5"/>
    </row>
    <row r="253" spans="1:23" ht="15.6" x14ac:dyDescent="0.3">
      <c r="A253" s="175"/>
      <c r="B253" s="334"/>
      <c r="C253" s="334"/>
      <c r="D253" s="334"/>
      <c r="E253" s="334"/>
      <c r="F253" s="334"/>
      <c r="G253" s="334"/>
      <c r="H253" s="379"/>
      <c r="I253" s="379"/>
      <c r="J253" s="379"/>
      <c r="K253" s="379"/>
      <c r="L253" s="379"/>
      <c r="M253" s="379"/>
      <c r="N253" s="379"/>
      <c r="O253" s="379"/>
      <c r="P253" s="335"/>
      <c r="Q253" s="380"/>
      <c r="R253" s="381"/>
      <c r="S253" s="380"/>
      <c r="T253" s="334"/>
      <c r="U253" s="334"/>
      <c r="V253" s="5"/>
    </row>
    <row r="254" spans="1:23" ht="15.6" x14ac:dyDescent="0.3">
      <c r="A254" s="268"/>
      <c r="B254" s="395" t="s">
        <v>267</v>
      </c>
      <c r="C254" s="396"/>
      <c r="D254" s="396"/>
      <c r="E254" s="396"/>
      <c r="F254" s="402"/>
      <c r="G254" s="396"/>
      <c r="H254" s="396"/>
      <c r="I254" s="396"/>
      <c r="J254" s="396"/>
      <c r="K254" s="396"/>
      <c r="L254" s="396"/>
      <c r="M254" s="396"/>
      <c r="N254" s="396"/>
      <c r="O254" s="396"/>
      <c r="P254" s="402" t="s">
        <v>105</v>
      </c>
      <c r="Q254" s="396" t="s">
        <v>106</v>
      </c>
      <c r="R254" s="402" t="s">
        <v>114</v>
      </c>
      <c r="S254" s="396" t="s">
        <v>106</v>
      </c>
      <c r="T254" s="269"/>
      <c r="U254" s="270"/>
      <c r="V254" s="5"/>
    </row>
    <row r="255" spans="1:23" ht="15.6" x14ac:dyDescent="0.3">
      <c r="A255" s="190"/>
      <c r="B255" s="243" t="s">
        <v>91</v>
      </c>
      <c r="C255" s="217"/>
      <c r="D255" s="217"/>
      <c r="E255" s="217"/>
      <c r="F255" s="191"/>
      <c r="G255" s="217"/>
      <c r="H255" s="217"/>
      <c r="I255" s="217"/>
      <c r="J255" s="217"/>
      <c r="K255" s="217"/>
      <c r="L255" s="217"/>
      <c r="M255" s="217"/>
      <c r="N255" s="217"/>
      <c r="O255" s="217"/>
      <c r="P255" s="243">
        <v>31</v>
      </c>
      <c r="Q255" s="274">
        <f t="shared" ref="Q255:Q262" si="7">P255/$P$264</f>
        <v>0.91176470588235292</v>
      </c>
      <c r="R255" s="251">
        <v>5256</v>
      </c>
      <c r="S255" s="274">
        <f>R255/$R$264</f>
        <v>0.93723252496433662</v>
      </c>
      <c r="T255" s="191"/>
      <c r="U255" s="191"/>
      <c r="V255" s="5"/>
    </row>
    <row r="256" spans="1:23" ht="15.6" x14ac:dyDescent="0.3">
      <c r="A256" s="284"/>
      <c r="B256" s="338" t="s">
        <v>92</v>
      </c>
      <c r="C256" s="382"/>
      <c r="D256" s="382"/>
      <c r="E256" s="382"/>
      <c r="F256" s="311"/>
      <c r="G256" s="383"/>
      <c r="H256" s="382"/>
      <c r="I256" s="382"/>
      <c r="J256" s="382"/>
      <c r="K256" s="382"/>
      <c r="L256" s="382"/>
      <c r="M256" s="382"/>
      <c r="N256" s="382"/>
      <c r="O256" s="382"/>
      <c r="P256" s="338">
        <v>0</v>
      </c>
      <c r="Q256" s="384">
        <f t="shared" si="7"/>
        <v>0</v>
      </c>
      <c r="R256" s="339">
        <v>0</v>
      </c>
      <c r="S256" s="384">
        <f t="shared" ref="S256:S262" si="8">R256/$R$264</f>
        <v>0</v>
      </c>
      <c r="T256" s="311"/>
      <c r="U256" s="317"/>
      <c r="V256" s="5"/>
    </row>
    <row r="257" spans="1:22" ht="15.6" x14ac:dyDescent="0.3">
      <c r="A257" s="284"/>
      <c r="B257" s="338" t="s">
        <v>93</v>
      </c>
      <c r="C257" s="382"/>
      <c r="D257" s="382"/>
      <c r="E257" s="382"/>
      <c r="F257" s="311"/>
      <c r="G257" s="383"/>
      <c r="H257" s="382"/>
      <c r="I257" s="382"/>
      <c r="J257" s="382"/>
      <c r="K257" s="382"/>
      <c r="L257" s="382"/>
      <c r="M257" s="382"/>
      <c r="N257" s="382"/>
      <c r="O257" s="382"/>
      <c r="P257" s="338">
        <v>0</v>
      </c>
      <c r="Q257" s="384">
        <f t="shared" si="7"/>
        <v>0</v>
      </c>
      <c r="R257" s="339">
        <v>0</v>
      </c>
      <c r="S257" s="384">
        <f t="shared" si="8"/>
        <v>0</v>
      </c>
      <c r="T257" s="311"/>
      <c r="U257" s="317"/>
      <c r="V257" s="5"/>
    </row>
    <row r="258" spans="1:22" ht="15.6" x14ac:dyDescent="0.3">
      <c r="A258" s="284"/>
      <c r="B258" s="338" t="s">
        <v>163</v>
      </c>
      <c r="C258" s="382"/>
      <c r="D258" s="382"/>
      <c r="E258" s="382"/>
      <c r="F258" s="311"/>
      <c r="G258" s="383"/>
      <c r="H258" s="382"/>
      <c r="I258" s="382"/>
      <c r="J258" s="382"/>
      <c r="K258" s="382"/>
      <c r="L258" s="382"/>
      <c r="M258" s="382"/>
      <c r="N258" s="382"/>
      <c r="O258" s="382"/>
      <c r="P258" s="338">
        <v>0</v>
      </c>
      <c r="Q258" s="384">
        <f t="shared" si="7"/>
        <v>0</v>
      </c>
      <c r="R258" s="339">
        <v>0</v>
      </c>
      <c r="S258" s="384">
        <f t="shared" si="8"/>
        <v>0</v>
      </c>
      <c r="T258" s="311"/>
      <c r="U258" s="317"/>
      <c r="V258" s="5"/>
    </row>
    <row r="259" spans="1:22" ht="15.6" x14ac:dyDescent="0.3">
      <c r="A259" s="284"/>
      <c r="B259" s="338" t="s">
        <v>164</v>
      </c>
      <c r="C259" s="382"/>
      <c r="D259" s="382"/>
      <c r="E259" s="382"/>
      <c r="F259" s="311"/>
      <c r="G259" s="383"/>
      <c r="H259" s="382"/>
      <c r="I259" s="382"/>
      <c r="J259" s="382"/>
      <c r="K259" s="382"/>
      <c r="L259" s="382"/>
      <c r="M259" s="382"/>
      <c r="N259" s="382"/>
      <c r="O259" s="382"/>
      <c r="P259" s="338">
        <v>0</v>
      </c>
      <c r="Q259" s="384">
        <f t="shared" si="7"/>
        <v>0</v>
      </c>
      <c r="R259" s="339">
        <v>0</v>
      </c>
      <c r="S259" s="384">
        <f t="shared" si="8"/>
        <v>0</v>
      </c>
      <c r="T259" s="311"/>
      <c r="U259" s="317"/>
      <c r="V259" s="5"/>
    </row>
    <row r="260" spans="1:22" ht="15.6" x14ac:dyDescent="0.3">
      <c r="A260" s="284"/>
      <c r="B260" s="338" t="s">
        <v>165</v>
      </c>
      <c r="C260" s="382"/>
      <c r="D260" s="382"/>
      <c r="E260" s="382"/>
      <c r="F260" s="311"/>
      <c r="G260" s="383"/>
      <c r="H260" s="382"/>
      <c r="I260" s="382"/>
      <c r="J260" s="382"/>
      <c r="K260" s="382"/>
      <c r="L260" s="382"/>
      <c r="M260" s="382"/>
      <c r="N260" s="382"/>
      <c r="O260" s="382"/>
      <c r="P260" s="338">
        <v>0</v>
      </c>
      <c r="Q260" s="384">
        <f t="shared" si="7"/>
        <v>0</v>
      </c>
      <c r="R260" s="339">
        <v>0</v>
      </c>
      <c r="S260" s="384">
        <f t="shared" si="8"/>
        <v>0</v>
      </c>
      <c r="T260" s="311"/>
      <c r="U260" s="317"/>
      <c r="V260" s="5"/>
    </row>
    <row r="261" spans="1:22" ht="15.6" x14ac:dyDescent="0.3">
      <c r="A261" s="284"/>
      <c r="B261" s="338" t="s">
        <v>166</v>
      </c>
      <c r="C261" s="382"/>
      <c r="D261" s="382"/>
      <c r="E261" s="382"/>
      <c r="F261" s="311"/>
      <c r="G261" s="383"/>
      <c r="H261" s="382"/>
      <c r="I261" s="382"/>
      <c r="J261" s="382"/>
      <c r="K261" s="382"/>
      <c r="L261" s="382"/>
      <c r="M261" s="382"/>
      <c r="N261" s="382"/>
      <c r="O261" s="382"/>
      <c r="P261" s="338">
        <v>2</v>
      </c>
      <c r="Q261" s="384">
        <f t="shared" si="7"/>
        <v>5.8823529411764705E-2</v>
      </c>
      <c r="R261" s="339">
        <v>245</v>
      </c>
      <c r="S261" s="384">
        <f t="shared" si="8"/>
        <v>4.3687589158345218E-2</v>
      </c>
      <c r="T261" s="311"/>
      <c r="U261" s="317"/>
      <c r="V261" s="5"/>
    </row>
    <row r="262" spans="1:22" ht="15.6" x14ac:dyDescent="0.3">
      <c r="A262" s="284"/>
      <c r="B262" s="338" t="s">
        <v>167</v>
      </c>
      <c r="C262" s="382"/>
      <c r="D262" s="382"/>
      <c r="E262" s="382"/>
      <c r="F262" s="311"/>
      <c r="G262" s="383"/>
      <c r="H262" s="382"/>
      <c r="I262" s="382"/>
      <c r="J262" s="382"/>
      <c r="K262" s="382"/>
      <c r="L262" s="382"/>
      <c r="M262" s="382"/>
      <c r="N262" s="382"/>
      <c r="O262" s="382"/>
      <c r="P262" s="338">
        <v>1</v>
      </c>
      <c r="Q262" s="384">
        <f t="shared" si="7"/>
        <v>2.9411764705882353E-2</v>
      </c>
      <c r="R262" s="339">
        <v>107</v>
      </c>
      <c r="S262" s="384">
        <f t="shared" si="8"/>
        <v>1.9079885877318115E-2</v>
      </c>
      <c r="T262" s="311"/>
      <c r="U262" s="317"/>
      <c r="V262" s="5"/>
    </row>
    <row r="263" spans="1:22" ht="15.6" x14ac:dyDescent="0.3">
      <c r="A263" s="284"/>
      <c r="B263" s="338"/>
      <c r="C263" s="382"/>
      <c r="D263" s="382"/>
      <c r="E263" s="382"/>
      <c r="F263" s="311"/>
      <c r="G263" s="383"/>
      <c r="H263" s="382"/>
      <c r="I263" s="382"/>
      <c r="J263" s="382"/>
      <c r="K263" s="382"/>
      <c r="L263" s="382"/>
      <c r="M263" s="382"/>
      <c r="N263" s="382"/>
      <c r="O263" s="382"/>
      <c r="P263" s="338"/>
      <c r="Q263" s="384"/>
      <c r="R263" s="339"/>
      <c r="S263" s="384"/>
      <c r="T263" s="311"/>
      <c r="U263" s="317"/>
      <c r="V263" s="5"/>
    </row>
    <row r="264" spans="1:22" ht="15.6" x14ac:dyDescent="0.3">
      <c r="A264" s="284"/>
      <c r="B264" s="285" t="s">
        <v>120</v>
      </c>
      <c r="C264" s="311"/>
      <c r="D264" s="311"/>
      <c r="E264" s="311"/>
      <c r="F264" s="311"/>
      <c r="G264" s="311"/>
      <c r="H264" s="385"/>
      <c r="I264" s="385"/>
      <c r="J264" s="385"/>
      <c r="K264" s="385"/>
      <c r="L264" s="385"/>
      <c r="M264" s="385"/>
      <c r="N264" s="385"/>
      <c r="O264" s="385"/>
      <c r="P264" s="338">
        <f>SUM(P255:P263)</f>
        <v>34</v>
      </c>
      <c r="Q264" s="384">
        <f>SUM(Q255:Q263)</f>
        <v>1</v>
      </c>
      <c r="R264" s="339">
        <f>SUM(R255:R263)</f>
        <v>5608</v>
      </c>
      <c r="S264" s="384">
        <f>SUM(S255:S263)</f>
        <v>1</v>
      </c>
      <c r="T264" s="311"/>
      <c r="U264" s="317"/>
      <c r="V264" s="5"/>
    </row>
    <row r="265" spans="1:22" ht="15.6" x14ac:dyDescent="0.3">
      <c r="A265" s="175"/>
      <c r="B265" s="334"/>
      <c r="C265" s="334"/>
      <c r="D265" s="334"/>
      <c r="E265" s="334"/>
      <c r="F265" s="334"/>
      <c r="G265" s="334"/>
      <c r="H265" s="379"/>
      <c r="I265" s="379"/>
      <c r="J265" s="379"/>
      <c r="K265" s="379"/>
      <c r="L265" s="379"/>
      <c r="M265" s="379"/>
      <c r="N265" s="379"/>
      <c r="O265" s="379"/>
      <c r="P265" s="335"/>
      <c r="Q265" s="380"/>
      <c r="R265" s="381"/>
      <c r="S265" s="380"/>
      <c r="T265" s="334"/>
      <c r="U265" s="334"/>
      <c r="V265" s="5"/>
    </row>
    <row r="266" spans="1:22" ht="15.6" x14ac:dyDescent="0.3">
      <c r="A266" s="268"/>
      <c r="B266" s="395" t="s">
        <v>170</v>
      </c>
      <c r="C266" s="269"/>
      <c r="D266" s="269"/>
      <c r="E266" s="269"/>
      <c r="F266" s="269"/>
      <c r="G266" s="269"/>
      <c r="H266" s="271"/>
      <c r="I266" s="271"/>
      <c r="J266" s="271"/>
      <c r="K266" s="271"/>
      <c r="L266" s="271"/>
      <c r="M266" s="271"/>
      <c r="N266" s="271"/>
      <c r="O266" s="271"/>
      <c r="P266" s="402" t="s">
        <v>105</v>
      </c>
      <c r="Q266" s="396" t="s">
        <v>106</v>
      </c>
      <c r="R266" s="402" t="s">
        <v>114</v>
      </c>
      <c r="S266" s="396" t="s">
        <v>106</v>
      </c>
      <c r="T266" s="269"/>
      <c r="U266" s="270"/>
      <c r="V266" s="5"/>
    </row>
    <row r="267" spans="1:22" ht="15.6" x14ac:dyDescent="0.3">
      <c r="A267" s="190"/>
      <c r="B267" s="243" t="s">
        <v>91</v>
      </c>
      <c r="C267" s="239"/>
      <c r="D267" s="239"/>
      <c r="E267" s="239"/>
      <c r="F267" s="239"/>
      <c r="G267" s="239"/>
      <c r="H267" s="275"/>
      <c r="I267" s="275"/>
      <c r="J267" s="275"/>
      <c r="K267" s="275"/>
      <c r="L267" s="218"/>
      <c r="M267" s="218"/>
      <c r="N267" s="218"/>
      <c r="O267" s="218"/>
      <c r="P267" s="243">
        <v>0</v>
      </c>
      <c r="Q267" s="274">
        <v>0</v>
      </c>
      <c r="R267" s="251">
        <v>0</v>
      </c>
      <c r="S267" s="274">
        <v>0</v>
      </c>
      <c r="T267" s="239"/>
      <c r="U267" s="191"/>
      <c r="V267" s="5"/>
    </row>
    <row r="268" spans="1:22" ht="15.6" x14ac:dyDescent="0.3">
      <c r="A268" s="284"/>
      <c r="B268" s="338" t="s">
        <v>92</v>
      </c>
      <c r="C268" s="285"/>
      <c r="D268" s="285"/>
      <c r="E268" s="285"/>
      <c r="F268" s="285"/>
      <c r="G268" s="285"/>
      <c r="H268" s="387"/>
      <c r="I268" s="387"/>
      <c r="J268" s="387"/>
      <c r="K268" s="387"/>
      <c r="L268" s="385"/>
      <c r="M268" s="385"/>
      <c r="N268" s="385"/>
      <c r="O268" s="385"/>
      <c r="P268" s="338">
        <v>0</v>
      </c>
      <c r="Q268" s="384">
        <v>0</v>
      </c>
      <c r="R268" s="339">
        <v>0</v>
      </c>
      <c r="S268" s="384">
        <v>0</v>
      </c>
      <c r="T268" s="285"/>
      <c r="U268" s="317"/>
      <c r="V268" s="5"/>
    </row>
    <row r="269" spans="1:22" ht="15.6" x14ac:dyDescent="0.3">
      <c r="A269" s="284"/>
      <c r="B269" s="338" t="s">
        <v>93</v>
      </c>
      <c r="C269" s="285"/>
      <c r="D269" s="285"/>
      <c r="E269" s="285"/>
      <c r="F269" s="285"/>
      <c r="G269" s="285"/>
      <c r="H269" s="387"/>
      <c r="I269" s="387"/>
      <c r="J269" s="387"/>
      <c r="K269" s="387"/>
      <c r="L269" s="385"/>
      <c r="M269" s="385"/>
      <c r="N269" s="385"/>
      <c r="O269" s="385"/>
      <c r="P269" s="338">
        <v>0</v>
      </c>
      <c r="Q269" s="384">
        <v>0</v>
      </c>
      <c r="R269" s="339">
        <v>0</v>
      </c>
      <c r="S269" s="384">
        <v>0</v>
      </c>
      <c r="T269" s="285"/>
      <c r="U269" s="317"/>
      <c r="V269" s="5"/>
    </row>
    <row r="270" spans="1:22" ht="15.6" x14ac:dyDescent="0.3">
      <c r="A270" s="284"/>
      <c r="B270" s="338" t="s">
        <v>163</v>
      </c>
      <c r="C270" s="285"/>
      <c r="D270" s="285"/>
      <c r="E270" s="285"/>
      <c r="F270" s="285"/>
      <c r="G270" s="285"/>
      <c r="H270" s="387"/>
      <c r="I270" s="387"/>
      <c r="J270" s="387"/>
      <c r="K270" s="387"/>
      <c r="L270" s="385"/>
      <c r="M270" s="385"/>
      <c r="N270" s="385"/>
      <c r="O270" s="385"/>
      <c r="P270" s="338">
        <v>0</v>
      </c>
      <c r="Q270" s="384">
        <v>0</v>
      </c>
      <c r="R270" s="339">
        <v>0</v>
      </c>
      <c r="S270" s="384">
        <v>0</v>
      </c>
      <c r="T270" s="285"/>
      <c r="U270" s="317"/>
      <c r="V270" s="5"/>
    </row>
    <row r="271" spans="1:22" ht="15.6" x14ac:dyDescent="0.3">
      <c r="A271" s="284"/>
      <c r="B271" s="338" t="s">
        <v>164</v>
      </c>
      <c r="C271" s="285"/>
      <c r="D271" s="285"/>
      <c r="E271" s="285"/>
      <c r="F271" s="285"/>
      <c r="G271" s="285"/>
      <c r="H271" s="387"/>
      <c r="I271" s="387"/>
      <c r="J271" s="387"/>
      <c r="K271" s="387"/>
      <c r="L271" s="385"/>
      <c r="M271" s="385"/>
      <c r="N271" s="385"/>
      <c r="O271" s="385"/>
      <c r="P271" s="338">
        <v>0</v>
      </c>
      <c r="Q271" s="384">
        <v>0</v>
      </c>
      <c r="R271" s="339">
        <v>0</v>
      </c>
      <c r="S271" s="384">
        <v>0</v>
      </c>
      <c r="T271" s="285"/>
      <c r="U271" s="317"/>
      <c r="V271" s="5"/>
    </row>
    <row r="272" spans="1:22" ht="15.6" x14ac:dyDescent="0.3">
      <c r="A272" s="284"/>
      <c r="B272" s="338" t="s">
        <v>165</v>
      </c>
      <c r="C272" s="285"/>
      <c r="D272" s="285"/>
      <c r="E272" s="285"/>
      <c r="F272" s="285"/>
      <c r="G272" s="285"/>
      <c r="H272" s="387"/>
      <c r="I272" s="387"/>
      <c r="J272" s="387"/>
      <c r="K272" s="387"/>
      <c r="L272" s="385"/>
      <c r="M272" s="385"/>
      <c r="N272" s="385"/>
      <c r="O272" s="385"/>
      <c r="P272" s="338">
        <v>0</v>
      </c>
      <c r="Q272" s="384">
        <v>0</v>
      </c>
      <c r="R272" s="339">
        <v>0</v>
      </c>
      <c r="S272" s="384">
        <v>0</v>
      </c>
      <c r="T272" s="285"/>
      <c r="U272" s="317"/>
      <c r="V272" s="5"/>
    </row>
    <row r="273" spans="1:22" ht="15.6" x14ac:dyDescent="0.3">
      <c r="A273" s="284"/>
      <c r="B273" s="338" t="s">
        <v>166</v>
      </c>
      <c r="C273" s="285"/>
      <c r="D273" s="285"/>
      <c r="E273" s="285"/>
      <c r="F273" s="285"/>
      <c r="G273" s="285"/>
      <c r="H273" s="387"/>
      <c r="I273" s="387"/>
      <c r="J273" s="387"/>
      <c r="K273" s="387"/>
      <c r="L273" s="385"/>
      <c r="M273" s="385"/>
      <c r="N273" s="385"/>
      <c r="O273" s="385"/>
      <c r="P273" s="338">
        <v>0</v>
      </c>
      <c r="Q273" s="384">
        <v>0</v>
      </c>
      <c r="R273" s="339">
        <v>0</v>
      </c>
      <c r="S273" s="384">
        <v>0</v>
      </c>
      <c r="T273" s="285"/>
      <c r="U273" s="317"/>
      <c r="V273" s="5"/>
    </row>
    <row r="274" spans="1:22" ht="15.6" x14ac:dyDescent="0.3">
      <c r="A274" s="284"/>
      <c r="B274" s="338" t="s">
        <v>167</v>
      </c>
      <c r="C274" s="285"/>
      <c r="D274" s="285"/>
      <c r="E274" s="285"/>
      <c r="F274" s="285"/>
      <c r="G274" s="285"/>
      <c r="H274" s="387"/>
      <c r="I274" s="387"/>
      <c r="J274" s="387"/>
      <c r="K274" s="387"/>
      <c r="L274" s="385"/>
      <c r="M274" s="385"/>
      <c r="N274" s="385"/>
      <c r="O274" s="385"/>
      <c r="P274" s="338">
        <v>0</v>
      </c>
      <c r="Q274" s="384">
        <v>0</v>
      </c>
      <c r="R274" s="339">
        <v>0</v>
      </c>
      <c r="S274" s="384">
        <v>0</v>
      </c>
      <c r="T274" s="285"/>
      <c r="U274" s="317"/>
      <c r="V274" s="5"/>
    </row>
    <row r="275" spans="1:22" ht="15.6" x14ac:dyDescent="0.3">
      <c r="A275" s="284"/>
      <c r="B275" s="338"/>
      <c r="C275" s="285"/>
      <c r="D275" s="285"/>
      <c r="E275" s="285"/>
      <c r="F275" s="285"/>
      <c r="G275" s="285"/>
      <c r="H275" s="387"/>
      <c r="I275" s="387"/>
      <c r="J275" s="387"/>
      <c r="K275" s="387"/>
      <c r="L275" s="385"/>
      <c r="M275" s="385"/>
      <c r="N275" s="385"/>
      <c r="O275" s="385"/>
      <c r="P275" s="338"/>
      <c r="Q275" s="384"/>
      <c r="R275" s="339"/>
      <c r="S275" s="384"/>
      <c r="T275" s="285"/>
      <c r="U275" s="317"/>
      <c r="V275" s="5"/>
    </row>
    <row r="276" spans="1:22" ht="15.6" x14ac:dyDescent="0.3">
      <c r="A276" s="284"/>
      <c r="B276" s="285" t="s">
        <v>120</v>
      </c>
      <c r="C276" s="285"/>
      <c r="D276" s="285"/>
      <c r="E276" s="285"/>
      <c r="F276" s="285"/>
      <c r="G276" s="285"/>
      <c r="H276" s="387"/>
      <c r="I276" s="387"/>
      <c r="J276" s="387"/>
      <c r="K276" s="387"/>
      <c r="L276" s="385"/>
      <c r="M276" s="385"/>
      <c r="N276" s="385"/>
      <c r="O276" s="385"/>
      <c r="P276" s="338">
        <f>SUM(P267:P274)</f>
        <v>0</v>
      </c>
      <c r="Q276" s="384">
        <f>SUM(Q267:Q275)</f>
        <v>0</v>
      </c>
      <c r="R276" s="339">
        <f>SUM(R267:R274)</f>
        <v>0</v>
      </c>
      <c r="S276" s="384">
        <f>SUM(S267:S275)</f>
        <v>0</v>
      </c>
      <c r="T276" s="285"/>
      <c r="U276" s="317"/>
      <c r="V276" s="5"/>
    </row>
    <row r="277" spans="1:22" ht="15.6" x14ac:dyDescent="0.3">
      <c r="A277" s="284"/>
      <c r="B277" s="285"/>
      <c r="C277" s="285"/>
      <c r="D277" s="285"/>
      <c r="E277" s="285"/>
      <c r="F277" s="285"/>
      <c r="G277" s="285"/>
      <c r="H277" s="387"/>
      <c r="I277" s="387"/>
      <c r="J277" s="387"/>
      <c r="K277" s="387"/>
      <c r="L277" s="385"/>
      <c r="M277" s="385"/>
      <c r="N277" s="385"/>
      <c r="O277" s="385"/>
      <c r="P277" s="344"/>
      <c r="Q277" s="388"/>
      <c r="R277" s="345"/>
      <c r="S277" s="388"/>
      <c r="T277" s="311"/>
      <c r="U277" s="317"/>
      <c r="V277" s="5"/>
    </row>
    <row r="278" spans="1:22" ht="15.6" x14ac:dyDescent="0.3">
      <c r="A278" s="284"/>
      <c r="B278" s="292" t="s">
        <v>171</v>
      </c>
      <c r="C278" s="285"/>
      <c r="D278" s="285"/>
      <c r="E278" s="285"/>
      <c r="F278" s="285"/>
      <c r="G278" s="285"/>
      <c r="H278" s="387"/>
      <c r="I278" s="387"/>
      <c r="J278" s="387"/>
      <c r="K278" s="387"/>
      <c r="L278" s="385"/>
      <c r="M278" s="385"/>
      <c r="N278" s="385"/>
      <c r="O278" s="385"/>
      <c r="P278" s="403">
        <f>P276+P264+P252</f>
        <v>3384</v>
      </c>
      <c r="Q278" s="384"/>
      <c r="R278" s="404">
        <f>+R276+R264+R252</f>
        <v>435138</v>
      </c>
      <c r="S278" s="384"/>
      <c r="T278" s="311"/>
      <c r="U278" s="317"/>
      <c r="V278" s="5"/>
    </row>
    <row r="279" spans="1:22" ht="15.6" x14ac:dyDescent="0.3">
      <c r="A279" s="175"/>
      <c r="B279" s="281"/>
      <c r="C279" s="281"/>
      <c r="D279" s="281"/>
      <c r="E279" s="281"/>
      <c r="F279" s="281"/>
      <c r="G279" s="281"/>
      <c r="H279" s="386"/>
      <c r="I279" s="386"/>
      <c r="J279" s="386"/>
      <c r="K279" s="386"/>
      <c r="L279" s="379"/>
      <c r="M279" s="379"/>
      <c r="N279" s="379"/>
      <c r="O279" s="379"/>
      <c r="P279" s="379"/>
      <c r="Q279" s="379"/>
      <c r="R279" s="381"/>
      <c r="S279" s="379"/>
      <c r="T279" s="334"/>
      <c r="U279" s="334"/>
      <c r="V279" s="5"/>
    </row>
    <row r="280" spans="1:22" ht="15.6" x14ac:dyDescent="0.3">
      <c r="A280" s="175"/>
      <c r="B280" s="281"/>
      <c r="C280" s="231"/>
      <c r="D280" s="231"/>
      <c r="E280" s="231"/>
      <c r="F280" s="231"/>
      <c r="G280" s="231"/>
      <c r="H280" s="276"/>
      <c r="I280" s="276"/>
      <c r="J280" s="276"/>
      <c r="K280" s="276"/>
      <c r="L280" s="219"/>
      <c r="M280" s="219"/>
      <c r="N280" s="219"/>
      <c r="O280" s="219"/>
      <c r="P280" s="219"/>
      <c r="Q280" s="219"/>
      <c r="R280" s="220"/>
      <c r="S280" s="219"/>
      <c r="T280" s="177"/>
      <c r="U280" s="177"/>
      <c r="V280" s="5"/>
    </row>
    <row r="281" spans="1:22" ht="15.6" x14ac:dyDescent="0.3">
      <c r="A281" s="221"/>
      <c r="B281" s="230" t="s">
        <v>94</v>
      </c>
      <c r="C281" s="231"/>
      <c r="D281" s="231"/>
      <c r="E281" s="231"/>
      <c r="F281" s="236" t="s">
        <v>100</v>
      </c>
      <c r="G281" s="231"/>
      <c r="H281" s="230" t="s">
        <v>102</v>
      </c>
      <c r="I281" s="277"/>
      <c r="J281" s="277"/>
      <c r="K281" s="277"/>
      <c r="L281" s="188"/>
      <c r="M281" s="188"/>
      <c r="N281" s="188"/>
      <c r="O281" s="188"/>
      <c r="P281" s="188"/>
      <c r="Q281" s="188"/>
      <c r="R281" s="188"/>
      <c r="S281" s="188"/>
      <c r="T281" s="188"/>
      <c r="U281" s="188"/>
      <c r="V281" s="5"/>
    </row>
    <row r="282" spans="1:22" ht="15.6" x14ac:dyDescent="0.3">
      <c r="A282" s="221"/>
      <c r="B282" s="230" t="s">
        <v>317</v>
      </c>
      <c r="C282" s="230"/>
      <c r="D282" s="230"/>
      <c r="E282" s="230"/>
      <c r="F282" s="278" t="s">
        <v>269</v>
      </c>
      <c r="G282" s="230"/>
      <c r="H282" s="230" t="s">
        <v>270</v>
      </c>
      <c r="I282" s="277"/>
      <c r="J282" s="277"/>
      <c r="K282" s="277"/>
      <c r="L282" s="188"/>
      <c r="M282" s="188"/>
      <c r="N282" s="188"/>
      <c r="O282" s="188"/>
      <c r="P282" s="188"/>
      <c r="Q282" s="188"/>
      <c r="R282" s="188"/>
      <c r="S282" s="188"/>
      <c r="T282" s="188"/>
      <c r="U282" s="188"/>
      <c r="V282" s="5"/>
    </row>
    <row r="283" spans="1:22" ht="15.6" x14ac:dyDescent="0.3">
      <c r="A283" s="221"/>
      <c r="B283" s="230" t="s">
        <v>318</v>
      </c>
      <c r="C283" s="230"/>
      <c r="D283" s="230"/>
      <c r="E283" s="230"/>
      <c r="F283" s="278" t="s">
        <v>153</v>
      </c>
      <c r="G283" s="230"/>
      <c r="H283" s="230" t="s">
        <v>159</v>
      </c>
      <c r="I283" s="277"/>
      <c r="J283" s="277"/>
      <c r="K283" s="277"/>
      <c r="L283" s="188"/>
      <c r="M283" s="188"/>
      <c r="N283" s="188"/>
      <c r="O283" s="188"/>
      <c r="P283" s="188"/>
      <c r="Q283" s="188"/>
      <c r="R283" s="188"/>
      <c r="S283" s="188"/>
      <c r="T283" s="188"/>
      <c r="U283" s="188"/>
      <c r="V283" s="5"/>
    </row>
    <row r="284" spans="1:22" ht="15.6" x14ac:dyDescent="0.3">
      <c r="A284" s="221"/>
      <c r="B284" s="230"/>
      <c r="C284" s="230"/>
      <c r="D284" s="230"/>
      <c r="E284" s="230"/>
      <c r="F284" s="278"/>
      <c r="G284" s="230"/>
      <c r="H284" s="230"/>
      <c r="I284" s="277"/>
      <c r="J284" s="277"/>
      <c r="K284" s="277"/>
      <c r="L284" s="188"/>
      <c r="M284" s="188"/>
      <c r="N284" s="188"/>
      <c r="O284" s="188"/>
      <c r="P284" s="188"/>
      <c r="Q284" s="188"/>
      <c r="R284" s="188"/>
      <c r="S284" s="188"/>
      <c r="T284" s="188"/>
      <c r="U284" s="188"/>
      <c r="V284" s="5"/>
    </row>
    <row r="285" spans="1:22" ht="15.6" x14ac:dyDescent="0.3">
      <c r="A285" s="221"/>
      <c r="B285" s="281" t="s">
        <v>354</v>
      </c>
      <c r="C285" s="230"/>
      <c r="D285" s="230"/>
      <c r="E285" s="230"/>
      <c r="F285" s="278"/>
      <c r="G285" s="230"/>
      <c r="H285" s="230"/>
      <c r="I285" s="277"/>
      <c r="J285" s="277"/>
      <c r="K285" s="277"/>
      <c r="L285" s="188"/>
      <c r="M285" s="188"/>
      <c r="N285" s="188"/>
      <c r="O285" s="188"/>
      <c r="P285" s="188"/>
      <c r="Q285" s="188"/>
      <c r="R285" s="188"/>
      <c r="S285" s="188"/>
      <c r="T285" s="188"/>
      <c r="U285" s="188"/>
      <c r="V285" s="5"/>
    </row>
    <row r="286" spans="1:22" ht="15.6" x14ac:dyDescent="0.3">
      <c r="A286" s="221"/>
      <c r="B286" s="281" t="s">
        <v>350</v>
      </c>
      <c r="C286" s="230"/>
      <c r="D286" s="230"/>
      <c r="E286" s="230"/>
      <c r="F286" s="278"/>
      <c r="G286" s="230"/>
      <c r="H286" s="230"/>
      <c r="I286" s="277"/>
      <c r="J286" s="277"/>
      <c r="K286" s="277"/>
      <c r="L286" s="188"/>
      <c r="M286" s="188"/>
      <c r="N286" s="188"/>
      <c r="O286" s="188"/>
      <c r="P286" s="188"/>
      <c r="Q286" s="188"/>
      <c r="R286" s="188"/>
      <c r="S286" s="188"/>
      <c r="T286" s="188"/>
      <c r="U286" s="188"/>
      <c r="V286" s="5"/>
    </row>
    <row r="287" spans="1:22" ht="15.6" x14ac:dyDescent="0.3">
      <c r="A287" s="221"/>
      <c r="B287" s="281" t="s">
        <v>352</v>
      </c>
      <c r="C287" s="230"/>
      <c r="D287" s="230"/>
      <c r="E287" s="230"/>
      <c r="F287" s="278"/>
      <c r="G287" s="230"/>
      <c r="H287" s="230"/>
      <c r="I287" s="277"/>
      <c r="J287" s="277"/>
      <c r="K287" s="277"/>
      <c r="L287" s="188"/>
      <c r="M287" s="188"/>
      <c r="N287" s="188"/>
      <c r="O287" s="188"/>
      <c r="P287" s="188"/>
      <c r="Q287" s="188"/>
      <c r="R287" s="188"/>
      <c r="S287" s="188"/>
      <c r="T287" s="188"/>
      <c r="U287" s="188"/>
      <c r="V287" s="5"/>
    </row>
    <row r="288" spans="1:22" ht="15.6" x14ac:dyDescent="0.3">
      <c r="A288" s="221"/>
      <c r="B288" s="281" t="s">
        <v>351</v>
      </c>
      <c r="C288" s="230"/>
      <c r="D288" s="230"/>
      <c r="E288" s="230"/>
      <c r="F288" s="278"/>
      <c r="G288" s="230"/>
      <c r="H288" s="230"/>
      <c r="I288" s="277"/>
      <c r="J288" s="277"/>
      <c r="K288" s="277"/>
      <c r="L288" s="188"/>
      <c r="M288" s="188"/>
      <c r="N288" s="188"/>
      <c r="O288" s="188"/>
      <c r="P288" s="188"/>
      <c r="Q288" s="188"/>
      <c r="R288" s="188"/>
      <c r="S288" s="188"/>
      <c r="T288" s="188"/>
      <c r="U288" s="188"/>
      <c r="V288" s="5"/>
    </row>
    <row r="289" spans="1:22" ht="15.6" x14ac:dyDescent="0.3">
      <c r="A289" s="221"/>
      <c r="B289" s="281"/>
      <c r="C289" s="230"/>
      <c r="D289" s="230"/>
      <c r="E289" s="230"/>
      <c r="F289" s="278"/>
      <c r="G289" s="230"/>
      <c r="H289" s="230"/>
      <c r="I289" s="277"/>
      <c r="J289" s="277"/>
      <c r="K289" s="277"/>
      <c r="L289" s="188"/>
      <c r="M289" s="188"/>
      <c r="N289" s="188"/>
      <c r="O289" s="188"/>
      <c r="P289" s="188"/>
      <c r="Q289" s="188"/>
      <c r="R289" s="188"/>
      <c r="S289" s="188"/>
      <c r="T289" s="188"/>
      <c r="U289" s="188"/>
      <c r="V289" s="5"/>
    </row>
    <row r="290" spans="1:22" ht="17.399999999999999" x14ac:dyDescent="0.3">
      <c r="A290" s="221"/>
      <c r="B290" s="411" t="s">
        <v>353</v>
      </c>
      <c r="C290" s="230"/>
      <c r="D290" s="230"/>
      <c r="E290" s="230"/>
      <c r="F290" s="230"/>
      <c r="G290" s="279"/>
      <c r="H290" s="277"/>
      <c r="I290" s="277"/>
      <c r="J290" s="277"/>
      <c r="K290" s="277"/>
      <c r="L290" s="188"/>
      <c r="M290" s="188"/>
      <c r="N290" s="412"/>
      <c r="O290" s="188"/>
      <c r="P290" s="412" t="s">
        <v>174</v>
      </c>
      <c r="Q290" s="188"/>
      <c r="R290" s="188"/>
      <c r="S290" s="188"/>
      <c r="T290" s="188"/>
      <c r="U290" s="188"/>
      <c r="V290" s="5"/>
    </row>
    <row r="291" spans="1:22" ht="15.6" x14ac:dyDescent="0.3">
      <c r="A291" s="221"/>
      <c r="B291" s="230"/>
      <c r="C291" s="230"/>
      <c r="D291" s="230"/>
      <c r="E291" s="230"/>
      <c r="F291" s="230"/>
      <c r="G291" s="279"/>
      <c r="H291" s="277"/>
      <c r="I291" s="277"/>
      <c r="J291" s="277"/>
      <c r="K291" s="277"/>
      <c r="L291" s="188"/>
      <c r="M291" s="188"/>
      <c r="N291" s="188"/>
      <c r="O291" s="188"/>
      <c r="P291" s="188"/>
      <c r="Q291" s="188"/>
      <c r="R291" s="188"/>
      <c r="S291" s="188"/>
      <c r="T291" s="188"/>
      <c r="U291" s="188"/>
      <c r="V291" s="5"/>
    </row>
    <row r="292" spans="1:22" ht="18" thickBot="1" x14ac:dyDescent="0.35">
      <c r="A292" s="221"/>
      <c r="B292" s="280" t="str">
        <f>B192</f>
        <v>PM11 INVESTOR REPORT QUARTER ENDING JUNE 2017</v>
      </c>
      <c r="C292" s="230"/>
      <c r="D292" s="230"/>
      <c r="E292" s="230"/>
      <c r="F292" s="230"/>
      <c r="G292" s="279"/>
      <c r="H292" s="277"/>
      <c r="I292" s="277"/>
      <c r="J292" s="277"/>
      <c r="K292" s="277"/>
      <c r="L292" s="188"/>
      <c r="M292" s="188"/>
      <c r="N292" s="188"/>
      <c r="O292" s="188"/>
      <c r="P292" s="188"/>
      <c r="Q292" s="188"/>
      <c r="R292" s="188"/>
      <c r="S292" s="188"/>
      <c r="T292" s="188"/>
      <c r="U292" s="188"/>
      <c r="V292" s="5"/>
    </row>
    <row r="293" spans="1:22" x14ac:dyDescent="0.25">
      <c r="A293" s="100"/>
      <c r="B293" s="100"/>
      <c r="C293" s="100"/>
      <c r="D293" s="100"/>
      <c r="E293" s="100"/>
      <c r="F293" s="100"/>
      <c r="G293" s="100"/>
      <c r="H293" s="100"/>
      <c r="I293" s="100"/>
      <c r="J293" s="100"/>
      <c r="K293" s="100"/>
      <c r="L293" s="100"/>
      <c r="M293" s="100"/>
      <c r="N293" s="100"/>
      <c r="O293" s="100"/>
      <c r="P293" s="100"/>
      <c r="Q293" s="100"/>
      <c r="R293" s="100"/>
      <c r="S293" s="100"/>
      <c r="T293" s="100"/>
      <c r="U293" s="100"/>
    </row>
  </sheetData>
  <hyperlinks>
    <hyperlink ref="N228" r:id="rId1" xr:uid="{00000000-0004-0000-2C00-000000000000}"/>
    <hyperlink ref="J9" r:id="rId2" xr:uid="{00000000-0004-0000-2C00-000001000000}"/>
    <hyperlink ref="P290" r:id="rId3" xr:uid="{00000000-0004-0000-2C00-000002000000}"/>
  </hyperlinks>
  <printOptions horizontalCentered="1" verticalCentered="1"/>
  <pageMargins left="0.19685039370078741" right="0.19685039370078741" top="0.27559055118110237" bottom="0.27559055118110237" header="0" footer="0"/>
  <pageSetup scale="38" orientation="landscape" r:id="rId4"/>
  <headerFooter alignWithMargins="0"/>
  <rowBreaks count="3" manualBreakCount="3">
    <brk id="63" max="20" man="1"/>
    <brk id="132" max="20" man="1"/>
    <brk id="192" max="20" man="1"/>
  </rowBreaks>
  <drawing r:id="rId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2D2926"/>
  </sheetPr>
  <dimension ref="A1:X293"/>
  <sheetViews>
    <sheetView showGridLines="0" showOutlineSymbols="0" zoomScale="70" zoomScaleNormal="70" workbookViewId="0"/>
  </sheetViews>
  <sheetFormatPr defaultColWidth="9.81640625" defaultRowHeight="15.6" x14ac:dyDescent="0.3"/>
  <cols>
    <col min="1" max="1" width="4" style="417" customWidth="1"/>
    <col min="2" max="2" width="71.08984375" style="417" customWidth="1"/>
    <col min="3" max="3" width="2.08984375" style="417" customWidth="1"/>
    <col min="4" max="4" width="19.1796875" style="417" customWidth="1"/>
    <col min="5" max="5" width="2.08984375" style="417" customWidth="1"/>
    <col min="6" max="6" width="25.08984375" style="417" customWidth="1"/>
    <col min="7" max="7" width="2.08984375" style="417" customWidth="1"/>
    <col min="8" max="8" width="16.08984375" style="417" customWidth="1"/>
    <col min="9" max="9" width="2.08984375" style="417" customWidth="1"/>
    <col min="10" max="10" width="17.81640625" style="417" customWidth="1"/>
    <col min="11" max="11" width="2.1796875" style="417" customWidth="1"/>
    <col min="12" max="12" width="14.81640625" style="417" customWidth="1"/>
    <col min="13" max="13" width="2.1796875" style="417" customWidth="1"/>
    <col min="14" max="14" width="15.54296875" style="417" customWidth="1"/>
    <col min="15" max="15" width="2.08984375" style="417" customWidth="1"/>
    <col min="16" max="16" width="15.54296875" style="417" customWidth="1"/>
    <col min="17" max="18" width="12.81640625" style="417" customWidth="1"/>
    <col min="19" max="19" width="7.81640625" style="417" customWidth="1"/>
    <col min="20" max="20" width="14.81640625" style="417" customWidth="1"/>
    <col min="21" max="21" width="11.81640625" style="417" customWidth="1"/>
    <col min="22" max="16384" width="9.81640625" style="417"/>
  </cols>
  <sheetData>
    <row r="1" spans="1:22" ht="21" x14ac:dyDescent="0.4">
      <c r="A1" s="413"/>
      <c r="B1" s="414" t="s">
        <v>228</v>
      </c>
      <c r="C1" s="415"/>
      <c r="D1" s="415"/>
      <c r="E1" s="415"/>
      <c r="F1" s="415"/>
      <c r="G1" s="415"/>
      <c r="H1" s="415"/>
      <c r="I1" s="415"/>
      <c r="J1" s="415"/>
      <c r="K1" s="415"/>
      <c r="L1" s="415"/>
      <c r="M1" s="415"/>
      <c r="N1" s="415"/>
      <c r="O1" s="415"/>
      <c r="P1" s="415"/>
      <c r="Q1" s="415"/>
      <c r="R1" s="415"/>
      <c r="S1" s="415"/>
      <c r="T1" s="415"/>
      <c r="U1" s="638"/>
      <c r="V1" s="416"/>
    </row>
    <row r="2" spans="1:22" x14ac:dyDescent="0.3">
      <c r="A2" s="418"/>
      <c r="B2" s="419"/>
      <c r="C2" s="420"/>
      <c r="D2" s="420"/>
      <c r="E2" s="420"/>
      <c r="F2" s="420"/>
      <c r="G2" s="420"/>
      <c r="H2" s="420"/>
      <c r="I2" s="420"/>
      <c r="J2" s="420"/>
      <c r="K2" s="420"/>
      <c r="L2" s="420"/>
      <c r="M2" s="420"/>
      <c r="N2" s="420"/>
      <c r="O2" s="420"/>
      <c r="P2" s="420"/>
      <c r="Q2" s="420"/>
      <c r="R2" s="420"/>
      <c r="S2" s="420"/>
      <c r="T2" s="420"/>
      <c r="U2" s="639"/>
      <c r="V2" s="416"/>
    </row>
    <row r="3" spans="1:22" x14ac:dyDescent="0.3">
      <c r="A3" s="421"/>
      <c r="B3" s="422" t="s">
        <v>229</v>
      </c>
      <c r="C3" s="420"/>
      <c r="D3" s="420"/>
      <c r="E3" s="420"/>
      <c r="F3" s="420"/>
      <c r="G3" s="420"/>
      <c r="H3" s="420"/>
      <c r="I3" s="420"/>
      <c r="J3" s="420"/>
      <c r="K3" s="420"/>
      <c r="L3" s="420"/>
      <c r="M3" s="420"/>
      <c r="N3" s="420"/>
      <c r="O3" s="420"/>
      <c r="P3" s="420"/>
      <c r="Q3" s="420"/>
      <c r="R3" s="420"/>
      <c r="S3" s="420"/>
      <c r="T3" s="420"/>
      <c r="U3" s="639"/>
      <c r="V3" s="416"/>
    </row>
    <row r="4" spans="1:22" x14ac:dyDescent="0.3">
      <c r="A4" s="418"/>
      <c r="B4" s="419"/>
      <c r="C4" s="420"/>
      <c r="D4" s="420"/>
      <c r="E4" s="420"/>
      <c r="F4" s="420"/>
      <c r="G4" s="420"/>
      <c r="H4" s="420"/>
      <c r="I4" s="420"/>
      <c r="J4" s="420"/>
      <c r="K4" s="420"/>
      <c r="L4" s="420"/>
      <c r="M4" s="420"/>
      <c r="N4" s="420"/>
      <c r="O4" s="420"/>
      <c r="P4" s="420"/>
      <c r="Q4" s="420"/>
      <c r="R4" s="420"/>
      <c r="S4" s="420"/>
      <c r="T4" s="420"/>
      <c r="U4" s="639"/>
      <c r="V4" s="416"/>
    </row>
    <row r="5" spans="1:22" x14ac:dyDescent="0.3">
      <c r="A5" s="418"/>
      <c r="B5" s="423" t="s">
        <v>143</v>
      </c>
      <c r="C5" s="420"/>
      <c r="D5" s="420"/>
      <c r="E5" s="420"/>
      <c r="F5" s="420"/>
      <c r="G5" s="420"/>
      <c r="H5" s="420"/>
      <c r="I5" s="420"/>
      <c r="J5" s="420"/>
      <c r="K5" s="420"/>
      <c r="L5" s="420"/>
      <c r="M5" s="420"/>
      <c r="N5" s="420"/>
      <c r="O5" s="420"/>
      <c r="P5" s="420"/>
      <c r="Q5" s="420"/>
      <c r="R5" s="420"/>
      <c r="S5" s="420"/>
      <c r="T5" s="420"/>
      <c r="U5" s="639"/>
      <c r="V5" s="416"/>
    </row>
    <row r="6" spans="1:22" x14ac:dyDescent="0.3">
      <c r="A6" s="418"/>
      <c r="B6" s="423" t="s">
        <v>145</v>
      </c>
      <c r="C6" s="420"/>
      <c r="D6" s="420"/>
      <c r="E6" s="420"/>
      <c r="F6" s="420"/>
      <c r="G6" s="420"/>
      <c r="H6" s="420"/>
      <c r="I6" s="420"/>
      <c r="J6" s="420"/>
      <c r="K6" s="420"/>
      <c r="L6" s="420"/>
      <c r="M6" s="420"/>
      <c r="N6" s="420"/>
      <c r="O6" s="420"/>
      <c r="P6" s="420"/>
      <c r="Q6" s="420"/>
      <c r="R6" s="420"/>
      <c r="S6" s="420"/>
      <c r="T6" s="420"/>
      <c r="U6" s="639"/>
      <c r="V6" s="416"/>
    </row>
    <row r="7" spans="1:22" x14ac:dyDescent="0.3">
      <c r="A7" s="418"/>
      <c r="B7" s="423" t="s">
        <v>144</v>
      </c>
      <c r="C7" s="420"/>
      <c r="D7" s="420"/>
      <c r="E7" s="420"/>
      <c r="F7" s="420"/>
      <c r="G7" s="420"/>
      <c r="H7" s="420"/>
      <c r="I7" s="420"/>
      <c r="J7" s="420"/>
      <c r="K7" s="420"/>
      <c r="L7" s="420"/>
      <c r="M7" s="420"/>
      <c r="N7" s="420"/>
      <c r="O7" s="420"/>
      <c r="P7" s="420"/>
      <c r="Q7" s="420"/>
      <c r="R7" s="420"/>
      <c r="S7" s="420"/>
      <c r="T7" s="420"/>
      <c r="U7" s="639"/>
      <c r="V7" s="416"/>
    </row>
    <row r="8" spans="1:22" x14ac:dyDescent="0.3">
      <c r="A8" s="418"/>
      <c r="B8" s="424"/>
      <c r="C8" s="420"/>
      <c r="D8" s="420"/>
      <c r="E8" s="420"/>
      <c r="F8" s="420"/>
      <c r="G8" s="420"/>
      <c r="H8" s="420"/>
      <c r="I8" s="420"/>
      <c r="J8" s="420"/>
      <c r="K8" s="420"/>
      <c r="L8" s="420"/>
      <c r="M8" s="420"/>
      <c r="N8" s="420"/>
      <c r="O8" s="420"/>
      <c r="P8" s="420"/>
      <c r="Q8" s="420"/>
      <c r="R8" s="420"/>
      <c r="S8" s="420"/>
      <c r="T8" s="420"/>
      <c r="U8" s="639"/>
      <c r="V8" s="416"/>
    </row>
    <row r="9" spans="1:22" x14ac:dyDescent="0.3">
      <c r="A9" s="418"/>
      <c r="B9" s="422" t="s">
        <v>173</v>
      </c>
      <c r="C9" s="420"/>
      <c r="D9" s="420"/>
      <c r="E9" s="420"/>
      <c r="F9" s="420"/>
      <c r="G9" s="420"/>
      <c r="H9" s="420"/>
      <c r="I9" s="420"/>
      <c r="J9" s="425" t="s">
        <v>356</v>
      </c>
      <c r="K9" s="420"/>
      <c r="L9" s="426"/>
      <c r="M9" s="420"/>
      <c r="N9" s="420"/>
      <c r="O9" s="420"/>
      <c r="P9" s="420"/>
      <c r="Q9" s="420"/>
      <c r="R9" s="420"/>
      <c r="S9" s="420"/>
      <c r="T9" s="420"/>
      <c r="U9" s="639"/>
      <c r="V9" s="416"/>
    </row>
    <row r="10" spans="1:22" x14ac:dyDescent="0.3">
      <c r="A10" s="418"/>
      <c r="B10" s="424"/>
      <c r="C10" s="427"/>
      <c r="D10" s="427"/>
      <c r="E10" s="427"/>
      <c r="F10" s="420"/>
      <c r="G10" s="420"/>
      <c r="H10" s="420"/>
      <c r="I10" s="420"/>
      <c r="J10" s="420"/>
      <c r="K10" s="420"/>
      <c r="L10" s="420"/>
      <c r="M10" s="420"/>
      <c r="N10" s="420"/>
      <c r="O10" s="420"/>
      <c r="P10" s="420"/>
      <c r="Q10" s="420"/>
      <c r="R10" s="420"/>
      <c r="S10" s="420"/>
      <c r="T10" s="420"/>
      <c r="U10" s="639"/>
      <c r="V10" s="416"/>
    </row>
    <row r="11" spans="1:22" x14ac:dyDescent="0.3">
      <c r="A11" s="418"/>
      <c r="B11" s="428" t="s">
        <v>0</v>
      </c>
      <c r="C11" s="420"/>
      <c r="D11" s="420"/>
      <c r="E11" s="420"/>
      <c r="F11" s="420"/>
      <c r="G11" s="420"/>
      <c r="H11" s="420"/>
      <c r="I11" s="420"/>
      <c r="J11" s="420"/>
      <c r="K11" s="420"/>
      <c r="L11" s="420"/>
      <c r="M11" s="420"/>
      <c r="N11" s="420"/>
      <c r="O11" s="420"/>
      <c r="P11" s="420"/>
      <c r="Q11" s="420"/>
      <c r="R11" s="420"/>
      <c r="S11" s="420"/>
      <c r="T11" s="420"/>
      <c r="U11" s="639"/>
      <c r="V11" s="416"/>
    </row>
    <row r="12" spans="1:22" ht="16.2" thickBot="1" x14ac:dyDescent="0.35">
      <c r="A12" s="418"/>
      <c r="B12" s="427"/>
      <c r="C12" s="420"/>
      <c r="D12" s="420"/>
      <c r="E12" s="420"/>
      <c r="F12" s="420"/>
      <c r="G12" s="420"/>
      <c r="H12" s="420"/>
      <c r="I12" s="420"/>
      <c r="J12" s="420"/>
      <c r="K12" s="420"/>
      <c r="L12" s="420"/>
      <c r="M12" s="420"/>
      <c r="N12" s="420"/>
      <c r="O12" s="420"/>
      <c r="P12" s="420"/>
      <c r="Q12" s="420"/>
      <c r="R12" s="420"/>
      <c r="S12" s="420"/>
      <c r="T12" s="420"/>
      <c r="U12" s="639"/>
      <c r="V12" s="416"/>
    </row>
    <row r="13" spans="1:22" s="431" customFormat="1" x14ac:dyDescent="0.3">
      <c r="A13" s="413"/>
      <c r="B13" s="429"/>
      <c r="C13" s="429"/>
      <c r="D13" s="429"/>
      <c r="E13" s="429"/>
      <c r="F13" s="429"/>
      <c r="G13" s="429"/>
      <c r="H13" s="429"/>
      <c r="I13" s="429"/>
      <c r="J13" s="429"/>
      <c r="K13" s="429"/>
      <c r="L13" s="429"/>
      <c r="M13" s="429"/>
      <c r="N13" s="429"/>
      <c r="O13" s="429"/>
      <c r="P13" s="429"/>
      <c r="Q13" s="429"/>
      <c r="R13" s="429"/>
      <c r="S13" s="429"/>
      <c r="T13" s="429"/>
      <c r="U13" s="640"/>
      <c r="V13" s="430"/>
    </row>
    <row r="14" spans="1:22" s="431" customFormat="1" x14ac:dyDescent="0.3">
      <c r="A14" s="432"/>
      <c r="B14" s="428" t="s">
        <v>1</v>
      </c>
      <c r="C14" s="433"/>
      <c r="D14" s="433"/>
      <c r="E14" s="433"/>
      <c r="F14" s="433"/>
      <c r="G14" s="433"/>
      <c r="H14" s="433"/>
      <c r="I14" s="433"/>
      <c r="J14" s="433"/>
      <c r="K14" s="433"/>
      <c r="L14" s="433"/>
      <c r="M14" s="433"/>
      <c r="N14" s="433"/>
      <c r="O14" s="433"/>
      <c r="P14" s="433"/>
      <c r="Q14" s="433"/>
      <c r="R14" s="433"/>
      <c r="S14" s="433"/>
      <c r="T14" s="434" t="s">
        <v>230</v>
      </c>
      <c r="U14" s="641"/>
      <c r="V14" s="430"/>
    </row>
    <row r="15" spans="1:22" s="431" customFormat="1" x14ac:dyDescent="0.3">
      <c r="A15" s="432"/>
      <c r="B15" s="428" t="s">
        <v>2</v>
      </c>
      <c r="C15" s="433"/>
      <c r="D15" s="433"/>
      <c r="E15" s="433"/>
      <c r="F15" s="433"/>
      <c r="G15" s="433"/>
      <c r="H15" s="435"/>
      <c r="I15" s="435"/>
      <c r="J15" s="435"/>
      <c r="K15" s="435"/>
      <c r="L15" s="435"/>
      <c r="M15" s="435"/>
      <c r="N15" s="435"/>
      <c r="O15" s="435"/>
      <c r="P15" s="435" t="s">
        <v>107</v>
      </c>
      <c r="Q15" s="436">
        <v>0.40749999999999997</v>
      </c>
      <c r="R15" s="437" t="s">
        <v>146</v>
      </c>
      <c r="S15" s="436">
        <v>0.59250000000000003</v>
      </c>
      <c r="T15" s="434"/>
      <c r="U15" s="641"/>
      <c r="V15" s="430"/>
    </row>
    <row r="16" spans="1:22" s="431" customFormat="1" x14ac:dyDescent="0.3">
      <c r="A16" s="432"/>
      <c r="B16" s="428" t="s">
        <v>3</v>
      </c>
      <c r="C16" s="433"/>
      <c r="D16" s="433"/>
      <c r="E16" s="433"/>
      <c r="F16" s="433"/>
      <c r="G16" s="433"/>
      <c r="H16" s="435"/>
      <c r="I16" s="435"/>
      <c r="J16" s="435"/>
      <c r="K16" s="435"/>
      <c r="L16" s="435"/>
      <c r="M16" s="435"/>
      <c r="N16" s="435"/>
      <c r="O16" s="435"/>
      <c r="P16" s="435" t="s">
        <v>107</v>
      </c>
      <c r="Q16" s="436">
        <v>0.49020000000000002</v>
      </c>
      <c r="R16" s="437" t="s">
        <v>146</v>
      </c>
      <c r="S16" s="436">
        <v>0.50980000000000003</v>
      </c>
      <c r="T16" s="434"/>
      <c r="U16" s="641"/>
      <c r="V16" s="430"/>
    </row>
    <row r="17" spans="1:22" s="431" customFormat="1" x14ac:dyDescent="0.3">
      <c r="A17" s="432"/>
      <c r="B17" s="428" t="s">
        <v>4</v>
      </c>
      <c r="C17" s="433"/>
      <c r="D17" s="433"/>
      <c r="E17" s="433"/>
      <c r="F17" s="433"/>
      <c r="G17" s="433"/>
      <c r="H17" s="433"/>
      <c r="I17" s="433"/>
      <c r="J17" s="433"/>
      <c r="K17" s="433"/>
      <c r="L17" s="433"/>
      <c r="M17" s="433"/>
      <c r="N17" s="433"/>
      <c r="O17" s="433"/>
      <c r="P17" s="433"/>
      <c r="Q17" s="433"/>
      <c r="R17" s="433"/>
      <c r="S17" s="433"/>
      <c r="T17" s="438">
        <v>38799</v>
      </c>
      <c r="U17" s="641"/>
      <c r="V17" s="430"/>
    </row>
    <row r="18" spans="1:22" s="431" customFormat="1" x14ac:dyDescent="0.3">
      <c r="A18" s="432"/>
      <c r="B18" s="428" t="s">
        <v>5</v>
      </c>
      <c r="C18" s="433"/>
      <c r="D18" s="433"/>
      <c r="E18" s="433"/>
      <c r="F18" s="433"/>
      <c r="G18" s="433"/>
      <c r="H18" s="433"/>
      <c r="I18" s="433"/>
      <c r="J18" s="433"/>
      <c r="K18" s="433"/>
      <c r="L18" s="433"/>
      <c r="M18" s="433"/>
      <c r="N18" s="433"/>
      <c r="O18" s="433"/>
      <c r="P18" s="433"/>
      <c r="Q18" s="433"/>
      <c r="R18" s="433"/>
      <c r="S18" s="433"/>
      <c r="T18" s="438">
        <v>43025</v>
      </c>
      <c r="U18" s="641"/>
      <c r="V18" s="430"/>
    </row>
    <row r="19" spans="1:22" s="431" customFormat="1" x14ac:dyDescent="0.3">
      <c r="A19" s="432"/>
      <c r="B19" s="433"/>
      <c r="C19" s="433"/>
      <c r="D19" s="433"/>
      <c r="E19" s="433"/>
      <c r="F19" s="433"/>
      <c r="G19" s="433"/>
      <c r="H19" s="433"/>
      <c r="I19" s="433"/>
      <c r="J19" s="433"/>
      <c r="K19" s="433"/>
      <c r="L19" s="433"/>
      <c r="M19" s="433"/>
      <c r="N19" s="433"/>
      <c r="O19" s="433"/>
      <c r="P19" s="433"/>
      <c r="Q19" s="433"/>
      <c r="R19" s="433"/>
      <c r="S19" s="433"/>
      <c r="T19" s="439"/>
      <c r="U19" s="641"/>
      <c r="V19" s="430"/>
    </row>
    <row r="20" spans="1:22" s="431" customFormat="1" x14ac:dyDescent="0.3">
      <c r="A20" s="432"/>
      <c r="B20" s="440" t="s">
        <v>6</v>
      </c>
      <c r="C20" s="433"/>
      <c r="D20" s="433"/>
      <c r="E20" s="433"/>
      <c r="F20" s="433"/>
      <c r="G20" s="433"/>
      <c r="H20" s="433"/>
      <c r="I20" s="433"/>
      <c r="J20" s="433"/>
      <c r="K20" s="433"/>
      <c r="L20" s="433"/>
      <c r="M20" s="433"/>
      <c r="N20" s="433"/>
      <c r="O20" s="433"/>
      <c r="P20" s="433"/>
      <c r="Q20" s="433"/>
      <c r="R20" s="439" t="s">
        <v>108</v>
      </c>
      <c r="S20" s="433"/>
      <c r="T20" s="433"/>
      <c r="U20" s="641"/>
      <c r="V20" s="430"/>
    </row>
    <row r="21" spans="1:22" x14ac:dyDescent="0.3">
      <c r="A21" s="418"/>
      <c r="B21" s="420"/>
      <c r="C21" s="420"/>
      <c r="D21" s="420"/>
      <c r="E21" s="420"/>
      <c r="F21" s="420"/>
      <c r="G21" s="420"/>
      <c r="H21" s="420"/>
      <c r="I21" s="420"/>
      <c r="J21" s="420"/>
      <c r="K21" s="420"/>
      <c r="L21" s="420"/>
      <c r="M21" s="420"/>
      <c r="N21" s="420"/>
      <c r="O21" s="420"/>
      <c r="P21" s="420"/>
      <c r="Q21" s="420"/>
      <c r="R21" s="420"/>
      <c r="S21" s="420"/>
      <c r="T21" s="441"/>
      <c r="U21" s="639"/>
      <c r="V21" s="416"/>
    </row>
    <row r="22" spans="1:22" x14ac:dyDescent="0.3">
      <c r="A22" s="442"/>
      <c r="B22" s="443"/>
      <c r="C22" s="444"/>
      <c r="D22" s="444" t="s">
        <v>184</v>
      </c>
      <c r="E22" s="444"/>
      <c r="F22" s="444" t="s">
        <v>185</v>
      </c>
      <c r="G22" s="444"/>
      <c r="H22" s="444" t="s">
        <v>186</v>
      </c>
      <c r="I22" s="444"/>
      <c r="J22" s="444" t="s">
        <v>187</v>
      </c>
      <c r="K22" s="444"/>
      <c r="L22" s="444" t="s">
        <v>188</v>
      </c>
      <c r="M22" s="444"/>
      <c r="N22" s="444" t="s">
        <v>189</v>
      </c>
      <c r="O22" s="444"/>
      <c r="P22" s="444"/>
      <c r="Q22" s="445"/>
      <c r="R22" s="445"/>
      <c r="S22" s="443"/>
      <c r="T22" s="443"/>
      <c r="U22" s="446"/>
      <c r="V22" s="416"/>
    </row>
    <row r="23" spans="1:22" s="431" customFormat="1" x14ac:dyDescent="0.3">
      <c r="A23" s="432"/>
      <c r="B23" s="447" t="s">
        <v>7</v>
      </c>
      <c r="C23" s="448"/>
      <c r="D23" s="448" t="s">
        <v>222</v>
      </c>
      <c r="E23" s="448"/>
      <c r="F23" s="448" t="s">
        <v>147</v>
      </c>
      <c r="G23" s="448"/>
      <c r="H23" s="448" t="s">
        <v>147</v>
      </c>
      <c r="I23" s="448"/>
      <c r="J23" s="448" t="s">
        <v>190</v>
      </c>
      <c r="K23" s="448"/>
      <c r="L23" s="448" t="s">
        <v>190</v>
      </c>
      <c r="M23" s="448"/>
      <c r="N23" s="448" t="s">
        <v>148</v>
      </c>
      <c r="O23" s="448"/>
      <c r="P23" s="448"/>
      <c r="Q23" s="448"/>
      <c r="R23" s="448"/>
      <c r="S23" s="447"/>
      <c r="T23" s="447"/>
      <c r="U23" s="641"/>
      <c r="V23" s="430"/>
    </row>
    <row r="24" spans="1:22" s="431" customFormat="1" x14ac:dyDescent="0.3">
      <c r="A24" s="449"/>
      <c r="B24" s="450" t="s">
        <v>8</v>
      </c>
      <c r="C24" s="451"/>
      <c r="D24" s="451" t="s">
        <v>223</v>
      </c>
      <c r="E24" s="451"/>
      <c r="F24" s="451" t="s">
        <v>149</v>
      </c>
      <c r="G24" s="451"/>
      <c r="H24" s="451" t="s">
        <v>149</v>
      </c>
      <c r="I24" s="451"/>
      <c r="J24" s="451" t="s">
        <v>172</v>
      </c>
      <c r="K24" s="451"/>
      <c r="L24" s="451" t="s">
        <v>172</v>
      </c>
      <c r="M24" s="451"/>
      <c r="N24" s="451" t="s">
        <v>150</v>
      </c>
      <c r="O24" s="451"/>
      <c r="P24" s="451"/>
      <c r="Q24" s="451"/>
      <c r="R24" s="451"/>
      <c r="S24" s="450"/>
      <c r="T24" s="450"/>
      <c r="U24" s="452"/>
      <c r="V24" s="430"/>
    </row>
    <row r="25" spans="1:22" s="431" customFormat="1" x14ac:dyDescent="0.3">
      <c r="A25" s="453"/>
      <c r="B25" s="450" t="s">
        <v>198</v>
      </c>
      <c r="C25" s="454"/>
      <c r="D25" s="451" t="s">
        <v>224</v>
      </c>
      <c r="E25" s="451"/>
      <c r="F25" s="451" t="s">
        <v>149</v>
      </c>
      <c r="G25" s="451"/>
      <c r="H25" s="451" t="s">
        <v>149</v>
      </c>
      <c r="I25" s="451"/>
      <c r="J25" s="451" t="s">
        <v>172</v>
      </c>
      <c r="K25" s="451"/>
      <c r="L25" s="451" t="s">
        <v>172</v>
      </c>
      <c r="M25" s="451"/>
      <c r="N25" s="451" t="s">
        <v>150</v>
      </c>
      <c r="O25" s="451"/>
      <c r="P25" s="451"/>
      <c r="Q25" s="454"/>
      <c r="R25" s="451"/>
      <c r="S25" s="450"/>
      <c r="T25" s="450"/>
      <c r="U25" s="452"/>
      <c r="V25" s="430"/>
    </row>
    <row r="26" spans="1:22" s="431" customFormat="1" x14ac:dyDescent="0.3">
      <c r="A26" s="453"/>
      <c r="B26" s="455" t="s">
        <v>9</v>
      </c>
      <c r="C26" s="454"/>
      <c r="D26" s="454" t="s">
        <v>147</v>
      </c>
      <c r="E26" s="454"/>
      <c r="F26" s="454" t="s">
        <v>147</v>
      </c>
      <c r="G26" s="454"/>
      <c r="H26" s="454" t="s">
        <v>147</v>
      </c>
      <c r="I26" s="454"/>
      <c r="J26" s="454" t="s">
        <v>190</v>
      </c>
      <c r="K26" s="454"/>
      <c r="L26" s="454" t="s">
        <v>190</v>
      </c>
      <c r="M26" s="454"/>
      <c r="N26" s="454" t="s">
        <v>148</v>
      </c>
      <c r="O26" s="454"/>
      <c r="P26" s="454"/>
      <c r="Q26" s="454"/>
      <c r="R26" s="451"/>
      <c r="S26" s="450"/>
      <c r="T26" s="450"/>
      <c r="U26" s="452"/>
      <c r="V26" s="430"/>
    </row>
    <row r="27" spans="1:22" s="431" customFormat="1" x14ac:dyDescent="0.3">
      <c r="A27" s="449"/>
      <c r="B27" s="455" t="s">
        <v>199</v>
      </c>
      <c r="C27" s="451"/>
      <c r="D27" s="454" t="s">
        <v>149</v>
      </c>
      <c r="E27" s="454"/>
      <c r="F27" s="454" t="s">
        <v>149</v>
      </c>
      <c r="G27" s="454"/>
      <c r="H27" s="454" t="s">
        <v>149</v>
      </c>
      <c r="I27" s="454"/>
      <c r="J27" s="454" t="s">
        <v>345</v>
      </c>
      <c r="K27" s="454"/>
      <c r="L27" s="454" t="s">
        <v>345</v>
      </c>
      <c r="M27" s="454"/>
      <c r="N27" s="454" t="s">
        <v>346</v>
      </c>
      <c r="O27" s="454"/>
      <c r="P27" s="454"/>
      <c r="Q27" s="451"/>
      <c r="R27" s="456"/>
      <c r="S27" s="450"/>
      <c r="T27" s="450"/>
      <c r="U27" s="452"/>
      <c r="V27" s="430"/>
    </row>
    <row r="28" spans="1:22" s="431" customFormat="1" x14ac:dyDescent="0.3">
      <c r="A28" s="449"/>
      <c r="B28" s="455" t="s">
        <v>200</v>
      </c>
      <c r="C28" s="451"/>
      <c r="D28" s="454" t="s">
        <v>149</v>
      </c>
      <c r="E28" s="454"/>
      <c r="F28" s="454" t="s">
        <v>149</v>
      </c>
      <c r="G28" s="454"/>
      <c r="H28" s="454" t="s">
        <v>149</v>
      </c>
      <c r="I28" s="454"/>
      <c r="J28" s="454" t="s">
        <v>149</v>
      </c>
      <c r="K28" s="454"/>
      <c r="L28" s="454" t="s">
        <v>149</v>
      </c>
      <c r="M28" s="454"/>
      <c r="N28" s="454" t="s">
        <v>150</v>
      </c>
      <c r="O28" s="454"/>
      <c r="P28" s="454"/>
      <c r="Q28" s="451"/>
      <c r="R28" s="456"/>
      <c r="S28" s="450"/>
      <c r="T28" s="450"/>
      <c r="U28" s="452"/>
      <c r="V28" s="430"/>
    </row>
    <row r="29" spans="1:22" s="431" customFormat="1" x14ac:dyDescent="0.3">
      <c r="A29" s="449"/>
      <c r="B29" s="450" t="s">
        <v>10</v>
      </c>
      <c r="C29" s="457"/>
      <c r="D29" s="451" t="s">
        <v>237</v>
      </c>
      <c r="E29" s="451"/>
      <c r="F29" s="456" t="s">
        <v>238</v>
      </c>
      <c r="G29" s="451"/>
      <c r="H29" s="451" t="s">
        <v>239</v>
      </c>
      <c r="I29" s="451"/>
      <c r="J29" s="451" t="s">
        <v>240</v>
      </c>
      <c r="K29" s="451"/>
      <c r="L29" s="451" t="s">
        <v>241</v>
      </c>
      <c r="M29" s="451"/>
      <c r="N29" s="451" t="s">
        <v>242</v>
      </c>
      <c r="O29" s="451"/>
      <c r="P29" s="451"/>
      <c r="Q29" s="458"/>
      <c r="R29" s="458"/>
      <c r="S29" s="457"/>
      <c r="T29" s="458"/>
      <c r="U29" s="459"/>
      <c r="V29" s="430"/>
    </row>
    <row r="30" spans="1:22" s="431" customFormat="1" x14ac:dyDescent="0.3">
      <c r="A30" s="449"/>
      <c r="B30" s="450" t="s">
        <v>10</v>
      </c>
      <c r="C30" s="457"/>
      <c r="D30" s="451" t="s">
        <v>236</v>
      </c>
      <c r="E30" s="451"/>
      <c r="F30" s="456" t="s">
        <v>124</v>
      </c>
      <c r="G30" s="451"/>
      <c r="H30" s="451" t="s">
        <v>124</v>
      </c>
      <c r="I30" s="451"/>
      <c r="J30" s="451" t="s">
        <v>124</v>
      </c>
      <c r="K30" s="451"/>
      <c r="L30" s="451" t="s">
        <v>124</v>
      </c>
      <c r="M30" s="451"/>
      <c r="N30" s="451" t="s">
        <v>124</v>
      </c>
      <c r="O30" s="451"/>
      <c r="P30" s="451"/>
      <c r="Q30" s="458"/>
      <c r="R30" s="458"/>
      <c r="S30" s="457"/>
      <c r="T30" s="458"/>
      <c r="U30" s="459"/>
      <c r="V30" s="430"/>
    </row>
    <row r="31" spans="1:22" s="431" customFormat="1" x14ac:dyDescent="0.3">
      <c r="A31" s="453"/>
      <c r="B31" s="450" t="s">
        <v>139</v>
      </c>
      <c r="C31" s="460"/>
      <c r="D31" s="461">
        <v>985000</v>
      </c>
      <c r="E31" s="457"/>
      <c r="F31" s="458">
        <v>149500</v>
      </c>
      <c r="G31" s="458"/>
      <c r="H31" s="462">
        <v>219700</v>
      </c>
      <c r="I31" s="458"/>
      <c r="J31" s="458">
        <v>16000</v>
      </c>
      <c r="K31" s="458"/>
      <c r="L31" s="462">
        <v>82400</v>
      </c>
      <c r="M31" s="458"/>
      <c r="N31" s="462">
        <v>87500</v>
      </c>
      <c r="O31" s="458"/>
      <c r="P31" s="462"/>
      <c r="Q31" s="463"/>
      <c r="R31" s="463"/>
      <c r="S31" s="460"/>
      <c r="T31" s="463"/>
      <c r="U31" s="459"/>
      <c r="V31" s="430"/>
    </row>
    <row r="32" spans="1:22" s="431" customFormat="1" x14ac:dyDescent="0.3">
      <c r="A32" s="449"/>
      <c r="B32" s="450" t="s">
        <v>138</v>
      </c>
      <c r="C32" s="457"/>
      <c r="D32" s="464">
        <f>D38*D34</f>
        <v>208858.70998080002</v>
      </c>
      <c r="E32" s="457"/>
      <c r="F32" s="458">
        <f>F38*F31</f>
        <v>55042.371800000001</v>
      </c>
      <c r="G32" s="458"/>
      <c r="H32" s="462">
        <f>H38*H31</f>
        <v>80888.355080000008</v>
      </c>
      <c r="I32" s="458"/>
      <c r="J32" s="458">
        <f>J31*J38</f>
        <v>13971.388800000001</v>
      </c>
      <c r="K32" s="458"/>
      <c r="L32" s="462">
        <f>L31*L38</f>
        <v>71952.652319999994</v>
      </c>
      <c r="M32" s="458"/>
      <c r="N32" s="462">
        <f>N31*N38</f>
        <v>76406.032500000001</v>
      </c>
      <c r="O32" s="458"/>
      <c r="P32" s="462"/>
      <c r="Q32" s="458"/>
      <c r="R32" s="458"/>
      <c r="S32" s="457"/>
      <c r="T32" s="458"/>
      <c r="U32" s="459"/>
      <c r="V32" s="430"/>
    </row>
    <row r="33" spans="1:23" s="431" customFormat="1" x14ac:dyDescent="0.3">
      <c r="A33" s="449"/>
      <c r="B33" s="455" t="s">
        <v>140</v>
      </c>
      <c r="C33" s="457"/>
      <c r="D33" s="465">
        <f>D37*D34</f>
        <v>205057.97730899998</v>
      </c>
      <c r="E33" s="460"/>
      <c r="F33" s="463">
        <f>F37*F31</f>
        <v>54040.751700000001</v>
      </c>
      <c r="G33" s="463"/>
      <c r="H33" s="466">
        <f>H31*H37</f>
        <v>79416.409019999992</v>
      </c>
      <c r="I33" s="463"/>
      <c r="J33" s="463">
        <f>J31*J37</f>
        <v>13717.142400000001</v>
      </c>
      <c r="K33" s="463"/>
      <c r="L33" s="466">
        <f>L31*L37</f>
        <v>70643.283360000001</v>
      </c>
      <c r="M33" s="463"/>
      <c r="N33" s="466">
        <f>N31*N37</f>
        <v>75015.622499999998</v>
      </c>
      <c r="O33" s="463"/>
      <c r="P33" s="466"/>
      <c r="Q33" s="458"/>
      <c r="R33" s="458"/>
      <c r="S33" s="457"/>
      <c r="T33" s="458"/>
      <c r="U33" s="459"/>
      <c r="V33" s="430"/>
    </row>
    <row r="34" spans="1:23" s="431" customFormat="1" x14ac:dyDescent="0.3">
      <c r="A34" s="453"/>
      <c r="B34" s="450" t="s">
        <v>283</v>
      </c>
      <c r="C34" s="460"/>
      <c r="D34" s="458">
        <v>567282</v>
      </c>
      <c r="E34" s="457"/>
      <c r="F34" s="458">
        <v>149500</v>
      </c>
      <c r="G34" s="458"/>
      <c r="H34" s="458">
        <v>150716</v>
      </c>
      <c r="I34" s="458"/>
      <c r="J34" s="458">
        <v>16000</v>
      </c>
      <c r="K34" s="458"/>
      <c r="L34" s="458">
        <v>56527</v>
      </c>
      <c r="M34" s="458"/>
      <c r="N34" s="458">
        <v>60025</v>
      </c>
      <c r="O34" s="458"/>
      <c r="P34" s="458"/>
      <c r="Q34" s="463"/>
      <c r="R34" s="463"/>
      <c r="S34" s="460"/>
      <c r="T34" s="458">
        <f>SUM(C34:P34)</f>
        <v>1000050</v>
      </c>
      <c r="U34" s="459"/>
      <c r="V34" s="430"/>
    </row>
    <row r="35" spans="1:23" s="431" customFormat="1" x14ac:dyDescent="0.3">
      <c r="A35" s="453"/>
      <c r="B35" s="450" t="s">
        <v>284</v>
      </c>
      <c r="C35" s="460"/>
      <c r="D35" s="458">
        <f>D38*D34</f>
        <v>208858.70998080002</v>
      </c>
      <c r="E35" s="457"/>
      <c r="F35" s="458">
        <f>F38*F34</f>
        <v>55042.371800000001</v>
      </c>
      <c r="G35" s="458"/>
      <c r="H35" s="458">
        <f>H38*H34</f>
        <v>55490.074302400004</v>
      </c>
      <c r="I35" s="458"/>
      <c r="J35" s="458">
        <f>J34*J38</f>
        <v>13971.388800000001</v>
      </c>
      <c r="K35" s="458"/>
      <c r="L35" s="458">
        <f>L34*L38</f>
        <v>49360.043418599998</v>
      </c>
      <c r="M35" s="458"/>
      <c r="N35" s="458">
        <f>N34*N38</f>
        <v>52414.538294999998</v>
      </c>
      <c r="O35" s="458"/>
      <c r="P35" s="458"/>
      <c r="Q35" s="458"/>
      <c r="R35" s="458"/>
      <c r="S35" s="457"/>
      <c r="T35" s="458">
        <f>SUM(C35:P35)+1</f>
        <v>435138.12659679999</v>
      </c>
      <c r="U35" s="459"/>
      <c r="V35" s="430"/>
    </row>
    <row r="36" spans="1:23" s="431" customFormat="1" x14ac:dyDescent="0.3">
      <c r="A36" s="453"/>
      <c r="B36" s="455" t="s">
        <v>285</v>
      </c>
      <c r="C36" s="460"/>
      <c r="D36" s="463">
        <f>D37*D34</f>
        <v>205057.97730899998</v>
      </c>
      <c r="E36" s="460"/>
      <c r="F36" s="463">
        <f>F37*F34</f>
        <v>54040.751700000001</v>
      </c>
      <c r="G36" s="463"/>
      <c r="H36" s="463">
        <f>H37*H34</f>
        <v>54480.307245599994</v>
      </c>
      <c r="I36" s="463"/>
      <c r="J36" s="463">
        <f>J37*J34</f>
        <v>13717.142400000001</v>
      </c>
      <c r="K36" s="463"/>
      <c r="L36" s="463">
        <f>L37*L34</f>
        <v>48461.806777800004</v>
      </c>
      <c r="M36" s="463"/>
      <c r="N36" s="463">
        <f>N37*N34</f>
        <v>51460.717035000001</v>
      </c>
      <c r="O36" s="463"/>
      <c r="P36" s="463"/>
      <c r="Q36" s="467"/>
      <c r="R36" s="467"/>
      <c r="S36" s="457"/>
      <c r="T36" s="463">
        <f>SUM(C36:P36)+1</f>
        <v>427219.7024674</v>
      </c>
      <c r="U36" s="459"/>
      <c r="V36" s="430"/>
    </row>
    <row r="37" spans="1:23" x14ac:dyDescent="0.3">
      <c r="A37" s="468"/>
      <c r="B37" s="469" t="s">
        <v>136</v>
      </c>
      <c r="C37" s="470"/>
      <c r="D37" s="471">
        <v>0.36147449999999998</v>
      </c>
      <c r="E37" s="472"/>
      <c r="F37" s="471">
        <v>0.36147659999999998</v>
      </c>
      <c r="G37" s="473"/>
      <c r="H37" s="471">
        <v>0.36147659999999998</v>
      </c>
      <c r="I37" s="473"/>
      <c r="J37" s="471">
        <v>0.85732140000000001</v>
      </c>
      <c r="K37" s="473"/>
      <c r="L37" s="471">
        <v>0.85732140000000001</v>
      </c>
      <c r="M37" s="473"/>
      <c r="N37" s="471">
        <v>0.85732140000000001</v>
      </c>
      <c r="O37" s="474"/>
      <c r="P37" s="474"/>
      <c r="Q37" s="475"/>
      <c r="R37" s="475"/>
      <c r="S37" s="470"/>
      <c r="T37" s="470"/>
      <c r="U37" s="476"/>
      <c r="V37" s="416"/>
      <c r="W37" s="477"/>
    </row>
    <row r="38" spans="1:23" x14ac:dyDescent="0.3">
      <c r="A38" s="468"/>
      <c r="B38" s="470" t="s">
        <v>137</v>
      </c>
      <c r="C38" s="470"/>
      <c r="D38" s="478">
        <v>0.36817440000000001</v>
      </c>
      <c r="E38" s="479"/>
      <c r="F38" s="478">
        <v>0.36817640000000001</v>
      </c>
      <c r="G38" s="480"/>
      <c r="H38" s="478">
        <v>0.36817640000000001</v>
      </c>
      <c r="I38" s="480"/>
      <c r="J38" s="478">
        <v>0.87321179999999998</v>
      </c>
      <c r="K38" s="480"/>
      <c r="L38" s="478">
        <v>0.87321179999999998</v>
      </c>
      <c r="M38" s="480"/>
      <c r="N38" s="478">
        <v>0.87321179999999998</v>
      </c>
      <c r="O38" s="474"/>
      <c r="P38" s="474"/>
      <c r="Q38" s="481"/>
      <c r="R38" s="482"/>
      <c r="S38" s="470"/>
      <c r="T38" s="481"/>
      <c r="U38" s="476"/>
      <c r="V38" s="416"/>
    </row>
    <row r="39" spans="1:23" s="431" customFormat="1" x14ac:dyDescent="0.3">
      <c r="A39" s="449"/>
      <c r="B39" s="450" t="s">
        <v>11</v>
      </c>
      <c r="C39" s="450"/>
      <c r="D39" s="456" t="s">
        <v>275</v>
      </c>
      <c r="E39" s="450"/>
      <c r="F39" s="456" t="s">
        <v>232</v>
      </c>
      <c r="G39" s="456"/>
      <c r="H39" s="456" t="s">
        <v>232</v>
      </c>
      <c r="I39" s="456"/>
      <c r="J39" s="456" t="s">
        <v>234</v>
      </c>
      <c r="K39" s="456"/>
      <c r="L39" s="456" t="s">
        <v>234</v>
      </c>
      <c r="M39" s="456"/>
      <c r="N39" s="456" t="s">
        <v>235</v>
      </c>
      <c r="O39" s="456"/>
      <c r="P39" s="456"/>
      <c r="Q39" s="483"/>
      <c r="R39" s="484"/>
      <c r="S39" s="450"/>
      <c r="T39" s="450"/>
      <c r="U39" s="452"/>
      <c r="V39" s="430"/>
    </row>
    <row r="40" spans="1:23" s="431" customFormat="1" x14ac:dyDescent="0.3">
      <c r="A40" s="449"/>
      <c r="B40" s="450" t="s">
        <v>12</v>
      </c>
      <c r="C40" s="450"/>
      <c r="D40" s="484">
        <v>3.9468999999999997E-3</v>
      </c>
      <c r="E40" s="450"/>
      <c r="F40" s="484">
        <v>5.3468999999999999E-3</v>
      </c>
      <c r="G40" s="483"/>
      <c r="H40" s="484">
        <v>0</v>
      </c>
      <c r="I40" s="483"/>
      <c r="J40" s="484">
        <v>7.7469000000000001E-3</v>
      </c>
      <c r="K40" s="483"/>
      <c r="L40" s="484">
        <v>1.49E-3</v>
      </c>
      <c r="M40" s="483"/>
      <c r="N40" s="484">
        <v>5.6899999999999997E-3</v>
      </c>
      <c r="O40" s="483"/>
      <c r="P40" s="484"/>
      <c r="Q40" s="483"/>
      <c r="R40" s="484"/>
      <c r="S40" s="450"/>
      <c r="T40" s="456"/>
      <c r="U40" s="452"/>
      <c r="V40" s="430"/>
    </row>
    <row r="41" spans="1:23" s="431" customFormat="1" x14ac:dyDescent="0.3">
      <c r="A41" s="449"/>
      <c r="B41" s="450" t="s">
        <v>13</v>
      </c>
      <c r="C41" s="450"/>
      <c r="D41" s="484">
        <v>4.3556000000000003E-3</v>
      </c>
      <c r="E41" s="450"/>
      <c r="F41" s="484">
        <v>5.7555999999999996E-3</v>
      </c>
      <c r="G41" s="483"/>
      <c r="H41" s="484">
        <v>0</v>
      </c>
      <c r="I41" s="483"/>
      <c r="J41" s="484">
        <v>8.1556000000000007E-3</v>
      </c>
      <c r="K41" s="483"/>
      <c r="L41" s="484">
        <v>1.48E-3</v>
      </c>
      <c r="M41" s="483"/>
      <c r="N41" s="484">
        <v>5.6800000000000002E-3</v>
      </c>
      <c r="O41" s="483"/>
      <c r="P41" s="484"/>
      <c r="Q41" s="483"/>
      <c r="R41" s="484"/>
      <c r="S41" s="450"/>
      <c r="T41" s="483" t="s">
        <v>201</v>
      </c>
      <c r="U41" s="452"/>
      <c r="V41" s="430"/>
    </row>
    <row r="42" spans="1:23" s="431" customFormat="1" x14ac:dyDescent="0.3">
      <c r="A42" s="449"/>
      <c r="B42" s="450" t="s">
        <v>286</v>
      </c>
      <c r="C42" s="450"/>
      <c r="D42" s="456" t="s">
        <v>275</v>
      </c>
      <c r="E42" s="450"/>
      <c r="F42" s="456" t="s">
        <v>232</v>
      </c>
      <c r="G42" s="456"/>
      <c r="H42" s="456" t="s">
        <v>232</v>
      </c>
      <c r="I42" s="456"/>
      <c r="J42" s="456" t="s">
        <v>234</v>
      </c>
      <c r="K42" s="456"/>
      <c r="L42" s="456" t="s">
        <v>245</v>
      </c>
      <c r="M42" s="456"/>
      <c r="N42" s="456" t="s">
        <v>247</v>
      </c>
      <c r="O42" s="456"/>
      <c r="P42" s="456"/>
      <c r="Q42" s="483"/>
      <c r="R42" s="484"/>
      <c r="S42" s="450"/>
      <c r="T42" s="450"/>
      <c r="U42" s="452"/>
      <c r="V42" s="430"/>
    </row>
    <row r="43" spans="1:23" s="431" customFormat="1" x14ac:dyDescent="0.3">
      <c r="A43" s="449"/>
      <c r="B43" s="450" t="s">
        <v>287</v>
      </c>
      <c r="C43" s="485"/>
      <c r="D43" s="484">
        <f>+D40</f>
        <v>3.9468999999999997E-3</v>
      </c>
      <c r="E43" s="484"/>
      <c r="F43" s="484">
        <f>+F40</f>
        <v>5.3468999999999999E-3</v>
      </c>
      <c r="G43" s="484"/>
      <c r="H43" s="484">
        <v>5.3429000000000003E-3</v>
      </c>
      <c r="I43" s="484"/>
      <c r="J43" s="484">
        <f>+J40</f>
        <v>7.7469000000000001E-3</v>
      </c>
      <c r="K43" s="484"/>
      <c r="L43" s="484">
        <v>8.0529E-3</v>
      </c>
      <c r="M43" s="484"/>
      <c r="N43" s="484">
        <v>1.27569E-2</v>
      </c>
      <c r="O43" s="483"/>
      <c r="P43" s="484"/>
      <c r="Q43" s="456"/>
      <c r="R43" s="456"/>
      <c r="S43" s="450"/>
      <c r="T43" s="483">
        <f>SUMPRODUCT(D43:N43,D35:N35)/T35</f>
        <v>5.9509882702285487E-3</v>
      </c>
      <c r="U43" s="452"/>
      <c r="V43" s="430"/>
    </row>
    <row r="44" spans="1:23" s="431" customFormat="1" x14ac:dyDescent="0.3">
      <c r="A44" s="449"/>
      <c r="B44" s="450" t="s">
        <v>288</v>
      </c>
      <c r="C44" s="485"/>
      <c r="D44" s="484">
        <f>+D41</f>
        <v>4.3556000000000003E-3</v>
      </c>
      <c r="E44" s="484"/>
      <c r="F44" s="484">
        <f>+F41</f>
        <v>5.7555999999999996E-3</v>
      </c>
      <c r="G44" s="484"/>
      <c r="H44" s="484">
        <v>5.7515999999999999E-3</v>
      </c>
      <c r="I44" s="484"/>
      <c r="J44" s="484">
        <f>+J41</f>
        <v>8.1556000000000007E-3</v>
      </c>
      <c r="K44" s="484"/>
      <c r="L44" s="484">
        <v>8.4615999999999997E-3</v>
      </c>
      <c r="M44" s="484"/>
      <c r="N44" s="484">
        <v>1.31656E-2</v>
      </c>
      <c r="O44" s="483"/>
      <c r="P44" s="484"/>
      <c r="Q44" s="456"/>
      <c r="R44" s="456"/>
      <c r="S44" s="450"/>
      <c r="T44" s="450"/>
      <c r="U44" s="452"/>
      <c r="V44" s="430"/>
    </row>
    <row r="45" spans="1:23" s="431" customFormat="1" x14ac:dyDescent="0.3">
      <c r="A45" s="449"/>
      <c r="B45" s="450" t="s">
        <v>14</v>
      </c>
      <c r="C45" s="450"/>
      <c r="D45" s="485">
        <v>40283</v>
      </c>
      <c r="E45" s="485"/>
      <c r="F45" s="485">
        <v>40283</v>
      </c>
      <c r="G45" s="485"/>
      <c r="H45" s="485">
        <v>40283</v>
      </c>
      <c r="I45" s="485"/>
      <c r="J45" s="485">
        <v>40283</v>
      </c>
      <c r="K45" s="485"/>
      <c r="L45" s="485">
        <v>40283</v>
      </c>
      <c r="M45" s="485"/>
      <c r="N45" s="485">
        <v>40283</v>
      </c>
      <c r="O45" s="485"/>
      <c r="P45" s="485"/>
      <c r="Q45" s="456"/>
      <c r="R45" s="456"/>
      <c r="S45" s="450"/>
      <c r="T45" s="450"/>
      <c r="U45" s="452"/>
      <c r="V45" s="430"/>
    </row>
    <row r="46" spans="1:23" s="431" customFormat="1" x14ac:dyDescent="0.3">
      <c r="A46" s="449"/>
      <c r="B46" s="450" t="s">
        <v>15</v>
      </c>
      <c r="C46" s="450"/>
      <c r="D46" s="485">
        <v>40648</v>
      </c>
      <c r="E46" s="485"/>
      <c r="F46" s="485">
        <v>40648</v>
      </c>
      <c r="G46" s="485"/>
      <c r="H46" s="485">
        <v>40648</v>
      </c>
      <c r="I46" s="456"/>
      <c r="J46" s="485">
        <v>40648</v>
      </c>
      <c r="K46" s="456"/>
      <c r="L46" s="485">
        <v>40648</v>
      </c>
      <c r="M46" s="456"/>
      <c r="N46" s="485">
        <v>40648</v>
      </c>
      <c r="O46" s="456"/>
      <c r="P46" s="485"/>
      <c r="Q46" s="456"/>
      <c r="R46" s="456"/>
      <c r="S46" s="450"/>
      <c r="T46" s="450"/>
      <c r="U46" s="452"/>
      <c r="V46" s="430"/>
    </row>
    <row r="47" spans="1:23" s="431" customFormat="1" x14ac:dyDescent="0.3">
      <c r="A47" s="449"/>
      <c r="B47" s="450" t="s">
        <v>125</v>
      </c>
      <c r="C47" s="450"/>
      <c r="D47" s="456" t="s">
        <v>124</v>
      </c>
      <c r="E47" s="450"/>
      <c r="F47" s="456" t="s">
        <v>232</v>
      </c>
      <c r="G47" s="456"/>
      <c r="H47" s="456" t="s">
        <v>232</v>
      </c>
      <c r="I47" s="456"/>
      <c r="J47" s="456" t="s">
        <v>234</v>
      </c>
      <c r="K47" s="456"/>
      <c r="L47" s="456" t="s">
        <v>234</v>
      </c>
      <c r="M47" s="456"/>
      <c r="N47" s="456" t="s">
        <v>235</v>
      </c>
      <c r="O47" s="456"/>
      <c r="P47" s="456"/>
      <c r="Q47" s="486"/>
      <c r="R47" s="486"/>
      <c r="S47" s="486"/>
      <c r="T47" s="486"/>
      <c r="U47" s="452"/>
      <c r="V47" s="430"/>
    </row>
    <row r="48" spans="1:23" s="431" customFormat="1" x14ac:dyDescent="0.3">
      <c r="A48" s="449"/>
      <c r="B48" s="450" t="s">
        <v>289</v>
      </c>
      <c r="C48" s="450"/>
      <c r="D48" s="456" t="s">
        <v>124</v>
      </c>
      <c r="E48" s="450"/>
      <c r="F48" s="456" t="s">
        <v>232</v>
      </c>
      <c r="G48" s="456"/>
      <c r="H48" s="456" t="s">
        <v>232</v>
      </c>
      <c r="I48" s="456"/>
      <c r="J48" s="456" t="s">
        <v>234</v>
      </c>
      <c r="K48" s="456"/>
      <c r="L48" s="456" t="s">
        <v>245</v>
      </c>
      <c r="M48" s="456"/>
      <c r="N48" s="456" t="s">
        <v>247</v>
      </c>
      <c r="O48" s="456"/>
      <c r="P48" s="456"/>
      <c r="Q48" s="450"/>
      <c r="R48" s="450"/>
      <c r="S48" s="450"/>
      <c r="T48" s="483"/>
      <c r="U48" s="452"/>
      <c r="V48" s="430"/>
    </row>
    <row r="49" spans="1:23" s="431" customFormat="1" x14ac:dyDescent="0.3">
      <c r="A49" s="449"/>
      <c r="B49" s="450"/>
      <c r="C49" s="450"/>
      <c r="D49" s="456"/>
      <c r="E49" s="450"/>
      <c r="F49" s="456"/>
      <c r="G49" s="456"/>
      <c r="H49" s="456"/>
      <c r="I49" s="456"/>
      <c r="J49" s="456"/>
      <c r="K49" s="456"/>
      <c r="L49" s="456"/>
      <c r="M49" s="456"/>
      <c r="N49" s="456"/>
      <c r="O49" s="456"/>
      <c r="P49" s="456"/>
      <c r="Q49" s="450"/>
      <c r="R49" s="450"/>
      <c r="S49" s="450"/>
      <c r="T49" s="483" t="s">
        <v>201</v>
      </c>
      <c r="U49" s="452"/>
      <c r="V49" s="430"/>
    </row>
    <row r="50" spans="1:23" s="431" customFormat="1" x14ac:dyDescent="0.3">
      <c r="A50" s="449"/>
      <c r="B50" s="450" t="s">
        <v>176</v>
      </c>
      <c r="C50" s="450"/>
      <c r="D50" s="456"/>
      <c r="E50" s="450"/>
      <c r="F50" s="456"/>
      <c r="G50" s="456"/>
      <c r="H50" s="456"/>
      <c r="I50" s="456"/>
      <c r="J50" s="456"/>
      <c r="K50" s="456"/>
      <c r="L50" s="456"/>
      <c r="M50" s="456"/>
      <c r="N50" s="456"/>
      <c r="O50" s="456"/>
      <c r="P50" s="456"/>
      <c r="Q50" s="450"/>
      <c r="R50" s="450"/>
      <c r="S50" s="450"/>
      <c r="T50" s="483">
        <f>SUM(J34:P34)/SUM(D34:H34)</f>
        <v>0.15279804679664968</v>
      </c>
      <c r="U50" s="452"/>
      <c r="V50" s="430"/>
    </row>
    <row r="51" spans="1:23" s="431" customFormat="1" x14ac:dyDescent="0.3">
      <c r="A51" s="449"/>
      <c r="B51" s="450" t="s">
        <v>177</v>
      </c>
      <c r="C51" s="450"/>
      <c r="D51" s="450"/>
      <c r="E51" s="450"/>
      <c r="F51" s="487"/>
      <c r="G51" s="450"/>
      <c r="H51" s="450"/>
      <c r="I51" s="450"/>
      <c r="J51" s="450"/>
      <c r="K51" s="450"/>
      <c r="L51" s="450"/>
      <c r="M51" s="450"/>
      <c r="N51" s="450"/>
      <c r="O51" s="450"/>
      <c r="P51" s="450"/>
      <c r="Q51" s="450"/>
      <c r="R51" s="450"/>
      <c r="S51" s="450"/>
      <c r="T51" s="483">
        <f>SUM(J36:P36)/SUM(D36:H36)</f>
        <v>0.36239561027457873</v>
      </c>
      <c r="U51" s="452"/>
      <c r="V51" s="430"/>
    </row>
    <row r="52" spans="1:23" s="431" customFormat="1" x14ac:dyDescent="0.3">
      <c r="A52" s="449"/>
      <c r="B52" s="450" t="s">
        <v>178</v>
      </c>
      <c r="C52" s="450"/>
      <c r="D52" s="450"/>
      <c r="E52" s="450"/>
      <c r="F52" s="450"/>
      <c r="G52" s="450"/>
      <c r="H52" s="450"/>
      <c r="I52" s="450"/>
      <c r="J52" s="450"/>
      <c r="K52" s="450"/>
      <c r="L52" s="450"/>
      <c r="M52" s="450"/>
      <c r="N52" s="450"/>
      <c r="O52" s="450"/>
      <c r="P52" s="450"/>
      <c r="Q52" s="450"/>
      <c r="R52" s="456" t="s">
        <v>109</v>
      </c>
      <c r="S52" s="456" t="s">
        <v>115</v>
      </c>
      <c r="T52" s="458">
        <f>+T34/2-SUM(J34:P34)</f>
        <v>367473</v>
      </c>
      <c r="U52" s="452"/>
      <c r="V52" s="430"/>
    </row>
    <row r="53" spans="1:23" s="431" customFormat="1" x14ac:dyDescent="0.3">
      <c r="A53" s="449"/>
      <c r="B53" s="450"/>
      <c r="C53" s="450"/>
      <c r="D53" s="450"/>
      <c r="E53" s="450"/>
      <c r="F53" s="450"/>
      <c r="G53" s="450"/>
      <c r="H53" s="450"/>
      <c r="I53" s="450"/>
      <c r="J53" s="450"/>
      <c r="K53" s="450"/>
      <c r="L53" s="450"/>
      <c r="M53" s="450"/>
      <c r="N53" s="450"/>
      <c r="O53" s="450"/>
      <c r="P53" s="450"/>
      <c r="Q53" s="450"/>
      <c r="R53" s="450"/>
      <c r="S53" s="450"/>
      <c r="T53" s="488"/>
      <c r="U53" s="452"/>
      <c r="V53" s="430"/>
    </row>
    <row r="54" spans="1:23" s="431" customFormat="1" x14ac:dyDescent="0.3">
      <c r="A54" s="449"/>
      <c r="B54" s="450" t="s">
        <v>342</v>
      </c>
      <c r="C54" s="450"/>
      <c r="D54" s="450"/>
      <c r="E54" s="450"/>
      <c r="F54" s="450"/>
      <c r="G54" s="450"/>
      <c r="H54" s="450"/>
      <c r="I54" s="450"/>
      <c r="J54" s="450"/>
      <c r="K54" s="450"/>
      <c r="L54" s="450"/>
      <c r="M54" s="450"/>
      <c r="N54" s="450"/>
      <c r="O54" s="450"/>
      <c r="P54" s="450"/>
      <c r="Q54" s="450"/>
      <c r="R54" s="456"/>
      <c r="S54" s="456"/>
      <c r="T54" s="489" t="s">
        <v>117</v>
      </c>
      <c r="U54" s="452"/>
      <c r="V54" s="430"/>
    </row>
    <row r="55" spans="1:23" s="431" customFormat="1" x14ac:dyDescent="0.3">
      <c r="A55" s="449"/>
      <c r="B55" s="455" t="s">
        <v>210</v>
      </c>
      <c r="C55" s="455"/>
      <c r="D55" s="455"/>
      <c r="E55" s="455"/>
      <c r="F55" s="455"/>
      <c r="G55" s="455"/>
      <c r="H55" s="455"/>
      <c r="I55" s="455"/>
      <c r="J55" s="455"/>
      <c r="K55" s="455"/>
      <c r="L55" s="455"/>
      <c r="M55" s="455"/>
      <c r="N55" s="455"/>
      <c r="O55" s="455"/>
      <c r="P55" s="455"/>
      <c r="Q55" s="455"/>
      <c r="R55" s="490"/>
      <c r="S55" s="490"/>
      <c r="T55" s="491">
        <v>43024</v>
      </c>
      <c r="U55" s="452"/>
      <c r="V55" s="430"/>
    </row>
    <row r="56" spans="1:23" s="431" customFormat="1" x14ac:dyDescent="0.3">
      <c r="A56" s="449"/>
      <c r="B56" s="450" t="s">
        <v>127</v>
      </c>
      <c r="C56" s="450"/>
      <c r="D56" s="450"/>
      <c r="E56" s="450"/>
      <c r="F56" s="450"/>
      <c r="G56" s="450"/>
      <c r="H56" s="492"/>
      <c r="I56" s="492"/>
      <c r="J56" s="492"/>
      <c r="K56" s="492"/>
      <c r="L56" s="492"/>
      <c r="M56" s="492"/>
      <c r="N56" s="492"/>
      <c r="O56" s="492"/>
      <c r="P56" s="450">
        <f>+T56-R56+1</f>
        <v>90</v>
      </c>
      <c r="Q56" s="492"/>
      <c r="R56" s="493">
        <v>42843</v>
      </c>
      <c r="S56" s="494"/>
      <c r="T56" s="493">
        <v>42932</v>
      </c>
      <c r="U56" s="452"/>
      <c r="V56" s="430"/>
    </row>
    <row r="57" spans="1:23" s="431" customFormat="1" x14ac:dyDescent="0.3">
      <c r="A57" s="449"/>
      <c r="B57" s="450" t="s">
        <v>128</v>
      </c>
      <c r="C57" s="450"/>
      <c r="D57" s="450"/>
      <c r="E57" s="450"/>
      <c r="F57" s="450"/>
      <c r="G57" s="450"/>
      <c r="H57" s="450"/>
      <c r="I57" s="450"/>
      <c r="J57" s="450"/>
      <c r="K57" s="450"/>
      <c r="L57" s="450"/>
      <c r="M57" s="450"/>
      <c r="N57" s="450"/>
      <c r="O57" s="450"/>
      <c r="P57" s="450">
        <f>+T57-R57+1</f>
        <v>91</v>
      </c>
      <c r="Q57" s="450"/>
      <c r="R57" s="493">
        <v>42933</v>
      </c>
      <c r="S57" s="494"/>
      <c r="T57" s="493">
        <v>43023</v>
      </c>
      <c r="U57" s="452"/>
      <c r="V57" s="430"/>
    </row>
    <row r="58" spans="1:23" s="431" customFormat="1" x14ac:dyDescent="0.3">
      <c r="A58" s="449"/>
      <c r="B58" s="450" t="s">
        <v>344</v>
      </c>
      <c r="C58" s="450"/>
      <c r="D58" s="450"/>
      <c r="E58" s="450"/>
      <c r="F58" s="450"/>
      <c r="G58" s="450"/>
      <c r="H58" s="450"/>
      <c r="I58" s="450"/>
      <c r="J58" s="450"/>
      <c r="K58" s="450"/>
      <c r="L58" s="450"/>
      <c r="M58" s="450"/>
      <c r="N58" s="450"/>
      <c r="O58" s="450"/>
      <c r="P58" s="450"/>
      <c r="Q58" s="450"/>
      <c r="R58" s="493"/>
      <c r="S58" s="494"/>
      <c r="T58" s="493" t="s">
        <v>126</v>
      </c>
      <c r="U58" s="452"/>
      <c r="V58" s="430"/>
    </row>
    <row r="59" spans="1:23" s="431" customFormat="1" x14ac:dyDescent="0.3">
      <c r="A59" s="449"/>
      <c r="B59" s="450" t="s">
        <v>343</v>
      </c>
      <c r="C59" s="450"/>
      <c r="D59" s="450"/>
      <c r="E59" s="450"/>
      <c r="F59" s="450"/>
      <c r="G59" s="450"/>
      <c r="H59" s="450"/>
      <c r="I59" s="450"/>
      <c r="J59" s="450"/>
      <c r="K59" s="450"/>
      <c r="L59" s="450"/>
      <c r="M59" s="450"/>
      <c r="N59" s="450"/>
      <c r="O59" s="450"/>
      <c r="P59" s="450"/>
      <c r="Q59" s="450"/>
      <c r="R59" s="493"/>
      <c r="S59" s="494"/>
      <c r="T59" s="493" t="s">
        <v>160</v>
      </c>
      <c r="U59" s="452"/>
      <c r="V59" s="430"/>
      <c r="W59" s="495"/>
    </row>
    <row r="60" spans="1:23" s="431" customFormat="1" x14ac:dyDescent="0.3">
      <c r="A60" s="449"/>
      <c r="B60" s="450" t="s">
        <v>16</v>
      </c>
      <c r="C60" s="450"/>
      <c r="D60" s="450"/>
      <c r="E60" s="450"/>
      <c r="F60" s="450"/>
      <c r="G60" s="450"/>
      <c r="H60" s="450"/>
      <c r="I60" s="450"/>
      <c r="J60" s="450"/>
      <c r="K60" s="450"/>
      <c r="L60" s="450"/>
      <c r="M60" s="450"/>
      <c r="N60" s="450"/>
      <c r="O60" s="450"/>
      <c r="P60" s="450"/>
      <c r="Q60" s="450"/>
      <c r="R60" s="493"/>
      <c r="S60" s="494"/>
      <c r="T60" s="493">
        <v>43010</v>
      </c>
      <c r="U60" s="452"/>
      <c r="V60" s="430"/>
    </row>
    <row r="61" spans="1:23" s="431" customFormat="1" x14ac:dyDescent="0.3">
      <c r="A61" s="432"/>
      <c r="B61" s="447"/>
      <c r="C61" s="447"/>
      <c r="D61" s="447"/>
      <c r="E61" s="447"/>
      <c r="F61" s="447"/>
      <c r="G61" s="447"/>
      <c r="H61" s="447"/>
      <c r="I61" s="447"/>
      <c r="J61" s="447"/>
      <c r="K61" s="447"/>
      <c r="L61" s="447"/>
      <c r="M61" s="447"/>
      <c r="N61" s="447"/>
      <c r="O61" s="447"/>
      <c r="P61" s="447"/>
      <c r="Q61" s="447"/>
      <c r="R61" s="496"/>
      <c r="S61" s="497"/>
      <c r="T61" s="496"/>
      <c r="U61" s="641"/>
      <c r="V61" s="430"/>
    </row>
    <row r="62" spans="1:23" s="431" customFormat="1" x14ac:dyDescent="0.3">
      <c r="A62" s="432"/>
      <c r="B62" s="433"/>
      <c r="C62" s="433"/>
      <c r="D62" s="433"/>
      <c r="E62" s="433"/>
      <c r="F62" s="433"/>
      <c r="G62" s="433"/>
      <c r="H62" s="433"/>
      <c r="I62" s="433"/>
      <c r="J62" s="433"/>
      <c r="K62" s="433"/>
      <c r="L62" s="433"/>
      <c r="M62" s="433"/>
      <c r="N62" s="433"/>
      <c r="O62" s="433"/>
      <c r="P62" s="433"/>
      <c r="Q62" s="433"/>
      <c r="R62" s="498"/>
      <c r="S62" s="499"/>
      <c r="T62" s="498"/>
      <c r="U62" s="641"/>
      <c r="V62" s="430"/>
    </row>
    <row r="63" spans="1:23" s="431" customFormat="1" ht="18.600000000000001" thickBot="1" x14ac:dyDescent="0.4">
      <c r="A63" s="500"/>
      <c r="B63" s="501" t="s">
        <v>355</v>
      </c>
      <c r="C63" s="502"/>
      <c r="D63" s="502"/>
      <c r="E63" s="502"/>
      <c r="F63" s="502"/>
      <c r="G63" s="502"/>
      <c r="H63" s="502"/>
      <c r="I63" s="502"/>
      <c r="J63" s="502"/>
      <c r="K63" s="502"/>
      <c r="L63" s="502"/>
      <c r="M63" s="502"/>
      <c r="N63" s="502"/>
      <c r="O63" s="502"/>
      <c r="P63" s="502"/>
      <c r="Q63" s="502"/>
      <c r="R63" s="502"/>
      <c r="S63" s="502"/>
      <c r="T63" s="503"/>
      <c r="U63" s="504"/>
      <c r="V63" s="430"/>
    </row>
    <row r="64" spans="1:23" x14ac:dyDescent="0.3">
      <c r="A64" s="505"/>
      <c r="B64" s="506" t="s">
        <v>17</v>
      </c>
      <c r="C64" s="507"/>
      <c r="D64" s="507"/>
      <c r="E64" s="507"/>
      <c r="F64" s="507"/>
      <c r="G64" s="507"/>
      <c r="H64" s="507"/>
      <c r="I64" s="507"/>
      <c r="J64" s="507"/>
      <c r="K64" s="507"/>
      <c r="L64" s="507"/>
      <c r="M64" s="507"/>
      <c r="N64" s="507"/>
      <c r="O64" s="507"/>
      <c r="P64" s="507"/>
      <c r="Q64" s="507"/>
      <c r="R64" s="507"/>
      <c r="S64" s="507"/>
      <c r="T64" s="508"/>
      <c r="U64" s="509"/>
      <c r="V64" s="416"/>
    </row>
    <row r="65" spans="1:22" x14ac:dyDescent="0.3">
      <c r="A65" s="418"/>
      <c r="B65" s="427"/>
      <c r="C65" s="420"/>
      <c r="D65" s="420"/>
      <c r="E65" s="420"/>
      <c r="F65" s="420"/>
      <c r="G65" s="420"/>
      <c r="H65" s="420"/>
      <c r="I65" s="420"/>
      <c r="J65" s="420"/>
      <c r="K65" s="420"/>
      <c r="L65" s="420"/>
      <c r="M65" s="420"/>
      <c r="N65" s="420"/>
      <c r="O65" s="420"/>
      <c r="P65" s="420"/>
      <c r="Q65" s="420"/>
      <c r="R65" s="420"/>
      <c r="S65" s="420"/>
      <c r="T65" s="510"/>
      <c r="U65" s="639"/>
      <c r="V65" s="416"/>
    </row>
    <row r="66" spans="1:22" ht="46.8" x14ac:dyDescent="0.3">
      <c r="A66" s="418"/>
      <c r="B66" s="511" t="s">
        <v>18</v>
      </c>
      <c r="C66" s="512"/>
      <c r="D66" s="512"/>
      <c r="E66" s="512"/>
      <c r="F66" s="512"/>
      <c r="G66" s="512"/>
      <c r="H66" s="512"/>
      <c r="I66" s="512"/>
      <c r="J66" s="512" t="s">
        <v>97</v>
      </c>
      <c r="K66" s="512"/>
      <c r="L66" s="512" t="s">
        <v>99</v>
      </c>
      <c r="M66" s="512"/>
      <c r="N66" s="512" t="s">
        <v>101</v>
      </c>
      <c r="O66" s="512"/>
      <c r="P66" s="512" t="s">
        <v>103</v>
      </c>
      <c r="Q66" s="512"/>
      <c r="R66" s="512" t="s">
        <v>110</v>
      </c>
      <c r="S66" s="512"/>
      <c r="T66" s="513" t="s">
        <v>118</v>
      </c>
      <c r="U66" s="642"/>
      <c r="V66" s="416"/>
    </row>
    <row r="67" spans="1:22" s="431" customFormat="1" x14ac:dyDescent="0.3">
      <c r="A67" s="449"/>
      <c r="B67" s="450" t="s">
        <v>19</v>
      </c>
      <c r="C67" s="514"/>
      <c r="D67" s="514"/>
      <c r="E67" s="514"/>
      <c r="F67" s="514"/>
      <c r="G67" s="514"/>
      <c r="H67" s="514"/>
      <c r="I67" s="514"/>
      <c r="J67" s="514">
        <v>1000039</v>
      </c>
      <c r="K67" s="514"/>
      <c r="L67" s="515">
        <v>435138</v>
      </c>
      <c r="M67" s="514"/>
      <c r="N67" s="514">
        <f>7918+483+32</f>
        <v>8433</v>
      </c>
      <c r="O67" s="514"/>
      <c r="P67" s="514">
        <f>483+32</f>
        <v>515</v>
      </c>
      <c r="Q67" s="514"/>
      <c r="R67" s="514">
        <v>0</v>
      </c>
      <c r="S67" s="514"/>
      <c r="T67" s="515">
        <f>+L67-N67+P67-R67</f>
        <v>427220</v>
      </c>
      <c r="U67" s="452"/>
      <c r="V67" s="430"/>
    </row>
    <row r="68" spans="1:22" s="431" customFormat="1" x14ac:dyDescent="0.3">
      <c r="A68" s="449"/>
      <c r="B68" s="450" t="s">
        <v>20</v>
      </c>
      <c r="C68" s="514"/>
      <c r="D68" s="514"/>
      <c r="E68" s="514"/>
      <c r="F68" s="514"/>
      <c r="G68" s="514"/>
      <c r="H68" s="514"/>
      <c r="I68" s="514"/>
      <c r="J68" s="514">
        <v>10</v>
      </c>
      <c r="K68" s="514"/>
      <c r="L68" s="515">
        <v>0</v>
      </c>
      <c r="M68" s="514"/>
      <c r="N68" s="514">
        <v>0</v>
      </c>
      <c r="O68" s="514"/>
      <c r="P68" s="514">
        <v>0</v>
      </c>
      <c r="Q68" s="514"/>
      <c r="R68" s="514">
        <v>0</v>
      </c>
      <c r="S68" s="514"/>
      <c r="T68" s="515">
        <v>0</v>
      </c>
      <c r="U68" s="452"/>
      <c r="V68" s="430"/>
    </row>
    <row r="69" spans="1:22" s="431" customFormat="1" x14ac:dyDescent="0.3">
      <c r="A69" s="449"/>
      <c r="B69" s="450"/>
      <c r="C69" s="514"/>
      <c r="D69" s="514"/>
      <c r="E69" s="514"/>
      <c r="F69" s="514"/>
      <c r="G69" s="514"/>
      <c r="H69" s="514"/>
      <c r="I69" s="514"/>
      <c r="J69" s="514"/>
      <c r="K69" s="514"/>
      <c r="L69" s="515"/>
      <c r="M69" s="514"/>
      <c r="N69" s="514"/>
      <c r="O69" s="514"/>
      <c r="P69" s="514"/>
      <c r="Q69" s="514"/>
      <c r="R69" s="514"/>
      <c r="S69" s="514"/>
      <c r="T69" s="515"/>
      <c r="U69" s="452"/>
      <c r="V69" s="430"/>
    </row>
    <row r="70" spans="1:22" s="431" customFormat="1" x14ac:dyDescent="0.3">
      <c r="A70" s="449"/>
      <c r="B70" s="450" t="s">
        <v>21</v>
      </c>
      <c r="C70" s="514"/>
      <c r="D70" s="514"/>
      <c r="E70" s="514"/>
      <c r="F70" s="514"/>
      <c r="G70" s="514"/>
      <c r="H70" s="514"/>
      <c r="I70" s="514"/>
      <c r="J70" s="514">
        <f>SUM(J67:J69)</f>
        <v>1000049</v>
      </c>
      <c r="K70" s="514"/>
      <c r="L70" s="514">
        <f>L67+L68</f>
        <v>435138</v>
      </c>
      <c r="M70" s="514"/>
      <c r="N70" s="514">
        <f>SUM(N67:N69)</f>
        <v>8433</v>
      </c>
      <c r="O70" s="514"/>
      <c r="P70" s="514">
        <f>SUM(P67:P69)</f>
        <v>515</v>
      </c>
      <c r="Q70" s="514"/>
      <c r="R70" s="514">
        <f>SUM(R67:R69)</f>
        <v>0</v>
      </c>
      <c r="S70" s="514"/>
      <c r="T70" s="514">
        <f>SUM(T67:T69)</f>
        <v>427220</v>
      </c>
      <c r="U70" s="452"/>
      <c r="V70" s="430"/>
    </row>
    <row r="71" spans="1:22" x14ac:dyDescent="0.3">
      <c r="A71" s="418"/>
      <c r="B71" s="516"/>
      <c r="C71" s="517"/>
      <c r="D71" s="517"/>
      <c r="E71" s="517"/>
      <c r="F71" s="517"/>
      <c r="G71" s="517"/>
      <c r="H71" s="517"/>
      <c r="I71" s="517"/>
      <c r="J71" s="517"/>
      <c r="K71" s="517"/>
      <c r="L71" s="517"/>
      <c r="M71" s="517"/>
      <c r="N71" s="517"/>
      <c r="O71" s="517"/>
      <c r="P71" s="517"/>
      <c r="Q71" s="517"/>
      <c r="R71" s="517"/>
      <c r="S71" s="517"/>
      <c r="T71" s="518"/>
      <c r="U71" s="639"/>
      <c r="V71" s="416"/>
    </row>
    <row r="72" spans="1:22" x14ac:dyDescent="0.3">
      <c r="A72" s="418"/>
      <c r="B72" s="422" t="s">
        <v>22</v>
      </c>
      <c r="C72" s="519"/>
      <c r="D72" s="519"/>
      <c r="E72" s="519"/>
      <c r="F72" s="519"/>
      <c r="G72" s="519"/>
      <c r="H72" s="519"/>
      <c r="I72" s="519"/>
      <c r="J72" s="519"/>
      <c r="K72" s="519"/>
      <c r="L72" s="519"/>
      <c r="M72" s="519"/>
      <c r="N72" s="519"/>
      <c r="O72" s="519"/>
      <c r="P72" s="519"/>
      <c r="Q72" s="519"/>
      <c r="R72" s="519"/>
      <c r="S72" s="519"/>
      <c r="T72" s="520"/>
      <c r="U72" s="639"/>
      <c r="V72" s="416"/>
    </row>
    <row r="73" spans="1:22" x14ac:dyDescent="0.3">
      <c r="A73" s="418"/>
      <c r="B73" s="420"/>
      <c r="C73" s="519"/>
      <c r="D73" s="519"/>
      <c r="E73" s="519"/>
      <c r="F73" s="519"/>
      <c r="G73" s="519"/>
      <c r="H73" s="519"/>
      <c r="I73" s="519"/>
      <c r="J73" s="519"/>
      <c r="K73" s="519"/>
      <c r="L73" s="519"/>
      <c r="M73" s="519"/>
      <c r="N73" s="519"/>
      <c r="O73" s="519"/>
      <c r="P73" s="519"/>
      <c r="Q73" s="519"/>
      <c r="R73" s="519"/>
      <c r="S73" s="519"/>
      <c r="T73" s="520"/>
      <c r="U73" s="639"/>
      <c r="V73" s="416"/>
    </row>
    <row r="74" spans="1:22" s="431" customFormat="1" x14ac:dyDescent="0.3">
      <c r="A74" s="449"/>
      <c r="B74" s="450" t="s">
        <v>19</v>
      </c>
      <c r="C74" s="514"/>
      <c r="D74" s="514"/>
      <c r="E74" s="514"/>
      <c r="F74" s="514"/>
      <c r="G74" s="514"/>
      <c r="H74" s="514"/>
      <c r="I74" s="514"/>
      <c r="J74" s="514"/>
      <c r="K74" s="514"/>
      <c r="L74" s="514"/>
      <c r="M74" s="514"/>
      <c r="N74" s="514"/>
      <c r="O74" s="514"/>
      <c r="P74" s="514"/>
      <c r="Q74" s="514"/>
      <c r="R74" s="514"/>
      <c r="S74" s="514"/>
      <c r="T74" s="514"/>
      <c r="U74" s="452"/>
      <c r="V74" s="430"/>
    </row>
    <row r="75" spans="1:22" s="431" customFormat="1" x14ac:dyDescent="0.3">
      <c r="A75" s="449"/>
      <c r="B75" s="450" t="s">
        <v>20</v>
      </c>
      <c r="C75" s="514"/>
      <c r="D75" s="514"/>
      <c r="E75" s="514"/>
      <c r="F75" s="514"/>
      <c r="G75" s="514"/>
      <c r="H75" s="514"/>
      <c r="I75" s="514"/>
      <c r="J75" s="514"/>
      <c r="K75" s="514"/>
      <c r="L75" s="514"/>
      <c r="M75" s="514"/>
      <c r="N75" s="514"/>
      <c r="O75" s="514"/>
      <c r="P75" s="514"/>
      <c r="Q75" s="514"/>
      <c r="R75" s="514"/>
      <c r="S75" s="514"/>
      <c r="T75" s="514"/>
      <c r="U75" s="452"/>
      <c r="V75" s="430"/>
    </row>
    <row r="76" spans="1:22" s="431" customFormat="1" x14ac:dyDescent="0.3">
      <c r="A76" s="449"/>
      <c r="B76" s="450"/>
      <c r="C76" s="514"/>
      <c r="D76" s="514"/>
      <c r="E76" s="514"/>
      <c r="F76" s="514"/>
      <c r="G76" s="514"/>
      <c r="H76" s="514"/>
      <c r="I76" s="514"/>
      <c r="J76" s="514"/>
      <c r="K76" s="514"/>
      <c r="L76" s="514"/>
      <c r="M76" s="514"/>
      <c r="N76" s="514"/>
      <c r="O76" s="514"/>
      <c r="P76" s="514"/>
      <c r="Q76" s="514"/>
      <c r="R76" s="514"/>
      <c r="S76" s="514"/>
      <c r="T76" s="514"/>
      <c r="U76" s="452"/>
      <c r="V76" s="430"/>
    </row>
    <row r="77" spans="1:22" s="431" customFormat="1" x14ac:dyDescent="0.3">
      <c r="A77" s="449"/>
      <c r="B77" s="450" t="s">
        <v>21</v>
      </c>
      <c r="C77" s="514"/>
      <c r="D77" s="514"/>
      <c r="E77" s="514"/>
      <c r="F77" s="514"/>
      <c r="G77" s="514"/>
      <c r="H77" s="514"/>
      <c r="I77" s="514"/>
      <c r="J77" s="514"/>
      <c r="K77" s="514"/>
      <c r="L77" s="514"/>
      <c r="M77" s="514"/>
      <c r="N77" s="514"/>
      <c r="O77" s="514"/>
      <c r="P77" s="514"/>
      <c r="Q77" s="514"/>
      <c r="R77" s="514"/>
      <c r="S77" s="514"/>
      <c r="T77" s="514"/>
      <c r="U77" s="452"/>
      <c r="V77" s="430"/>
    </row>
    <row r="78" spans="1:22" s="431" customFormat="1" x14ac:dyDescent="0.3">
      <c r="A78" s="449"/>
      <c r="B78" s="450"/>
      <c r="C78" s="514"/>
      <c r="D78" s="514"/>
      <c r="E78" s="514"/>
      <c r="F78" s="514"/>
      <c r="G78" s="514"/>
      <c r="H78" s="514"/>
      <c r="I78" s="514"/>
      <c r="J78" s="514"/>
      <c r="K78" s="514"/>
      <c r="L78" s="514"/>
      <c r="M78" s="514"/>
      <c r="N78" s="514"/>
      <c r="O78" s="514"/>
      <c r="P78" s="514"/>
      <c r="Q78" s="514"/>
      <c r="R78" s="514"/>
      <c r="S78" s="514"/>
      <c r="T78" s="514"/>
      <c r="U78" s="452"/>
      <c r="V78" s="430"/>
    </row>
    <row r="79" spans="1:22" s="431" customFormat="1" x14ac:dyDescent="0.3">
      <c r="A79" s="449"/>
      <c r="B79" s="450" t="s">
        <v>23</v>
      </c>
      <c r="C79" s="514"/>
      <c r="D79" s="514"/>
      <c r="E79" s="514"/>
      <c r="F79" s="514"/>
      <c r="G79" s="514"/>
      <c r="H79" s="514"/>
      <c r="I79" s="514"/>
      <c r="J79" s="514">
        <v>0</v>
      </c>
      <c r="K79" s="514"/>
      <c r="L79" s="514">
        <v>0</v>
      </c>
      <c r="M79" s="514"/>
      <c r="N79" s="514"/>
      <c r="O79" s="514"/>
      <c r="P79" s="514"/>
      <c r="Q79" s="514"/>
      <c r="R79" s="514"/>
      <c r="S79" s="514"/>
      <c r="T79" s="515">
        <v>0</v>
      </c>
      <c r="U79" s="452"/>
      <c r="V79" s="430"/>
    </row>
    <row r="80" spans="1:22" s="431" customFormat="1" x14ac:dyDescent="0.3">
      <c r="A80" s="449"/>
      <c r="B80" s="450" t="s">
        <v>123</v>
      </c>
      <c r="C80" s="514"/>
      <c r="D80" s="514"/>
      <c r="E80" s="514"/>
      <c r="F80" s="514"/>
      <c r="G80" s="514"/>
      <c r="H80" s="514"/>
      <c r="I80" s="514"/>
      <c r="J80" s="514">
        <v>0</v>
      </c>
      <c r="K80" s="514"/>
      <c r="L80" s="514">
        <v>0</v>
      </c>
      <c r="M80" s="514"/>
      <c r="N80" s="514"/>
      <c r="O80" s="514"/>
      <c r="P80" s="514"/>
      <c r="Q80" s="514"/>
      <c r="R80" s="514"/>
      <c r="S80" s="514"/>
      <c r="T80" s="514">
        <f>SUM(J80:P80)</f>
        <v>0</v>
      </c>
      <c r="U80" s="452"/>
      <c r="V80" s="430"/>
    </row>
    <row r="81" spans="1:22" s="431" customFormat="1" x14ac:dyDescent="0.3">
      <c r="A81" s="449"/>
      <c r="B81" s="450" t="s">
        <v>152</v>
      </c>
      <c r="C81" s="514"/>
      <c r="D81" s="514"/>
      <c r="E81" s="514"/>
      <c r="F81" s="514"/>
      <c r="G81" s="514"/>
      <c r="H81" s="514"/>
      <c r="I81" s="514"/>
      <c r="J81" s="514">
        <v>1</v>
      </c>
      <c r="K81" s="514"/>
      <c r="L81" s="514">
        <v>0</v>
      </c>
      <c r="M81" s="514"/>
      <c r="N81" s="514">
        <v>0</v>
      </c>
      <c r="O81" s="514"/>
      <c r="P81" s="514"/>
      <c r="Q81" s="514"/>
      <c r="R81" s="514"/>
      <c r="S81" s="514"/>
      <c r="T81" s="514">
        <f>+L81+N81</f>
        <v>0</v>
      </c>
      <c r="U81" s="452"/>
      <c r="V81" s="430"/>
    </row>
    <row r="82" spans="1:22" s="431" customFormat="1" x14ac:dyDescent="0.3">
      <c r="A82" s="449"/>
      <c r="B82" s="450" t="s">
        <v>25</v>
      </c>
      <c r="C82" s="514"/>
      <c r="D82" s="514"/>
      <c r="E82" s="514"/>
      <c r="F82" s="514"/>
      <c r="G82" s="514"/>
      <c r="H82" s="514"/>
      <c r="I82" s="514"/>
      <c r="J82" s="514">
        <v>0</v>
      </c>
      <c r="K82" s="514"/>
      <c r="L82" s="514">
        <v>0</v>
      </c>
      <c r="M82" s="514"/>
      <c r="N82" s="514"/>
      <c r="O82" s="514"/>
      <c r="P82" s="514"/>
      <c r="Q82" s="514"/>
      <c r="R82" s="514"/>
      <c r="S82" s="514"/>
      <c r="T82" s="514">
        <v>0</v>
      </c>
      <c r="U82" s="452"/>
      <c r="V82" s="430"/>
    </row>
    <row r="83" spans="1:22" s="431" customFormat="1" x14ac:dyDescent="0.3">
      <c r="A83" s="449"/>
      <c r="B83" s="450" t="s">
        <v>26</v>
      </c>
      <c r="C83" s="514"/>
      <c r="D83" s="514"/>
      <c r="E83" s="514"/>
      <c r="F83" s="514"/>
      <c r="G83" s="514"/>
      <c r="H83" s="514"/>
      <c r="I83" s="514"/>
      <c r="J83" s="514">
        <f>SUM(J70:J82)</f>
        <v>1000050</v>
      </c>
      <c r="K83" s="514"/>
      <c r="L83" s="514">
        <f>SUM(L70:L82)</f>
        <v>435138</v>
      </c>
      <c r="M83" s="514"/>
      <c r="N83" s="514"/>
      <c r="O83" s="514"/>
      <c r="P83" s="514"/>
      <c r="Q83" s="514"/>
      <c r="R83" s="514"/>
      <c r="S83" s="514"/>
      <c r="T83" s="514">
        <f>SUM(T70:T82)</f>
        <v>427220</v>
      </c>
      <c r="U83" s="452"/>
      <c r="V83" s="430"/>
    </row>
    <row r="84" spans="1:22" x14ac:dyDescent="0.3">
      <c r="A84" s="418"/>
      <c r="B84" s="516"/>
      <c r="C84" s="517"/>
      <c r="D84" s="517"/>
      <c r="E84" s="517"/>
      <c r="F84" s="517"/>
      <c r="G84" s="517"/>
      <c r="H84" s="517"/>
      <c r="I84" s="517"/>
      <c r="J84" s="517"/>
      <c r="K84" s="517"/>
      <c r="L84" s="517"/>
      <c r="M84" s="517"/>
      <c r="N84" s="517"/>
      <c r="O84" s="517"/>
      <c r="P84" s="517"/>
      <c r="Q84" s="517"/>
      <c r="R84" s="517"/>
      <c r="S84" s="517"/>
      <c r="T84" s="518"/>
      <c r="U84" s="639"/>
      <c r="V84" s="416"/>
    </row>
    <row r="85" spans="1:22" x14ac:dyDescent="0.3">
      <c r="A85" s="418"/>
      <c r="B85" s="420"/>
      <c r="C85" s="420"/>
      <c r="D85" s="420"/>
      <c r="E85" s="420"/>
      <c r="F85" s="420"/>
      <c r="G85" s="420"/>
      <c r="H85" s="420"/>
      <c r="I85" s="420"/>
      <c r="J85" s="420"/>
      <c r="K85" s="420"/>
      <c r="L85" s="420"/>
      <c r="M85" s="420"/>
      <c r="N85" s="420"/>
      <c r="O85" s="420"/>
      <c r="P85" s="420"/>
      <c r="Q85" s="420"/>
      <c r="R85" s="420"/>
      <c r="S85" s="420"/>
      <c r="T85" s="420"/>
      <c r="U85" s="639"/>
      <c r="V85" s="416"/>
    </row>
    <row r="86" spans="1:22" x14ac:dyDescent="0.3">
      <c r="A86" s="442"/>
      <c r="B86" s="521" t="s">
        <v>27</v>
      </c>
      <c r="C86" s="521"/>
      <c r="D86" s="521"/>
      <c r="E86" s="521"/>
      <c r="F86" s="521"/>
      <c r="G86" s="521"/>
      <c r="H86" s="522"/>
      <c r="I86" s="522"/>
      <c r="J86" s="523" t="s">
        <v>98</v>
      </c>
      <c r="K86" s="522"/>
      <c r="L86" s="524">
        <f>+R193</f>
        <v>43007</v>
      </c>
      <c r="M86" s="522"/>
      <c r="N86" s="522"/>
      <c r="O86" s="522"/>
      <c r="P86" s="522"/>
      <c r="Q86" s="522"/>
      <c r="R86" s="522" t="s">
        <v>111</v>
      </c>
      <c r="S86" s="522"/>
      <c r="T86" s="522" t="s">
        <v>119</v>
      </c>
      <c r="U86" s="446"/>
      <c r="V86" s="416"/>
    </row>
    <row r="87" spans="1:22" s="431" customFormat="1" x14ac:dyDescent="0.3">
      <c r="A87" s="432"/>
      <c r="B87" s="447" t="s">
        <v>28</v>
      </c>
      <c r="C87" s="447"/>
      <c r="D87" s="447"/>
      <c r="E87" s="447"/>
      <c r="F87" s="447"/>
      <c r="G87" s="447"/>
      <c r="H87" s="447"/>
      <c r="I87" s="447"/>
      <c r="J87" s="447"/>
      <c r="K87" s="447"/>
      <c r="L87" s="447"/>
      <c r="M87" s="447"/>
      <c r="N87" s="447"/>
      <c r="O87" s="447"/>
      <c r="P87" s="447"/>
      <c r="Q87" s="447"/>
      <c r="R87" s="525">
        <v>0</v>
      </c>
      <c r="S87" s="447"/>
      <c r="T87" s="526">
        <v>0</v>
      </c>
      <c r="U87" s="641"/>
      <c r="V87" s="430"/>
    </row>
    <row r="88" spans="1:22" s="431" customFormat="1" x14ac:dyDescent="0.3">
      <c r="A88" s="449"/>
      <c r="B88" s="450" t="s">
        <v>29</v>
      </c>
      <c r="C88" s="450"/>
      <c r="D88" s="450"/>
      <c r="E88" s="450"/>
      <c r="F88" s="450"/>
      <c r="G88" s="450"/>
      <c r="H88" s="486"/>
      <c r="I88" s="527"/>
      <c r="J88" s="486"/>
      <c r="K88" s="450"/>
      <c r="L88" s="528"/>
      <c r="M88" s="450"/>
      <c r="N88" s="450"/>
      <c r="O88" s="450"/>
      <c r="P88" s="450"/>
      <c r="Q88" s="450"/>
      <c r="R88" s="514">
        <f>8433-141</f>
        <v>8292</v>
      </c>
      <c r="S88" s="450"/>
      <c r="T88" s="515"/>
      <c r="U88" s="452"/>
      <c r="V88" s="430"/>
    </row>
    <row r="89" spans="1:22" s="431" customFormat="1" x14ac:dyDescent="0.3">
      <c r="A89" s="449"/>
      <c r="B89" s="450" t="s">
        <v>225</v>
      </c>
      <c r="C89" s="450"/>
      <c r="D89" s="450"/>
      <c r="E89" s="450"/>
      <c r="F89" s="450"/>
      <c r="G89" s="450"/>
      <c r="H89" s="486"/>
      <c r="I89" s="527"/>
      <c r="J89" s="486"/>
      <c r="K89" s="450"/>
      <c r="L89" s="528"/>
      <c r="M89" s="450"/>
      <c r="N89" s="450"/>
      <c r="O89" s="450"/>
      <c r="P89" s="450"/>
      <c r="Q89" s="450"/>
      <c r="R89" s="514"/>
      <c r="S89" s="450"/>
      <c r="T89" s="515">
        <f>1408+1606-341-425</f>
        <v>2248</v>
      </c>
      <c r="U89" s="452"/>
      <c r="V89" s="430"/>
    </row>
    <row r="90" spans="1:22" s="431" customFormat="1" x14ac:dyDescent="0.3">
      <c r="A90" s="449"/>
      <c r="B90" s="450" t="s">
        <v>220</v>
      </c>
      <c r="C90" s="450"/>
      <c r="D90" s="450"/>
      <c r="E90" s="450"/>
      <c r="F90" s="450"/>
      <c r="G90" s="450"/>
      <c r="H90" s="486"/>
      <c r="I90" s="527"/>
      <c r="J90" s="486"/>
      <c r="K90" s="450"/>
      <c r="L90" s="528"/>
      <c r="M90" s="450"/>
      <c r="N90" s="450"/>
      <c r="O90" s="450"/>
      <c r="P90" s="450"/>
      <c r="Q90" s="450"/>
      <c r="R90" s="514"/>
      <c r="S90" s="450"/>
      <c r="T90" s="515">
        <f>82+38</f>
        <v>120</v>
      </c>
      <c r="U90" s="452"/>
      <c r="V90" s="430"/>
    </row>
    <row r="91" spans="1:22" s="431" customFormat="1" x14ac:dyDescent="0.3">
      <c r="A91" s="449"/>
      <c r="B91" s="450" t="s">
        <v>221</v>
      </c>
      <c r="C91" s="450"/>
      <c r="D91" s="450"/>
      <c r="E91" s="450"/>
      <c r="F91" s="450"/>
      <c r="G91" s="450"/>
      <c r="H91" s="486"/>
      <c r="I91" s="527"/>
      <c r="J91" s="486"/>
      <c r="K91" s="450"/>
      <c r="L91" s="528"/>
      <c r="M91" s="450"/>
      <c r="N91" s="450"/>
      <c r="O91" s="450"/>
      <c r="P91" s="450"/>
      <c r="Q91" s="450"/>
      <c r="R91" s="514"/>
      <c r="S91" s="450"/>
      <c r="T91" s="515">
        <v>18</v>
      </c>
      <c r="U91" s="452"/>
      <c r="V91" s="430"/>
    </row>
    <row r="92" spans="1:22" s="431" customFormat="1" x14ac:dyDescent="0.3">
      <c r="A92" s="449"/>
      <c r="B92" s="450" t="s">
        <v>261</v>
      </c>
      <c r="C92" s="450"/>
      <c r="D92" s="450"/>
      <c r="E92" s="450"/>
      <c r="F92" s="450"/>
      <c r="G92" s="450"/>
      <c r="H92" s="486"/>
      <c r="I92" s="527"/>
      <c r="J92" s="486"/>
      <c r="K92" s="450"/>
      <c r="L92" s="528"/>
      <c r="M92" s="450"/>
      <c r="N92" s="450"/>
      <c r="O92" s="450"/>
      <c r="P92" s="450"/>
      <c r="Q92" s="450"/>
      <c r="R92" s="514"/>
      <c r="S92" s="450"/>
      <c r="T92" s="515">
        <v>0</v>
      </c>
      <c r="U92" s="452"/>
      <c r="V92" s="430"/>
    </row>
    <row r="93" spans="1:22" s="431" customFormat="1" x14ac:dyDescent="0.3">
      <c r="A93" s="449"/>
      <c r="B93" s="450" t="s">
        <v>141</v>
      </c>
      <c r="C93" s="450"/>
      <c r="D93" s="450"/>
      <c r="E93" s="450"/>
      <c r="F93" s="450"/>
      <c r="G93" s="450"/>
      <c r="H93" s="450"/>
      <c r="I93" s="450"/>
      <c r="J93" s="450"/>
      <c r="K93" s="450"/>
      <c r="L93" s="450"/>
      <c r="M93" s="450"/>
      <c r="N93" s="450"/>
      <c r="O93" s="450"/>
      <c r="P93" s="450"/>
      <c r="Q93" s="450"/>
      <c r="R93" s="514"/>
      <c r="S93" s="450"/>
      <c r="T93" s="515">
        <v>0</v>
      </c>
      <c r="U93" s="452"/>
      <c r="V93" s="430"/>
    </row>
    <row r="94" spans="1:22" s="431" customFormat="1" x14ac:dyDescent="0.3">
      <c r="A94" s="449"/>
      <c r="B94" s="450" t="s">
        <v>250</v>
      </c>
      <c r="C94" s="450"/>
      <c r="D94" s="450"/>
      <c r="E94" s="450"/>
      <c r="F94" s="450"/>
      <c r="G94" s="450"/>
      <c r="H94" s="450"/>
      <c r="I94" s="450"/>
      <c r="J94" s="450"/>
      <c r="K94" s="450"/>
      <c r="L94" s="450"/>
      <c r="M94" s="450"/>
      <c r="N94" s="450"/>
      <c r="O94" s="450"/>
      <c r="P94" s="450"/>
      <c r="Q94" s="450"/>
      <c r="R94" s="514"/>
      <c r="S94" s="450"/>
      <c r="T94" s="515">
        <v>67</v>
      </c>
      <c r="U94" s="452"/>
      <c r="V94" s="430"/>
    </row>
    <row r="95" spans="1:22" s="431" customFormat="1" x14ac:dyDescent="0.3">
      <c r="A95" s="449"/>
      <c r="B95" s="450" t="s">
        <v>30</v>
      </c>
      <c r="C95" s="450"/>
      <c r="D95" s="450"/>
      <c r="E95" s="450"/>
      <c r="F95" s="450"/>
      <c r="G95" s="450"/>
      <c r="H95" s="450"/>
      <c r="I95" s="450"/>
      <c r="J95" s="450"/>
      <c r="K95" s="450"/>
      <c r="L95" s="450"/>
      <c r="M95" s="450"/>
      <c r="N95" s="450"/>
      <c r="O95" s="450"/>
      <c r="P95" s="450"/>
      <c r="Q95" s="450"/>
      <c r="R95" s="514">
        <f>SUM(R87:R94)</f>
        <v>8292</v>
      </c>
      <c r="S95" s="450"/>
      <c r="T95" s="514">
        <f>SUM(T87:T94)</f>
        <v>2453</v>
      </c>
      <c r="U95" s="452"/>
      <c r="V95" s="430"/>
    </row>
    <row r="96" spans="1:22" s="431" customFormat="1" x14ac:dyDescent="0.3">
      <c r="A96" s="449"/>
      <c r="B96" s="450" t="s">
        <v>168</v>
      </c>
      <c r="C96" s="450"/>
      <c r="D96" s="450"/>
      <c r="E96" s="450"/>
      <c r="F96" s="450"/>
      <c r="G96" s="450"/>
      <c r="H96" s="450"/>
      <c r="I96" s="450"/>
      <c r="J96" s="450"/>
      <c r="K96" s="450"/>
      <c r="L96" s="450"/>
      <c r="M96" s="450"/>
      <c r="N96" s="450"/>
      <c r="O96" s="450"/>
      <c r="P96" s="450"/>
      <c r="Q96" s="450"/>
      <c r="R96" s="514">
        <v>0</v>
      </c>
      <c r="S96" s="450"/>
      <c r="T96" s="514">
        <f>-R96</f>
        <v>0</v>
      </c>
      <c r="U96" s="452"/>
      <c r="V96" s="430"/>
    </row>
    <row r="97" spans="1:24" s="431" customFormat="1" x14ac:dyDescent="0.3">
      <c r="A97" s="449"/>
      <c r="B97" s="450" t="s">
        <v>31</v>
      </c>
      <c r="C97" s="450"/>
      <c r="D97" s="450"/>
      <c r="E97" s="450"/>
      <c r="F97" s="450"/>
      <c r="G97" s="450"/>
      <c r="H97" s="450"/>
      <c r="I97" s="450"/>
      <c r="J97" s="450"/>
      <c r="K97" s="450"/>
      <c r="L97" s="450"/>
      <c r="M97" s="450"/>
      <c r="N97" s="450"/>
      <c r="O97" s="450"/>
      <c r="P97" s="450"/>
      <c r="Q97" s="450"/>
      <c r="R97" s="514">
        <f>-T97</f>
        <v>0</v>
      </c>
      <c r="S97" s="450"/>
      <c r="T97" s="515">
        <v>0</v>
      </c>
      <c r="U97" s="452"/>
      <c r="V97" s="430"/>
    </row>
    <row r="98" spans="1:24" s="431" customFormat="1" x14ac:dyDescent="0.3">
      <c r="A98" s="449"/>
      <c r="B98" s="450" t="s">
        <v>273</v>
      </c>
      <c r="C98" s="450"/>
      <c r="D98" s="450"/>
      <c r="E98" s="450"/>
      <c r="F98" s="450"/>
      <c r="G98" s="450"/>
      <c r="H98" s="450"/>
      <c r="I98" s="450"/>
      <c r="J98" s="450"/>
      <c r="K98" s="450"/>
      <c r="L98" s="450"/>
      <c r="M98" s="450"/>
      <c r="N98" s="450"/>
      <c r="O98" s="450"/>
      <c r="P98" s="450"/>
      <c r="Q98" s="450"/>
      <c r="R98" s="514"/>
      <c r="S98" s="450"/>
      <c r="T98" s="515">
        <v>-79</v>
      </c>
      <c r="U98" s="452"/>
      <c r="V98" s="430"/>
    </row>
    <row r="99" spans="1:24" s="431" customFormat="1" x14ac:dyDescent="0.3">
      <c r="A99" s="449"/>
      <c r="B99" s="450" t="s">
        <v>32</v>
      </c>
      <c r="C99" s="450"/>
      <c r="D99" s="450"/>
      <c r="E99" s="450"/>
      <c r="F99" s="450"/>
      <c r="G99" s="450"/>
      <c r="H99" s="450"/>
      <c r="I99" s="450"/>
      <c r="J99" s="450"/>
      <c r="K99" s="450"/>
      <c r="L99" s="450"/>
      <c r="M99" s="450"/>
      <c r="N99" s="450"/>
      <c r="O99" s="450"/>
      <c r="P99" s="450"/>
      <c r="Q99" s="450"/>
      <c r="R99" s="514">
        <f>R95+R97+R96</f>
        <v>8292</v>
      </c>
      <c r="S99" s="450"/>
      <c r="T99" s="514">
        <f>T95+T97+T96+T98</f>
        <v>2374</v>
      </c>
      <c r="U99" s="452"/>
      <c r="V99" s="430"/>
    </row>
    <row r="100" spans="1:24" x14ac:dyDescent="0.3">
      <c r="A100" s="468"/>
      <c r="B100" s="529" t="s">
        <v>33</v>
      </c>
      <c r="C100" s="470"/>
      <c r="D100" s="470"/>
      <c r="E100" s="470"/>
      <c r="F100" s="470"/>
      <c r="G100" s="470"/>
      <c r="H100" s="470"/>
      <c r="I100" s="470"/>
      <c r="J100" s="470"/>
      <c r="K100" s="470"/>
      <c r="L100" s="470"/>
      <c r="M100" s="470"/>
      <c r="N100" s="470"/>
      <c r="O100" s="470"/>
      <c r="P100" s="470"/>
      <c r="Q100" s="470"/>
      <c r="R100" s="530"/>
      <c r="S100" s="470"/>
      <c r="T100" s="531"/>
      <c r="U100" s="476"/>
      <c r="V100" s="416"/>
    </row>
    <row r="101" spans="1:24" s="431" customFormat="1" x14ac:dyDescent="0.3">
      <c r="A101" s="449">
        <v>1</v>
      </c>
      <c r="B101" s="450" t="s">
        <v>34</v>
      </c>
      <c r="C101" s="450"/>
      <c r="D101" s="450"/>
      <c r="E101" s="450"/>
      <c r="F101" s="450"/>
      <c r="G101" s="450"/>
      <c r="H101" s="450"/>
      <c r="I101" s="450"/>
      <c r="J101" s="450"/>
      <c r="K101" s="450"/>
      <c r="L101" s="450"/>
      <c r="M101" s="450"/>
      <c r="N101" s="450"/>
      <c r="O101" s="450"/>
      <c r="P101" s="450"/>
      <c r="Q101" s="450"/>
      <c r="R101" s="450"/>
      <c r="S101" s="450"/>
      <c r="T101" s="515">
        <v>0</v>
      </c>
      <c r="U101" s="452"/>
      <c r="V101" s="430"/>
    </row>
    <row r="102" spans="1:24" s="431" customFormat="1" x14ac:dyDescent="0.3">
      <c r="A102" s="449">
        <f>+A101+1</f>
        <v>2</v>
      </c>
      <c r="B102" s="450" t="s">
        <v>312</v>
      </c>
      <c r="C102" s="450"/>
      <c r="D102" s="450"/>
      <c r="E102" s="450"/>
      <c r="F102" s="450"/>
      <c r="G102" s="450"/>
      <c r="H102" s="450"/>
      <c r="I102" s="450"/>
      <c r="J102" s="450"/>
      <c r="K102" s="450"/>
      <c r="L102" s="450"/>
      <c r="M102" s="450"/>
      <c r="N102" s="450"/>
      <c r="O102" s="450"/>
      <c r="P102" s="450"/>
      <c r="Q102" s="450"/>
      <c r="R102" s="450"/>
      <c r="S102" s="450"/>
      <c r="T102" s="515">
        <v>-2</v>
      </c>
      <c r="U102" s="452"/>
      <c r="V102" s="430"/>
    </row>
    <row r="103" spans="1:24" s="431" customFormat="1" x14ac:dyDescent="0.3">
      <c r="A103" s="449">
        <f>+A102+1</f>
        <v>3</v>
      </c>
      <c r="B103" s="532" t="s">
        <v>314</v>
      </c>
      <c r="C103" s="450"/>
      <c r="D103" s="450"/>
      <c r="E103" s="450"/>
      <c r="F103" s="450"/>
      <c r="G103" s="450"/>
      <c r="H103" s="450"/>
      <c r="I103" s="450"/>
      <c r="J103" s="450"/>
      <c r="K103" s="450"/>
      <c r="L103" s="450"/>
      <c r="M103" s="450"/>
      <c r="N103" s="450"/>
      <c r="O103" s="450"/>
      <c r="P103" s="450"/>
      <c r="Q103" s="450"/>
      <c r="R103" s="450"/>
      <c r="S103" s="450"/>
      <c r="T103" s="515">
        <f>-167-60-6</f>
        <v>-233</v>
      </c>
      <c r="U103" s="452"/>
      <c r="V103" s="430"/>
    </row>
    <row r="104" spans="1:24" s="431" customFormat="1" x14ac:dyDescent="0.3">
      <c r="A104" s="449" t="s">
        <v>133</v>
      </c>
      <c r="B104" s="450" t="s">
        <v>122</v>
      </c>
      <c r="C104" s="450"/>
      <c r="D104" s="450"/>
      <c r="E104" s="450"/>
      <c r="F104" s="450"/>
      <c r="G104" s="450"/>
      <c r="H104" s="450"/>
      <c r="I104" s="450"/>
      <c r="J104" s="450"/>
      <c r="K104" s="450"/>
      <c r="L104" s="450"/>
      <c r="M104" s="450"/>
      <c r="N104" s="450"/>
      <c r="O104" s="450"/>
      <c r="P104" s="450"/>
      <c r="Q104" s="450"/>
      <c r="R104" s="450"/>
      <c r="S104" s="450"/>
      <c r="T104" s="515">
        <v>0</v>
      </c>
      <c r="U104" s="452"/>
      <c r="V104" s="430"/>
    </row>
    <row r="105" spans="1:24" s="431" customFormat="1" x14ac:dyDescent="0.3">
      <c r="A105" s="449" t="s">
        <v>134</v>
      </c>
      <c r="B105" s="450" t="s">
        <v>348</v>
      </c>
      <c r="C105" s="450"/>
      <c r="D105" s="450"/>
      <c r="E105" s="450"/>
      <c r="F105" s="450"/>
      <c r="G105" s="450"/>
      <c r="H105" s="450"/>
      <c r="I105" s="450"/>
      <c r="J105" s="450"/>
      <c r="K105" s="450"/>
      <c r="L105" s="450"/>
      <c r="M105" s="450"/>
      <c r="N105" s="450"/>
      <c r="O105" s="450"/>
      <c r="P105" s="450"/>
      <c r="Q105" s="450"/>
      <c r="R105" s="450"/>
      <c r="S105" s="450"/>
      <c r="T105" s="515">
        <f>-353+74</f>
        <v>-279</v>
      </c>
      <c r="U105" s="452"/>
      <c r="V105" s="430"/>
      <c r="W105" s="533"/>
    </row>
    <row r="106" spans="1:24" s="431" customFormat="1" x14ac:dyDescent="0.3">
      <c r="A106" s="449" t="s">
        <v>156</v>
      </c>
      <c r="B106" s="450" t="s">
        <v>349</v>
      </c>
      <c r="C106" s="450"/>
      <c r="D106" s="450"/>
      <c r="E106" s="450"/>
      <c r="F106" s="450"/>
      <c r="G106" s="450"/>
      <c r="H106" s="450"/>
      <c r="I106" s="450"/>
      <c r="J106" s="450"/>
      <c r="K106" s="450"/>
      <c r="L106" s="450"/>
      <c r="M106" s="450"/>
      <c r="N106" s="450"/>
      <c r="O106" s="450"/>
      <c r="P106" s="450"/>
      <c r="Q106" s="450"/>
      <c r="R106" s="450"/>
      <c r="S106" s="450"/>
      <c r="T106" s="515">
        <v>-74</v>
      </c>
      <c r="U106" s="452"/>
      <c r="V106" s="430"/>
      <c r="W106" s="533"/>
    </row>
    <row r="107" spans="1:24" s="431" customFormat="1" x14ac:dyDescent="0.3">
      <c r="A107" s="449" t="s">
        <v>214</v>
      </c>
      <c r="B107" s="450" t="s">
        <v>192</v>
      </c>
      <c r="C107" s="450"/>
      <c r="D107" s="450"/>
      <c r="E107" s="450"/>
      <c r="F107" s="450"/>
      <c r="G107" s="450"/>
      <c r="H107" s="450"/>
      <c r="I107" s="450"/>
      <c r="J107" s="450"/>
      <c r="K107" s="450"/>
      <c r="L107" s="450"/>
      <c r="M107" s="450"/>
      <c r="N107" s="450"/>
      <c r="O107" s="450"/>
      <c r="P107" s="450"/>
      <c r="Q107" s="450"/>
      <c r="R107" s="450"/>
      <c r="S107" s="450"/>
      <c r="T107" s="515">
        <v>-99</v>
      </c>
      <c r="U107" s="452"/>
      <c r="V107" s="430"/>
      <c r="W107" s="533"/>
      <c r="X107" s="533"/>
    </row>
    <row r="108" spans="1:24" s="431" customFormat="1" x14ac:dyDescent="0.3">
      <c r="A108" s="449" t="s">
        <v>215</v>
      </c>
      <c r="B108" s="450" t="s">
        <v>193</v>
      </c>
      <c r="C108" s="450"/>
      <c r="D108" s="450"/>
      <c r="E108" s="450"/>
      <c r="F108" s="450"/>
      <c r="G108" s="450"/>
      <c r="H108" s="450"/>
      <c r="I108" s="450"/>
      <c r="J108" s="450"/>
      <c r="K108" s="450"/>
      <c r="L108" s="450"/>
      <c r="M108" s="450"/>
      <c r="N108" s="450"/>
      <c r="O108" s="450"/>
      <c r="P108" s="450"/>
      <c r="Q108" s="450"/>
      <c r="R108" s="450"/>
      <c r="S108" s="450"/>
      <c r="T108" s="515">
        <v>-27</v>
      </c>
      <c r="U108" s="452"/>
      <c r="V108" s="534"/>
      <c r="W108" s="533"/>
    </row>
    <row r="109" spans="1:24" s="431" customFormat="1" x14ac:dyDescent="0.3">
      <c r="A109" s="449" t="s">
        <v>216</v>
      </c>
      <c r="B109" s="450" t="s">
        <v>204</v>
      </c>
      <c r="C109" s="450"/>
      <c r="D109" s="450"/>
      <c r="E109" s="450"/>
      <c r="F109" s="450"/>
      <c r="G109" s="450"/>
      <c r="H109" s="450"/>
      <c r="I109" s="450"/>
      <c r="J109" s="450"/>
      <c r="K109" s="450"/>
      <c r="L109" s="450"/>
      <c r="M109" s="450"/>
      <c r="N109" s="450"/>
      <c r="O109" s="450"/>
      <c r="P109" s="450"/>
      <c r="Q109" s="450"/>
      <c r="R109" s="450"/>
      <c r="S109" s="450"/>
      <c r="T109" s="515">
        <v>-167</v>
      </c>
      <c r="U109" s="452"/>
      <c r="V109" s="430"/>
      <c r="W109" s="533"/>
    </row>
    <row r="110" spans="1:24" s="431" customFormat="1" x14ac:dyDescent="0.3">
      <c r="A110" s="535">
        <v>7</v>
      </c>
      <c r="B110" s="532" t="s">
        <v>313</v>
      </c>
      <c r="C110" s="532"/>
      <c r="D110" s="532"/>
      <c r="E110" s="532"/>
      <c r="F110" s="532"/>
      <c r="G110" s="450"/>
      <c r="H110" s="450"/>
      <c r="I110" s="450"/>
      <c r="J110" s="450"/>
      <c r="K110" s="450"/>
      <c r="L110" s="450"/>
      <c r="M110" s="450"/>
      <c r="N110" s="450"/>
      <c r="O110" s="450"/>
      <c r="P110" s="450"/>
      <c r="Q110" s="450"/>
      <c r="R110" s="450"/>
      <c r="S110" s="450"/>
      <c r="T110" s="515">
        <v>0</v>
      </c>
      <c r="U110" s="452"/>
      <c r="V110" s="430"/>
      <c r="W110" s="533"/>
    </row>
    <row r="111" spans="1:24" s="431" customFormat="1" x14ac:dyDescent="0.3">
      <c r="A111" s="449">
        <f t="shared" ref="A111:A117" si="0">+A110+1</f>
        <v>8</v>
      </c>
      <c r="B111" s="450" t="s">
        <v>35</v>
      </c>
      <c r="C111" s="450"/>
      <c r="D111" s="450"/>
      <c r="E111" s="450"/>
      <c r="F111" s="450"/>
      <c r="G111" s="450"/>
      <c r="H111" s="450"/>
      <c r="I111" s="450"/>
      <c r="J111" s="450"/>
      <c r="K111" s="450"/>
      <c r="L111" s="450"/>
      <c r="M111" s="450"/>
      <c r="N111" s="450"/>
      <c r="O111" s="450"/>
      <c r="P111" s="450"/>
      <c r="Q111" s="450"/>
      <c r="R111" s="450"/>
      <c r="S111" s="450"/>
      <c r="T111" s="515">
        <v>-29</v>
      </c>
      <c r="U111" s="452"/>
      <c r="V111" s="430"/>
    </row>
    <row r="112" spans="1:24" s="431" customFormat="1" x14ac:dyDescent="0.3">
      <c r="A112" s="449">
        <f t="shared" si="0"/>
        <v>9</v>
      </c>
      <c r="B112" s="450" t="s">
        <v>46</v>
      </c>
      <c r="C112" s="450"/>
      <c r="D112" s="450"/>
      <c r="E112" s="450"/>
      <c r="F112" s="450"/>
      <c r="G112" s="450"/>
      <c r="H112" s="450"/>
      <c r="I112" s="450"/>
      <c r="J112" s="450"/>
      <c r="K112" s="450"/>
      <c r="L112" s="450"/>
      <c r="M112" s="450"/>
      <c r="N112" s="450"/>
      <c r="O112" s="450"/>
      <c r="P112" s="450"/>
      <c r="Q112" s="450"/>
      <c r="R112" s="514">
        <f>-T112</f>
        <v>141</v>
      </c>
      <c r="S112" s="450"/>
      <c r="T112" s="515">
        <v>-141</v>
      </c>
      <c r="U112" s="452"/>
      <c r="V112" s="430"/>
    </row>
    <row r="113" spans="1:22" s="431" customFormat="1" x14ac:dyDescent="0.3">
      <c r="A113" s="449">
        <f t="shared" si="0"/>
        <v>10</v>
      </c>
      <c r="B113" s="450" t="s">
        <v>131</v>
      </c>
      <c r="C113" s="450"/>
      <c r="D113" s="450"/>
      <c r="E113" s="450"/>
      <c r="F113" s="450"/>
      <c r="G113" s="450"/>
      <c r="H113" s="450"/>
      <c r="I113" s="450"/>
      <c r="J113" s="450"/>
      <c r="K113" s="450"/>
      <c r="L113" s="450"/>
      <c r="M113" s="450"/>
      <c r="N113" s="450"/>
      <c r="O113" s="450"/>
      <c r="P113" s="450"/>
      <c r="Q113" s="450"/>
      <c r="R113" s="450"/>
      <c r="S113" s="450"/>
      <c r="T113" s="515">
        <v>0</v>
      </c>
      <c r="U113" s="452"/>
      <c r="V113" s="430"/>
    </row>
    <row r="114" spans="1:22" s="431" customFormat="1" x14ac:dyDescent="0.3">
      <c r="A114" s="449">
        <f t="shared" si="0"/>
        <v>11</v>
      </c>
      <c r="B114" s="450" t="s">
        <v>36</v>
      </c>
      <c r="C114" s="450"/>
      <c r="D114" s="450"/>
      <c r="E114" s="450"/>
      <c r="F114" s="450"/>
      <c r="G114" s="450"/>
      <c r="H114" s="450"/>
      <c r="I114" s="450"/>
      <c r="J114" s="450"/>
      <c r="K114" s="450"/>
      <c r="L114" s="450"/>
      <c r="M114" s="450"/>
      <c r="N114" s="450"/>
      <c r="O114" s="450"/>
      <c r="P114" s="450"/>
      <c r="Q114" s="450"/>
      <c r="R114" s="450"/>
      <c r="S114" s="450"/>
      <c r="T114" s="515">
        <v>0</v>
      </c>
      <c r="U114" s="452"/>
      <c r="V114" s="430"/>
    </row>
    <row r="115" spans="1:22" s="431" customFormat="1" x14ac:dyDescent="0.3">
      <c r="A115" s="449">
        <f t="shared" si="0"/>
        <v>12</v>
      </c>
      <c r="B115" s="450" t="s">
        <v>37</v>
      </c>
      <c r="C115" s="450"/>
      <c r="D115" s="450"/>
      <c r="E115" s="450"/>
      <c r="F115" s="450"/>
      <c r="G115" s="450"/>
      <c r="H115" s="450"/>
      <c r="I115" s="450"/>
      <c r="J115" s="450"/>
      <c r="K115" s="450"/>
      <c r="L115" s="450"/>
      <c r="M115" s="450"/>
      <c r="N115" s="450"/>
      <c r="O115" s="450"/>
      <c r="P115" s="450"/>
      <c r="Q115" s="450"/>
      <c r="R115" s="450"/>
      <c r="S115" s="450"/>
      <c r="T115" s="515">
        <v>0</v>
      </c>
      <c r="U115" s="452"/>
      <c r="V115" s="430"/>
    </row>
    <row r="116" spans="1:22" s="431" customFormat="1" x14ac:dyDescent="0.3">
      <c r="A116" s="449">
        <f t="shared" si="0"/>
        <v>13</v>
      </c>
      <c r="B116" s="450" t="s">
        <v>155</v>
      </c>
      <c r="C116" s="450"/>
      <c r="D116" s="450"/>
      <c r="E116" s="450"/>
      <c r="F116" s="450"/>
      <c r="G116" s="450"/>
      <c r="H116" s="450"/>
      <c r="I116" s="450"/>
      <c r="J116" s="450"/>
      <c r="K116" s="450"/>
      <c r="L116" s="450"/>
      <c r="M116" s="450"/>
      <c r="N116" s="450"/>
      <c r="O116" s="450"/>
      <c r="P116" s="450"/>
      <c r="Q116" s="450"/>
      <c r="R116" s="450"/>
      <c r="S116" s="450"/>
      <c r="T116" s="515">
        <v>-167</v>
      </c>
      <c r="U116" s="452"/>
      <c r="V116" s="430"/>
    </row>
    <row r="117" spans="1:22" s="431" customFormat="1" x14ac:dyDescent="0.3">
      <c r="A117" s="449">
        <f t="shared" si="0"/>
        <v>14</v>
      </c>
      <c r="B117" s="450" t="s">
        <v>132</v>
      </c>
      <c r="C117" s="450"/>
      <c r="D117" s="450"/>
      <c r="E117" s="450"/>
      <c r="F117" s="450"/>
      <c r="G117" s="450"/>
      <c r="H117" s="450"/>
      <c r="I117" s="450"/>
      <c r="J117" s="450"/>
      <c r="K117" s="450"/>
      <c r="L117" s="450"/>
      <c r="M117" s="450"/>
      <c r="N117" s="450"/>
      <c r="O117" s="450"/>
      <c r="P117" s="450"/>
      <c r="Q117" s="450"/>
      <c r="R117" s="450"/>
      <c r="S117" s="450"/>
      <c r="T117" s="515">
        <f>-T99-SUM(T101:T116)</f>
        <v>-1156</v>
      </c>
      <c r="U117" s="452"/>
      <c r="V117" s="430"/>
    </row>
    <row r="118" spans="1:22" x14ac:dyDescent="0.3">
      <c r="A118" s="468"/>
      <c r="B118" s="529" t="s">
        <v>38</v>
      </c>
      <c r="C118" s="470"/>
      <c r="D118" s="470"/>
      <c r="E118" s="470"/>
      <c r="F118" s="470"/>
      <c r="G118" s="470"/>
      <c r="H118" s="470"/>
      <c r="I118" s="470"/>
      <c r="J118" s="470"/>
      <c r="K118" s="470"/>
      <c r="L118" s="470"/>
      <c r="M118" s="470"/>
      <c r="N118" s="470"/>
      <c r="O118" s="470"/>
      <c r="P118" s="470"/>
      <c r="Q118" s="470"/>
      <c r="R118" s="470"/>
      <c r="S118" s="470"/>
      <c r="T118" s="536"/>
      <c r="U118" s="476"/>
      <c r="V118" s="416"/>
    </row>
    <row r="119" spans="1:22" s="431" customFormat="1" x14ac:dyDescent="0.3">
      <c r="A119" s="449"/>
      <c r="B119" s="450" t="s">
        <v>180</v>
      </c>
      <c r="C119" s="450"/>
      <c r="D119" s="450"/>
      <c r="E119" s="450"/>
      <c r="F119" s="450"/>
      <c r="G119" s="450"/>
      <c r="H119" s="450"/>
      <c r="I119" s="450"/>
      <c r="J119" s="450"/>
      <c r="K119" s="450"/>
      <c r="L119" s="450"/>
      <c r="M119" s="450"/>
      <c r="N119" s="450"/>
      <c r="O119" s="450"/>
      <c r="P119" s="450"/>
      <c r="Q119" s="450"/>
      <c r="R119" s="514">
        <f>-R177</f>
        <v>0</v>
      </c>
      <c r="S119" s="514"/>
      <c r="T119" s="515"/>
      <c r="U119" s="452"/>
      <c r="V119" s="430"/>
    </row>
    <row r="120" spans="1:22" s="431" customFormat="1" x14ac:dyDescent="0.3">
      <c r="A120" s="449"/>
      <c r="B120" s="450" t="s">
        <v>181</v>
      </c>
      <c r="C120" s="450"/>
      <c r="D120" s="450"/>
      <c r="E120" s="450"/>
      <c r="F120" s="450"/>
      <c r="G120" s="450"/>
      <c r="H120" s="450"/>
      <c r="I120" s="450"/>
      <c r="J120" s="450"/>
      <c r="K120" s="450"/>
      <c r="L120" s="450"/>
      <c r="M120" s="450"/>
      <c r="N120" s="450"/>
      <c r="O120" s="450"/>
      <c r="P120" s="450"/>
      <c r="Q120" s="450"/>
      <c r="R120" s="514">
        <v>0</v>
      </c>
      <c r="S120" s="514"/>
      <c r="T120" s="515"/>
      <c r="U120" s="452"/>
      <c r="V120" s="430"/>
    </row>
    <row r="121" spans="1:22" s="431" customFormat="1" x14ac:dyDescent="0.3">
      <c r="A121" s="449"/>
      <c r="B121" s="450" t="s">
        <v>39</v>
      </c>
      <c r="C121" s="450"/>
      <c r="D121" s="450"/>
      <c r="E121" s="450"/>
      <c r="F121" s="450"/>
      <c r="G121" s="450"/>
      <c r="H121" s="450"/>
      <c r="I121" s="450"/>
      <c r="J121" s="450"/>
      <c r="K121" s="450"/>
      <c r="L121" s="450"/>
      <c r="M121" s="450"/>
      <c r="N121" s="450"/>
      <c r="O121" s="450"/>
      <c r="P121" s="450"/>
      <c r="Q121" s="450"/>
      <c r="R121" s="514">
        <f>-Q177</f>
        <v>-515</v>
      </c>
      <c r="S121" s="514"/>
      <c r="T121" s="515"/>
      <c r="U121" s="452"/>
      <c r="V121" s="430"/>
    </row>
    <row r="122" spans="1:22" s="431" customFormat="1" x14ac:dyDescent="0.3">
      <c r="A122" s="449"/>
      <c r="B122" s="450" t="s">
        <v>372</v>
      </c>
      <c r="C122" s="450"/>
      <c r="D122" s="450"/>
      <c r="E122" s="450"/>
      <c r="F122" s="450"/>
      <c r="G122" s="450"/>
      <c r="H122" s="450"/>
      <c r="I122" s="450"/>
      <c r="J122" s="450"/>
      <c r="K122" s="450"/>
      <c r="L122" s="450"/>
      <c r="M122" s="450"/>
      <c r="N122" s="450"/>
      <c r="O122" s="450"/>
      <c r="P122" s="450"/>
      <c r="Q122" s="450"/>
      <c r="R122" s="514">
        <v>-3801</v>
      </c>
      <c r="S122" s="514"/>
      <c r="T122" s="515"/>
      <c r="U122" s="452"/>
      <c r="V122" s="430"/>
    </row>
    <row r="123" spans="1:22" s="431" customFormat="1" x14ac:dyDescent="0.3">
      <c r="A123" s="449"/>
      <c r="B123" s="450" t="s">
        <v>203</v>
      </c>
      <c r="C123" s="450"/>
      <c r="D123" s="450"/>
      <c r="E123" s="450"/>
      <c r="F123" s="450"/>
      <c r="G123" s="450"/>
      <c r="H123" s="450"/>
      <c r="I123" s="450"/>
      <c r="J123" s="450"/>
      <c r="K123" s="450"/>
      <c r="L123" s="450"/>
      <c r="M123" s="450"/>
      <c r="N123" s="450"/>
      <c r="O123" s="450"/>
      <c r="P123" s="450"/>
      <c r="Q123" s="450"/>
      <c r="R123" s="514">
        <v>-1001</v>
      </c>
      <c r="S123" s="514"/>
      <c r="T123" s="515"/>
      <c r="U123" s="452"/>
      <c r="V123" s="430"/>
    </row>
    <row r="124" spans="1:22" s="431" customFormat="1" x14ac:dyDescent="0.3">
      <c r="A124" s="449"/>
      <c r="B124" s="450" t="s">
        <v>202</v>
      </c>
      <c r="C124" s="450"/>
      <c r="D124" s="450"/>
      <c r="E124" s="450"/>
      <c r="F124" s="450"/>
      <c r="G124" s="450"/>
      <c r="H124" s="450"/>
      <c r="I124" s="450"/>
      <c r="J124" s="450"/>
      <c r="K124" s="450"/>
      <c r="L124" s="450"/>
      <c r="M124" s="450"/>
      <c r="N124" s="450"/>
      <c r="O124" s="450"/>
      <c r="P124" s="450"/>
      <c r="Q124" s="450"/>
      <c r="R124" s="514">
        <v>-1010</v>
      </c>
      <c r="S124" s="514"/>
      <c r="T124" s="515"/>
      <c r="U124" s="452"/>
      <c r="V124" s="430"/>
    </row>
    <row r="125" spans="1:22" s="431" customFormat="1" x14ac:dyDescent="0.3">
      <c r="A125" s="449"/>
      <c r="B125" s="450" t="s">
        <v>197</v>
      </c>
      <c r="C125" s="450"/>
      <c r="D125" s="450"/>
      <c r="E125" s="450"/>
      <c r="F125" s="450"/>
      <c r="G125" s="450"/>
      <c r="H125" s="450"/>
      <c r="I125" s="450"/>
      <c r="J125" s="450"/>
      <c r="K125" s="450"/>
      <c r="L125" s="450"/>
      <c r="M125" s="450"/>
      <c r="N125" s="450"/>
      <c r="O125" s="450"/>
      <c r="P125" s="450"/>
      <c r="Q125" s="450"/>
      <c r="R125" s="514">
        <v>-254</v>
      </c>
      <c r="S125" s="514"/>
      <c r="T125" s="515"/>
      <c r="U125" s="452"/>
      <c r="V125" s="430"/>
    </row>
    <row r="126" spans="1:22" s="431" customFormat="1" x14ac:dyDescent="0.3">
      <c r="A126" s="449"/>
      <c r="B126" s="450" t="s">
        <v>196</v>
      </c>
      <c r="C126" s="450"/>
      <c r="D126" s="450"/>
      <c r="E126" s="450"/>
      <c r="F126" s="450"/>
      <c r="G126" s="450"/>
      <c r="H126" s="450"/>
      <c r="I126" s="450"/>
      <c r="J126" s="450"/>
      <c r="K126" s="450"/>
      <c r="L126" s="450"/>
      <c r="M126" s="450"/>
      <c r="N126" s="450"/>
      <c r="O126" s="450"/>
      <c r="P126" s="450"/>
      <c r="Q126" s="450"/>
      <c r="R126" s="514">
        <v>-898</v>
      </c>
      <c r="S126" s="514"/>
      <c r="T126" s="515"/>
      <c r="U126" s="452"/>
      <c r="V126" s="430"/>
    </row>
    <row r="127" spans="1:22" s="431" customFormat="1" x14ac:dyDescent="0.3">
      <c r="A127" s="449"/>
      <c r="B127" s="450" t="s">
        <v>195</v>
      </c>
      <c r="C127" s="450"/>
      <c r="D127" s="450"/>
      <c r="E127" s="450"/>
      <c r="F127" s="450"/>
      <c r="G127" s="450"/>
      <c r="H127" s="450"/>
      <c r="I127" s="450"/>
      <c r="J127" s="450"/>
      <c r="K127" s="450"/>
      <c r="L127" s="450"/>
      <c r="M127" s="450"/>
      <c r="N127" s="450"/>
      <c r="O127" s="450"/>
      <c r="P127" s="450"/>
      <c r="Q127" s="450"/>
      <c r="R127" s="514">
        <v>-954</v>
      </c>
      <c r="S127" s="514"/>
      <c r="T127" s="515"/>
      <c r="U127" s="452"/>
      <c r="V127" s="430"/>
    </row>
    <row r="128" spans="1:22" s="431" customFormat="1" x14ac:dyDescent="0.3">
      <c r="A128" s="449"/>
      <c r="B128" s="450" t="s">
        <v>40</v>
      </c>
      <c r="C128" s="450"/>
      <c r="D128" s="450"/>
      <c r="E128" s="450"/>
      <c r="F128" s="450"/>
      <c r="G128" s="450"/>
      <c r="H128" s="450"/>
      <c r="I128" s="450"/>
      <c r="J128" s="450"/>
      <c r="K128" s="450"/>
      <c r="L128" s="450"/>
      <c r="M128" s="450"/>
      <c r="N128" s="450"/>
      <c r="O128" s="450"/>
      <c r="P128" s="450"/>
      <c r="Q128" s="450"/>
      <c r="R128" s="514">
        <f>SUM(R119:R127)</f>
        <v>-8433</v>
      </c>
      <c r="S128" s="514"/>
      <c r="T128" s="514">
        <f>SUM(T100:T126)</f>
        <v>-2374</v>
      </c>
      <c r="U128" s="452"/>
      <c r="V128" s="430"/>
    </row>
    <row r="129" spans="1:23" s="431" customFormat="1" x14ac:dyDescent="0.3">
      <c r="A129" s="449"/>
      <c r="B129" s="450" t="s">
        <v>41</v>
      </c>
      <c r="C129" s="450"/>
      <c r="D129" s="450"/>
      <c r="E129" s="450"/>
      <c r="F129" s="450"/>
      <c r="G129" s="450"/>
      <c r="H129" s="450"/>
      <c r="I129" s="450"/>
      <c r="J129" s="450"/>
      <c r="K129" s="450"/>
      <c r="L129" s="450"/>
      <c r="M129" s="450"/>
      <c r="N129" s="450"/>
      <c r="O129" s="450"/>
      <c r="P129" s="450"/>
      <c r="Q129" s="450"/>
      <c r="R129" s="514">
        <f>R99+R128+R112</f>
        <v>0</v>
      </c>
      <c r="S129" s="514"/>
      <c r="T129" s="514">
        <f>T99+T128</f>
        <v>0</v>
      </c>
      <c r="U129" s="452"/>
      <c r="V129" s="430"/>
    </row>
    <row r="130" spans="1:23" s="431" customFormat="1" x14ac:dyDescent="0.3">
      <c r="A130" s="432"/>
      <c r="B130" s="447"/>
      <c r="C130" s="447"/>
      <c r="D130" s="447"/>
      <c r="E130" s="447"/>
      <c r="F130" s="447"/>
      <c r="G130" s="447"/>
      <c r="H130" s="447"/>
      <c r="I130" s="447"/>
      <c r="J130" s="447"/>
      <c r="K130" s="447"/>
      <c r="L130" s="447"/>
      <c r="M130" s="447"/>
      <c r="N130" s="447"/>
      <c r="O130" s="447"/>
      <c r="P130" s="447"/>
      <c r="Q130" s="447"/>
      <c r="R130" s="525"/>
      <c r="S130" s="525"/>
      <c r="T130" s="525"/>
      <c r="U130" s="641"/>
      <c r="V130" s="430"/>
    </row>
    <row r="131" spans="1:23" s="431" customFormat="1" x14ac:dyDescent="0.3">
      <c r="A131" s="432"/>
      <c r="B131" s="433"/>
      <c r="C131" s="433"/>
      <c r="D131" s="433"/>
      <c r="E131" s="433"/>
      <c r="F131" s="433"/>
      <c r="G131" s="433"/>
      <c r="H131" s="433"/>
      <c r="I131" s="433"/>
      <c r="J131" s="433"/>
      <c r="K131" s="433"/>
      <c r="L131" s="433"/>
      <c r="M131" s="433"/>
      <c r="N131" s="433"/>
      <c r="O131" s="433"/>
      <c r="P131" s="433"/>
      <c r="Q131" s="433"/>
      <c r="R131" s="433"/>
      <c r="S131" s="433"/>
      <c r="T131" s="537"/>
      <c r="U131" s="641"/>
      <c r="V131" s="430"/>
    </row>
    <row r="132" spans="1:23" s="431" customFormat="1" ht="18.600000000000001" thickBot="1" x14ac:dyDescent="0.4">
      <c r="A132" s="500"/>
      <c r="B132" s="501" t="str">
        <f>B63</f>
        <v>PM11 INVESTOR REPORT QUARTER ENDING SEPTEMBER 2017</v>
      </c>
      <c r="C132" s="502"/>
      <c r="D132" s="502"/>
      <c r="E132" s="502"/>
      <c r="F132" s="502"/>
      <c r="G132" s="502"/>
      <c r="H132" s="502"/>
      <c r="I132" s="502"/>
      <c r="J132" s="502"/>
      <c r="K132" s="502"/>
      <c r="L132" s="502"/>
      <c r="M132" s="502"/>
      <c r="N132" s="502"/>
      <c r="O132" s="502"/>
      <c r="P132" s="502"/>
      <c r="Q132" s="502"/>
      <c r="R132" s="502"/>
      <c r="S132" s="502"/>
      <c r="T132" s="538"/>
      <c r="U132" s="504"/>
      <c r="V132" s="430"/>
    </row>
    <row r="133" spans="1:23" x14ac:dyDescent="0.3">
      <c r="A133" s="505"/>
      <c r="B133" s="506" t="s">
        <v>42</v>
      </c>
      <c r="C133" s="507"/>
      <c r="D133" s="507"/>
      <c r="E133" s="507"/>
      <c r="F133" s="507"/>
      <c r="G133" s="507"/>
      <c r="H133" s="507"/>
      <c r="I133" s="507"/>
      <c r="J133" s="507"/>
      <c r="K133" s="507"/>
      <c r="L133" s="507"/>
      <c r="M133" s="507"/>
      <c r="N133" s="507"/>
      <c r="O133" s="507"/>
      <c r="P133" s="507"/>
      <c r="Q133" s="507"/>
      <c r="R133" s="507"/>
      <c r="S133" s="507"/>
      <c r="T133" s="508"/>
      <c r="U133" s="509"/>
      <c r="V133" s="416"/>
    </row>
    <row r="134" spans="1:23" x14ac:dyDescent="0.3">
      <c r="A134" s="418"/>
      <c r="B134" s="539"/>
      <c r="C134" s="420"/>
      <c r="D134" s="420"/>
      <c r="E134" s="420"/>
      <c r="F134" s="420"/>
      <c r="G134" s="420"/>
      <c r="H134" s="420"/>
      <c r="I134" s="420"/>
      <c r="J134" s="420"/>
      <c r="K134" s="420"/>
      <c r="L134" s="420"/>
      <c r="M134" s="420"/>
      <c r="N134" s="420"/>
      <c r="O134" s="420"/>
      <c r="P134" s="420"/>
      <c r="Q134" s="420"/>
      <c r="R134" s="420"/>
      <c r="S134" s="420"/>
      <c r="T134" s="510"/>
      <c r="U134" s="639"/>
      <c r="V134" s="416"/>
    </row>
    <row r="135" spans="1:23" x14ac:dyDescent="0.3">
      <c r="A135" s="418"/>
      <c r="B135" s="540" t="s">
        <v>43</v>
      </c>
      <c r="C135" s="420"/>
      <c r="D135" s="420"/>
      <c r="E135" s="420"/>
      <c r="F135" s="420"/>
      <c r="G135" s="420"/>
      <c r="H135" s="420"/>
      <c r="I135" s="420"/>
      <c r="J135" s="420"/>
      <c r="K135" s="420"/>
      <c r="L135" s="420"/>
      <c r="M135" s="420"/>
      <c r="N135" s="420"/>
      <c r="O135" s="420"/>
      <c r="P135" s="420"/>
      <c r="Q135" s="420"/>
      <c r="R135" s="420"/>
      <c r="S135" s="420"/>
      <c r="T135" s="510"/>
      <c r="U135" s="639"/>
      <c r="V135" s="416"/>
    </row>
    <row r="136" spans="1:23" s="431" customFormat="1" x14ac:dyDescent="0.3">
      <c r="A136" s="449"/>
      <c r="B136" s="450" t="s">
        <v>44</v>
      </c>
      <c r="C136" s="450"/>
      <c r="D136" s="450"/>
      <c r="E136" s="450"/>
      <c r="F136" s="450"/>
      <c r="G136" s="450"/>
      <c r="H136" s="450"/>
      <c r="I136" s="450"/>
      <c r="J136" s="450"/>
      <c r="K136" s="450"/>
      <c r="L136" s="450"/>
      <c r="M136" s="450"/>
      <c r="N136" s="450"/>
      <c r="O136" s="450"/>
      <c r="P136" s="450"/>
      <c r="Q136" s="450"/>
      <c r="R136" s="450"/>
      <c r="S136" s="450"/>
      <c r="T136" s="515">
        <f>+T34*0.019</f>
        <v>19000.95</v>
      </c>
      <c r="U136" s="452"/>
      <c r="V136" s="430"/>
    </row>
    <row r="137" spans="1:23" s="431" customFormat="1" x14ac:dyDescent="0.3">
      <c r="A137" s="449"/>
      <c r="B137" s="450" t="s">
        <v>45</v>
      </c>
      <c r="C137" s="450"/>
      <c r="D137" s="450"/>
      <c r="E137" s="450"/>
      <c r="F137" s="450"/>
      <c r="G137" s="450"/>
      <c r="H137" s="450"/>
      <c r="I137" s="450"/>
      <c r="J137" s="450"/>
      <c r="K137" s="450"/>
      <c r="L137" s="450"/>
      <c r="M137" s="450"/>
      <c r="N137" s="450"/>
      <c r="O137" s="450"/>
      <c r="P137" s="450"/>
      <c r="Q137" s="450"/>
      <c r="R137" s="450"/>
      <c r="S137" s="450"/>
      <c r="T137" s="515">
        <v>19001</v>
      </c>
      <c r="U137" s="452"/>
      <c r="V137" s="430"/>
    </row>
    <row r="138" spans="1:23" s="431" customFormat="1" x14ac:dyDescent="0.3">
      <c r="A138" s="449"/>
      <c r="B138" s="450" t="s">
        <v>142</v>
      </c>
      <c r="C138" s="450"/>
      <c r="D138" s="450"/>
      <c r="E138" s="450"/>
      <c r="F138" s="450"/>
      <c r="G138" s="450"/>
      <c r="H138" s="450"/>
      <c r="I138" s="450"/>
      <c r="J138" s="450"/>
      <c r="K138" s="450"/>
      <c r="L138" s="450"/>
      <c r="M138" s="450"/>
      <c r="N138" s="450"/>
      <c r="O138" s="450"/>
      <c r="P138" s="450"/>
      <c r="Q138" s="450"/>
      <c r="R138" s="450"/>
      <c r="S138" s="450"/>
      <c r="T138" s="515">
        <v>0</v>
      </c>
      <c r="U138" s="452"/>
      <c r="V138" s="430"/>
    </row>
    <row r="139" spans="1:23" s="431" customFormat="1" x14ac:dyDescent="0.3">
      <c r="A139" s="449"/>
      <c r="B139" s="450" t="s">
        <v>129</v>
      </c>
      <c r="C139" s="450"/>
      <c r="D139" s="450"/>
      <c r="E139" s="450"/>
      <c r="F139" s="450"/>
      <c r="G139" s="450"/>
      <c r="H139" s="450"/>
      <c r="I139" s="450"/>
      <c r="J139" s="450"/>
      <c r="K139" s="450"/>
      <c r="L139" s="450"/>
      <c r="M139" s="450"/>
      <c r="N139" s="450"/>
      <c r="O139" s="450"/>
      <c r="P139" s="450"/>
      <c r="Q139" s="450"/>
      <c r="R139" s="450"/>
      <c r="S139" s="450"/>
      <c r="T139" s="515">
        <v>0</v>
      </c>
      <c r="U139" s="452"/>
      <c r="V139" s="430"/>
    </row>
    <row r="140" spans="1:23" s="431" customFormat="1" x14ac:dyDescent="0.3">
      <c r="A140" s="449"/>
      <c r="B140" s="450" t="s">
        <v>130</v>
      </c>
      <c r="C140" s="450"/>
      <c r="D140" s="450"/>
      <c r="E140" s="450"/>
      <c r="F140" s="450"/>
      <c r="G140" s="450"/>
      <c r="H140" s="450"/>
      <c r="I140" s="450"/>
      <c r="J140" s="450"/>
      <c r="K140" s="450"/>
      <c r="L140" s="450"/>
      <c r="M140" s="450"/>
      <c r="N140" s="450"/>
      <c r="O140" s="450"/>
      <c r="P140" s="450"/>
      <c r="Q140" s="450"/>
      <c r="R140" s="450"/>
      <c r="S140" s="450"/>
      <c r="T140" s="515">
        <v>0</v>
      </c>
      <c r="U140" s="452"/>
      <c r="V140" s="430"/>
    </row>
    <row r="141" spans="1:23" s="431" customFormat="1" x14ac:dyDescent="0.3">
      <c r="A141" s="449"/>
      <c r="B141" s="450" t="s">
        <v>182</v>
      </c>
      <c r="C141" s="450"/>
      <c r="D141" s="450"/>
      <c r="E141" s="450"/>
      <c r="F141" s="450"/>
      <c r="G141" s="450"/>
      <c r="H141" s="450"/>
      <c r="I141" s="450"/>
      <c r="J141" s="450"/>
      <c r="K141" s="450"/>
      <c r="L141" s="450"/>
      <c r="M141" s="450"/>
      <c r="N141" s="450"/>
      <c r="O141" s="450"/>
      <c r="P141" s="450"/>
      <c r="Q141" s="450"/>
      <c r="R141" s="450"/>
      <c r="S141" s="450"/>
      <c r="T141" s="515">
        <v>0</v>
      </c>
      <c r="U141" s="452"/>
      <c r="V141" s="430"/>
    </row>
    <row r="142" spans="1:23" s="431" customFormat="1" x14ac:dyDescent="0.3">
      <c r="A142" s="449"/>
      <c r="B142" s="450" t="s">
        <v>46</v>
      </c>
      <c r="C142" s="450"/>
      <c r="D142" s="450"/>
      <c r="E142" s="450"/>
      <c r="F142" s="450"/>
      <c r="G142" s="450"/>
      <c r="H142" s="450"/>
      <c r="I142" s="450"/>
      <c r="J142" s="450"/>
      <c r="K142" s="450"/>
      <c r="L142" s="450"/>
      <c r="M142" s="450"/>
      <c r="N142" s="450"/>
      <c r="O142" s="450"/>
      <c r="P142" s="450"/>
      <c r="Q142" s="450"/>
      <c r="R142" s="450"/>
      <c r="S142" s="450"/>
      <c r="T142" s="515">
        <v>0</v>
      </c>
      <c r="U142" s="452"/>
      <c r="V142" s="430"/>
    </row>
    <row r="143" spans="1:23" s="431" customFormat="1" x14ac:dyDescent="0.3">
      <c r="A143" s="449"/>
      <c r="B143" s="450" t="s">
        <v>135</v>
      </c>
      <c r="C143" s="450"/>
      <c r="D143" s="450"/>
      <c r="E143" s="450"/>
      <c r="F143" s="450"/>
      <c r="G143" s="450"/>
      <c r="H143" s="450"/>
      <c r="I143" s="450"/>
      <c r="J143" s="450"/>
      <c r="K143" s="450"/>
      <c r="L143" s="450"/>
      <c r="M143" s="450"/>
      <c r="N143" s="450"/>
      <c r="O143" s="450"/>
      <c r="P143" s="450"/>
      <c r="Q143" s="450"/>
      <c r="R143" s="450"/>
      <c r="S143" s="450"/>
      <c r="T143" s="515">
        <v>0</v>
      </c>
      <c r="U143" s="452"/>
      <c r="V143" s="430"/>
    </row>
    <row r="144" spans="1:23" s="431" customFormat="1" x14ac:dyDescent="0.3">
      <c r="A144" s="449"/>
      <c r="B144" s="450" t="s">
        <v>251</v>
      </c>
      <c r="C144" s="450"/>
      <c r="D144" s="450"/>
      <c r="E144" s="450"/>
      <c r="F144" s="450"/>
      <c r="G144" s="450"/>
      <c r="H144" s="450"/>
      <c r="I144" s="450"/>
      <c r="J144" s="450"/>
      <c r="K144" s="450"/>
      <c r="L144" s="450"/>
      <c r="M144" s="450"/>
      <c r="N144" s="450"/>
      <c r="O144" s="450"/>
      <c r="P144" s="450"/>
      <c r="Q144" s="450"/>
      <c r="R144" s="450"/>
      <c r="S144" s="450"/>
      <c r="T144" s="515">
        <v>0</v>
      </c>
      <c r="U144" s="452"/>
      <c r="V144" s="430"/>
      <c r="W144" s="533"/>
    </row>
    <row r="145" spans="1:22" s="431" customFormat="1" x14ac:dyDescent="0.3">
      <c r="A145" s="449"/>
      <c r="B145" s="450" t="s">
        <v>47</v>
      </c>
      <c r="C145" s="450"/>
      <c r="D145" s="450"/>
      <c r="E145" s="450"/>
      <c r="F145" s="450"/>
      <c r="G145" s="450"/>
      <c r="H145" s="450"/>
      <c r="I145" s="450"/>
      <c r="J145" s="450"/>
      <c r="K145" s="450"/>
      <c r="L145" s="450"/>
      <c r="M145" s="450"/>
      <c r="N145" s="450"/>
      <c r="O145" s="450"/>
      <c r="P145" s="450"/>
      <c r="Q145" s="450"/>
      <c r="R145" s="450"/>
      <c r="S145" s="450"/>
      <c r="T145" s="515">
        <f>SUM(T137:T144)</f>
        <v>19001</v>
      </c>
      <c r="U145" s="452"/>
      <c r="V145" s="430"/>
    </row>
    <row r="146" spans="1:22" x14ac:dyDescent="0.3">
      <c r="A146" s="468"/>
      <c r="B146" s="470"/>
      <c r="C146" s="470"/>
      <c r="D146" s="470"/>
      <c r="E146" s="470"/>
      <c r="F146" s="470"/>
      <c r="G146" s="470"/>
      <c r="H146" s="470"/>
      <c r="I146" s="470"/>
      <c r="J146" s="470"/>
      <c r="K146" s="470"/>
      <c r="L146" s="470"/>
      <c r="M146" s="470"/>
      <c r="N146" s="470"/>
      <c r="O146" s="470"/>
      <c r="P146" s="470"/>
      <c r="Q146" s="470"/>
      <c r="R146" s="470"/>
      <c r="S146" s="470"/>
      <c r="T146" s="531"/>
      <c r="U146" s="476"/>
      <c r="V146" s="416"/>
    </row>
    <row r="147" spans="1:22" x14ac:dyDescent="0.3">
      <c r="A147" s="468"/>
      <c r="B147" s="529" t="s">
        <v>262</v>
      </c>
      <c r="C147" s="470"/>
      <c r="D147" s="470"/>
      <c r="E147" s="470"/>
      <c r="F147" s="470"/>
      <c r="G147" s="470"/>
      <c r="H147" s="470"/>
      <c r="I147" s="470"/>
      <c r="J147" s="470"/>
      <c r="K147" s="470"/>
      <c r="L147" s="470"/>
      <c r="M147" s="470"/>
      <c r="N147" s="470"/>
      <c r="O147" s="470"/>
      <c r="P147" s="470"/>
      <c r="Q147" s="470"/>
      <c r="R147" s="470"/>
      <c r="S147" s="470"/>
      <c r="T147" s="531"/>
      <c r="U147" s="476"/>
      <c r="V147" s="416"/>
    </row>
    <row r="148" spans="1:22" s="431" customFormat="1" x14ac:dyDescent="0.3">
      <c r="A148" s="449"/>
      <c r="B148" s="450" t="s">
        <v>263</v>
      </c>
      <c r="C148" s="450"/>
      <c r="D148" s="450"/>
      <c r="E148" s="450"/>
      <c r="F148" s="450"/>
      <c r="G148" s="450"/>
      <c r="H148" s="450"/>
      <c r="I148" s="450"/>
      <c r="J148" s="450"/>
      <c r="K148" s="450"/>
      <c r="L148" s="450"/>
      <c r="M148" s="450"/>
      <c r="N148" s="450"/>
      <c r="O148" s="450"/>
      <c r="P148" s="450"/>
      <c r="Q148" s="450"/>
      <c r="R148" s="450"/>
      <c r="S148" s="450"/>
      <c r="T148" s="515">
        <v>0</v>
      </c>
      <c r="U148" s="452"/>
      <c r="V148" s="430"/>
    </row>
    <row r="149" spans="1:22" s="431" customFormat="1" x14ac:dyDescent="0.3">
      <c r="A149" s="449"/>
      <c r="B149" s="450" t="s">
        <v>179</v>
      </c>
      <c r="C149" s="450"/>
      <c r="D149" s="450"/>
      <c r="E149" s="450"/>
      <c r="F149" s="450"/>
      <c r="G149" s="450"/>
      <c r="H149" s="450"/>
      <c r="I149" s="450"/>
      <c r="J149" s="450"/>
      <c r="K149" s="450"/>
      <c r="L149" s="450"/>
      <c r="M149" s="450"/>
      <c r="N149" s="450"/>
      <c r="O149" s="450"/>
      <c r="P149" s="450"/>
      <c r="Q149" s="450"/>
      <c r="R149" s="450"/>
      <c r="S149" s="450"/>
      <c r="T149" s="515">
        <v>0</v>
      </c>
      <c r="U149" s="452"/>
      <c r="V149" s="430"/>
    </row>
    <row r="150" spans="1:22" s="431" customFormat="1" x14ac:dyDescent="0.3">
      <c r="A150" s="449"/>
      <c r="B150" s="450" t="s">
        <v>264</v>
      </c>
      <c r="C150" s="450"/>
      <c r="D150" s="450"/>
      <c r="E150" s="450"/>
      <c r="F150" s="450"/>
      <c r="G150" s="450"/>
      <c r="H150" s="450"/>
      <c r="I150" s="450"/>
      <c r="J150" s="450"/>
      <c r="K150" s="450"/>
      <c r="L150" s="450"/>
      <c r="M150" s="450"/>
      <c r="N150" s="450"/>
      <c r="O150" s="450"/>
      <c r="P150" s="450"/>
      <c r="Q150" s="450"/>
      <c r="R150" s="450"/>
      <c r="S150" s="450"/>
      <c r="T150" s="515">
        <v>0</v>
      </c>
      <c r="U150" s="452"/>
      <c r="V150" s="430"/>
    </row>
    <row r="151" spans="1:22" x14ac:dyDescent="0.3">
      <c r="A151" s="468"/>
      <c r="B151" s="541"/>
      <c r="C151" s="541"/>
      <c r="D151" s="541"/>
      <c r="E151" s="541"/>
      <c r="F151" s="541"/>
      <c r="G151" s="541"/>
      <c r="H151" s="541"/>
      <c r="I151" s="541"/>
      <c r="J151" s="541"/>
      <c r="K151" s="541"/>
      <c r="L151" s="541"/>
      <c r="M151" s="541"/>
      <c r="N151" s="541"/>
      <c r="O151" s="541"/>
      <c r="P151" s="541"/>
      <c r="Q151" s="541"/>
      <c r="R151" s="541"/>
      <c r="S151" s="541"/>
      <c r="T151" s="542"/>
      <c r="U151" s="543"/>
      <c r="V151" s="416"/>
    </row>
    <row r="152" spans="1:22" x14ac:dyDescent="0.3">
      <c r="A152" s="418"/>
      <c r="B152" s="516"/>
      <c r="C152" s="516"/>
      <c r="D152" s="516"/>
      <c r="E152" s="516"/>
      <c r="F152" s="516"/>
      <c r="G152" s="516"/>
      <c r="H152" s="516"/>
      <c r="I152" s="516"/>
      <c r="J152" s="516"/>
      <c r="K152" s="516"/>
      <c r="L152" s="516"/>
      <c r="M152" s="516"/>
      <c r="N152" s="516"/>
      <c r="O152" s="516"/>
      <c r="P152" s="516"/>
      <c r="Q152" s="516"/>
      <c r="R152" s="516"/>
      <c r="S152" s="516"/>
      <c r="T152" s="544"/>
      <c r="U152" s="639"/>
      <c r="V152" s="416"/>
    </row>
    <row r="153" spans="1:22" x14ac:dyDescent="0.3">
      <c r="A153" s="418"/>
      <c r="B153" s="540" t="s">
        <v>24</v>
      </c>
      <c r="C153" s="420"/>
      <c r="D153" s="420"/>
      <c r="E153" s="420"/>
      <c r="F153" s="420"/>
      <c r="G153" s="420"/>
      <c r="H153" s="420"/>
      <c r="I153" s="420"/>
      <c r="J153" s="420"/>
      <c r="K153" s="420"/>
      <c r="L153" s="420"/>
      <c r="M153" s="420"/>
      <c r="N153" s="420"/>
      <c r="O153" s="420"/>
      <c r="P153" s="420"/>
      <c r="Q153" s="420"/>
      <c r="R153" s="420"/>
      <c r="S153" s="420"/>
      <c r="T153" s="510"/>
      <c r="U153" s="639"/>
      <c r="V153" s="416"/>
    </row>
    <row r="154" spans="1:22" s="431" customFormat="1" x14ac:dyDescent="0.3">
      <c r="A154" s="449"/>
      <c r="B154" s="450" t="s">
        <v>48</v>
      </c>
      <c r="C154" s="450"/>
      <c r="D154" s="450"/>
      <c r="E154" s="450"/>
      <c r="F154" s="450"/>
      <c r="G154" s="450"/>
      <c r="H154" s="450"/>
      <c r="I154" s="450"/>
      <c r="J154" s="450"/>
      <c r="K154" s="450"/>
      <c r="L154" s="450"/>
      <c r="M154" s="450"/>
      <c r="N154" s="450"/>
      <c r="O154" s="450"/>
      <c r="P154" s="450"/>
      <c r="Q154" s="450"/>
      <c r="R154" s="450"/>
      <c r="S154" s="450"/>
      <c r="T154" s="545" t="s">
        <v>124</v>
      </c>
      <c r="U154" s="452"/>
      <c r="V154" s="430"/>
    </row>
    <row r="155" spans="1:22" s="431" customFormat="1" x14ac:dyDescent="0.3">
      <c r="A155" s="449"/>
      <c r="B155" s="450" t="s">
        <v>49</v>
      </c>
      <c r="C155" s="450"/>
      <c r="D155" s="450"/>
      <c r="E155" s="450"/>
      <c r="F155" s="450"/>
      <c r="G155" s="450"/>
      <c r="H155" s="450"/>
      <c r="I155" s="450"/>
      <c r="J155" s="450"/>
      <c r="K155" s="450"/>
      <c r="L155" s="450"/>
      <c r="M155" s="450"/>
      <c r="N155" s="450"/>
      <c r="O155" s="450"/>
      <c r="P155" s="450"/>
      <c r="Q155" s="450"/>
      <c r="R155" s="450"/>
      <c r="S155" s="450"/>
      <c r="T155" s="545" t="s">
        <v>124</v>
      </c>
      <c r="U155" s="452"/>
      <c r="V155" s="430"/>
    </row>
    <row r="156" spans="1:22" s="431" customFormat="1" x14ac:dyDescent="0.3">
      <c r="A156" s="449"/>
      <c r="B156" s="450" t="s">
        <v>50</v>
      </c>
      <c r="C156" s="450"/>
      <c r="D156" s="450"/>
      <c r="E156" s="450"/>
      <c r="F156" s="450"/>
      <c r="G156" s="450"/>
      <c r="H156" s="450"/>
      <c r="I156" s="450"/>
      <c r="J156" s="450"/>
      <c r="K156" s="450"/>
      <c r="L156" s="450"/>
      <c r="M156" s="450"/>
      <c r="N156" s="450"/>
      <c r="O156" s="450"/>
      <c r="P156" s="450"/>
      <c r="Q156" s="450"/>
      <c r="R156" s="450"/>
      <c r="S156" s="450"/>
      <c r="T156" s="545" t="s">
        <v>124</v>
      </c>
      <c r="U156" s="452"/>
      <c r="V156" s="430"/>
    </row>
    <row r="157" spans="1:22" s="431" customFormat="1" x14ac:dyDescent="0.3">
      <c r="A157" s="449"/>
      <c r="B157" s="450" t="s">
        <v>51</v>
      </c>
      <c r="C157" s="450"/>
      <c r="D157" s="450"/>
      <c r="E157" s="450"/>
      <c r="F157" s="450"/>
      <c r="G157" s="450"/>
      <c r="H157" s="450"/>
      <c r="I157" s="450"/>
      <c r="J157" s="450"/>
      <c r="K157" s="450"/>
      <c r="L157" s="450"/>
      <c r="M157" s="450"/>
      <c r="N157" s="450"/>
      <c r="O157" s="450"/>
      <c r="P157" s="450"/>
      <c r="Q157" s="450"/>
      <c r="R157" s="450"/>
      <c r="S157" s="450"/>
      <c r="T157" s="545" t="s">
        <v>124</v>
      </c>
      <c r="U157" s="452"/>
      <c r="V157" s="430"/>
    </row>
    <row r="158" spans="1:22" x14ac:dyDescent="0.3">
      <c r="A158" s="418"/>
      <c r="B158" s="516"/>
      <c r="C158" s="516"/>
      <c r="D158" s="516"/>
      <c r="E158" s="516"/>
      <c r="F158" s="516"/>
      <c r="G158" s="516"/>
      <c r="H158" s="516"/>
      <c r="I158" s="516"/>
      <c r="J158" s="516"/>
      <c r="K158" s="516"/>
      <c r="L158" s="516"/>
      <c r="M158" s="516"/>
      <c r="N158" s="516"/>
      <c r="O158" s="516"/>
      <c r="P158" s="516"/>
      <c r="Q158" s="516"/>
      <c r="R158" s="516"/>
      <c r="S158" s="516"/>
      <c r="T158" s="544"/>
      <c r="U158" s="639"/>
      <c r="V158" s="416"/>
    </row>
    <row r="159" spans="1:22" x14ac:dyDescent="0.3">
      <c r="A159" s="418"/>
      <c r="B159" s="540" t="s">
        <v>52</v>
      </c>
      <c r="C159" s="420"/>
      <c r="D159" s="420"/>
      <c r="E159" s="420"/>
      <c r="F159" s="420"/>
      <c r="G159" s="420"/>
      <c r="H159" s="420"/>
      <c r="I159" s="420"/>
      <c r="J159" s="420"/>
      <c r="K159" s="420"/>
      <c r="L159" s="420"/>
      <c r="M159" s="420"/>
      <c r="N159" s="420"/>
      <c r="O159" s="420"/>
      <c r="P159" s="420"/>
      <c r="Q159" s="420"/>
      <c r="R159" s="420"/>
      <c r="S159" s="420"/>
      <c r="T159" s="546"/>
      <c r="U159" s="639"/>
      <c r="V159" s="416"/>
    </row>
    <row r="160" spans="1:22" s="431" customFormat="1" x14ac:dyDescent="0.3">
      <c r="A160" s="449"/>
      <c r="B160" s="450" t="s">
        <v>53</v>
      </c>
      <c r="C160" s="450"/>
      <c r="D160" s="450"/>
      <c r="E160" s="450"/>
      <c r="F160" s="450"/>
      <c r="G160" s="450"/>
      <c r="H160" s="450"/>
      <c r="I160" s="450"/>
      <c r="J160" s="450"/>
      <c r="K160" s="450"/>
      <c r="L160" s="450"/>
      <c r="M160" s="450"/>
      <c r="N160" s="450"/>
      <c r="O160" s="450"/>
      <c r="P160" s="450"/>
      <c r="Q160" s="450"/>
      <c r="R160" s="450"/>
      <c r="S160" s="450"/>
      <c r="T160" s="515">
        <v>0</v>
      </c>
      <c r="U160" s="452"/>
      <c r="V160" s="430"/>
    </row>
    <row r="161" spans="1:22" s="431" customFormat="1" x14ac:dyDescent="0.3">
      <c r="A161" s="449"/>
      <c r="B161" s="450" t="s">
        <v>54</v>
      </c>
      <c r="C161" s="450"/>
      <c r="D161" s="450"/>
      <c r="E161" s="450"/>
      <c r="F161" s="450"/>
      <c r="G161" s="450"/>
      <c r="H161" s="450"/>
      <c r="I161" s="450"/>
      <c r="J161" s="450"/>
      <c r="K161" s="450"/>
      <c r="L161" s="450"/>
      <c r="M161" s="450"/>
      <c r="N161" s="450"/>
      <c r="O161" s="450"/>
      <c r="P161" s="450"/>
      <c r="Q161" s="450"/>
      <c r="R161" s="450"/>
      <c r="S161" s="450"/>
      <c r="T161" s="515">
        <f>R112</f>
        <v>141</v>
      </c>
      <c r="U161" s="452"/>
      <c r="V161" s="430"/>
    </row>
    <row r="162" spans="1:22" s="431" customFormat="1" x14ac:dyDescent="0.3">
      <c r="A162" s="449"/>
      <c r="B162" s="450" t="s">
        <v>55</v>
      </c>
      <c r="C162" s="450"/>
      <c r="D162" s="450"/>
      <c r="E162" s="450"/>
      <c r="F162" s="450"/>
      <c r="G162" s="450"/>
      <c r="H162" s="450"/>
      <c r="I162" s="450"/>
      <c r="J162" s="450"/>
      <c r="K162" s="450"/>
      <c r="L162" s="450"/>
      <c r="M162" s="450"/>
      <c r="N162" s="450"/>
      <c r="O162" s="450"/>
      <c r="P162" s="450"/>
      <c r="Q162" s="450"/>
      <c r="R162" s="450"/>
      <c r="S162" s="450"/>
      <c r="T162" s="515">
        <f>T161+T160</f>
        <v>141</v>
      </c>
      <c r="U162" s="452"/>
      <c r="V162" s="430"/>
    </row>
    <row r="163" spans="1:22" s="431" customFormat="1" x14ac:dyDescent="0.3">
      <c r="A163" s="449"/>
      <c r="B163" s="450" t="s">
        <v>301</v>
      </c>
      <c r="C163" s="450"/>
      <c r="D163" s="450"/>
      <c r="E163" s="450"/>
      <c r="F163" s="450"/>
      <c r="G163" s="450"/>
      <c r="H163" s="450"/>
      <c r="I163" s="450"/>
      <c r="J163" s="450"/>
      <c r="K163" s="450"/>
      <c r="L163" s="450"/>
      <c r="M163" s="450"/>
      <c r="N163" s="450"/>
      <c r="O163" s="450"/>
      <c r="P163" s="450"/>
      <c r="Q163" s="450"/>
      <c r="R163" s="450"/>
      <c r="S163" s="450"/>
      <c r="T163" s="515">
        <f>T112</f>
        <v>-141</v>
      </c>
      <c r="U163" s="452"/>
      <c r="V163" s="430"/>
    </row>
    <row r="164" spans="1:22" s="431" customFormat="1" x14ac:dyDescent="0.3">
      <c r="A164" s="449"/>
      <c r="B164" s="450" t="s">
        <v>56</v>
      </c>
      <c r="C164" s="450"/>
      <c r="D164" s="450"/>
      <c r="E164" s="450"/>
      <c r="F164" s="450"/>
      <c r="G164" s="450"/>
      <c r="H164" s="450"/>
      <c r="I164" s="450"/>
      <c r="J164" s="450"/>
      <c r="K164" s="450"/>
      <c r="L164" s="450"/>
      <c r="M164" s="450"/>
      <c r="N164" s="450"/>
      <c r="O164" s="450"/>
      <c r="P164" s="450"/>
      <c r="Q164" s="450"/>
      <c r="R164" s="450"/>
      <c r="S164" s="450"/>
      <c r="T164" s="515">
        <f>T162+T163</f>
        <v>0</v>
      </c>
      <c r="U164" s="452"/>
      <c r="V164" s="430"/>
    </row>
    <row r="165" spans="1:22" s="431" customFormat="1" x14ac:dyDescent="0.3">
      <c r="A165" s="449"/>
      <c r="B165" s="450" t="s">
        <v>273</v>
      </c>
      <c r="C165" s="450"/>
      <c r="D165" s="450"/>
      <c r="E165" s="450"/>
      <c r="F165" s="450"/>
      <c r="G165" s="450"/>
      <c r="H165" s="450"/>
      <c r="I165" s="450"/>
      <c r="J165" s="450"/>
      <c r="K165" s="450"/>
      <c r="L165" s="450"/>
      <c r="M165" s="450"/>
      <c r="N165" s="450"/>
      <c r="O165" s="450"/>
      <c r="P165" s="450"/>
      <c r="Q165" s="450"/>
      <c r="R165" s="450"/>
      <c r="S165" s="450"/>
      <c r="T165" s="515">
        <f>-T98</f>
        <v>79</v>
      </c>
      <c r="U165" s="452"/>
      <c r="V165" s="430"/>
    </row>
    <row r="166" spans="1:22" ht="16.2" thickBot="1" x14ac:dyDescent="0.35">
      <c r="A166" s="418"/>
      <c r="B166" s="516"/>
      <c r="C166" s="516"/>
      <c r="D166" s="516"/>
      <c r="E166" s="516"/>
      <c r="F166" s="516"/>
      <c r="G166" s="516"/>
      <c r="H166" s="516"/>
      <c r="I166" s="516"/>
      <c r="J166" s="516"/>
      <c r="K166" s="516"/>
      <c r="L166" s="516"/>
      <c r="M166" s="516"/>
      <c r="N166" s="516"/>
      <c r="O166" s="516"/>
      <c r="P166" s="516"/>
      <c r="Q166" s="516"/>
      <c r="R166" s="516"/>
      <c r="S166" s="516"/>
      <c r="T166" s="544"/>
      <c r="U166" s="639"/>
      <c r="V166" s="416"/>
    </row>
    <row r="167" spans="1:22" x14ac:dyDescent="0.3">
      <c r="A167" s="547"/>
      <c r="B167" s="415"/>
      <c r="C167" s="415"/>
      <c r="D167" s="415"/>
      <c r="E167" s="415"/>
      <c r="F167" s="415"/>
      <c r="G167" s="415"/>
      <c r="H167" s="415"/>
      <c r="I167" s="415"/>
      <c r="J167" s="415"/>
      <c r="K167" s="415"/>
      <c r="L167" s="415"/>
      <c r="M167" s="415"/>
      <c r="N167" s="415"/>
      <c r="O167" s="415"/>
      <c r="P167" s="415"/>
      <c r="Q167" s="415"/>
      <c r="R167" s="415"/>
      <c r="S167" s="415"/>
      <c r="T167" s="548"/>
      <c r="U167" s="638"/>
      <c r="V167" s="416"/>
    </row>
    <row r="168" spans="1:22" x14ac:dyDescent="0.3">
      <c r="A168" s="418"/>
      <c r="B168" s="540" t="s">
        <v>57</v>
      </c>
      <c r="C168" s="420"/>
      <c r="D168" s="420"/>
      <c r="E168" s="420"/>
      <c r="F168" s="420"/>
      <c r="G168" s="420"/>
      <c r="H168" s="420"/>
      <c r="I168" s="420"/>
      <c r="J168" s="420"/>
      <c r="K168" s="420"/>
      <c r="L168" s="420"/>
      <c r="M168" s="420"/>
      <c r="N168" s="420"/>
      <c r="O168" s="420"/>
      <c r="P168" s="420"/>
      <c r="Q168" s="420"/>
      <c r="R168" s="420"/>
      <c r="S168" s="420"/>
      <c r="T168" s="510"/>
      <c r="U168" s="639"/>
      <c r="V168" s="416"/>
    </row>
    <row r="169" spans="1:22" x14ac:dyDescent="0.3">
      <c r="A169" s="418"/>
      <c r="B169" s="540"/>
      <c r="C169" s="420"/>
      <c r="D169" s="420"/>
      <c r="E169" s="420"/>
      <c r="F169" s="420"/>
      <c r="G169" s="420"/>
      <c r="H169" s="420"/>
      <c r="I169" s="420"/>
      <c r="J169" s="420"/>
      <c r="K169" s="420"/>
      <c r="L169" s="420"/>
      <c r="M169" s="420"/>
      <c r="N169" s="420"/>
      <c r="O169" s="420"/>
      <c r="P169" s="420"/>
      <c r="Q169" s="420"/>
      <c r="R169" s="420"/>
      <c r="S169" s="420"/>
      <c r="T169" s="510"/>
      <c r="U169" s="639"/>
      <c r="V169" s="416"/>
    </row>
    <row r="170" spans="1:22" s="431" customFormat="1" x14ac:dyDescent="0.3">
      <c r="A170" s="449"/>
      <c r="B170" s="450" t="s">
        <v>58</v>
      </c>
      <c r="C170" s="450"/>
      <c r="D170" s="450"/>
      <c r="E170" s="450"/>
      <c r="F170" s="450"/>
      <c r="G170" s="450"/>
      <c r="H170" s="450"/>
      <c r="I170" s="450"/>
      <c r="J170" s="450"/>
      <c r="K170" s="450"/>
      <c r="L170" s="450"/>
      <c r="M170" s="450"/>
      <c r="N170" s="450"/>
      <c r="O170" s="450"/>
      <c r="P170" s="450"/>
      <c r="Q170" s="450"/>
      <c r="R170" s="450"/>
      <c r="S170" s="450"/>
      <c r="T170" s="515">
        <f>T70</f>
        <v>427220</v>
      </c>
      <c r="U170" s="452"/>
      <c r="V170" s="430"/>
    </row>
    <row r="171" spans="1:22" s="431" customFormat="1" x14ac:dyDescent="0.3">
      <c r="A171" s="449"/>
      <c r="B171" s="450" t="s">
        <v>59</v>
      </c>
      <c r="C171" s="450"/>
      <c r="D171" s="450"/>
      <c r="E171" s="450"/>
      <c r="F171" s="450"/>
      <c r="G171" s="450"/>
      <c r="H171" s="450"/>
      <c r="I171" s="450"/>
      <c r="J171" s="450"/>
      <c r="K171" s="450"/>
      <c r="L171" s="450"/>
      <c r="M171" s="450"/>
      <c r="N171" s="450"/>
      <c r="O171" s="450"/>
      <c r="P171" s="450"/>
      <c r="Q171" s="450"/>
      <c r="R171" s="450"/>
      <c r="S171" s="450"/>
      <c r="T171" s="515">
        <f>T83</f>
        <v>427220</v>
      </c>
      <c r="U171" s="452"/>
      <c r="V171" s="430"/>
    </row>
    <row r="172" spans="1:22" ht="16.2" thickBot="1" x14ac:dyDescent="0.35">
      <c r="A172" s="418"/>
      <c r="B172" s="516"/>
      <c r="C172" s="516"/>
      <c r="D172" s="516"/>
      <c r="E172" s="516"/>
      <c r="F172" s="516"/>
      <c r="G172" s="516"/>
      <c r="H172" s="516"/>
      <c r="I172" s="516"/>
      <c r="J172" s="516"/>
      <c r="K172" s="516"/>
      <c r="L172" s="516"/>
      <c r="M172" s="516"/>
      <c r="N172" s="516"/>
      <c r="O172" s="516"/>
      <c r="P172" s="516"/>
      <c r="Q172" s="516"/>
      <c r="R172" s="516"/>
      <c r="S172" s="516"/>
      <c r="T172" s="544"/>
      <c r="U172" s="639"/>
      <c r="V172" s="416"/>
    </row>
    <row r="173" spans="1:22" x14ac:dyDescent="0.3">
      <c r="A173" s="547"/>
      <c r="B173" s="415"/>
      <c r="C173" s="415"/>
      <c r="D173" s="415"/>
      <c r="E173" s="415"/>
      <c r="F173" s="415"/>
      <c r="G173" s="415"/>
      <c r="H173" s="415"/>
      <c r="I173" s="415"/>
      <c r="J173" s="415"/>
      <c r="K173" s="415"/>
      <c r="L173" s="415"/>
      <c r="M173" s="415"/>
      <c r="N173" s="415"/>
      <c r="O173" s="415"/>
      <c r="P173" s="415"/>
      <c r="Q173" s="415"/>
      <c r="R173" s="415"/>
      <c r="S173" s="415"/>
      <c r="T173" s="548"/>
      <c r="U173" s="638"/>
      <c r="V173" s="416"/>
    </row>
    <row r="174" spans="1:22" x14ac:dyDescent="0.3">
      <c r="A174" s="418"/>
      <c r="B174" s="540" t="s">
        <v>60</v>
      </c>
      <c r="C174" s="549"/>
      <c r="D174" s="549"/>
      <c r="E174" s="549"/>
      <c r="F174" s="549"/>
      <c r="G174" s="549"/>
      <c r="H174" s="550"/>
      <c r="I174" s="550"/>
      <c r="J174" s="550"/>
      <c r="K174" s="550"/>
      <c r="L174" s="550"/>
      <c r="M174" s="550"/>
      <c r="N174" s="550"/>
      <c r="O174" s="550"/>
      <c r="P174" s="550"/>
      <c r="Q174" s="550" t="s">
        <v>104</v>
      </c>
      <c r="R174" s="550" t="s">
        <v>183</v>
      </c>
      <c r="S174" s="422"/>
      <c r="T174" s="551" t="s">
        <v>120</v>
      </c>
      <c r="U174" s="643"/>
      <c r="V174" s="416"/>
    </row>
    <row r="175" spans="1:22" s="431" customFormat="1" x14ac:dyDescent="0.3">
      <c r="A175" s="449"/>
      <c r="B175" s="450" t="s">
        <v>61</v>
      </c>
      <c r="C175" s="450"/>
      <c r="D175" s="450"/>
      <c r="E175" s="450"/>
      <c r="F175" s="450"/>
      <c r="G175" s="450"/>
      <c r="H175" s="450"/>
      <c r="I175" s="450"/>
      <c r="J175" s="450"/>
      <c r="K175" s="450"/>
      <c r="L175" s="450"/>
      <c r="M175" s="450"/>
      <c r="N175" s="450"/>
      <c r="O175" s="450"/>
      <c r="P175" s="450"/>
      <c r="Q175" s="515">
        <v>160008</v>
      </c>
      <c r="R175" s="486"/>
      <c r="S175" s="450"/>
      <c r="T175" s="515"/>
      <c r="U175" s="452"/>
      <c r="V175" s="430"/>
    </row>
    <row r="176" spans="1:22" s="431" customFormat="1" x14ac:dyDescent="0.3">
      <c r="A176" s="449"/>
      <c r="B176" s="450" t="s">
        <v>62</v>
      </c>
      <c r="C176" s="450"/>
      <c r="D176" s="450"/>
      <c r="E176" s="450"/>
      <c r="F176" s="450"/>
      <c r="G176" s="450"/>
      <c r="H176" s="450"/>
      <c r="I176" s="450"/>
      <c r="J176" s="450"/>
      <c r="K176" s="450"/>
      <c r="L176" s="450"/>
      <c r="M176" s="450"/>
      <c r="N176" s="450"/>
      <c r="O176" s="450"/>
      <c r="P176" s="450"/>
      <c r="Q176" s="515">
        <f>+'June 17'!Q178</f>
        <v>40180</v>
      </c>
      <c r="R176" s="515">
        <f>+'June 17'!R178</f>
        <v>3447</v>
      </c>
      <c r="S176" s="450"/>
      <c r="T176" s="515">
        <f>Q176+R176</f>
        <v>43627</v>
      </c>
      <c r="U176" s="452"/>
      <c r="V176" s="430"/>
    </row>
    <row r="177" spans="1:22" s="431" customFormat="1" x14ac:dyDescent="0.3">
      <c r="A177" s="449"/>
      <c r="B177" s="450" t="s">
        <v>63</v>
      </c>
      <c r="C177" s="450"/>
      <c r="D177" s="450"/>
      <c r="E177" s="450"/>
      <c r="F177" s="450"/>
      <c r="G177" s="450"/>
      <c r="H177" s="450"/>
      <c r="I177" s="450"/>
      <c r="J177" s="450"/>
      <c r="K177" s="450"/>
      <c r="L177" s="450"/>
      <c r="M177" s="450"/>
      <c r="N177" s="450"/>
      <c r="O177" s="450"/>
      <c r="P177" s="450"/>
      <c r="Q177" s="514">
        <f>483+32</f>
        <v>515</v>
      </c>
      <c r="R177" s="514">
        <v>0</v>
      </c>
      <c r="S177" s="450"/>
      <c r="T177" s="515">
        <f>Q177+R177</f>
        <v>515</v>
      </c>
      <c r="U177" s="452"/>
      <c r="V177" s="430"/>
    </row>
    <row r="178" spans="1:22" s="431" customFormat="1" x14ac:dyDescent="0.3">
      <c r="A178" s="449"/>
      <c r="B178" s="450" t="s">
        <v>64</v>
      </c>
      <c r="C178" s="450"/>
      <c r="D178" s="450"/>
      <c r="E178" s="450"/>
      <c r="F178" s="450"/>
      <c r="G178" s="450"/>
      <c r="H178" s="450"/>
      <c r="I178" s="450"/>
      <c r="J178" s="450"/>
      <c r="K178" s="450"/>
      <c r="L178" s="450"/>
      <c r="M178" s="450"/>
      <c r="N178" s="450"/>
      <c r="O178" s="450"/>
      <c r="P178" s="450"/>
      <c r="Q178" s="515">
        <f>Q176+Q177</f>
        <v>40695</v>
      </c>
      <c r="R178" s="515">
        <f>R177+R176</f>
        <v>3447</v>
      </c>
      <c r="S178" s="450"/>
      <c r="T178" s="515">
        <f>Q178+R178</f>
        <v>44142</v>
      </c>
      <c r="U178" s="452"/>
      <c r="V178" s="430"/>
    </row>
    <row r="179" spans="1:22" s="431" customFormat="1" x14ac:dyDescent="0.3">
      <c r="A179" s="449"/>
      <c r="B179" s="450" t="s">
        <v>65</v>
      </c>
      <c r="C179" s="450"/>
      <c r="D179" s="450"/>
      <c r="E179" s="450"/>
      <c r="F179" s="450"/>
      <c r="G179" s="450"/>
      <c r="H179" s="450"/>
      <c r="I179" s="450"/>
      <c r="J179" s="450"/>
      <c r="K179" s="450"/>
      <c r="L179" s="450"/>
      <c r="M179" s="450"/>
      <c r="N179" s="450"/>
      <c r="O179" s="450"/>
      <c r="P179" s="450"/>
      <c r="Q179" s="515">
        <f>Q175-Q178-R178</f>
        <v>115866</v>
      </c>
      <c r="R179" s="486"/>
      <c r="S179" s="450"/>
      <c r="T179" s="515"/>
      <c r="U179" s="452"/>
      <c r="V179" s="430"/>
    </row>
    <row r="180" spans="1:22" ht="16.2" thickBot="1" x14ac:dyDescent="0.35">
      <c r="A180" s="418"/>
      <c r="B180" s="516"/>
      <c r="C180" s="516"/>
      <c r="D180" s="516"/>
      <c r="E180" s="516"/>
      <c r="F180" s="516"/>
      <c r="G180" s="516"/>
      <c r="H180" s="516"/>
      <c r="I180" s="516"/>
      <c r="J180" s="516"/>
      <c r="K180" s="516"/>
      <c r="L180" s="516"/>
      <c r="M180" s="516"/>
      <c r="N180" s="516"/>
      <c r="O180" s="516"/>
      <c r="P180" s="516"/>
      <c r="Q180" s="516"/>
      <c r="R180" s="516"/>
      <c r="S180" s="516"/>
      <c r="T180" s="544"/>
      <c r="U180" s="639"/>
      <c r="V180" s="416"/>
    </row>
    <row r="181" spans="1:22" x14ac:dyDescent="0.3">
      <c r="A181" s="547"/>
      <c r="B181" s="415"/>
      <c r="C181" s="415"/>
      <c r="D181" s="415"/>
      <c r="E181" s="415"/>
      <c r="F181" s="415"/>
      <c r="G181" s="415"/>
      <c r="H181" s="415"/>
      <c r="I181" s="415"/>
      <c r="J181" s="415"/>
      <c r="K181" s="415"/>
      <c r="L181" s="415"/>
      <c r="M181" s="415"/>
      <c r="N181" s="415"/>
      <c r="O181" s="415"/>
      <c r="P181" s="415"/>
      <c r="Q181" s="415"/>
      <c r="R181" s="415"/>
      <c r="S181" s="415"/>
      <c r="T181" s="548"/>
      <c r="U181" s="638"/>
      <c r="V181" s="416"/>
    </row>
    <row r="182" spans="1:22" x14ac:dyDescent="0.3">
      <c r="A182" s="418"/>
      <c r="B182" s="540" t="s">
        <v>66</v>
      </c>
      <c r="C182" s="420"/>
      <c r="D182" s="420"/>
      <c r="E182" s="420"/>
      <c r="F182" s="420"/>
      <c r="G182" s="420"/>
      <c r="H182" s="420"/>
      <c r="I182" s="420"/>
      <c r="J182" s="420"/>
      <c r="K182" s="420"/>
      <c r="L182" s="420"/>
      <c r="M182" s="420"/>
      <c r="N182" s="420"/>
      <c r="O182" s="420"/>
      <c r="P182" s="420"/>
      <c r="Q182" s="420"/>
      <c r="R182" s="420"/>
      <c r="S182" s="420"/>
      <c r="T182" s="552"/>
      <c r="U182" s="639"/>
      <c r="V182" s="416"/>
    </row>
    <row r="183" spans="1:22" s="431" customFormat="1" x14ac:dyDescent="0.3">
      <c r="A183" s="449"/>
      <c r="B183" s="450" t="s">
        <v>67</v>
      </c>
      <c r="C183" s="450"/>
      <c r="D183" s="450"/>
      <c r="E183" s="450"/>
      <c r="F183" s="450"/>
      <c r="G183" s="450"/>
      <c r="H183" s="450"/>
      <c r="I183" s="450"/>
      <c r="J183" s="450"/>
      <c r="K183" s="450"/>
      <c r="L183" s="450"/>
      <c r="M183" s="450"/>
      <c r="N183" s="450"/>
      <c r="O183" s="450"/>
      <c r="P183" s="450"/>
      <c r="Q183" s="450"/>
      <c r="R183" s="450"/>
      <c r="S183" s="450"/>
      <c r="T183" s="545">
        <f>(T99+T101+T102+T103+T104)/-(T105+T106)</f>
        <v>6.0594900849858355</v>
      </c>
      <c r="U183" s="452" t="s">
        <v>121</v>
      </c>
      <c r="V183" s="430"/>
    </row>
    <row r="184" spans="1:22" s="431" customFormat="1" x14ac:dyDescent="0.3">
      <c r="A184" s="449"/>
      <c r="B184" s="450" t="s">
        <v>68</v>
      </c>
      <c r="C184" s="450"/>
      <c r="D184" s="450"/>
      <c r="E184" s="450"/>
      <c r="F184" s="450"/>
      <c r="G184" s="450"/>
      <c r="H184" s="450"/>
      <c r="I184" s="450"/>
      <c r="J184" s="450"/>
      <c r="K184" s="450"/>
      <c r="L184" s="450"/>
      <c r="M184" s="450"/>
      <c r="N184" s="450"/>
      <c r="O184" s="450"/>
      <c r="P184" s="450"/>
      <c r="Q184" s="450"/>
      <c r="R184" s="450"/>
      <c r="S184" s="450"/>
      <c r="T184" s="553">
        <v>1.9</v>
      </c>
      <c r="U184" s="452" t="s">
        <v>121</v>
      </c>
      <c r="V184" s="430"/>
    </row>
    <row r="185" spans="1:22" s="431" customFormat="1" x14ac:dyDescent="0.3">
      <c r="A185" s="449"/>
      <c r="B185" s="450" t="s">
        <v>69</v>
      </c>
      <c r="C185" s="450"/>
      <c r="D185" s="450"/>
      <c r="E185" s="450"/>
      <c r="F185" s="450"/>
      <c r="G185" s="450"/>
      <c r="H185" s="450"/>
      <c r="I185" s="450"/>
      <c r="J185" s="450"/>
      <c r="K185" s="450"/>
      <c r="L185" s="450"/>
      <c r="M185" s="450"/>
      <c r="N185" s="450"/>
      <c r="O185" s="450"/>
      <c r="P185" s="450"/>
      <c r="Q185" s="450"/>
      <c r="R185" s="450"/>
      <c r="S185" s="450"/>
      <c r="T185" s="545">
        <f>(T99+T101+T102+T103+T104+T105+T106)/-(T107+T108)</f>
        <v>14.174603174603174</v>
      </c>
      <c r="U185" s="452" t="s">
        <v>121</v>
      </c>
      <c r="V185" s="430"/>
    </row>
    <row r="186" spans="1:22" s="431" customFormat="1" x14ac:dyDescent="0.3">
      <c r="A186" s="449"/>
      <c r="B186" s="450" t="s">
        <v>70</v>
      </c>
      <c r="C186" s="450"/>
      <c r="D186" s="450"/>
      <c r="E186" s="450"/>
      <c r="F186" s="450"/>
      <c r="G186" s="450"/>
      <c r="H186" s="450"/>
      <c r="I186" s="450"/>
      <c r="J186" s="450"/>
      <c r="K186" s="450"/>
      <c r="L186" s="450"/>
      <c r="M186" s="450"/>
      <c r="N186" s="450"/>
      <c r="O186" s="450"/>
      <c r="P186" s="450"/>
      <c r="Q186" s="450"/>
      <c r="R186" s="450"/>
      <c r="S186" s="450"/>
      <c r="T186" s="553">
        <v>6.98</v>
      </c>
      <c r="U186" s="452" t="s">
        <v>121</v>
      </c>
      <c r="V186" s="430"/>
    </row>
    <row r="187" spans="1:22" s="431" customFormat="1" x14ac:dyDescent="0.3">
      <c r="A187" s="449"/>
      <c r="B187" s="450" t="s">
        <v>206</v>
      </c>
      <c r="C187" s="450"/>
      <c r="D187" s="450"/>
      <c r="E187" s="450"/>
      <c r="F187" s="450"/>
      <c r="G187" s="450"/>
      <c r="H187" s="450"/>
      <c r="I187" s="450"/>
      <c r="J187" s="450"/>
      <c r="K187" s="450"/>
      <c r="L187" s="450"/>
      <c r="M187" s="450"/>
      <c r="N187" s="450"/>
      <c r="O187" s="450"/>
      <c r="P187" s="450"/>
      <c r="Q187" s="450"/>
      <c r="R187" s="450"/>
      <c r="S187" s="450"/>
      <c r="T187" s="545">
        <f>(T99+T101+T102+T103+T104+T105+T106+T107+T108)/-(T109)</f>
        <v>9.9401197604790426</v>
      </c>
      <c r="U187" s="452" t="s">
        <v>121</v>
      </c>
      <c r="V187" s="430"/>
    </row>
    <row r="188" spans="1:22" s="431" customFormat="1" x14ac:dyDescent="0.3">
      <c r="A188" s="449"/>
      <c r="B188" s="450" t="s">
        <v>207</v>
      </c>
      <c r="C188" s="450"/>
      <c r="D188" s="450"/>
      <c r="E188" s="450"/>
      <c r="F188" s="450"/>
      <c r="G188" s="450"/>
      <c r="H188" s="450"/>
      <c r="I188" s="450"/>
      <c r="J188" s="450"/>
      <c r="K188" s="450"/>
      <c r="L188" s="450"/>
      <c r="M188" s="450"/>
      <c r="N188" s="450"/>
      <c r="O188" s="450"/>
      <c r="P188" s="450"/>
      <c r="Q188" s="450"/>
      <c r="R188" s="450"/>
      <c r="S188" s="450"/>
      <c r="T188" s="553">
        <v>6.21</v>
      </c>
      <c r="U188" s="452" t="s">
        <v>121</v>
      </c>
      <c r="V188" s="430"/>
    </row>
    <row r="189" spans="1:22" x14ac:dyDescent="0.3">
      <c r="A189" s="468"/>
      <c r="B189" s="470"/>
      <c r="C189" s="470"/>
      <c r="D189" s="470"/>
      <c r="E189" s="470"/>
      <c r="F189" s="470"/>
      <c r="G189" s="470"/>
      <c r="H189" s="470"/>
      <c r="I189" s="470"/>
      <c r="J189" s="470"/>
      <c r="K189" s="470"/>
      <c r="L189" s="470"/>
      <c r="M189" s="470"/>
      <c r="N189" s="470"/>
      <c r="O189" s="470"/>
      <c r="P189" s="470"/>
      <c r="Q189" s="470"/>
      <c r="R189" s="470"/>
      <c r="S189" s="470"/>
      <c r="T189" s="470"/>
      <c r="U189" s="476"/>
      <c r="V189" s="416"/>
    </row>
    <row r="190" spans="1:22" x14ac:dyDescent="0.3">
      <c r="A190" s="418"/>
      <c r="B190" s="516"/>
      <c r="C190" s="516"/>
      <c r="D190" s="516"/>
      <c r="E190" s="516"/>
      <c r="F190" s="516"/>
      <c r="G190" s="516"/>
      <c r="H190" s="516"/>
      <c r="I190" s="516"/>
      <c r="J190" s="516"/>
      <c r="K190" s="516"/>
      <c r="L190" s="516"/>
      <c r="M190" s="516"/>
      <c r="N190" s="516"/>
      <c r="O190" s="516"/>
      <c r="P190" s="516"/>
      <c r="Q190" s="516"/>
      <c r="R190" s="516"/>
      <c r="S190" s="516"/>
      <c r="T190" s="516"/>
      <c r="U190" s="639"/>
      <c r="V190" s="416"/>
    </row>
    <row r="191" spans="1:22" x14ac:dyDescent="0.3">
      <c r="A191" s="418"/>
      <c r="B191" s="420"/>
      <c r="C191" s="420"/>
      <c r="D191" s="420"/>
      <c r="E191" s="420"/>
      <c r="F191" s="420"/>
      <c r="G191" s="420"/>
      <c r="H191" s="420"/>
      <c r="I191" s="420"/>
      <c r="J191" s="420"/>
      <c r="K191" s="420"/>
      <c r="L191" s="420"/>
      <c r="M191" s="420"/>
      <c r="N191" s="420"/>
      <c r="O191" s="420"/>
      <c r="P191" s="420"/>
      <c r="Q191" s="420"/>
      <c r="R191" s="420"/>
      <c r="S191" s="420"/>
      <c r="T191" s="420"/>
      <c r="U191" s="639"/>
      <c r="V191" s="416"/>
    </row>
    <row r="192" spans="1:22" ht="18.600000000000001" thickBot="1" x14ac:dyDescent="0.4">
      <c r="A192" s="554"/>
      <c r="B192" s="501" t="str">
        <f>B132</f>
        <v>PM11 INVESTOR REPORT QUARTER ENDING SEPTEMBER 2017</v>
      </c>
      <c r="C192" s="555"/>
      <c r="D192" s="555"/>
      <c r="E192" s="555"/>
      <c r="F192" s="555"/>
      <c r="G192" s="555"/>
      <c r="H192" s="555"/>
      <c r="I192" s="555"/>
      <c r="J192" s="555"/>
      <c r="K192" s="555"/>
      <c r="L192" s="555"/>
      <c r="M192" s="555"/>
      <c r="N192" s="555"/>
      <c r="O192" s="555"/>
      <c r="P192" s="555"/>
      <c r="Q192" s="555"/>
      <c r="R192" s="555"/>
      <c r="S192" s="555"/>
      <c r="T192" s="555"/>
      <c r="U192" s="556"/>
      <c r="V192" s="416"/>
    </row>
    <row r="193" spans="1:22" x14ac:dyDescent="0.3">
      <c r="A193" s="505"/>
      <c r="B193" s="506" t="s">
        <v>71</v>
      </c>
      <c r="C193" s="627"/>
      <c r="D193" s="627"/>
      <c r="E193" s="627"/>
      <c r="F193" s="627"/>
      <c r="G193" s="628"/>
      <c r="H193" s="628"/>
      <c r="I193" s="628"/>
      <c r="J193" s="628"/>
      <c r="K193" s="628"/>
      <c r="L193" s="628"/>
      <c r="M193" s="628"/>
      <c r="N193" s="628"/>
      <c r="O193" s="628"/>
      <c r="P193" s="628"/>
      <c r="Q193" s="628"/>
      <c r="R193" s="629">
        <v>43007</v>
      </c>
      <c r="S193" s="507"/>
      <c r="T193" s="507"/>
      <c r="U193" s="509"/>
      <c r="V193" s="416"/>
    </row>
    <row r="194" spans="1:22" x14ac:dyDescent="0.3">
      <c r="A194" s="557"/>
      <c r="B194" s="558"/>
      <c r="C194" s="559"/>
      <c r="D194" s="559"/>
      <c r="E194" s="559"/>
      <c r="F194" s="559"/>
      <c r="G194" s="560"/>
      <c r="H194" s="560"/>
      <c r="I194" s="560"/>
      <c r="J194" s="560"/>
      <c r="K194" s="560"/>
      <c r="L194" s="560"/>
      <c r="M194" s="560"/>
      <c r="N194" s="560"/>
      <c r="O194" s="560"/>
      <c r="P194" s="560"/>
      <c r="Q194" s="560"/>
      <c r="R194" s="560"/>
      <c r="S194" s="420"/>
      <c r="T194" s="420"/>
      <c r="U194" s="639"/>
      <c r="V194" s="416"/>
    </row>
    <row r="195" spans="1:22" s="431" customFormat="1" x14ac:dyDescent="0.3">
      <c r="A195" s="449"/>
      <c r="B195" s="450" t="s">
        <v>72</v>
      </c>
      <c r="C195" s="561"/>
      <c r="D195" s="561"/>
      <c r="E195" s="561"/>
      <c r="F195" s="561"/>
      <c r="G195" s="490"/>
      <c r="H195" s="490"/>
      <c r="I195" s="490"/>
      <c r="J195" s="490"/>
      <c r="K195" s="490"/>
      <c r="L195" s="490"/>
      <c r="M195" s="490"/>
      <c r="N195" s="490"/>
      <c r="O195" s="490"/>
      <c r="P195" s="490"/>
      <c r="Q195" s="490"/>
      <c r="R195" s="483">
        <v>5.1569999999999998E-2</v>
      </c>
      <c r="S195" s="450"/>
      <c r="T195" s="450"/>
      <c r="U195" s="452"/>
      <c r="V195" s="430"/>
    </row>
    <row r="196" spans="1:22" s="431" customFormat="1" x14ac:dyDescent="0.3">
      <c r="A196" s="449"/>
      <c r="B196" s="450" t="s">
        <v>157</v>
      </c>
      <c r="C196" s="561"/>
      <c r="D196" s="561"/>
      <c r="E196" s="561"/>
      <c r="F196" s="561"/>
      <c r="G196" s="490"/>
      <c r="H196" s="490"/>
      <c r="I196" s="490"/>
      <c r="J196" s="490"/>
      <c r="K196" s="490"/>
      <c r="L196" s="490"/>
      <c r="M196" s="490"/>
      <c r="N196" s="490"/>
      <c r="O196" s="490"/>
      <c r="P196" s="490"/>
      <c r="Q196" s="490"/>
      <c r="R196" s="483">
        <v>4.6899999999999997E-2</v>
      </c>
      <c r="S196" s="450"/>
      <c r="T196" s="450"/>
      <c r="U196" s="452"/>
      <c r="V196" s="430"/>
    </row>
    <row r="197" spans="1:22" s="431" customFormat="1" x14ac:dyDescent="0.3">
      <c r="A197" s="449"/>
      <c r="B197" s="450" t="s">
        <v>73</v>
      </c>
      <c r="C197" s="561"/>
      <c r="D197" s="561"/>
      <c r="E197" s="561"/>
      <c r="F197" s="561"/>
      <c r="G197" s="490"/>
      <c r="H197" s="490"/>
      <c r="I197" s="490"/>
      <c r="J197" s="490"/>
      <c r="K197" s="490"/>
      <c r="L197" s="490"/>
      <c r="M197" s="490"/>
      <c r="N197" s="490"/>
      <c r="O197" s="490"/>
      <c r="P197" s="490"/>
      <c r="Q197" s="490"/>
      <c r="R197" s="483">
        <f>R195-R196</f>
        <v>4.6700000000000005E-3</v>
      </c>
      <c r="S197" s="450"/>
      <c r="T197" s="450"/>
      <c r="U197" s="452"/>
      <c r="V197" s="430"/>
    </row>
    <row r="198" spans="1:22" s="431" customFormat="1" x14ac:dyDescent="0.3">
      <c r="A198" s="449"/>
      <c r="B198" s="450" t="s">
        <v>74</v>
      </c>
      <c r="C198" s="561"/>
      <c r="D198" s="561"/>
      <c r="E198" s="561"/>
      <c r="F198" s="561"/>
      <c r="G198" s="490"/>
      <c r="H198" s="490"/>
      <c r="I198" s="490"/>
      <c r="J198" s="490"/>
      <c r="K198" s="490"/>
      <c r="L198" s="490"/>
      <c r="M198" s="490"/>
      <c r="N198" s="490"/>
      <c r="O198" s="490"/>
      <c r="P198" s="490"/>
      <c r="Q198" s="490"/>
      <c r="R198" s="483">
        <v>2.103E-2</v>
      </c>
      <c r="S198" s="450"/>
      <c r="T198" s="450"/>
      <c r="U198" s="452"/>
      <c r="V198" s="430"/>
    </row>
    <row r="199" spans="1:22" s="431" customFormat="1" x14ac:dyDescent="0.3">
      <c r="A199" s="449"/>
      <c r="B199" s="450" t="s">
        <v>257</v>
      </c>
      <c r="C199" s="561"/>
      <c r="D199" s="561"/>
      <c r="E199" s="561"/>
      <c r="F199" s="561"/>
      <c r="G199" s="490"/>
      <c r="H199" s="490"/>
      <c r="I199" s="490"/>
      <c r="J199" s="490"/>
      <c r="K199" s="490"/>
      <c r="L199" s="490"/>
      <c r="M199" s="490"/>
      <c r="N199" s="490"/>
      <c r="O199" s="490"/>
      <c r="P199" s="490"/>
      <c r="Q199" s="490"/>
      <c r="R199" s="483">
        <f>T43</f>
        <v>5.9509882702285487E-3</v>
      </c>
      <c r="S199" s="450"/>
      <c r="T199" s="450"/>
      <c r="U199" s="452"/>
      <c r="V199" s="430"/>
    </row>
    <row r="200" spans="1:22" s="431" customFormat="1" x14ac:dyDescent="0.3">
      <c r="A200" s="449"/>
      <c r="B200" s="450" t="s">
        <v>75</v>
      </c>
      <c r="C200" s="561"/>
      <c r="D200" s="561"/>
      <c r="E200" s="561"/>
      <c r="F200" s="561"/>
      <c r="G200" s="490"/>
      <c r="H200" s="490"/>
      <c r="I200" s="490"/>
      <c r="J200" s="490"/>
      <c r="K200" s="490"/>
      <c r="L200" s="490"/>
      <c r="M200" s="490"/>
      <c r="N200" s="490"/>
      <c r="O200" s="490"/>
      <c r="P200" s="490"/>
      <c r="Q200" s="490"/>
      <c r="R200" s="483">
        <f>R198-R199</f>
        <v>1.5079011729771451E-2</v>
      </c>
      <c r="S200" s="450"/>
      <c r="T200" s="450"/>
      <c r="U200" s="452"/>
      <c r="V200" s="430"/>
    </row>
    <row r="201" spans="1:22" s="431" customFormat="1" x14ac:dyDescent="0.3">
      <c r="A201" s="449"/>
      <c r="B201" s="450" t="s">
        <v>260</v>
      </c>
      <c r="C201" s="561"/>
      <c r="D201" s="561"/>
      <c r="E201" s="561"/>
      <c r="F201" s="561"/>
      <c r="G201" s="490"/>
      <c r="H201" s="490"/>
      <c r="I201" s="490"/>
      <c r="J201" s="490"/>
      <c r="K201" s="490"/>
      <c r="L201" s="490"/>
      <c r="M201" s="490"/>
      <c r="N201" s="490"/>
      <c r="O201" s="490"/>
      <c r="P201" s="490"/>
      <c r="Q201" s="490"/>
      <c r="R201" s="483">
        <f>+T99/L70</f>
        <v>5.4557404777335009E-3</v>
      </c>
      <c r="S201" s="450"/>
      <c r="T201" s="450"/>
      <c r="U201" s="452"/>
      <c r="V201" s="430"/>
    </row>
    <row r="202" spans="1:22" s="431" customFormat="1" x14ac:dyDescent="0.3">
      <c r="A202" s="449"/>
      <c r="B202" s="450" t="s">
        <v>217</v>
      </c>
      <c r="C202" s="561"/>
      <c r="D202" s="561"/>
      <c r="E202" s="561"/>
      <c r="F202" s="561"/>
      <c r="G202" s="490"/>
      <c r="H202" s="490"/>
      <c r="I202" s="490"/>
      <c r="J202" s="490"/>
      <c r="K202" s="490"/>
      <c r="L202" s="490"/>
      <c r="M202" s="490"/>
      <c r="N202" s="490"/>
      <c r="O202" s="490"/>
      <c r="P202" s="490"/>
      <c r="Q202" s="490"/>
      <c r="R202" s="562">
        <v>15250</v>
      </c>
      <c r="S202" s="450"/>
      <c r="T202" s="450"/>
      <c r="U202" s="452"/>
      <c r="V202" s="430"/>
    </row>
    <row r="203" spans="1:22" s="431" customFormat="1" x14ac:dyDescent="0.3">
      <c r="A203" s="449"/>
      <c r="B203" s="450" t="s">
        <v>218</v>
      </c>
      <c r="C203" s="561"/>
      <c r="D203" s="561"/>
      <c r="E203" s="561"/>
      <c r="F203" s="561"/>
      <c r="G203" s="490"/>
      <c r="H203" s="490"/>
      <c r="I203" s="490"/>
      <c r="J203" s="490"/>
      <c r="K203" s="490"/>
      <c r="L203" s="490"/>
      <c r="M203" s="490"/>
      <c r="N203" s="490"/>
      <c r="O203" s="490"/>
      <c r="P203" s="490"/>
      <c r="Q203" s="490"/>
      <c r="R203" s="562">
        <v>15250</v>
      </c>
      <c r="S203" s="450"/>
      <c r="T203" s="450"/>
      <c r="U203" s="452"/>
      <c r="V203" s="430"/>
    </row>
    <row r="204" spans="1:22" s="431" customFormat="1" x14ac:dyDescent="0.3">
      <c r="A204" s="449"/>
      <c r="B204" s="450" t="s">
        <v>219</v>
      </c>
      <c r="C204" s="561"/>
      <c r="D204" s="561"/>
      <c r="E204" s="561"/>
      <c r="F204" s="561"/>
      <c r="G204" s="490"/>
      <c r="H204" s="490"/>
      <c r="I204" s="490"/>
      <c r="J204" s="490"/>
      <c r="K204" s="490"/>
      <c r="L204" s="490"/>
      <c r="M204" s="490"/>
      <c r="N204" s="490"/>
      <c r="O204" s="490"/>
      <c r="P204" s="490"/>
      <c r="Q204" s="490"/>
      <c r="R204" s="562">
        <v>15250</v>
      </c>
      <c r="S204" s="450"/>
      <c r="T204" s="450"/>
      <c r="U204" s="452"/>
      <c r="V204" s="430"/>
    </row>
    <row r="205" spans="1:22" s="431" customFormat="1" x14ac:dyDescent="0.3">
      <c r="A205" s="449"/>
      <c r="B205" s="450" t="s">
        <v>76</v>
      </c>
      <c r="C205" s="561"/>
      <c r="D205" s="561"/>
      <c r="E205" s="561"/>
      <c r="F205" s="561"/>
      <c r="G205" s="490"/>
      <c r="H205" s="490"/>
      <c r="I205" s="490"/>
      <c r="J205" s="490"/>
      <c r="K205" s="490"/>
      <c r="L205" s="490"/>
      <c r="M205" s="490"/>
      <c r="N205" s="490"/>
      <c r="O205" s="490"/>
      <c r="P205" s="490"/>
      <c r="Q205" s="490"/>
      <c r="R205" s="488">
        <v>21.18</v>
      </c>
      <c r="S205" s="450" t="s">
        <v>116</v>
      </c>
      <c r="T205" s="450"/>
      <c r="U205" s="452"/>
      <c r="V205" s="430"/>
    </row>
    <row r="206" spans="1:22" s="431" customFormat="1" x14ac:dyDescent="0.3">
      <c r="A206" s="449"/>
      <c r="B206" s="450" t="s">
        <v>77</v>
      </c>
      <c r="C206" s="561"/>
      <c r="D206" s="561"/>
      <c r="E206" s="561"/>
      <c r="F206" s="561"/>
      <c r="G206" s="490"/>
      <c r="H206" s="490"/>
      <c r="I206" s="490"/>
      <c r="J206" s="490"/>
      <c r="K206" s="490"/>
      <c r="L206" s="490"/>
      <c r="M206" s="490"/>
      <c r="N206" s="490"/>
      <c r="O206" s="490"/>
      <c r="P206" s="490"/>
      <c r="Q206" s="490"/>
      <c r="R206" s="488">
        <v>10.33</v>
      </c>
      <c r="S206" s="450" t="s">
        <v>116</v>
      </c>
      <c r="T206" s="450"/>
      <c r="U206" s="452"/>
      <c r="V206" s="430"/>
    </row>
    <row r="207" spans="1:22" s="431" customFormat="1" x14ac:dyDescent="0.3">
      <c r="A207" s="449"/>
      <c r="B207" s="450" t="s">
        <v>78</v>
      </c>
      <c r="C207" s="561"/>
      <c r="D207" s="561"/>
      <c r="E207" s="561"/>
      <c r="F207" s="561"/>
      <c r="G207" s="490"/>
      <c r="H207" s="490"/>
      <c r="I207" s="490"/>
      <c r="J207" s="490"/>
      <c r="K207" s="490"/>
      <c r="L207" s="490"/>
      <c r="M207" s="490"/>
      <c r="N207" s="490"/>
      <c r="O207" s="490"/>
      <c r="P207" s="490"/>
      <c r="Q207" s="490"/>
      <c r="R207" s="483">
        <f>N67/L67</f>
        <v>1.9380058739985936E-2</v>
      </c>
      <c r="S207" s="450"/>
      <c r="T207" s="450"/>
      <c r="U207" s="452"/>
      <c r="V207" s="430"/>
    </row>
    <row r="208" spans="1:22" s="431" customFormat="1" x14ac:dyDescent="0.3">
      <c r="A208" s="449"/>
      <c r="B208" s="450" t="s">
        <v>79</v>
      </c>
      <c r="C208" s="561"/>
      <c r="D208" s="561"/>
      <c r="E208" s="561"/>
      <c r="F208" s="561"/>
      <c r="G208" s="490"/>
      <c r="H208" s="490"/>
      <c r="I208" s="490"/>
      <c r="J208" s="490"/>
      <c r="K208" s="490"/>
      <c r="L208" s="490"/>
      <c r="M208" s="490"/>
      <c r="N208" s="490"/>
      <c r="O208" s="490"/>
      <c r="P208" s="490"/>
      <c r="Q208" s="490"/>
      <c r="R208" s="483">
        <v>7.5700000000000003E-2</v>
      </c>
      <c r="S208" s="450"/>
      <c r="T208" s="450"/>
      <c r="U208" s="452"/>
      <c r="V208" s="430"/>
    </row>
    <row r="209" spans="1:22" x14ac:dyDescent="0.3">
      <c r="A209" s="557"/>
      <c r="B209" s="563"/>
      <c r="C209" s="563"/>
      <c r="D209" s="563"/>
      <c r="E209" s="563"/>
      <c r="F209" s="563"/>
      <c r="G209" s="516"/>
      <c r="H209" s="516"/>
      <c r="I209" s="516"/>
      <c r="J209" s="516"/>
      <c r="K209" s="516"/>
      <c r="L209" s="516"/>
      <c r="M209" s="516"/>
      <c r="N209" s="516"/>
      <c r="O209" s="516"/>
      <c r="P209" s="516"/>
      <c r="Q209" s="516"/>
      <c r="R209" s="544"/>
      <c r="S209" s="516"/>
      <c r="T209" s="564"/>
      <c r="U209" s="639"/>
      <c r="V209" s="416"/>
    </row>
    <row r="210" spans="1:22" x14ac:dyDescent="0.3">
      <c r="A210" s="565"/>
      <c r="B210" s="521" t="s">
        <v>80</v>
      </c>
      <c r="C210" s="522"/>
      <c r="D210" s="522"/>
      <c r="E210" s="522"/>
      <c r="F210" s="566"/>
      <c r="G210" s="522"/>
      <c r="H210" s="522"/>
      <c r="I210" s="522"/>
      <c r="J210" s="522"/>
      <c r="K210" s="522"/>
      <c r="L210" s="522"/>
      <c r="M210" s="522"/>
      <c r="N210" s="522"/>
      <c r="O210" s="522"/>
      <c r="P210" s="522"/>
      <c r="Q210" s="522" t="s">
        <v>105</v>
      </c>
      <c r="R210" s="566" t="s">
        <v>112</v>
      </c>
      <c r="S210" s="443"/>
      <c r="T210" s="443"/>
      <c r="U210" s="446"/>
      <c r="V210" s="416"/>
    </row>
    <row r="211" spans="1:22" s="431" customFormat="1" x14ac:dyDescent="0.3">
      <c r="A211" s="567"/>
      <c r="B211" s="447" t="s">
        <v>81</v>
      </c>
      <c r="C211" s="525"/>
      <c r="D211" s="525"/>
      <c r="E211" s="525"/>
      <c r="F211" s="447"/>
      <c r="G211" s="447"/>
      <c r="H211" s="568"/>
      <c r="I211" s="568"/>
      <c r="J211" s="568"/>
      <c r="K211" s="568"/>
      <c r="L211" s="568"/>
      <c r="M211" s="568"/>
      <c r="N211" s="568"/>
      <c r="O211" s="568"/>
      <c r="P211" s="568"/>
      <c r="Q211" s="568">
        <v>0</v>
      </c>
      <c r="R211" s="569">
        <v>0</v>
      </c>
      <c r="S211" s="447"/>
      <c r="T211" s="570"/>
      <c r="U211" s="644"/>
      <c r="V211" s="430"/>
    </row>
    <row r="212" spans="1:22" s="431" customFormat="1" x14ac:dyDescent="0.3">
      <c r="A212" s="571"/>
      <c r="B212" s="450" t="s">
        <v>151</v>
      </c>
      <c r="C212" s="514"/>
      <c r="D212" s="514"/>
      <c r="E212" s="514"/>
      <c r="F212" s="450"/>
      <c r="G212" s="450"/>
      <c r="H212" s="456"/>
      <c r="I212" s="456"/>
      <c r="J212" s="456"/>
      <c r="K212" s="456"/>
      <c r="L212" s="456"/>
      <c r="M212" s="456"/>
      <c r="N212" s="456"/>
      <c r="O212" s="456"/>
      <c r="P212" s="456"/>
      <c r="Q212" s="572">
        <f>+P264</f>
        <v>32</v>
      </c>
      <c r="R212" s="573">
        <f>+R264</f>
        <v>5331</v>
      </c>
      <c r="S212" s="450"/>
      <c r="T212" s="574"/>
      <c r="U212" s="575"/>
      <c r="V212" s="430"/>
    </row>
    <row r="213" spans="1:22" s="431" customFormat="1" x14ac:dyDescent="0.3">
      <c r="A213" s="571"/>
      <c r="B213" s="450" t="s">
        <v>82</v>
      </c>
      <c r="C213" s="514"/>
      <c r="D213" s="514"/>
      <c r="E213" s="514"/>
      <c r="F213" s="450"/>
      <c r="G213" s="450"/>
      <c r="H213" s="456"/>
      <c r="I213" s="456"/>
      <c r="J213" s="456"/>
      <c r="K213" s="456"/>
      <c r="L213" s="456"/>
      <c r="M213" s="456"/>
      <c r="N213" s="456"/>
      <c r="O213" s="456"/>
      <c r="P213" s="456"/>
      <c r="Q213" s="572">
        <f>+P276</f>
        <v>0</v>
      </c>
      <c r="R213" s="573">
        <f>+R276</f>
        <v>0</v>
      </c>
      <c r="S213" s="450"/>
      <c r="T213" s="574"/>
      <c r="U213" s="575"/>
      <c r="V213" s="430"/>
    </row>
    <row r="214" spans="1:22" x14ac:dyDescent="0.3">
      <c r="A214" s="576"/>
      <c r="B214" s="577" t="s">
        <v>83</v>
      </c>
      <c r="C214" s="578"/>
      <c r="D214" s="578"/>
      <c r="E214" s="578"/>
      <c r="F214" s="470"/>
      <c r="G214" s="470"/>
      <c r="H214" s="470"/>
      <c r="I214" s="470"/>
      <c r="J214" s="470"/>
      <c r="K214" s="470"/>
      <c r="L214" s="470"/>
      <c r="M214" s="470"/>
      <c r="N214" s="470"/>
      <c r="O214" s="470"/>
      <c r="P214" s="470"/>
      <c r="Q214" s="541"/>
      <c r="R214" s="579">
        <v>0</v>
      </c>
      <c r="S214" s="470"/>
      <c r="T214" s="580"/>
      <c r="U214" s="581"/>
      <c r="V214" s="416"/>
    </row>
    <row r="215" spans="1:22" x14ac:dyDescent="0.3">
      <c r="A215" s="576"/>
      <c r="B215" s="577" t="s">
        <v>84</v>
      </c>
      <c r="C215" s="578"/>
      <c r="D215" s="578"/>
      <c r="E215" s="578"/>
      <c r="F215" s="470"/>
      <c r="G215" s="470"/>
      <c r="H215" s="470"/>
      <c r="I215" s="470"/>
      <c r="J215" s="470"/>
      <c r="K215" s="470"/>
      <c r="L215" s="470"/>
      <c r="M215" s="470"/>
      <c r="N215" s="470"/>
      <c r="O215" s="470"/>
      <c r="P215" s="470"/>
      <c r="Q215" s="450"/>
      <c r="R215" s="582" t="s">
        <v>113</v>
      </c>
      <c r="S215" s="470"/>
      <c r="T215" s="580"/>
      <c r="U215" s="581"/>
      <c r="V215" s="416"/>
    </row>
    <row r="216" spans="1:22" x14ac:dyDescent="0.3">
      <c r="A216" s="583"/>
      <c r="B216" s="577" t="s">
        <v>85</v>
      </c>
      <c r="C216" s="584"/>
      <c r="D216" s="584"/>
      <c r="E216" s="584"/>
      <c r="F216" s="584"/>
      <c r="G216" s="470"/>
      <c r="H216" s="470"/>
      <c r="I216" s="470"/>
      <c r="J216" s="470"/>
      <c r="K216" s="470"/>
      <c r="L216" s="470"/>
      <c r="M216" s="470"/>
      <c r="N216" s="470"/>
      <c r="O216" s="470"/>
      <c r="P216" s="470"/>
      <c r="Q216" s="450"/>
      <c r="R216" s="573"/>
      <c r="S216" s="470"/>
      <c r="T216" s="580"/>
      <c r="U216" s="585"/>
      <c r="V216" s="416"/>
    </row>
    <row r="217" spans="1:22" s="431" customFormat="1" x14ac:dyDescent="0.3">
      <c r="A217" s="586"/>
      <c r="B217" s="450" t="s">
        <v>86</v>
      </c>
      <c r="C217" s="450"/>
      <c r="D217" s="450"/>
      <c r="E217" s="450"/>
      <c r="F217" s="450"/>
      <c r="G217" s="450"/>
      <c r="H217" s="450"/>
      <c r="I217" s="450"/>
      <c r="J217" s="450"/>
      <c r="K217" s="450"/>
      <c r="L217" s="450"/>
      <c r="M217" s="450"/>
      <c r="N217" s="450"/>
      <c r="O217" s="450"/>
      <c r="P217" s="450"/>
      <c r="Q217" s="456"/>
      <c r="R217" s="573">
        <f>T161</f>
        <v>141</v>
      </c>
      <c r="S217" s="450"/>
      <c r="T217" s="574"/>
      <c r="U217" s="587"/>
      <c r="V217" s="430"/>
    </row>
    <row r="218" spans="1:22" s="431" customFormat="1" x14ac:dyDescent="0.3">
      <c r="A218" s="571"/>
      <c r="B218" s="450" t="s">
        <v>87</v>
      </c>
      <c r="C218" s="514"/>
      <c r="D218" s="514"/>
      <c r="E218" s="514"/>
      <c r="F218" s="514"/>
      <c r="G218" s="450"/>
      <c r="H218" s="450"/>
      <c r="I218" s="450"/>
      <c r="J218" s="450"/>
      <c r="K218" s="450"/>
      <c r="L218" s="450"/>
      <c r="M218" s="450"/>
      <c r="N218" s="450"/>
      <c r="O218" s="450"/>
      <c r="P218" s="450"/>
      <c r="Q218" s="456"/>
      <c r="R218" s="573">
        <f>'June 17'!R218+R217</f>
        <v>6665</v>
      </c>
      <c r="S218" s="450"/>
      <c r="T218" s="574"/>
      <c r="U218" s="587"/>
      <c r="V218" s="430"/>
    </row>
    <row r="219" spans="1:22" x14ac:dyDescent="0.3">
      <c r="A219" s="583"/>
      <c r="B219" s="577" t="s">
        <v>282</v>
      </c>
      <c r="C219" s="584"/>
      <c r="D219" s="584"/>
      <c r="E219" s="584"/>
      <c r="F219" s="584"/>
      <c r="G219" s="470"/>
      <c r="H219" s="470"/>
      <c r="I219" s="470"/>
      <c r="J219" s="470"/>
      <c r="K219" s="470"/>
      <c r="L219" s="470"/>
      <c r="M219" s="470"/>
      <c r="N219" s="470"/>
      <c r="O219" s="470"/>
      <c r="P219" s="470"/>
      <c r="Q219" s="456"/>
      <c r="R219" s="573"/>
      <c r="S219" s="470"/>
      <c r="T219" s="580"/>
      <c r="U219" s="585"/>
      <c r="V219" s="416"/>
    </row>
    <row r="220" spans="1:22" s="431" customFormat="1" x14ac:dyDescent="0.3">
      <c r="A220" s="586"/>
      <c r="B220" s="450" t="s">
        <v>280</v>
      </c>
      <c r="C220" s="450"/>
      <c r="D220" s="450"/>
      <c r="E220" s="450"/>
      <c r="F220" s="450"/>
      <c r="G220" s="450"/>
      <c r="H220" s="450"/>
      <c r="I220" s="450"/>
      <c r="J220" s="450"/>
      <c r="K220" s="450"/>
      <c r="L220" s="450"/>
      <c r="M220" s="450"/>
      <c r="N220" s="450"/>
      <c r="O220" s="450"/>
      <c r="P220" s="450"/>
      <c r="Q220" s="456">
        <v>0</v>
      </c>
      <c r="R220" s="573">
        <v>0</v>
      </c>
      <c r="S220" s="450"/>
      <c r="T220" s="574"/>
      <c r="U220" s="587"/>
      <c r="V220" s="430"/>
    </row>
    <row r="221" spans="1:22" s="431" customFormat="1" x14ac:dyDescent="0.3">
      <c r="A221" s="571"/>
      <c r="B221" s="450" t="s">
        <v>89</v>
      </c>
      <c r="C221" s="486"/>
      <c r="D221" s="486"/>
      <c r="E221" s="486"/>
      <c r="F221" s="588"/>
      <c r="G221" s="450"/>
      <c r="H221" s="450"/>
      <c r="I221" s="450"/>
      <c r="J221" s="450"/>
      <c r="K221" s="450"/>
      <c r="L221" s="450"/>
      <c r="M221" s="450"/>
      <c r="N221" s="450"/>
      <c r="O221" s="450"/>
      <c r="P221" s="450"/>
      <c r="Q221" s="450"/>
      <c r="R221" s="582">
        <v>0</v>
      </c>
      <c r="S221" s="450"/>
      <c r="T221" s="574"/>
      <c r="U221" s="587"/>
      <c r="V221" s="430"/>
    </row>
    <row r="222" spans="1:22" s="431" customFormat="1" x14ac:dyDescent="0.3">
      <c r="A222" s="571"/>
      <c r="B222" s="450" t="s">
        <v>90</v>
      </c>
      <c r="C222" s="486"/>
      <c r="D222" s="486"/>
      <c r="E222" s="486"/>
      <c r="F222" s="588"/>
      <c r="G222" s="450"/>
      <c r="H222" s="450"/>
      <c r="I222" s="450"/>
      <c r="J222" s="450"/>
      <c r="K222" s="450"/>
      <c r="L222" s="450"/>
      <c r="M222" s="450"/>
      <c r="N222" s="450"/>
      <c r="O222" s="450"/>
      <c r="P222" s="450"/>
      <c r="Q222" s="450"/>
      <c r="R222" s="582">
        <v>0</v>
      </c>
      <c r="S222" s="450"/>
      <c r="T222" s="574"/>
      <c r="U222" s="587"/>
      <c r="V222" s="430"/>
    </row>
    <row r="223" spans="1:22" x14ac:dyDescent="0.3">
      <c r="A223" s="576"/>
      <c r="B223" s="577" t="s">
        <v>226</v>
      </c>
      <c r="C223" s="589"/>
      <c r="D223" s="589"/>
      <c r="E223" s="589"/>
      <c r="F223" s="590"/>
      <c r="G223" s="470"/>
      <c r="H223" s="470"/>
      <c r="I223" s="470"/>
      <c r="J223" s="470"/>
      <c r="K223" s="470"/>
      <c r="L223" s="470"/>
      <c r="M223" s="470"/>
      <c r="N223" s="470"/>
      <c r="O223" s="470"/>
      <c r="P223" s="470"/>
      <c r="Q223" s="456"/>
      <c r="R223" s="591"/>
      <c r="S223" s="470"/>
      <c r="T223" s="580"/>
      <c r="U223" s="585"/>
      <c r="V223" s="416"/>
    </row>
    <row r="224" spans="1:22" s="431" customFormat="1" x14ac:dyDescent="0.3">
      <c r="A224" s="571"/>
      <c r="B224" s="450" t="s">
        <v>280</v>
      </c>
      <c r="C224" s="486"/>
      <c r="D224" s="486"/>
      <c r="E224" s="486"/>
      <c r="F224" s="588"/>
      <c r="G224" s="450"/>
      <c r="H224" s="450"/>
      <c r="I224" s="450"/>
      <c r="J224" s="450"/>
      <c r="K224" s="450"/>
      <c r="L224" s="450"/>
      <c r="M224" s="450"/>
      <c r="N224" s="450"/>
      <c r="O224" s="450"/>
      <c r="P224" s="450"/>
      <c r="Q224" s="456">
        <v>2</v>
      </c>
      <c r="R224" s="573">
        <v>273</v>
      </c>
      <c r="S224" s="450"/>
      <c r="T224" s="574"/>
      <c r="U224" s="587"/>
      <c r="V224" s="430"/>
    </row>
    <row r="225" spans="1:23" s="431" customFormat="1" x14ac:dyDescent="0.3">
      <c r="A225" s="571"/>
      <c r="B225" s="450" t="s">
        <v>227</v>
      </c>
      <c r="C225" s="486"/>
      <c r="D225" s="486"/>
      <c r="E225" s="486"/>
      <c r="F225" s="588"/>
      <c r="G225" s="450"/>
      <c r="H225" s="450"/>
      <c r="I225" s="450"/>
      <c r="J225" s="450"/>
      <c r="K225" s="450"/>
      <c r="L225" s="450"/>
      <c r="M225" s="450"/>
      <c r="N225" s="450"/>
      <c r="O225" s="450"/>
      <c r="P225" s="450"/>
      <c r="Q225" s="456"/>
      <c r="R225" s="582">
        <v>4.58</v>
      </c>
      <c r="S225" s="450"/>
      <c r="T225" s="574"/>
      <c r="U225" s="587"/>
      <c r="V225" s="430"/>
    </row>
    <row r="226" spans="1:23" x14ac:dyDescent="0.3">
      <c r="A226" s="576"/>
      <c r="B226" s="584"/>
      <c r="C226" s="589"/>
      <c r="D226" s="589"/>
      <c r="E226" s="589"/>
      <c r="F226" s="590"/>
      <c r="G226" s="470"/>
      <c r="H226" s="470"/>
      <c r="I226" s="470"/>
      <c r="J226" s="470"/>
      <c r="K226" s="470"/>
      <c r="L226" s="470"/>
      <c r="M226" s="470"/>
      <c r="N226" s="470"/>
      <c r="O226" s="470"/>
      <c r="P226" s="470"/>
      <c r="Q226" s="450"/>
      <c r="R226" s="591"/>
      <c r="S226" s="470"/>
      <c r="T226" s="580"/>
      <c r="U226" s="585"/>
      <c r="V226" s="416"/>
    </row>
    <row r="227" spans="1:23" x14ac:dyDescent="0.3">
      <c r="A227" s="576"/>
      <c r="B227" s="584"/>
      <c r="C227" s="589"/>
      <c r="D227" s="589"/>
      <c r="E227" s="589"/>
      <c r="F227" s="590"/>
      <c r="G227" s="470"/>
      <c r="H227" s="470"/>
      <c r="I227" s="470"/>
      <c r="J227" s="470"/>
      <c r="K227" s="470"/>
      <c r="L227" s="470"/>
      <c r="M227" s="470"/>
      <c r="N227" s="470"/>
      <c r="O227" s="470"/>
      <c r="P227" s="470"/>
      <c r="Q227" s="450"/>
      <c r="R227" s="591"/>
      <c r="S227" s="470"/>
      <c r="T227" s="580"/>
      <c r="U227" s="585"/>
      <c r="V227" s="416"/>
    </row>
    <row r="228" spans="1:23" ht="18" x14ac:dyDescent="0.35">
      <c r="A228" s="576"/>
      <c r="B228" s="592" t="s">
        <v>175</v>
      </c>
      <c r="C228" s="589"/>
      <c r="D228" s="589"/>
      <c r="E228" s="589"/>
      <c r="F228" s="590"/>
      <c r="G228" s="470"/>
      <c r="H228" s="470"/>
      <c r="I228" s="470"/>
      <c r="J228" s="470"/>
      <c r="K228" s="470"/>
      <c r="L228" s="470"/>
      <c r="M228" s="470"/>
      <c r="N228" s="647" t="s">
        <v>356</v>
      </c>
      <c r="O228" s="470"/>
      <c r="P228" s="470"/>
      <c r="Q228" s="470"/>
      <c r="R228" s="593"/>
      <c r="S228" s="470"/>
      <c r="T228" s="580"/>
      <c r="U228" s="585"/>
      <c r="V228" s="416"/>
    </row>
    <row r="229" spans="1:23" x14ac:dyDescent="0.3">
      <c r="A229" s="594"/>
      <c r="B229" s="563"/>
      <c r="C229" s="595"/>
      <c r="D229" s="595"/>
      <c r="E229" s="595"/>
      <c r="F229" s="596"/>
      <c r="G229" s="516"/>
      <c r="H229" s="516"/>
      <c r="I229" s="516"/>
      <c r="J229" s="516"/>
      <c r="K229" s="516"/>
      <c r="L229" s="516"/>
      <c r="M229" s="516"/>
      <c r="N229" s="516"/>
      <c r="O229" s="516"/>
      <c r="P229" s="516"/>
      <c r="Q229" s="516"/>
      <c r="R229" s="597"/>
      <c r="S229" s="516"/>
      <c r="T229" s="564"/>
      <c r="U229" s="645"/>
      <c r="V229" s="416"/>
    </row>
    <row r="230" spans="1:23" x14ac:dyDescent="0.3">
      <c r="A230" s="442"/>
      <c r="B230" s="598" t="s">
        <v>295</v>
      </c>
      <c r="C230" s="599"/>
      <c r="D230" s="599"/>
      <c r="E230" s="599"/>
      <c r="F230" s="600"/>
      <c r="G230" s="599"/>
      <c r="H230" s="599"/>
      <c r="I230" s="599"/>
      <c r="J230" s="599"/>
      <c r="K230" s="599"/>
      <c r="L230" s="599"/>
      <c r="M230" s="599"/>
      <c r="N230" s="599"/>
      <c r="O230" s="599"/>
      <c r="P230" s="600" t="s">
        <v>105</v>
      </c>
      <c r="Q230" s="599" t="s">
        <v>106</v>
      </c>
      <c r="R230" s="600" t="s">
        <v>114</v>
      </c>
      <c r="S230" s="599" t="s">
        <v>106</v>
      </c>
      <c r="T230" s="601"/>
      <c r="U230" s="605"/>
      <c r="V230" s="416"/>
    </row>
    <row r="231" spans="1:23" s="431" customFormat="1" x14ac:dyDescent="0.3">
      <c r="A231" s="632"/>
      <c r="B231" s="633" t="s">
        <v>91</v>
      </c>
      <c r="C231" s="634"/>
      <c r="D231" s="634"/>
      <c r="E231" s="634"/>
      <c r="F231" s="635"/>
      <c r="G231" s="634"/>
      <c r="H231" s="634"/>
      <c r="I231" s="634"/>
      <c r="J231" s="634"/>
      <c r="K231" s="634"/>
      <c r="L231" s="634"/>
      <c r="M231" s="634"/>
      <c r="N231" s="634"/>
      <c r="O231" s="634"/>
      <c r="P231" s="633">
        <f t="shared" ref="P231:P238" si="1">+P243+P255+P267</f>
        <v>3304</v>
      </c>
      <c r="Q231" s="636">
        <f t="shared" ref="Q231:Q238" si="2">P231/$P$240</f>
        <v>0.99758454106280192</v>
      </c>
      <c r="R231" s="637">
        <f t="shared" ref="R231:R238" si="3">+R243+R255+R267</f>
        <v>426164</v>
      </c>
      <c r="S231" s="636">
        <f t="shared" ref="S231:S238" si="4">R231/$R$240</f>
        <v>0.99752820560835165</v>
      </c>
      <c r="T231" s="630"/>
      <c r="U231" s="631"/>
      <c r="V231" s="430"/>
    </row>
    <row r="232" spans="1:23" s="431" customFormat="1" x14ac:dyDescent="0.3">
      <c r="A232" s="449"/>
      <c r="B232" s="514" t="s">
        <v>92</v>
      </c>
      <c r="C232" s="603"/>
      <c r="D232" s="603"/>
      <c r="E232" s="603"/>
      <c r="F232" s="450"/>
      <c r="G232" s="602"/>
      <c r="H232" s="603"/>
      <c r="I232" s="603"/>
      <c r="J232" s="603"/>
      <c r="K232" s="603"/>
      <c r="L232" s="603"/>
      <c r="M232" s="603"/>
      <c r="N232" s="603"/>
      <c r="O232" s="603"/>
      <c r="P232" s="514">
        <f t="shared" si="1"/>
        <v>6</v>
      </c>
      <c r="Q232" s="602">
        <f t="shared" si="2"/>
        <v>1.8115942028985507E-3</v>
      </c>
      <c r="R232" s="515">
        <f t="shared" si="3"/>
        <v>769</v>
      </c>
      <c r="S232" s="602">
        <f t="shared" si="4"/>
        <v>1.8000093628575441E-3</v>
      </c>
      <c r="T232" s="574"/>
      <c r="U232" s="587"/>
      <c r="V232" s="430"/>
      <c r="W232" s="533"/>
    </row>
    <row r="233" spans="1:23" s="431" customFormat="1" x14ac:dyDescent="0.3">
      <c r="A233" s="449"/>
      <c r="B233" s="514" t="s">
        <v>93</v>
      </c>
      <c r="C233" s="603"/>
      <c r="D233" s="603"/>
      <c r="E233" s="603"/>
      <c r="F233" s="450"/>
      <c r="G233" s="602"/>
      <c r="H233" s="603"/>
      <c r="I233" s="603"/>
      <c r="J233" s="603"/>
      <c r="K233" s="603"/>
      <c r="L233" s="603"/>
      <c r="M233" s="603"/>
      <c r="N233" s="603"/>
      <c r="O233" s="603"/>
      <c r="P233" s="514">
        <f t="shared" si="1"/>
        <v>0</v>
      </c>
      <c r="Q233" s="602">
        <f t="shared" si="2"/>
        <v>0</v>
      </c>
      <c r="R233" s="515">
        <f t="shared" si="3"/>
        <v>0</v>
      </c>
      <c r="S233" s="602">
        <f t="shared" si="4"/>
        <v>0</v>
      </c>
      <c r="T233" s="574"/>
      <c r="U233" s="587"/>
      <c r="V233" s="430"/>
    </row>
    <row r="234" spans="1:23" s="431" customFormat="1" x14ac:dyDescent="0.3">
      <c r="A234" s="449"/>
      <c r="B234" s="514" t="s">
        <v>163</v>
      </c>
      <c r="C234" s="603"/>
      <c r="D234" s="603"/>
      <c r="E234" s="603"/>
      <c r="F234" s="450"/>
      <c r="G234" s="602"/>
      <c r="H234" s="603"/>
      <c r="I234" s="603"/>
      <c r="J234" s="603"/>
      <c r="K234" s="603"/>
      <c r="L234" s="603"/>
      <c r="M234" s="603"/>
      <c r="N234" s="603"/>
      <c r="O234" s="603"/>
      <c r="P234" s="514">
        <f t="shared" si="1"/>
        <v>0</v>
      </c>
      <c r="Q234" s="602">
        <f t="shared" si="2"/>
        <v>0</v>
      </c>
      <c r="R234" s="515">
        <f t="shared" si="3"/>
        <v>0</v>
      </c>
      <c r="S234" s="602">
        <f t="shared" si="4"/>
        <v>0</v>
      </c>
      <c r="T234" s="574"/>
      <c r="U234" s="587"/>
      <c r="V234" s="430"/>
      <c r="W234" s="533"/>
    </row>
    <row r="235" spans="1:23" s="431" customFormat="1" x14ac:dyDescent="0.3">
      <c r="A235" s="449"/>
      <c r="B235" s="514" t="s">
        <v>164</v>
      </c>
      <c r="C235" s="603"/>
      <c r="D235" s="603"/>
      <c r="E235" s="603"/>
      <c r="F235" s="450"/>
      <c r="G235" s="602"/>
      <c r="H235" s="603"/>
      <c r="I235" s="603"/>
      <c r="J235" s="603"/>
      <c r="K235" s="603"/>
      <c r="L235" s="603"/>
      <c r="M235" s="603"/>
      <c r="N235" s="603"/>
      <c r="O235" s="603"/>
      <c r="P235" s="514">
        <f t="shared" si="1"/>
        <v>0</v>
      </c>
      <c r="Q235" s="602">
        <f t="shared" si="2"/>
        <v>0</v>
      </c>
      <c r="R235" s="515">
        <f t="shared" si="3"/>
        <v>0</v>
      </c>
      <c r="S235" s="602">
        <f t="shared" si="4"/>
        <v>0</v>
      </c>
      <c r="T235" s="574"/>
      <c r="U235" s="587"/>
      <c r="V235" s="430"/>
    </row>
    <row r="236" spans="1:23" s="431" customFormat="1" x14ac:dyDescent="0.3">
      <c r="A236" s="449"/>
      <c r="B236" s="514" t="s">
        <v>165</v>
      </c>
      <c r="C236" s="603"/>
      <c r="D236" s="603"/>
      <c r="E236" s="603"/>
      <c r="F236" s="450"/>
      <c r="G236" s="602"/>
      <c r="H236" s="603"/>
      <c r="I236" s="603"/>
      <c r="J236" s="603"/>
      <c r="K236" s="603"/>
      <c r="L236" s="603"/>
      <c r="M236" s="603"/>
      <c r="N236" s="603"/>
      <c r="O236" s="603"/>
      <c r="P236" s="514">
        <f t="shared" si="1"/>
        <v>0</v>
      </c>
      <c r="Q236" s="602">
        <f t="shared" si="2"/>
        <v>0</v>
      </c>
      <c r="R236" s="515">
        <f t="shared" si="3"/>
        <v>0</v>
      </c>
      <c r="S236" s="602">
        <f t="shared" si="4"/>
        <v>0</v>
      </c>
      <c r="T236" s="574"/>
      <c r="U236" s="587"/>
      <c r="V236" s="430"/>
      <c r="W236" s="533"/>
    </row>
    <row r="237" spans="1:23" s="431" customFormat="1" x14ac:dyDescent="0.3">
      <c r="A237" s="449"/>
      <c r="B237" s="514" t="s">
        <v>166</v>
      </c>
      <c r="C237" s="603"/>
      <c r="D237" s="603"/>
      <c r="E237" s="603"/>
      <c r="F237" s="450"/>
      <c r="G237" s="602"/>
      <c r="H237" s="603"/>
      <c r="I237" s="603"/>
      <c r="J237" s="603"/>
      <c r="K237" s="603"/>
      <c r="L237" s="603"/>
      <c r="M237" s="603"/>
      <c r="N237" s="603"/>
      <c r="O237" s="603"/>
      <c r="P237" s="514">
        <f t="shared" si="1"/>
        <v>2</v>
      </c>
      <c r="Q237" s="602">
        <f t="shared" si="2"/>
        <v>6.0386473429951688E-4</v>
      </c>
      <c r="R237" s="515">
        <f t="shared" si="3"/>
        <v>287</v>
      </c>
      <c r="S237" s="602">
        <f t="shared" si="4"/>
        <v>6.7178502879078697E-4</v>
      </c>
      <c r="T237" s="574"/>
      <c r="U237" s="587"/>
      <c r="V237" s="430"/>
    </row>
    <row r="238" spans="1:23" s="431" customFormat="1" x14ac:dyDescent="0.3">
      <c r="A238" s="449"/>
      <c r="B238" s="514" t="s">
        <v>167</v>
      </c>
      <c r="C238" s="603"/>
      <c r="D238" s="603"/>
      <c r="E238" s="603"/>
      <c r="F238" s="450"/>
      <c r="G238" s="602"/>
      <c r="H238" s="603"/>
      <c r="I238" s="603"/>
      <c r="J238" s="603"/>
      <c r="K238" s="603"/>
      <c r="L238" s="603"/>
      <c r="M238" s="603"/>
      <c r="N238" s="603"/>
      <c r="O238" s="603"/>
      <c r="P238" s="514">
        <f t="shared" si="1"/>
        <v>0</v>
      </c>
      <c r="Q238" s="602">
        <f t="shared" si="2"/>
        <v>0</v>
      </c>
      <c r="R238" s="515">
        <f t="shared" si="3"/>
        <v>0</v>
      </c>
      <c r="S238" s="602">
        <f t="shared" si="4"/>
        <v>0</v>
      </c>
      <c r="T238" s="574"/>
      <c r="U238" s="587"/>
      <c r="V238" s="430"/>
      <c r="W238" s="533"/>
    </row>
    <row r="239" spans="1:23" s="431" customFormat="1" x14ac:dyDescent="0.3">
      <c r="A239" s="449"/>
      <c r="B239" s="514"/>
      <c r="C239" s="603"/>
      <c r="D239" s="603"/>
      <c r="E239" s="603"/>
      <c r="F239" s="450"/>
      <c r="G239" s="602"/>
      <c r="H239" s="603"/>
      <c r="I239" s="603"/>
      <c r="J239" s="603"/>
      <c r="K239" s="603"/>
      <c r="L239" s="603"/>
      <c r="M239" s="603"/>
      <c r="N239" s="603"/>
      <c r="O239" s="603"/>
      <c r="P239" s="514"/>
      <c r="Q239" s="602"/>
      <c r="R239" s="515"/>
      <c r="S239" s="602"/>
      <c r="T239" s="574"/>
      <c r="U239" s="587"/>
      <c r="V239" s="430"/>
    </row>
    <row r="240" spans="1:23" s="431" customFormat="1" x14ac:dyDescent="0.3">
      <c r="A240" s="449"/>
      <c r="B240" s="450" t="s">
        <v>120</v>
      </c>
      <c r="C240" s="450"/>
      <c r="D240" s="450"/>
      <c r="E240" s="450"/>
      <c r="F240" s="450"/>
      <c r="G240" s="450"/>
      <c r="H240" s="604"/>
      <c r="I240" s="604"/>
      <c r="J240" s="604"/>
      <c r="K240" s="604"/>
      <c r="L240" s="604"/>
      <c r="M240" s="604"/>
      <c r="N240" s="604"/>
      <c r="O240" s="604"/>
      <c r="P240" s="514">
        <f>SUM(P231:P239)</f>
        <v>3312</v>
      </c>
      <c r="Q240" s="602">
        <f>SUM(Q231:Q239)</f>
        <v>1</v>
      </c>
      <c r="R240" s="515">
        <f>SUM(R231:R239)</f>
        <v>427220</v>
      </c>
      <c r="S240" s="602">
        <f>SUM(S231:S239)</f>
        <v>1</v>
      </c>
      <c r="T240" s="450"/>
      <c r="U240" s="452"/>
      <c r="V240" s="430"/>
    </row>
    <row r="241" spans="1:23" x14ac:dyDescent="0.3">
      <c r="A241" s="594"/>
      <c r="B241" s="563"/>
      <c r="C241" s="595"/>
      <c r="D241" s="595"/>
      <c r="E241" s="595"/>
      <c r="F241" s="596"/>
      <c r="G241" s="516"/>
      <c r="H241" s="516"/>
      <c r="I241" s="516"/>
      <c r="J241" s="516"/>
      <c r="K241" s="516"/>
      <c r="L241" s="516"/>
      <c r="M241" s="516"/>
      <c r="N241" s="516"/>
      <c r="O241" s="516"/>
      <c r="P241" s="516"/>
      <c r="Q241" s="516"/>
      <c r="R241" s="597"/>
      <c r="S241" s="516"/>
      <c r="T241" s="564"/>
      <c r="U241" s="645"/>
      <c r="V241" s="416"/>
    </row>
    <row r="242" spans="1:23" x14ac:dyDescent="0.3">
      <c r="A242" s="442"/>
      <c r="B242" s="521" t="s">
        <v>169</v>
      </c>
      <c r="C242" s="522"/>
      <c r="D242" s="522"/>
      <c r="E242" s="522"/>
      <c r="F242" s="566"/>
      <c r="G242" s="522"/>
      <c r="H242" s="522"/>
      <c r="I242" s="522"/>
      <c r="J242" s="522"/>
      <c r="K242" s="522"/>
      <c r="L242" s="522"/>
      <c r="M242" s="522"/>
      <c r="N242" s="522"/>
      <c r="O242" s="522"/>
      <c r="P242" s="566" t="s">
        <v>105</v>
      </c>
      <c r="Q242" s="522" t="s">
        <v>106</v>
      </c>
      <c r="R242" s="566" t="s">
        <v>114</v>
      </c>
      <c r="S242" s="522" t="s">
        <v>106</v>
      </c>
      <c r="T242" s="443"/>
      <c r="U242" s="605"/>
      <c r="V242" s="416"/>
    </row>
    <row r="243" spans="1:23" s="431" customFormat="1" x14ac:dyDescent="0.3">
      <c r="A243" s="432"/>
      <c r="B243" s="525" t="s">
        <v>91</v>
      </c>
      <c r="C243" s="606"/>
      <c r="D243" s="606"/>
      <c r="E243" s="606"/>
      <c r="F243" s="447"/>
      <c r="G243" s="606"/>
      <c r="H243" s="606"/>
      <c r="I243" s="606"/>
      <c r="J243" s="606"/>
      <c r="K243" s="606"/>
      <c r="L243" s="606"/>
      <c r="M243" s="606"/>
      <c r="N243" s="606"/>
      <c r="O243" s="606"/>
      <c r="P243" s="525">
        <v>3274</v>
      </c>
      <c r="Q243" s="607">
        <f t="shared" ref="Q243:Q250" si="5">P243/$P$252</f>
        <v>0.99817073170731707</v>
      </c>
      <c r="R243" s="526">
        <v>421120</v>
      </c>
      <c r="S243" s="607">
        <f t="shared" ref="S243:S250" si="6">R243/$R$252</f>
        <v>0.99817724567362509</v>
      </c>
      <c r="T243" s="570"/>
      <c r="U243" s="646"/>
      <c r="V243" s="430"/>
    </row>
    <row r="244" spans="1:23" s="431" customFormat="1" x14ac:dyDescent="0.3">
      <c r="A244" s="449"/>
      <c r="B244" s="514" t="s">
        <v>92</v>
      </c>
      <c r="C244" s="603"/>
      <c r="D244" s="603"/>
      <c r="E244" s="603"/>
      <c r="F244" s="450"/>
      <c r="G244" s="602"/>
      <c r="H244" s="603"/>
      <c r="I244" s="603"/>
      <c r="J244" s="603"/>
      <c r="K244" s="603"/>
      <c r="L244" s="603"/>
      <c r="M244" s="603"/>
      <c r="N244" s="603"/>
      <c r="O244" s="603"/>
      <c r="P244" s="514">
        <v>6</v>
      </c>
      <c r="Q244" s="602">
        <f t="shared" si="5"/>
        <v>1.8292682926829269E-3</v>
      </c>
      <c r="R244" s="515">
        <v>769</v>
      </c>
      <c r="S244" s="602">
        <f t="shared" si="6"/>
        <v>1.822754326374947E-3</v>
      </c>
      <c r="T244" s="574"/>
      <c r="U244" s="587"/>
      <c r="V244" s="430"/>
      <c r="W244" s="533"/>
    </row>
    <row r="245" spans="1:23" s="431" customFormat="1" x14ac:dyDescent="0.3">
      <c r="A245" s="449"/>
      <c r="B245" s="514" t="s">
        <v>93</v>
      </c>
      <c r="C245" s="603"/>
      <c r="D245" s="603"/>
      <c r="E245" s="603"/>
      <c r="F245" s="450"/>
      <c r="G245" s="602"/>
      <c r="H245" s="603"/>
      <c r="I245" s="603"/>
      <c r="J245" s="603"/>
      <c r="K245" s="603"/>
      <c r="L245" s="603"/>
      <c r="M245" s="603"/>
      <c r="N245" s="603"/>
      <c r="O245" s="603"/>
      <c r="P245" s="514">
        <v>0</v>
      </c>
      <c r="Q245" s="602">
        <f t="shared" si="5"/>
        <v>0</v>
      </c>
      <c r="R245" s="515">
        <v>0</v>
      </c>
      <c r="S245" s="602">
        <f t="shared" si="6"/>
        <v>0</v>
      </c>
      <c r="T245" s="574"/>
      <c r="U245" s="587"/>
      <c r="V245" s="430"/>
    </row>
    <row r="246" spans="1:23" s="431" customFormat="1" x14ac:dyDescent="0.3">
      <c r="A246" s="449"/>
      <c r="B246" s="514" t="s">
        <v>163</v>
      </c>
      <c r="C246" s="603"/>
      <c r="D246" s="603"/>
      <c r="E246" s="603"/>
      <c r="F246" s="450"/>
      <c r="G246" s="602"/>
      <c r="H246" s="603"/>
      <c r="I246" s="603"/>
      <c r="J246" s="603"/>
      <c r="K246" s="603"/>
      <c r="L246" s="603"/>
      <c r="M246" s="603"/>
      <c r="N246" s="603"/>
      <c r="O246" s="603"/>
      <c r="P246" s="514">
        <v>0</v>
      </c>
      <c r="Q246" s="602">
        <f t="shared" si="5"/>
        <v>0</v>
      </c>
      <c r="R246" s="515">
        <v>0</v>
      </c>
      <c r="S246" s="602">
        <f t="shared" si="6"/>
        <v>0</v>
      </c>
      <c r="T246" s="574"/>
      <c r="U246" s="587"/>
      <c r="V246" s="430"/>
      <c r="W246" s="533"/>
    </row>
    <row r="247" spans="1:23" s="431" customFormat="1" x14ac:dyDescent="0.3">
      <c r="A247" s="449"/>
      <c r="B247" s="514" t="s">
        <v>164</v>
      </c>
      <c r="C247" s="603"/>
      <c r="D247" s="603"/>
      <c r="E247" s="603"/>
      <c r="F247" s="450"/>
      <c r="G247" s="602"/>
      <c r="H247" s="603"/>
      <c r="I247" s="603"/>
      <c r="J247" s="603"/>
      <c r="K247" s="603"/>
      <c r="L247" s="603"/>
      <c r="M247" s="603"/>
      <c r="N247" s="603"/>
      <c r="O247" s="603"/>
      <c r="P247" s="514">
        <v>0</v>
      </c>
      <c r="Q247" s="602">
        <f t="shared" si="5"/>
        <v>0</v>
      </c>
      <c r="R247" s="515">
        <v>0</v>
      </c>
      <c r="S247" s="602">
        <f t="shared" si="6"/>
        <v>0</v>
      </c>
      <c r="T247" s="574"/>
      <c r="U247" s="587"/>
      <c r="V247" s="430"/>
    </row>
    <row r="248" spans="1:23" s="431" customFormat="1" x14ac:dyDescent="0.3">
      <c r="A248" s="449"/>
      <c r="B248" s="514" t="s">
        <v>165</v>
      </c>
      <c r="C248" s="603"/>
      <c r="D248" s="603"/>
      <c r="E248" s="603"/>
      <c r="F248" s="450"/>
      <c r="G248" s="602"/>
      <c r="H248" s="603"/>
      <c r="I248" s="603"/>
      <c r="J248" s="603"/>
      <c r="K248" s="603"/>
      <c r="L248" s="603"/>
      <c r="M248" s="603"/>
      <c r="N248" s="603"/>
      <c r="O248" s="603"/>
      <c r="P248" s="514">
        <v>0</v>
      </c>
      <c r="Q248" s="602">
        <f t="shared" si="5"/>
        <v>0</v>
      </c>
      <c r="R248" s="515">
        <v>0</v>
      </c>
      <c r="S248" s="602">
        <f t="shared" si="6"/>
        <v>0</v>
      </c>
      <c r="T248" s="574"/>
      <c r="U248" s="587"/>
      <c r="V248" s="430"/>
      <c r="W248" s="533"/>
    </row>
    <row r="249" spans="1:23" s="431" customFormat="1" x14ac:dyDescent="0.3">
      <c r="A249" s="449"/>
      <c r="B249" s="514" t="s">
        <v>166</v>
      </c>
      <c r="C249" s="603"/>
      <c r="D249" s="603"/>
      <c r="E249" s="603"/>
      <c r="F249" s="450"/>
      <c r="G249" s="602"/>
      <c r="H249" s="603"/>
      <c r="I249" s="603"/>
      <c r="J249" s="603"/>
      <c r="K249" s="603"/>
      <c r="L249" s="603"/>
      <c r="M249" s="603"/>
      <c r="N249" s="603"/>
      <c r="O249" s="603"/>
      <c r="P249" s="514">
        <v>0</v>
      </c>
      <c r="Q249" s="602">
        <f t="shared" si="5"/>
        <v>0</v>
      </c>
      <c r="R249" s="515">
        <v>0</v>
      </c>
      <c r="S249" s="602">
        <f t="shared" si="6"/>
        <v>0</v>
      </c>
      <c r="T249" s="574"/>
      <c r="U249" s="587"/>
      <c r="V249" s="430"/>
    </row>
    <row r="250" spans="1:23" s="431" customFormat="1" x14ac:dyDescent="0.3">
      <c r="A250" s="449"/>
      <c r="B250" s="514" t="s">
        <v>167</v>
      </c>
      <c r="C250" s="603"/>
      <c r="D250" s="603"/>
      <c r="E250" s="603"/>
      <c r="F250" s="450"/>
      <c r="G250" s="602"/>
      <c r="H250" s="603"/>
      <c r="I250" s="603"/>
      <c r="J250" s="603"/>
      <c r="K250" s="603"/>
      <c r="L250" s="603"/>
      <c r="M250" s="603"/>
      <c r="N250" s="603"/>
      <c r="O250" s="603"/>
      <c r="P250" s="514">
        <v>0</v>
      </c>
      <c r="Q250" s="602">
        <f t="shared" si="5"/>
        <v>0</v>
      </c>
      <c r="R250" s="515">
        <v>0</v>
      </c>
      <c r="S250" s="602">
        <f t="shared" si="6"/>
        <v>0</v>
      </c>
      <c r="T250" s="574"/>
      <c r="U250" s="587"/>
      <c r="V250" s="430"/>
      <c r="W250" s="533"/>
    </row>
    <row r="251" spans="1:23" s="431" customFormat="1" x14ac:dyDescent="0.3">
      <c r="A251" s="449"/>
      <c r="B251" s="514"/>
      <c r="C251" s="603"/>
      <c r="D251" s="603"/>
      <c r="E251" s="603"/>
      <c r="F251" s="450"/>
      <c r="G251" s="602"/>
      <c r="H251" s="603"/>
      <c r="I251" s="603"/>
      <c r="J251" s="603"/>
      <c r="K251" s="603"/>
      <c r="L251" s="603"/>
      <c r="M251" s="603"/>
      <c r="N251" s="603"/>
      <c r="O251" s="603"/>
      <c r="P251" s="514"/>
      <c r="Q251" s="602"/>
      <c r="R251" s="515"/>
      <c r="S251" s="602"/>
      <c r="T251" s="574"/>
      <c r="U251" s="587"/>
      <c r="V251" s="430"/>
    </row>
    <row r="252" spans="1:23" s="431" customFormat="1" x14ac:dyDescent="0.3">
      <c r="A252" s="449"/>
      <c r="B252" s="450" t="s">
        <v>120</v>
      </c>
      <c r="C252" s="450"/>
      <c r="D252" s="450"/>
      <c r="E252" s="450"/>
      <c r="F252" s="450"/>
      <c r="G252" s="450"/>
      <c r="H252" s="604"/>
      <c r="I252" s="604"/>
      <c r="J252" s="604"/>
      <c r="K252" s="604"/>
      <c r="L252" s="604"/>
      <c r="M252" s="604"/>
      <c r="N252" s="604"/>
      <c r="O252" s="604"/>
      <c r="P252" s="514">
        <f>SUM(P243:P251)</f>
        <v>3280</v>
      </c>
      <c r="Q252" s="602">
        <f>SUM(Q243:Q251)</f>
        <v>1</v>
      </c>
      <c r="R252" s="515">
        <f>SUM(R243:R251)</f>
        <v>421889</v>
      </c>
      <c r="S252" s="602">
        <f>SUM(S243:S251)</f>
        <v>1</v>
      </c>
      <c r="T252" s="450"/>
      <c r="U252" s="452"/>
      <c r="V252" s="430"/>
    </row>
    <row r="253" spans="1:23" x14ac:dyDescent="0.3">
      <c r="A253" s="418"/>
      <c r="B253" s="516"/>
      <c r="C253" s="516"/>
      <c r="D253" s="516"/>
      <c r="E253" s="516"/>
      <c r="F253" s="516"/>
      <c r="G253" s="516"/>
      <c r="H253" s="608"/>
      <c r="I253" s="608"/>
      <c r="J253" s="608"/>
      <c r="K253" s="608"/>
      <c r="L253" s="608"/>
      <c r="M253" s="608"/>
      <c r="N253" s="608"/>
      <c r="O253" s="608"/>
      <c r="P253" s="517"/>
      <c r="Q253" s="609"/>
      <c r="R253" s="610"/>
      <c r="S253" s="609"/>
      <c r="T253" s="516"/>
      <c r="U253" s="639"/>
      <c r="V253" s="416"/>
    </row>
    <row r="254" spans="1:23" x14ac:dyDescent="0.3">
      <c r="A254" s="442"/>
      <c r="B254" s="521" t="s">
        <v>267</v>
      </c>
      <c r="C254" s="522"/>
      <c r="D254" s="522"/>
      <c r="E254" s="522"/>
      <c r="F254" s="566"/>
      <c r="G254" s="522"/>
      <c r="H254" s="522"/>
      <c r="I254" s="522"/>
      <c r="J254" s="522"/>
      <c r="K254" s="522"/>
      <c r="L254" s="522"/>
      <c r="M254" s="522"/>
      <c r="N254" s="522"/>
      <c r="O254" s="522"/>
      <c r="P254" s="566" t="s">
        <v>105</v>
      </c>
      <c r="Q254" s="522" t="s">
        <v>106</v>
      </c>
      <c r="R254" s="566" t="s">
        <v>114</v>
      </c>
      <c r="S254" s="522" t="s">
        <v>106</v>
      </c>
      <c r="T254" s="443"/>
      <c r="U254" s="446"/>
      <c r="V254" s="416"/>
    </row>
    <row r="255" spans="1:23" s="431" customFormat="1" x14ac:dyDescent="0.3">
      <c r="A255" s="432"/>
      <c r="B255" s="525" t="s">
        <v>91</v>
      </c>
      <c r="C255" s="606"/>
      <c r="D255" s="606"/>
      <c r="E255" s="606"/>
      <c r="F255" s="447"/>
      <c r="G255" s="606"/>
      <c r="H255" s="606"/>
      <c r="I255" s="606"/>
      <c r="J255" s="606"/>
      <c r="K255" s="606"/>
      <c r="L255" s="606"/>
      <c r="M255" s="606"/>
      <c r="N255" s="606"/>
      <c r="O255" s="606"/>
      <c r="P255" s="525">
        <v>30</v>
      </c>
      <c r="Q255" s="607">
        <f t="shared" ref="Q255:Q262" si="7">P255/$P$264</f>
        <v>0.9375</v>
      </c>
      <c r="R255" s="526">
        <v>5044</v>
      </c>
      <c r="S255" s="607">
        <f>R255/$R$264</f>
        <v>0.94616394672669291</v>
      </c>
      <c r="T255" s="447"/>
      <c r="U255" s="641"/>
      <c r="V255" s="430"/>
    </row>
    <row r="256" spans="1:23" s="431" customFormat="1" x14ac:dyDescent="0.3">
      <c r="A256" s="449"/>
      <c r="B256" s="514" t="s">
        <v>92</v>
      </c>
      <c r="C256" s="603"/>
      <c r="D256" s="603"/>
      <c r="E256" s="603"/>
      <c r="F256" s="450"/>
      <c r="G256" s="602"/>
      <c r="H256" s="603"/>
      <c r="I256" s="603"/>
      <c r="J256" s="603"/>
      <c r="K256" s="603"/>
      <c r="L256" s="603"/>
      <c r="M256" s="603"/>
      <c r="N256" s="603"/>
      <c r="O256" s="603"/>
      <c r="P256" s="514">
        <v>0</v>
      </c>
      <c r="Q256" s="602">
        <f t="shared" si="7"/>
        <v>0</v>
      </c>
      <c r="R256" s="515">
        <v>0</v>
      </c>
      <c r="S256" s="602">
        <f t="shared" ref="S256:S262" si="8">R256/$R$264</f>
        <v>0</v>
      </c>
      <c r="T256" s="450"/>
      <c r="U256" s="452"/>
      <c r="V256" s="430"/>
    </row>
    <row r="257" spans="1:22" s="431" customFormat="1" x14ac:dyDescent="0.3">
      <c r="A257" s="449"/>
      <c r="B257" s="514" t="s">
        <v>93</v>
      </c>
      <c r="C257" s="603"/>
      <c r="D257" s="603"/>
      <c r="E257" s="603"/>
      <c r="F257" s="450"/>
      <c r="G257" s="602"/>
      <c r="H257" s="603"/>
      <c r="I257" s="603"/>
      <c r="J257" s="603"/>
      <c r="K257" s="603"/>
      <c r="L257" s="603"/>
      <c r="M257" s="603"/>
      <c r="N257" s="603"/>
      <c r="O257" s="603"/>
      <c r="P257" s="514">
        <v>0</v>
      </c>
      <c r="Q257" s="602">
        <f t="shared" si="7"/>
        <v>0</v>
      </c>
      <c r="R257" s="515">
        <v>0</v>
      </c>
      <c r="S257" s="602">
        <f t="shared" si="8"/>
        <v>0</v>
      </c>
      <c r="T257" s="450"/>
      <c r="U257" s="452"/>
      <c r="V257" s="430"/>
    </row>
    <row r="258" spans="1:22" s="431" customFormat="1" x14ac:dyDescent="0.3">
      <c r="A258" s="449"/>
      <c r="B258" s="514" t="s">
        <v>163</v>
      </c>
      <c r="C258" s="603"/>
      <c r="D258" s="603"/>
      <c r="E258" s="603"/>
      <c r="F258" s="450"/>
      <c r="G258" s="602"/>
      <c r="H258" s="603"/>
      <c r="I258" s="603"/>
      <c r="J258" s="603"/>
      <c r="K258" s="603"/>
      <c r="L258" s="603"/>
      <c r="M258" s="603"/>
      <c r="N258" s="603"/>
      <c r="O258" s="603"/>
      <c r="P258" s="514">
        <v>0</v>
      </c>
      <c r="Q258" s="602">
        <f t="shared" si="7"/>
        <v>0</v>
      </c>
      <c r="R258" s="515">
        <v>0</v>
      </c>
      <c r="S258" s="602">
        <f t="shared" si="8"/>
        <v>0</v>
      </c>
      <c r="T258" s="450"/>
      <c r="U258" s="452"/>
      <c r="V258" s="430"/>
    </row>
    <row r="259" spans="1:22" s="431" customFormat="1" x14ac:dyDescent="0.3">
      <c r="A259" s="449"/>
      <c r="B259" s="514" t="s">
        <v>164</v>
      </c>
      <c r="C259" s="603"/>
      <c r="D259" s="603"/>
      <c r="E259" s="603"/>
      <c r="F259" s="450"/>
      <c r="G259" s="602"/>
      <c r="H259" s="603"/>
      <c r="I259" s="603"/>
      <c r="J259" s="603"/>
      <c r="K259" s="603"/>
      <c r="L259" s="603"/>
      <c r="M259" s="603"/>
      <c r="N259" s="603"/>
      <c r="O259" s="603"/>
      <c r="P259" s="514">
        <v>0</v>
      </c>
      <c r="Q259" s="602">
        <f t="shared" si="7"/>
        <v>0</v>
      </c>
      <c r="R259" s="515">
        <v>0</v>
      </c>
      <c r="S259" s="602">
        <f t="shared" si="8"/>
        <v>0</v>
      </c>
      <c r="T259" s="450"/>
      <c r="U259" s="452"/>
      <c r="V259" s="430"/>
    </row>
    <row r="260" spans="1:22" s="431" customFormat="1" x14ac:dyDescent="0.3">
      <c r="A260" s="449"/>
      <c r="B260" s="514" t="s">
        <v>165</v>
      </c>
      <c r="C260" s="603"/>
      <c r="D260" s="603"/>
      <c r="E260" s="603"/>
      <c r="F260" s="450"/>
      <c r="G260" s="602"/>
      <c r="H260" s="603"/>
      <c r="I260" s="603"/>
      <c r="J260" s="603"/>
      <c r="K260" s="603"/>
      <c r="L260" s="603"/>
      <c r="M260" s="603"/>
      <c r="N260" s="603"/>
      <c r="O260" s="603"/>
      <c r="P260" s="514">
        <v>0</v>
      </c>
      <c r="Q260" s="602">
        <f t="shared" si="7"/>
        <v>0</v>
      </c>
      <c r="R260" s="515">
        <v>0</v>
      </c>
      <c r="S260" s="602">
        <f t="shared" si="8"/>
        <v>0</v>
      </c>
      <c r="T260" s="450"/>
      <c r="U260" s="452"/>
      <c r="V260" s="430"/>
    </row>
    <row r="261" spans="1:22" s="431" customFormat="1" x14ac:dyDescent="0.3">
      <c r="A261" s="449"/>
      <c r="B261" s="514" t="s">
        <v>166</v>
      </c>
      <c r="C261" s="603"/>
      <c r="D261" s="603"/>
      <c r="E261" s="603"/>
      <c r="F261" s="450"/>
      <c r="G261" s="602"/>
      <c r="H261" s="603"/>
      <c r="I261" s="603"/>
      <c r="J261" s="603"/>
      <c r="K261" s="603"/>
      <c r="L261" s="603"/>
      <c r="M261" s="603"/>
      <c r="N261" s="603"/>
      <c r="O261" s="603"/>
      <c r="P261" s="514">
        <v>2</v>
      </c>
      <c r="Q261" s="602">
        <f t="shared" si="7"/>
        <v>6.25E-2</v>
      </c>
      <c r="R261" s="515">
        <v>287</v>
      </c>
      <c r="S261" s="602">
        <f t="shared" si="8"/>
        <v>5.3836053273307073E-2</v>
      </c>
      <c r="T261" s="450"/>
      <c r="U261" s="452"/>
      <c r="V261" s="430"/>
    </row>
    <row r="262" spans="1:22" s="431" customFormat="1" x14ac:dyDescent="0.3">
      <c r="A262" s="449"/>
      <c r="B262" s="514" t="s">
        <v>167</v>
      </c>
      <c r="C262" s="603"/>
      <c r="D262" s="603"/>
      <c r="E262" s="603"/>
      <c r="F262" s="450"/>
      <c r="G262" s="602"/>
      <c r="H262" s="603"/>
      <c r="I262" s="603"/>
      <c r="J262" s="603"/>
      <c r="K262" s="603"/>
      <c r="L262" s="603"/>
      <c r="M262" s="603"/>
      <c r="N262" s="603"/>
      <c r="O262" s="603"/>
      <c r="P262" s="514">
        <v>0</v>
      </c>
      <c r="Q262" s="602">
        <f t="shared" si="7"/>
        <v>0</v>
      </c>
      <c r="R262" s="515">
        <v>0</v>
      </c>
      <c r="S262" s="602">
        <f t="shared" si="8"/>
        <v>0</v>
      </c>
      <c r="T262" s="450"/>
      <c r="U262" s="452"/>
      <c r="V262" s="430"/>
    </row>
    <row r="263" spans="1:22" s="431" customFormat="1" x14ac:dyDescent="0.3">
      <c r="A263" s="449"/>
      <c r="B263" s="514"/>
      <c r="C263" s="603"/>
      <c r="D263" s="603"/>
      <c r="E263" s="603"/>
      <c r="F263" s="450"/>
      <c r="G263" s="602"/>
      <c r="H263" s="603"/>
      <c r="I263" s="603"/>
      <c r="J263" s="603"/>
      <c r="K263" s="603"/>
      <c r="L263" s="603"/>
      <c r="M263" s="603"/>
      <c r="N263" s="603"/>
      <c r="O263" s="603"/>
      <c r="P263" s="514"/>
      <c r="Q263" s="602"/>
      <c r="R263" s="515"/>
      <c r="S263" s="602"/>
      <c r="T263" s="450"/>
      <c r="U263" s="452"/>
      <c r="V263" s="430"/>
    </row>
    <row r="264" spans="1:22" s="431" customFormat="1" x14ac:dyDescent="0.3">
      <c r="A264" s="449"/>
      <c r="B264" s="450" t="s">
        <v>120</v>
      </c>
      <c r="C264" s="450"/>
      <c r="D264" s="450"/>
      <c r="E264" s="450"/>
      <c r="F264" s="450"/>
      <c r="G264" s="450"/>
      <c r="H264" s="604"/>
      <c r="I264" s="604"/>
      <c r="J264" s="604"/>
      <c r="K264" s="604"/>
      <c r="L264" s="604"/>
      <c r="M264" s="604"/>
      <c r="N264" s="604"/>
      <c r="O264" s="604"/>
      <c r="P264" s="514">
        <f>SUM(P255:P263)</f>
        <v>32</v>
      </c>
      <c r="Q264" s="602">
        <f>SUM(Q255:Q263)</f>
        <v>1</v>
      </c>
      <c r="R264" s="515">
        <f>SUM(R255:R263)</f>
        <v>5331</v>
      </c>
      <c r="S264" s="602">
        <f>SUM(S255:S263)</f>
        <v>1</v>
      </c>
      <c r="T264" s="450"/>
      <c r="U264" s="452"/>
      <c r="V264" s="430"/>
    </row>
    <row r="265" spans="1:22" x14ac:dyDescent="0.3">
      <c r="A265" s="418"/>
      <c r="B265" s="516"/>
      <c r="C265" s="516"/>
      <c r="D265" s="516"/>
      <c r="E265" s="516"/>
      <c r="F265" s="516"/>
      <c r="G265" s="516"/>
      <c r="H265" s="608"/>
      <c r="I265" s="608"/>
      <c r="J265" s="608"/>
      <c r="K265" s="608"/>
      <c r="L265" s="608"/>
      <c r="M265" s="608"/>
      <c r="N265" s="608"/>
      <c r="O265" s="608"/>
      <c r="P265" s="517"/>
      <c r="Q265" s="609"/>
      <c r="R265" s="610"/>
      <c r="S265" s="609"/>
      <c r="T265" s="516"/>
      <c r="U265" s="639"/>
      <c r="V265" s="416"/>
    </row>
    <row r="266" spans="1:22" x14ac:dyDescent="0.3">
      <c r="A266" s="442"/>
      <c r="B266" s="521" t="s">
        <v>170</v>
      </c>
      <c r="C266" s="443"/>
      <c r="D266" s="443"/>
      <c r="E266" s="443"/>
      <c r="F266" s="443"/>
      <c r="G266" s="443"/>
      <c r="H266" s="611"/>
      <c r="I266" s="611"/>
      <c r="J266" s="611"/>
      <c r="K266" s="611"/>
      <c r="L266" s="611"/>
      <c r="M266" s="611"/>
      <c r="N266" s="611"/>
      <c r="O266" s="611"/>
      <c r="P266" s="566" t="s">
        <v>105</v>
      </c>
      <c r="Q266" s="522" t="s">
        <v>106</v>
      </c>
      <c r="R266" s="566" t="s">
        <v>114</v>
      </c>
      <c r="S266" s="522" t="s">
        <v>106</v>
      </c>
      <c r="T266" s="443"/>
      <c r="U266" s="446"/>
      <c r="V266" s="416"/>
    </row>
    <row r="267" spans="1:22" s="431" customFormat="1" x14ac:dyDescent="0.3">
      <c r="A267" s="432"/>
      <c r="B267" s="525" t="s">
        <v>91</v>
      </c>
      <c r="C267" s="447"/>
      <c r="D267" s="447"/>
      <c r="E267" s="447"/>
      <c r="F267" s="447"/>
      <c r="G267" s="447"/>
      <c r="H267" s="612"/>
      <c r="I267" s="612"/>
      <c r="J267" s="612"/>
      <c r="K267" s="612"/>
      <c r="L267" s="612"/>
      <c r="M267" s="612"/>
      <c r="N267" s="612"/>
      <c r="O267" s="612"/>
      <c r="P267" s="525">
        <v>0</v>
      </c>
      <c r="Q267" s="607">
        <v>0</v>
      </c>
      <c r="R267" s="526">
        <v>0</v>
      </c>
      <c r="S267" s="607">
        <v>0</v>
      </c>
      <c r="T267" s="447"/>
      <c r="U267" s="641"/>
      <c r="V267" s="430"/>
    </row>
    <row r="268" spans="1:22" s="431" customFormat="1" x14ac:dyDescent="0.3">
      <c r="A268" s="449"/>
      <c r="B268" s="514" t="s">
        <v>92</v>
      </c>
      <c r="C268" s="450"/>
      <c r="D268" s="450"/>
      <c r="E268" s="450"/>
      <c r="F268" s="450"/>
      <c r="G268" s="450"/>
      <c r="H268" s="604"/>
      <c r="I268" s="604"/>
      <c r="J268" s="604"/>
      <c r="K268" s="604"/>
      <c r="L268" s="604"/>
      <c r="M268" s="604"/>
      <c r="N268" s="604"/>
      <c r="O268" s="604"/>
      <c r="P268" s="514">
        <v>0</v>
      </c>
      <c r="Q268" s="602">
        <v>0</v>
      </c>
      <c r="R268" s="515">
        <v>0</v>
      </c>
      <c r="S268" s="602">
        <v>0</v>
      </c>
      <c r="T268" s="450"/>
      <c r="U268" s="452"/>
      <c r="V268" s="430"/>
    </row>
    <row r="269" spans="1:22" s="431" customFormat="1" x14ac:dyDescent="0.3">
      <c r="A269" s="449"/>
      <c r="B269" s="514" t="s">
        <v>93</v>
      </c>
      <c r="C269" s="450"/>
      <c r="D269" s="450"/>
      <c r="E269" s="450"/>
      <c r="F269" s="450"/>
      <c r="G269" s="450"/>
      <c r="H269" s="604"/>
      <c r="I269" s="604"/>
      <c r="J269" s="604"/>
      <c r="K269" s="604"/>
      <c r="L269" s="604"/>
      <c r="M269" s="604"/>
      <c r="N269" s="604"/>
      <c r="O269" s="604"/>
      <c r="P269" s="514">
        <v>0</v>
      </c>
      <c r="Q269" s="602">
        <v>0</v>
      </c>
      <c r="R269" s="515">
        <v>0</v>
      </c>
      <c r="S269" s="602">
        <v>0</v>
      </c>
      <c r="T269" s="450"/>
      <c r="U269" s="452"/>
      <c r="V269" s="430"/>
    </row>
    <row r="270" spans="1:22" s="431" customFormat="1" x14ac:dyDescent="0.3">
      <c r="A270" s="449"/>
      <c r="B270" s="514" t="s">
        <v>163</v>
      </c>
      <c r="C270" s="450"/>
      <c r="D270" s="450"/>
      <c r="E270" s="450"/>
      <c r="F270" s="450"/>
      <c r="G270" s="450"/>
      <c r="H270" s="604"/>
      <c r="I270" s="604"/>
      <c r="J270" s="604"/>
      <c r="K270" s="604"/>
      <c r="L270" s="604"/>
      <c r="M270" s="604"/>
      <c r="N270" s="604"/>
      <c r="O270" s="604"/>
      <c r="P270" s="514">
        <v>0</v>
      </c>
      <c r="Q270" s="602">
        <v>0</v>
      </c>
      <c r="R270" s="515">
        <v>0</v>
      </c>
      <c r="S270" s="602">
        <v>0</v>
      </c>
      <c r="T270" s="450"/>
      <c r="U270" s="452"/>
      <c r="V270" s="430"/>
    </row>
    <row r="271" spans="1:22" s="431" customFormat="1" x14ac:dyDescent="0.3">
      <c r="A271" s="449"/>
      <c r="B271" s="514" t="s">
        <v>164</v>
      </c>
      <c r="C271" s="450"/>
      <c r="D271" s="450"/>
      <c r="E271" s="450"/>
      <c r="F271" s="450"/>
      <c r="G271" s="450"/>
      <c r="H271" s="604"/>
      <c r="I271" s="604"/>
      <c r="J271" s="604"/>
      <c r="K271" s="604"/>
      <c r="L271" s="604"/>
      <c r="M271" s="604"/>
      <c r="N271" s="604"/>
      <c r="O271" s="604"/>
      <c r="P271" s="514">
        <v>0</v>
      </c>
      <c r="Q271" s="602">
        <v>0</v>
      </c>
      <c r="R271" s="515">
        <v>0</v>
      </c>
      <c r="S271" s="602">
        <v>0</v>
      </c>
      <c r="T271" s="450"/>
      <c r="U271" s="452"/>
      <c r="V271" s="430"/>
    </row>
    <row r="272" spans="1:22" s="431" customFormat="1" x14ac:dyDescent="0.3">
      <c r="A272" s="449"/>
      <c r="B272" s="514" t="s">
        <v>165</v>
      </c>
      <c r="C272" s="450"/>
      <c r="D272" s="450"/>
      <c r="E272" s="450"/>
      <c r="F272" s="450"/>
      <c r="G272" s="450"/>
      <c r="H272" s="604"/>
      <c r="I272" s="604"/>
      <c r="J272" s="604"/>
      <c r="K272" s="604"/>
      <c r="L272" s="604"/>
      <c r="M272" s="604"/>
      <c r="N272" s="604"/>
      <c r="O272" s="604"/>
      <c r="P272" s="514">
        <v>0</v>
      </c>
      <c r="Q272" s="602">
        <v>0</v>
      </c>
      <c r="R272" s="515">
        <v>0</v>
      </c>
      <c r="S272" s="602">
        <v>0</v>
      </c>
      <c r="T272" s="450"/>
      <c r="U272" s="452"/>
      <c r="V272" s="430"/>
    </row>
    <row r="273" spans="1:22" s="431" customFormat="1" x14ac:dyDescent="0.3">
      <c r="A273" s="449"/>
      <c r="B273" s="514" t="s">
        <v>166</v>
      </c>
      <c r="C273" s="450"/>
      <c r="D273" s="450"/>
      <c r="E273" s="450"/>
      <c r="F273" s="450"/>
      <c r="G273" s="450"/>
      <c r="H273" s="604"/>
      <c r="I273" s="604"/>
      <c r="J273" s="604"/>
      <c r="K273" s="604"/>
      <c r="L273" s="604"/>
      <c r="M273" s="604"/>
      <c r="N273" s="604"/>
      <c r="O273" s="604"/>
      <c r="P273" s="514">
        <v>0</v>
      </c>
      <c r="Q273" s="602">
        <v>0</v>
      </c>
      <c r="R273" s="515">
        <v>0</v>
      </c>
      <c r="S273" s="602">
        <v>0</v>
      </c>
      <c r="T273" s="450"/>
      <c r="U273" s="452"/>
      <c r="V273" s="430"/>
    </row>
    <row r="274" spans="1:22" s="431" customFormat="1" x14ac:dyDescent="0.3">
      <c r="A274" s="449"/>
      <c r="B274" s="514" t="s">
        <v>167</v>
      </c>
      <c r="C274" s="450"/>
      <c r="D274" s="450"/>
      <c r="E274" s="450"/>
      <c r="F274" s="450"/>
      <c r="G274" s="450"/>
      <c r="H274" s="604"/>
      <c r="I274" s="604"/>
      <c r="J274" s="604"/>
      <c r="K274" s="604"/>
      <c r="L274" s="604"/>
      <c r="M274" s="604"/>
      <c r="N274" s="604"/>
      <c r="O274" s="604"/>
      <c r="P274" s="514">
        <v>0</v>
      </c>
      <c r="Q274" s="602">
        <v>0</v>
      </c>
      <c r="R274" s="515">
        <v>0</v>
      </c>
      <c r="S274" s="602">
        <v>0</v>
      </c>
      <c r="T274" s="450"/>
      <c r="U274" s="452"/>
      <c r="V274" s="430"/>
    </row>
    <row r="275" spans="1:22" s="431" customFormat="1" x14ac:dyDescent="0.3">
      <c r="A275" s="449"/>
      <c r="B275" s="514"/>
      <c r="C275" s="450"/>
      <c r="D275" s="450"/>
      <c r="E275" s="450"/>
      <c r="F275" s="450"/>
      <c r="G275" s="450"/>
      <c r="H275" s="604"/>
      <c r="I275" s="604"/>
      <c r="J275" s="604"/>
      <c r="K275" s="604"/>
      <c r="L275" s="604"/>
      <c r="M275" s="604"/>
      <c r="N275" s="604"/>
      <c r="O275" s="604"/>
      <c r="P275" s="514"/>
      <c r="Q275" s="602"/>
      <c r="R275" s="515"/>
      <c r="S275" s="602"/>
      <c r="T275" s="450"/>
      <c r="U275" s="452"/>
      <c r="V275" s="430"/>
    </row>
    <row r="276" spans="1:22" s="431" customFormat="1" x14ac:dyDescent="0.3">
      <c r="A276" s="449"/>
      <c r="B276" s="450" t="s">
        <v>120</v>
      </c>
      <c r="C276" s="450"/>
      <c r="D276" s="450"/>
      <c r="E276" s="450"/>
      <c r="F276" s="450"/>
      <c r="G276" s="450"/>
      <c r="H276" s="604"/>
      <c r="I276" s="604"/>
      <c r="J276" s="604"/>
      <c r="K276" s="604"/>
      <c r="L276" s="604"/>
      <c r="M276" s="604"/>
      <c r="N276" s="604"/>
      <c r="O276" s="604"/>
      <c r="P276" s="514">
        <f>SUM(P267:P274)</f>
        <v>0</v>
      </c>
      <c r="Q276" s="602">
        <f>SUM(Q267:Q275)</f>
        <v>0</v>
      </c>
      <c r="R276" s="515">
        <f>SUM(R267:R274)</f>
        <v>0</v>
      </c>
      <c r="S276" s="602">
        <f>SUM(S267:S275)</f>
        <v>0</v>
      </c>
      <c r="T276" s="450"/>
      <c r="U276" s="452"/>
      <c r="V276" s="430"/>
    </row>
    <row r="277" spans="1:22" s="431" customFormat="1" x14ac:dyDescent="0.3">
      <c r="A277" s="449"/>
      <c r="B277" s="450"/>
      <c r="C277" s="450"/>
      <c r="D277" s="450"/>
      <c r="E277" s="450"/>
      <c r="F277" s="450"/>
      <c r="G277" s="450"/>
      <c r="H277" s="604"/>
      <c r="I277" s="604"/>
      <c r="J277" s="604"/>
      <c r="K277" s="604"/>
      <c r="L277" s="604"/>
      <c r="M277" s="604"/>
      <c r="N277" s="604"/>
      <c r="O277" s="604"/>
      <c r="P277" s="514"/>
      <c r="Q277" s="602"/>
      <c r="R277" s="515"/>
      <c r="S277" s="602"/>
      <c r="T277" s="450"/>
      <c r="U277" s="452"/>
      <c r="V277" s="430"/>
    </row>
    <row r="278" spans="1:22" s="431" customFormat="1" x14ac:dyDescent="0.3">
      <c r="A278" s="449"/>
      <c r="B278" s="455" t="s">
        <v>171</v>
      </c>
      <c r="C278" s="450"/>
      <c r="D278" s="450"/>
      <c r="E278" s="450"/>
      <c r="F278" s="450"/>
      <c r="G278" s="450"/>
      <c r="H278" s="604"/>
      <c r="I278" s="604"/>
      <c r="J278" s="604"/>
      <c r="K278" s="604"/>
      <c r="L278" s="604"/>
      <c r="M278" s="604"/>
      <c r="N278" s="604"/>
      <c r="O278" s="604"/>
      <c r="P278" s="613">
        <f>P276+P264+P252</f>
        <v>3312</v>
      </c>
      <c r="Q278" s="602"/>
      <c r="R278" s="614">
        <f>+R276+R264+R252</f>
        <v>427220</v>
      </c>
      <c r="S278" s="602"/>
      <c r="T278" s="450"/>
      <c r="U278" s="452"/>
      <c r="V278" s="430"/>
    </row>
    <row r="279" spans="1:22" s="431" customFormat="1" x14ac:dyDescent="0.3">
      <c r="A279" s="432"/>
      <c r="B279" s="447"/>
      <c r="C279" s="447"/>
      <c r="D279" s="447"/>
      <c r="E279" s="447"/>
      <c r="F279" s="447"/>
      <c r="G279" s="447"/>
      <c r="H279" s="612"/>
      <c r="I279" s="612"/>
      <c r="J279" s="612"/>
      <c r="K279" s="612"/>
      <c r="L279" s="612"/>
      <c r="M279" s="612"/>
      <c r="N279" s="612"/>
      <c r="O279" s="612"/>
      <c r="P279" s="612"/>
      <c r="Q279" s="612"/>
      <c r="R279" s="526"/>
      <c r="S279" s="612"/>
      <c r="T279" s="447"/>
      <c r="U279" s="641"/>
      <c r="V279" s="430"/>
    </row>
    <row r="280" spans="1:22" s="431" customFormat="1" x14ac:dyDescent="0.3">
      <c r="A280" s="432"/>
      <c r="B280" s="447"/>
      <c r="C280" s="433"/>
      <c r="D280" s="433"/>
      <c r="E280" s="433"/>
      <c r="F280" s="433"/>
      <c r="G280" s="433"/>
      <c r="H280" s="615"/>
      <c r="I280" s="615"/>
      <c r="J280" s="615"/>
      <c r="K280" s="615"/>
      <c r="L280" s="615"/>
      <c r="M280" s="615"/>
      <c r="N280" s="615"/>
      <c r="O280" s="615"/>
      <c r="P280" s="615"/>
      <c r="Q280" s="615"/>
      <c r="R280" s="616"/>
      <c r="S280" s="615"/>
      <c r="T280" s="433"/>
      <c r="U280" s="641"/>
      <c r="V280" s="430"/>
    </row>
    <row r="281" spans="1:22" s="431" customFormat="1" x14ac:dyDescent="0.3">
      <c r="A281" s="432"/>
      <c r="B281" s="428" t="s">
        <v>94</v>
      </c>
      <c r="C281" s="433"/>
      <c r="D281" s="433"/>
      <c r="E281" s="433"/>
      <c r="F281" s="437" t="s">
        <v>100</v>
      </c>
      <c r="G281" s="433"/>
      <c r="H281" s="428" t="s">
        <v>102</v>
      </c>
      <c r="I281" s="433"/>
      <c r="J281" s="433"/>
      <c r="K281" s="433"/>
      <c r="L281" s="433"/>
      <c r="M281" s="433"/>
      <c r="N281" s="433"/>
      <c r="O281" s="433"/>
      <c r="P281" s="433"/>
      <c r="Q281" s="433"/>
      <c r="R281" s="433"/>
      <c r="S281" s="433"/>
      <c r="T281" s="433"/>
      <c r="U281" s="641"/>
      <c r="V281" s="430"/>
    </row>
    <row r="282" spans="1:22" s="431" customFormat="1" x14ac:dyDescent="0.3">
      <c r="A282" s="432"/>
      <c r="B282" s="428" t="s">
        <v>317</v>
      </c>
      <c r="C282" s="428"/>
      <c r="D282" s="428"/>
      <c r="E282" s="428"/>
      <c r="F282" s="617" t="s">
        <v>269</v>
      </c>
      <c r="G282" s="428"/>
      <c r="H282" s="428" t="s">
        <v>357</v>
      </c>
      <c r="I282" s="433"/>
      <c r="J282" s="433"/>
      <c r="K282" s="433"/>
      <c r="L282" s="433"/>
      <c r="M282" s="433"/>
      <c r="N282" s="433"/>
      <c r="O282" s="433"/>
      <c r="P282" s="433"/>
      <c r="Q282" s="433"/>
      <c r="R282" s="433"/>
      <c r="S282" s="433"/>
      <c r="T282" s="433"/>
      <c r="U282" s="641"/>
      <c r="V282" s="430"/>
    </row>
    <row r="283" spans="1:22" s="431" customFormat="1" x14ac:dyDescent="0.3">
      <c r="A283" s="432"/>
      <c r="B283" s="428" t="s">
        <v>318</v>
      </c>
      <c r="C283" s="428"/>
      <c r="D283" s="428"/>
      <c r="E283" s="428"/>
      <c r="F283" s="617" t="s">
        <v>153</v>
      </c>
      <c r="G283" s="428"/>
      <c r="H283" s="428" t="s">
        <v>358</v>
      </c>
      <c r="I283" s="433"/>
      <c r="J283" s="433"/>
      <c r="K283" s="433"/>
      <c r="L283" s="433"/>
      <c r="M283" s="433"/>
      <c r="N283" s="433"/>
      <c r="O283" s="433"/>
      <c r="P283" s="433"/>
      <c r="Q283" s="433"/>
      <c r="R283" s="433"/>
      <c r="S283" s="433"/>
      <c r="T283" s="433"/>
      <c r="U283" s="641"/>
      <c r="V283" s="430"/>
    </row>
    <row r="284" spans="1:22" s="431" customFormat="1" x14ac:dyDescent="0.3">
      <c r="A284" s="432"/>
      <c r="B284" s="428"/>
      <c r="C284" s="428"/>
      <c r="D284" s="428"/>
      <c r="E284" s="428"/>
      <c r="F284" s="617"/>
      <c r="G284" s="428"/>
      <c r="H284" s="428"/>
      <c r="I284" s="433"/>
      <c r="J284" s="433"/>
      <c r="K284" s="433"/>
      <c r="L284" s="433"/>
      <c r="M284" s="433"/>
      <c r="N284" s="433"/>
      <c r="O284" s="433"/>
      <c r="P284" s="433"/>
      <c r="Q284" s="433"/>
      <c r="R284" s="433"/>
      <c r="S284" s="433"/>
      <c r="T284" s="433"/>
      <c r="U284" s="641"/>
      <c r="V284" s="430"/>
    </row>
    <row r="285" spans="1:22" s="431" customFormat="1" x14ac:dyDescent="0.3">
      <c r="A285" s="432"/>
      <c r="B285" s="447" t="s">
        <v>354</v>
      </c>
      <c r="C285" s="428"/>
      <c r="D285" s="428"/>
      <c r="E285" s="428"/>
      <c r="F285" s="617"/>
      <c r="G285" s="428"/>
      <c r="H285" s="428"/>
      <c r="I285" s="433"/>
      <c r="J285" s="433"/>
      <c r="K285" s="433"/>
      <c r="L285" s="433"/>
      <c r="M285" s="433"/>
      <c r="N285" s="433"/>
      <c r="O285" s="433"/>
      <c r="P285" s="433"/>
      <c r="Q285" s="433"/>
      <c r="R285" s="433"/>
      <c r="S285" s="433"/>
      <c r="T285" s="433"/>
      <c r="U285" s="641"/>
      <c r="V285" s="430"/>
    </row>
    <row r="286" spans="1:22" s="431" customFormat="1" x14ac:dyDescent="0.3">
      <c r="A286" s="432"/>
      <c r="B286" s="447" t="s">
        <v>359</v>
      </c>
      <c r="C286" s="428"/>
      <c r="D286" s="428"/>
      <c r="E286" s="428"/>
      <c r="F286" s="617"/>
      <c r="G286" s="428"/>
      <c r="H286" s="428"/>
      <c r="I286" s="433"/>
      <c r="J286" s="433"/>
      <c r="K286" s="433"/>
      <c r="L286" s="433"/>
      <c r="M286" s="433"/>
      <c r="N286" s="433"/>
      <c r="O286" s="433"/>
      <c r="P286" s="433"/>
      <c r="Q286" s="433"/>
      <c r="R286" s="433"/>
      <c r="S286" s="433"/>
      <c r="T286" s="433"/>
      <c r="U286" s="641"/>
      <c r="V286" s="430"/>
    </row>
    <row r="287" spans="1:22" s="431" customFormat="1" x14ac:dyDescent="0.3">
      <c r="A287" s="432"/>
      <c r="B287" s="447" t="s">
        <v>352</v>
      </c>
      <c r="C287" s="428"/>
      <c r="D287" s="428"/>
      <c r="E287" s="428"/>
      <c r="F287" s="617"/>
      <c r="G287" s="428"/>
      <c r="H287" s="428"/>
      <c r="I287" s="433"/>
      <c r="J287" s="433"/>
      <c r="K287" s="433"/>
      <c r="L287" s="433"/>
      <c r="M287" s="433"/>
      <c r="N287" s="433"/>
      <c r="O287" s="433"/>
      <c r="P287" s="433"/>
      <c r="Q287" s="433"/>
      <c r="R287" s="433"/>
      <c r="S287" s="433"/>
      <c r="T287" s="433"/>
      <c r="U287" s="641"/>
      <c r="V287" s="430"/>
    </row>
    <row r="288" spans="1:22" s="431" customFormat="1" x14ac:dyDescent="0.3">
      <c r="A288" s="432"/>
      <c r="B288" s="447" t="s">
        <v>351</v>
      </c>
      <c r="C288" s="428"/>
      <c r="D288" s="428"/>
      <c r="E288" s="428"/>
      <c r="F288" s="617"/>
      <c r="G288" s="428"/>
      <c r="H288" s="428"/>
      <c r="I288" s="433"/>
      <c r="J288" s="433"/>
      <c r="K288" s="433"/>
      <c r="L288" s="433"/>
      <c r="M288" s="433"/>
      <c r="N288" s="433"/>
      <c r="O288" s="433"/>
      <c r="P288" s="433"/>
      <c r="Q288" s="433"/>
      <c r="R288" s="433"/>
      <c r="S288" s="433"/>
      <c r="T288" s="433"/>
      <c r="U288" s="641"/>
      <c r="V288" s="430"/>
    </row>
    <row r="289" spans="1:22" x14ac:dyDescent="0.3">
      <c r="A289" s="418"/>
      <c r="B289" s="618"/>
      <c r="C289" s="619"/>
      <c r="D289" s="619"/>
      <c r="E289" s="619"/>
      <c r="F289" s="620"/>
      <c r="G289" s="619"/>
      <c r="H289" s="619"/>
      <c r="I289" s="621"/>
      <c r="J289" s="621"/>
      <c r="K289" s="621"/>
      <c r="L289" s="420"/>
      <c r="M289" s="420"/>
      <c r="N289" s="420"/>
      <c r="O289" s="420"/>
      <c r="P289" s="420"/>
      <c r="Q289" s="420"/>
      <c r="R289" s="420"/>
      <c r="S289" s="420"/>
      <c r="T289" s="420"/>
      <c r="U289" s="639"/>
      <c r="V289" s="416"/>
    </row>
    <row r="290" spans="1:22" ht="18" x14ac:dyDescent="0.35">
      <c r="A290" s="418"/>
      <c r="B290" s="622" t="s">
        <v>353</v>
      </c>
      <c r="C290" s="619"/>
      <c r="D290" s="619"/>
      <c r="E290" s="619"/>
      <c r="F290" s="619"/>
      <c r="G290" s="619"/>
      <c r="H290" s="621"/>
      <c r="I290" s="621"/>
      <c r="J290" s="621"/>
      <c r="K290" s="621"/>
      <c r="L290" s="420"/>
      <c r="M290" s="420"/>
      <c r="N290" s="623"/>
      <c r="O290" s="420"/>
      <c r="P290" s="624" t="s">
        <v>356</v>
      </c>
      <c r="Q290" s="420"/>
      <c r="R290" s="420"/>
      <c r="S290" s="420"/>
      <c r="T290" s="420"/>
      <c r="U290" s="639"/>
      <c r="V290" s="416"/>
    </row>
    <row r="291" spans="1:22" x14ac:dyDescent="0.3">
      <c r="A291" s="418"/>
      <c r="B291" s="619"/>
      <c r="C291" s="619"/>
      <c r="D291" s="619"/>
      <c r="E291" s="619"/>
      <c r="F291" s="619"/>
      <c r="G291" s="619"/>
      <c r="H291" s="621"/>
      <c r="I291" s="621"/>
      <c r="J291" s="621"/>
      <c r="K291" s="621"/>
      <c r="L291" s="420"/>
      <c r="M291" s="420"/>
      <c r="N291" s="420"/>
      <c r="O291" s="420"/>
      <c r="P291" s="420"/>
      <c r="Q291" s="420"/>
      <c r="R291" s="420"/>
      <c r="S291" s="420"/>
      <c r="T291" s="420"/>
      <c r="U291" s="639"/>
      <c r="V291" s="416"/>
    </row>
    <row r="292" spans="1:22" ht="18.600000000000001" thickBot="1" x14ac:dyDescent="0.4">
      <c r="A292" s="418"/>
      <c r="B292" s="625" t="str">
        <f>B192</f>
        <v>PM11 INVESTOR REPORT QUARTER ENDING SEPTEMBER 2017</v>
      </c>
      <c r="C292" s="619"/>
      <c r="D292" s="619"/>
      <c r="E292" s="619"/>
      <c r="F292" s="619"/>
      <c r="G292" s="619"/>
      <c r="H292" s="621"/>
      <c r="I292" s="621"/>
      <c r="J292" s="621"/>
      <c r="K292" s="621"/>
      <c r="L292" s="420"/>
      <c r="M292" s="420"/>
      <c r="N292" s="420"/>
      <c r="O292" s="420"/>
      <c r="P292" s="420"/>
      <c r="Q292" s="420"/>
      <c r="R292" s="420"/>
      <c r="S292" s="420"/>
      <c r="T292" s="420"/>
      <c r="U292" s="556"/>
      <c r="V292" s="416"/>
    </row>
    <row r="293" spans="1:22" x14ac:dyDescent="0.3">
      <c r="A293" s="626"/>
      <c r="B293" s="626"/>
      <c r="C293" s="626"/>
      <c r="D293" s="626"/>
      <c r="E293" s="626"/>
      <c r="F293" s="626"/>
      <c r="G293" s="626"/>
      <c r="H293" s="626"/>
      <c r="I293" s="626"/>
      <c r="J293" s="626"/>
      <c r="K293" s="626"/>
      <c r="L293" s="626"/>
      <c r="M293" s="626"/>
      <c r="N293" s="626"/>
      <c r="O293" s="626"/>
      <c r="P293" s="626"/>
      <c r="Q293" s="626"/>
      <c r="R293" s="626"/>
      <c r="S293" s="626"/>
      <c r="T293" s="626"/>
      <c r="U293" s="626"/>
    </row>
  </sheetData>
  <hyperlinks>
    <hyperlink ref="J9" r:id="rId1" display="http://www.paragon-group.co.uk" xr:uid="{00000000-0004-0000-2D00-000000000000}"/>
    <hyperlink ref="P290" r:id="rId2" display="http://www.paragon-group.co.uk" xr:uid="{00000000-0004-0000-2D00-000001000000}"/>
    <hyperlink ref="N228" r:id="rId3" display="http://www.paragon-group.co.uk" xr:uid="{00000000-0004-0000-2D00-000002000000}"/>
  </hyperlinks>
  <printOptions horizontalCentered="1" verticalCentered="1"/>
  <pageMargins left="0.19685039370078741" right="0.19685039370078741" top="0.27559055118110237" bottom="0.27559055118110237" header="0" footer="0"/>
  <pageSetup scale="41" orientation="landscape" r:id="rId4"/>
  <headerFooter alignWithMargins="0"/>
  <rowBreaks count="3" manualBreakCount="3">
    <brk id="63" max="20" man="1"/>
    <brk id="132" max="20" man="1"/>
    <brk id="192" max="20" man="1"/>
  </rowBreaks>
  <drawing r:id="rId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89CB31"/>
  </sheetPr>
  <dimension ref="A1:X293"/>
  <sheetViews>
    <sheetView showGridLines="0" showOutlineSymbols="0" zoomScale="70" zoomScaleNormal="70" workbookViewId="0"/>
  </sheetViews>
  <sheetFormatPr defaultColWidth="9.81640625" defaultRowHeight="15.6" x14ac:dyDescent="0.3"/>
  <cols>
    <col min="1" max="1" width="4" style="417" customWidth="1"/>
    <col min="2" max="2" width="71.08984375" style="417" customWidth="1"/>
    <col min="3" max="3" width="2.08984375" style="417" customWidth="1"/>
    <col min="4" max="4" width="19.1796875" style="417" customWidth="1"/>
    <col min="5" max="5" width="2.08984375" style="417" customWidth="1"/>
    <col min="6" max="6" width="25.08984375" style="417" customWidth="1"/>
    <col min="7" max="7" width="2.08984375" style="417" customWidth="1"/>
    <col min="8" max="8" width="16.08984375" style="417" customWidth="1"/>
    <col min="9" max="9" width="2.08984375" style="417" customWidth="1"/>
    <col min="10" max="10" width="17.81640625" style="417" customWidth="1"/>
    <col min="11" max="11" width="2.1796875" style="417" customWidth="1"/>
    <col min="12" max="12" width="14.81640625" style="417" customWidth="1"/>
    <col min="13" max="13" width="2.1796875" style="417" customWidth="1"/>
    <col min="14" max="14" width="15.54296875" style="417" customWidth="1"/>
    <col min="15" max="15" width="2.08984375" style="417" customWidth="1"/>
    <col min="16" max="16" width="15.54296875" style="417" customWidth="1"/>
    <col min="17" max="18" width="12.81640625" style="417" customWidth="1"/>
    <col min="19" max="19" width="7.81640625" style="417" customWidth="1"/>
    <col min="20" max="20" width="14.81640625" style="417" customWidth="1"/>
    <col min="21" max="21" width="11.81640625" style="417" customWidth="1"/>
    <col min="22" max="16384" width="9.81640625" style="417"/>
  </cols>
  <sheetData>
    <row r="1" spans="1:22" ht="21" x14ac:dyDescent="0.4">
      <c r="A1" s="413"/>
      <c r="B1" s="414" t="s">
        <v>228</v>
      </c>
      <c r="C1" s="415"/>
      <c r="D1" s="415"/>
      <c r="E1" s="415"/>
      <c r="F1" s="415"/>
      <c r="G1" s="415"/>
      <c r="H1" s="415"/>
      <c r="I1" s="415"/>
      <c r="J1" s="415"/>
      <c r="K1" s="415"/>
      <c r="L1" s="415"/>
      <c r="M1" s="415"/>
      <c r="N1" s="415"/>
      <c r="O1" s="415"/>
      <c r="P1" s="415"/>
      <c r="Q1" s="415"/>
      <c r="R1" s="415"/>
      <c r="S1" s="415"/>
      <c r="T1" s="415"/>
      <c r="U1" s="638"/>
      <c r="V1" s="416"/>
    </row>
    <row r="2" spans="1:22" x14ac:dyDescent="0.3">
      <c r="A2" s="418"/>
      <c r="B2" s="419"/>
      <c r="C2" s="420"/>
      <c r="D2" s="420"/>
      <c r="E2" s="420"/>
      <c r="F2" s="420"/>
      <c r="G2" s="420"/>
      <c r="H2" s="420"/>
      <c r="I2" s="420"/>
      <c r="J2" s="420"/>
      <c r="K2" s="420"/>
      <c r="L2" s="420"/>
      <c r="M2" s="420"/>
      <c r="N2" s="420"/>
      <c r="O2" s="420"/>
      <c r="P2" s="420"/>
      <c r="Q2" s="420"/>
      <c r="R2" s="420"/>
      <c r="S2" s="420"/>
      <c r="T2" s="420"/>
      <c r="U2" s="639"/>
      <c r="V2" s="416"/>
    </row>
    <row r="3" spans="1:22" x14ac:dyDescent="0.3">
      <c r="A3" s="421"/>
      <c r="B3" s="422" t="s">
        <v>229</v>
      </c>
      <c r="C3" s="420"/>
      <c r="D3" s="420"/>
      <c r="E3" s="420"/>
      <c r="F3" s="420"/>
      <c r="G3" s="420"/>
      <c r="H3" s="420"/>
      <c r="I3" s="420"/>
      <c r="J3" s="420"/>
      <c r="K3" s="420"/>
      <c r="L3" s="420"/>
      <c r="M3" s="420"/>
      <c r="N3" s="420"/>
      <c r="O3" s="420"/>
      <c r="P3" s="420"/>
      <c r="Q3" s="420"/>
      <c r="R3" s="420"/>
      <c r="S3" s="420"/>
      <c r="T3" s="420"/>
      <c r="U3" s="639"/>
      <c r="V3" s="416"/>
    </row>
    <row r="4" spans="1:22" x14ac:dyDescent="0.3">
      <c r="A4" s="418"/>
      <c r="B4" s="419"/>
      <c r="C4" s="420"/>
      <c r="D4" s="420"/>
      <c r="E4" s="420"/>
      <c r="F4" s="420"/>
      <c r="G4" s="420"/>
      <c r="H4" s="420"/>
      <c r="I4" s="420"/>
      <c r="J4" s="420"/>
      <c r="K4" s="420"/>
      <c r="L4" s="420"/>
      <c r="M4" s="420"/>
      <c r="N4" s="420"/>
      <c r="O4" s="420"/>
      <c r="P4" s="420"/>
      <c r="Q4" s="420"/>
      <c r="R4" s="420"/>
      <c r="S4" s="420"/>
      <c r="T4" s="420"/>
      <c r="U4" s="639"/>
      <c r="V4" s="416"/>
    </row>
    <row r="5" spans="1:22" x14ac:dyDescent="0.3">
      <c r="A5" s="418"/>
      <c r="B5" s="423" t="s">
        <v>143</v>
      </c>
      <c r="C5" s="420"/>
      <c r="D5" s="420"/>
      <c r="E5" s="420"/>
      <c r="F5" s="420"/>
      <c r="G5" s="420"/>
      <c r="H5" s="420"/>
      <c r="I5" s="420"/>
      <c r="J5" s="420"/>
      <c r="K5" s="420"/>
      <c r="L5" s="420"/>
      <c r="M5" s="420"/>
      <c r="N5" s="420"/>
      <c r="O5" s="420"/>
      <c r="P5" s="420"/>
      <c r="Q5" s="420"/>
      <c r="R5" s="420"/>
      <c r="S5" s="420"/>
      <c r="T5" s="420"/>
      <c r="U5" s="639"/>
      <c r="V5" s="416"/>
    </row>
    <row r="6" spans="1:22" x14ac:dyDescent="0.3">
      <c r="A6" s="418"/>
      <c r="B6" s="423" t="s">
        <v>145</v>
      </c>
      <c r="C6" s="420"/>
      <c r="D6" s="420"/>
      <c r="E6" s="420"/>
      <c r="F6" s="420"/>
      <c r="G6" s="420"/>
      <c r="H6" s="420"/>
      <c r="I6" s="420"/>
      <c r="J6" s="420"/>
      <c r="K6" s="420"/>
      <c r="L6" s="420"/>
      <c r="M6" s="420"/>
      <c r="N6" s="420"/>
      <c r="O6" s="420"/>
      <c r="P6" s="420"/>
      <c r="Q6" s="420"/>
      <c r="R6" s="420"/>
      <c r="S6" s="420"/>
      <c r="T6" s="420"/>
      <c r="U6" s="639"/>
      <c r="V6" s="416"/>
    </row>
    <row r="7" spans="1:22" x14ac:dyDescent="0.3">
      <c r="A7" s="418"/>
      <c r="B7" s="423" t="s">
        <v>144</v>
      </c>
      <c r="C7" s="420"/>
      <c r="D7" s="420"/>
      <c r="E7" s="420"/>
      <c r="F7" s="420"/>
      <c r="G7" s="420"/>
      <c r="H7" s="420"/>
      <c r="I7" s="420"/>
      <c r="J7" s="420"/>
      <c r="K7" s="420"/>
      <c r="L7" s="420"/>
      <c r="M7" s="420"/>
      <c r="N7" s="420"/>
      <c r="O7" s="420"/>
      <c r="P7" s="420"/>
      <c r="Q7" s="420"/>
      <c r="R7" s="420"/>
      <c r="S7" s="420"/>
      <c r="T7" s="420"/>
      <c r="U7" s="639"/>
      <c r="V7" s="416"/>
    </row>
    <row r="8" spans="1:22" x14ac:dyDescent="0.3">
      <c r="A8" s="418"/>
      <c r="B8" s="424"/>
      <c r="C8" s="420"/>
      <c r="D8" s="420"/>
      <c r="E8" s="420"/>
      <c r="F8" s="420"/>
      <c r="G8" s="420"/>
      <c r="H8" s="420"/>
      <c r="I8" s="420"/>
      <c r="J8" s="420"/>
      <c r="K8" s="420"/>
      <c r="L8" s="420"/>
      <c r="M8" s="420"/>
      <c r="N8" s="420"/>
      <c r="O8" s="420"/>
      <c r="P8" s="420"/>
      <c r="Q8" s="420"/>
      <c r="R8" s="420"/>
      <c r="S8" s="420"/>
      <c r="T8" s="420"/>
      <c r="U8" s="639"/>
      <c r="V8" s="416"/>
    </row>
    <row r="9" spans="1:22" x14ac:dyDescent="0.3">
      <c r="A9" s="418"/>
      <c r="B9" s="422" t="s">
        <v>173</v>
      </c>
      <c r="C9" s="420"/>
      <c r="D9" s="420"/>
      <c r="E9" s="420"/>
      <c r="F9" s="420"/>
      <c r="G9" s="420"/>
      <c r="H9" s="420"/>
      <c r="I9" s="420"/>
      <c r="J9" s="425" t="s">
        <v>356</v>
      </c>
      <c r="K9" s="420"/>
      <c r="L9" s="426"/>
      <c r="M9" s="420"/>
      <c r="N9" s="420"/>
      <c r="O9" s="420"/>
      <c r="P9" s="420"/>
      <c r="Q9" s="420"/>
      <c r="R9" s="420"/>
      <c r="S9" s="420"/>
      <c r="T9" s="420"/>
      <c r="U9" s="639"/>
      <c r="V9" s="416"/>
    </row>
    <row r="10" spans="1:22" x14ac:dyDescent="0.3">
      <c r="A10" s="418"/>
      <c r="B10" s="424"/>
      <c r="C10" s="427"/>
      <c r="D10" s="427"/>
      <c r="E10" s="427"/>
      <c r="F10" s="420"/>
      <c r="G10" s="420"/>
      <c r="H10" s="420"/>
      <c r="I10" s="420"/>
      <c r="J10" s="420"/>
      <c r="K10" s="420"/>
      <c r="L10" s="420"/>
      <c r="M10" s="420"/>
      <c r="N10" s="420"/>
      <c r="O10" s="420"/>
      <c r="P10" s="420"/>
      <c r="Q10" s="420"/>
      <c r="R10" s="420"/>
      <c r="S10" s="420"/>
      <c r="T10" s="420"/>
      <c r="U10" s="639"/>
      <c r="V10" s="416"/>
    </row>
    <row r="11" spans="1:22" x14ac:dyDescent="0.3">
      <c r="A11" s="418"/>
      <c r="B11" s="428" t="s">
        <v>0</v>
      </c>
      <c r="C11" s="420"/>
      <c r="D11" s="420"/>
      <c r="E11" s="420"/>
      <c r="F11" s="420"/>
      <c r="G11" s="420"/>
      <c r="H11" s="420"/>
      <c r="I11" s="420"/>
      <c r="J11" s="420"/>
      <c r="K11" s="420"/>
      <c r="L11" s="420"/>
      <c r="M11" s="420"/>
      <c r="N11" s="420"/>
      <c r="O11" s="420"/>
      <c r="P11" s="420"/>
      <c r="Q11" s="420"/>
      <c r="R11" s="420"/>
      <c r="S11" s="420"/>
      <c r="T11" s="420"/>
      <c r="U11" s="639"/>
      <c r="V11" s="416"/>
    </row>
    <row r="12" spans="1:22" ht="16.2" thickBot="1" x14ac:dyDescent="0.35">
      <c r="A12" s="418"/>
      <c r="B12" s="427"/>
      <c r="C12" s="420"/>
      <c r="D12" s="420"/>
      <c r="E12" s="420"/>
      <c r="F12" s="420"/>
      <c r="G12" s="420"/>
      <c r="H12" s="420"/>
      <c r="I12" s="420"/>
      <c r="J12" s="420"/>
      <c r="K12" s="420"/>
      <c r="L12" s="420"/>
      <c r="M12" s="420"/>
      <c r="N12" s="420"/>
      <c r="O12" s="420"/>
      <c r="P12" s="420"/>
      <c r="Q12" s="420"/>
      <c r="R12" s="420"/>
      <c r="S12" s="420"/>
      <c r="T12" s="420"/>
      <c r="U12" s="639"/>
      <c r="V12" s="416"/>
    </row>
    <row r="13" spans="1:22" s="431" customFormat="1" x14ac:dyDescent="0.3">
      <c r="A13" s="413"/>
      <c r="B13" s="429"/>
      <c r="C13" s="429"/>
      <c r="D13" s="429"/>
      <c r="E13" s="429"/>
      <c r="F13" s="429"/>
      <c r="G13" s="429"/>
      <c r="H13" s="429"/>
      <c r="I13" s="429"/>
      <c r="J13" s="429"/>
      <c r="K13" s="429"/>
      <c r="L13" s="429"/>
      <c r="M13" s="429"/>
      <c r="N13" s="429"/>
      <c r="O13" s="429"/>
      <c r="P13" s="429"/>
      <c r="Q13" s="429"/>
      <c r="R13" s="429"/>
      <c r="S13" s="429"/>
      <c r="T13" s="429"/>
      <c r="U13" s="640"/>
      <c r="V13" s="430"/>
    </row>
    <row r="14" spans="1:22" s="431" customFormat="1" x14ac:dyDescent="0.3">
      <c r="A14" s="432"/>
      <c r="B14" s="428" t="s">
        <v>1</v>
      </c>
      <c r="C14" s="433"/>
      <c r="D14" s="433"/>
      <c r="E14" s="433"/>
      <c r="F14" s="433"/>
      <c r="G14" s="433"/>
      <c r="H14" s="433"/>
      <c r="I14" s="433"/>
      <c r="J14" s="433"/>
      <c r="K14" s="433"/>
      <c r="L14" s="433"/>
      <c r="M14" s="433"/>
      <c r="N14" s="433"/>
      <c r="O14" s="433"/>
      <c r="P14" s="433"/>
      <c r="Q14" s="433"/>
      <c r="R14" s="433"/>
      <c r="S14" s="433"/>
      <c r="T14" s="434" t="s">
        <v>230</v>
      </c>
      <c r="U14" s="641"/>
      <c r="V14" s="430"/>
    </row>
    <row r="15" spans="1:22" s="431" customFormat="1" x14ac:dyDescent="0.3">
      <c r="A15" s="432"/>
      <c r="B15" s="428" t="s">
        <v>2</v>
      </c>
      <c r="C15" s="433"/>
      <c r="D15" s="433"/>
      <c r="E15" s="433"/>
      <c r="F15" s="433"/>
      <c r="G15" s="433"/>
      <c r="H15" s="435"/>
      <c r="I15" s="435"/>
      <c r="J15" s="435"/>
      <c r="K15" s="435"/>
      <c r="L15" s="435"/>
      <c r="M15" s="435"/>
      <c r="N15" s="435"/>
      <c r="O15" s="435"/>
      <c r="P15" s="435" t="s">
        <v>107</v>
      </c>
      <c r="Q15" s="436">
        <v>0.40749999999999997</v>
      </c>
      <c r="R15" s="437" t="s">
        <v>146</v>
      </c>
      <c r="S15" s="436">
        <v>0.59250000000000003</v>
      </c>
      <c r="T15" s="434"/>
      <c r="U15" s="641"/>
      <c r="V15" s="430"/>
    </row>
    <row r="16" spans="1:22" s="431" customFormat="1" x14ac:dyDescent="0.3">
      <c r="A16" s="432"/>
      <c r="B16" s="428" t="s">
        <v>3</v>
      </c>
      <c r="C16" s="433"/>
      <c r="D16" s="433"/>
      <c r="E16" s="433"/>
      <c r="F16" s="433"/>
      <c r="G16" s="433"/>
      <c r="H16" s="435"/>
      <c r="I16" s="435"/>
      <c r="J16" s="435"/>
      <c r="K16" s="435"/>
      <c r="L16" s="435"/>
      <c r="M16" s="435"/>
      <c r="N16" s="435"/>
      <c r="O16" s="435"/>
      <c r="P16" s="435" t="s">
        <v>107</v>
      </c>
      <c r="Q16" s="436">
        <v>0.49220000000000003</v>
      </c>
      <c r="R16" s="437" t="s">
        <v>146</v>
      </c>
      <c r="S16" s="436">
        <v>0.50780000000000003</v>
      </c>
      <c r="T16" s="434"/>
      <c r="U16" s="641"/>
      <c r="V16" s="430"/>
    </row>
    <row r="17" spans="1:22" s="431" customFormat="1" x14ac:dyDescent="0.3">
      <c r="A17" s="432"/>
      <c r="B17" s="428" t="s">
        <v>4</v>
      </c>
      <c r="C17" s="433"/>
      <c r="D17" s="433"/>
      <c r="E17" s="433"/>
      <c r="F17" s="433"/>
      <c r="G17" s="433"/>
      <c r="H17" s="433"/>
      <c r="I17" s="433"/>
      <c r="J17" s="433"/>
      <c r="K17" s="433"/>
      <c r="L17" s="433"/>
      <c r="M17" s="433"/>
      <c r="N17" s="433"/>
      <c r="O17" s="433"/>
      <c r="P17" s="433"/>
      <c r="Q17" s="433"/>
      <c r="R17" s="433"/>
      <c r="S17" s="433"/>
      <c r="T17" s="438">
        <v>38799</v>
      </c>
      <c r="U17" s="641"/>
      <c r="V17" s="430"/>
    </row>
    <row r="18" spans="1:22" s="431" customFormat="1" x14ac:dyDescent="0.3">
      <c r="A18" s="432"/>
      <c r="B18" s="428" t="s">
        <v>5</v>
      </c>
      <c r="C18" s="433"/>
      <c r="D18" s="433"/>
      <c r="E18" s="433"/>
      <c r="F18" s="433"/>
      <c r="G18" s="433"/>
      <c r="H18" s="433"/>
      <c r="I18" s="433"/>
      <c r="J18" s="433"/>
      <c r="K18" s="433"/>
      <c r="L18" s="433"/>
      <c r="M18" s="433"/>
      <c r="N18" s="433"/>
      <c r="O18" s="433"/>
      <c r="P18" s="433"/>
      <c r="Q18" s="433"/>
      <c r="R18" s="433"/>
      <c r="S18" s="433"/>
      <c r="T18" s="438">
        <v>43123</v>
      </c>
      <c r="U18" s="641"/>
      <c r="V18" s="430"/>
    </row>
    <row r="19" spans="1:22" s="431" customFormat="1" x14ac:dyDescent="0.3">
      <c r="A19" s="432"/>
      <c r="B19" s="433"/>
      <c r="C19" s="433"/>
      <c r="D19" s="433"/>
      <c r="E19" s="433"/>
      <c r="F19" s="433"/>
      <c r="G19" s="433"/>
      <c r="H19" s="433"/>
      <c r="I19" s="433"/>
      <c r="J19" s="433"/>
      <c r="K19" s="433"/>
      <c r="L19" s="433"/>
      <c r="M19" s="433"/>
      <c r="N19" s="433"/>
      <c r="O19" s="433"/>
      <c r="P19" s="433"/>
      <c r="Q19" s="433"/>
      <c r="R19" s="433"/>
      <c r="S19" s="433"/>
      <c r="T19" s="439"/>
      <c r="U19" s="641"/>
      <c r="V19" s="430"/>
    </row>
    <row r="20" spans="1:22" s="431" customFormat="1" x14ac:dyDescent="0.3">
      <c r="A20" s="432"/>
      <c r="B20" s="440" t="s">
        <v>6</v>
      </c>
      <c r="C20" s="433"/>
      <c r="D20" s="433"/>
      <c r="E20" s="433"/>
      <c r="F20" s="433"/>
      <c r="G20" s="433"/>
      <c r="H20" s="433"/>
      <c r="I20" s="433"/>
      <c r="J20" s="433"/>
      <c r="K20" s="433"/>
      <c r="L20" s="433"/>
      <c r="M20" s="433"/>
      <c r="N20" s="433"/>
      <c r="O20" s="433"/>
      <c r="P20" s="433"/>
      <c r="Q20" s="433"/>
      <c r="R20" s="439" t="s">
        <v>108</v>
      </c>
      <c r="S20" s="433"/>
      <c r="T20" s="433"/>
      <c r="U20" s="641"/>
      <c r="V20" s="430"/>
    </row>
    <row r="21" spans="1:22" x14ac:dyDescent="0.3">
      <c r="A21" s="418"/>
      <c r="B21" s="420"/>
      <c r="C21" s="420"/>
      <c r="D21" s="420"/>
      <c r="E21" s="420"/>
      <c r="F21" s="420"/>
      <c r="G21" s="420"/>
      <c r="H21" s="420"/>
      <c r="I21" s="420"/>
      <c r="J21" s="420"/>
      <c r="K21" s="420"/>
      <c r="L21" s="420"/>
      <c r="M21" s="420"/>
      <c r="N21" s="420"/>
      <c r="O21" s="420"/>
      <c r="P21" s="420"/>
      <c r="Q21" s="420"/>
      <c r="R21" s="420"/>
      <c r="S21" s="420"/>
      <c r="T21" s="441"/>
      <c r="U21" s="639"/>
      <c r="V21" s="416"/>
    </row>
    <row r="22" spans="1:22" x14ac:dyDescent="0.3">
      <c r="A22" s="442"/>
      <c r="B22" s="443"/>
      <c r="C22" s="444"/>
      <c r="D22" s="444" t="s">
        <v>184</v>
      </c>
      <c r="E22" s="444"/>
      <c r="F22" s="444" t="s">
        <v>185</v>
      </c>
      <c r="G22" s="444"/>
      <c r="H22" s="444" t="s">
        <v>186</v>
      </c>
      <c r="I22" s="444"/>
      <c r="J22" s="444" t="s">
        <v>187</v>
      </c>
      <c r="K22" s="444"/>
      <c r="L22" s="444" t="s">
        <v>188</v>
      </c>
      <c r="M22" s="444"/>
      <c r="N22" s="444" t="s">
        <v>189</v>
      </c>
      <c r="O22" s="444"/>
      <c r="P22" s="444"/>
      <c r="Q22" s="445"/>
      <c r="R22" s="445"/>
      <c r="S22" s="443"/>
      <c r="T22" s="443"/>
      <c r="U22" s="446"/>
      <c r="V22" s="416"/>
    </row>
    <row r="23" spans="1:22" s="431" customFormat="1" x14ac:dyDescent="0.3">
      <c r="A23" s="432"/>
      <c r="B23" s="447" t="s">
        <v>7</v>
      </c>
      <c r="C23" s="448"/>
      <c r="D23" s="448" t="s">
        <v>222</v>
      </c>
      <c r="E23" s="448"/>
      <c r="F23" s="448" t="s">
        <v>147</v>
      </c>
      <c r="G23" s="448"/>
      <c r="H23" s="448" t="s">
        <v>147</v>
      </c>
      <c r="I23" s="448"/>
      <c r="J23" s="448" t="s">
        <v>190</v>
      </c>
      <c r="K23" s="448"/>
      <c r="L23" s="448" t="s">
        <v>190</v>
      </c>
      <c r="M23" s="448"/>
      <c r="N23" s="448" t="s">
        <v>148</v>
      </c>
      <c r="O23" s="448"/>
      <c r="P23" s="448"/>
      <c r="Q23" s="448"/>
      <c r="R23" s="448"/>
      <c r="S23" s="447"/>
      <c r="T23" s="447"/>
      <c r="U23" s="641"/>
      <c r="V23" s="430"/>
    </row>
    <row r="24" spans="1:22" s="431" customFormat="1" x14ac:dyDescent="0.3">
      <c r="A24" s="449"/>
      <c r="B24" s="450" t="s">
        <v>8</v>
      </c>
      <c r="C24" s="451"/>
      <c r="D24" s="451" t="s">
        <v>223</v>
      </c>
      <c r="E24" s="451"/>
      <c r="F24" s="451" t="s">
        <v>149</v>
      </c>
      <c r="G24" s="451"/>
      <c r="H24" s="451" t="s">
        <v>149</v>
      </c>
      <c r="I24" s="451"/>
      <c r="J24" s="451" t="s">
        <v>172</v>
      </c>
      <c r="K24" s="451"/>
      <c r="L24" s="451" t="s">
        <v>172</v>
      </c>
      <c r="M24" s="451"/>
      <c r="N24" s="451" t="s">
        <v>150</v>
      </c>
      <c r="O24" s="451"/>
      <c r="P24" s="451"/>
      <c r="Q24" s="451"/>
      <c r="R24" s="451"/>
      <c r="S24" s="450"/>
      <c r="T24" s="450"/>
      <c r="U24" s="452"/>
      <c r="V24" s="430"/>
    </row>
    <row r="25" spans="1:22" s="431" customFormat="1" x14ac:dyDescent="0.3">
      <c r="A25" s="453"/>
      <c r="B25" s="450" t="s">
        <v>198</v>
      </c>
      <c r="C25" s="454"/>
      <c r="D25" s="451" t="s">
        <v>224</v>
      </c>
      <c r="E25" s="451"/>
      <c r="F25" s="451" t="s">
        <v>149</v>
      </c>
      <c r="G25" s="451"/>
      <c r="H25" s="451" t="s">
        <v>149</v>
      </c>
      <c r="I25" s="451"/>
      <c r="J25" s="451" t="s">
        <v>172</v>
      </c>
      <c r="K25" s="451"/>
      <c r="L25" s="451" t="s">
        <v>172</v>
      </c>
      <c r="M25" s="451"/>
      <c r="N25" s="451" t="s">
        <v>150</v>
      </c>
      <c r="O25" s="451"/>
      <c r="P25" s="451"/>
      <c r="Q25" s="454"/>
      <c r="R25" s="451"/>
      <c r="S25" s="450"/>
      <c r="T25" s="450"/>
      <c r="U25" s="452"/>
      <c r="V25" s="430"/>
    </row>
    <row r="26" spans="1:22" s="431" customFormat="1" x14ac:dyDescent="0.3">
      <c r="A26" s="453"/>
      <c r="B26" s="455" t="s">
        <v>9</v>
      </c>
      <c r="C26" s="454"/>
      <c r="D26" s="454" t="s">
        <v>147</v>
      </c>
      <c r="E26" s="454"/>
      <c r="F26" s="454" t="s">
        <v>147</v>
      </c>
      <c r="G26" s="454"/>
      <c r="H26" s="454" t="s">
        <v>147</v>
      </c>
      <c r="I26" s="454"/>
      <c r="J26" s="454" t="s">
        <v>190</v>
      </c>
      <c r="K26" s="454"/>
      <c r="L26" s="454" t="s">
        <v>190</v>
      </c>
      <c r="M26" s="454"/>
      <c r="N26" s="454" t="s">
        <v>148</v>
      </c>
      <c r="O26" s="454"/>
      <c r="P26" s="454"/>
      <c r="Q26" s="454"/>
      <c r="R26" s="451"/>
      <c r="S26" s="450"/>
      <c r="T26" s="450"/>
      <c r="U26" s="452"/>
      <c r="V26" s="430"/>
    </row>
    <row r="27" spans="1:22" s="431" customFormat="1" x14ac:dyDescent="0.3">
      <c r="A27" s="449"/>
      <c r="B27" s="455" t="s">
        <v>199</v>
      </c>
      <c r="C27" s="451"/>
      <c r="D27" s="454" t="s">
        <v>149</v>
      </c>
      <c r="E27" s="454"/>
      <c r="F27" s="454" t="s">
        <v>149</v>
      </c>
      <c r="G27" s="454"/>
      <c r="H27" s="454" t="s">
        <v>149</v>
      </c>
      <c r="I27" s="454"/>
      <c r="J27" s="454" t="s">
        <v>345</v>
      </c>
      <c r="K27" s="454"/>
      <c r="L27" s="454" t="s">
        <v>345</v>
      </c>
      <c r="M27" s="454"/>
      <c r="N27" s="454" t="s">
        <v>346</v>
      </c>
      <c r="O27" s="454"/>
      <c r="P27" s="454"/>
      <c r="Q27" s="451"/>
      <c r="R27" s="456"/>
      <c r="S27" s="450"/>
      <c r="T27" s="450"/>
      <c r="U27" s="452"/>
      <c r="V27" s="430"/>
    </row>
    <row r="28" spans="1:22" s="431" customFormat="1" x14ac:dyDescent="0.3">
      <c r="A28" s="449"/>
      <c r="B28" s="455" t="s">
        <v>200</v>
      </c>
      <c r="C28" s="451"/>
      <c r="D28" s="454" t="s">
        <v>149</v>
      </c>
      <c r="E28" s="454"/>
      <c r="F28" s="454" t="s">
        <v>149</v>
      </c>
      <c r="G28" s="454"/>
      <c r="H28" s="454" t="s">
        <v>149</v>
      </c>
      <c r="I28" s="454"/>
      <c r="J28" s="454" t="s">
        <v>149</v>
      </c>
      <c r="K28" s="454"/>
      <c r="L28" s="454" t="s">
        <v>149</v>
      </c>
      <c r="M28" s="454"/>
      <c r="N28" s="454" t="s">
        <v>150</v>
      </c>
      <c r="O28" s="454"/>
      <c r="P28" s="454"/>
      <c r="Q28" s="451"/>
      <c r="R28" s="456"/>
      <c r="S28" s="450"/>
      <c r="T28" s="450"/>
      <c r="U28" s="452"/>
      <c r="V28" s="430"/>
    </row>
    <row r="29" spans="1:22" s="431" customFormat="1" x14ac:dyDescent="0.3">
      <c r="A29" s="449"/>
      <c r="B29" s="450" t="s">
        <v>10</v>
      </c>
      <c r="C29" s="457"/>
      <c r="D29" s="451" t="s">
        <v>237</v>
      </c>
      <c r="E29" s="451"/>
      <c r="F29" s="456" t="s">
        <v>238</v>
      </c>
      <c r="G29" s="451"/>
      <c r="H29" s="451" t="s">
        <v>239</v>
      </c>
      <c r="I29" s="451"/>
      <c r="J29" s="451" t="s">
        <v>240</v>
      </c>
      <c r="K29" s="451"/>
      <c r="L29" s="451" t="s">
        <v>241</v>
      </c>
      <c r="M29" s="451"/>
      <c r="N29" s="451" t="s">
        <v>242</v>
      </c>
      <c r="O29" s="451"/>
      <c r="P29" s="451"/>
      <c r="Q29" s="458"/>
      <c r="R29" s="458"/>
      <c r="S29" s="457"/>
      <c r="T29" s="458"/>
      <c r="U29" s="459"/>
      <c r="V29" s="430"/>
    </row>
    <row r="30" spans="1:22" s="431" customFormat="1" x14ac:dyDescent="0.3">
      <c r="A30" s="449"/>
      <c r="B30" s="450" t="s">
        <v>10</v>
      </c>
      <c r="C30" s="457"/>
      <c r="D30" s="451" t="s">
        <v>236</v>
      </c>
      <c r="E30" s="451"/>
      <c r="F30" s="456" t="s">
        <v>124</v>
      </c>
      <c r="G30" s="451"/>
      <c r="H30" s="451" t="s">
        <v>124</v>
      </c>
      <c r="I30" s="451"/>
      <c r="J30" s="451" t="s">
        <v>124</v>
      </c>
      <c r="K30" s="451"/>
      <c r="L30" s="451" t="s">
        <v>124</v>
      </c>
      <c r="M30" s="451"/>
      <c r="N30" s="451" t="s">
        <v>124</v>
      </c>
      <c r="O30" s="451"/>
      <c r="P30" s="451"/>
      <c r="Q30" s="458"/>
      <c r="R30" s="458"/>
      <c r="S30" s="457"/>
      <c r="T30" s="458"/>
      <c r="U30" s="459"/>
      <c r="V30" s="430"/>
    </row>
    <row r="31" spans="1:22" s="431" customFormat="1" x14ac:dyDescent="0.3">
      <c r="A31" s="453"/>
      <c r="B31" s="450" t="s">
        <v>139</v>
      </c>
      <c r="C31" s="460"/>
      <c r="D31" s="461">
        <v>985000</v>
      </c>
      <c r="E31" s="457"/>
      <c r="F31" s="458">
        <v>149500</v>
      </c>
      <c r="G31" s="458"/>
      <c r="H31" s="462">
        <v>219700</v>
      </c>
      <c r="I31" s="458"/>
      <c r="J31" s="458">
        <v>16000</v>
      </c>
      <c r="K31" s="458"/>
      <c r="L31" s="462">
        <v>82400</v>
      </c>
      <c r="M31" s="458"/>
      <c r="N31" s="462">
        <v>87500</v>
      </c>
      <c r="O31" s="458"/>
      <c r="P31" s="462"/>
      <c r="Q31" s="463"/>
      <c r="R31" s="463"/>
      <c r="S31" s="460"/>
      <c r="T31" s="463"/>
      <c r="U31" s="459"/>
      <c r="V31" s="430"/>
    </row>
    <row r="32" spans="1:22" s="431" customFormat="1" x14ac:dyDescent="0.3">
      <c r="A32" s="449"/>
      <c r="B32" s="450" t="s">
        <v>138</v>
      </c>
      <c r="C32" s="457"/>
      <c r="D32" s="464">
        <f>D38*D34</f>
        <v>205057.97730899998</v>
      </c>
      <c r="E32" s="457"/>
      <c r="F32" s="458">
        <f>F38*F31</f>
        <v>54040.751700000001</v>
      </c>
      <c r="G32" s="458"/>
      <c r="H32" s="462">
        <f>H38*H31</f>
        <v>79416.409019999992</v>
      </c>
      <c r="I32" s="458"/>
      <c r="J32" s="458">
        <f>J31*J38</f>
        <v>13717.142400000001</v>
      </c>
      <c r="K32" s="458"/>
      <c r="L32" s="462">
        <f>L31*L38</f>
        <v>70643.283360000001</v>
      </c>
      <c r="M32" s="458"/>
      <c r="N32" s="462">
        <f>N31*N38</f>
        <v>75015.622499999998</v>
      </c>
      <c r="O32" s="458"/>
      <c r="P32" s="462"/>
      <c r="Q32" s="458"/>
      <c r="R32" s="458"/>
      <c r="S32" s="457"/>
      <c r="T32" s="458"/>
      <c r="U32" s="459"/>
      <c r="V32" s="430"/>
    </row>
    <row r="33" spans="1:23" s="431" customFormat="1" x14ac:dyDescent="0.3">
      <c r="A33" s="449"/>
      <c r="B33" s="455" t="s">
        <v>140</v>
      </c>
      <c r="C33" s="457"/>
      <c r="D33" s="465">
        <f>D37*D34</f>
        <v>200926.8028722</v>
      </c>
      <c r="E33" s="460"/>
      <c r="F33" s="463">
        <f>F37*F31</f>
        <v>52952.032900000006</v>
      </c>
      <c r="G33" s="463"/>
      <c r="H33" s="466">
        <f>H31*H37</f>
        <v>77816.46574</v>
      </c>
      <c r="I33" s="463"/>
      <c r="J33" s="463">
        <f>J31*J37</f>
        <v>13440.793599999999</v>
      </c>
      <c r="K33" s="463"/>
      <c r="L33" s="466">
        <f>L31*L37</f>
        <v>69220.087039999999</v>
      </c>
      <c r="M33" s="463"/>
      <c r="N33" s="466">
        <f>N31*N37</f>
        <v>73504.34</v>
      </c>
      <c r="O33" s="463"/>
      <c r="P33" s="466"/>
      <c r="Q33" s="458"/>
      <c r="R33" s="458"/>
      <c r="S33" s="457"/>
      <c r="T33" s="458"/>
      <c r="U33" s="459"/>
      <c r="V33" s="430"/>
    </row>
    <row r="34" spans="1:23" s="431" customFormat="1" x14ac:dyDescent="0.3">
      <c r="A34" s="453"/>
      <c r="B34" s="450" t="s">
        <v>283</v>
      </c>
      <c r="C34" s="460"/>
      <c r="D34" s="458">
        <v>567282</v>
      </c>
      <c r="E34" s="457"/>
      <c r="F34" s="458">
        <v>149500</v>
      </c>
      <c r="G34" s="458"/>
      <c r="H34" s="458">
        <v>150716</v>
      </c>
      <c r="I34" s="458"/>
      <c r="J34" s="458">
        <v>16000</v>
      </c>
      <c r="K34" s="458"/>
      <c r="L34" s="458">
        <v>56527</v>
      </c>
      <c r="M34" s="458"/>
      <c r="N34" s="458">
        <v>60025</v>
      </c>
      <c r="O34" s="458"/>
      <c r="P34" s="458"/>
      <c r="Q34" s="463"/>
      <c r="R34" s="463"/>
      <c r="S34" s="460"/>
      <c r="T34" s="458">
        <f>SUM(C34:P34)</f>
        <v>1000050</v>
      </c>
      <c r="U34" s="459"/>
      <c r="V34" s="430"/>
    </row>
    <row r="35" spans="1:23" s="431" customFormat="1" x14ac:dyDescent="0.3">
      <c r="A35" s="453"/>
      <c r="B35" s="450" t="s">
        <v>284</v>
      </c>
      <c r="C35" s="460"/>
      <c r="D35" s="458">
        <f>D38*D34</f>
        <v>205057.97730899998</v>
      </c>
      <c r="E35" s="457"/>
      <c r="F35" s="458">
        <f>F38*F34</f>
        <v>54040.751700000001</v>
      </c>
      <c r="G35" s="458"/>
      <c r="H35" s="458">
        <f>H38*H34</f>
        <v>54480.307245599994</v>
      </c>
      <c r="I35" s="458"/>
      <c r="J35" s="458">
        <f>J34*J38</f>
        <v>13717.142400000001</v>
      </c>
      <c r="K35" s="458"/>
      <c r="L35" s="458">
        <f>L34*L38</f>
        <v>48461.806777800004</v>
      </c>
      <c r="M35" s="458"/>
      <c r="N35" s="458">
        <f>N34*N38</f>
        <v>51460.717035000001</v>
      </c>
      <c r="O35" s="458"/>
      <c r="P35" s="458"/>
      <c r="Q35" s="458"/>
      <c r="R35" s="458"/>
      <c r="S35" s="457"/>
      <c r="T35" s="458">
        <f>SUM(C35:P35)+1</f>
        <v>427219.7024674</v>
      </c>
      <c r="U35" s="459"/>
      <c r="V35" s="430"/>
    </row>
    <row r="36" spans="1:23" s="431" customFormat="1" x14ac:dyDescent="0.3">
      <c r="A36" s="453"/>
      <c r="B36" s="455" t="s">
        <v>285</v>
      </c>
      <c r="C36" s="460"/>
      <c r="D36" s="463">
        <f>D37*D34</f>
        <v>200926.8028722</v>
      </c>
      <c r="E36" s="460"/>
      <c r="F36" s="463">
        <f>F37*F34</f>
        <v>52952.032900000006</v>
      </c>
      <c r="G36" s="463"/>
      <c r="H36" s="463">
        <f>H37*H34</f>
        <v>53382.733047200003</v>
      </c>
      <c r="I36" s="463"/>
      <c r="J36" s="463">
        <f>J37*J34</f>
        <v>13440.793599999999</v>
      </c>
      <c r="K36" s="463"/>
      <c r="L36" s="463">
        <f>L37*L34</f>
        <v>47485.483739199997</v>
      </c>
      <c r="M36" s="463"/>
      <c r="N36" s="463">
        <f>N37*N34</f>
        <v>50423.97724</v>
      </c>
      <c r="O36" s="463"/>
      <c r="P36" s="463"/>
      <c r="Q36" s="467"/>
      <c r="R36" s="467"/>
      <c r="S36" s="457"/>
      <c r="T36" s="463">
        <f>SUM(C36:P36)+1</f>
        <v>418612.82339859998</v>
      </c>
      <c r="U36" s="459"/>
      <c r="V36" s="430"/>
    </row>
    <row r="37" spans="1:23" x14ac:dyDescent="0.3">
      <c r="A37" s="468"/>
      <c r="B37" s="469" t="s">
        <v>136</v>
      </c>
      <c r="C37" s="470"/>
      <c r="D37" s="471">
        <v>0.35419210000000001</v>
      </c>
      <c r="E37" s="472"/>
      <c r="F37" s="471">
        <v>0.35419420000000001</v>
      </c>
      <c r="G37" s="473"/>
      <c r="H37" s="471">
        <v>0.35419420000000001</v>
      </c>
      <c r="I37" s="473"/>
      <c r="J37" s="471">
        <v>0.84004959999999995</v>
      </c>
      <c r="K37" s="473"/>
      <c r="L37" s="471">
        <v>0.84004959999999995</v>
      </c>
      <c r="M37" s="473"/>
      <c r="N37" s="471">
        <v>0.84004959999999995</v>
      </c>
      <c r="O37" s="474"/>
      <c r="P37" s="474"/>
      <c r="Q37" s="475"/>
      <c r="R37" s="475"/>
      <c r="S37" s="470"/>
      <c r="T37" s="470"/>
      <c r="U37" s="476"/>
      <c r="V37" s="416"/>
      <c r="W37" s="477"/>
    </row>
    <row r="38" spans="1:23" x14ac:dyDescent="0.3">
      <c r="A38" s="468"/>
      <c r="B38" s="470" t="s">
        <v>137</v>
      </c>
      <c r="C38" s="470"/>
      <c r="D38" s="478">
        <v>0.36147449999999998</v>
      </c>
      <c r="E38" s="479"/>
      <c r="F38" s="478">
        <v>0.36147659999999998</v>
      </c>
      <c r="G38" s="480"/>
      <c r="H38" s="478">
        <v>0.36147659999999998</v>
      </c>
      <c r="I38" s="480"/>
      <c r="J38" s="478">
        <v>0.85732140000000001</v>
      </c>
      <c r="K38" s="480"/>
      <c r="L38" s="478">
        <v>0.85732140000000001</v>
      </c>
      <c r="M38" s="480"/>
      <c r="N38" s="478">
        <v>0.85732140000000001</v>
      </c>
      <c r="O38" s="474"/>
      <c r="P38" s="474"/>
      <c r="Q38" s="481"/>
      <c r="R38" s="482"/>
      <c r="S38" s="470"/>
      <c r="T38" s="481"/>
      <c r="U38" s="476"/>
      <c r="V38" s="416"/>
    </row>
    <row r="39" spans="1:23" s="431" customFormat="1" x14ac:dyDescent="0.3">
      <c r="A39" s="449"/>
      <c r="B39" s="450" t="s">
        <v>11</v>
      </c>
      <c r="C39" s="450"/>
      <c r="D39" s="456" t="s">
        <v>275</v>
      </c>
      <c r="E39" s="450"/>
      <c r="F39" s="456" t="s">
        <v>232</v>
      </c>
      <c r="G39" s="456"/>
      <c r="H39" s="456" t="s">
        <v>232</v>
      </c>
      <c r="I39" s="456"/>
      <c r="J39" s="456" t="s">
        <v>234</v>
      </c>
      <c r="K39" s="456"/>
      <c r="L39" s="456" t="s">
        <v>234</v>
      </c>
      <c r="M39" s="456"/>
      <c r="N39" s="456" t="s">
        <v>235</v>
      </c>
      <c r="O39" s="456"/>
      <c r="P39" s="456"/>
      <c r="Q39" s="483"/>
      <c r="R39" s="484"/>
      <c r="S39" s="450"/>
      <c r="T39" s="450"/>
      <c r="U39" s="452"/>
      <c r="V39" s="430"/>
    </row>
    <row r="40" spans="1:23" s="431" customFormat="1" x14ac:dyDescent="0.3">
      <c r="A40" s="449"/>
      <c r="B40" s="450" t="s">
        <v>12</v>
      </c>
      <c r="C40" s="450"/>
      <c r="D40" s="484">
        <v>4.7875000000000001E-3</v>
      </c>
      <c r="E40" s="450"/>
      <c r="F40" s="484">
        <v>6.1875000000000003E-3</v>
      </c>
      <c r="G40" s="483"/>
      <c r="H40" s="484">
        <v>0</v>
      </c>
      <c r="I40" s="483"/>
      <c r="J40" s="484">
        <v>8.5874999999999996E-3</v>
      </c>
      <c r="K40" s="483"/>
      <c r="L40" s="484">
        <v>1.5100000000000001E-3</v>
      </c>
      <c r="M40" s="483"/>
      <c r="N40" s="484">
        <v>5.7099999999999998E-3</v>
      </c>
      <c r="O40" s="483"/>
      <c r="P40" s="484"/>
      <c r="Q40" s="483"/>
      <c r="R40" s="484"/>
      <c r="S40" s="450"/>
      <c r="T40" s="456"/>
      <c r="U40" s="452"/>
      <c r="V40" s="430"/>
    </row>
    <row r="41" spans="1:23" s="431" customFormat="1" x14ac:dyDescent="0.3">
      <c r="A41" s="449"/>
      <c r="B41" s="450" t="s">
        <v>13</v>
      </c>
      <c r="C41" s="450"/>
      <c r="D41" s="484">
        <v>3.9468999999999997E-3</v>
      </c>
      <c r="E41" s="450"/>
      <c r="F41" s="484">
        <v>5.3468999999999999E-3</v>
      </c>
      <c r="G41" s="483"/>
      <c r="H41" s="484">
        <v>0</v>
      </c>
      <c r="I41" s="483"/>
      <c r="J41" s="484">
        <v>7.7469000000000001E-3</v>
      </c>
      <c r="K41" s="483"/>
      <c r="L41" s="484">
        <v>1.49E-3</v>
      </c>
      <c r="M41" s="483"/>
      <c r="N41" s="484">
        <v>5.6899999999999997E-3</v>
      </c>
      <c r="O41" s="483"/>
      <c r="P41" s="484"/>
      <c r="Q41" s="483"/>
      <c r="R41" s="484"/>
      <c r="S41" s="450"/>
      <c r="T41" s="483" t="s">
        <v>201</v>
      </c>
      <c r="U41" s="452"/>
      <c r="V41" s="430"/>
    </row>
    <row r="42" spans="1:23" s="431" customFormat="1" x14ac:dyDescent="0.3">
      <c r="A42" s="449"/>
      <c r="B42" s="450" t="s">
        <v>286</v>
      </c>
      <c r="C42" s="450"/>
      <c r="D42" s="456" t="s">
        <v>275</v>
      </c>
      <c r="E42" s="450"/>
      <c r="F42" s="456" t="s">
        <v>232</v>
      </c>
      <c r="G42" s="456"/>
      <c r="H42" s="456" t="s">
        <v>232</v>
      </c>
      <c r="I42" s="456"/>
      <c r="J42" s="456" t="s">
        <v>234</v>
      </c>
      <c r="K42" s="456"/>
      <c r="L42" s="456" t="s">
        <v>245</v>
      </c>
      <c r="M42" s="456"/>
      <c r="N42" s="456" t="s">
        <v>247</v>
      </c>
      <c r="O42" s="456"/>
      <c r="P42" s="456"/>
      <c r="Q42" s="483"/>
      <c r="R42" s="484"/>
      <c r="S42" s="450"/>
      <c r="T42" s="450"/>
      <c r="U42" s="452"/>
      <c r="V42" s="430"/>
    </row>
    <row r="43" spans="1:23" s="431" customFormat="1" x14ac:dyDescent="0.3">
      <c r="A43" s="449"/>
      <c r="B43" s="450" t="s">
        <v>287</v>
      </c>
      <c r="C43" s="485"/>
      <c r="D43" s="484">
        <f>+D40</f>
        <v>4.7875000000000001E-3</v>
      </c>
      <c r="E43" s="484"/>
      <c r="F43" s="484">
        <f>+F40</f>
        <v>6.1875000000000003E-3</v>
      </c>
      <c r="G43" s="484"/>
      <c r="H43" s="484">
        <v>6.1834999999999998E-3</v>
      </c>
      <c r="I43" s="484"/>
      <c r="J43" s="484">
        <f>+J40</f>
        <v>8.5874999999999996E-3</v>
      </c>
      <c r="K43" s="484"/>
      <c r="L43" s="484">
        <v>8.8935000000000004E-3</v>
      </c>
      <c r="M43" s="484"/>
      <c r="N43" s="484">
        <v>1.35975E-2</v>
      </c>
      <c r="O43" s="483"/>
      <c r="P43" s="484"/>
      <c r="Q43" s="456"/>
      <c r="R43" s="456"/>
      <c r="S43" s="450"/>
      <c r="T43" s="483">
        <f>SUMPRODUCT(D43:N43,D35:N35)/T35</f>
        <v>6.7915859671919916E-3</v>
      </c>
      <c r="U43" s="452"/>
      <c r="V43" s="430"/>
    </row>
    <row r="44" spans="1:23" s="431" customFormat="1" x14ac:dyDescent="0.3">
      <c r="A44" s="449"/>
      <c r="B44" s="450" t="s">
        <v>288</v>
      </c>
      <c r="C44" s="485"/>
      <c r="D44" s="484">
        <f>+D41</f>
        <v>3.9468999999999997E-3</v>
      </c>
      <c r="E44" s="484"/>
      <c r="F44" s="484">
        <f>+F41</f>
        <v>5.3468999999999999E-3</v>
      </c>
      <c r="G44" s="484"/>
      <c r="H44" s="484">
        <v>5.3429000000000003E-3</v>
      </c>
      <c r="I44" s="484"/>
      <c r="J44" s="484">
        <f>+J41</f>
        <v>7.7469000000000001E-3</v>
      </c>
      <c r="K44" s="484"/>
      <c r="L44" s="484">
        <v>8.0529E-3</v>
      </c>
      <c r="M44" s="484"/>
      <c r="N44" s="484">
        <v>1.27569E-2</v>
      </c>
      <c r="O44" s="483"/>
      <c r="P44" s="484"/>
      <c r="Q44" s="456"/>
      <c r="R44" s="456"/>
      <c r="S44" s="450"/>
      <c r="T44" s="450"/>
      <c r="U44" s="452"/>
      <c r="V44" s="430"/>
    </row>
    <row r="45" spans="1:23" s="431" customFormat="1" x14ac:dyDescent="0.3">
      <c r="A45" s="449"/>
      <c r="B45" s="450" t="s">
        <v>14</v>
      </c>
      <c r="C45" s="450"/>
      <c r="D45" s="485">
        <v>40283</v>
      </c>
      <c r="E45" s="485"/>
      <c r="F45" s="485">
        <v>40283</v>
      </c>
      <c r="G45" s="485"/>
      <c r="H45" s="485">
        <v>40283</v>
      </c>
      <c r="I45" s="485"/>
      <c r="J45" s="485">
        <v>40283</v>
      </c>
      <c r="K45" s="485"/>
      <c r="L45" s="485">
        <v>40283</v>
      </c>
      <c r="M45" s="485"/>
      <c r="N45" s="485">
        <v>40283</v>
      </c>
      <c r="O45" s="485"/>
      <c r="P45" s="485"/>
      <c r="Q45" s="456"/>
      <c r="R45" s="456"/>
      <c r="S45" s="450"/>
      <c r="T45" s="450"/>
      <c r="U45" s="452"/>
      <c r="V45" s="430"/>
    </row>
    <row r="46" spans="1:23" s="431" customFormat="1" x14ac:dyDescent="0.3">
      <c r="A46" s="449"/>
      <c r="B46" s="450" t="s">
        <v>15</v>
      </c>
      <c r="C46" s="450"/>
      <c r="D46" s="485">
        <v>40648</v>
      </c>
      <c r="E46" s="485"/>
      <c r="F46" s="485">
        <v>40648</v>
      </c>
      <c r="G46" s="485"/>
      <c r="H46" s="485">
        <v>40648</v>
      </c>
      <c r="I46" s="456"/>
      <c r="J46" s="485">
        <v>40648</v>
      </c>
      <c r="K46" s="456"/>
      <c r="L46" s="485">
        <v>40648</v>
      </c>
      <c r="M46" s="456"/>
      <c r="N46" s="485">
        <v>40648</v>
      </c>
      <c r="O46" s="456"/>
      <c r="P46" s="485"/>
      <c r="Q46" s="456"/>
      <c r="R46" s="456"/>
      <c r="S46" s="450"/>
      <c r="T46" s="450"/>
      <c r="U46" s="452"/>
      <c r="V46" s="430"/>
    </row>
    <row r="47" spans="1:23" s="431" customFormat="1" x14ac:dyDescent="0.3">
      <c r="A47" s="449"/>
      <c r="B47" s="450" t="s">
        <v>125</v>
      </c>
      <c r="C47" s="450"/>
      <c r="D47" s="456" t="s">
        <v>124</v>
      </c>
      <c r="E47" s="450"/>
      <c r="F47" s="456" t="s">
        <v>232</v>
      </c>
      <c r="G47" s="456"/>
      <c r="H47" s="456" t="s">
        <v>232</v>
      </c>
      <c r="I47" s="456"/>
      <c r="J47" s="456" t="s">
        <v>234</v>
      </c>
      <c r="K47" s="456"/>
      <c r="L47" s="456" t="s">
        <v>234</v>
      </c>
      <c r="M47" s="456"/>
      <c r="N47" s="456" t="s">
        <v>235</v>
      </c>
      <c r="O47" s="456"/>
      <c r="P47" s="456"/>
      <c r="Q47" s="486"/>
      <c r="R47" s="486"/>
      <c r="S47" s="486"/>
      <c r="T47" s="486"/>
      <c r="U47" s="452"/>
      <c r="V47" s="430"/>
    </row>
    <row r="48" spans="1:23" s="431" customFormat="1" x14ac:dyDescent="0.3">
      <c r="A48" s="449"/>
      <c r="B48" s="450" t="s">
        <v>289</v>
      </c>
      <c r="C48" s="450"/>
      <c r="D48" s="456" t="s">
        <v>124</v>
      </c>
      <c r="E48" s="450"/>
      <c r="F48" s="456" t="s">
        <v>232</v>
      </c>
      <c r="G48" s="456"/>
      <c r="H48" s="456" t="s">
        <v>232</v>
      </c>
      <c r="I48" s="456"/>
      <c r="J48" s="456" t="s">
        <v>234</v>
      </c>
      <c r="K48" s="456"/>
      <c r="L48" s="456" t="s">
        <v>245</v>
      </c>
      <c r="M48" s="456"/>
      <c r="N48" s="456" t="s">
        <v>247</v>
      </c>
      <c r="O48" s="456"/>
      <c r="P48" s="456"/>
      <c r="Q48" s="450"/>
      <c r="R48" s="450"/>
      <c r="S48" s="450"/>
      <c r="T48" s="483"/>
      <c r="U48" s="452"/>
      <c r="V48" s="430"/>
    </row>
    <row r="49" spans="1:23" s="431" customFormat="1" x14ac:dyDescent="0.3">
      <c r="A49" s="449"/>
      <c r="B49" s="450"/>
      <c r="C49" s="450"/>
      <c r="D49" s="456"/>
      <c r="E49" s="450"/>
      <c r="F49" s="456"/>
      <c r="G49" s="456"/>
      <c r="H49" s="456"/>
      <c r="I49" s="456"/>
      <c r="J49" s="456"/>
      <c r="K49" s="456"/>
      <c r="L49" s="456"/>
      <c r="M49" s="456"/>
      <c r="N49" s="456"/>
      <c r="O49" s="456"/>
      <c r="P49" s="456"/>
      <c r="Q49" s="450"/>
      <c r="R49" s="450"/>
      <c r="S49" s="450"/>
      <c r="T49" s="483" t="s">
        <v>201</v>
      </c>
      <c r="U49" s="452"/>
      <c r="V49" s="430"/>
    </row>
    <row r="50" spans="1:23" s="431" customFormat="1" x14ac:dyDescent="0.3">
      <c r="A50" s="449"/>
      <c r="B50" s="450" t="s">
        <v>176</v>
      </c>
      <c r="C50" s="450"/>
      <c r="D50" s="456"/>
      <c r="E50" s="450"/>
      <c r="F50" s="456"/>
      <c r="G50" s="456"/>
      <c r="H50" s="456"/>
      <c r="I50" s="456"/>
      <c r="J50" s="456"/>
      <c r="K50" s="456"/>
      <c r="L50" s="456"/>
      <c r="M50" s="456"/>
      <c r="N50" s="456"/>
      <c r="O50" s="456"/>
      <c r="P50" s="456"/>
      <c r="Q50" s="450"/>
      <c r="R50" s="450"/>
      <c r="S50" s="450"/>
      <c r="T50" s="483">
        <f>SUM(J34:P34)/SUM(D34:H34)</f>
        <v>0.15279804679664968</v>
      </c>
      <c r="U50" s="452"/>
      <c r="V50" s="430"/>
    </row>
    <row r="51" spans="1:23" s="431" customFormat="1" x14ac:dyDescent="0.3">
      <c r="A51" s="449"/>
      <c r="B51" s="450" t="s">
        <v>177</v>
      </c>
      <c r="C51" s="450"/>
      <c r="D51" s="450"/>
      <c r="E51" s="450"/>
      <c r="F51" s="487"/>
      <c r="G51" s="450"/>
      <c r="H51" s="450"/>
      <c r="I51" s="450"/>
      <c r="J51" s="450"/>
      <c r="K51" s="450"/>
      <c r="L51" s="450"/>
      <c r="M51" s="450"/>
      <c r="N51" s="450"/>
      <c r="O51" s="450"/>
      <c r="P51" s="450"/>
      <c r="Q51" s="450"/>
      <c r="R51" s="450"/>
      <c r="S51" s="450"/>
      <c r="T51" s="483">
        <f>SUM(J36:P36)/SUM(D36:H36)</f>
        <v>0.36239564553108378</v>
      </c>
      <c r="U51" s="452"/>
      <c r="V51" s="430"/>
    </row>
    <row r="52" spans="1:23" s="431" customFormat="1" x14ac:dyDescent="0.3">
      <c r="A52" s="449"/>
      <c r="B52" s="450" t="s">
        <v>178</v>
      </c>
      <c r="C52" s="450"/>
      <c r="D52" s="450"/>
      <c r="E52" s="450"/>
      <c r="F52" s="450"/>
      <c r="G52" s="450"/>
      <c r="H52" s="450"/>
      <c r="I52" s="450"/>
      <c r="J52" s="450"/>
      <c r="K52" s="450"/>
      <c r="L52" s="450"/>
      <c r="M52" s="450"/>
      <c r="N52" s="450"/>
      <c r="O52" s="450"/>
      <c r="P52" s="450"/>
      <c r="Q52" s="450"/>
      <c r="R52" s="456" t="s">
        <v>109</v>
      </c>
      <c r="S52" s="456" t="s">
        <v>115</v>
      </c>
      <c r="T52" s="458">
        <f>+T34/2-SUM(J34:P34)</f>
        <v>367473</v>
      </c>
      <c r="U52" s="452"/>
      <c r="V52" s="430"/>
    </row>
    <row r="53" spans="1:23" s="431" customFormat="1" x14ac:dyDescent="0.3">
      <c r="A53" s="449"/>
      <c r="B53" s="450"/>
      <c r="C53" s="450"/>
      <c r="D53" s="450"/>
      <c r="E53" s="450"/>
      <c r="F53" s="450"/>
      <c r="G53" s="450"/>
      <c r="H53" s="450"/>
      <c r="I53" s="450"/>
      <c r="J53" s="450"/>
      <c r="K53" s="450"/>
      <c r="L53" s="450"/>
      <c r="M53" s="450"/>
      <c r="N53" s="450"/>
      <c r="O53" s="450"/>
      <c r="P53" s="450"/>
      <c r="Q53" s="450"/>
      <c r="R53" s="450"/>
      <c r="S53" s="450"/>
      <c r="T53" s="488"/>
      <c r="U53" s="452"/>
      <c r="V53" s="430"/>
    </row>
    <row r="54" spans="1:23" s="431" customFormat="1" x14ac:dyDescent="0.3">
      <c r="A54" s="449"/>
      <c r="B54" s="450" t="s">
        <v>342</v>
      </c>
      <c r="C54" s="450"/>
      <c r="D54" s="450"/>
      <c r="E54" s="450"/>
      <c r="F54" s="450"/>
      <c r="G54" s="450"/>
      <c r="H54" s="450"/>
      <c r="I54" s="450"/>
      <c r="J54" s="450"/>
      <c r="K54" s="450"/>
      <c r="L54" s="450"/>
      <c r="M54" s="450"/>
      <c r="N54" s="450"/>
      <c r="O54" s="450"/>
      <c r="P54" s="450"/>
      <c r="Q54" s="450"/>
      <c r="R54" s="456"/>
      <c r="S54" s="456"/>
      <c r="T54" s="489" t="s">
        <v>117</v>
      </c>
      <c r="U54" s="452"/>
      <c r="V54" s="430"/>
    </row>
    <row r="55" spans="1:23" s="431" customFormat="1" x14ac:dyDescent="0.3">
      <c r="A55" s="449"/>
      <c r="B55" s="455" t="s">
        <v>210</v>
      </c>
      <c r="C55" s="455"/>
      <c r="D55" s="455"/>
      <c r="E55" s="455"/>
      <c r="F55" s="455"/>
      <c r="G55" s="455"/>
      <c r="H55" s="455"/>
      <c r="I55" s="455"/>
      <c r="J55" s="455"/>
      <c r="K55" s="455"/>
      <c r="L55" s="455"/>
      <c r="M55" s="455"/>
      <c r="N55" s="455"/>
      <c r="O55" s="455"/>
      <c r="P55" s="455"/>
      <c r="Q55" s="455"/>
      <c r="R55" s="490"/>
      <c r="S55" s="490"/>
      <c r="T55" s="491">
        <v>43116</v>
      </c>
      <c r="U55" s="452"/>
      <c r="V55" s="430"/>
    </row>
    <row r="56" spans="1:23" s="431" customFormat="1" x14ac:dyDescent="0.3">
      <c r="A56" s="449"/>
      <c r="B56" s="450" t="s">
        <v>127</v>
      </c>
      <c r="C56" s="450"/>
      <c r="D56" s="450"/>
      <c r="E56" s="450"/>
      <c r="F56" s="450"/>
      <c r="G56" s="450"/>
      <c r="H56" s="492"/>
      <c r="I56" s="492"/>
      <c r="J56" s="492"/>
      <c r="K56" s="492"/>
      <c r="L56" s="492"/>
      <c r="M56" s="492"/>
      <c r="N56" s="492"/>
      <c r="O56" s="492"/>
      <c r="P56" s="450">
        <f>+T56-R56+1</f>
        <v>91</v>
      </c>
      <c r="Q56" s="492"/>
      <c r="R56" s="493">
        <v>42933</v>
      </c>
      <c r="S56" s="494"/>
      <c r="T56" s="493">
        <v>43023</v>
      </c>
      <c r="U56" s="452"/>
      <c r="V56" s="430"/>
    </row>
    <row r="57" spans="1:23" s="431" customFormat="1" x14ac:dyDescent="0.3">
      <c r="A57" s="449"/>
      <c r="B57" s="450" t="s">
        <v>128</v>
      </c>
      <c r="C57" s="450"/>
      <c r="D57" s="450"/>
      <c r="E57" s="450"/>
      <c r="F57" s="450"/>
      <c r="G57" s="450"/>
      <c r="H57" s="450"/>
      <c r="I57" s="450"/>
      <c r="J57" s="450"/>
      <c r="K57" s="450"/>
      <c r="L57" s="450"/>
      <c r="M57" s="450"/>
      <c r="N57" s="450"/>
      <c r="O57" s="450"/>
      <c r="P57" s="450">
        <f>+T57-R57+1</f>
        <v>92</v>
      </c>
      <c r="Q57" s="450"/>
      <c r="R57" s="493">
        <v>43024</v>
      </c>
      <c r="S57" s="494"/>
      <c r="T57" s="493">
        <v>43115</v>
      </c>
      <c r="U57" s="452"/>
      <c r="V57" s="430"/>
    </row>
    <row r="58" spans="1:23" s="431" customFormat="1" x14ac:dyDescent="0.3">
      <c r="A58" s="449"/>
      <c r="B58" s="450" t="s">
        <v>344</v>
      </c>
      <c r="C58" s="450"/>
      <c r="D58" s="450"/>
      <c r="E58" s="450"/>
      <c r="F58" s="450"/>
      <c r="G58" s="450"/>
      <c r="H58" s="450"/>
      <c r="I58" s="450"/>
      <c r="J58" s="450"/>
      <c r="K58" s="450"/>
      <c r="L58" s="450"/>
      <c r="M58" s="450"/>
      <c r="N58" s="450"/>
      <c r="O58" s="450"/>
      <c r="P58" s="450"/>
      <c r="Q58" s="450"/>
      <c r="R58" s="493"/>
      <c r="S58" s="494"/>
      <c r="T58" s="493" t="s">
        <v>126</v>
      </c>
      <c r="U58" s="452"/>
      <c r="V58" s="430"/>
    </row>
    <row r="59" spans="1:23" s="431" customFormat="1" x14ac:dyDescent="0.3">
      <c r="A59" s="449"/>
      <c r="B59" s="450" t="s">
        <v>343</v>
      </c>
      <c r="C59" s="450"/>
      <c r="D59" s="450"/>
      <c r="E59" s="450"/>
      <c r="F59" s="450"/>
      <c r="G59" s="450"/>
      <c r="H59" s="450"/>
      <c r="I59" s="450"/>
      <c r="J59" s="450"/>
      <c r="K59" s="450"/>
      <c r="L59" s="450"/>
      <c r="M59" s="450"/>
      <c r="N59" s="450"/>
      <c r="O59" s="450"/>
      <c r="P59" s="450"/>
      <c r="Q59" s="450"/>
      <c r="R59" s="493"/>
      <c r="S59" s="494"/>
      <c r="T59" s="493" t="s">
        <v>160</v>
      </c>
      <c r="U59" s="452"/>
      <c r="V59" s="430"/>
      <c r="W59" s="495"/>
    </row>
    <row r="60" spans="1:23" s="431" customFormat="1" x14ac:dyDescent="0.3">
      <c r="A60" s="449"/>
      <c r="B60" s="450" t="s">
        <v>16</v>
      </c>
      <c r="C60" s="450"/>
      <c r="D60" s="450"/>
      <c r="E60" s="450"/>
      <c r="F60" s="450"/>
      <c r="G60" s="450"/>
      <c r="H60" s="450"/>
      <c r="I60" s="450"/>
      <c r="J60" s="450"/>
      <c r="K60" s="450"/>
      <c r="L60" s="450"/>
      <c r="M60" s="450"/>
      <c r="N60" s="450"/>
      <c r="O60" s="450"/>
      <c r="P60" s="450"/>
      <c r="Q60" s="450"/>
      <c r="R60" s="493"/>
      <c r="S60" s="494"/>
      <c r="T60" s="493">
        <v>43102</v>
      </c>
      <c r="U60" s="452"/>
      <c r="V60" s="430"/>
    </row>
    <row r="61" spans="1:23" s="431" customFormat="1" x14ac:dyDescent="0.3">
      <c r="A61" s="432"/>
      <c r="B61" s="447"/>
      <c r="C61" s="447"/>
      <c r="D61" s="447"/>
      <c r="E61" s="447"/>
      <c r="F61" s="447"/>
      <c r="G61" s="447"/>
      <c r="H61" s="447"/>
      <c r="I61" s="447"/>
      <c r="J61" s="447"/>
      <c r="K61" s="447"/>
      <c r="L61" s="447"/>
      <c r="M61" s="447"/>
      <c r="N61" s="447"/>
      <c r="O61" s="447"/>
      <c r="P61" s="447"/>
      <c r="Q61" s="447"/>
      <c r="R61" s="496"/>
      <c r="S61" s="497"/>
      <c r="T61" s="496"/>
      <c r="U61" s="641"/>
      <c r="V61" s="430"/>
    </row>
    <row r="62" spans="1:23" s="431" customFormat="1" x14ac:dyDescent="0.3">
      <c r="A62" s="432"/>
      <c r="B62" s="433"/>
      <c r="C62" s="433"/>
      <c r="D62" s="433"/>
      <c r="E62" s="433"/>
      <c r="F62" s="433"/>
      <c r="G62" s="433"/>
      <c r="H62" s="433"/>
      <c r="I62" s="433"/>
      <c r="J62" s="433"/>
      <c r="K62" s="433"/>
      <c r="L62" s="433"/>
      <c r="M62" s="433"/>
      <c r="N62" s="433"/>
      <c r="O62" s="433"/>
      <c r="P62" s="433"/>
      <c r="Q62" s="433"/>
      <c r="R62" s="498"/>
      <c r="S62" s="499"/>
      <c r="T62" s="498"/>
      <c r="U62" s="641"/>
      <c r="V62" s="430"/>
    </row>
    <row r="63" spans="1:23" s="431" customFormat="1" ht="18.600000000000001" thickBot="1" x14ac:dyDescent="0.4">
      <c r="A63" s="500"/>
      <c r="B63" s="501" t="s">
        <v>360</v>
      </c>
      <c r="C63" s="502"/>
      <c r="D63" s="502"/>
      <c r="E63" s="502"/>
      <c r="F63" s="502"/>
      <c r="G63" s="502"/>
      <c r="H63" s="502"/>
      <c r="I63" s="502"/>
      <c r="J63" s="502"/>
      <c r="K63" s="502"/>
      <c r="L63" s="502"/>
      <c r="M63" s="502"/>
      <c r="N63" s="502"/>
      <c r="O63" s="502"/>
      <c r="P63" s="502"/>
      <c r="Q63" s="502"/>
      <c r="R63" s="502"/>
      <c r="S63" s="502"/>
      <c r="T63" s="503"/>
      <c r="U63" s="504"/>
      <c r="V63" s="430"/>
    </row>
    <row r="64" spans="1:23" x14ac:dyDescent="0.3">
      <c r="A64" s="505"/>
      <c r="B64" s="506" t="s">
        <v>17</v>
      </c>
      <c r="C64" s="507"/>
      <c r="D64" s="507"/>
      <c r="E64" s="507"/>
      <c r="F64" s="507"/>
      <c r="G64" s="507"/>
      <c r="H64" s="507"/>
      <c r="I64" s="507"/>
      <c r="J64" s="507"/>
      <c r="K64" s="507"/>
      <c r="L64" s="507"/>
      <c r="M64" s="507"/>
      <c r="N64" s="507"/>
      <c r="O64" s="507"/>
      <c r="P64" s="507"/>
      <c r="Q64" s="507"/>
      <c r="R64" s="507"/>
      <c r="S64" s="507"/>
      <c r="T64" s="508"/>
      <c r="U64" s="509"/>
      <c r="V64" s="416"/>
    </row>
    <row r="65" spans="1:22" x14ac:dyDescent="0.3">
      <c r="A65" s="418"/>
      <c r="B65" s="427"/>
      <c r="C65" s="420"/>
      <c r="D65" s="420"/>
      <c r="E65" s="420"/>
      <c r="F65" s="420"/>
      <c r="G65" s="420"/>
      <c r="H65" s="420"/>
      <c r="I65" s="420"/>
      <c r="J65" s="420"/>
      <c r="K65" s="420"/>
      <c r="L65" s="420"/>
      <c r="M65" s="420"/>
      <c r="N65" s="420"/>
      <c r="O65" s="420"/>
      <c r="P65" s="420"/>
      <c r="Q65" s="420"/>
      <c r="R65" s="420"/>
      <c r="S65" s="420"/>
      <c r="T65" s="510"/>
      <c r="U65" s="639"/>
      <c r="V65" s="416"/>
    </row>
    <row r="66" spans="1:22" ht="46.8" x14ac:dyDescent="0.3">
      <c r="A66" s="418"/>
      <c r="B66" s="511" t="s">
        <v>18</v>
      </c>
      <c r="C66" s="512"/>
      <c r="D66" s="512"/>
      <c r="E66" s="512"/>
      <c r="F66" s="512"/>
      <c r="G66" s="512"/>
      <c r="H66" s="512"/>
      <c r="I66" s="512"/>
      <c r="J66" s="512" t="s">
        <v>97</v>
      </c>
      <c r="K66" s="512"/>
      <c r="L66" s="512" t="s">
        <v>99</v>
      </c>
      <c r="M66" s="512"/>
      <c r="N66" s="512" t="s">
        <v>101</v>
      </c>
      <c r="O66" s="512"/>
      <c r="P66" s="512" t="s">
        <v>103</v>
      </c>
      <c r="Q66" s="512"/>
      <c r="R66" s="512" t="s">
        <v>110</v>
      </c>
      <c r="S66" s="512"/>
      <c r="T66" s="513" t="s">
        <v>118</v>
      </c>
      <c r="U66" s="642"/>
      <c r="V66" s="416"/>
    </row>
    <row r="67" spans="1:22" s="431" customFormat="1" x14ac:dyDescent="0.3">
      <c r="A67" s="449"/>
      <c r="B67" s="450" t="s">
        <v>19</v>
      </c>
      <c r="C67" s="514"/>
      <c r="D67" s="514"/>
      <c r="E67" s="514"/>
      <c r="F67" s="514"/>
      <c r="G67" s="514"/>
      <c r="H67" s="514"/>
      <c r="I67" s="514"/>
      <c r="J67" s="514">
        <v>1000039</v>
      </c>
      <c r="K67" s="514"/>
      <c r="L67" s="515">
        <v>427220</v>
      </c>
      <c r="M67" s="514"/>
      <c r="N67" s="514">
        <f>8607+62+49</f>
        <v>8718</v>
      </c>
      <c r="O67" s="514"/>
      <c r="P67" s="514">
        <f>62+49</f>
        <v>111</v>
      </c>
      <c r="Q67" s="514"/>
      <c r="R67" s="514">
        <v>0</v>
      </c>
      <c r="S67" s="514"/>
      <c r="T67" s="515">
        <f>+L67-N67+P67-R67</f>
        <v>418613</v>
      </c>
      <c r="U67" s="452"/>
      <c r="V67" s="430"/>
    </row>
    <row r="68" spans="1:22" s="431" customFormat="1" x14ac:dyDescent="0.3">
      <c r="A68" s="449"/>
      <c r="B68" s="450" t="s">
        <v>20</v>
      </c>
      <c r="C68" s="514"/>
      <c r="D68" s="514"/>
      <c r="E68" s="514"/>
      <c r="F68" s="514"/>
      <c r="G68" s="514"/>
      <c r="H68" s="514"/>
      <c r="I68" s="514"/>
      <c r="J68" s="514">
        <v>10</v>
      </c>
      <c r="K68" s="514"/>
      <c r="L68" s="515">
        <v>0</v>
      </c>
      <c r="M68" s="514"/>
      <c r="N68" s="514">
        <v>0</v>
      </c>
      <c r="O68" s="514"/>
      <c r="P68" s="514">
        <v>0</v>
      </c>
      <c r="Q68" s="514"/>
      <c r="R68" s="514">
        <v>0</v>
      </c>
      <c r="S68" s="514"/>
      <c r="T68" s="515">
        <v>0</v>
      </c>
      <c r="U68" s="452"/>
      <c r="V68" s="430"/>
    </row>
    <row r="69" spans="1:22" s="431" customFormat="1" x14ac:dyDescent="0.3">
      <c r="A69" s="449"/>
      <c r="B69" s="450"/>
      <c r="C69" s="514"/>
      <c r="D69" s="514"/>
      <c r="E69" s="514"/>
      <c r="F69" s="514"/>
      <c r="G69" s="514"/>
      <c r="H69" s="514"/>
      <c r="I69" s="514"/>
      <c r="J69" s="514"/>
      <c r="K69" s="514"/>
      <c r="L69" s="515"/>
      <c r="M69" s="514"/>
      <c r="N69" s="514"/>
      <c r="O69" s="514"/>
      <c r="P69" s="514"/>
      <c r="Q69" s="514"/>
      <c r="R69" s="514"/>
      <c r="S69" s="514"/>
      <c r="T69" s="515"/>
      <c r="U69" s="452"/>
      <c r="V69" s="430"/>
    </row>
    <row r="70" spans="1:22" s="431" customFormat="1" x14ac:dyDescent="0.3">
      <c r="A70" s="449"/>
      <c r="B70" s="450" t="s">
        <v>21</v>
      </c>
      <c r="C70" s="514"/>
      <c r="D70" s="514"/>
      <c r="E70" s="514"/>
      <c r="F70" s="514"/>
      <c r="G70" s="514"/>
      <c r="H70" s="514"/>
      <c r="I70" s="514"/>
      <c r="J70" s="514">
        <f>SUM(J67:J69)</f>
        <v>1000049</v>
      </c>
      <c r="K70" s="514"/>
      <c r="L70" s="514">
        <f>L67+L68</f>
        <v>427220</v>
      </c>
      <c r="M70" s="514"/>
      <c r="N70" s="514">
        <f>SUM(N67:N69)</f>
        <v>8718</v>
      </c>
      <c r="O70" s="514"/>
      <c r="P70" s="514">
        <f>SUM(P67:P69)</f>
        <v>111</v>
      </c>
      <c r="Q70" s="514"/>
      <c r="R70" s="514">
        <f>SUM(R67:R69)</f>
        <v>0</v>
      </c>
      <c r="S70" s="514"/>
      <c r="T70" s="514">
        <f>SUM(T67:T69)</f>
        <v>418613</v>
      </c>
      <c r="U70" s="452"/>
      <c r="V70" s="430"/>
    </row>
    <row r="71" spans="1:22" x14ac:dyDescent="0.3">
      <c r="A71" s="418"/>
      <c r="B71" s="516"/>
      <c r="C71" s="517"/>
      <c r="D71" s="517"/>
      <c r="E71" s="517"/>
      <c r="F71" s="517"/>
      <c r="G71" s="517"/>
      <c r="H71" s="517"/>
      <c r="I71" s="517"/>
      <c r="J71" s="517"/>
      <c r="K71" s="517"/>
      <c r="L71" s="517"/>
      <c r="M71" s="517"/>
      <c r="N71" s="517"/>
      <c r="O71" s="517"/>
      <c r="P71" s="517"/>
      <c r="Q71" s="517"/>
      <c r="R71" s="517"/>
      <c r="S71" s="517"/>
      <c r="T71" s="518"/>
      <c r="U71" s="639"/>
      <c r="V71" s="416"/>
    </row>
    <row r="72" spans="1:22" x14ac:dyDescent="0.3">
      <c r="A72" s="418"/>
      <c r="B72" s="422" t="s">
        <v>22</v>
      </c>
      <c r="C72" s="519"/>
      <c r="D72" s="519"/>
      <c r="E72" s="519"/>
      <c r="F72" s="519"/>
      <c r="G72" s="519"/>
      <c r="H72" s="519"/>
      <c r="I72" s="519"/>
      <c r="J72" s="519"/>
      <c r="K72" s="519"/>
      <c r="L72" s="519"/>
      <c r="M72" s="519"/>
      <c r="N72" s="519"/>
      <c r="O72" s="519"/>
      <c r="P72" s="519"/>
      <c r="Q72" s="519"/>
      <c r="R72" s="519"/>
      <c r="S72" s="519"/>
      <c r="T72" s="520"/>
      <c r="U72" s="639"/>
      <c r="V72" s="416"/>
    </row>
    <row r="73" spans="1:22" x14ac:dyDescent="0.3">
      <c r="A73" s="418"/>
      <c r="B73" s="420"/>
      <c r="C73" s="519"/>
      <c r="D73" s="519"/>
      <c r="E73" s="519"/>
      <c r="F73" s="519"/>
      <c r="G73" s="519"/>
      <c r="H73" s="519"/>
      <c r="I73" s="519"/>
      <c r="J73" s="519"/>
      <c r="K73" s="519"/>
      <c r="L73" s="519"/>
      <c r="M73" s="519"/>
      <c r="N73" s="519"/>
      <c r="O73" s="519"/>
      <c r="P73" s="519"/>
      <c r="Q73" s="519"/>
      <c r="R73" s="519"/>
      <c r="S73" s="519"/>
      <c r="T73" s="520"/>
      <c r="U73" s="639"/>
      <c r="V73" s="416"/>
    </row>
    <row r="74" spans="1:22" s="431" customFormat="1" x14ac:dyDescent="0.3">
      <c r="A74" s="449"/>
      <c r="B74" s="450" t="s">
        <v>19</v>
      </c>
      <c r="C74" s="514"/>
      <c r="D74" s="514"/>
      <c r="E74" s="514"/>
      <c r="F74" s="514"/>
      <c r="G74" s="514"/>
      <c r="H74" s="514"/>
      <c r="I74" s="514"/>
      <c r="J74" s="514"/>
      <c r="K74" s="514"/>
      <c r="L74" s="514"/>
      <c r="M74" s="514"/>
      <c r="N74" s="514"/>
      <c r="O74" s="514"/>
      <c r="P74" s="514"/>
      <c r="Q74" s="514"/>
      <c r="R74" s="514"/>
      <c r="S74" s="514"/>
      <c r="T74" s="514"/>
      <c r="U74" s="452"/>
      <c r="V74" s="430"/>
    </row>
    <row r="75" spans="1:22" s="431" customFormat="1" x14ac:dyDescent="0.3">
      <c r="A75" s="449"/>
      <c r="B75" s="450" t="s">
        <v>20</v>
      </c>
      <c r="C75" s="514"/>
      <c r="D75" s="514"/>
      <c r="E75" s="514"/>
      <c r="F75" s="514"/>
      <c r="G75" s="514"/>
      <c r="H75" s="514"/>
      <c r="I75" s="514"/>
      <c r="J75" s="514"/>
      <c r="K75" s="514"/>
      <c r="L75" s="514"/>
      <c r="M75" s="514"/>
      <c r="N75" s="514"/>
      <c r="O75" s="514"/>
      <c r="P75" s="514"/>
      <c r="Q75" s="514"/>
      <c r="R75" s="514"/>
      <c r="S75" s="514"/>
      <c r="T75" s="514"/>
      <c r="U75" s="452"/>
      <c r="V75" s="430"/>
    </row>
    <row r="76" spans="1:22" s="431" customFormat="1" x14ac:dyDescent="0.3">
      <c r="A76" s="449"/>
      <c r="B76" s="450"/>
      <c r="C76" s="514"/>
      <c r="D76" s="514"/>
      <c r="E76" s="514"/>
      <c r="F76" s="514"/>
      <c r="G76" s="514"/>
      <c r="H76" s="514"/>
      <c r="I76" s="514"/>
      <c r="J76" s="514"/>
      <c r="K76" s="514"/>
      <c r="L76" s="514"/>
      <c r="M76" s="514"/>
      <c r="N76" s="514"/>
      <c r="O76" s="514"/>
      <c r="P76" s="514"/>
      <c r="Q76" s="514"/>
      <c r="R76" s="514"/>
      <c r="S76" s="514"/>
      <c r="T76" s="514"/>
      <c r="U76" s="452"/>
      <c r="V76" s="430"/>
    </row>
    <row r="77" spans="1:22" s="431" customFormat="1" x14ac:dyDescent="0.3">
      <c r="A77" s="449"/>
      <c r="B77" s="450" t="s">
        <v>21</v>
      </c>
      <c r="C77" s="514"/>
      <c r="D77" s="514"/>
      <c r="E77" s="514"/>
      <c r="F77" s="514"/>
      <c r="G77" s="514"/>
      <c r="H77" s="514"/>
      <c r="I77" s="514"/>
      <c r="J77" s="514"/>
      <c r="K77" s="514"/>
      <c r="L77" s="514"/>
      <c r="M77" s="514"/>
      <c r="N77" s="514"/>
      <c r="O77" s="514"/>
      <c r="P77" s="514"/>
      <c r="Q77" s="514"/>
      <c r="R77" s="514"/>
      <c r="S77" s="514"/>
      <c r="T77" s="514"/>
      <c r="U77" s="452"/>
      <c r="V77" s="430"/>
    </row>
    <row r="78" spans="1:22" s="431" customFormat="1" x14ac:dyDescent="0.3">
      <c r="A78" s="449"/>
      <c r="B78" s="450"/>
      <c r="C78" s="514"/>
      <c r="D78" s="514"/>
      <c r="E78" s="514"/>
      <c r="F78" s="514"/>
      <c r="G78" s="514"/>
      <c r="H78" s="514"/>
      <c r="I78" s="514"/>
      <c r="J78" s="514"/>
      <c r="K78" s="514"/>
      <c r="L78" s="514"/>
      <c r="M78" s="514"/>
      <c r="N78" s="514"/>
      <c r="O78" s="514"/>
      <c r="P78" s="514"/>
      <c r="Q78" s="514"/>
      <c r="R78" s="514"/>
      <c r="S78" s="514"/>
      <c r="T78" s="514"/>
      <c r="U78" s="452"/>
      <c r="V78" s="430"/>
    </row>
    <row r="79" spans="1:22" s="431" customFormat="1" x14ac:dyDescent="0.3">
      <c r="A79" s="449"/>
      <c r="B79" s="450" t="s">
        <v>23</v>
      </c>
      <c r="C79" s="514"/>
      <c r="D79" s="514"/>
      <c r="E79" s="514"/>
      <c r="F79" s="514"/>
      <c r="G79" s="514"/>
      <c r="H79" s="514"/>
      <c r="I79" s="514"/>
      <c r="J79" s="514">
        <v>0</v>
      </c>
      <c r="K79" s="514"/>
      <c r="L79" s="514">
        <v>0</v>
      </c>
      <c r="M79" s="514"/>
      <c r="N79" s="514"/>
      <c r="O79" s="514"/>
      <c r="P79" s="514"/>
      <c r="Q79" s="514"/>
      <c r="R79" s="514"/>
      <c r="S79" s="514"/>
      <c r="T79" s="515">
        <v>0</v>
      </c>
      <c r="U79" s="452"/>
      <c r="V79" s="430"/>
    </row>
    <row r="80" spans="1:22" s="431" customFormat="1" x14ac:dyDescent="0.3">
      <c r="A80" s="449"/>
      <c r="B80" s="450" t="s">
        <v>123</v>
      </c>
      <c r="C80" s="514"/>
      <c r="D80" s="514"/>
      <c r="E80" s="514"/>
      <c r="F80" s="514"/>
      <c r="G80" s="514"/>
      <c r="H80" s="514"/>
      <c r="I80" s="514"/>
      <c r="J80" s="514">
        <v>0</v>
      </c>
      <c r="K80" s="514"/>
      <c r="L80" s="514">
        <v>0</v>
      </c>
      <c r="M80" s="514"/>
      <c r="N80" s="514"/>
      <c r="O80" s="514"/>
      <c r="P80" s="514"/>
      <c r="Q80" s="514"/>
      <c r="R80" s="514"/>
      <c r="S80" s="514"/>
      <c r="T80" s="514">
        <f>SUM(J80:P80)</f>
        <v>0</v>
      </c>
      <c r="U80" s="452"/>
      <c r="V80" s="430"/>
    </row>
    <row r="81" spans="1:22" s="431" customFormat="1" x14ac:dyDescent="0.3">
      <c r="A81" s="449"/>
      <c r="B81" s="450" t="s">
        <v>152</v>
      </c>
      <c r="C81" s="514"/>
      <c r="D81" s="514"/>
      <c r="E81" s="514"/>
      <c r="F81" s="514"/>
      <c r="G81" s="514"/>
      <c r="H81" s="514"/>
      <c r="I81" s="514"/>
      <c r="J81" s="514">
        <v>1</v>
      </c>
      <c r="K81" s="514"/>
      <c r="L81" s="514">
        <v>0</v>
      </c>
      <c r="M81" s="514"/>
      <c r="N81" s="514">
        <v>0</v>
      </c>
      <c r="O81" s="514"/>
      <c r="P81" s="514"/>
      <c r="Q81" s="514"/>
      <c r="R81" s="514"/>
      <c r="S81" s="514"/>
      <c r="T81" s="514">
        <f>+L81+N81</f>
        <v>0</v>
      </c>
      <c r="U81" s="452"/>
      <c r="V81" s="430"/>
    </row>
    <row r="82" spans="1:22" s="431" customFormat="1" x14ac:dyDescent="0.3">
      <c r="A82" s="449"/>
      <c r="B82" s="450" t="s">
        <v>25</v>
      </c>
      <c r="C82" s="514"/>
      <c r="D82" s="514"/>
      <c r="E82" s="514"/>
      <c r="F82" s="514"/>
      <c r="G82" s="514"/>
      <c r="H82" s="514"/>
      <c r="I82" s="514"/>
      <c r="J82" s="514">
        <v>0</v>
      </c>
      <c r="K82" s="514"/>
      <c r="L82" s="514">
        <v>0</v>
      </c>
      <c r="M82" s="514"/>
      <c r="N82" s="514"/>
      <c r="O82" s="514"/>
      <c r="P82" s="514"/>
      <c r="Q82" s="514"/>
      <c r="R82" s="514"/>
      <c r="S82" s="514"/>
      <c r="T82" s="514">
        <v>0</v>
      </c>
      <c r="U82" s="452"/>
      <c r="V82" s="430"/>
    </row>
    <row r="83" spans="1:22" s="431" customFormat="1" x14ac:dyDescent="0.3">
      <c r="A83" s="449"/>
      <c r="B83" s="450" t="s">
        <v>26</v>
      </c>
      <c r="C83" s="514"/>
      <c r="D83" s="514"/>
      <c r="E83" s="514"/>
      <c r="F83" s="514"/>
      <c r="G83" s="514"/>
      <c r="H83" s="514"/>
      <c r="I83" s="514"/>
      <c r="J83" s="514">
        <f>SUM(J70:J82)</f>
        <v>1000050</v>
      </c>
      <c r="K83" s="514"/>
      <c r="L83" s="514">
        <f>SUM(L70:L82)</f>
        <v>427220</v>
      </c>
      <c r="M83" s="514"/>
      <c r="N83" s="514"/>
      <c r="O83" s="514"/>
      <c r="P83" s="514"/>
      <c r="Q83" s="514"/>
      <c r="R83" s="514"/>
      <c r="S83" s="514"/>
      <c r="T83" s="514">
        <f>SUM(T70:T82)</f>
        <v>418613</v>
      </c>
      <c r="U83" s="452"/>
      <c r="V83" s="430"/>
    </row>
    <row r="84" spans="1:22" x14ac:dyDescent="0.3">
      <c r="A84" s="418"/>
      <c r="B84" s="516"/>
      <c r="C84" s="517"/>
      <c r="D84" s="517"/>
      <c r="E84" s="517"/>
      <c r="F84" s="517"/>
      <c r="G84" s="517"/>
      <c r="H84" s="517"/>
      <c r="I84" s="517"/>
      <c r="J84" s="517"/>
      <c r="K84" s="517"/>
      <c r="L84" s="517"/>
      <c r="M84" s="517"/>
      <c r="N84" s="517"/>
      <c r="O84" s="517"/>
      <c r="P84" s="517"/>
      <c r="Q84" s="517"/>
      <c r="R84" s="517"/>
      <c r="S84" s="517"/>
      <c r="T84" s="518"/>
      <c r="U84" s="639"/>
      <c r="V84" s="416"/>
    </row>
    <row r="85" spans="1:22" x14ac:dyDescent="0.3">
      <c r="A85" s="418"/>
      <c r="B85" s="420"/>
      <c r="C85" s="420"/>
      <c r="D85" s="420"/>
      <c r="E85" s="420"/>
      <c r="F85" s="420"/>
      <c r="G85" s="420"/>
      <c r="H85" s="420"/>
      <c r="I85" s="420"/>
      <c r="J85" s="420"/>
      <c r="K85" s="420"/>
      <c r="L85" s="420"/>
      <c r="M85" s="420"/>
      <c r="N85" s="420"/>
      <c r="O85" s="420"/>
      <c r="P85" s="420"/>
      <c r="Q85" s="420"/>
      <c r="R85" s="420"/>
      <c r="S85" s="420"/>
      <c r="T85" s="420"/>
      <c r="U85" s="639"/>
      <c r="V85" s="416"/>
    </row>
    <row r="86" spans="1:22" x14ac:dyDescent="0.3">
      <c r="A86" s="442"/>
      <c r="B86" s="521" t="s">
        <v>27</v>
      </c>
      <c r="C86" s="521"/>
      <c r="D86" s="521"/>
      <c r="E86" s="521"/>
      <c r="F86" s="521"/>
      <c r="G86" s="521"/>
      <c r="H86" s="522"/>
      <c r="I86" s="522"/>
      <c r="J86" s="523" t="s">
        <v>98</v>
      </c>
      <c r="K86" s="522"/>
      <c r="L86" s="524">
        <f>+R193</f>
        <v>43098</v>
      </c>
      <c r="M86" s="522"/>
      <c r="N86" s="522"/>
      <c r="O86" s="522"/>
      <c r="P86" s="522"/>
      <c r="Q86" s="522"/>
      <c r="R86" s="522" t="s">
        <v>111</v>
      </c>
      <c r="S86" s="522"/>
      <c r="T86" s="522" t="s">
        <v>119</v>
      </c>
      <c r="U86" s="446"/>
      <c r="V86" s="416"/>
    </row>
    <row r="87" spans="1:22" s="431" customFormat="1" x14ac:dyDescent="0.3">
      <c r="A87" s="432"/>
      <c r="B87" s="447" t="s">
        <v>28</v>
      </c>
      <c r="C87" s="447"/>
      <c r="D87" s="447"/>
      <c r="E87" s="447"/>
      <c r="F87" s="447"/>
      <c r="G87" s="447"/>
      <c r="H87" s="447"/>
      <c r="I87" s="447"/>
      <c r="J87" s="447"/>
      <c r="K87" s="447"/>
      <c r="L87" s="447"/>
      <c r="M87" s="447"/>
      <c r="N87" s="447"/>
      <c r="O87" s="447"/>
      <c r="P87" s="447"/>
      <c r="Q87" s="447"/>
      <c r="R87" s="525">
        <v>0</v>
      </c>
      <c r="S87" s="447"/>
      <c r="T87" s="526">
        <v>0</v>
      </c>
      <c r="U87" s="641"/>
      <c r="V87" s="430"/>
    </row>
    <row r="88" spans="1:22" s="431" customFormat="1" x14ac:dyDescent="0.3">
      <c r="A88" s="449"/>
      <c r="B88" s="450" t="s">
        <v>29</v>
      </c>
      <c r="C88" s="450"/>
      <c r="D88" s="450"/>
      <c r="E88" s="450"/>
      <c r="F88" s="450"/>
      <c r="G88" s="450"/>
      <c r="H88" s="486"/>
      <c r="I88" s="527"/>
      <c r="J88" s="486"/>
      <c r="K88" s="450"/>
      <c r="L88" s="528"/>
      <c r="M88" s="450"/>
      <c r="N88" s="450"/>
      <c r="O88" s="450"/>
      <c r="P88" s="450"/>
      <c r="Q88" s="450"/>
      <c r="R88" s="514">
        <f>8718+14</f>
        <v>8732</v>
      </c>
      <c r="S88" s="450"/>
      <c r="T88" s="515"/>
      <c r="U88" s="452"/>
      <c r="V88" s="430"/>
    </row>
    <row r="89" spans="1:22" s="431" customFormat="1" x14ac:dyDescent="0.3">
      <c r="A89" s="449"/>
      <c r="B89" s="450" t="s">
        <v>225</v>
      </c>
      <c r="C89" s="450"/>
      <c r="D89" s="450"/>
      <c r="E89" s="450"/>
      <c r="F89" s="450"/>
      <c r="G89" s="450"/>
      <c r="H89" s="486"/>
      <c r="I89" s="527"/>
      <c r="J89" s="486"/>
      <c r="K89" s="450"/>
      <c r="L89" s="528"/>
      <c r="M89" s="450"/>
      <c r="N89" s="450"/>
      <c r="O89" s="450"/>
      <c r="P89" s="450"/>
      <c r="Q89" s="450"/>
      <c r="R89" s="514"/>
      <c r="S89" s="450"/>
      <c r="T89" s="515">
        <f>1617+1773-481-573</f>
        <v>2336</v>
      </c>
      <c r="U89" s="452"/>
      <c r="V89" s="430"/>
    </row>
    <row r="90" spans="1:22" s="431" customFormat="1" x14ac:dyDescent="0.3">
      <c r="A90" s="449"/>
      <c r="B90" s="450" t="s">
        <v>220</v>
      </c>
      <c r="C90" s="450"/>
      <c r="D90" s="450"/>
      <c r="E90" s="450"/>
      <c r="F90" s="450"/>
      <c r="G90" s="450"/>
      <c r="H90" s="486"/>
      <c r="I90" s="527"/>
      <c r="J90" s="486"/>
      <c r="K90" s="450"/>
      <c r="L90" s="528"/>
      <c r="M90" s="450"/>
      <c r="N90" s="450"/>
      <c r="O90" s="450"/>
      <c r="P90" s="450"/>
      <c r="Q90" s="450"/>
      <c r="R90" s="514"/>
      <c r="S90" s="450"/>
      <c r="T90" s="515">
        <f>18+18</f>
        <v>36</v>
      </c>
      <c r="U90" s="452"/>
      <c r="V90" s="430"/>
    </row>
    <row r="91" spans="1:22" s="431" customFormat="1" x14ac:dyDescent="0.3">
      <c r="A91" s="449"/>
      <c r="B91" s="450" t="s">
        <v>221</v>
      </c>
      <c r="C91" s="450"/>
      <c r="D91" s="450"/>
      <c r="E91" s="450"/>
      <c r="F91" s="450"/>
      <c r="G91" s="450"/>
      <c r="H91" s="486"/>
      <c r="I91" s="527"/>
      <c r="J91" s="486"/>
      <c r="K91" s="450"/>
      <c r="L91" s="528"/>
      <c r="M91" s="450"/>
      <c r="N91" s="450"/>
      <c r="O91" s="450"/>
      <c r="P91" s="450"/>
      <c r="Q91" s="450"/>
      <c r="R91" s="514"/>
      <c r="S91" s="450"/>
      <c r="T91" s="515">
        <v>19</v>
      </c>
      <c r="U91" s="452"/>
      <c r="V91" s="430"/>
    </row>
    <row r="92" spans="1:22" s="431" customFormat="1" x14ac:dyDescent="0.3">
      <c r="A92" s="449"/>
      <c r="B92" s="450" t="s">
        <v>261</v>
      </c>
      <c r="C92" s="450"/>
      <c r="D92" s="450"/>
      <c r="E92" s="450"/>
      <c r="F92" s="450"/>
      <c r="G92" s="450"/>
      <c r="H92" s="486"/>
      <c r="I92" s="527"/>
      <c r="J92" s="486"/>
      <c r="K92" s="450"/>
      <c r="L92" s="528"/>
      <c r="M92" s="450"/>
      <c r="N92" s="450"/>
      <c r="O92" s="450"/>
      <c r="P92" s="450"/>
      <c r="Q92" s="450"/>
      <c r="R92" s="514"/>
      <c r="S92" s="450"/>
      <c r="T92" s="515">
        <v>0</v>
      </c>
      <c r="U92" s="452"/>
      <c r="V92" s="430"/>
    </row>
    <row r="93" spans="1:22" s="431" customFormat="1" x14ac:dyDescent="0.3">
      <c r="A93" s="449"/>
      <c r="B93" s="450" t="s">
        <v>141</v>
      </c>
      <c r="C93" s="450"/>
      <c r="D93" s="450"/>
      <c r="E93" s="450"/>
      <c r="F93" s="450"/>
      <c r="G93" s="450"/>
      <c r="H93" s="450"/>
      <c r="I93" s="450"/>
      <c r="J93" s="450"/>
      <c r="K93" s="450"/>
      <c r="L93" s="450"/>
      <c r="M93" s="450"/>
      <c r="N93" s="450"/>
      <c r="O93" s="450"/>
      <c r="P93" s="450"/>
      <c r="Q93" s="450"/>
      <c r="R93" s="514"/>
      <c r="S93" s="450"/>
      <c r="T93" s="515">
        <v>0</v>
      </c>
      <c r="U93" s="452"/>
      <c r="V93" s="430"/>
    </row>
    <row r="94" spans="1:22" s="431" customFormat="1" x14ac:dyDescent="0.3">
      <c r="A94" s="449"/>
      <c r="B94" s="450" t="s">
        <v>250</v>
      </c>
      <c r="C94" s="450"/>
      <c r="D94" s="450"/>
      <c r="E94" s="450"/>
      <c r="F94" s="450"/>
      <c r="G94" s="450"/>
      <c r="H94" s="450"/>
      <c r="I94" s="450"/>
      <c r="J94" s="450"/>
      <c r="K94" s="450"/>
      <c r="L94" s="450"/>
      <c r="M94" s="450"/>
      <c r="N94" s="450"/>
      <c r="O94" s="450"/>
      <c r="P94" s="450"/>
      <c r="Q94" s="450"/>
      <c r="R94" s="514"/>
      <c r="S94" s="450"/>
      <c r="T94" s="515">
        <v>188</v>
      </c>
      <c r="U94" s="452"/>
      <c r="V94" s="430"/>
    </row>
    <row r="95" spans="1:22" s="431" customFormat="1" x14ac:dyDescent="0.3">
      <c r="A95" s="449"/>
      <c r="B95" s="450" t="s">
        <v>30</v>
      </c>
      <c r="C95" s="450"/>
      <c r="D95" s="450"/>
      <c r="E95" s="450"/>
      <c r="F95" s="450"/>
      <c r="G95" s="450"/>
      <c r="H95" s="450"/>
      <c r="I95" s="450"/>
      <c r="J95" s="450"/>
      <c r="K95" s="450"/>
      <c r="L95" s="450"/>
      <c r="M95" s="450"/>
      <c r="N95" s="450"/>
      <c r="O95" s="450"/>
      <c r="P95" s="450"/>
      <c r="Q95" s="450"/>
      <c r="R95" s="514">
        <f>SUM(R87:R94)</f>
        <v>8732</v>
      </c>
      <c r="S95" s="450"/>
      <c r="T95" s="514">
        <f>SUM(T87:T94)</f>
        <v>2579</v>
      </c>
      <c r="U95" s="452"/>
      <c r="V95" s="430"/>
    </row>
    <row r="96" spans="1:22" s="431" customFormat="1" x14ac:dyDescent="0.3">
      <c r="A96" s="449"/>
      <c r="B96" s="450" t="s">
        <v>168</v>
      </c>
      <c r="C96" s="450"/>
      <c r="D96" s="450"/>
      <c r="E96" s="450"/>
      <c r="F96" s="450"/>
      <c r="G96" s="450"/>
      <c r="H96" s="450"/>
      <c r="I96" s="450"/>
      <c r="J96" s="450"/>
      <c r="K96" s="450"/>
      <c r="L96" s="450"/>
      <c r="M96" s="450"/>
      <c r="N96" s="450"/>
      <c r="O96" s="450"/>
      <c r="P96" s="450"/>
      <c r="Q96" s="450"/>
      <c r="R96" s="514">
        <v>0</v>
      </c>
      <c r="S96" s="450"/>
      <c r="T96" s="514">
        <f>-R96</f>
        <v>0</v>
      </c>
      <c r="U96" s="452"/>
      <c r="V96" s="430"/>
    </row>
    <row r="97" spans="1:24" s="431" customFormat="1" x14ac:dyDescent="0.3">
      <c r="A97" s="449"/>
      <c r="B97" s="450" t="s">
        <v>31</v>
      </c>
      <c r="C97" s="450"/>
      <c r="D97" s="450"/>
      <c r="E97" s="450"/>
      <c r="F97" s="450"/>
      <c r="G97" s="450"/>
      <c r="H97" s="450"/>
      <c r="I97" s="450"/>
      <c r="J97" s="450"/>
      <c r="K97" s="450"/>
      <c r="L97" s="450"/>
      <c r="M97" s="450"/>
      <c r="N97" s="450"/>
      <c r="O97" s="450"/>
      <c r="P97" s="450"/>
      <c r="Q97" s="450"/>
      <c r="R97" s="514">
        <f>-T97</f>
        <v>0</v>
      </c>
      <c r="S97" s="450"/>
      <c r="T97" s="515">
        <v>0</v>
      </c>
      <c r="U97" s="452"/>
      <c r="V97" s="430"/>
    </row>
    <row r="98" spans="1:24" s="431" customFormat="1" x14ac:dyDescent="0.3">
      <c r="A98" s="449"/>
      <c r="B98" s="450" t="s">
        <v>273</v>
      </c>
      <c r="C98" s="450"/>
      <c r="D98" s="450"/>
      <c r="E98" s="450"/>
      <c r="F98" s="450"/>
      <c r="G98" s="450"/>
      <c r="H98" s="450"/>
      <c r="I98" s="450"/>
      <c r="J98" s="450"/>
      <c r="K98" s="450"/>
      <c r="L98" s="450"/>
      <c r="M98" s="450"/>
      <c r="N98" s="450"/>
      <c r="O98" s="450"/>
      <c r="P98" s="450"/>
      <c r="Q98" s="450"/>
      <c r="R98" s="514"/>
      <c r="S98" s="450"/>
      <c r="T98" s="515">
        <v>-199</v>
      </c>
      <c r="U98" s="452"/>
      <c r="V98" s="430"/>
    </row>
    <row r="99" spans="1:24" s="431" customFormat="1" x14ac:dyDescent="0.3">
      <c r="A99" s="449"/>
      <c r="B99" s="450" t="s">
        <v>32</v>
      </c>
      <c r="C99" s="450"/>
      <c r="D99" s="450"/>
      <c r="E99" s="450"/>
      <c r="F99" s="450"/>
      <c r="G99" s="450"/>
      <c r="H99" s="450"/>
      <c r="I99" s="450"/>
      <c r="J99" s="450"/>
      <c r="K99" s="450"/>
      <c r="L99" s="450"/>
      <c r="M99" s="450"/>
      <c r="N99" s="450"/>
      <c r="O99" s="450"/>
      <c r="P99" s="450"/>
      <c r="Q99" s="450"/>
      <c r="R99" s="514">
        <f>R95+R97+R96</f>
        <v>8732</v>
      </c>
      <c r="S99" s="450"/>
      <c r="T99" s="514">
        <f>T95+T97+T96+T98</f>
        <v>2380</v>
      </c>
      <c r="U99" s="452"/>
      <c r="V99" s="430"/>
    </row>
    <row r="100" spans="1:24" x14ac:dyDescent="0.3">
      <c r="A100" s="468"/>
      <c r="B100" s="529" t="s">
        <v>33</v>
      </c>
      <c r="C100" s="470"/>
      <c r="D100" s="470"/>
      <c r="E100" s="470"/>
      <c r="F100" s="470"/>
      <c r="G100" s="470"/>
      <c r="H100" s="470"/>
      <c r="I100" s="470"/>
      <c r="J100" s="470"/>
      <c r="K100" s="470"/>
      <c r="L100" s="470"/>
      <c r="M100" s="470"/>
      <c r="N100" s="470"/>
      <c r="O100" s="470"/>
      <c r="P100" s="470"/>
      <c r="Q100" s="470"/>
      <c r="R100" s="530"/>
      <c r="S100" s="470"/>
      <c r="T100" s="531"/>
      <c r="U100" s="476"/>
      <c r="V100" s="416"/>
    </row>
    <row r="101" spans="1:24" s="431" customFormat="1" x14ac:dyDescent="0.3">
      <c r="A101" s="449">
        <v>1</v>
      </c>
      <c r="B101" s="450" t="s">
        <v>34</v>
      </c>
      <c r="C101" s="450"/>
      <c r="D101" s="450"/>
      <c r="E101" s="450"/>
      <c r="F101" s="450"/>
      <c r="G101" s="450"/>
      <c r="H101" s="450"/>
      <c r="I101" s="450"/>
      <c r="J101" s="450"/>
      <c r="K101" s="450"/>
      <c r="L101" s="450"/>
      <c r="M101" s="450"/>
      <c r="N101" s="450"/>
      <c r="O101" s="450"/>
      <c r="P101" s="450"/>
      <c r="Q101" s="450"/>
      <c r="R101" s="450"/>
      <c r="S101" s="450"/>
      <c r="T101" s="515">
        <v>0</v>
      </c>
      <c r="U101" s="452"/>
      <c r="V101" s="430"/>
    </row>
    <row r="102" spans="1:24" s="431" customFormat="1" x14ac:dyDescent="0.3">
      <c r="A102" s="449">
        <f>+A101+1</f>
        <v>2</v>
      </c>
      <c r="B102" s="450" t="s">
        <v>312</v>
      </c>
      <c r="C102" s="450"/>
      <c r="D102" s="450"/>
      <c r="E102" s="450"/>
      <c r="F102" s="450"/>
      <c r="G102" s="450"/>
      <c r="H102" s="450"/>
      <c r="I102" s="450"/>
      <c r="J102" s="450"/>
      <c r="K102" s="450"/>
      <c r="L102" s="450"/>
      <c r="M102" s="450"/>
      <c r="N102" s="450"/>
      <c r="O102" s="450"/>
      <c r="P102" s="450"/>
      <c r="Q102" s="450"/>
      <c r="R102" s="450"/>
      <c r="S102" s="450"/>
      <c r="T102" s="515">
        <v>-2</v>
      </c>
      <c r="U102" s="452"/>
      <c r="V102" s="430"/>
    </row>
    <row r="103" spans="1:24" s="431" customFormat="1" x14ac:dyDescent="0.3">
      <c r="A103" s="449">
        <f>+A102+1</f>
        <v>3</v>
      </c>
      <c r="B103" s="532" t="s">
        <v>314</v>
      </c>
      <c r="C103" s="450"/>
      <c r="D103" s="450"/>
      <c r="E103" s="450"/>
      <c r="F103" s="450"/>
      <c r="G103" s="450"/>
      <c r="H103" s="450"/>
      <c r="I103" s="450"/>
      <c r="J103" s="450"/>
      <c r="K103" s="450"/>
      <c r="L103" s="450"/>
      <c r="M103" s="450"/>
      <c r="N103" s="450"/>
      <c r="O103" s="450"/>
      <c r="P103" s="450"/>
      <c r="Q103" s="450"/>
      <c r="R103" s="450"/>
      <c r="S103" s="450"/>
      <c r="T103" s="515">
        <f>-164-59-5</f>
        <v>-228</v>
      </c>
      <c r="U103" s="452"/>
      <c r="V103" s="430"/>
    </row>
    <row r="104" spans="1:24" s="431" customFormat="1" x14ac:dyDescent="0.3">
      <c r="A104" s="449" t="s">
        <v>133</v>
      </c>
      <c r="B104" s="450" t="s">
        <v>122</v>
      </c>
      <c r="C104" s="450"/>
      <c r="D104" s="450"/>
      <c r="E104" s="450"/>
      <c r="F104" s="450"/>
      <c r="G104" s="450"/>
      <c r="H104" s="450"/>
      <c r="I104" s="450"/>
      <c r="J104" s="450"/>
      <c r="K104" s="450"/>
      <c r="L104" s="450"/>
      <c r="M104" s="450"/>
      <c r="N104" s="450"/>
      <c r="O104" s="450"/>
      <c r="P104" s="450"/>
      <c r="Q104" s="450"/>
      <c r="R104" s="450"/>
      <c r="S104" s="450"/>
      <c r="T104" s="515">
        <v>0</v>
      </c>
      <c r="U104" s="452"/>
      <c r="V104" s="430"/>
    </row>
    <row r="105" spans="1:24" s="431" customFormat="1" x14ac:dyDescent="0.3">
      <c r="A105" s="449" t="s">
        <v>134</v>
      </c>
      <c r="B105" s="450" t="s">
        <v>348</v>
      </c>
      <c r="C105" s="450"/>
      <c r="D105" s="450"/>
      <c r="E105" s="450"/>
      <c r="F105" s="450"/>
      <c r="G105" s="450"/>
      <c r="H105" s="450"/>
      <c r="I105" s="450"/>
      <c r="J105" s="450"/>
      <c r="K105" s="450"/>
      <c r="L105" s="450"/>
      <c r="M105" s="450"/>
      <c r="N105" s="450"/>
      <c r="O105" s="450"/>
      <c r="P105" s="450"/>
      <c r="Q105" s="450"/>
      <c r="R105" s="450"/>
      <c r="S105" s="450"/>
      <c r="T105" s="515">
        <f>85-416</f>
        <v>-331</v>
      </c>
      <c r="U105" s="452"/>
      <c r="V105" s="430"/>
      <c r="W105" s="533"/>
    </row>
    <row r="106" spans="1:24" s="431" customFormat="1" x14ac:dyDescent="0.3">
      <c r="A106" s="449" t="s">
        <v>156</v>
      </c>
      <c r="B106" s="450" t="s">
        <v>349</v>
      </c>
      <c r="C106" s="450"/>
      <c r="D106" s="450"/>
      <c r="E106" s="450"/>
      <c r="F106" s="450"/>
      <c r="G106" s="450"/>
      <c r="H106" s="450"/>
      <c r="I106" s="450"/>
      <c r="J106" s="450"/>
      <c r="K106" s="450"/>
      <c r="L106" s="450"/>
      <c r="M106" s="450"/>
      <c r="N106" s="450"/>
      <c r="O106" s="450"/>
      <c r="P106" s="450"/>
      <c r="Q106" s="450"/>
      <c r="R106" s="450"/>
      <c r="S106" s="450"/>
      <c r="T106" s="515">
        <v>-85</v>
      </c>
      <c r="U106" s="452"/>
      <c r="V106" s="430"/>
      <c r="W106" s="533"/>
    </row>
    <row r="107" spans="1:24" s="431" customFormat="1" x14ac:dyDescent="0.3">
      <c r="A107" s="449" t="s">
        <v>214</v>
      </c>
      <c r="B107" s="450" t="s">
        <v>192</v>
      </c>
      <c r="C107" s="450"/>
      <c r="D107" s="450"/>
      <c r="E107" s="450"/>
      <c r="F107" s="450"/>
      <c r="G107" s="450"/>
      <c r="H107" s="450"/>
      <c r="I107" s="450"/>
      <c r="J107" s="450"/>
      <c r="K107" s="450"/>
      <c r="L107" s="450"/>
      <c r="M107" s="450"/>
      <c r="N107" s="450"/>
      <c r="O107" s="450"/>
      <c r="P107" s="450"/>
      <c r="Q107" s="450"/>
      <c r="R107" s="450"/>
      <c r="S107" s="450"/>
      <c r="T107" s="515">
        <v>-109</v>
      </c>
      <c r="U107" s="452"/>
      <c r="V107" s="430"/>
      <c r="W107" s="533"/>
      <c r="X107" s="533"/>
    </row>
    <row r="108" spans="1:24" s="431" customFormat="1" x14ac:dyDescent="0.3">
      <c r="A108" s="449" t="s">
        <v>215</v>
      </c>
      <c r="B108" s="450" t="s">
        <v>193</v>
      </c>
      <c r="C108" s="450"/>
      <c r="D108" s="450"/>
      <c r="E108" s="450"/>
      <c r="F108" s="450"/>
      <c r="G108" s="450"/>
      <c r="H108" s="450"/>
      <c r="I108" s="450"/>
      <c r="J108" s="450"/>
      <c r="K108" s="450"/>
      <c r="L108" s="450"/>
      <c r="M108" s="450"/>
      <c r="N108" s="450"/>
      <c r="O108" s="450"/>
      <c r="P108" s="450"/>
      <c r="Q108" s="450"/>
      <c r="R108" s="450"/>
      <c r="S108" s="450"/>
      <c r="T108" s="515">
        <v>-30</v>
      </c>
      <c r="U108" s="452"/>
      <c r="V108" s="534"/>
      <c r="W108" s="533"/>
    </row>
    <row r="109" spans="1:24" s="431" customFormat="1" x14ac:dyDescent="0.3">
      <c r="A109" s="449" t="s">
        <v>216</v>
      </c>
      <c r="B109" s="450" t="s">
        <v>204</v>
      </c>
      <c r="C109" s="450"/>
      <c r="D109" s="450"/>
      <c r="E109" s="450"/>
      <c r="F109" s="450"/>
      <c r="G109" s="450"/>
      <c r="H109" s="450"/>
      <c r="I109" s="450"/>
      <c r="J109" s="450"/>
      <c r="K109" s="450"/>
      <c r="L109" s="450"/>
      <c r="M109" s="450"/>
      <c r="N109" s="450"/>
      <c r="O109" s="450"/>
      <c r="P109" s="450"/>
      <c r="Q109" s="450"/>
      <c r="R109" s="450"/>
      <c r="S109" s="450"/>
      <c r="T109" s="515">
        <v>-176</v>
      </c>
      <c r="U109" s="452"/>
      <c r="V109" s="430"/>
      <c r="W109" s="533"/>
    </row>
    <row r="110" spans="1:24" s="431" customFormat="1" x14ac:dyDescent="0.3">
      <c r="A110" s="535">
        <v>7</v>
      </c>
      <c r="B110" s="532" t="s">
        <v>313</v>
      </c>
      <c r="C110" s="532"/>
      <c r="D110" s="532"/>
      <c r="E110" s="532"/>
      <c r="F110" s="532"/>
      <c r="G110" s="450"/>
      <c r="H110" s="450"/>
      <c r="I110" s="450"/>
      <c r="J110" s="450"/>
      <c r="K110" s="450"/>
      <c r="L110" s="450"/>
      <c r="M110" s="450"/>
      <c r="N110" s="450"/>
      <c r="O110" s="450"/>
      <c r="P110" s="450"/>
      <c r="Q110" s="450"/>
      <c r="R110" s="450"/>
      <c r="S110" s="450"/>
      <c r="T110" s="515">
        <v>0</v>
      </c>
      <c r="U110" s="452"/>
      <c r="V110" s="430"/>
      <c r="W110" s="533"/>
    </row>
    <row r="111" spans="1:24" s="431" customFormat="1" x14ac:dyDescent="0.3">
      <c r="A111" s="449">
        <f t="shared" ref="A111:A117" si="0">+A110+1</f>
        <v>8</v>
      </c>
      <c r="B111" s="450" t="s">
        <v>35</v>
      </c>
      <c r="C111" s="450"/>
      <c r="D111" s="450"/>
      <c r="E111" s="450"/>
      <c r="F111" s="450"/>
      <c r="G111" s="450"/>
      <c r="H111" s="450"/>
      <c r="I111" s="450"/>
      <c r="J111" s="450"/>
      <c r="K111" s="450"/>
      <c r="L111" s="450"/>
      <c r="M111" s="450"/>
      <c r="N111" s="450"/>
      <c r="O111" s="450"/>
      <c r="P111" s="450"/>
      <c r="Q111" s="450"/>
      <c r="R111" s="450"/>
      <c r="S111" s="450"/>
      <c r="T111" s="515">
        <v>-28</v>
      </c>
      <c r="U111" s="452"/>
      <c r="V111" s="430"/>
    </row>
    <row r="112" spans="1:24" s="431" customFormat="1" x14ac:dyDescent="0.3">
      <c r="A112" s="449">
        <f t="shared" si="0"/>
        <v>9</v>
      </c>
      <c r="B112" s="450" t="s">
        <v>46</v>
      </c>
      <c r="C112" s="450"/>
      <c r="D112" s="450"/>
      <c r="E112" s="450"/>
      <c r="F112" s="450"/>
      <c r="G112" s="450"/>
      <c r="H112" s="450"/>
      <c r="I112" s="450"/>
      <c r="J112" s="450"/>
      <c r="K112" s="450"/>
      <c r="L112" s="450"/>
      <c r="M112" s="450"/>
      <c r="N112" s="450"/>
      <c r="O112" s="450"/>
      <c r="P112" s="450"/>
      <c r="Q112" s="450"/>
      <c r="R112" s="514">
        <f>-T112</f>
        <v>-14</v>
      </c>
      <c r="S112" s="450"/>
      <c r="T112" s="515">
        <v>14</v>
      </c>
      <c r="U112" s="452"/>
      <c r="V112" s="430"/>
    </row>
    <row r="113" spans="1:22" s="431" customFormat="1" x14ac:dyDescent="0.3">
      <c r="A113" s="449">
        <f t="shared" si="0"/>
        <v>10</v>
      </c>
      <c r="B113" s="450" t="s">
        <v>131</v>
      </c>
      <c r="C113" s="450"/>
      <c r="D113" s="450"/>
      <c r="E113" s="450"/>
      <c r="F113" s="450"/>
      <c r="G113" s="450"/>
      <c r="H113" s="450"/>
      <c r="I113" s="450"/>
      <c r="J113" s="450"/>
      <c r="K113" s="450"/>
      <c r="L113" s="450"/>
      <c r="M113" s="450"/>
      <c r="N113" s="450"/>
      <c r="O113" s="450"/>
      <c r="P113" s="450"/>
      <c r="Q113" s="450"/>
      <c r="R113" s="450"/>
      <c r="S113" s="450"/>
      <c r="T113" s="515">
        <v>0</v>
      </c>
      <c r="U113" s="452"/>
      <c r="V113" s="430"/>
    </row>
    <row r="114" spans="1:22" s="431" customFormat="1" x14ac:dyDescent="0.3">
      <c r="A114" s="449">
        <f t="shared" si="0"/>
        <v>11</v>
      </c>
      <c r="B114" s="450" t="s">
        <v>36</v>
      </c>
      <c r="C114" s="450"/>
      <c r="D114" s="450"/>
      <c r="E114" s="450"/>
      <c r="F114" s="450"/>
      <c r="G114" s="450"/>
      <c r="H114" s="450"/>
      <c r="I114" s="450"/>
      <c r="J114" s="450"/>
      <c r="K114" s="450"/>
      <c r="L114" s="450"/>
      <c r="M114" s="450"/>
      <c r="N114" s="450"/>
      <c r="O114" s="450"/>
      <c r="P114" s="450"/>
      <c r="Q114" s="450"/>
      <c r="R114" s="450"/>
      <c r="S114" s="450"/>
      <c r="T114" s="515">
        <v>0</v>
      </c>
      <c r="U114" s="452"/>
      <c r="V114" s="430"/>
    </row>
    <row r="115" spans="1:22" s="431" customFormat="1" x14ac:dyDescent="0.3">
      <c r="A115" s="449">
        <f t="shared" si="0"/>
        <v>12</v>
      </c>
      <c r="B115" s="450" t="s">
        <v>37</v>
      </c>
      <c r="C115" s="450"/>
      <c r="D115" s="450"/>
      <c r="E115" s="450"/>
      <c r="F115" s="450"/>
      <c r="G115" s="450"/>
      <c r="H115" s="450"/>
      <c r="I115" s="450"/>
      <c r="J115" s="450"/>
      <c r="K115" s="450"/>
      <c r="L115" s="450"/>
      <c r="M115" s="450"/>
      <c r="N115" s="450"/>
      <c r="O115" s="450"/>
      <c r="P115" s="450"/>
      <c r="Q115" s="450"/>
      <c r="R115" s="450"/>
      <c r="S115" s="450"/>
      <c r="T115" s="515">
        <v>0</v>
      </c>
      <c r="U115" s="452"/>
      <c r="V115" s="430"/>
    </row>
    <row r="116" spans="1:22" s="431" customFormat="1" x14ac:dyDescent="0.3">
      <c r="A116" s="449">
        <f t="shared" si="0"/>
        <v>13</v>
      </c>
      <c r="B116" s="450" t="s">
        <v>155</v>
      </c>
      <c r="C116" s="450"/>
      <c r="D116" s="450"/>
      <c r="E116" s="450"/>
      <c r="F116" s="450"/>
      <c r="G116" s="450"/>
      <c r="H116" s="450"/>
      <c r="I116" s="450"/>
      <c r="J116" s="450"/>
      <c r="K116" s="450"/>
      <c r="L116" s="450"/>
      <c r="M116" s="450"/>
      <c r="N116" s="450"/>
      <c r="O116" s="450"/>
      <c r="P116" s="450"/>
      <c r="Q116" s="450"/>
      <c r="R116" s="450"/>
      <c r="S116" s="450"/>
      <c r="T116" s="515">
        <v>-164</v>
      </c>
      <c r="U116" s="452"/>
      <c r="V116" s="430"/>
    </row>
    <row r="117" spans="1:22" s="431" customFormat="1" x14ac:dyDescent="0.3">
      <c r="A117" s="449">
        <f t="shared" si="0"/>
        <v>14</v>
      </c>
      <c r="B117" s="450" t="s">
        <v>132</v>
      </c>
      <c r="C117" s="450"/>
      <c r="D117" s="450"/>
      <c r="E117" s="450"/>
      <c r="F117" s="450"/>
      <c r="G117" s="450"/>
      <c r="H117" s="450"/>
      <c r="I117" s="450"/>
      <c r="J117" s="450"/>
      <c r="K117" s="450"/>
      <c r="L117" s="450"/>
      <c r="M117" s="450"/>
      <c r="N117" s="450"/>
      <c r="O117" s="450"/>
      <c r="P117" s="450"/>
      <c r="Q117" s="450"/>
      <c r="R117" s="450"/>
      <c r="S117" s="450"/>
      <c r="T117" s="515">
        <f>-T99-SUM(T101:T116)</f>
        <v>-1241</v>
      </c>
      <c r="U117" s="452"/>
      <c r="V117" s="430"/>
    </row>
    <row r="118" spans="1:22" x14ac:dyDescent="0.3">
      <c r="A118" s="468"/>
      <c r="B118" s="529" t="s">
        <v>38</v>
      </c>
      <c r="C118" s="470"/>
      <c r="D118" s="470"/>
      <c r="E118" s="470"/>
      <c r="F118" s="470"/>
      <c r="G118" s="470"/>
      <c r="H118" s="470"/>
      <c r="I118" s="470"/>
      <c r="J118" s="470"/>
      <c r="K118" s="470"/>
      <c r="L118" s="470"/>
      <c r="M118" s="470"/>
      <c r="N118" s="470"/>
      <c r="O118" s="470"/>
      <c r="P118" s="470"/>
      <c r="Q118" s="470"/>
      <c r="R118" s="470"/>
      <c r="S118" s="470"/>
      <c r="T118" s="536"/>
      <c r="U118" s="476"/>
      <c r="V118" s="416"/>
    </row>
    <row r="119" spans="1:22" s="431" customFormat="1" x14ac:dyDescent="0.3">
      <c r="A119" s="449"/>
      <c r="B119" s="450" t="s">
        <v>180</v>
      </c>
      <c r="C119" s="450"/>
      <c r="D119" s="450"/>
      <c r="E119" s="450"/>
      <c r="F119" s="450"/>
      <c r="G119" s="450"/>
      <c r="H119" s="450"/>
      <c r="I119" s="450"/>
      <c r="J119" s="450"/>
      <c r="K119" s="450"/>
      <c r="L119" s="450"/>
      <c r="M119" s="450"/>
      <c r="N119" s="450"/>
      <c r="O119" s="450"/>
      <c r="P119" s="450"/>
      <c r="Q119" s="450"/>
      <c r="R119" s="514">
        <f>-R177</f>
        <v>0</v>
      </c>
      <c r="S119" s="514"/>
      <c r="T119" s="515"/>
      <c r="U119" s="452"/>
      <c r="V119" s="430"/>
    </row>
    <row r="120" spans="1:22" s="431" customFormat="1" x14ac:dyDescent="0.3">
      <c r="A120" s="449"/>
      <c r="B120" s="450" t="s">
        <v>181</v>
      </c>
      <c r="C120" s="450"/>
      <c r="D120" s="450"/>
      <c r="E120" s="450"/>
      <c r="F120" s="450"/>
      <c r="G120" s="450"/>
      <c r="H120" s="450"/>
      <c r="I120" s="450"/>
      <c r="J120" s="450"/>
      <c r="K120" s="450"/>
      <c r="L120" s="450"/>
      <c r="M120" s="450"/>
      <c r="N120" s="450"/>
      <c r="O120" s="450"/>
      <c r="P120" s="450"/>
      <c r="Q120" s="450"/>
      <c r="R120" s="514">
        <v>0</v>
      </c>
      <c r="S120" s="514"/>
      <c r="T120" s="515"/>
      <c r="U120" s="452"/>
      <c r="V120" s="430"/>
    </row>
    <row r="121" spans="1:22" s="431" customFormat="1" x14ac:dyDescent="0.3">
      <c r="A121" s="449"/>
      <c r="B121" s="450" t="s">
        <v>39</v>
      </c>
      <c r="C121" s="450"/>
      <c r="D121" s="450"/>
      <c r="E121" s="450"/>
      <c r="F121" s="450"/>
      <c r="G121" s="450"/>
      <c r="H121" s="450"/>
      <c r="I121" s="450"/>
      <c r="J121" s="450"/>
      <c r="K121" s="450"/>
      <c r="L121" s="450"/>
      <c r="M121" s="450"/>
      <c r="N121" s="450"/>
      <c r="O121" s="450"/>
      <c r="P121" s="450"/>
      <c r="Q121" s="450"/>
      <c r="R121" s="514">
        <f>-Q177</f>
        <v>-111</v>
      </c>
      <c r="S121" s="514"/>
      <c r="T121" s="515"/>
      <c r="U121" s="452"/>
      <c r="V121" s="430"/>
    </row>
    <row r="122" spans="1:22" s="431" customFormat="1" x14ac:dyDescent="0.3">
      <c r="A122" s="449"/>
      <c r="B122" s="450" t="s">
        <v>372</v>
      </c>
      <c r="C122" s="450"/>
      <c r="D122" s="450"/>
      <c r="E122" s="450"/>
      <c r="F122" s="450"/>
      <c r="G122" s="450"/>
      <c r="H122" s="450"/>
      <c r="I122" s="450"/>
      <c r="J122" s="450"/>
      <c r="K122" s="450"/>
      <c r="L122" s="450"/>
      <c r="M122" s="450"/>
      <c r="N122" s="450"/>
      <c r="O122" s="450"/>
      <c r="P122" s="450"/>
      <c r="Q122" s="450"/>
      <c r="R122" s="514">
        <v>-4131</v>
      </c>
      <c r="S122" s="514"/>
      <c r="T122" s="515"/>
      <c r="U122" s="452"/>
      <c r="V122" s="430"/>
    </row>
    <row r="123" spans="1:22" s="431" customFormat="1" x14ac:dyDescent="0.3">
      <c r="A123" s="449"/>
      <c r="B123" s="450" t="s">
        <v>203</v>
      </c>
      <c r="C123" s="450"/>
      <c r="D123" s="450"/>
      <c r="E123" s="450"/>
      <c r="F123" s="450"/>
      <c r="G123" s="450"/>
      <c r="H123" s="450"/>
      <c r="I123" s="450"/>
      <c r="J123" s="450"/>
      <c r="K123" s="450"/>
      <c r="L123" s="450"/>
      <c r="M123" s="450"/>
      <c r="N123" s="450"/>
      <c r="O123" s="450"/>
      <c r="P123" s="450"/>
      <c r="Q123" s="450"/>
      <c r="R123" s="514">
        <v>-1089</v>
      </c>
      <c r="S123" s="514"/>
      <c r="T123" s="515"/>
      <c r="U123" s="452"/>
      <c r="V123" s="430"/>
    </row>
    <row r="124" spans="1:22" s="431" customFormat="1" x14ac:dyDescent="0.3">
      <c r="A124" s="449"/>
      <c r="B124" s="450" t="s">
        <v>202</v>
      </c>
      <c r="C124" s="450"/>
      <c r="D124" s="450"/>
      <c r="E124" s="450"/>
      <c r="F124" s="450"/>
      <c r="G124" s="450"/>
      <c r="H124" s="450"/>
      <c r="I124" s="450"/>
      <c r="J124" s="450"/>
      <c r="K124" s="450"/>
      <c r="L124" s="450"/>
      <c r="M124" s="450"/>
      <c r="N124" s="450"/>
      <c r="O124" s="450"/>
      <c r="P124" s="450"/>
      <c r="Q124" s="450"/>
      <c r="R124" s="514">
        <v>-1098</v>
      </c>
      <c r="S124" s="514"/>
      <c r="T124" s="515"/>
      <c r="U124" s="452"/>
      <c r="V124" s="430"/>
    </row>
    <row r="125" spans="1:22" s="431" customFormat="1" x14ac:dyDescent="0.3">
      <c r="A125" s="449"/>
      <c r="B125" s="450" t="s">
        <v>197</v>
      </c>
      <c r="C125" s="450"/>
      <c r="D125" s="450"/>
      <c r="E125" s="450"/>
      <c r="F125" s="450"/>
      <c r="G125" s="450"/>
      <c r="H125" s="450"/>
      <c r="I125" s="450"/>
      <c r="J125" s="450"/>
      <c r="K125" s="450"/>
      <c r="L125" s="450"/>
      <c r="M125" s="450"/>
      <c r="N125" s="450"/>
      <c r="O125" s="450"/>
      <c r="P125" s="450"/>
      <c r="Q125" s="450"/>
      <c r="R125" s="514">
        <v>-276</v>
      </c>
      <c r="S125" s="514"/>
      <c r="T125" s="515"/>
      <c r="U125" s="452"/>
      <c r="V125" s="430"/>
    </row>
    <row r="126" spans="1:22" s="431" customFormat="1" x14ac:dyDescent="0.3">
      <c r="A126" s="449"/>
      <c r="B126" s="450" t="s">
        <v>196</v>
      </c>
      <c r="C126" s="450"/>
      <c r="D126" s="450"/>
      <c r="E126" s="450"/>
      <c r="F126" s="450"/>
      <c r="G126" s="450"/>
      <c r="H126" s="450"/>
      <c r="I126" s="450"/>
      <c r="J126" s="450"/>
      <c r="K126" s="450"/>
      <c r="L126" s="450"/>
      <c r="M126" s="450"/>
      <c r="N126" s="450"/>
      <c r="O126" s="450"/>
      <c r="P126" s="450"/>
      <c r="Q126" s="450"/>
      <c r="R126" s="514">
        <v>-976</v>
      </c>
      <c r="S126" s="514"/>
      <c r="T126" s="515"/>
      <c r="U126" s="452"/>
      <c r="V126" s="430"/>
    </row>
    <row r="127" spans="1:22" s="431" customFormat="1" x14ac:dyDescent="0.3">
      <c r="A127" s="449"/>
      <c r="B127" s="450" t="s">
        <v>195</v>
      </c>
      <c r="C127" s="450"/>
      <c r="D127" s="450"/>
      <c r="E127" s="450"/>
      <c r="F127" s="450"/>
      <c r="G127" s="450"/>
      <c r="H127" s="450"/>
      <c r="I127" s="450"/>
      <c r="J127" s="450"/>
      <c r="K127" s="450"/>
      <c r="L127" s="450"/>
      <c r="M127" s="450"/>
      <c r="N127" s="450"/>
      <c r="O127" s="450"/>
      <c r="P127" s="450"/>
      <c r="Q127" s="450"/>
      <c r="R127" s="514">
        <v>-1037</v>
      </c>
      <c r="S127" s="514"/>
      <c r="T127" s="515"/>
      <c r="U127" s="452"/>
      <c r="V127" s="430"/>
    </row>
    <row r="128" spans="1:22" s="431" customFormat="1" x14ac:dyDescent="0.3">
      <c r="A128" s="449"/>
      <c r="B128" s="450" t="s">
        <v>40</v>
      </c>
      <c r="C128" s="450"/>
      <c r="D128" s="450"/>
      <c r="E128" s="450"/>
      <c r="F128" s="450"/>
      <c r="G128" s="450"/>
      <c r="H128" s="450"/>
      <c r="I128" s="450"/>
      <c r="J128" s="450"/>
      <c r="K128" s="450"/>
      <c r="L128" s="450"/>
      <c r="M128" s="450"/>
      <c r="N128" s="450"/>
      <c r="O128" s="450"/>
      <c r="P128" s="450"/>
      <c r="Q128" s="450"/>
      <c r="R128" s="514">
        <f>SUM(R119:R127)</f>
        <v>-8718</v>
      </c>
      <c r="S128" s="514"/>
      <c r="T128" s="514">
        <f>SUM(T100:T126)</f>
        <v>-2380</v>
      </c>
      <c r="U128" s="452"/>
      <c r="V128" s="430"/>
    </row>
    <row r="129" spans="1:23" s="431" customFormat="1" x14ac:dyDescent="0.3">
      <c r="A129" s="449"/>
      <c r="B129" s="450" t="s">
        <v>41</v>
      </c>
      <c r="C129" s="450"/>
      <c r="D129" s="450"/>
      <c r="E129" s="450"/>
      <c r="F129" s="450"/>
      <c r="G129" s="450"/>
      <c r="H129" s="450"/>
      <c r="I129" s="450"/>
      <c r="J129" s="450"/>
      <c r="K129" s="450"/>
      <c r="L129" s="450"/>
      <c r="M129" s="450"/>
      <c r="N129" s="450"/>
      <c r="O129" s="450"/>
      <c r="P129" s="450"/>
      <c r="Q129" s="450"/>
      <c r="R129" s="514">
        <f>R99+R128+R112</f>
        <v>0</v>
      </c>
      <c r="S129" s="514"/>
      <c r="T129" s="514">
        <f>T99+T128</f>
        <v>0</v>
      </c>
      <c r="U129" s="452"/>
      <c r="V129" s="430"/>
    </row>
    <row r="130" spans="1:23" s="431" customFormat="1" x14ac:dyDescent="0.3">
      <c r="A130" s="432"/>
      <c r="B130" s="447"/>
      <c r="C130" s="447"/>
      <c r="D130" s="447"/>
      <c r="E130" s="447"/>
      <c r="F130" s="447"/>
      <c r="G130" s="447"/>
      <c r="H130" s="447"/>
      <c r="I130" s="447"/>
      <c r="J130" s="447"/>
      <c r="K130" s="447"/>
      <c r="L130" s="447"/>
      <c r="M130" s="447"/>
      <c r="N130" s="447"/>
      <c r="O130" s="447"/>
      <c r="P130" s="447"/>
      <c r="Q130" s="447"/>
      <c r="R130" s="525"/>
      <c r="S130" s="525"/>
      <c r="T130" s="525"/>
      <c r="U130" s="641"/>
      <c r="V130" s="430"/>
    </row>
    <row r="131" spans="1:23" s="431" customFormat="1" x14ac:dyDescent="0.3">
      <c r="A131" s="432"/>
      <c r="B131" s="433"/>
      <c r="C131" s="433"/>
      <c r="D131" s="433"/>
      <c r="E131" s="433"/>
      <c r="F131" s="433"/>
      <c r="G131" s="433"/>
      <c r="H131" s="433"/>
      <c r="I131" s="433"/>
      <c r="J131" s="433"/>
      <c r="K131" s="433"/>
      <c r="L131" s="433"/>
      <c r="M131" s="433"/>
      <c r="N131" s="433"/>
      <c r="O131" s="433"/>
      <c r="P131" s="433"/>
      <c r="Q131" s="433"/>
      <c r="R131" s="433"/>
      <c r="S131" s="433"/>
      <c r="T131" s="537"/>
      <c r="U131" s="641"/>
      <c r="V131" s="430"/>
    </row>
    <row r="132" spans="1:23" s="431" customFormat="1" ht="18.600000000000001" thickBot="1" x14ac:dyDescent="0.4">
      <c r="A132" s="500"/>
      <c r="B132" s="501" t="str">
        <f>B63</f>
        <v>PM11 INVESTOR REPORT QUARTER ENDING DECEMBER 2017</v>
      </c>
      <c r="C132" s="502"/>
      <c r="D132" s="502"/>
      <c r="E132" s="502"/>
      <c r="F132" s="502"/>
      <c r="G132" s="502"/>
      <c r="H132" s="502"/>
      <c r="I132" s="502"/>
      <c r="J132" s="502"/>
      <c r="K132" s="502"/>
      <c r="L132" s="502"/>
      <c r="M132" s="502"/>
      <c r="N132" s="502"/>
      <c r="O132" s="502"/>
      <c r="P132" s="502"/>
      <c r="Q132" s="502"/>
      <c r="R132" s="502"/>
      <c r="S132" s="502"/>
      <c r="T132" s="538"/>
      <c r="U132" s="504"/>
      <c r="V132" s="430"/>
    </row>
    <row r="133" spans="1:23" x14ac:dyDescent="0.3">
      <c r="A133" s="505"/>
      <c r="B133" s="506" t="s">
        <v>42</v>
      </c>
      <c r="C133" s="507"/>
      <c r="D133" s="507"/>
      <c r="E133" s="507"/>
      <c r="F133" s="507"/>
      <c r="G133" s="507"/>
      <c r="H133" s="507"/>
      <c r="I133" s="507"/>
      <c r="J133" s="507"/>
      <c r="K133" s="507"/>
      <c r="L133" s="507"/>
      <c r="M133" s="507"/>
      <c r="N133" s="507"/>
      <c r="O133" s="507"/>
      <c r="P133" s="507"/>
      <c r="Q133" s="507"/>
      <c r="R133" s="507"/>
      <c r="S133" s="507"/>
      <c r="T133" s="508"/>
      <c r="U133" s="509"/>
      <c r="V133" s="416"/>
    </row>
    <row r="134" spans="1:23" x14ac:dyDescent="0.3">
      <c r="A134" s="418"/>
      <c r="B134" s="539"/>
      <c r="C134" s="420"/>
      <c r="D134" s="420"/>
      <c r="E134" s="420"/>
      <c r="F134" s="420"/>
      <c r="G134" s="420"/>
      <c r="H134" s="420"/>
      <c r="I134" s="420"/>
      <c r="J134" s="420"/>
      <c r="K134" s="420"/>
      <c r="L134" s="420"/>
      <c r="M134" s="420"/>
      <c r="N134" s="420"/>
      <c r="O134" s="420"/>
      <c r="P134" s="420"/>
      <c r="Q134" s="420"/>
      <c r="R134" s="420"/>
      <c r="S134" s="420"/>
      <c r="T134" s="510"/>
      <c r="U134" s="639"/>
      <c r="V134" s="416"/>
    </row>
    <row r="135" spans="1:23" x14ac:dyDescent="0.3">
      <c r="A135" s="418"/>
      <c r="B135" s="540" t="s">
        <v>43</v>
      </c>
      <c r="C135" s="420"/>
      <c r="D135" s="420"/>
      <c r="E135" s="420"/>
      <c r="F135" s="420"/>
      <c r="G135" s="420"/>
      <c r="H135" s="420"/>
      <c r="I135" s="420"/>
      <c r="J135" s="420"/>
      <c r="K135" s="420"/>
      <c r="L135" s="420"/>
      <c r="M135" s="420"/>
      <c r="N135" s="420"/>
      <c r="O135" s="420"/>
      <c r="P135" s="420"/>
      <c r="Q135" s="420"/>
      <c r="R135" s="420"/>
      <c r="S135" s="420"/>
      <c r="T135" s="510"/>
      <c r="U135" s="639"/>
      <c r="V135" s="416"/>
    </row>
    <row r="136" spans="1:23" s="431" customFormat="1" x14ac:dyDescent="0.3">
      <c r="A136" s="449"/>
      <c r="B136" s="450" t="s">
        <v>44</v>
      </c>
      <c r="C136" s="450"/>
      <c r="D136" s="450"/>
      <c r="E136" s="450"/>
      <c r="F136" s="450"/>
      <c r="G136" s="450"/>
      <c r="H136" s="450"/>
      <c r="I136" s="450"/>
      <c r="J136" s="450"/>
      <c r="K136" s="450"/>
      <c r="L136" s="450"/>
      <c r="M136" s="450"/>
      <c r="N136" s="450"/>
      <c r="O136" s="450"/>
      <c r="P136" s="450"/>
      <c r="Q136" s="450"/>
      <c r="R136" s="450"/>
      <c r="S136" s="450"/>
      <c r="T136" s="515">
        <f>+T34*0.019</f>
        <v>19000.95</v>
      </c>
      <c r="U136" s="452"/>
      <c r="V136" s="430"/>
    </row>
    <row r="137" spans="1:23" s="431" customFormat="1" x14ac:dyDescent="0.3">
      <c r="A137" s="449"/>
      <c r="B137" s="450" t="s">
        <v>45</v>
      </c>
      <c r="C137" s="450"/>
      <c r="D137" s="450"/>
      <c r="E137" s="450"/>
      <c r="F137" s="450"/>
      <c r="G137" s="450"/>
      <c r="H137" s="450"/>
      <c r="I137" s="450"/>
      <c r="J137" s="450"/>
      <c r="K137" s="450"/>
      <c r="L137" s="450"/>
      <c r="M137" s="450"/>
      <c r="N137" s="450"/>
      <c r="O137" s="450"/>
      <c r="P137" s="450"/>
      <c r="Q137" s="450"/>
      <c r="R137" s="450"/>
      <c r="S137" s="450"/>
      <c r="T137" s="515">
        <v>19001</v>
      </c>
      <c r="U137" s="452"/>
      <c r="V137" s="430"/>
    </row>
    <row r="138" spans="1:23" s="431" customFormat="1" x14ac:dyDescent="0.3">
      <c r="A138" s="449"/>
      <c r="B138" s="450" t="s">
        <v>142</v>
      </c>
      <c r="C138" s="450"/>
      <c r="D138" s="450"/>
      <c r="E138" s="450"/>
      <c r="F138" s="450"/>
      <c r="G138" s="450"/>
      <c r="H138" s="450"/>
      <c r="I138" s="450"/>
      <c r="J138" s="450"/>
      <c r="K138" s="450"/>
      <c r="L138" s="450"/>
      <c r="M138" s="450"/>
      <c r="N138" s="450"/>
      <c r="O138" s="450"/>
      <c r="P138" s="450"/>
      <c r="Q138" s="450"/>
      <c r="R138" s="450"/>
      <c r="S138" s="450"/>
      <c r="T138" s="515">
        <v>0</v>
      </c>
      <c r="U138" s="452"/>
      <c r="V138" s="430"/>
    </row>
    <row r="139" spans="1:23" s="431" customFormat="1" x14ac:dyDescent="0.3">
      <c r="A139" s="449"/>
      <c r="B139" s="450" t="s">
        <v>129</v>
      </c>
      <c r="C139" s="450"/>
      <c r="D139" s="450"/>
      <c r="E139" s="450"/>
      <c r="F139" s="450"/>
      <c r="G139" s="450"/>
      <c r="H139" s="450"/>
      <c r="I139" s="450"/>
      <c r="J139" s="450"/>
      <c r="K139" s="450"/>
      <c r="L139" s="450"/>
      <c r="M139" s="450"/>
      <c r="N139" s="450"/>
      <c r="O139" s="450"/>
      <c r="P139" s="450"/>
      <c r="Q139" s="450"/>
      <c r="R139" s="450"/>
      <c r="S139" s="450"/>
      <c r="T139" s="515">
        <v>0</v>
      </c>
      <c r="U139" s="452"/>
      <c r="V139" s="430"/>
    </row>
    <row r="140" spans="1:23" s="431" customFormat="1" x14ac:dyDescent="0.3">
      <c r="A140" s="449"/>
      <c r="B140" s="450" t="s">
        <v>130</v>
      </c>
      <c r="C140" s="450"/>
      <c r="D140" s="450"/>
      <c r="E140" s="450"/>
      <c r="F140" s="450"/>
      <c r="G140" s="450"/>
      <c r="H140" s="450"/>
      <c r="I140" s="450"/>
      <c r="J140" s="450"/>
      <c r="K140" s="450"/>
      <c r="L140" s="450"/>
      <c r="M140" s="450"/>
      <c r="N140" s="450"/>
      <c r="O140" s="450"/>
      <c r="P140" s="450"/>
      <c r="Q140" s="450"/>
      <c r="R140" s="450"/>
      <c r="S140" s="450"/>
      <c r="T140" s="515">
        <v>0</v>
      </c>
      <c r="U140" s="452"/>
      <c r="V140" s="430"/>
    </row>
    <row r="141" spans="1:23" s="431" customFormat="1" x14ac:dyDescent="0.3">
      <c r="A141" s="449"/>
      <c r="B141" s="450" t="s">
        <v>182</v>
      </c>
      <c r="C141" s="450"/>
      <c r="D141" s="450"/>
      <c r="E141" s="450"/>
      <c r="F141" s="450"/>
      <c r="G141" s="450"/>
      <c r="H141" s="450"/>
      <c r="I141" s="450"/>
      <c r="J141" s="450"/>
      <c r="K141" s="450"/>
      <c r="L141" s="450"/>
      <c r="M141" s="450"/>
      <c r="N141" s="450"/>
      <c r="O141" s="450"/>
      <c r="P141" s="450"/>
      <c r="Q141" s="450"/>
      <c r="R141" s="450"/>
      <c r="S141" s="450"/>
      <c r="T141" s="515">
        <v>0</v>
      </c>
      <c r="U141" s="452"/>
      <c r="V141" s="430"/>
    </row>
    <row r="142" spans="1:23" s="431" customFormat="1" x14ac:dyDescent="0.3">
      <c r="A142" s="449"/>
      <c r="B142" s="450" t="s">
        <v>46</v>
      </c>
      <c r="C142" s="450"/>
      <c r="D142" s="450"/>
      <c r="E142" s="450"/>
      <c r="F142" s="450"/>
      <c r="G142" s="450"/>
      <c r="H142" s="450"/>
      <c r="I142" s="450"/>
      <c r="J142" s="450"/>
      <c r="K142" s="450"/>
      <c r="L142" s="450"/>
      <c r="M142" s="450"/>
      <c r="N142" s="450"/>
      <c r="O142" s="450"/>
      <c r="P142" s="450"/>
      <c r="Q142" s="450"/>
      <c r="R142" s="450"/>
      <c r="S142" s="450"/>
      <c r="T142" s="515">
        <v>0</v>
      </c>
      <c r="U142" s="452"/>
      <c r="V142" s="430"/>
    </row>
    <row r="143" spans="1:23" s="431" customFormat="1" x14ac:dyDescent="0.3">
      <c r="A143" s="449"/>
      <c r="B143" s="450" t="s">
        <v>135</v>
      </c>
      <c r="C143" s="450"/>
      <c r="D143" s="450"/>
      <c r="E143" s="450"/>
      <c r="F143" s="450"/>
      <c r="G143" s="450"/>
      <c r="H143" s="450"/>
      <c r="I143" s="450"/>
      <c r="J143" s="450"/>
      <c r="K143" s="450"/>
      <c r="L143" s="450"/>
      <c r="M143" s="450"/>
      <c r="N143" s="450"/>
      <c r="O143" s="450"/>
      <c r="P143" s="450"/>
      <c r="Q143" s="450"/>
      <c r="R143" s="450"/>
      <c r="S143" s="450"/>
      <c r="T143" s="515">
        <v>0</v>
      </c>
      <c r="U143" s="452"/>
      <c r="V143" s="430"/>
    </row>
    <row r="144" spans="1:23" s="431" customFormat="1" x14ac:dyDescent="0.3">
      <c r="A144" s="449"/>
      <c r="B144" s="450" t="s">
        <v>251</v>
      </c>
      <c r="C144" s="450"/>
      <c r="D144" s="450"/>
      <c r="E144" s="450"/>
      <c r="F144" s="450"/>
      <c r="G144" s="450"/>
      <c r="H144" s="450"/>
      <c r="I144" s="450"/>
      <c r="J144" s="450"/>
      <c r="K144" s="450"/>
      <c r="L144" s="450"/>
      <c r="M144" s="450"/>
      <c r="N144" s="450"/>
      <c r="O144" s="450"/>
      <c r="P144" s="450"/>
      <c r="Q144" s="450"/>
      <c r="R144" s="450"/>
      <c r="S144" s="450"/>
      <c r="T144" s="515">
        <v>0</v>
      </c>
      <c r="U144" s="452"/>
      <c r="V144" s="430"/>
      <c r="W144" s="533"/>
    </row>
    <row r="145" spans="1:22" s="431" customFormat="1" x14ac:dyDescent="0.3">
      <c r="A145" s="449"/>
      <c r="B145" s="450" t="s">
        <v>47</v>
      </c>
      <c r="C145" s="450"/>
      <c r="D145" s="450"/>
      <c r="E145" s="450"/>
      <c r="F145" s="450"/>
      <c r="G145" s="450"/>
      <c r="H145" s="450"/>
      <c r="I145" s="450"/>
      <c r="J145" s="450"/>
      <c r="K145" s="450"/>
      <c r="L145" s="450"/>
      <c r="M145" s="450"/>
      <c r="N145" s="450"/>
      <c r="O145" s="450"/>
      <c r="P145" s="450"/>
      <c r="Q145" s="450"/>
      <c r="R145" s="450"/>
      <c r="S145" s="450"/>
      <c r="T145" s="515">
        <f>SUM(T137:T144)</f>
        <v>19001</v>
      </c>
      <c r="U145" s="452"/>
      <c r="V145" s="430"/>
    </row>
    <row r="146" spans="1:22" x14ac:dyDescent="0.3">
      <c r="A146" s="468"/>
      <c r="B146" s="470"/>
      <c r="C146" s="470"/>
      <c r="D146" s="470"/>
      <c r="E146" s="470"/>
      <c r="F146" s="470"/>
      <c r="G146" s="470"/>
      <c r="H146" s="470"/>
      <c r="I146" s="470"/>
      <c r="J146" s="470"/>
      <c r="K146" s="470"/>
      <c r="L146" s="470"/>
      <c r="M146" s="470"/>
      <c r="N146" s="470"/>
      <c r="O146" s="470"/>
      <c r="P146" s="470"/>
      <c r="Q146" s="470"/>
      <c r="R146" s="470"/>
      <c r="S146" s="470"/>
      <c r="T146" s="531"/>
      <c r="U146" s="476"/>
      <c r="V146" s="416"/>
    </row>
    <row r="147" spans="1:22" x14ac:dyDescent="0.3">
      <c r="A147" s="468"/>
      <c r="B147" s="529" t="s">
        <v>262</v>
      </c>
      <c r="C147" s="470"/>
      <c r="D147" s="470"/>
      <c r="E147" s="470"/>
      <c r="F147" s="470"/>
      <c r="G147" s="470"/>
      <c r="H147" s="470"/>
      <c r="I147" s="470"/>
      <c r="J147" s="470"/>
      <c r="K147" s="470"/>
      <c r="L147" s="470"/>
      <c r="M147" s="470"/>
      <c r="N147" s="470"/>
      <c r="O147" s="470"/>
      <c r="P147" s="470"/>
      <c r="Q147" s="470"/>
      <c r="R147" s="470"/>
      <c r="S147" s="470"/>
      <c r="T147" s="531"/>
      <c r="U147" s="476"/>
      <c r="V147" s="416"/>
    </row>
    <row r="148" spans="1:22" s="431" customFormat="1" x14ac:dyDescent="0.3">
      <c r="A148" s="449"/>
      <c r="B148" s="450" t="s">
        <v>263</v>
      </c>
      <c r="C148" s="450"/>
      <c r="D148" s="450"/>
      <c r="E148" s="450"/>
      <c r="F148" s="450"/>
      <c r="G148" s="450"/>
      <c r="H148" s="450"/>
      <c r="I148" s="450"/>
      <c r="J148" s="450"/>
      <c r="K148" s="450"/>
      <c r="L148" s="450"/>
      <c r="M148" s="450"/>
      <c r="N148" s="450"/>
      <c r="O148" s="450"/>
      <c r="P148" s="450"/>
      <c r="Q148" s="450"/>
      <c r="R148" s="450"/>
      <c r="S148" s="450"/>
      <c r="T148" s="515">
        <v>0</v>
      </c>
      <c r="U148" s="452"/>
      <c r="V148" s="430"/>
    </row>
    <row r="149" spans="1:22" s="431" customFormat="1" x14ac:dyDescent="0.3">
      <c r="A149" s="449"/>
      <c r="B149" s="450" t="s">
        <v>179</v>
      </c>
      <c r="C149" s="450"/>
      <c r="D149" s="450"/>
      <c r="E149" s="450"/>
      <c r="F149" s="450"/>
      <c r="G149" s="450"/>
      <c r="H149" s="450"/>
      <c r="I149" s="450"/>
      <c r="J149" s="450"/>
      <c r="K149" s="450"/>
      <c r="L149" s="450"/>
      <c r="M149" s="450"/>
      <c r="N149" s="450"/>
      <c r="O149" s="450"/>
      <c r="P149" s="450"/>
      <c r="Q149" s="450"/>
      <c r="R149" s="450"/>
      <c r="S149" s="450"/>
      <c r="T149" s="515">
        <v>0</v>
      </c>
      <c r="U149" s="452"/>
      <c r="V149" s="430"/>
    </row>
    <row r="150" spans="1:22" s="431" customFormat="1" x14ac:dyDescent="0.3">
      <c r="A150" s="449"/>
      <c r="B150" s="450" t="s">
        <v>264</v>
      </c>
      <c r="C150" s="450"/>
      <c r="D150" s="450"/>
      <c r="E150" s="450"/>
      <c r="F150" s="450"/>
      <c r="G150" s="450"/>
      <c r="H150" s="450"/>
      <c r="I150" s="450"/>
      <c r="J150" s="450"/>
      <c r="K150" s="450"/>
      <c r="L150" s="450"/>
      <c r="M150" s="450"/>
      <c r="N150" s="450"/>
      <c r="O150" s="450"/>
      <c r="P150" s="450"/>
      <c r="Q150" s="450"/>
      <c r="R150" s="450"/>
      <c r="S150" s="450"/>
      <c r="T150" s="515">
        <v>0</v>
      </c>
      <c r="U150" s="452"/>
      <c r="V150" s="430"/>
    </row>
    <row r="151" spans="1:22" x14ac:dyDescent="0.3">
      <c r="A151" s="468"/>
      <c r="B151" s="541"/>
      <c r="C151" s="541"/>
      <c r="D151" s="541"/>
      <c r="E151" s="541"/>
      <c r="F151" s="541"/>
      <c r="G151" s="541"/>
      <c r="H151" s="541"/>
      <c r="I151" s="541"/>
      <c r="J151" s="541"/>
      <c r="K151" s="541"/>
      <c r="L151" s="541"/>
      <c r="M151" s="541"/>
      <c r="N151" s="541"/>
      <c r="O151" s="541"/>
      <c r="P151" s="541"/>
      <c r="Q151" s="541"/>
      <c r="R151" s="541"/>
      <c r="S151" s="541"/>
      <c r="T151" s="542"/>
      <c r="U151" s="543"/>
      <c r="V151" s="416"/>
    </row>
    <row r="152" spans="1:22" x14ac:dyDescent="0.3">
      <c r="A152" s="418"/>
      <c r="B152" s="516"/>
      <c r="C152" s="516"/>
      <c r="D152" s="516"/>
      <c r="E152" s="516"/>
      <c r="F152" s="516"/>
      <c r="G152" s="516"/>
      <c r="H152" s="516"/>
      <c r="I152" s="516"/>
      <c r="J152" s="516"/>
      <c r="K152" s="516"/>
      <c r="L152" s="516"/>
      <c r="M152" s="516"/>
      <c r="N152" s="516"/>
      <c r="O152" s="516"/>
      <c r="P152" s="516"/>
      <c r="Q152" s="516"/>
      <c r="R152" s="516"/>
      <c r="S152" s="516"/>
      <c r="T152" s="544"/>
      <c r="U152" s="639"/>
      <c r="V152" s="416"/>
    </row>
    <row r="153" spans="1:22" x14ac:dyDescent="0.3">
      <c r="A153" s="418"/>
      <c r="B153" s="540" t="s">
        <v>24</v>
      </c>
      <c r="C153" s="420"/>
      <c r="D153" s="420"/>
      <c r="E153" s="420"/>
      <c r="F153" s="420"/>
      <c r="G153" s="420"/>
      <c r="H153" s="420"/>
      <c r="I153" s="420"/>
      <c r="J153" s="420"/>
      <c r="K153" s="420"/>
      <c r="L153" s="420"/>
      <c r="M153" s="420"/>
      <c r="N153" s="420"/>
      <c r="O153" s="420"/>
      <c r="P153" s="420"/>
      <c r="Q153" s="420"/>
      <c r="R153" s="420"/>
      <c r="S153" s="420"/>
      <c r="T153" s="510"/>
      <c r="U153" s="639"/>
      <c r="V153" s="416"/>
    </row>
    <row r="154" spans="1:22" s="431" customFormat="1" x14ac:dyDescent="0.3">
      <c r="A154" s="449"/>
      <c r="B154" s="450" t="s">
        <v>48</v>
      </c>
      <c r="C154" s="450"/>
      <c r="D154" s="450"/>
      <c r="E154" s="450"/>
      <c r="F154" s="450"/>
      <c r="G154" s="450"/>
      <c r="H154" s="450"/>
      <c r="I154" s="450"/>
      <c r="J154" s="450"/>
      <c r="K154" s="450"/>
      <c r="L154" s="450"/>
      <c r="M154" s="450"/>
      <c r="N154" s="450"/>
      <c r="O154" s="450"/>
      <c r="P154" s="450"/>
      <c r="Q154" s="450"/>
      <c r="R154" s="450"/>
      <c r="S154" s="450"/>
      <c r="T154" s="545" t="s">
        <v>124</v>
      </c>
      <c r="U154" s="452"/>
      <c r="V154" s="430"/>
    </row>
    <row r="155" spans="1:22" s="431" customFormat="1" x14ac:dyDescent="0.3">
      <c r="A155" s="449"/>
      <c r="B155" s="450" t="s">
        <v>49</v>
      </c>
      <c r="C155" s="450"/>
      <c r="D155" s="450"/>
      <c r="E155" s="450"/>
      <c r="F155" s="450"/>
      <c r="G155" s="450"/>
      <c r="H155" s="450"/>
      <c r="I155" s="450"/>
      <c r="J155" s="450"/>
      <c r="K155" s="450"/>
      <c r="L155" s="450"/>
      <c r="M155" s="450"/>
      <c r="N155" s="450"/>
      <c r="O155" s="450"/>
      <c r="P155" s="450"/>
      <c r="Q155" s="450"/>
      <c r="R155" s="450"/>
      <c r="S155" s="450"/>
      <c r="T155" s="545" t="s">
        <v>124</v>
      </c>
      <c r="U155" s="452"/>
      <c r="V155" s="430"/>
    </row>
    <row r="156" spans="1:22" s="431" customFormat="1" x14ac:dyDescent="0.3">
      <c r="A156" s="449"/>
      <c r="B156" s="450" t="s">
        <v>50</v>
      </c>
      <c r="C156" s="450"/>
      <c r="D156" s="450"/>
      <c r="E156" s="450"/>
      <c r="F156" s="450"/>
      <c r="G156" s="450"/>
      <c r="H156" s="450"/>
      <c r="I156" s="450"/>
      <c r="J156" s="450"/>
      <c r="K156" s="450"/>
      <c r="L156" s="450"/>
      <c r="M156" s="450"/>
      <c r="N156" s="450"/>
      <c r="O156" s="450"/>
      <c r="P156" s="450"/>
      <c r="Q156" s="450"/>
      <c r="R156" s="450"/>
      <c r="S156" s="450"/>
      <c r="T156" s="545" t="s">
        <v>124</v>
      </c>
      <c r="U156" s="452"/>
      <c r="V156" s="430"/>
    </row>
    <row r="157" spans="1:22" s="431" customFormat="1" x14ac:dyDescent="0.3">
      <c r="A157" s="449"/>
      <c r="B157" s="450" t="s">
        <v>51</v>
      </c>
      <c r="C157" s="450"/>
      <c r="D157" s="450"/>
      <c r="E157" s="450"/>
      <c r="F157" s="450"/>
      <c r="G157" s="450"/>
      <c r="H157" s="450"/>
      <c r="I157" s="450"/>
      <c r="J157" s="450"/>
      <c r="K157" s="450"/>
      <c r="L157" s="450"/>
      <c r="M157" s="450"/>
      <c r="N157" s="450"/>
      <c r="O157" s="450"/>
      <c r="P157" s="450"/>
      <c r="Q157" s="450"/>
      <c r="R157" s="450"/>
      <c r="S157" s="450"/>
      <c r="T157" s="545" t="s">
        <v>124</v>
      </c>
      <c r="U157" s="452"/>
      <c r="V157" s="430"/>
    </row>
    <row r="158" spans="1:22" x14ac:dyDescent="0.3">
      <c r="A158" s="418"/>
      <c r="B158" s="516"/>
      <c r="C158" s="516"/>
      <c r="D158" s="516"/>
      <c r="E158" s="516"/>
      <c r="F158" s="516"/>
      <c r="G158" s="516"/>
      <c r="H158" s="516"/>
      <c r="I158" s="516"/>
      <c r="J158" s="516"/>
      <c r="K158" s="516"/>
      <c r="L158" s="516"/>
      <c r="M158" s="516"/>
      <c r="N158" s="516"/>
      <c r="O158" s="516"/>
      <c r="P158" s="516"/>
      <c r="Q158" s="516"/>
      <c r="R158" s="516"/>
      <c r="S158" s="516"/>
      <c r="T158" s="544"/>
      <c r="U158" s="639"/>
      <c r="V158" s="416"/>
    </row>
    <row r="159" spans="1:22" x14ac:dyDescent="0.3">
      <c r="A159" s="418"/>
      <c r="B159" s="540" t="s">
        <v>52</v>
      </c>
      <c r="C159" s="420"/>
      <c r="D159" s="420"/>
      <c r="E159" s="420"/>
      <c r="F159" s="420"/>
      <c r="G159" s="420"/>
      <c r="H159" s="420"/>
      <c r="I159" s="420"/>
      <c r="J159" s="420"/>
      <c r="K159" s="420"/>
      <c r="L159" s="420"/>
      <c r="M159" s="420"/>
      <c r="N159" s="420"/>
      <c r="O159" s="420"/>
      <c r="P159" s="420"/>
      <c r="Q159" s="420"/>
      <c r="R159" s="420"/>
      <c r="S159" s="420"/>
      <c r="T159" s="546"/>
      <c r="U159" s="639"/>
      <c r="V159" s="416"/>
    </row>
    <row r="160" spans="1:22" s="431" customFormat="1" x14ac:dyDescent="0.3">
      <c r="A160" s="449"/>
      <c r="B160" s="450" t="s">
        <v>53</v>
      </c>
      <c r="C160" s="450"/>
      <c r="D160" s="450"/>
      <c r="E160" s="450"/>
      <c r="F160" s="450"/>
      <c r="G160" s="450"/>
      <c r="H160" s="450"/>
      <c r="I160" s="450"/>
      <c r="J160" s="450"/>
      <c r="K160" s="450"/>
      <c r="L160" s="450"/>
      <c r="M160" s="450"/>
      <c r="N160" s="450"/>
      <c r="O160" s="450"/>
      <c r="P160" s="450"/>
      <c r="Q160" s="450"/>
      <c r="R160" s="450"/>
      <c r="S160" s="450"/>
      <c r="T160" s="515">
        <v>0</v>
      </c>
      <c r="U160" s="452"/>
      <c r="V160" s="430"/>
    </row>
    <row r="161" spans="1:22" s="431" customFormat="1" x14ac:dyDescent="0.3">
      <c r="A161" s="449"/>
      <c r="B161" s="450" t="s">
        <v>54</v>
      </c>
      <c r="C161" s="450"/>
      <c r="D161" s="450"/>
      <c r="E161" s="450"/>
      <c r="F161" s="450"/>
      <c r="G161" s="450"/>
      <c r="H161" s="450"/>
      <c r="I161" s="450"/>
      <c r="J161" s="450"/>
      <c r="K161" s="450"/>
      <c r="L161" s="450"/>
      <c r="M161" s="450"/>
      <c r="N161" s="450"/>
      <c r="O161" s="450"/>
      <c r="P161" s="450"/>
      <c r="Q161" s="450"/>
      <c r="R161" s="450"/>
      <c r="S161" s="450"/>
      <c r="T161" s="515">
        <f>R112</f>
        <v>-14</v>
      </c>
      <c r="U161" s="452"/>
      <c r="V161" s="430"/>
    </row>
    <row r="162" spans="1:22" s="431" customFormat="1" x14ac:dyDescent="0.3">
      <c r="A162" s="449"/>
      <c r="B162" s="450" t="s">
        <v>55</v>
      </c>
      <c r="C162" s="450"/>
      <c r="D162" s="450"/>
      <c r="E162" s="450"/>
      <c r="F162" s="450"/>
      <c r="G162" s="450"/>
      <c r="H162" s="450"/>
      <c r="I162" s="450"/>
      <c r="J162" s="450"/>
      <c r="K162" s="450"/>
      <c r="L162" s="450"/>
      <c r="M162" s="450"/>
      <c r="N162" s="450"/>
      <c r="O162" s="450"/>
      <c r="P162" s="450"/>
      <c r="Q162" s="450"/>
      <c r="R162" s="450"/>
      <c r="S162" s="450"/>
      <c r="T162" s="515">
        <f>T161+T160</f>
        <v>-14</v>
      </c>
      <c r="U162" s="452"/>
      <c r="V162" s="430"/>
    </row>
    <row r="163" spans="1:22" s="431" customFormat="1" x14ac:dyDescent="0.3">
      <c r="A163" s="449"/>
      <c r="B163" s="450" t="s">
        <v>301</v>
      </c>
      <c r="C163" s="450"/>
      <c r="D163" s="450"/>
      <c r="E163" s="450"/>
      <c r="F163" s="450"/>
      <c r="G163" s="450"/>
      <c r="H163" s="450"/>
      <c r="I163" s="450"/>
      <c r="J163" s="450"/>
      <c r="K163" s="450"/>
      <c r="L163" s="450"/>
      <c r="M163" s="450"/>
      <c r="N163" s="450"/>
      <c r="O163" s="450"/>
      <c r="P163" s="450"/>
      <c r="Q163" s="450"/>
      <c r="R163" s="450"/>
      <c r="S163" s="450"/>
      <c r="T163" s="515">
        <f>T112</f>
        <v>14</v>
      </c>
      <c r="U163" s="452"/>
      <c r="V163" s="430"/>
    </row>
    <row r="164" spans="1:22" s="431" customFormat="1" x14ac:dyDescent="0.3">
      <c r="A164" s="449"/>
      <c r="B164" s="450" t="s">
        <v>56</v>
      </c>
      <c r="C164" s="450"/>
      <c r="D164" s="450"/>
      <c r="E164" s="450"/>
      <c r="F164" s="450"/>
      <c r="G164" s="450"/>
      <c r="H164" s="450"/>
      <c r="I164" s="450"/>
      <c r="J164" s="450"/>
      <c r="K164" s="450"/>
      <c r="L164" s="450"/>
      <c r="M164" s="450"/>
      <c r="N164" s="450"/>
      <c r="O164" s="450"/>
      <c r="P164" s="450"/>
      <c r="Q164" s="450"/>
      <c r="R164" s="450"/>
      <c r="S164" s="450"/>
      <c r="T164" s="515">
        <f>T162+T163</f>
        <v>0</v>
      </c>
      <c r="U164" s="452"/>
      <c r="V164" s="430"/>
    </row>
    <row r="165" spans="1:22" s="431" customFormat="1" x14ac:dyDescent="0.3">
      <c r="A165" s="449"/>
      <c r="B165" s="450" t="s">
        <v>273</v>
      </c>
      <c r="C165" s="450"/>
      <c r="D165" s="450"/>
      <c r="E165" s="450"/>
      <c r="F165" s="450"/>
      <c r="G165" s="450"/>
      <c r="H165" s="450"/>
      <c r="I165" s="450"/>
      <c r="J165" s="450"/>
      <c r="K165" s="450"/>
      <c r="L165" s="450"/>
      <c r="M165" s="450"/>
      <c r="N165" s="450"/>
      <c r="O165" s="450"/>
      <c r="P165" s="450"/>
      <c r="Q165" s="450"/>
      <c r="R165" s="450"/>
      <c r="S165" s="450"/>
      <c r="T165" s="515">
        <f>-T98</f>
        <v>199</v>
      </c>
      <c r="U165" s="452"/>
      <c r="V165" s="430"/>
    </row>
    <row r="166" spans="1:22" ht="16.2" thickBot="1" x14ac:dyDescent="0.35">
      <c r="A166" s="418"/>
      <c r="B166" s="516"/>
      <c r="C166" s="516"/>
      <c r="D166" s="516"/>
      <c r="E166" s="516"/>
      <c r="F166" s="516"/>
      <c r="G166" s="516"/>
      <c r="H166" s="516"/>
      <c r="I166" s="516"/>
      <c r="J166" s="516"/>
      <c r="K166" s="516"/>
      <c r="L166" s="516"/>
      <c r="M166" s="516"/>
      <c r="N166" s="516"/>
      <c r="O166" s="516"/>
      <c r="P166" s="516"/>
      <c r="Q166" s="516"/>
      <c r="R166" s="516"/>
      <c r="S166" s="516"/>
      <c r="T166" s="544"/>
      <c r="U166" s="639"/>
      <c r="V166" s="416"/>
    </row>
    <row r="167" spans="1:22" x14ac:dyDescent="0.3">
      <c r="A167" s="547"/>
      <c r="B167" s="415"/>
      <c r="C167" s="415"/>
      <c r="D167" s="415"/>
      <c r="E167" s="415"/>
      <c r="F167" s="415"/>
      <c r="G167" s="415"/>
      <c r="H167" s="415"/>
      <c r="I167" s="415"/>
      <c r="J167" s="415"/>
      <c r="K167" s="415"/>
      <c r="L167" s="415"/>
      <c r="M167" s="415"/>
      <c r="N167" s="415"/>
      <c r="O167" s="415"/>
      <c r="P167" s="415"/>
      <c r="Q167" s="415"/>
      <c r="R167" s="415"/>
      <c r="S167" s="415"/>
      <c r="T167" s="548"/>
      <c r="U167" s="638"/>
      <c r="V167" s="416"/>
    </row>
    <row r="168" spans="1:22" x14ac:dyDescent="0.3">
      <c r="A168" s="418"/>
      <c r="B168" s="540" t="s">
        <v>57</v>
      </c>
      <c r="C168" s="420"/>
      <c r="D168" s="420"/>
      <c r="E168" s="420"/>
      <c r="F168" s="420"/>
      <c r="G168" s="420"/>
      <c r="H168" s="420"/>
      <c r="I168" s="420"/>
      <c r="J168" s="420"/>
      <c r="K168" s="420"/>
      <c r="L168" s="420"/>
      <c r="M168" s="420"/>
      <c r="N168" s="420"/>
      <c r="O168" s="420"/>
      <c r="P168" s="420"/>
      <c r="Q168" s="420"/>
      <c r="R168" s="420"/>
      <c r="S168" s="420"/>
      <c r="T168" s="510"/>
      <c r="U168" s="639"/>
      <c r="V168" s="416"/>
    </row>
    <row r="169" spans="1:22" x14ac:dyDescent="0.3">
      <c r="A169" s="418"/>
      <c r="B169" s="540"/>
      <c r="C169" s="420"/>
      <c r="D169" s="420"/>
      <c r="E169" s="420"/>
      <c r="F169" s="420"/>
      <c r="G169" s="420"/>
      <c r="H169" s="420"/>
      <c r="I169" s="420"/>
      <c r="J169" s="420"/>
      <c r="K169" s="420"/>
      <c r="L169" s="420"/>
      <c r="M169" s="420"/>
      <c r="N169" s="420"/>
      <c r="O169" s="420"/>
      <c r="P169" s="420"/>
      <c r="Q169" s="420"/>
      <c r="R169" s="420"/>
      <c r="S169" s="420"/>
      <c r="T169" s="510"/>
      <c r="U169" s="639"/>
      <c r="V169" s="416"/>
    </row>
    <row r="170" spans="1:22" s="431" customFormat="1" x14ac:dyDescent="0.3">
      <c r="A170" s="449"/>
      <c r="B170" s="450" t="s">
        <v>58</v>
      </c>
      <c r="C170" s="450"/>
      <c r="D170" s="450"/>
      <c r="E170" s="450"/>
      <c r="F170" s="450"/>
      <c r="G170" s="450"/>
      <c r="H170" s="450"/>
      <c r="I170" s="450"/>
      <c r="J170" s="450"/>
      <c r="K170" s="450"/>
      <c r="L170" s="450"/>
      <c r="M170" s="450"/>
      <c r="N170" s="450"/>
      <c r="O170" s="450"/>
      <c r="P170" s="450"/>
      <c r="Q170" s="450"/>
      <c r="R170" s="450"/>
      <c r="S170" s="450"/>
      <c r="T170" s="515">
        <f>T70</f>
        <v>418613</v>
      </c>
      <c r="U170" s="452"/>
      <c r="V170" s="430"/>
    </row>
    <row r="171" spans="1:22" s="431" customFormat="1" x14ac:dyDescent="0.3">
      <c r="A171" s="449"/>
      <c r="B171" s="450" t="s">
        <v>59</v>
      </c>
      <c r="C171" s="450"/>
      <c r="D171" s="450"/>
      <c r="E171" s="450"/>
      <c r="F171" s="450"/>
      <c r="G171" s="450"/>
      <c r="H171" s="450"/>
      <c r="I171" s="450"/>
      <c r="J171" s="450"/>
      <c r="K171" s="450"/>
      <c r="L171" s="450"/>
      <c r="M171" s="450"/>
      <c r="N171" s="450"/>
      <c r="O171" s="450"/>
      <c r="P171" s="450"/>
      <c r="Q171" s="450"/>
      <c r="R171" s="450"/>
      <c r="S171" s="450"/>
      <c r="T171" s="515">
        <f>T83</f>
        <v>418613</v>
      </c>
      <c r="U171" s="452"/>
      <c r="V171" s="430"/>
    </row>
    <row r="172" spans="1:22" ht="16.2" thickBot="1" x14ac:dyDescent="0.35">
      <c r="A172" s="418"/>
      <c r="B172" s="516"/>
      <c r="C172" s="516"/>
      <c r="D172" s="516"/>
      <c r="E172" s="516"/>
      <c r="F172" s="516"/>
      <c r="G172" s="516"/>
      <c r="H172" s="516"/>
      <c r="I172" s="516"/>
      <c r="J172" s="516"/>
      <c r="K172" s="516"/>
      <c r="L172" s="516"/>
      <c r="M172" s="516"/>
      <c r="N172" s="516"/>
      <c r="O172" s="516"/>
      <c r="P172" s="516"/>
      <c r="Q172" s="516"/>
      <c r="R172" s="516"/>
      <c r="S172" s="516"/>
      <c r="T172" s="544"/>
      <c r="U172" s="639"/>
      <c r="V172" s="416"/>
    </row>
    <row r="173" spans="1:22" x14ac:dyDescent="0.3">
      <c r="A173" s="547"/>
      <c r="B173" s="415"/>
      <c r="C173" s="415"/>
      <c r="D173" s="415"/>
      <c r="E173" s="415"/>
      <c r="F173" s="415"/>
      <c r="G173" s="415"/>
      <c r="H173" s="415"/>
      <c r="I173" s="415"/>
      <c r="J173" s="415"/>
      <c r="K173" s="415"/>
      <c r="L173" s="415"/>
      <c r="M173" s="415"/>
      <c r="N173" s="415"/>
      <c r="O173" s="415"/>
      <c r="P173" s="415"/>
      <c r="Q173" s="415"/>
      <c r="R173" s="415"/>
      <c r="S173" s="415"/>
      <c r="T173" s="548"/>
      <c r="U173" s="638"/>
      <c r="V173" s="416"/>
    </row>
    <row r="174" spans="1:22" x14ac:dyDescent="0.3">
      <c r="A174" s="418"/>
      <c r="B174" s="540" t="s">
        <v>60</v>
      </c>
      <c r="C174" s="549"/>
      <c r="D174" s="549"/>
      <c r="E174" s="549"/>
      <c r="F174" s="549"/>
      <c r="G174" s="549"/>
      <c r="H174" s="550"/>
      <c r="I174" s="550"/>
      <c r="J174" s="550"/>
      <c r="K174" s="550"/>
      <c r="L174" s="550"/>
      <c r="M174" s="550"/>
      <c r="N174" s="550"/>
      <c r="O174" s="550"/>
      <c r="P174" s="550"/>
      <c r="Q174" s="550" t="s">
        <v>104</v>
      </c>
      <c r="R174" s="550" t="s">
        <v>183</v>
      </c>
      <c r="S174" s="422"/>
      <c r="T174" s="551" t="s">
        <v>120</v>
      </c>
      <c r="U174" s="643"/>
      <c r="V174" s="416"/>
    </row>
    <row r="175" spans="1:22" s="431" customFormat="1" x14ac:dyDescent="0.3">
      <c r="A175" s="449"/>
      <c r="B175" s="450" t="s">
        <v>61</v>
      </c>
      <c r="C175" s="450"/>
      <c r="D175" s="450"/>
      <c r="E175" s="450"/>
      <c r="F175" s="450"/>
      <c r="G175" s="450"/>
      <c r="H175" s="450"/>
      <c r="I175" s="450"/>
      <c r="J175" s="450"/>
      <c r="K175" s="450"/>
      <c r="L175" s="450"/>
      <c r="M175" s="450"/>
      <c r="N175" s="450"/>
      <c r="O175" s="450"/>
      <c r="P175" s="450"/>
      <c r="Q175" s="515">
        <v>160008</v>
      </c>
      <c r="R175" s="486"/>
      <c r="S175" s="450"/>
      <c r="T175" s="515"/>
      <c r="U175" s="452"/>
      <c r="V175" s="430"/>
    </row>
    <row r="176" spans="1:22" s="431" customFormat="1" x14ac:dyDescent="0.3">
      <c r="A176" s="449"/>
      <c r="B176" s="450" t="s">
        <v>62</v>
      </c>
      <c r="C176" s="450"/>
      <c r="D176" s="450"/>
      <c r="E176" s="450"/>
      <c r="F176" s="450"/>
      <c r="G176" s="450"/>
      <c r="H176" s="450"/>
      <c r="I176" s="450"/>
      <c r="J176" s="450"/>
      <c r="K176" s="450"/>
      <c r="L176" s="450"/>
      <c r="M176" s="450"/>
      <c r="N176" s="450"/>
      <c r="O176" s="450"/>
      <c r="P176" s="450"/>
      <c r="Q176" s="515">
        <f>+'Sept 17'!Q178</f>
        <v>40695</v>
      </c>
      <c r="R176" s="515">
        <f>+'Sept 17'!R178</f>
        <v>3447</v>
      </c>
      <c r="S176" s="450"/>
      <c r="T176" s="515">
        <f>Q176+R176</f>
        <v>44142</v>
      </c>
      <c r="U176" s="452"/>
      <c r="V176" s="430"/>
    </row>
    <row r="177" spans="1:22" s="431" customFormat="1" x14ac:dyDescent="0.3">
      <c r="A177" s="449"/>
      <c r="B177" s="450" t="s">
        <v>63</v>
      </c>
      <c r="C177" s="450"/>
      <c r="D177" s="450"/>
      <c r="E177" s="450"/>
      <c r="F177" s="450"/>
      <c r="G177" s="450"/>
      <c r="H177" s="450"/>
      <c r="I177" s="450"/>
      <c r="J177" s="450"/>
      <c r="K177" s="450"/>
      <c r="L177" s="450"/>
      <c r="M177" s="450"/>
      <c r="N177" s="450"/>
      <c r="O177" s="450"/>
      <c r="P177" s="450"/>
      <c r="Q177" s="514">
        <f>62+49</f>
        <v>111</v>
      </c>
      <c r="R177" s="514">
        <v>0</v>
      </c>
      <c r="S177" s="450"/>
      <c r="T177" s="515">
        <f>Q177+R177</f>
        <v>111</v>
      </c>
      <c r="U177" s="452"/>
      <c r="V177" s="430"/>
    </row>
    <row r="178" spans="1:22" s="431" customFormat="1" x14ac:dyDescent="0.3">
      <c r="A178" s="449"/>
      <c r="B178" s="450" t="s">
        <v>64</v>
      </c>
      <c r="C178" s="450"/>
      <c r="D178" s="450"/>
      <c r="E178" s="450"/>
      <c r="F178" s="450"/>
      <c r="G178" s="450"/>
      <c r="H178" s="450"/>
      <c r="I178" s="450"/>
      <c r="J178" s="450"/>
      <c r="K178" s="450"/>
      <c r="L178" s="450"/>
      <c r="M178" s="450"/>
      <c r="N178" s="450"/>
      <c r="O178" s="450"/>
      <c r="P178" s="450"/>
      <c r="Q178" s="515">
        <f>Q176+Q177</f>
        <v>40806</v>
      </c>
      <c r="R178" s="515">
        <f>R177+R176</f>
        <v>3447</v>
      </c>
      <c r="S178" s="450"/>
      <c r="T178" s="515">
        <f>Q178+R178</f>
        <v>44253</v>
      </c>
      <c r="U178" s="452"/>
      <c r="V178" s="430"/>
    </row>
    <row r="179" spans="1:22" s="431" customFormat="1" x14ac:dyDescent="0.3">
      <c r="A179" s="449"/>
      <c r="B179" s="450" t="s">
        <v>65</v>
      </c>
      <c r="C179" s="450"/>
      <c r="D179" s="450"/>
      <c r="E179" s="450"/>
      <c r="F179" s="450"/>
      <c r="G179" s="450"/>
      <c r="H179" s="450"/>
      <c r="I179" s="450"/>
      <c r="J179" s="450"/>
      <c r="K179" s="450"/>
      <c r="L179" s="450"/>
      <c r="M179" s="450"/>
      <c r="N179" s="450"/>
      <c r="O179" s="450"/>
      <c r="P179" s="450"/>
      <c r="Q179" s="515">
        <f>Q175-Q178-R178</f>
        <v>115755</v>
      </c>
      <c r="R179" s="486"/>
      <c r="S179" s="450"/>
      <c r="T179" s="515"/>
      <c r="U179" s="452"/>
      <c r="V179" s="430"/>
    </row>
    <row r="180" spans="1:22" ht="16.2" thickBot="1" x14ac:dyDescent="0.35">
      <c r="A180" s="418"/>
      <c r="B180" s="516"/>
      <c r="C180" s="516"/>
      <c r="D180" s="516"/>
      <c r="E180" s="516"/>
      <c r="F180" s="516"/>
      <c r="G180" s="516"/>
      <c r="H180" s="516"/>
      <c r="I180" s="516"/>
      <c r="J180" s="516"/>
      <c r="K180" s="516"/>
      <c r="L180" s="516"/>
      <c r="M180" s="516"/>
      <c r="N180" s="516"/>
      <c r="O180" s="516"/>
      <c r="P180" s="516"/>
      <c r="Q180" s="516"/>
      <c r="R180" s="516"/>
      <c r="S180" s="516"/>
      <c r="T180" s="544"/>
      <c r="U180" s="639"/>
      <c r="V180" s="416"/>
    </row>
    <row r="181" spans="1:22" x14ac:dyDescent="0.3">
      <c r="A181" s="547"/>
      <c r="B181" s="415"/>
      <c r="C181" s="415"/>
      <c r="D181" s="415"/>
      <c r="E181" s="415"/>
      <c r="F181" s="415"/>
      <c r="G181" s="415"/>
      <c r="H181" s="415"/>
      <c r="I181" s="415"/>
      <c r="J181" s="415"/>
      <c r="K181" s="415"/>
      <c r="L181" s="415"/>
      <c r="M181" s="415"/>
      <c r="N181" s="415"/>
      <c r="O181" s="415"/>
      <c r="P181" s="415"/>
      <c r="Q181" s="415"/>
      <c r="R181" s="415"/>
      <c r="S181" s="415"/>
      <c r="T181" s="548"/>
      <c r="U181" s="638"/>
      <c r="V181" s="416"/>
    </row>
    <row r="182" spans="1:22" x14ac:dyDescent="0.3">
      <c r="A182" s="418"/>
      <c r="B182" s="540" t="s">
        <v>66</v>
      </c>
      <c r="C182" s="420"/>
      <c r="D182" s="420"/>
      <c r="E182" s="420"/>
      <c r="F182" s="420"/>
      <c r="G182" s="420"/>
      <c r="H182" s="420"/>
      <c r="I182" s="420"/>
      <c r="J182" s="420"/>
      <c r="K182" s="420"/>
      <c r="L182" s="420"/>
      <c r="M182" s="420"/>
      <c r="N182" s="420"/>
      <c r="O182" s="420"/>
      <c r="P182" s="420"/>
      <c r="Q182" s="420"/>
      <c r="R182" s="420"/>
      <c r="S182" s="420"/>
      <c r="T182" s="552"/>
      <c r="U182" s="639"/>
      <c r="V182" s="416"/>
    </row>
    <row r="183" spans="1:22" s="431" customFormat="1" x14ac:dyDescent="0.3">
      <c r="A183" s="449"/>
      <c r="B183" s="450" t="s">
        <v>67</v>
      </c>
      <c r="C183" s="450"/>
      <c r="D183" s="450"/>
      <c r="E183" s="450"/>
      <c r="F183" s="450"/>
      <c r="G183" s="450"/>
      <c r="H183" s="450"/>
      <c r="I183" s="450"/>
      <c r="J183" s="450"/>
      <c r="K183" s="450"/>
      <c r="L183" s="450"/>
      <c r="M183" s="450"/>
      <c r="N183" s="450"/>
      <c r="O183" s="450"/>
      <c r="P183" s="450"/>
      <c r="Q183" s="450"/>
      <c r="R183" s="450"/>
      <c r="S183" s="450"/>
      <c r="T183" s="545">
        <f>(T99+T101+T102+T103+T104)/-(T105+T106)</f>
        <v>5.1682692307692308</v>
      </c>
      <c r="U183" s="452" t="s">
        <v>121</v>
      </c>
      <c r="V183" s="430"/>
    </row>
    <row r="184" spans="1:22" s="431" customFormat="1" x14ac:dyDescent="0.3">
      <c r="A184" s="449"/>
      <c r="B184" s="450" t="s">
        <v>68</v>
      </c>
      <c r="C184" s="450"/>
      <c r="D184" s="450"/>
      <c r="E184" s="450"/>
      <c r="F184" s="450"/>
      <c r="G184" s="450"/>
      <c r="H184" s="450"/>
      <c r="I184" s="450"/>
      <c r="J184" s="450"/>
      <c r="K184" s="450"/>
      <c r="L184" s="450"/>
      <c r="M184" s="450"/>
      <c r="N184" s="450"/>
      <c r="O184" s="450"/>
      <c r="P184" s="450"/>
      <c r="Q184" s="450"/>
      <c r="R184" s="450"/>
      <c r="S184" s="450"/>
      <c r="T184" s="553">
        <v>1.91</v>
      </c>
      <c r="U184" s="452" t="s">
        <v>121</v>
      </c>
      <c r="V184" s="430"/>
    </row>
    <row r="185" spans="1:22" s="431" customFormat="1" x14ac:dyDescent="0.3">
      <c r="A185" s="449"/>
      <c r="B185" s="450" t="s">
        <v>69</v>
      </c>
      <c r="C185" s="450"/>
      <c r="D185" s="450"/>
      <c r="E185" s="450"/>
      <c r="F185" s="450"/>
      <c r="G185" s="450"/>
      <c r="H185" s="450"/>
      <c r="I185" s="450"/>
      <c r="J185" s="450"/>
      <c r="K185" s="450"/>
      <c r="L185" s="450"/>
      <c r="M185" s="450"/>
      <c r="N185" s="450"/>
      <c r="O185" s="450"/>
      <c r="P185" s="450"/>
      <c r="Q185" s="450"/>
      <c r="R185" s="450"/>
      <c r="S185" s="450"/>
      <c r="T185" s="545">
        <f>(T99+T101+T102+T103+T104+T105+T106)/-(T107+T108)</f>
        <v>12.474820143884893</v>
      </c>
      <c r="U185" s="452" t="s">
        <v>121</v>
      </c>
      <c r="V185" s="430"/>
    </row>
    <row r="186" spans="1:22" s="431" customFormat="1" x14ac:dyDescent="0.3">
      <c r="A186" s="449"/>
      <c r="B186" s="450" t="s">
        <v>70</v>
      </c>
      <c r="C186" s="450"/>
      <c r="D186" s="450"/>
      <c r="E186" s="450"/>
      <c r="F186" s="450"/>
      <c r="G186" s="450"/>
      <c r="H186" s="450"/>
      <c r="I186" s="450"/>
      <c r="J186" s="450"/>
      <c r="K186" s="450"/>
      <c r="L186" s="450"/>
      <c r="M186" s="450"/>
      <c r="N186" s="450"/>
      <c r="O186" s="450"/>
      <c r="P186" s="450"/>
      <c r="Q186" s="450"/>
      <c r="R186" s="450"/>
      <c r="S186" s="450"/>
      <c r="T186" s="553">
        <v>7.02</v>
      </c>
      <c r="U186" s="452" t="s">
        <v>121</v>
      </c>
      <c r="V186" s="430"/>
    </row>
    <row r="187" spans="1:22" s="431" customFormat="1" x14ac:dyDescent="0.3">
      <c r="A187" s="449"/>
      <c r="B187" s="450" t="s">
        <v>206</v>
      </c>
      <c r="C187" s="450"/>
      <c r="D187" s="450"/>
      <c r="E187" s="450"/>
      <c r="F187" s="450"/>
      <c r="G187" s="450"/>
      <c r="H187" s="450"/>
      <c r="I187" s="450"/>
      <c r="J187" s="450"/>
      <c r="K187" s="450"/>
      <c r="L187" s="450"/>
      <c r="M187" s="450"/>
      <c r="N187" s="450"/>
      <c r="O187" s="450"/>
      <c r="P187" s="450"/>
      <c r="Q187" s="450"/>
      <c r="R187" s="450"/>
      <c r="S187" s="450"/>
      <c r="T187" s="545">
        <f>(T99+T101+T102+T103+T104+T105+T106+T107+T108)/-(T109)</f>
        <v>9.0625</v>
      </c>
      <c r="U187" s="452" t="s">
        <v>121</v>
      </c>
      <c r="V187" s="430"/>
    </row>
    <row r="188" spans="1:22" s="431" customFormat="1" x14ac:dyDescent="0.3">
      <c r="A188" s="449"/>
      <c r="B188" s="450" t="s">
        <v>207</v>
      </c>
      <c r="C188" s="450"/>
      <c r="D188" s="450"/>
      <c r="E188" s="450"/>
      <c r="F188" s="450"/>
      <c r="G188" s="450"/>
      <c r="H188" s="450"/>
      <c r="I188" s="450"/>
      <c r="J188" s="450"/>
      <c r="K188" s="450"/>
      <c r="L188" s="450"/>
      <c r="M188" s="450"/>
      <c r="N188" s="450"/>
      <c r="O188" s="450"/>
      <c r="P188" s="450"/>
      <c r="Q188" s="450"/>
      <c r="R188" s="450"/>
      <c r="S188" s="450"/>
      <c r="T188" s="553">
        <v>6.24</v>
      </c>
      <c r="U188" s="452" t="s">
        <v>121</v>
      </c>
      <c r="V188" s="430"/>
    </row>
    <row r="189" spans="1:22" x14ac:dyDescent="0.3">
      <c r="A189" s="468"/>
      <c r="B189" s="470"/>
      <c r="C189" s="470"/>
      <c r="D189" s="470"/>
      <c r="E189" s="470"/>
      <c r="F189" s="470"/>
      <c r="G189" s="470"/>
      <c r="H189" s="470"/>
      <c r="I189" s="470"/>
      <c r="J189" s="470"/>
      <c r="K189" s="470"/>
      <c r="L189" s="470"/>
      <c r="M189" s="470"/>
      <c r="N189" s="470"/>
      <c r="O189" s="470"/>
      <c r="P189" s="470"/>
      <c r="Q189" s="470"/>
      <c r="R189" s="470"/>
      <c r="S189" s="470"/>
      <c r="T189" s="470"/>
      <c r="U189" s="476"/>
      <c r="V189" s="416"/>
    </row>
    <row r="190" spans="1:22" x14ac:dyDescent="0.3">
      <c r="A190" s="418"/>
      <c r="B190" s="516"/>
      <c r="C190" s="516"/>
      <c r="D190" s="516"/>
      <c r="E190" s="516"/>
      <c r="F190" s="516"/>
      <c r="G190" s="516"/>
      <c r="H190" s="516"/>
      <c r="I190" s="516"/>
      <c r="J190" s="516"/>
      <c r="K190" s="516"/>
      <c r="L190" s="516"/>
      <c r="M190" s="516"/>
      <c r="N190" s="516"/>
      <c r="O190" s="516"/>
      <c r="P190" s="516"/>
      <c r="Q190" s="516"/>
      <c r="R190" s="516"/>
      <c r="S190" s="516"/>
      <c r="T190" s="516"/>
      <c r="U190" s="639"/>
      <c r="V190" s="416"/>
    </row>
    <row r="191" spans="1:22" x14ac:dyDescent="0.3">
      <c r="A191" s="418"/>
      <c r="B191" s="420"/>
      <c r="C191" s="420"/>
      <c r="D191" s="420"/>
      <c r="E191" s="420"/>
      <c r="F191" s="420"/>
      <c r="G191" s="420"/>
      <c r="H191" s="420"/>
      <c r="I191" s="420"/>
      <c r="J191" s="420"/>
      <c r="K191" s="420"/>
      <c r="L191" s="420"/>
      <c r="M191" s="420"/>
      <c r="N191" s="420"/>
      <c r="O191" s="420"/>
      <c r="P191" s="420"/>
      <c r="Q191" s="420"/>
      <c r="R191" s="420"/>
      <c r="S191" s="420"/>
      <c r="T191" s="420"/>
      <c r="U191" s="639"/>
      <c r="V191" s="416"/>
    </row>
    <row r="192" spans="1:22" ht="18.600000000000001" thickBot="1" x14ac:dyDescent="0.4">
      <c r="A192" s="554"/>
      <c r="B192" s="501" t="str">
        <f>B132</f>
        <v>PM11 INVESTOR REPORT QUARTER ENDING DECEMBER 2017</v>
      </c>
      <c r="C192" s="555"/>
      <c r="D192" s="555"/>
      <c r="E192" s="555"/>
      <c r="F192" s="555"/>
      <c r="G192" s="555"/>
      <c r="H192" s="555"/>
      <c r="I192" s="555"/>
      <c r="J192" s="555"/>
      <c r="K192" s="555"/>
      <c r="L192" s="555"/>
      <c r="M192" s="555"/>
      <c r="N192" s="555"/>
      <c r="O192" s="555"/>
      <c r="P192" s="555"/>
      <c r="Q192" s="555"/>
      <c r="R192" s="555"/>
      <c r="S192" s="555"/>
      <c r="T192" s="555"/>
      <c r="U192" s="556"/>
      <c r="V192" s="416"/>
    </row>
    <row r="193" spans="1:22" x14ac:dyDescent="0.3">
      <c r="A193" s="505"/>
      <c r="B193" s="506" t="s">
        <v>71</v>
      </c>
      <c r="C193" s="627"/>
      <c r="D193" s="627"/>
      <c r="E193" s="627"/>
      <c r="F193" s="627"/>
      <c r="G193" s="628"/>
      <c r="H193" s="628"/>
      <c r="I193" s="628"/>
      <c r="J193" s="628"/>
      <c r="K193" s="628"/>
      <c r="L193" s="628"/>
      <c r="M193" s="628"/>
      <c r="N193" s="628"/>
      <c r="O193" s="628"/>
      <c r="P193" s="628"/>
      <c r="Q193" s="628"/>
      <c r="R193" s="629">
        <v>43098</v>
      </c>
      <c r="S193" s="507"/>
      <c r="T193" s="507"/>
      <c r="U193" s="509"/>
      <c r="V193" s="416"/>
    </row>
    <row r="194" spans="1:22" x14ac:dyDescent="0.3">
      <c r="A194" s="557"/>
      <c r="B194" s="558"/>
      <c r="C194" s="559"/>
      <c r="D194" s="559"/>
      <c r="E194" s="559"/>
      <c r="F194" s="559"/>
      <c r="G194" s="560"/>
      <c r="H194" s="560"/>
      <c r="I194" s="560"/>
      <c r="J194" s="560"/>
      <c r="K194" s="560"/>
      <c r="L194" s="560"/>
      <c r="M194" s="560"/>
      <c r="N194" s="560"/>
      <c r="O194" s="560"/>
      <c r="P194" s="560"/>
      <c r="Q194" s="560"/>
      <c r="R194" s="560"/>
      <c r="S194" s="420"/>
      <c r="T194" s="420"/>
      <c r="U194" s="639"/>
      <c r="V194" s="416"/>
    </row>
    <row r="195" spans="1:22" s="431" customFormat="1" x14ac:dyDescent="0.3">
      <c r="A195" s="449"/>
      <c r="B195" s="450" t="s">
        <v>72</v>
      </c>
      <c r="C195" s="561"/>
      <c r="D195" s="561"/>
      <c r="E195" s="561"/>
      <c r="F195" s="561"/>
      <c r="G195" s="490"/>
      <c r="H195" s="490"/>
      <c r="I195" s="490"/>
      <c r="J195" s="490"/>
      <c r="K195" s="490"/>
      <c r="L195" s="490"/>
      <c r="M195" s="490"/>
      <c r="N195" s="490"/>
      <c r="O195" s="490"/>
      <c r="P195" s="490"/>
      <c r="Q195" s="490"/>
      <c r="R195" s="483">
        <v>5.1569999999999998E-2</v>
      </c>
      <c r="S195" s="450"/>
      <c r="T195" s="450"/>
      <c r="U195" s="452"/>
      <c r="V195" s="430"/>
    </row>
    <row r="196" spans="1:22" s="431" customFormat="1" x14ac:dyDescent="0.3">
      <c r="A196" s="449"/>
      <c r="B196" s="450" t="s">
        <v>157</v>
      </c>
      <c r="C196" s="561"/>
      <c r="D196" s="561"/>
      <c r="E196" s="561"/>
      <c r="F196" s="561"/>
      <c r="G196" s="490"/>
      <c r="H196" s="490"/>
      <c r="I196" s="490"/>
      <c r="J196" s="490"/>
      <c r="K196" s="490"/>
      <c r="L196" s="490"/>
      <c r="M196" s="490"/>
      <c r="N196" s="490"/>
      <c r="O196" s="490"/>
      <c r="P196" s="490"/>
      <c r="Q196" s="490"/>
      <c r="R196" s="483">
        <v>4.6899999999999997E-2</v>
      </c>
      <c r="S196" s="450"/>
      <c r="T196" s="450"/>
      <c r="U196" s="452"/>
      <c r="V196" s="430"/>
    </row>
    <row r="197" spans="1:22" s="431" customFormat="1" x14ac:dyDescent="0.3">
      <c r="A197" s="449"/>
      <c r="B197" s="450" t="s">
        <v>73</v>
      </c>
      <c r="C197" s="561"/>
      <c r="D197" s="561"/>
      <c r="E197" s="561"/>
      <c r="F197" s="561"/>
      <c r="G197" s="490"/>
      <c r="H197" s="490"/>
      <c r="I197" s="490"/>
      <c r="J197" s="490"/>
      <c r="K197" s="490"/>
      <c r="L197" s="490"/>
      <c r="M197" s="490"/>
      <c r="N197" s="490"/>
      <c r="O197" s="490"/>
      <c r="P197" s="490"/>
      <c r="Q197" s="490"/>
      <c r="R197" s="483">
        <f>R195-R196</f>
        <v>4.6700000000000005E-3</v>
      </c>
      <c r="S197" s="450"/>
      <c r="T197" s="450"/>
      <c r="U197" s="452"/>
      <c r="V197" s="430"/>
    </row>
    <row r="198" spans="1:22" s="431" customFormat="1" x14ac:dyDescent="0.3">
      <c r="A198" s="449"/>
      <c r="B198" s="450" t="s">
        <v>74</v>
      </c>
      <c r="C198" s="561"/>
      <c r="D198" s="561"/>
      <c r="E198" s="561"/>
      <c r="F198" s="561"/>
      <c r="G198" s="490"/>
      <c r="H198" s="490"/>
      <c r="I198" s="490"/>
      <c r="J198" s="490"/>
      <c r="K198" s="490"/>
      <c r="L198" s="490"/>
      <c r="M198" s="490"/>
      <c r="N198" s="490"/>
      <c r="O198" s="490"/>
      <c r="P198" s="490"/>
      <c r="Q198" s="490"/>
      <c r="R198" s="483">
        <v>2.239E-2</v>
      </c>
      <c r="S198" s="450"/>
      <c r="T198" s="450"/>
      <c r="U198" s="452"/>
      <c r="V198" s="430"/>
    </row>
    <row r="199" spans="1:22" s="431" customFormat="1" x14ac:dyDescent="0.3">
      <c r="A199" s="449"/>
      <c r="B199" s="450" t="s">
        <v>257</v>
      </c>
      <c r="C199" s="561"/>
      <c r="D199" s="561"/>
      <c r="E199" s="561"/>
      <c r="F199" s="561"/>
      <c r="G199" s="490"/>
      <c r="H199" s="490"/>
      <c r="I199" s="490"/>
      <c r="J199" s="490"/>
      <c r="K199" s="490"/>
      <c r="L199" s="490"/>
      <c r="M199" s="490"/>
      <c r="N199" s="490"/>
      <c r="O199" s="490"/>
      <c r="P199" s="490"/>
      <c r="Q199" s="490"/>
      <c r="R199" s="483">
        <f>T43</f>
        <v>6.7915859671919916E-3</v>
      </c>
      <c r="S199" s="450"/>
      <c r="T199" s="450"/>
      <c r="U199" s="452"/>
      <c r="V199" s="430"/>
    </row>
    <row r="200" spans="1:22" s="431" customFormat="1" x14ac:dyDescent="0.3">
      <c r="A200" s="449"/>
      <c r="B200" s="450" t="s">
        <v>75</v>
      </c>
      <c r="C200" s="561"/>
      <c r="D200" s="561"/>
      <c r="E200" s="561"/>
      <c r="F200" s="561"/>
      <c r="G200" s="490"/>
      <c r="H200" s="490"/>
      <c r="I200" s="490"/>
      <c r="J200" s="490"/>
      <c r="K200" s="490"/>
      <c r="L200" s="490"/>
      <c r="M200" s="490"/>
      <c r="N200" s="490"/>
      <c r="O200" s="490"/>
      <c r="P200" s="490"/>
      <c r="Q200" s="490"/>
      <c r="R200" s="483">
        <f>R198-R199</f>
        <v>1.5598414032808008E-2</v>
      </c>
      <c r="S200" s="450"/>
      <c r="T200" s="450"/>
      <c r="U200" s="452"/>
      <c r="V200" s="430"/>
    </row>
    <row r="201" spans="1:22" s="431" customFormat="1" x14ac:dyDescent="0.3">
      <c r="A201" s="449"/>
      <c r="B201" s="450" t="s">
        <v>260</v>
      </c>
      <c r="C201" s="561"/>
      <c r="D201" s="561"/>
      <c r="E201" s="561"/>
      <c r="F201" s="561"/>
      <c r="G201" s="490"/>
      <c r="H201" s="490"/>
      <c r="I201" s="490"/>
      <c r="J201" s="490"/>
      <c r="K201" s="490"/>
      <c r="L201" s="490"/>
      <c r="M201" s="490"/>
      <c r="N201" s="490"/>
      <c r="O201" s="490"/>
      <c r="P201" s="490"/>
      <c r="Q201" s="490"/>
      <c r="R201" s="483">
        <f>+T99/L70</f>
        <v>5.5709002387528675E-3</v>
      </c>
      <c r="S201" s="450"/>
      <c r="T201" s="450"/>
      <c r="U201" s="452"/>
      <c r="V201" s="430"/>
    </row>
    <row r="202" spans="1:22" s="431" customFormat="1" x14ac:dyDescent="0.3">
      <c r="A202" s="449"/>
      <c r="B202" s="450" t="s">
        <v>217</v>
      </c>
      <c r="C202" s="561"/>
      <c r="D202" s="561"/>
      <c r="E202" s="561"/>
      <c r="F202" s="561"/>
      <c r="G202" s="490"/>
      <c r="H202" s="490"/>
      <c r="I202" s="490"/>
      <c r="J202" s="490"/>
      <c r="K202" s="490"/>
      <c r="L202" s="490"/>
      <c r="M202" s="490"/>
      <c r="N202" s="490"/>
      <c r="O202" s="490"/>
      <c r="P202" s="490"/>
      <c r="Q202" s="490"/>
      <c r="R202" s="562">
        <v>15250</v>
      </c>
      <c r="S202" s="450"/>
      <c r="T202" s="450"/>
      <c r="U202" s="452"/>
      <c r="V202" s="430"/>
    </row>
    <row r="203" spans="1:22" s="431" customFormat="1" x14ac:dyDescent="0.3">
      <c r="A203" s="449"/>
      <c r="B203" s="450" t="s">
        <v>218</v>
      </c>
      <c r="C203" s="561"/>
      <c r="D203" s="561"/>
      <c r="E203" s="561"/>
      <c r="F203" s="561"/>
      <c r="G203" s="490"/>
      <c r="H203" s="490"/>
      <c r="I203" s="490"/>
      <c r="J203" s="490"/>
      <c r="K203" s="490"/>
      <c r="L203" s="490"/>
      <c r="M203" s="490"/>
      <c r="N203" s="490"/>
      <c r="O203" s="490"/>
      <c r="P203" s="490"/>
      <c r="Q203" s="490"/>
      <c r="R203" s="562">
        <v>15250</v>
      </c>
      <c r="S203" s="450"/>
      <c r="T203" s="450"/>
      <c r="U203" s="452"/>
      <c r="V203" s="430"/>
    </row>
    <row r="204" spans="1:22" s="431" customFormat="1" x14ac:dyDescent="0.3">
      <c r="A204" s="449"/>
      <c r="B204" s="450" t="s">
        <v>219</v>
      </c>
      <c r="C204" s="561"/>
      <c r="D204" s="561"/>
      <c r="E204" s="561"/>
      <c r="F204" s="561"/>
      <c r="G204" s="490"/>
      <c r="H204" s="490"/>
      <c r="I204" s="490"/>
      <c r="J204" s="490"/>
      <c r="K204" s="490"/>
      <c r="L204" s="490"/>
      <c r="M204" s="490"/>
      <c r="N204" s="490"/>
      <c r="O204" s="490"/>
      <c r="P204" s="490"/>
      <c r="Q204" s="490"/>
      <c r="R204" s="562">
        <v>15250</v>
      </c>
      <c r="S204" s="450"/>
      <c r="T204" s="450"/>
      <c r="U204" s="452"/>
      <c r="V204" s="430"/>
    </row>
    <row r="205" spans="1:22" s="431" customFormat="1" x14ac:dyDescent="0.3">
      <c r="A205" s="449"/>
      <c r="B205" s="450" t="s">
        <v>76</v>
      </c>
      <c r="C205" s="561"/>
      <c r="D205" s="561"/>
      <c r="E205" s="561"/>
      <c r="F205" s="561"/>
      <c r="G205" s="490"/>
      <c r="H205" s="490"/>
      <c r="I205" s="490"/>
      <c r="J205" s="490"/>
      <c r="K205" s="490"/>
      <c r="L205" s="490"/>
      <c r="M205" s="490"/>
      <c r="N205" s="490"/>
      <c r="O205" s="490"/>
      <c r="P205" s="490"/>
      <c r="Q205" s="490"/>
      <c r="R205" s="488">
        <v>21.18</v>
      </c>
      <c r="S205" s="450" t="s">
        <v>116</v>
      </c>
      <c r="T205" s="450"/>
      <c r="U205" s="452"/>
      <c r="V205" s="430"/>
    </row>
    <row r="206" spans="1:22" s="431" customFormat="1" x14ac:dyDescent="0.3">
      <c r="A206" s="449"/>
      <c r="B206" s="450" t="s">
        <v>77</v>
      </c>
      <c r="C206" s="561"/>
      <c r="D206" s="561"/>
      <c r="E206" s="561"/>
      <c r="F206" s="561"/>
      <c r="G206" s="490"/>
      <c r="H206" s="490"/>
      <c r="I206" s="490"/>
      <c r="J206" s="490"/>
      <c r="K206" s="490"/>
      <c r="L206" s="490"/>
      <c r="M206" s="490"/>
      <c r="N206" s="490"/>
      <c r="O206" s="490"/>
      <c r="P206" s="490"/>
      <c r="Q206" s="490"/>
      <c r="R206" s="488">
        <v>10.130000000000001</v>
      </c>
      <c r="S206" s="450" t="s">
        <v>116</v>
      </c>
      <c r="T206" s="450"/>
      <c r="U206" s="452"/>
      <c r="V206" s="430"/>
    </row>
    <row r="207" spans="1:22" s="431" customFormat="1" x14ac:dyDescent="0.3">
      <c r="A207" s="449"/>
      <c r="B207" s="450" t="s">
        <v>78</v>
      </c>
      <c r="C207" s="561"/>
      <c r="D207" s="561"/>
      <c r="E207" s="561"/>
      <c r="F207" s="561"/>
      <c r="G207" s="490"/>
      <c r="H207" s="490"/>
      <c r="I207" s="490"/>
      <c r="J207" s="490"/>
      <c r="K207" s="490"/>
      <c r="L207" s="490"/>
      <c r="M207" s="490"/>
      <c r="N207" s="490"/>
      <c r="O207" s="490"/>
      <c r="P207" s="490"/>
      <c r="Q207" s="490"/>
      <c r="R207" s="483">
        <f>N67/L67</f>
        <v>2.0406348017414914E-2</v>
      </c>
      <c r="S207" s="450"/>
      <c r="T207" s="450"/>
      <c r="U207" s="452"/>
      <c r="V207" s="430"/>
    </row>
    <row r="208" spans="1:22" s="431" customFormat="1" x14ac:dyDescent="0.3">
      <c r="A208" s="449"/>
      <c r="B208" s="450" t="s">
        <v>79</v>
      </c>
      <c r="C208" s="561"/>
      <c r="D208" s="561"/>
      <c r="E208" s="561"/>
      <c r="F208" s="561"/>
      <c r="G208" s="490"/>
      <c r="H208" s="490"/>
      <c r="I208" s="490"/>
      <c r="J208" s="490"/>
      <c r="K208" s="490"/>
      <c r="L208" s="490"/>
      <c r="M208" s="490"/>
      <c r="N208" s="490"/>
      <c r="O208" s="490"/>
      <c r="P208" s="490"/>
      <c r="Q208" s="490"/>
      <c r="R208" s="483">
        <v>7.5800000000000006E-2</v>
      </c>
      <c r="S208" s="450"/>
      <c r="T208" s="450"/>
      <c r="U208" s="452"/>
      <c r="V208" s="430"/>
    </row>
    <row r="209" spans="1:22" x14ac:dyDescent="0.3">
      <c r="A209" s="557"/>
      <c r="B209" s="563"/>
      <c r="C209" s="563"/>
      <c r="D209" s="563"/>
      <c r="E209" s="563"/>
      <c r="F209" s="563"/>
      <c r="G209" s="516"/>
      <c r="H209" s="516"/>
      <c r="I209" s="516"/>
      <c r="J209" s="516"/>
      <c r="K209" s="516"/>
      <c r="L209" s="516"/>
      <c r="M209" s="516"/>
      <c r="N209" s="516"/>
      <c r="O209" s="516"/>
      <c r="P209" s="516"/>
      <c r="Q209" s="516"/>
      <c r="R209" s="544"/>
      <c r="S209" s="516"/>
      <c r="T209" s="564"/>
      <c r="U209" s="639"/>
      <c r="V209" s="416"/>
    </row>
    <row r="210" spans="1:22" x14ac:dyDescent="0.3">
      <c r="A210" s="565"/>
      <c r="B210" s="521" t="s">
        <v>80</v>
      </c>
      <c r="C210" s="522"/>
      <c r="D210" s="522"/>
      <c r="E210" s="522"/>
      <c r="F210" s="566"/>
      <c r="G210" s="522"/>
      <c r="H210" s="522"/>
      <c r="I210" s="522"/>
      <c r="J210" s="522"/>
      <c r="K210" s="522"/>
      <c r="L210" s="522"/>
      <c r="M210" s="522"/>
      <c r="N210" s="522"/>
      <c r="O210" s="522"/>
      <c r="P210" s="522"/>
      <c r="Q210" s="522" t="s">
        <v>105</v>
      </c>
      <c r="R210" s="566" t="s">
        <v>112</v>
      </c>
      <c r="S210" s="443"/>
      <c r="T210" s="443"/>
      <c r="U210" s="446"/>
      <c r="V210" s="416"/>
    </row>
    <row r="211" spans="1:22" s="431" customFormat="1" x14ac:dyDescent="0.3">
      <c r="A211" s="567"/>
      <c r="B211" s="447" t="s">
        <v>81</v>
      </c>
      <c r="C211" s="525"/>
      <c r="D211" s="525"/>
      <c r="E211" s="525"/>
      <c r="F211" s="447"/>
      <c r="G211" s="447"/>
      <c r="H211" s="568"/>
      <c r="I211" s="568"/>
      <c r="J211" s="568"/>
      <c r="K211" s="568"/>
      <c r="L211" s="568"/>
      <c r="M211" s="568"/>
      <c r="N211" s="568"/>
      <c r="O211" s="568"/>
      <c r="P211" s="568"/>
      <c r="Q211" s="568">
        <v>0</v>
      </c>
      <c r="R211" s="569">
        <v>0</v>
      </c>
      <c r="S211" s="447"/>
      <c r="T211" s="570"/>
      <c r="U211" s="644"/>
      <c r="V211" s="430"/>
    </row>
    <row r="212" spans="1:22" s="431" customFormat="1" x14ac:dyDescent="0.3">
      <c r="A212" s="571"/>
      <c r="B212" s="450" t="s">
        <v>151</v>
      </c>
      <c r="C212" s="514"/>
      <c r="D212" s="514"/>
      <c r="E212" s="514"/>
      <c r="F212" s="450"/>
      <c r="G212" s="450"/>
      <c r="H212" s="456"/>
      <c r="I212" s="456"/>
      <c r="J212" s="456"/>
      <c r="K212" s="456"/>
      <c r="L212" s="456"/>
      <c r="M212" s="456"/>
      <c r="N212" s="456"/>
      <c r="O212" s="456"/>
      <c r="P212" s="456"/>
      <c r="Q212" s="572">
        <f>+P264</f>
        <v>32</v>
      </c>
      <c r="R212" s="573">
        <f>+R264</f>
        <v>5331</v>
      </c>
      <c r="S212" s="450"/>
      <c r="T212" s="574"/>
      <c r="U212" s="575"/>
      <c r="V212" s="430"/>
    </row>
    <row r="213" spans="1:22" s="431" customFormat="1" x14ac:dyDescent="0.3">
      <c r="A213" s="571"/>
      <c r="B213" s="450" t="s">
        <v>82</v>
      </c>
      <c r="C213" s="514"/>
      <c r="D213" s="514"/>
      <c r="E213" s="514"/>
      <c r="F213" s="450"/>
      <c r="G213" s="450"/>
      <c r="H213" s="456"/>
      <c r="I213" s="456"/>
      <c r="J213" s="456"/>
      <c r="K213" s="456"/>
      <c r="L213" s="456"/>
      <c r="M213" s="456"/>
      <c r="N213" s="456"/>
      <c r="O213" s="456"/>
      <c r="P213" s="456"/>
      <c r="Q213" s="572">
        <f>+P276</f>
        <v>0</v>
      </c>
      <c r="R213" s="573">
        <f>+R276</f>
        <v>0</v>
      </c>
      <c r="S213" s="450"/>
      <c r="T213" s="574"/>
      <c r="U213" s="575"/>
      <c r="V213" s="430"/>
    </row>
    <row r="214" spans="1:22" x14ac:dyDescent="0.3">
      <c r="A214" s="576"/>
      <c r="B214" s="577" t="s">
        <v>83</v>
      </c>
      <c r="C214" s="578"/>
      <c r="D214" s="578"/>
      <c r="E214" s="578"/>
      <c r="F214" s="470"/>
      <c r="G214" s="470"/>
      <c r="H214" s="470"/>
      <c r="I214" s="470"/>
      <c r="J214" s="470"/>
      <c r="K214" s="470"/>
      <c r="L214" s="470"/>
      <c r="M214" s="470"/>
      <c r="N214" s="470"/>
      <c r="O214" s="470"/>
      <c r="P214" s="470"/>
      <c r="Q214" s="541"/>
      <c r="R214" s="579">
        <v>0</v>
      </c>
      <c r="S214" s="470"/>
      <c r="T214" s="580"/>
      <c r="U214" s="581"/>
      <c r="V214" s="416"/>
    </row>
    <row r="215" spans="1:22" x14ac:dyDescent="0.3">
      <c r="A215" s="576"/>
      <c r="B215" s="577" t="s">
        <v>84</v>
      </c>
      <c r="C215" s="578"/>
      <c r="D215" s="578"/>
      <c r="E215" s="578"/>
      <c r="F215" s="470"/>
      <c r="G215" s="470"/>
      <c r="H215" s="470"/>
      <c r="I215" s="470"/>
      <c r="J215" s="470"/>
      <c r="K215" s="470"/>
      <c r="L215" s="470"/>
      <c r="M215" s="470"/>
      <c r="N215" s="470"/>
      <c r="O215" s="470"/>
      <c r="P215" s="470"/>
      <c r="Q215" s="450"/>
      <c r="R215" s="582" t="s">
        <v>113</v>
      </c>
      <c r="S215" s="470"/>
      <c r="T215" s="580"/>
      <c r="U215" s="581"/>
      <c r="V215" s="416"/>
    </row>
    <row r="216" spans="1:22" x14ac:dyDescent="0.3">
      <c r="A216" s="583"/>
      <c r="B216" s="577" t="s">
        <v>85</v>
      </c>
      <c r="C216" s="584"/>
      <c r="D216" s="584"/>
      <c r="E216" s="584"/>
      <c r="F216" s="584"/>
      <c r="G216" s="470"/>
      <c r="H216" s="470"/>
      <c r="I216" s="470"/>
      <c r="J216" s="470"/>
      <c r="K216" s="470"/>
      <c r="L216" s="470"/>
      <c r="M216" s="470"/>
      <c r="N216" s="470"/>
      <c r="O216" s="470"/>
      <c r="P216" s="470"/>
      <c r="Q216" s="450"/>
      <c r="R216" s="573"/>
      <c r="S216" s="470"/>
      <c r="T216" s="580"/>
      <c r="U216" s="585"/>
      <c r="V216" s="416"/>
    </row>
    <row r="217" spans="1:22" s="431" customFormat="1" x14ac:dyDescent="0.3">
      <c r="A217" s="586"/>
      <c r="B217" s="450" t="s">
        <v>86</v>
      </c>
      <c r="C217" s="450"/>
      <c r="D217" s="450"/>
      <c r="E217" s="450"/>
      <c r="F217" s="450"/>
      <c r="G217" s="450"/>
      <c r="H217" s="450"/>
      <c r="I217" s="450"/>
      <c r="J217" s="450"/>
      <c r="K217" s="450"/>
      <c r="L217" s="450"/>
      <c r="M217" s="450"/>
      <c r="N217" s="450"/>
      <c r="O217" s="450"/>
      <c r="P217" s="450"/>
      <c r="Q217" s="456"/>
      <c r="R217" s="573">
        <f>T161</f>
        <v>-14</v>
      </c>
      <c r="S217" s="450"/>
      <c r="T217" s="574"/>
      <c r="U217" s="587"/>
      <c r="V217" s="430"/>
    </row>
    <row r="218" spans="1:22" s="431" customFormat="1" x14ac:dyDescent="0.3">
      <c r="A218" s="571"/>
      <c r="B218" s="450" t="s">
        <v>87</v>
      </c>
      <c r="C218" s="514"/>
      <c r="D218" s="514"/>
      <c r="E218" s="514"/>
      <c r="F218" s="514"/>
      <c r="G218" s="450"/>
      <c r="H218" s="450"/>
      <c r="I218" s="450"/>
      <c r="J218" s="450"/>
      <c r="K218" s="450"/>
      <c r="L218" s="450"/>
      <c r="M218" s="450"/>
      <c r="N218" s="450"/>
      <c r="O218" s="450"/>
      <c r="P218" s="450"/>
      <c r="Q218" s="456"/>
      <c r="R218" s="573">
        <f>'Sept 17'!R218+R217</f>
        <v>6651</v>
      </c>
      <c r="S218" s="450"/>
      <c r="T218" s="574"/>
      <c r="U218" s="587"/>
      <c r="V218" s="430"/>
    </row>
    <row r="219" spans="1:22" x14ac:dyDescent="0.3">
      <c r="A219" s="583"/>
      <c r="B219" s="577" t="s">
        <v>282</v>
      </c>
      <c r="C219" s="584"/>
      <c r="D219" s="584"/>
      <c r="E219" s="584"/>
      <c r="F219" s="584"/>
      <c r="G219" s="470"/>
      <c r="H219" s="470"/>
      <c r="I219" s="470"/>
      <c r="J219" s="470"/>
      <c r="K219" s="470"/>
      <c r="L219" s="470"/>
      <c r="M219" s="470"/>
      <c r="N219" s="470"/>
      <c r="O219" s="470"/>
      <c r="P219" s="470"/>
      <c r="Q219" s="456"/>
      <c r="R219" s="573"/>
      <c r="S219" s="470"/>
      <c r="T219" s="580"/>
      <c r="U219" s="585"/>
      <c r="V219" s="416"/>
    </row>
    <row r="220" spans="1:22" s="431" customFormat="1" x14ac:dyDescent="0.3">
      <c r="A220" s="586"/>
      <c r="B220" s="450" t="s">
        <v>280</v>
      </c>
      <c r="C220" s="450"/>
      <c r="D220" s="450"/>
      <c r="E220" s="450"/>
      <c r="F220" s="450"/>
      <c r="G220" s="450"/>
      <c r="H220" s="450"/>
      <c r="I220" s="450"/>
      <c r="J220" s="450"/>
      <c r="K220" s="450"/>
      <c r="L220" s="450"/>
      <c r="M220" s="450"/>
      <c r="N220" s="450"/>
      <c r="O220" s="450"/>
      <c r="P220" s="450"/>
      <c r="Q220" s="456">
        <v>0</v>
      </c>
      <c r="R220" s="573">
        <v>0</v>
      </c>
      <c r="S220" s="450"/>
      <c r="T220" s="574"/>
      <c r="U220" s="587"/>
      <c r="V220" s="430"/>
    </row>
    <row r="221" spans="1:22" s="431" customFormat="1" x14ac:dyDescent="0.3">
      <c r="A221" s="571"/>
      <c r="B221" s="450" t="s">
        <v>89</v>
      </c>
      <c r="C221" s="486"/>
      <c r="D221" s="486"/>
      <c r="E221" s="486"/>
      <c r="F221" s="588"/>
      <c r="G221" s="450"/>
      <c r="H221" s="450"/>
      <c r="I221" s="450"/>
      <c r="J221" s="450"/>
      <c r="K221" s="450"/>
      <c r="L221" s="450"/>
      <c r="M221" s="450"/>
      <c r="N221" s="450"/>
      <c r="O221" s="450"/>
      <c r="P221" s="450"/>
      <c r="Q221" s="450"/>
      <c r="R221" s="582">
        <v>0</v>
      </c>
      <c r="S221" s="450"/>
      <c r="T221" s="574"/>
      <c r="U221" s="587"/>
      <c r="V221" s="430"/>
    </row>
    <row r="222" spans="1:22" s="431" customFormat="1" x14ac:dyDescent="0.3">
      <c r="A222" s="571"/>
      <c r="B222" s="450" t="s">
        <v>90</v>
      </c>
      <c r="C222" s="486"/>
      <c r="D222" s="486"/>
      <c r="E222" s="486"/>
      <c r="F222" s="588"/>
      <c r="G222" s="450"/>
      <c r="H222" s="450"/>
      <c r="I222" s="450"/>
      <c r="J222" s="450"/>
      <c r="K222" s="450"/>
      <c r="L222" s="450"/>
      <c r="M222" s="450"/>
      <c r="N222" s="450"/>
      <c r="O222" s="450"/>
      <c r="P222" s="450"/>
      <c r="Q222" s="450"/>
      <c r="R222" s="582">
        <v>0</v>
      </c>
      <c r="S222" s="450"/>
      <c r="T222" s="574"/>
      <c r="U222" s="587"/>
      <c r="V222" s="430"/>
    </row>
    <row r="223" spans="1:22" x14ac:dyDescent="0.3">
      <c r="A223" s="576"/>
      <c r="B223" s="577" t="s">
        <v>226</v>
      </c>
      <c r="C223" s="589"/>
      <c r="D223" s="589"/>
      <c r="E223" s="589"/>
      <c r="F223" s="590"/>
      <c r="G223" s="470"/>
      <c r="H223" s="470"/>
      <c r="I223" s="470"/>
      <c r="J223" s="470"/>
      <c r="K223" s="470"/>
      <c r="L223" s="470"/>
      <c r="M223" s="470"/>
      <c r="N223" s="470"/>
      <c r="O223" s="470"/>
      <c r="P223" s="470"/>
      <c r="Q223" s="456"/>
      <c r="R223" s="591"/>
      <c r="S223" s="470"/>
      <c r="T223" s="580"/>
      <c r="U223" s="585"/>
      <c r="V223" s="416"/>
    </row>
    <row r="224" spans="1:22" s="431" customFormat="1" x14ac:dyDescent="0.3">
      <c r="A224" s="571"/>
      <c r="B224" s="450" t="s">
        <v>280</v>
      </c>
      <c r="C224" s="486"/>
      <c r="D224" s="486"/>
      <c r="E224" s="486"/>
      <c r="F224" s="588"/>
      <c r="G224" s="450"/>
      <c r="H224" s="450"/>
      <c r="I224" s="450"/>
      <c r="J224" s="450"/>
      <c r="K224" s="450"/>
      <c r="L224" s="450"/>
      <c r="M224" s="450"/>
      <c r="N224" s="450"/>
      <c r="O224" s="450"/>
      <c r="P224" s="450"/>
      <c r="Q224" s="456">
        <v>0</v>
      </c>
      <c r="R224" s="573">
        <v>0</v>
      </c>
      <c r="S224" s="450"/>
      <c r="T224" s="574"/>
      <c r="U224" s="587"/>
      <c r="V224" s="430"/>
    </row>
    <row r="225" spans="1:23" s="431" customFormat="1" x14ac:dyDescent="0.3">
      <c r="A225" s="571"/>
      <c r="B225" s="450" t="s">
        <v>227</v>
      </c>
      <c r="C225" s="486"/>
      <c r="D225" s="486"/>
      <c r="E225" s="486"/>
      <c r="F225" s="588"/>
      <c r="G225" s="450"/>
      <c r="H225" s="450"/>
      <c r="I225" s="450"/>
      <c r="J225" s="450"/>
      <c r="K225" s="450"/>
      <c r="L225" s="450"/>
      <c r="M225" s="450"/>
      <c r="N225" s="450"/>
      <c r="O225" s="450"/>
      <c r="P225" s="450"/>
      <c r="Q225" s="456"/>
      <c r="R225" s="582">
        <v>0</v>
      </c>
      <c r="S225" s="450"/>
      <c r="T225" s="574"/>
      <c r="U225" s="587"/>
      <c r="V225" s="430"/>
    </row>
    <row r="226" spans="1:23" x14ac:dyDescent="0.3">
      <c r="A226" s="576"/>
      <c r="B226" s="584"/>
      <c r="C226" s="589"/>
      <c r="D226" s="589"/>
      <c r="E226" s="589"/>
      <c r="F226" s="590"/>
      <c r="G226" s="470"/>
      <c r="H226" s="470"/>
      <c r="I226" s="470"/>
      <c r="J226" s="470"/>
      <c r="K226" s="470"/>
      <c r="L226" s="470"/>
      <c r="M226" s="470"/>
      <c r="N226" s="470"/>
      <c r="O226" s="470"/>
      <c r="P226" s="470"/>
      <c r="Q226" s="450"/>
      <c r="R226" s="591"/>
      <c r="S226" s="470"/>
      <c r="T226" s="580"/>
      <c r="U226" s="585"/>
      <c r="V226" s="416"/>
    </row>
    <row r="227" spans="1:23" x14ac:dyDescent="0.3">
      <c r="A227" s="576"/>
      <c r="B227" s="584"/>
      <c r="C227" s="589"/>
      <c r="D227" s="589"/>
      <c r="E227" s="589"/>
      <c r="F227" s="590"/>
      <c r="G227" s="470"/>
      <c r="H227" s="470"/>
      <c r="I227" s="470"/>
      <c r="J227" s="470"/>
      <c r="K227" s="470"/>
      <c r="L227" s="470"/>
      <c r="M227" s="470"/>
      <c r="N227" s="470"/>
      <c r="O227" s="470"/>
      <c r="P227" s="470"/>
      <c r="Q227" s="450"/>
      <c r="R227" s="591"/>
      <c r="S227" s="470"/>
      <c r="T227" s="580"/>
      <c r="U227" s="585"/>
      <c r="V227" s="416"/>
    </row>
    <row r="228" spans="1:23" ht="18" x14ac:dyDescent="0.35">
      <c r="A228" s="576"/>
      <c r="B228" s="592" t="s">
        <v>175</v>
      </c>
      <c r="C228" s="589"/>
      <c r="D228" s="589"/>
      <c r="E228" s="589"/>
      <c r="F228" s="590"/>
      <c r="G228" s="470"/>
      <c r="H228" s="470"/>
      <c r="I228" s="470"/>
      <c r="J228" s="470"/>
      <c r="K228" s="470"/>
      <c r="L228" s="470"/>
      <c r="M228" s="470"/>
      <c r="N228" s="647" t="s">
        <v>356</v>
      </c>
      <c r="O228" s="470"/>
      <c r="P228" s="470"/>
      <c r="Q228" s="470"/>
      <c r="R228" s="593"/>
      <c r="S228" s="470"/>
      <c r="T228" s="580"/>
      <c r="U228" s="585"/>
      <c r="V228" s="416"/>
    </row>
    <row r="229" spans="1:23" x14ac:dyDescent="0.3">
      <c r="A229" s="594"/>
      <c r="B229" s="563"/>
      <c r="C229" s="595"/>
      <c r="D229" s="595"/>
      <c r="E229" s="595"/>
      <c r="F229" s="596"/>
      <c r="G229" s="516"/>
      <c r="H229" s="516"/>
      <c r="I229" s="516"/>
      <c r="J229" s="516"/>
      <c r="K229" s="516"/>
      <c r="L229" s="516"/>
      <c r="M229" s="516"/>
      <c r="N229" s="516"/>
      <c r="O229" s="516"/>
      <c r="P229" s="516"/>
      <c r="Q229" s="516"/>
      <c r="R229" s="597"/>
      <c r="S229" s="516"/>
      <c r="T229" s="564"/>
      <c r="U229" s="645"/>
      <c r="V229" s="416"/>
    </row>
    <row r="230" spans="1:23" x14ac:dyDescent="0.3">
      <c r="A230" s="442"/>
      <c r="B230" s="598" t="s">
        <v>295</v>
      </c>
      <c r="C230" s="599"/>
      <c r="D230" s="599"/>
      <c r="E230" s="599"/>
      <c r="F230" s="600"/>
      <c r="G230" s="599"/>
      <c r="H230" s="599"/>
      <c r="I230" s="599"/>
      <c r="J230" s="599"/>
      <c r="K230" s="599"/>
      <c r="L230" s="599"/>
      <c r="M230" s="599"/>
      <c r="N230" s="599"/>
      <c r="O230" s="599"/>
      <c r="P230" s="600" t="s">
        <v>105</v>
      </c>
      <c r="Q230" s="599" t="s">
        <v>106</v>
      </c>
      <c r="R230" s="600" t="s">
        <v>114</v>
      </c>
      <c r="S230" s="599" t="s">
        <v>106</v>
      </c>
      <c r="T230" s="601"/>
      <c r="U230" s="605"/>
      <c r="V230" s="416"/>
    </row>
    <row r="231" spans="1:23" s="431" customFormat="1" x14ac:dyDescent="0.3">
      <c r="A231" s="632"/>
      <c r="B231" s="633" t="s">
        <v>91</v>
      </c>
      <c r="C231" s="634"/>
      <c r="D231" s="634"/>
      <c r="E231" s="634"/>
      <c r="F231" s="635"/>
      <c r="G231" s="634"/>
      <c r="H231" s="634"/>
      <c r="I231" s="634"/>
      <c r="J231" s="634"/>
      <c r="K231" s="634"/>
      <c r="L231" s="634"/>
      <c r="M231" s="634"/>
      <c r="N231" s="634"/>
      <c r="O231" s="634"/>
      <c r="P231" s="633">
        <f t="shared" ref="P231:P238" si="1">+P243+P255+P267</f>
        <v>3239</v>
      </c>
      <c r="Q231" s="636">
        <f t="shared" ref="Q231:Q238" si="2">P231/$P$240</f>
        <v>0.99722906403940892</v>
      </c>
      <c r="R231" s="637">
        <f t="shared" ref="R231:R238" si="3">+R243+R255+R267</f>
        <v>417536</v>
      </c>
      <c r="S231" s="636">
        <f t="shared" ref="S231:S238" si="4">R231/$R$240</f>
        <v>0.99742721797937473</v>
      </c>
      <c r="T231" s="630"/>
      <c r="U231" s="631"/>
      <c r="V231" s="430"/>
    </row>
    <row r="232" spans="1:23" s="431" customFormat="1" x14ac:dyDescent="0.3">
      <c r="A232" s="449"/>
      <c r="B232" s="514" t="s">
        <v>92</v>
      </c>
      <c r="C232" s="603"/>
      <c r="D232" s="603"/>
      <c r="E232" s="603"/>
      <c r="F232" s="450"/>
      <c r="G232" s="602"/>
      <c r="H232" s="603"/>
      <c r="I232" s="603"/>
      <c r="J232" s="603"/>
      <c r="K232" s="603"/>
      <c r="L232" s="603"/>
      <c r="M232" s="603"/>
      <c r="N232" s="603"/>
      <c r="O232" s="603"/>
      <c r="P232" s="514">
        <f t="shared" si="1"/>
        <v>7</v>
      </c>
      <c r="Q232" s="602">
        <f t="shared" si="2"/>
        <v>2.1551724137931034E-3</v>
      </c>
      <c r="R232" s="515">
        <f t="shared" si="3"/>
        <v>790</v>
      </c>
      <c r="S232" s="602">
        <f t="shared" si="4"/>
        <v>1.8871845833741427E-3</v>
      </c>
      <c r="T232" s="574"/>
      <c r="U232" s="587"/>
      <c r="V232" s="430"/>
      <c r="W232" s="533"/>
    </row>
    <row r="233" spans="1:23" s="431" customFormat="1" x14ac:dyDescent="0.3">
      <c r="A233" s="449"/>
      <c r="B233" s="514" t="s">
        <v>93</v>
      </c>
      <c r="C233" s="603"/>
      <c r="D233" s="603"/>
      <c r="E233" s="603"/>
      <c r="F233" s="450"/>
      <c r="G233" s="602"/>
      <c r="H233" s="603"/>
      <c r="I233" s="603"/>
      <c r="J233" s="603"/>
      <c r="K233" s="603"/>
      <c r="L233" s="603"/>
      <c r="M233" s="603"/>
      <c r="N233" s="603"/>
      <c r="O233" s="603"/>
      <c r="P233" s="514">
        <f t="shared" si="1"/>
        <v>0</v>
      </c>
      <c r="Q233" s="602">
        <f t="shared" si="2"/>
        <v>0</v>
      </c>
      <c r="R233" s="515">
        <f t="shared" si="3"/>
        <v>0</v>
      </c>
      <c r="S233" s="602">
        <f t="shared" si="4"/>
        <v>0</v>
      </c>
      <c r="T233" s="574"/>
      <c r="U233" s="587"/>
      <c r="V233" s="430"/>
    </row>
    <row r="234" spans="1:23" s="431" customFormat="1" x14ac:dyDescent="0.3">
      <c r="A234" s="449"/>
      <c r="B234" s="514" t="s">
        <v>163</v>
      </c>
      <c r="C234" s="603"/>
      <c r="D234" s="603"/>
      <c r="E234" s="603"/>
      <c r="F234" s="450"/>
      <c r="G234" s="602"/>
      <c r="H234" s="603"/>
      <c r="I234" s="603"/>
      <c r="J234" s="603"/>
      <c r="K234" s="603"/>
      <c r="L234" s="603"/>
      <c r="M234" s="603"/>
      <c r="N234" s="603"/>
      <c r="O234" s="603"/>
      <c r="P234" s="514">
        <f t="shared" si="1"/>
        <v>0</v>
      </c>
      <c r="Q234" s="602">
        <f t="shared" si="2"/>
        <v>0</v>
      </c>
      <c r="R234" s="515">
        <f t="shared" si="3"/>
        <v>0</v>
      </c>
      <c r="S234" s="602">
        <f t="shared" si="4"/>
        <v>0</v>
      </c>
      <c r="T234" s="574"/>
      <c r="U234" s="587"/>
      <c r="V234" s="430"/>
      <c r="W234" s="533"/>
    </row>
    <row r="235" spans="1:23" s="431" customFormat="1" x14ac:dyDescent="0.3">
      <c r="A235" s="449"/>
      <c r="B235" s="514" t="s">
        <v>164</v>
      </c>
      <c r="C235" s="603"/>
      <c r="D235" s="603"/>
      <c r="E235" s="603"/>
      <c r="F235" s="450"/>
      <c r="G235" s="602"/>
      <c r="H235" s="603"/>
      <c r="I235" s="603"/>
      <c r="J235" s="603"/>
      <c r="K235" s="603"/>
      <c r="L235" s="603"/>
      <c r="M235" s="603"/>
      <c r="N235" s="603"/>
      <c r="O235" s="603"/>
      <c r="P235" s="514">
        <f t="shared" si="1"/>
        <v>0</v>
      </c>
      <c r="Q235" s="602">
        <f t="shared" si="2"/>
        <v>0</v>
      </c>
      <c r="R235" s="515">
        <f t="shared" si="3"/>
        <v>0</v>
      </c>
      <c r="S235" s="602">
        <f t="shared" si="4"/>
        <v>0</v>
      </c>
      <c r="T235" s="574"/>
      <c r="U235" s="587"/>
      <c r="V235" s="430"/>
    </row>
    <row r="236" spans="1:23" s="431" customFormat="1" x14ac:dyDescent="0.3">
      <c r="A236" s="449"/>
      <c r="B236" s="514" t="s">
        <v>165</v>
      </c>
      <c r="C236" s="603"/>
      <c r="D236" s="603"/>
      <c r="E236" s="603"/>
      <c r="F236" s="450"/>
      <c r="G236" s="602"/>
      <c r="H236" s="603"/>
      <c r="I236" s="603"/>
      <c r="J236" s="603"/>
      <c r="K236" s="603"/>
      <c r="L236" s="603"/>
      <c r="M236" s="603"/>
      <c r="N236" s="603"/>
      <c r="O236" s="603"/>
      <c r="P236" s="514">
        <f t="shared" si="1"/>
        <v>0</v>
      </c>
      <c r="Q236" s="602">
        <f t="shared" si="2"/>
        <v>0</v>
      </c>
      <c r="R236" s="515">
        <f t="shared" si="3"/>
        <v>0</v>
      </c>
      <c r="S236" s="602">
        <f t="shared" si="4"/>
        <v>0</v>
      </c>
      <c r="T236" s="574"/>
      <c r="U236" s="587"/>
      <c r="V236" s="430"/>
      <c r="W236" s="533"/>
    </row>
    <row r="237" spans="1:23" s="431" customFormat="1" x14ac:dyDescent="0.3">
      <c r="A237" s="449"/>
      <c r="B237" s="514" t="s">
        <v>166</v>
      </c>
      <c r="C237" s="603"/>
      <c r="D237" s="603"/>
      <c r="E237" s="603"/>
      <c r="F237" s="450"/>
      <c r="G237" s="602"/>
      <c r="H237" s="603"/>
      <c r="I237" s="603"/>
      <c r="J237" s="603"/>
      <c r="K237" s="603"/>
      <c r="L237" s="603"/>
      <c r="M237" s="603"/>
      <c r="N237" s="603"/>
      <c r="O237" s="603"/>
      <c r="P237" s="514">
        <f t="shared" si="1"/>
        <v>2</v>
      </c>
      <c r="Q237" s="602">
        <f t="shared" si="2"/>
        <v>6.1576354679802956E-4</v>
      </c>
      <c r="R237" s="515">
        <f t="shared" si="3"/>
        <v>287</v>
      </c>
      <c r="S237" s="602">
        <f t="shared" si="4"/>
        <v>6.8559743725111263E-4</v>
      </c>
      <c r="T237" s="574"/>
      <c r="U237" s="587"/>
      <c r="V237" s="430"/>
    </row>
    <row r="238" spans="1:23" s="431" customFormat="1" x14ac:dyDescent="0.3">
      <c r="A238" s="449"/>
      <c r="B238" s="514" t="s">
        <v>167</v>
      </c>
      <c r="C238" s="603"/>
      <c r="D238" s="603"/>
      <c r="E238" s="603"/>
      <c r="F238" s="450"/>
      <c r="G238" s="602"/>
      <c r="H238" s="603"/>
      <c r="I238" s="603"/>
      <c r="J238" s="603"/>
      <c r="K238" s="603"/>
      <c r="L238" s="603"/>
      <c r="M238" s="603"/>
      <c r="N238" s="603"/>
      <c r="O238" s="603"/>
      <c r="P238" s="514">
        <f t="shared" si="1"/>
        <v>0</v>
      </c>
      <c r="Q238" s="602">
        <f t="shared" si="2"/>
        <v>0</v>
      </c>
      <c r="R238" s="515">
        <f t="shared" si="3"/>
        <v>0</v>
      </c>
      <c r="S238" s="602">
        <f t="shared" si="4"/>
        <v>0</v>
      </c>
      <c r="T238" s="574"/>
      <c r="U238" s="587"/>
      <c r="V238" s="430"/>
      <c r="W238" s="533"/>
    </row>
    <row r="239" spans="1:23" s="431" customFormat="1" x14ac:dyDescent="0.3">
      <c r="A239" s="449"/>
      <c r="B239" s="514"/>
      <c r="C239" s="603"/>
      <c r="D239" s="603"/>
      <c r="E239" s="603"/>
      <c r="F239" s="450"/>
      <c r="G239" s="602"/>
      <c r="H239" s="603"/>
      <c r="I239" s="603"/>
      <c r="J239" s="603"/>
      <c r="K239" s="603"/>
      <c r="L239" s="603"/>
      <c r="M239" s="603"/>
      <c r="N239" s="603"/>
      <c r="O239" s="603"/>
      <c r="P239" s="514"/>
      <c r="Q239" s="602"/>
      <c r="R239" s="515"/>
      <c r="S239" s="602"/>
      <c r="T239" s="574"/>
      <c r="U239" s="587"/>
      <c r="V239" s="430"/>
    </row>
    <row r="240" spans="1:23" s="431" customFormat="1" x14ac:dyDescent="0.3">
      <c r="A240" s="449"/>
      <c r="B240" s="450" t="s">
        <v>120</v>
      </c>
      <c r="C240" s="450"/>
      <c r="D240" s="450"/>
      <c r="E240" s="450"/>
      <c r="F240" s="450"/>
      <c r="G240" s="450"/>
      <c r="H240" s="604"/>
      <c r="I240" s="604"/>
      <c r="J240" s="604"/>
      <c r="K240" s="604"/>
      <c r="L240" s="604"/>
      <c r="M240" s="604"/>
      <c r="N240" s="604"/>
      <c r="O240" s="604"/>
      <c r="P240" s="514">
        <f>SUM(P231:P239)</f>
        <v>3248</v>
      </c>
      <c r="Q240" s="602">
        <f>SUM(Q231:Q239)</f>
        <v>1</v>
      </c>
      <c r="R240" s="515">
        <f>SUM(R231:R239)</f>
        <v>418613</v>
      </c>
      <c r="S240" s="602">
        <f>SUM(S231:S239)</f>
        <v>1</v>
      </c>
      <c r="T240" s="450"/>
      <c r="U240" s="452"/>
      <c r="V240" s="430"/>
    </row>
    <row r="241" spans="1:23" x14ac:dyDescent="0.3">
      <c r="A241" s="594"/>
      <c r="B241" s="563"/>
      <c r="C241" s="595"/>
      <c r="D241" s="595"/>
      <c r="E241" s="595"/>
      <c r="F241" s="596"/>
      <c r="G241" s="516"/>
      <c r="H241" s="516"/>
      <c r="I241" s="516"/>
      <c r="J241" s="516"/>
      <c r="K241" s="516"/>
      <c r="L241" s="516"/>
      <c r="M241" s="516"/>
      <c r="N241" s="516"/>
      <c r="O241" s="516"/>
      <c r="P241" s="516"/>
      <c r="Q241" s="516"/>
      <c r="R241" s="597"/>
      <c r="S241" s="516"/>
      <c r="T241" s="564"/>
      <c r="U241" s="645"/>
      <c r="V241" s="416"/>
    </row>
    <row r="242" spans="1:23" x14ac:dyDescent="0.3">
      <c r="A242" s="442"/>
      <c r="B242" s="521" t="s">
        <v>169</v>
      </c>
      <c r="C242" s="522"/>
      <c r="D242" s="522"/>
      <c r="E242" s="522"/>
      <c r="F242" s="566"/>
      <c r="G242" s="522"/>
      <c r="H242" s="522"/>
      <c r="I242" s="522"/>
      <c r="J242" s="522"/>
      <c r="K242" s="522"/>
      <c r="L242" s="522"/>
      <c r="M242" s="522"/>
      <c r="N242" s="522"/>
      <c r="O242" s="522"/>
      <c r="P242" s="566" t="s">
        <v>105</v>
      </c>
      <c r="Q242" s="522" t="s">
        <v>106</v>
      </c>
      <c r="R242" s="566" t="s">
        <v>114</v>
      </c>
      <c r="S242" s="522" t="s">
        <v>106</v>
      </c>
      <c r="T242" s="443"/>
      <c r="U242" s="605"/>
      <c r="V242" s="416"/>
    </row>
    <row r="243" spans="1:23" s="431" customFormat="1" x14ac:dyDescent="0.3">
      <c r="A243" s="432"/>
      <c r="B243" s="525" t="s">
        <v>91</v>
      </c>
      <c r="C243" s="606"/>
      <c r="D243" s="606"/>
      <c r="E243" s="606"/>
      <c r="F243" s="447"/>
      <c r="G243" s="606"/>
      <c r="H243" s="606"/>
      <c r="I243" s="606"/>
      <c r="J243" s="606"/>
      <c r="K243" s="606"/>
      <c r="L243" s="606"/>
      <c r="M243" s="606"/>
      <c r="N243" s="606"/>
      <c r="O243" s="606"/>
      <c r="P243" s="525">
        <v>3209</v>
      </c>
      <c r="Q243" s="607">
        <f t="shared" ref="Q243:Q250" si="5">P243/$P$252</f>
        <v>0.99782338308457708</v>
      </c>
      <c r="R243" s="526">
        <v>412492</v>
      </c>
      <c r="S243" s="607">
        <f t="shared" ref="S243:S250" si="6">R243/$R$252</f>
        <v>0.99808847227800868</v>
      </c>
      <c r="T243" s="570"/>
      <c r="U243" s="646"/>
      <c r="V243" s="430"/>
    </row>
    <row r="244" spans="1:23" s="431" customFormat="1" x14ac:dyDescent="0.3">
      <c r="A244" s="449"/>
      <c r="B244" s="514" t="s">
        <v>92</v>
      </c>
      <c r="C244" s="603"/>
      <c r="D244" s="603"/>
      <c r="E244" s="603"/>
      <c r="F244" s="450"/>
      <c r="G244" s="602"/>
      <c r="H244" s="603"/>
      <c r="I244" s="603"/>
      <c r="J244" s="603"/>
      <c r="K244" s="603"/>
      <c r="L244" s="603"/>
      <c r="M244" s="603"/>
      <c r="N244" s="603"/>
      <c r="O244" s="603"/>
      <c r="P244" s="514">
        <v>7</v>
      </c>
      <c r="Q244" s="602">
        <f t="shared" si="5"/>
        <v>2.1766169154228856E-3</v>
      </c>
      <c r="R244" s="515">
        <v>790</v>
      </c>
      <c r="S244" s="602">
        <f t="shared" si="6"/>
        <v>1.9115277219912796E-3</v>
      </c>
      <c r="T244" s="574"/>
      <c r="U244" s="587"/>
      <c r="V244" s="430"/>
      <c r="W244" s="533"/>
    </row>
    <row r="245" spans="1:23" s="431" customFormat="1" x14ac:dyDescent="0.3">
      <c r="A245" s="449"/>
      <c r="B245" s="514" t="s">
        <v>93</v>
      </c>
      <c r="C245" s="603"/>
      <c r="D245" s="603"/>
      <c r="E245" s="603"/>
      <c r="F245" s="450"/>
      <c r="G245" s="602"/>
      <c r="H245" s="603"/>
      <c r="I245" s="603"/>
      <c r="J245" s="603"/>
      <c r="K245" s="603"/>
      <c r="L245" s="603"/>
      <c r="M245" s="603"/>
      <c r="N245" s="603"/>
      <c r="O245" s="603"/>
      <c r="P245" s="514">
        <v>0</v>
      </c>
      <c r="Q245" s="602">
        <f t="shared" si="5"/>
        <v>0</v>
      </c>
      <c r="R245" s="515">
        <v>0</v>
      </c>
      <c r="S245" s="602">
        <f t="shared" si="6"/>
        <v>0</v>
      </c>
      <c r="T245" s="574"/>
      <c r="U245" s="587"/>
      <c r="V245" s="430"/>
    </row>
    <row r="246" spans="1:23" s="431" customFormat="1" x14ac:dyDescent="0.3">
      <c r="A246" s="449"/>
      <c r="B246" s="514" t="s">
        <v>163</v>
      </c>
      <c r="C246" s="603"/>
      <c r="D246" s="603"/>
      <c r="E246" s="603"/>
      <c r="F246" s="450"/>
      <c r="G246" s="602"/>
      <c r="H246" s="603"/>
      <c r="I246" s="603"/>
      <c r="J246" s="603"/>
      <c r="K246" s="603"/>
      <c r="L246" s="603"/>
      <c r="M246" s="603"/>
      <c r="N246" s="603"/>
      <c r="O246" s="603"/>
      <c r="P246" s="514">
        <v>0</v>
      </c>
      <c r="Q246" s="602">
        <f t="shared" si="5"/>
        <v>0</v>
      </c>
      <c r="R246" s="515">
        <v>0</v>
      </c>
      <c r="S246" s="602">
        <f t="shared" si="6"/>
        <v>0</v>
      </c>
      <c r="T246" s="574"/>
      <c r="U246" s="587"/>
      <c r="V246" s="430"/>
      <c r="W246" s="533"/>
    </row>
    <row r="247" spans="1:23" s="431" customFormat="1" x14ac:dyDescent="0.3">
      <c r="A247" s="449"/>
      <c r="B247" s="514" t="s">
        <v>164</v>
      </c>
      <c r="C247" s="603"/>
      <c r="D247" s="603"/>
      <c r="E247" s="603"/>
      <c r="F247" s="450"/>
      <c r="G247" s="602"/>
      <c r="H247" s="603"/>
      <c r="I247" s="603"/>
      <c r="J247" s="603"/>
      <c r="K247" s="603"/>
      <c r="L247" s="603"/>
      <c r="M247" s="603"/>
      <c r="N247" s="603"/>
      <c r="O247" s="603"/>
      <c r="P247" s="514">
        <v>0</v>
      </c>
      <c r="Q247" s="602">
        <f t="shared" si="5"/>
        <v>0</v>
      </c>
      <c r="R247" s="515">
        <v>0</v>
      </c>
      <c r="S247" s="602">
        <f t="shared" si="6"/>
        <v>0</v>
      </c>
      <c r="T247" s="574"/>
      <c r="U247" s="587"/>
      <c r="V247" s="430"/>
    </row>
    <row r="248" spans="1:23" s="431" customFormat="1" x14ac:dyDescent="0.3">
      <c r="A248" s="449"/>
      <c r="B248" s="514" t="s">
        <v>165</v>
      </c>
      <c r="C248" s="603"/>
      <c r="D248" s="603"/>
      <c r="E248" s="603"/>
      <c r="F248" s="450"/>
      <c r="G248" s="602"/>
      <c r="H248" s="603"/>
      <c r="I248" s="603"/>
      <c r="J248" s="603"/>
      <c r="K248" s="603"/>
      <c r="L248" s="603"/>
      <c r="M248" s="603"/>
      <c r="N248" s="603"/>
      <c r="O248" s="603"/>
      <c r="P248" s="514">
        <v>0</v>
      </c>
      <c r="Q248" s="602">
        <f t="shared" si="5"/>
        <v>0</v>
      </c>
      <c r="R248" s="515">
        <v>0</v>
      </c>
      <c r="S248" s="602">
        <f t="shared" si="6"/>
        <v>0</v>
      </c>
      <c r="T248" s="574"/>
      <c r="U248" s="587"/>
      <c r="V248" s="430"/>
      <c r="W248" s="533"/>
    </row>
    <row r="249" spans="1:23" s="431" customFormat="1" x14ac:dyDescent="0.3">
      <c r="A249" s="449"/>
      <c r="B249" s="514" t="s">
        <v>166</v>
      </c>
      <c r="C249" s="603"/>
      <c r="D249" s="603"/>
      <c r="E249" s="603"/>
      <c r="F249" s="450"/>
      <c r="G249" s="602"/>
      <c r="H249" s="603"/>
      <c r="I249" s="603"/>
      <c r="J249" s="603"/>
      <c r="K249" s="603"/>
      <c r="L249" s="603"/>
      <c r="M249" s="603"/>
      <c r="N249" s="603"/>
      <c r="O249" s="603"/>
      <c r="P249" s="514">
        <v>0</v>
      </c>
      <c r="Q249" s="602">
        <f t="shared" si="5"/>
        <v>0</v>
      </c>
      <c r="R249" s="515">
        <v>0</v>
      </c>
      <c r="S249" s="602">
        <f t="shared" si="6"/>
        <v>0</v>
      </c>
      <c r="T249" s="574"/>
      <c r="U249" s="587"/>
      <c r="V249" s="430"/>
    </row>
    <row r="250" spans="1:23" s="431" customFormat="1" x14ac:dyDescent="0.3">
      <c r="A250" s="449"/>
      <c r="B250" s="514" t="s">
        <v>167</v>
      </c>
      <c r="C250" s="603"/>
      <c r="D250" s="603"/>
      <c r="E250" s="603"/>
      <c r="F250" s="450"/>
      <c r="G250" s="602"/>
      <c r="H250" s="603"/>
      <c r="I250" s="603"/>
      <c r="J250" s="603"/>
      <c r="K250" s="603"/>
      <c r="L250" s="603"/>
      <c r="M250" s="603"/>
      <c r="N250" s="603"/>
      <c r="O250" s="603"/>
      <c r="P250" s="514">
        <v>0</v>
      </c>
      <c r="Q250" s="602">
        <f t="shared" si="5"/>
        <v>0</v>
      </c>
      <c r="R250" s="515">
        <v>0</v>
      </c>
      <c r="S250" s="602">
        <f t="shared" si="6"/>
        <v>0</v>
      </c>
      <c r="T250" s="574"/>
      <c r="U250" s="587"/>
      <c r="V250" s="430"/>
      <c r="W250" s="533"/>
    </row>
    <row r="251" spans="1:23" s="431" customFormat="1" x14ac:dyDescent="0.3">
      <c r="A251" s="449"/>
      <c r="B251" s="514"/>
      <c r="C251" s="603"/>
      <c r="D251" s="603"/>
      <c r="E251" s="603"/>
      <c r="F251" s="450"/>
      <c r="G251" s="602"/>
      <c r="H251" s="603"/>
      <c r="I251" s="603"/>
      <c r="J251" s="603"/>
      <c r="K251" s="603"/>
      <c r="L251" s="603"/>
      <c r="M251" s="603"/>
      <c r="N251" s="603"/>
      <c r="O251" s="603"/>
      <c r="P251" s="514"/>
      <c r="Q251" s="602"/>
      <c r="R251" s="515"/>
      <c r="S251" s="602"/>
      <c r="T251" s="574"/>
      <c r="U251" s="587"/>
      <c r="V251" s="430"/>
    </row>
    <row r="252" spans="1:23" s="431" customFormat="1" x14ac:dyDescent="0.3">
      <c r="A252" s="449"/>
      <c r="B252" s="450" t="s">
        <v>120</v>
      </c>
      <c r="C252" s="450"/>
      <c r="D252" s="450"/>
      <c r="E252" s="450"/>
      <c r="F252" s="450"/>
      <c r="G252" s="450"/>
      <c r="H252" s="604"/>
      <c r="I252" s="604"/>
      <c r="J252" s="604"/>
      <c r="K252" s="604"/>
      <c r="L252" s="604"/>
      <c r="M252" s="604"/>
      <c r="N252" s="604"/>
      <c r="O252" s="604"/>
      <c r="P252" s="514">
        <f>SUM(P243:P251)</f>
        <v>3216</v>
      </c>
      <c r="Q252" s="602">
        <f>SUM(Q243:Q251)</f>
        <v>1</v>
      </c>
      <c r="R252" s="515">
        <f>SUM(R243:R251)</f>
        <v>413282</v>
      </c>
      <c r="S252" s="602">
        <f>SUM(S243:S251)</f>
        <v>1</v>
      </c>
      <c r="T252" s="450"/>
      <c r="U252" s="452"/>
      <c r="V252" s="430"/>
    </row>
    <row r="253" spans="1:23" x14ac:dyDescent="0.3">
      <c r="A253" s="418"/>
      <c r="B253" s="516"/>
      <c r="C253" s="516"/>
      <c r="D253" s="516"/>
      <c r="E253" s="516"/>
      <c r="F253" s="516"/>
      <c r="G253" s="516"/>
      <c r="H253" s="608"/>
      <c r="I253" s="608"/>
      <c r="J253" s="608"/>
      <c r="K253" s="608"/>
      <c r="L253" s="608"/>
      <c r="M253" s="608"/>
      <c r="N253" s="608"/>
      <c r="O253" s="608"/>
      <c r="P253" s="517"/>
      <c r="Q253" s="609"/>
      <c r="R253" s="610"/>
      <c r="S253" s="609"/>
      <c r="T253" s="516"/>
      <c r="U253" s="639"/>
      <c r="V253" s="416"/>
    </row>
    <row r="254" spans="1:23" x14ac:dyDescent="0.3">
      <c r="A254" s="442"/>
      <c r="B254" s="521" t="s">
        <v>267</v>
      </c>
      <c r="C254" s="522"/>
      <c r="D254" s="522"/>
      <c r="E254" s="522"/>
      <c r="F254" s="566"/>
      <c r="G254" s="522"/>
      <c r="H254" s="522"/>
      <c r="I254" s="522"/>
      <c r="J254" s="522"/>
      <c r="K254" s="522"/>
      <c r="L254" s="522"/>
      <c r="M254" s="522"/>
      <c r="N254" s="522"/>
      <c r="O254" s="522"/>
      <c r="P254" s="566" t="s">
        <v>105</v>
      </c>
      <c r="Q254" s="522" t="s">
        <v>106</v>
      </c>
      <c r="R254" s="566" t="s">
        <v>114</v>
      </c>
      <c r="S254" s="522" t="s">
        <v>106</v>
      </c>
      <c r="T254" s="443"/>
      <c r="U254" s="446"/>
      <c r="V254" s="416"/>
    </row>
    <row r="255" spans="1:23" s="431" customFormat="1" x14ac:dyDescent="0.3">
      <c r="A255" s="432"/>
      <c r="B255" s="525" t="s">
        <v>91</v>
      </c>
      <c r="C255" s="606"/>
      <c r="D255" s="606"/>
      <c r="E255" s="606"/>
      <c r="F255" s="447"/>
      <c r="G255" s="606"/>
      <c r="H255" s="606"/>
      <c r="I255" s="606"/>
      <c r="J255" s="606"/>
      <c r="K255" s="606"/>
      <c r="L255" s="606"/>
      <c r="M255" s="606"/>
      <c r="N255" s="606"/>
      <c r="O255" s="606"/>
      <c r="P255" s="525">
        <v>30</v>
      </c>
      <c r="Q255" s="607">
        <f t="shared" ref="Q255:Q262" si="7">P255/$P$264</f>
        <v>0.9375</v>
      </c>
      <c r="R255" s="526">
        <v>5044</v>
      </c>
      <c r="S255" s="607">
        <f>R255/$R$264</f>
        <v>0.94616394672669291</v>
      </c>
      <c r="T255" s="447"/>
      <c r="U255" s="641"/>
      <c r="V255" s="430"/>
    </row>
    <row r="256" spans="1:23" s="431" customFormat="1" x14ac:dyDescent="0.3">
      <c r="A256" s="449"/>
      <c r="B256" s="514" t="s">
        <v>92</v>
      </c>
      <c r="C256" s="603"/>
      <c r="D256" s="603"/>
      <c r="E256" s="603"/>
      <c r="F256" s="450"/>
      <c r="G256" s="602"/>
      <c r="H256" s="603"/>
      <c r="I256" s="603"/>
      <c r="J256" s="603"/>
      <c r="K256" s="603"/>
      <c r="L256" s="603"/>
      <c r="M256" s="603"/>
      <c r="N256" s="603"/>
      <c r="O256" s="603"/>
      <c r="P256" s="514">
        <v>0</v>
      </c>
      <c r="Q256" s="602">
        <f t="shared" si="7"/>
        <v>0</v>
      </c>
      <c r="R256" s="515">
        <v>0</v>
      </c>
      <c r="S256" s="602">
        <f t="shared" ref="S256:S262" si="8">R256/$R$264</f>
        <v>0</v>
      </c>
      <c r="T256" s="450"/>
      <c r="U256" s="452"/>
      <c r="V256" s="430"/>
    </row>
    <row r="257" spans="1:22" s="431" customFormat="1" x14ac:dyDescent="0.3">
      <c r="A257" s="449"/>
      <c r="B257" s="514" t="s">
        <v>93</v>
      </c>
      <c r="C257" s="603"/>
      <c r="D257" s="603"/>
      <c r="E257" s="603"/>
      <c r="F257" s="450"/>
      <c r="G257" s="602"/>
      <c r="H257" s="603"/>
      <c r="I257" s="603"/>
      <c r="J257" s="603"/>
      <c r="K257" s="603"/>
      <c r="L257" s="603"/>
      <c r="M257" s="603"/>
      <c r="N257" s="603"/>
      <c r="O257" s="603"/>
      <c r="P257" s="514">
        <v>0</v>
      </c>
      <c r="Q257" s="602">
        <f t="shared" si="7"/>
        <v>0</v>
      </c>
      <c r="R257" s="515">
        <v>0</v>
      </c>
      <c r="S257" s="602">
        <f t="shared" si="8"/>
        <v>0</v>
      </c>
      <c r="T257" s="450"/>
      <c r="U257" s="452"/>
      <c r="V257" s="430"/>
    </row>
    <row r="258" spans="1:22" s="431" customFormat="1" x14ac:dyDescent="0.3">
      <c r="A258" s="449"/>
      <c r="B258" s="514" t="s">
        <v>163</v>
      </c>
      <c r="C258" s="603"/>
      <c r="D258" s="603"/>
      <c r="E258" s="603"/>
      <c r="F258" s="450"/>
      <c r="G258" s="602"/>
      <c r="H258" s="603"/>
      <c r="I258" s="603"/>
      <c r="J258" s="603"/>
      <c r="K258" s="603"/>
      <c r="L258" s="603"/>
      <c r="M258" s="603"/>
      <c r="N258" s="603"/>
      <c r="O258" s="603"/>
      <c r="P258" s="514">
        <v>0</v>
      </c>
      <c r="Q258" s="602">
        <f t="shared" si="7"/>
        <v>0</v>
      </c>
      <c r="R258" s="515">
        <v>0</v>
      </c>
      <c r="S258" s="602">
        <f t="shared" si="8"/>
        <v>0</v>
      </c>
      <c r="T258" s="450"/>
      <c r="U258" s="452"/>
      <c r="V258" s="430"/>
    </row>
    <row r="259" spans="1:22" s="431" customFormat="1" x14ac:dyDescent="0.3">
      <c r="A259" s="449"/>
      <c r="B259" s="514" t="s">
        <v>164</v>
      </c>
      <c r="C259" s="603"/>
      <c r="D259" s="603"/>
      <c r="E259" s="603"/>
      <c r="F259" s="450"/>
      <c r="G259" s="602"/>
      <c r="H259" s="603"/>
      <c r="I259" s="603"/>
      <c r="J259" s="603"/>
      <c r="K259" s="603"/>
      <c r="L259" s="603"/>
      <c r="M259" s="603"/>
      <c r="N259" s="603"/>
      <c r="O259" s="603"/>
      <c r="P259" s="514">
        <v>0</v>
      </c>
      <c r="Q259" s="602">
        <f t="shared" si="7"/>
        <v>0</v>
      </c>
      <c r="R259" s="515">
        <v>0</v>
      </c>
      <c r="S259" s="602">
        <f t="shared" si="8"/>
        <v>0</v>
      </c>
      <c r="T259" s="450"/>
      <c r="U259" s="452"/>
      <c r="V259" s="430"/>
    </row>
    <row r="260" spans="1:22" s="431" customFormat="1" x14ac:dyDescent="0.3">
      <c r="A260" s="449"/>
      <c r="B260" s="514" t="s">
        <v>165</v>
      </c>
      <c r="C260" s="603"/>
      <c r="D260" s="603"/>
      <c r="E260" s="603"/>
      <c r="F260" s="450"/>
      <c r="G260" s="602"/>
      <c r="H260" s="603"/>
      <c r="I260" s="603"/>
      <c r="J260" s="603"/>
      <c r="K260" s="603"/>
      <c r="L260" s="603"/>
      <c r="M260" s="603"/>
      <c r="N260" s="603"/>
      <c r="O260" s="603"/>
      <c r="P260" s="514">
        <v>0</v>
      </c>
      <c r="Q260" s="602">
        <f t="shared" si="7"/>
        <v>0</v>
      </c>
      <c r="R260" s="515">
        <v>0</v>
      </c>
      <c r="S260" s="602">
        <f t="shared" si="8"/>
        <v>0</v>
      </c>
      <c r="T260" s="450"/>
      <c r="U260" s="452"/>
      <c r="V260" s="430"/>
    </row>
    <row r="261" spans="1:22" s="431" customFormat="1" x14ac:dyDescent="0.3">
      <c r="A261" s="449"/>
      <c r="B261" s="514" t="s">
        <v>166</v>
      </c>
      <c r="C261" s="603"/>
      <c r="D261" s="603"/>
      <c r="E261" s="603"/>
      <c r="F261" s="450"/>
      <c r="G261" s="602"/>
      <c r="H261" s="603"/>
      <c r="I261" s="603"/>
      <c r="J261" s="603"/>
      <c r="K261" s="603"/>
      <c r="L261" s="603"/>
      <c r="M261" s="603"/>
      <c r="N261" s="603"/>
      <c r="O261" s="603"/>
      <c r="P261" s="514">
        <v>2</v>
      </c>
      <c r="Q261" s="602">
        <f t="shared" si="7"/>
        <v>6.25E-2</v>
      </c>
      <c r="R261" s="515">
        <v>287</v>
      </c>
      <c r="S261" s="602">
        <f t="shared" si="8"/>
        <v>5.3836053273307073E-2</v>
      </c>
      <c r="T261" s="450"/>
      <c r="U261" s="452"/>
      <c r="V261" s="430"/>
    </row>
    <row r="262" spans="1:22" s="431" customFormat="1" x14ac:dyDescent="0.3">
      <c r="A262" s="449"/>
      <c r="B262" s="514" t="s">
        <v>167</v>
      </c>
      <c r="C262" s="603"/>
      <c r="D262" s="603"/>
      <c r="E262" s="603"/>
      <c r="F262" s="450"/>
      <c r="G262" s="602"/>
      <c r="H262" s="603"/>
      <c r="I262" s="603"/>
      <c r="J262" s="603"/>
      <c r="K262" s="603"/>
      <c r="L262" s="603"/>
      <c r="M262" s="603"/>
      <c r="N262" s="603"/>
      <c r="O262" s="603"/>
      <c r="P262" s="514">
        <v>0</v>
      </c>
      <c r="Q262" s="602">
        <f t="shared" si="7"/>
        <v>0</v>
      </c>
      <c r="R262" s="515">
        <v>0</v>
      </c>
      <c r="S262" s="602">
        <f t="shared" si="8"/>
        <v>0</v>
      </c>
      <c r="T262" s="450"/>
      <c r="U262" s="452"/>
      <c r="V262" s="430"/>
    </row>
    <row r="263" spans="1:22" s="431" customFormat="1" x14ac:dyDescent="0.3">
      <c r="A263" s="449"/>
      <c r="B263" s="514"/>
      <c r="C263" s="603"/>
      <c r="D263" s="603"/>
      <c r="E263" s="603"/>
      <c r="F263" s="450"/>
      <c r="G263" s="602"/>
      <c r="H263" s="603"/>
      <c r="I263" s="603"/>
      <c r="J263" s="603"/>
      <c r="K263" s="603"/>
      <c r="L263" s="603"/>
      <c r="M263" s="603"/>
      <c r="N263" s="603"/>
      <c r="O263" s="603"/>
      <c r="P263" s="514"/>
      <c r="Q263" s="602"/>
      <c r="R263" s="515"/>
      <c r="S263" s="602"/>
      <c r="T263" s="450"/>
      <c r="U263" s="452"/>
      <c r="V263" s="430"/>
    </row>
    <row r="264" spans="1:22" s="431" customFormat="1" x14ac:dyDescent="0.3">
      <c r="A264" s="449"/>
      <c r="B264" s="450" t="s">
        <v>120</v>
      </c>
      <c r="C264" s="450"/>
      <c r="D264" s="450"/>
      <c r="E264" s="450"/>
      <c r="F264" s="450"/>
      <c r="G264" s="450"/>
      <c r="H264" s="604"/>
      <c r="I264" s="604"/>
      <c r="J264" s="604"/>
      <c r="K264" s="604"/>
      <c r="L264" s="604"/>
      <c r="M264" s="604"/>
      <c r="N264" s="604"/>
      <c r="O264" s="604"/>
      <c r="P264" s="514">
        <f>SUM(P255:P263)</f>
        <v>32</v>
      </c>
      <c r="Q264" s="602">
        <f>SUM(Q255:Q263)</f>
        <v>1</v>
      </c>
      <c r="R264" s="515">
        <f>SUM(R255:R263)</f>
        <v>5331</v>
      </c>
      <c r="S264" s="602">
        <f>SUM(S255:S263)</f>
        <v>1</v>
      </c>
      <c r="T264" s="450"/>
      <c r="U264" s="452"/>
      <c r="V264" s="430"/>
    </row>
    <row r="265" spans="1:22" x14ac:dyDescent="0.3">
      <c r="A265" s="418"/>
      <c r="B265" s="516"/>
      <c r="C265" s="516"/>
      <c r="D265" s="516"/>
      <c r="E265" s="516"/>
      <c r="F265" s="516"/>
      <c r="G265" s="516"/>
      <c r="H265" s="608"/>
      <c r="I265" s="608"/>
      <c r="J265" s="608"/>
      <c r="K265" s="608"/>
      <c r="L265" s="608"/>
      <c r="M265" s="608"/>
      <c r="N265" s="608"/>
      <c r="O265" s="608"/>
      <c r="P265" s="517"/>
      <c r="Q265" s="609"/>
      <c r="R265" s="610"/>
      <c r="S265" s="609"/>
      <c r="T265" s="516"/>
      <c r="U265" s="639"/>
      <c r="V265" s="416"/>
    </row>
    <row r="266" spans="1:22" x14ac:dyDescent="0.3">
      <c r="A266" s="442"/>
      <c r="B266" s="521" t="s">
        <v>170</v>
      </c>
      <c r="C266" s="443"/>
      <c r="D266" s="443"/>
      <c r="E266" s="443"/>
      <c r="F266" s="443"/>
      <c r="G266" s="443"/>
      <c r="H266" s="611"/>
      <c r="I266" s="611"/>
      <c r="J266" s="611"/>
      <c r="K266" s="611"/>
      <c r="L266" s="611"/>
      <c r="M266" s="611"/>
      <c r="N266" s="611"/>
      <c r="O266" s="611"/>
      <c r="P266" s="566" t="s">
        <v>105</v>
      </c>
      <c r="Q266" s="522" t="s">
        <v>106</v>
      </c>
      <c r="R266" s="566" t="s">
        <v>114</v>
      </c>
      <c r="S266" s="522" t="s">
        <v>106</v>
      </c>
      <c r="T266" s="443"/>
      <c r="U266" s="446"/>
      <c r="V266" s="416"/>
    </row>
    <row r="267" spans="1:22" s="431" customFormat="1" x14ac:dyDescent="0.3">
      <c r="A267" s="432"/>
      <c r="B267" s="525" t="s">
        <v>91</v>
      </c>
      <c r="C267" s="447"/>
      <c r="D267" s="447"/>
      <c r="E267" s="447"/>
      <c r="F267" s="447"/>
      <c r="G267" s="447"/>
      <c r="H267" s="612"/>
      <c r="I267" s="612"/>
      <c r="J267" s="612"/>
      <c r="K267" s="612"/>
      <c r="L267" s="612"/>
      <c r="M267" s="612"/>
      <c r="N267" s="612"/>
      <c r="O267" s="612"/>
      <c r="P267" s="525">
        <v>0</v>
      </c>
      <c r="Q267" s="607">
        <v>0</v>
      </c>
      <c r="R267" s="526">
        <v>0</v>
      </c>
      <c r="S267" s="607">
        <v>0</v>
      </c>
      <c r="T267" s="447"/>
      <c r="U267" s="641"/>
      <c r="V267" s="430"/>
    </row>
    <row r="268" spans="1:22" s="431" customFormat="1" x14ac:dyDescent="0.3">
      <c r="A268" s="449"/>
      <c r="B268" s="514" t="s">
        <v>92</v>
      </c>
      <c r="C268" s="450"/>
      <c r="D268" s="450"/>
      <c r="E268" s="450"/>
      <c r="F268" s="450"/>
      <c r="G268" s="450"/>
      <c r="H268" s="604"/>
      <c r="I268" s="604"/>
      <c r="J268" s="604"/>
      <c r="K268" s="604"/>
      <c r="L268" s="604"/>
      <c r="M268" s="604"/>
      <c r="N268" s="604"/>
      <c r="O268" s="604"/>
      <c r="P268" s="514">
        <v>0</v>
      </c>
      <c r="Q268" s="602">
        <v>0</v>
      </c>
      <c r="R268" s="515">
        <v>0</v>
      </c>
      <c r="S268" s="602">
        <v>0</v>
      </c>
      <c r="T268" s="450"/>
      <c r="U268" s="452"/>
      <c r="V268" s="430"/>
    </row>
    <row r="269" spans="1:22" s="431" customFormat="1" x14ac:dyDescent="0.3">
      <c r="A269" s="449"/>
      <c r="B269" s="514" t="s">
        <v>93</v>
      </c>
      <c r="C269" s="450"/>
      <c r="D269" s="450"/>
      <c r="E269" s="450"/>
      <c r="F269" s="450"/>
      <c r="G269" s="450"/>
      <c r="H269" s="604"/>
      <c r="I269" s="604"/>
      <c r="J269" s="604"/>
      <c r="K269" s="604"/>
      <c r="L269" s="604"/>
      <c r="M269" s="604"/>
      <c r="N269" s="604"/>
      <c r="O269" s="604"/>
      <c r="P269" s="514">
        <v>0</v>
      </c>
      <c r="Q269" s="602">
        <v>0</v>
      </c>
      <c r="R269" s="515">
        <v>0</v>
      </c>
      <c r="S269" s="602">
        <v>0</v>
      </c>
      <c r="T269" s="450"/>
      <c r="U269" s="452"/>
      <c r="V269" s="430"/>
    </row>
    <row r="270" spans="1:22" s="431" customFormat="1" x14ac:dyDescent="0.3">
      <c r="A270" s="449"/>
      <c r="B270" s="514" t="s">
        <v>163</v>
      </c>
      <c r="C270" s="450"/>
      <c r="D270" s="450"/>
      <c r="E270" s="450"/>
      <c r="F270" s="450"/>
      <c r="G270" s="450"/>
      <c r="H270" s="604"/>
      <c r="I270" s="604"/>
      <c r="J270" s="604"/>
      <c r="K270" s="604"/>
      <c r="L270" s="604"/>
      <c r="M270" s="604"/>
      <c r="N270" s="604"/>
      <c r="O270" s="604"/>
      <c r="P270" s="514">
        <v>0</v>
      </c>
      <c r="Q270" s="602">
        <v>0</v>
      </c>
      <c r="R270" s="515">
        <v>0</v>
      </c>
      <c r="S270" s="602">
        <v>0</v>
      </c>
      <c r="T270" s="450"/>
      <c r="U270" s="452"/>
      <c r="V270" s="430"/>
    </row>
    <row r="271" spans="1:22" s="431" customFormat="1" x14ac:dyDescent="0.3">
      <c r="A271" s="449"/>
      <c r="B271" s="514" t="s">
        <v>164</v>
      </c>
      <c r="C271" s="450"/>
      <c r="D271" s="450"/>
      <c r="E271" s="450"/>
      <c r="F271" s="450"/>
      <c r="G271" s="450"/>
      <c r="H271" s="604"/>
      <c r="I271" s="604"/>
      <c r="J271" s="604"/>
      <c r="K271" s="604"/>
      <c r="L271" s="604"/>
      <c r="M271" s="604"/>
      <c r="N271" s="604"/>
      <c r="O271" s="604"/>
      <c r="P271" s="514">
        <v>0</v>
      </c>
      <c r="Q271" s="602">
        <v>0</v>
      </c>
      <c r="R271" s="515">
        <v>0</v>
      </c>
      <c r="S271" s="602">
        <v>0</v>
      </c>
      <c r="T271" s="450"/>
      <c r="U271" s="452"/>
      <c r="V271" s="430"/>
    </row>
    <row r="272" spans="1:22" s="431" customFormat="1" x14ac:dyDescent="0.3">
      <c r="A272" s="449"/>
      <c r="B272" s="514" t="s">
        <v>165</v>
      </c>
      <c r="C272" s="450"/>
      <c r="D272" s="450"/>
      <c r="E272" s="450"/>
      <c r="F272" s="450"/>
      <c r="G272" s="450"/>
      <c r="H272" s="604"/>
      <c r="I272" s="604"/>
      <c r="J272" s="604"/>
      <c r="K272" s="604"/>
      <c r="L272" s="604"/>
      <c r="M272" s="604"/>
      <c r="N272" s="604"/>
      <c r="O272" s="604"/>
      <c r="P272" s="514">
        <v>0</v>
      </c>
      <c r="Q272" s="602">
        <v>0</v>
      </c>
      <c r="R272" s="515">
        <v>0</v>
      </c>
      <c r="S272" s="602">
        <v>0</v>
      </c>
      <c r="T272" s="450"/>
      <c r="U272" s="452"/>
      <c r="V272" s="430"/>
    </row>
    <row r="273" spans="1:22" s="431" customFormat="1" x14ac:dyDescent="0.3">
      <c r="A273" s="449"/>
      <c r="B273" s="514" t="s">
        <v>166</v>
      </c>
      <c r="C273" s="450"/>
      <c r="D273" s="450"/>
      <c r="E273" s="450"/>
      <c r="F273" s="450"/>
      <c r="G273" s="450"/>
      <c r="H273" s="604"/>
      <c r="I273" s="604"/>
      <c r="J273" s="604"/>
      <c r="K273" s="604"/>
      <c r="L273" s="604"/>
      <c r="M273" s="604"/>
      <c r="N273" s="604"/>
      <c r="O273" s="604"/>
      <c r="P273" s="514">
        <v>0</v>
      </c>
      <c r="Q273" s="602">
        <v>0</v>
      </c>
      <c r="R273" s="515">
        <v>0</v>
      </c>
      <c r="S273" s="602">
        <v>0</v>
      </c>
      <c r="T273" s="450"/>
      <c r="U273" s="452"/>
      <c r="V273" s="430"/>
    </row>
    <row r="274" spans="1:22" s="431" customFormat="1" x14ac:dyDescent="0.3">
      <c r="A274" s="449"/>
      <c r="B274" s="514" t="s">
        <v>167</v>
      </c>
      <c r="C274" s="450"/>
      <c r="D274" s="450"/>
      <c r="E274" s="450"/>
      <c r="F274" s="450"/>
      <c r="G274" s="450"/>
      <c r="H274" s="604"/>
      <c r="I274" s="604"/>
      <c r="J274" s="604"/>
      <c r="K274" s="604"/>
      <c r="L274" s="604"/>
      <c r="M274" s="604"/>
      <c r="N274" s="604"/>
      <c r="O274" s="604"/>
      <c r="P274" s="514">
        <v>0</v>
      </c>
      <c r="Q274" s="602">
        <v>0</v>
      </c>
      <c r="R274" s="515">
        <v>0</v>
      </c>
      <c r="S274" s="602">
        <v>0</v>
      </c>
      <c r="T274" s="450"/>
      <c r="U274" s="452"/>
      <c r="V274" s="430"/>
    </row>
    <row r="275" spans="1:22" s="431" customFormat="1" x14ac:dyDescent="0.3">
      <c r="A275" s="449"/>
      <c r="B275" s="514"/>
      <c r="C275" s="450"/>
      <c r="D275" s="450"/>
      <c r="E275" s="450"/>
      <c r="F275" s="450"/>
      <c r="G275" s="450"/>
      <c r="H275" s="604"/>
      <c r="I275" s="604"/>
      <c r="J275" s="604"/>
      <c r="K275" s="604"/>
      <c r="L275" s="604"/>
      <c r="M275" s="604"/>
      <c r="N275" s="604"/>
      <c r="O275" s="604"/>
      <c r="P275" s="514"/>
      <c r="Q275" s="602"/>
      <c r="R275" s="515"/>
      <c r="S275" s="602"/>
      <c r="T275" s="450"/>
      <c r="U275" s="452"/>
      <c r="V275" s="430"/>
    </row>
    <row r="276" spans="1:22" s="431" customFormat="1" x14ac:dyDescent="0.3">
      <c r="A276" s="449"/>
      <c r="B276" s="450" t="s">
        <v>120</v>
      </c>
      <c r="C276" s="450"/>
      <c r="D276" s="450"/>
      <c r="E276" s="450"/>
      <c r="F276" s="450"/>
      <c r="G276" s="450"/>
      <c r="H276" s="604"/>
      <c r="I276" s="604"/>
      <c r="J276" s="604"/>
      <c r="K276" s="604"/>
      <c r="L276" s="604"/>
      <c r="M276" s="604"/>
      <c r="N276" s="604"/>
      <c r="O276" s="604"/>
      <c r="P276" s="514">
        <f>SUM(P267:P274)</f>
        <v>0</v>
      </c>
      <c r="Q276" s="602">
        <f>SUM(Q267:Q275)</f>
        <v>0</v>
      </c>
      <c r="R276" s="515">
        <f>SUM(R267:R274)</f>
        <v>0</v>
      </c>
      <c r="S276" s="602">
        <f>SUM(S267:S275)</f>
        <v>0</v>
      </c>
      <c r="T276" s="450"/>
      <c r="U276" s="452"/>
      <c r="V276" s="430"/>
    </row>
    <row r="277" spans="1:22" s="431" customFormat="1" x14ac:dyDescent="0.3">
      <c r="A277" s="449"/>
      <c r="B277" s="450"/>
      <c r="C277" s="450"/>
      <c r="D277" s="450"/>
      <c r="E277" s="450"/>
      <c r="F277" s="450"/>
      <c r="G277" s="450"/>
      <c r="H277" s="604"/>
      <c r="I277" s="604"/>
      <c r="J277" s="604"/>
      <c r="K277" s="604"/>
      <c r="L277" s="604"/>
      <c r="M277" s="604"/>
      <c r="N277" s="604"/>
      <c r="O277" s="604"/>
      <c r="P277" s="514"/>
      <c r="Q277" s="602"/>
      <c r="R277" s="515"/>
      <c r="S277" s="602"/>
      <c r="T277" s="450"/>
      <c r="U277" s="452"/>
      <c r="V277" s="430"/>
    </row>
    <row r="278" spans="1:22" s="431" customFormat="1" x14ac:dyDescent="0.3">
      <c r="A278" s="449"/>
      <c r="B278" s="455" t="s">
        <v>171</v>
      </c>
      <c r="C278" s="450"/>
      <c r="D278" s="450"/>
      <c r="E278" s="450"/>
      <c r="F278" s="450"/>
      <c r="G278" s="450"/>
      <c r="H278" s="604"/>
      <c r="I278" s="604"/>
      <c r="J278" s="604"/>
      <c r="K278" s="604"/>
      <c r="L278" s="604"/>
      <c r="M278" s="604"/>
      <c r="N278" s="604"/>
      <c r="O278" s="604"/>
      <c r="P278" s="613">
        <f>P276+P264+P252</f>
        <v>3248</v>
      </c>
      <c r="Q278" s="602"/>
      <c r="R278" s="614">
        <f>+R276+R264+R252</f>
        <v>418613</v>
      </c>
      <c r="S278" s="602"/>
      <c r="T278" s="450"/>
      <c r="U278" s="452"/>
      <c r="V278" s="430"/>
    </row>
    <row r="279" spans="1:22" s="431" customFormat="1" x14ac:dyDescent="0.3">
      <c r="A279" s="432"/>
      <c r="B279" s="447"/>
      <c r="C279" s="447"/>
      <c r="D279" s="447"/>
      <c r="E279" s="447"/>
      <c r="F279" s="447"/>
      <c r="G279" s="447"/>
      <c r="H279" s="612"/>
      <c r="I279" s="612"/>
      <c r="J279" s="612"/>
      <c r="K279" s="612"/>
      <c r="L279" s="612"/>
      <c r="M279" s="612"/>
      <c r="N279" s="612"/>
      <c r="O279" s="612"/>
      <c r="P279" s="612"/>
      <c r="Q279" s="612"/>
      <c r="R279" s="526"/>
      <c r="S279" s="612"/>
      <c r="T279" s="447"/>
      <c r="U279" s="641"/>
      <c r="V279" s="430"/>
    </row>
    <row r="280" spans="1:22" s="431" customFormat="1" x14ac:dyDescent="0.3">
      <c r="A280" s="432"/>
      <c r="B280" s="447"/>
      <c r="C280" s="433"/>
      <c r="D280" s="433"/>
      <c r="E280" s="433"/>
      <c r="F280" s="433"/>
      <c r="G280" s="433"/>
      <c r="H280" s="615"/>
      <c r="I280" s="615"/>
      <c r="J280" s="615"/>
      <c r="K280" s="615"/>
      <c r="L280" s="615"/>
      <c r="M280" s="615"/>
      <c r="N280" s="615"/>
      <c r="O280" s="615"/>
      <c r="P280" s="615"/>
      <c r="Q280" s="615"/>
      <c r="R280" s="616"/>
      <c r="S280" s="615"/>
      <c r="T280" s="433"/>
      <c r="U280" s="641"/>
      <c r="V280" s="430"/>
    </row>
    <row r="281" spans="1:22" s="431" customFormat="1" x14ac:dyDescent="0.3">
      <c r="A281" s="432"/>
      <c r="B281" s="428" t="s">
        <v>94</v>
      </c>
      <c r="C281" s="433"/>
      <c r="D281" s="433"/>
      <c r="E281" s="433"/>
      <c r="F281" s="437" t="s">
        <v>100</v>
      </c>
      <c r="G281" s="433"/>
      <c r="H281" s="428" t="s">
        <v>102</v>
      </c>
      <c r="I281" s="433"/>
      <c r="J281" s="433"/>
      <c r="K281" s="433"/>
      <c r="L281" s="433"/>
      <c r="M281" s="433"/>
      <c r="N281" s="433"/>
      <c r="O281" s="433"/>
      <c r="P281" s="433"/>
      <c r="Q281" s="433"/>
      <c r="R281" s="433"/>
      <c r="S281" s="433"/>
      <c r="T281" s="433"/>
      <c r="U281" s="641"/>
      <c r="V281" s="430"/>
    </row>
    <row r="282" spans="1:22" s="431" customFormat="1" x14ac:dyDescent="0.3">
      <c r="A282" s="432"/>
      <c r="B282" s="428" t="s">
        <v>317</v>
      </c>
      <c r="C282" s="428"/>
      <c r="D282" s="428"/>
      <c r="E282" s="428"/>
      <c r="F282" s="617" t="s">
        <v>269</v>
      </c>
      <c r="G282" s="428"/>
      <c r="H282" s="428" t="s">
        <v>357</v>
      </c>
      <c r="I282" s="433"/>
      <c r="J282" s="433"/>
      <c r="K282" s="433"/>
      <c r="L282" s="433"/>
      <c r="M282" s="433"/>
      <c r="N282" s="433"/>
      <c r="O282" s="433"/>
      <c r="P282" s="433"/>
      <c r="Q282" s="433"/>
      <c r="R282" s="433"/>
      <c r="S282" s="433"/>
      <c r="T282" s="433"/>
      <c r="U282" s="641"/>
      <c r="V282" s="430"/>
    </row>
    <row r="283" spans="1:22" s="431" customFormat="1" x14ac:dyDescent="0.3">
      <c r="A283" s="432"/>
      <c r="B283" s="428" t="s">
        <v>318</v>
      </c>
      <c r="C283" s="428"/>
      <c r="D283" s="428"/>
      <c r="E283" s="428"/>
      <c r="F283" s="617" t="s">
        <v>153</v>
      </c>
      <c r="G283" s="428"/>
      <c r="H283" s="428" t="s">
        <v>358</v>
      </c>
      <c r="I283" s="433"/>
      <c r="J283" s="433"/>
      <c r="K283" s="433"/>
      <c r="L283" s="433"/>
      <c r="M283" s="433"/>
      <c r="N283" s="433"/>
      <c r="O283" s="433"/>
      <c r="P283" s="433"/>
      <c r="Q283" s="433"/>
      <c r="R283" s="433"/>
      <c r="S283" s="433"/>
      <c r="T283" s="433"/>
      <c r="U283" s="641"/>
      <c r="V283" s="430"/>
    </row>
    <row r="284" spans="1:22" s="431" customFormat="1" x14ac:dyDescent="0.3">
      <c r="A284" s="432"/>
      <c r="B284" s="428"/>
      <c r="C284" s="428"/>
      <c r="D284" s="428"/>
      <c r="E284" s="428"/>
      <c r="F284" s="617"/>
      <c r="G284" s="428"/>
      <c r="H284" s="428"/>
      <c r="I284" s="433"/>
      <c r="J284" s="433"/>
      <c r="K284" s="433"/>
      <c r="L284" s="433"/>
      <c r="M284" s="433"/>
      <c r="N284" s="433"/>
      <c r="O284" s="433"/>
      <c r="P284" s="433"/>
      <c r="Q284" s="433"/>
      <c r="R284" s="433"/>
      <c r="S284" s="433"/>
      <c r="T284" s="433"/>
      <c r="U284" s="641"/>
      <c r="V284" s="430"/>
    </row>
    <row r="285" spans="1:22" s="431" customFormat="1" x14ac:dyDescent="0.3">
      <c r="A285" s="432"/>
      <c r="B285" s="447" t="s">
        <v>354</v>
      </c>
      <c r="C285" s="428"/>
      <c r="D285" s="428"/>
      <c r="E285" s="428"/>
      <c r="F285" s="617"/>
      <c r="G285" s="428"/>
      <c r="H285" s="428"/>
      <c r="I285" s="433"/>
      <c r="J285" s="433"/>
      <c r="K285" s="433"/>
      <c r="L285" s="433"/>
      <c r="M285" s="433"/>
      <c r="N285" s="433"/>
      <c r="O285" s="433"/>
      <c r="P285" s="433"/>
      <c r="Q285" s="433"/>
      <c r="R285" s="433"/>
      <c r="S285" s="433"/>
      <c r="T285" s="433"/>
      <c r="U285" s="641"/>
      <c r="V285" s="430"/>
    </row>
    <row r="286" spans="1:22" s="431" customFormat="1" x14ac:dyDescent="0.3">
      <c r="A286" s="432"/>
      <c r="B286" s="447" t="s">
        <v>359</v>
      </c>
      <c r="C286" s="428"/>
      <c r="D286" s="428"/>
      <c r="E286" s="428"/>
      <c r="F286" s="617"/>
      <c r="G286" s="428"/>
      <c r="H286" s="428"/>
      <c r="I286" s="433"/>
      <c r="J286" s="433"/>
      <c r="K286" s="433"/>
      <c r="L286" s="433"/>
      <c r="M286" s="433"/>
      <c r="N286" s="433"/>
      <c r="O286" s="433"/>
      <c r="P286" s="433"/>
      <c r="Q286" s="433"/>
      <c r="R286" s="433"/>
      <c r="S286" s="433"/>
      <c r="T286" s="433"/>
      <c r="U286" s="641"/>
      <c r="V286" s="430"/>
    </row>
    <row r="287" spans="1:22" s="431" customFormat="1" x14ac:dyDescent="0.3">
      <c r="A287" s="432"/>
      <c r="B287" s="447" t="s">
        <v>352</v>
      </c>
      <c r="C287" s="428"/>
      <c r="D287" s="428"/>
      <c r="E287" s="428"/>
      <c r="F287" s="617"/>
      <c r="G287" s="428"/>
      <c r="H287" s="428"/>
      <c r="I287" s="433"/>
      <c r="J287" s="433"/>
      <c r="K287" s="433"/>
      <c r="L287" s="433"/>
      <c r="M287" s="433"/>
      <c r="N287" s="433"/>
      <c r="O287" s="433"/>
      <c r="P287" s="433"/>
      <c r="Q287" s="433"/>
      <c r="R287" s="433"/>
      <c r="S287" s="433"/>
      <c r="T287" s="433"/>
      <c r="U287" s="641"/>
      <c r="V287" s="430"/>
    </row>
    <row r="288" spans="1:22" s="431" customFormat="1" x14ac:dyDescent="0.3">
      <c r="A288" s="432"/>
      <c r="B288" s="447" t="s">
        <v>351</v>
      </c>
      <c r="C288" s="428"/>
      <c r="D288" s="428"/>
      <c r="E288" s="428"/>
      <c r="F288" s="617"/>
      <c r="G288" s="428"/>
      <c r="H288" s="428"/>
      <c r="I288" s="433"/>
      <c r="J288" s="433"/>
      <c r="K288" s="433"/>
      <c r="L288" s="433"/>
      <c r="M288" s="433"/>
      <c r="N288" s="433"/>
      <c r="O288" s="433"/>
      <c r="P288" s="433"/>
      <c r="Q288" s="433"/>
      <c r="R288" s="433"/>
      <c r="S288" s="433"/>
      <c r="T288" s="433"/>
      <c r="U288" s="641"/>
      <c r="V288" s="430"/>
    </row>
    <row r="289" spans="1:22" x14ac:dyDescent="0.3">
      <c r="A289" s="418"/>
      <c r="B289" s="618"/>
      <c r="C289" s="619"/>
      <c r="D289" s="619"/>
      <c r="E289" s="619"/>
      <c r="F289" s="620"/>
      <c r="G289" s="619"/>
      <c r="H289" s="619"/>
      <c r="I289" s="621"/>
      <c r="J289" s="621"/>
      <c r="K289" s="621"/>
      <c r="L289" s="420"/>
      <c r="M289" s="420"/>
      <c r="N289" s="420"/>
      <c r="O289" s="420"/>
      <c r="P289" s="420"/>
      <c r="Q289" s="420"/>
      <c r="R289" s="420"/>
      <c r="S289" s="420"/>
      <c r="T289" s="420"/>
      <c r="U289" s="639"/>
      <c r="V289" s="416"/>
    </row>
    <row r="290" spans="1:22" ht="18" x14ac:dyDescent="0.35">
      <c r="A290" s="418"/>
      <c r="B290" s="622" t="s">
        <v>353</v>
      </c>
      <c r="C290" s="619"/>
      <c r="D290" s="619"/>
      <c r="E290" s="619"/>
      <c r="F290" s="619"/>
      <c r="G290" s="619"/>
      <c r="H290" s="621"/>
      <c r="I290" s="621"/>
      <c r="J290" s="621"/>
      <c r="K290" s="621"/>
      <c r="L290" s="420"/>
      <c r="M290" s="420"/>
      <c r="N290" s="623"/>
      <c r="O290" s="420"/>
      <c r="P290" s="624" t="s">
        <v>356</v>
      </c>
      <c r="Q290" s="420"/>
      <c r="R290" s="420"/>
      <c r="S290" s="420"/>
      <c r="T290" s="420"/>
      <c r="U290" s="639"/>
      <c r="V290" s="416"/>
    </row>
    <row r="291" spans="1:22" x14ac:dyDescent="0.3">
      <c r="A291" s="418"/>
      <c r="B291" s="619"/>
      <c r="C291" s="619"/>
      <c r="D291" s="619"/>
      <c r="E291" s="619"/>
      <c r="F291" s="619"/>
      <c r="G291" s="619"/>
      <c r="H291" s="621"/>
      <c r="I291" s="621"/>
      <c r="J291" s="621"/>
      <c r="K291" s="621"/>
      <c r="L291" s="420"/>
      <c r="M291" s="420"/>
      <c r="N291" s="420"/>
      <c r="O291" s="420"/>
      <c r="P291" s="420"/>
      <c r="Q291" s="420"/>
      <c r="R291" s="420"/>
      <c r="S291" s="420"/>
      <c r="T291" s="420"/>
      <c r="U291" s="639"/>
      <c r="V291" s="416"/>
    </row>
    <row r="292" spans="1:22" ht="18.600000000000001" thickBot="1" x14ac:dyDescent="0.4">
      <c r="A292" s="418"/>
      <c r="B292" s="625" t="str">
        <f>B192</f>
        <v>PM11 INVESTOR REPORT QUARTER ENDING DECEMBER 2017</v>
      </c>
      <c r="C292" s="619"/>
      <c r="D292" s="619"/>
      <c r="E292" s="619"/>
      <c r="F292" s="619"/>
      <c r="G292" s="619"/>
      <c r="H292" s="621"/>
      <c r="I292" s="621"/>
      <c r="J292" s="621"/>
      <c r="K292" s="621"/>
      <c r="L292" s="420"/>
      <c r="M292" s="420"/>
      <c r="N292" s="420"/>
      <c r="O292" s="420"/>
      <c r="P292" s="420"/>
      <c r="Q292" s="420"/>
      <c r="R292" s="420"/>
      <c r="S292" s="420"/>
      <c r="T292" s="420"/>
      <c r="U292" s="556"/>
      <c r="V292" s="416"/>
    </row>
    <row r="293" spans="1:22" x14ac:dyDescent="0.3">
      <c r="A293" s="626"/>
      <c r="B293" s="626"/>
      <c r="C293" s="626"/>
      <c r="D293" s="626"/>
      <c r="E293" s="626"/>
      <c r="F293" s="626"/>
      <c r="G293" s="626"/>
      <c r="H293" s="626"/>
      <c r="I293" s="626"/>
      <c r="J293" s="626"/>
      <c r="K293" s="626"/>
      <c r="L293" s="626"/>
      <c r="M293" s="626"/>
      <c r="N293" s="626"/>
      <c r="O293" s="626"/>
      <c r="P293" s="626"/>
      <c r="Q293" s="626"/>
      <c r="R293" s="626"/>
      <c r="S293" s="626"/>
      <c r="T293" s="626"/>
      <c r="U293" s="626"/>
    </row>
  </sheetData>
  <hyperlinks>
    <hyperlink ref="J9" r:id="rId1" display="http://www.paragon-group.co.uk" xr:uid="{00000000-0004-0000-2E00-000000000000}"/>
    <hyperlink ref="P290" r:id="rId2" display="http://www.paragon-group.co.uk" xr:uid="{00000000-0004-0000-2E00-000001000000}"/>
    <hyperlink ref="N228" r:id="rId3" display="http://www.paragon-group.co.uk" xr:uid="{00000000-0004-0000-2E00-000002000000}"/>
  </hyperlinks>
  <printOptions horizontalCentered="1" verticalCentered="1"/>
  <pageMargins left="0.19685039370078741" right="0.19685039370078741" top="0.27559055118110237" bottom="0.27559055118110237" header="0" footer="0"/>
  <pageSetup scale="40" orientation="landscape" r:id="rId4"/>
  <headerFooter alignWithMargins="0"/>
  <rowBreaks count="3" manualBreakCount="3">
    <brk id="63" max="20" man="1"/>
    <brk id="132" max="20" man="1"/>
    <brk id="192" max="20" man="1"/>
  </rowBreaks>
  <drawing r:id="rId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2D2926"/>
  </sheetPr>
  <dimension ref="A1:X293"/>
  <sheetViews>
    <sheetView showGridLines="0" showOutlineSymbols="0" zoomScale="70" zoomScaleNormal="70" workbookViewId="0"/>
  </sheetViews>
  <sheetFormatPr defaultColWidth="9.81640625" defaultRowHeight="15.6" x14ac:dyDescent="0.3"/>
  <cols>
    <col min="1" max="1" width="4" style="417" customWidth="1"/>
    <col min="2" max="2" width="71.08984375" style="417" customWidth="1"/>
    <col min="3" max="3" width="2.08984375" style="417" customWidth="1"/>
    <col min="4" max="4" width="19.1796875" style="417" customWidth="1"/>
    <col min="5" max="5" width="2.08984375" style="417" customWidth="1"/>
    <col min="6" max="6" width="25.08984375" style="417" customWidth="1"/>
    <col min="7" max="7" width="2.08984375" style="417" customWidth="1"/>
    <col min="8" max="8" width="16.08984375" style="417" customWidth="1"/>
    <col min="9" max="9" width="2.08984375" style="417" customWidth="1"/>
    <col min="10" max="10" width="17.81640625" style="417" customWidth="1"/>
    <col min="11" max="11" width="2.1796875" style="417" customWidth="1"/>
    <col min="12" max="12" width="14.81640625" style="417" customWidth="1"/>
    <col min="13" max="13" width="2.1796875" style="417" customWidth="1"/>
    <col min="14" max="14" width="15.54296875" style="417" customWidth="1"/>
    <col min="15" max="15" width="2.08984375" style="417" customWidth="1"/>
    <col min="16" max="16" width="15.54296875" style="417" customWidth="1"/>
    <col min="17" max="18" width="12.81640625" style="417" customWidth="1"/>
    <col min="19" max="19" width="7.81640625" style="417" customWidth="1"/>
    <col min="20" max="20" width="14.81640625" style="417" customWidth="1"/>
    <col min="21" max="21" width="11.81640625" style="417" customWidth="1"/>
    <col min="22" max="16384" width="9.81640625" style="417"/>
  </cols>
  <sheetData>
    <row r="1" spans="1:22" ht="21" x14ac:dyDescent="0.4">
      <c r="A1" s="413"/>
      <c r="B1" s="414" t="s">
        <v>228</v>
      </c>
      <c r="C1" s="415"/>
      <c r="D1" s="415"/>
      <c r="E1" s="415"/>
      <c r="F1" s="415"/>
      <c r="G1" s="415"/>
      <c r="H1" s="415"/>
      <c r="I1" s="415"/>
      <c r="J1" s="415"/>
      <c r="K1" s="415"/>
      <c r="L1" s="415"/>
      <c r="M1" s="415"/>
      <c r="N1" s="415"/>
      <c r="O1" s="415"/>
      <c r="P1" s="415"/>
      <c r="Q1" s="415"/>
      <c r="R1" s="415"/>
      <c r="S1" s="415"/>
      <c r="T1" s="415"/>
      <c r="U1" s="638"/>
      <c r="V1" s="416"/>
    </row>
    <row r="2" spans="1:22" x14ac:dyDescent="0.3">
      <c r="A2" s="418"/>
      <c r="B2" s="419"/>
      <c r="C2" s="420"/>
      <c r="D2" s="420"/>
      <c r="E2" s="420"/>
      <c r="F2" s="420"/>
      <c r="G2" s="420"/>
      <c r="H2" s="420"/>
      <c r="I2" s="420"/>
      <c r="J2" s="420"/>
      <c r="K2" s="420"/>
      <c r="L2" s="420"/>
      <c r="M2" s="420"/>
      <c r="N2" s="420"/>
      <c r="O2" s="420"/>
      <c r="P2" s="420"/>
      <c r="Q2" s="420"/>
      <c r="R2" s="420"/>
      <c r="S2" s="420"/>
      <c r="T2" s="420"/>
      <c r="U2" s="639"/>
      <c r="V2" s="416"/>
    </row>
    <row r="3" spans="1:22" x14ac:dyDescent="0.3">
      <c r="A3" s="421"/>
      <c r="B3" s="422" t="s">
        <v>229</v>
      </c>
      <c r="C3" s="420"/>
      <c r="D3" s="420"/>
      <c r="E3" s="420"/>
      <c r="F3" s="420"/>
      <c r="G3" s="420"/>
      <c r="H3" s="420"/>
      <c r="I3" s="420"/>
      <c r="J3" s="420"/>
      <c r="K3" s="420"/>
      <c r="L3" s="420"/>
      <c r="M3" s="420"/>
      <c r="N3" s="420"/>
      <c r="O3" s="420"/>
      <c r="P3" s="420"/>
      <c r="Q3" s="420"/>
      <c r="R3" s="420"/>
      <c r="S3" s="420"/>
      <c r="T3" s="420"/>
      <c r="U3" s="639"/>
      <c r="V3" s="416"/>
    </row>
    <row r="4" spans="1:22" x14ac:dyDescent="0.3">
      <c r="A4" s="418"/>
      <c r="B4" s="419"/>
      <c r="C4" s="420"/>
      <c r="D4" s="420"/>
      <c r="E4" s="420"/>
      <c r="F4" s="420"/>
      <c r="G4" s="420"/>
      <c r="H4" s="420"/>
      <c r="I4" s="420"/>
      <c r="J4" s="420"/>
      <c r="K4" s="420"/>
      <c r="L4" s="420"/>
      <c r="M4" s="420"/>
      <c r="N4" s="420"/>
      <c r="O4" s="420"/>
      <c r="P4" s="420"/>
      <c r="Q4" s="420"/>
      <c r="R4" s="420"/>
      <c r="S4" s="420"/>
      <c r="T4" s="420"/>
      <c r="U4" s="639"/>
      <c r="V4" s="416"/>
    </row>
    <row r="5" spans="1:22" x14ac:dyDescent="0.3">
      <c r="A5" s="418"/>
      <c r="B5" s="423" t="s">
        <v>143</v>
      </c>
      <c r="C5" s="420"/>
      <c r="D5" s="420"/>
      <c r="E5" s="420"/>
      <c r="F5" s="420"/>
      <c r="G5" s="420"/>
      <c r="H5" s="420"/>
      <c r="I5" s="420"/>
      <c r="J5" s="420"/>
      <c r="K5" s="420"/>
      <c r="L5" s="420"/>
      <c r="M5" s="420"/>
      <c r="N5" s="420"/>
      <c r="O5" s="420"/>
      <c r="P5" s="420"/>
      <c r="Q5" s="420"/>
      <c r="R5" s="420"/>
      <c r="S5" s="420"/>
      <c r="T5" s="420"/>
      <c r="U5" s="639"/>
      <c r="V5" s="416"/>
    </row>
    <row r="6" spans="1:22" x14ac:dyDescent="0.3">
      <c r="A6" s="418"/>
      <c r="B6" s="423" t="s">
        <v>145</v>
      </c>
      <c r="C6" s="420"/>
      <c r="D6" s="420"/>
      <c r="E6" s="420"/>
      <c r="F6" s="420"/>
      <c r="G6" s="420"/>
      <c r="H6" s="420"/>
      <c r="I6" s="420"/>
      <c r="J6" s="420"/>
      <c r="K6" s="420"/>
      <c r="L6" s="420"/>
      <c r="M6" s="420"/>
      <c r="N6" s="420"/>
      <c r="O6" s="420"/>
      <c r="P6" s="420"/>
      <c r="Q6" s="420"/>
      <c r="R6" s="420"/>
      <c r="S6" s="420"/>
      <c r="T6" s="420"/>
      <c r="U6" s="639"/>
      <c r="V6" s="416"/>
    </row>
    <row r="7" spans="1:22" x14ac:dyDescent="0.3">
      <c r="A7" s="418"/>
      <c r="B7" s="423" t="s">
        <v>144</v>
      </c>
      <c r="C7" s="420"/>
      <c r="D7" s="420"/>
      <c r="E7" s="420"/>
      <c r="F7" s="420"/>
      <c r="G7" s="420"/>
      <c r="H7" s="420"/>
      <c r="I7" s="420"/>
      <c r="J7" s="420"/>
      <c r="K7" s="420"/>
      <c r="L7" s="420"/>
      <c r="M7" s="420"/>
      <c r="N7" s="420"/>
      <c r="O7" s="420"/>
      <c r="P7" s="420"/>
      <c r="Q7" s="420"/>
      <c r="R7" s="420"/>
      <c r="S7" s="420"/>
      <c r="T7" s="420"/>
      <c r="U7" s="639"/>
      <c r="V7" s="416"/>
    </row>
    <row r="8" spans="1:22" x14ac:dyDescent="0.3">
      <c r="A8" s="418"/>
      <c r="B8" s="424"/>
      <c r="C8" s="420"/>
      <c r="D8" s="420"/>
      <c r="E8" s="420"/>
      <c r="F8" s="420"/>
      <c r="G8" s="420"/>
      <c r="H8" s="420"/>
      <c r="I8" s="420"/>
      <c r="J8" s="420"/>
      <c r="K8" s="420"/>
      <c r="L8" s="420"/>
      <c r="M8" s="420"/>
      <c r="N8" s="420"/>
      <c r="O8" s="420"/>
      <c r="P8" s="420"/>
      <c r="Q8" s="420"/>
      <c r="R8" s="420"/>
      <c r="S8" s="420"/>
      <c r="T8" s="420"/>
      <c r="U8" s="639"/>
      <c r="V8" s="416"/>
    </row>
    <row r="9" spans="1:22" x14ac:dyDescent="0.3">
      <c r="A9" s="418"/>
      <c r="B9" s="422" t="s">
        <v>173</v>
      </c>
      <c r="C9" s="420"/>
      <c r="D9" s="420"/>
      <c r="E9" s="420"/>
      <c r="F9" s="420"/>
      <c r="G9" s="420"/>
      <c r="H9" s="420"/>
      <c r="I9" s="420"/>
      <c r="J9" s="425" t="s">
        <v>356</v>
      </c>
      <c r="K9" s="420"/>
      <c r="L9" s="426"/>
      <c r="M9" s="420"/>
      <c r="N9" s="420"/>
      <c r="O9" s="420"/>
      <c r="P9" s="420"/>
      <c r="Q9" s="420"/>
      <c r="R9" s="420"/>
      <c r="S9" s="420"/>
      <c r="T9" s="420"/>
      <c r="U9" s="639"/>
      <c r="V9" s="416"/>
    </row>
    <row r="10" spans="1:22" x14ac:dyDescent="0.3">
      <c r="A10" s="418"/>
      <c r="B10" s="424"/>
      <c r="C10" s="427"/>
      <c r="D10" s="427"/>
      <c r="E10" s="427"/>
      <c r="F10" s="420"/>
      <c r="G10" s="420"/>
      <c r="H10" s="420"/>
      <c r="I10" s="420"/>
      <c r="J10" s="420"/>
      <c r="K10" s="420"/>
      <c r="L10" s="420"/>
      <c r="M10" s="420"/>
      <c r="N10" s="420"/>
      <c r="O10" s="420"/>
      <c r="P10" s="420"/>
      <c r="Q10" s="420"/>
      <c r="R10" s="420"/>
      <c r="S10" s="420"/>
      <c r="T10" s="420"/>
      <c r="U10" s="639"/>
      <c r="V10" s="416"/>
    </row>
    <row r="11" spans="1:22" x14ac:dyDescent="0.3">
      <c r="A11" s="418"/>
      <c r="B11" s="428" t="s">
        <v>0</v>
      </c>
      <c r="C11" s="420"/>
      <c r="D11" s="420"/>
      <c r="E11" s="420"/>
      <c r="F11" s="420"/>
      <c r="G11" s="420"/>
      <c r="H11" s="420"/>
      <c r="I11" s="420"/>
      <c r="J11" s="420"/>
      <c r="K11" s="420"/>
      <c r="L11" s="420"/>
      <c r="M11" s="420"/>
      <c r="N11" s="420"/>
      <c r="O11" s="420"/>
      <c r="P11" s="420"/>
      <c r="Q11" s="420"/>
      <c r="R11" s="420"/>
      <c r="S11" s="420"/>
      <c r="T11" s="420"/>
      <c r="U11" s="639"/>
      <c r="V11" s="416"/>
    </row>
    <row r="12" spans="1:22" ht="16.2" thickBot="1" x14ac:dyDescent="0.35">
      <c r="A12" s="418"/>
      <c r="B12" s="427"/>
      <c r="C12" s="420"/>
      <c r="D12" s="420"/>
      <c r="E12" s="420"/>
      <c r="F12" s="420"/>
      <c r="G12" s="420"/>
      <c r="H12" s="420"/>
      <c r="I12" s="420"/>
      <c r="J12" s="420"/>
      <c r="K12" s="420"/>
      <c r="L12" s="420"/>
      <c r="M12" s="420"/>
      <c r="N12" s="420"/>
      <c r="O12" s="420"/>
      <c r="P12" s="420"/>
      <c r="Q12" s="420"/>
      <c r="R12" s="420"/>
      <c r="S12" s="420"/>
      <c r="T12" s="420"/>
      <c r="U12" s="639"/>
      <c r="V12" s="416"/>
    </row>
    <row r="13" spans="1:22" s="431" customFormat="1" x14ac:dyDescent="0.3">
      <c r="A13" s="413"/>
      <c r="B13" s="429"/>
      <c r="C13" s="429"/>
      <c r="D13" s="429"/>
      <c r="E13" s="429"/>
      <c r="F13" s="429"/>
      <c r="G13" s="429"/>
      <c r="H13" s="429"/>
      <c r="I13" s="429"/>
      <c r="J13" s="429"/>
      <c r="K13" s="429"/>
      <c r="L13" s="429"/>
      <c r="M13" s="429"/>
      <c r="N13" s="429"/>
      <c r="O13" s="429"/>
      <c r="P13" s="429"/>
      <c r="Q13" s="429"/>
      <c r="R13" s="429"/>
      <c r="S13" s="429"/>
      <c r="T13" s="429"/>
      <c r="U13" s="640"/>
      <c r="V13" s="430"/>
    </row>
    <row r="14" spans="1:22" s="431" customFormat="1" x14ac:dyDescent="0.3">
      <c r="A14" s="432"/>
      <c r="B14" s="428" t="s">
        <v>1</v>
      </c>
      <c r="C14" s="433"/>
      <c r="D14" s="433"/>
      <c r="E14" s="433"/>
      <c r="F14" s="433"/>
      <c r="G14" s="433"/>
      <c r="H14" s="433"/>
      <c r="I14" s="433"/>
      <c r="J14" s="433"/>
      <c r="K14" s="433"/>
      <c r="L14" s="433"/>
      <c r="M14" s="433"/>
      <c r="N14" s="433"/>
      <c r="O14" s="433"/>
      <c r="P14" s="433"/>
      <c r="Q14" s="433"/>
      <c r="R14" s="433"/>
      <c r="S14" s="433"/>
      <c r="T14" s="434" t="s">
        <v>230</v>
      </c>
      <c r="U14" s="641"/>
      <c r="V14" s="430"/>
    </row>
    <row r="15" spans="1:22" s="431" customFormat="1" x14ac:dyDescent="0.3">
      <c r="A15" s="432"/>
      <c r="B15" s="428" t="s">
        <v>2</v>
      </c>
      <c r="C15" s="433"/>
      <c r="D15" s="433"/>
      <c r="E15" s="433"/>
      <c r="F15" s="433"/>
      <c r="G15" s="433"/>
      <c r="H15" s="435"/>
      <c r="I15" s="435"/>
      <c r="J15" s="435"/>
      <c r="K15" s="435"/>
      <c r="L15" s="435"/>
      <c r="M15" s="435"/>
      <c r="N15" s="435"/>
      <c r="O15" s="435"/>
      <c r="P15" s="435" t="s">
        <v>107</v>
      </c>
      <c r="Q15" s="436">
        <v>0.40749999999999997</v>
      </c>
      <c r="R15" s="437" t="s">
        <v>146</v>
      </c>
      <c r="S15" s="436">
        <v>0.59250000000000003</v>
      </c>
      <c r="T15" s="434"/>
      <c r="U15" s="641"/>
      <c r="V15" s="430"/>
    </row>
    <row r="16" spans="1:22" s="431" customFormat="1" x14ac:dyDescent="0.3">
      <c r="A16" s="432"/>
      <c r="B16" s="428" t="s">
        <v>3</v>
      </c>
      <c r="C16" s="433"/>
      <c r="D16" s="433"/>
      <c r="E16" s="433"/>
      <c r="F16" s="433"/>
      <c r="G16" s="433"/>
      <c r="H16" s="435"/>
      <c r="I16" s="435"/>
      <c r="J16" s="435"/>
      <c r="K16" s="435"/>
      <c r="L16" s="435"/>
      <c r="M16" s="435"/>
      <c r="N16" s="435"/>
      <c r="O16" s="435"/>
      <c r="P16" s="435" t="s">
        <v>107</v>
      </c>
      <c r="Q16" s="436">
        <v>0.49409999999999998</v>
      </c>
      <c r="R16" s="437" t="s">
        <v>146</v>
      </c>
      <c r="S16" s="436">
        <v>0.50590000000000002</v>
      </c>
      <c r="T16" s="434"/>
      <c r="U16" s="641"/>
      <c r="V16" s="430"/>
    </row>
    <row r="17" spans="1:22" s="431" customFormat="1" x14ac:dyDescent="0.3">
      <c r="A17" s="432"/>
      <c r="B17" s="428" t="s">
        <v>4</v>
      </c>
      <c r="C17" s="433"/>
      <c r="D17" s="433"/>
      <c r="E17" s="433"/>
      <c r="F17" s="433"/>
      <c r="G17" s="433"/>
      <c r="H17" s="433"/>
      <c r="I17" s="433"/>
      <c r="J17" s="433"/>
      <c r="K17" s="433"/>
      <c r="L17" s="433"/>
      <c r="M17" s="433"/>
      <c r="N17" s="433"/>
      <c r="O17" s="433"/>
      <c r="P17" s="433"/>
      <c r="Q17" s="433"/>
      <c r="R17" s="433"/>
      <c r="S17" s="433"/>
      <c r="T17" s="438">
        <v>38799</v>
      </c>
      <c r="U17" s="641"/>
      <c r="V17" s="430"/>
    </row>
    <row r="18" spans="1:22" s="431" customFormat="1" x14ac:dyDescent="0.3">
      <c r="A18" s="432"/>
      <c r="B18" s="428" t="s">
        <v>5</v>
      </c>
      <c r="C18" s="433"/>
      <c r="D18" s="433"/>
      <c r="E18" s="433"/>
      <c r="F18" s="433"/>
      <c r="G18" s="433"/>
      <c r="H18" s="433"/>
      <c r="I18" s="433"/>
      <c r="J18" s="433"/>
      <c r="K18" s="433"/>
      <c r="L18" s="433"/>
      <c r="M18" s="433"/>
      <c r="N18" s="433"/>
      <c r="O18" s="433"/>
      <c r="P18" s="433"/>
      <c r="Q18" s="433"/>
      <c r="R18" s="433"/>
      <c r="S18" s="433"/>
      <c r="T18" s="438">
        <v>43210</v>
      </c>
      <c r="U18" s="641"/>
      <c r="V18" s="430"/>
    </row>
    <row r="19" spans="1:22" s="431" customFormat="1" x14ac:dyDescent="0.3">
      <c r="A19" s="432"/>
      <c r="B19" s="433"/>
      <c r="C19" s="433"/>
      <c r="D19" s="433"/>
      <c r="E19" s="433"/>
      <c r="F19" s="433"/>
      <c r="G19" s="433"/>
      <c r="H19" s="433"/>
      <c r="I19" s="433"/>
      <c r="J19" s="433"/>
      <c r="K19" s="433"/>
      <c r="L19" s="433"/>
      <c r="M19" s="433"/>
      <c r="N19" s="433"/>
      <c r="O19" s="433"/>
      <c r="P19" s="433"/>
      <c r="Q19" s="433"/>
      <c r="R19" s="433"/>
      <c r="S19" s="433"/>
      <c r="T19" s="439"/>
      <c r="U19" s="641"/>
      <c r="V19" s="430"/>
    </row>
    <row r="20" spans="1:22" s="431" customFormat="1" x14ac:dyDescent="0.3">
      <c r="A20" s="432"/>
      <c r="B20" s="440" t="s">
        <v>6</v>
      </c>
      <c r="C20" s="433"/>
      <c r="D20" s="433"/>
      <c r="E20" s="433"/>
      <c r="F20" s="433"/>
      <c r="G20" s="433"/>
      <c r="H20" s="433"/>
      <c r="I20" s="433"/>
      <c r="J20" s="433"/>
      <c r="K20" s="433"/>
      <c r="L20" s="433"/>
      <c r="M20" s="433"/>
      <c r="N20" s="433"/>
      <c r="O20" s="433"/>
      <c r="P20" s="433"/>
      <c r="Q20" s="433"/>
      <c r="R20" s="439" t="s">
        <v>108</v>
      </c>
      <c r="S20" s="433"/>
      <c r="T20" s="433"/>
      <c r="U20" s="641"/>
      <c r="V20" s="430"/>
    </row>
    <row r="21" spans="1:22" x14ac:dyDescent="0.3">
      <c r="A21" s="418"/>
      <c r="B21" s="420"/>
      <c r="C21" s="420"/>
      <c r="D21" s="420"/>
      <c r="E21" s="420"/>
      <c r="F21" s="420"/>
      <c r="G21" s="420"/>
      <c r="H21" s="420"/>
      <c r="I21" s="420"/>
      <c r="J21" s="420"/>
      <c r="K21" s="420"/>
      <c r="L21" s="420"/>
      <c r="M21" s="420"/>
      <c r="N21" s="420"/>
      <c r="O21" s="420"/>
      <c r="P21" s="420"/>
      <c r="Q21" s="420"/>
      <c r="R21" s="420"/>
      <c r="S21" s="420"/>
      <c r="T21" s="441"/>
      <c r="U21" s="639"/>
      <c r="V21" s="416"/>
    </row>
    <row r="22" spans="1:22" x14ac:dyDescent="0.3">
      <c r="A22" s="442"/>
      <c r="B22" s="443"/>
      <c r="C22" s="444"/>
      <c r="D22" s="444" t="s">
        <v>184</v>
      </c>
      <c r="E22" s="444"/>
      <c r="F22" s="444" t="s">
        <v>185</v>
      </c>
      <c r="G22" s="444"/>
      <c r="H22" s="444" t="s">
        <v>186</v>
      </c>
      <c r="I22" s="444"/>
      <c r="J22" s="444" t="s">
        <v>187</v>
      </c>
      <c r="K22" s="444"/>
      <c r="L22" s="444" t="s">
        <v>188</v>
      </c>
      <c r="M22" s="444"/>
      <c r="N22" s="444" t="s">
        <v>189</v>
      </c>
      <c r="O22" s="444"/>
      <c r="P22" s="444"/>
      <c r="Q22" s="445"/>
      <c r="R22" s="445"/>
      <c r="S22" s="443"/>
      <c r="T22" s="443"/>
      <c r="U22" s="446"/>
      <c r="V22" s="416"/>
    </row>
    <row r="23" spans="1:22" s="431" customFormat="1" x14ac:dyDescent="0.3">
      <c r="A23" s="432"/>
      <c r="B23" s="447" t="s">
        <v>7</v>
      </c>
      <c r="C23" s="448"/>
      <c r="D23" s="448" t="s">
        <v>222</v>
      </c>
      <c r="E23" s="448"/>
      <c r="F23" s="448" t="s">
        <v>147</v>
      </c>
      <c r="G23" s="448"/>
      <c r="H23" s="448" t="s">
        <v>147</v>
      </c>
      <c r="I23" s="448"/>
      <c r="J23" s="448" t="s">
        <v>190</v>
      </c>
      <c r="K23" s="448"/>
      <c r="L23" s="448" t="s">
        <v>190</v>
      </c>
      <c r="M23" s="448"/>
      <c r="N23" s="448" t="s">
        <v>148</v>
      </c>
      <c r="O23" s="448"/>
      <c r="P23" s="448"/>
      <c r="Q23" s="448"/>
      <c r="R23" s="448"/>
      <c r="S23" s="447"/>
      <c r="T23" s="447"/>
      <c r="U23" s="641"/>
      <c r="V23" s="430"/>
    </row>
    <row r="24" spans="1:22" s="431" customFormat="1" x14ac:dyDescent="0.3">
      <c r="A24" s="449"/>
      <c r="B24" s="450" t="s">
        <v>8</v>
      </c>
      <c r="C24" s="451"/>
      <c r="D24" s="451" t="s">
        <v>223</v>
      </c>
      <c r="E24" s="451"/>
      <c r="F24" s="451" t="s">
        <v>149</v>
      </c>
      <c r="G24" s="451"/>
      <c r="H24" s="451" t="s">
        <v>149</v>
      </c>
      <c r="I24" s="451"/>
      <c r="J24" s="451" t="s">
        <v>172</v>
      </c>
      <c r="K24" s="451"/>
      <c r="L24" s="451" t="s">
        <v>172</v>
      </c>
      <c r="M24" s="451"/>
      <c r="N24" s="451" t="s">
        <v>150</v>
      </c>
      <c r="O24" s="451"/>
      <c r="P24" s="451"/>
      <c r="Q24" s="451"/>
      <c r="R24" s="451"/>
      <c r="S24" s="450"/>
      <c r="T24" s="450"/>
      <c r="U24" s="452"/>
      <c r="V24" s="430"/>
    </row>
    <row r="25" spans="1:22" s="431" customFormat="1" x14ac:dyDescent="0.3">
      <c r="A25" s="453"/>
      <c r="B25" s="450" t="s">
        <v>198</v>
      </c>
      <c r="C25" s="454"/>
      <c r="D25" s="451" t="s">
        <v>224</v>
      </c>
      <c r="E25" s="451"/>
      <c r="F25" s="451" t="s">
        <v>149</v>
      </c>
      <c r="G25" s="451"/>
      <c r="H25" s="451" t="s">
        <v>149</v>
      </c>
      <c r="I25" s="451"/>
      <c r="J25" s="451" t="s">
        <v>172</v>
      </c>
      <c r="K25" s="451"/>
      <c r="L25" s="451" t="s">
        <v>172</v>
      </c>
      <c r="M25" s="451"/>
      <c r="N25" s="451" t="s">
        <v>150</v>
      </c>
      <c r="O25" s="451"/>
      <c r="P25" s="451"/>
      <c r="Q25" s="454"/>
      <c r="R25" s="451"/>
      <c r="S25" s="450"/>
      <c r="T25" s="450"/>
      <c r="U25" s="452"/>
      <c r="V25" s="430"/>
    </row>
    <row r="26" spans="1:22" s="431" customFormat="1" x14ac:dyDescent="0.3">
      <c r="A26" s="453"/>
      <c r="B26" s="455" t="s">
        <v>9</v>
      </c>
      <c r="C26" s="454"/>
      <c r="D26" s="454" t="s">
        <v>147</v>
      </c>
      <c r="E26" s="454"/>
      <c r="F26" s="454" t="s">
        <v>147</v>
      </c>
      <c r="G26" s="454"/>
      <c r="H26" s="454" t="s">
        <v>147</v>
      </c>
      <c r="I26" s="454"/>
      <c r="J26" s="454" t="s">
        <v>190</v>
      </c>
      <c r="K26" s="454"/>
      <c r="L26" s="454" t="s">
        <v>190</v>
      </c>
      <c r="M26" s="454"/>
      <c r="N26" s="454" t="s">
        <v>148</v>
      </c>
      <c r="O26" s="454"/>
      <c r="P26" s="454"/>
      <c r="Q26" s="454"/>
      <c r="R26" s="451"/>
      <c r="S26" s="450"/>
      <c r="T26" s="450"/>
      <c r="U26" s="452"/>
      <c r="V26" s="430"/>
    </row>
    <row r="27" spans="1:22" s="431" customFormat="1" x14ac:dyDescent="0.3">
      <c r="A27" s="449"/>
      <c r="B27" s="455" t="s">
        <v>199</v>
      </c>
      <c r="C27" s="451"/>
      <c r="D27" s="454" t="s">
        <v>149</v>
      </c>
      <c r="E27" s="454"/>
      <c r="F27" s="454" t="s">
        <v>149</v>
      </c>
      <c r="G27" s="454"/>
      <c r="H27" s="454" t="s">
        <v>149</v>
      </c>
      <c r="I27" s="454"/>
      <c r="J27" s="454" t="s">
        <v>345</v>
      </c>
      <c r="K27" s="454"/>
      <c r="L27" s="454" t="s">
        <v>345</v>
      </c>
      <c r="M27" s="454"/>
      <c r="N27" s="454" t="s">
        <v>346</v>
      </c>
      <c r="O27" s="454"/>
      <c r="P27" s="454"/>
      <c r="Q27" s="451"/>
      <c r="R27" s="456"/>
      <c r="S27" s="450"/>
      <c r="T27" s="450"/>
      <c r="U27" s="452"/>
      <c r="V27" s="430"/>
    </row>
    <row r="28" spans="1:22" s="431" customFormat="1" x14ac:dyDescent="0.3">
      <c r="A28" s="449"/>
      <c r="B28" s="455" t="s">
        <v>200</v>
      </c>
      <c r="C28" s="451"/>
      <c r="D28" s="454" t="s">
        <v>149</v>
      </c>
      <c r="E28" s="454"/>
      <c r="F28" s="454" t="s">
        <v>149</v>
      </c>
      <c r="G28" s="454"/>
      <c r="H28" s="454" t="s">
        <v>149</v>
      </c>
      <c r="I28" s="454"/>
      <c r="J28" s="454" t="s">
        <v>149</v>
      </c>
      <c r="K28" s="454"/>
      <c r="L28" s="454" t="s">
        <v>149</v>
      </c>
      <c r="M28" s="454"/>
      <c r="N28" s="454" t="s">
        <v>150</v>
      </c>
      <c r="O28" s="454"/>
      <c r="P28" s="454"/>
      <c r="Q28" s="451"/>
      <c r="R28" s="456"/>
      <c r="S28" s="450"/>
      <c r="T28" s="450"/>
      <c r="U28" s="452"/>
      <c r="V28" s="430"/>
    </row>
    <row r="29" spans="1:22" s="431" customFormat="1" x14ac:dyDescent="0.3">
      <c r="A29" s="449"/>
      <c r="B29" s="450" t="s">
        <v>10</v>
      </c>
      <c r="C29" s="457"/>
      <c r="D29" s="451" t="s">
        <v>237</v>
      </c>
      <c r="E29" s="451"/>
      <c r="F29" s="456" t="s">
        <v>238</v>
      </c>
      <c r="G29" s="451"/>
      <c r="H29" s="451" t="s">
        <v>239</v>
      </c>
      <c r="I29" s="451"/>
      <c r="J29" s="451" t="s">
        <v>240</v>
      </c>
      <c r="K29" s="451"/>
      <c r="L29" s="451" t="s">
        <v>241</v>
      </c>
      <c r="M29" s="451"/>
      <c r="N29" s="451" t="s">
        <v>242</v>
      </c>
      <c r="O29" s="451"/>
      <c r="P29" s="451"/>
      <c r="Q29" s="458"/>
      <c r="R29" s="458"/>
      <c r="S29" s="457"/>
      <c r="T29" s="458"/>
      <c r="U29" s="459"/>
      <c r="V29" s="430"/>
    </row>
    <row r="30" spans="1:22" s="431" customFormat="1" x14ac:dyDescent="0.3">
      <c r="A30" s="449"/>
      <c r="B30" s="450" t="s">
        <v>10</v>
      </c>
      <c r="C30" s="457"/>
      <c r="D30" s="451" t="s">
        <v>236</v>
      </c>
      <c r="E30" s="451"/>
      <c r="F30" s="456" t="s">
        <v>124</v>
      </c>
      <c r="G30" s="451"/>
      <c r="H30" s="451" t="s">
        <v>124</v>
      </c>
      <c r="I30" s="451"/>
      <c r="J30" s="451" t="s">
        <v>124</v>
      </c>
      <c r="K30" s="451"/>
      <c r="L30" s="451" t="s">
        <v>124</v>
      </c>
      <c r="M30" s="451"/>
      <c r="N30" s="451" t="s">
        <v>124</v>
      </c>
      <c r="O30" s="451"/>
      <c r="P30" s="451"/>
      <c r="Q30" s="458"/>
      <c r="R30" s="458"/>
      <c r="S30" s="457"/>
      <c r="T30" s="458"/>
      <c r="U30" s="459"/>
      <c r="V30" s="430"/>
    </row>
    <row r="31" spans="1:22" s="431" customFormat="1" x14ac:dyDescent="0.3">
      <c r="A31" s="453"/>
      <c r="B31" s="450" t="s">
        <v>139</v>
      </c>
      <c r="C31" s="460"/>
      <c r="D31" s="461">
        <v>985000</v>
      </c>
      <c r="E31" s="457"/>
      <c r="F31" s="458">
        <v>149500</v>
      </c>
      <c r="G31" s="458"/>
      <c r="H31" s="462">
        <v>219700</v>
      </c>
      <c r="I31" s="458"/>
      <c r="J31" s="458">
        <v>16000</v>
      </c>
      <c r="K31" s="458"/>
      <c r="L31" s="462">
        <v>82400</v>
      </c>
      <c r="M31" s="458"/>
      <c r="N31" s="462">
        <v>87500</v>
      </c>
      <c r="O31" s="458"/>
      <c r="P31" s="462"/>
      <c r="Q31" s="463"/>
      <c r="R31" s="463"/>
      <c r="S31" s="460"/>
      <c r="T31" s="463"/>
      <c r="U31" s="459"/>
      <c r="V31" s="430"/>
    </row>
    <row r="32" spans="1:22" s="431" customFormat="1" x14ac:dyDescent="0.3">
      <c r="A32" s="449"/>
      <c r="B32" s="450" t="s">
        <v>138</v>
      </c>
      <c r="C32" s="457"/>
      <c r="D32" s="464">
        <f>D38*D34</f>
        <v>200926.8028722</v>
      </c>
      <c r="E32" s="457"/>
      <c r="F32" s="458">
        <f>F38*F31</f>
        <v>52952.032900000006</v>
      </c>
      <c r="G32" s="458"/>
      <c r="H32" s="462">
        <f>H38*H31</f>
        <v>77816.46574</v>
      </c>
      <c r="I32" s="458"/>
      <c r="J32" s="458">
        <f>J31*J38</f>
        <v>13440.793599999999</v>
      </c>
      <c r="K32" s="458"/>
      <c r="L32" s="462">
        <f>L31*L38</f>
        <v>69220.087039999999</v>
      </c>
      <c r="M32" s="458"/>
      <c r="N32" s="462">
        <f>N31*N38</f>
        <v>73504.34</v>
      </c>
      <c r="O32" s="458"/>
      <c r="P32" s="462"/>
      <c r="Q32" s="458"/>
      <c r="R32" s="458"/>
      <c r="S32" s="457"/>
      <c r="T32" s="458"/>
      <c r="U32" s="459"/>
      <c r="V32" s="430"/>
    </row>
    <row r="33" spans="1:23" s="431" customFormat="1" x14ac:dyDescent="0.3">
      <c r="A33" s="449"/>
      <c r="B33" s="455" t="s">
        <v>140</v>
      </c>
      <c r="C33" s="457"/>
      <c r="D33" s="465">
        <f>D37*D34</f>
        <v>197884.63969080002</v>
      </c>
      <c r="E33" s="460"/>
      <c r="F33" s="463">
        <f>F37*F31</f>
        <v>52150.324200000003</v>
      </c>
      <c r="G33" s="463"/>
      <c r="H33" s="466">
        <f>H31*H37</f>
        <v>76638.302519999997</v>
      </c>
      <c r="I33" s="463"/>
      <c r="J33" s="463">
        <f>J31*J37</f>
        <v>13237.2896</v>
      </c>
      <c r="K33" s="463"/>
      <c r="L33" s="466">
        <f>L31*L37</f>
        <v>68172.041440000001</v>
      </c>
      <c r="M33" s="463"/>
      <c r="N33" s="466">
        <f>N31*N37</f>
        <v>72391.427500000005</v>
      </c>
      <c r="O33" s="463"/>
      <c r="P33" s="466"/>
      <c r="Q33" s="458"/>
      <c r="R33" s="458"/>
      <c r="S33" s="457"/>
      <c r="T33" s="458"/>
      <c r="U33" s="459"/>
      <c r="V33" s="430"/>
    </row>
    <row r="34" spans="1:23" s="431" customFormat="1" x14ac:dyDescent="0.3">
      <c r="A34" s="453"/>
      <c r="B34" s="450" t="s">
        <v>283</v>
      </c>
      <c r="C34" s="460"/>
      <c r="D34" s="458">
        <v>567282</v>
      </c>
      <c r="E34" s="457"/>
      <c r="F34" s="458">
        <v>149500</v>
      </c>
      <c r="G34" s="458"/>
      <c r="H34" s="458">
        <v>150716</v>
      </c>
      <c r="I34" s="458"/>
      <c r="J34" s="458">
        <v>16000</v>
      </c>
      <c r="K34" s="458"/>
      <c r="L34" s="458">
        <v>56527</v>
      </c>
      <c r="M34" s="458"/>
      <c r="N34" s="458">
        <v>60025</v>
      </c>
      <c r="O34" s="458"/>
      <c r="P34" s="458"/>
      <c r="Q34" s="463"/>
      <c r="R34" s="463"/>
      <c r="S34" s="460"/>
      <c r="T34" s="458">
        <f>SUM(C34:P34)</f>
        <v>1000050</v>
      </c>
      <c r="U34" s="459"/>
      <c r="V34" s="430"/>
    </row>
    <row r="35" spans="1:23" s="431" customFormat="1" x14ac:dyDescent="0.3">
      <c r="A35" s="453"/>
      <c r="B35" s="450" t="s">
        <v>284</v>
      </c>
      <c r="C35" s="460"/>
      <c r="D35" s="458">
        <f>D38*D34</f>
        <v>200926.8028722</v>
      </c>
      <c r="E35" s="457"/>
      <c r="F35" s="458">
        <f>F38*F34</f>
        <v>52952.032900000006</v>
      </c>
      <c r="G35" s="458"/>
      <c r="H35" s="458">
        <f>H38*H34</f>
        <v>53382.733047200003</v>
      </c>
      <c r="I35" s="458"/>
      <c r="J35" s="458">
        <f>J34*J38</f>
        <v>13440.793599999999</v>
      </c>
      <c r="K35" s="458"/>
      <c r="L35" s="458">
        <f>L34*L38</f>
        <v>47485.483739199997</v>
      </c>
      <c r="M35" s="458"/>
      <c r="N35" s="458">
        <f>N34*N38</f>
        <v>50423.97724</v>
      </c>
      <c r="O35" s="458"/>
      <c r="P35" s="458"/>
      <c r="Q35" s="458"/>
      <c r="R35" s="458"/>
      <c r="S35" s="457"/>
      <c r="T35" s="458">
        <f>SUM(C35:P35)+1</f>
        <v>418612.82339859998</v>
      </c>
      <c r="U35" s="459"/>
      <c r="V35" s="430"/>
    </row>
    <row r="36" spans="1:23" s="431" customFormat="1" x14ac:dyDescent="0.3">
      <c r="A36" s="453"/>
      <c r="B36" s="455" t="s">
        <v>285</v>
      </c>
      <c r="C36" s="460"/>
      <c r="D36" s="463">
        <f>D37*D34</f>
        <v>197884.63969080002</v>
      </c>
      <c r="E36" s="460"/>
      <c r="F36" s="463">
        <f>F37*F34</f>
        <v>52150.324200000003</v>
      </c>
      <c r="G36" s="463"/>
      <c r="H36" s="463">
        <f>H37*H34</f>
        <v>52574.5034256</v>
      </c>
      <c r="I36" s="463"/>
      <c r="J36" s="463">
        <f>J37*J34</f>
        <v>13237.2896</v>
      </c>
      <c r="K36" s="463"/>
      <c r="L36" s="463">
        <f>L37*L34</f>
        <v>46766.516826200001</v>
      </c>
      <c r="M36" s="463"/>
      <c r="N36" s="463">
        <f>N37*N34</f>
        <v>49660.519265000003</v>
      </c>
      <c r="O36" s="463"/>
      <c r="P36" s="463"/>
      <c r="Q36" s="467"/>
      <c r="R36" s="467"/>
      <c r="S36" s="457"/>
      <c r="T36" s="463">
        <f>SUM(C36:P36)+1</f>
        <v>412274.79300760006</v>
      </c>
      <c r="U36" s="459"/>
      <c r="V36" s="430"/>
    </row>
    <row r="37" spans="1:23" x14ac:dyDescent="0.3">
      <c r="A37" s="468"/>
      <c r="B37" s="469" t="s">
        <v>136</v>
      </c>
      <c r="C37" s="470"/>
      <c r="D37" s="471">
        <v>0.34882940000000001</v>
      </c>
      <c r="E37" s="472"/>
      <c r="F37" s="471">
        <v>0.34883160000000002</v>
      </c>
      <c r="G37" s="473"/>
      <c r="H37" s="471">
        <v>0.34883160000000002</v>
      </c>
      <c r="I37" s="473"/>
      <c r="J37" s="471">
        <v>0.82733060000000003</v>
      </c>
      <c r="K37" s="473"/>
      <c r="L37" s="471">
        <v>0.82733060000000003</v>
      </c>
      <c r="M37" s="473"/>
      <c r="N37" s="471">
        <v>0.82733060000000003</v>
      </c>
      <c r="O37" s="474"/>
      <c r="P37" s="474"/>
      <c r="Q37" s="475"/>
      <c r="R37" s="475"/>
      <c r="S37" s="470"/>
      <c r="T37" s="470"/>
      <c r="U37" s="476"/>
      <c r="V37" s="416"/>
      <c r="W37" s="477"/>
    </row>
    <row r="38" spans="1:23" x14ac:dyDescent="0.3">
      <c r="A38" s="468"/>
      <c r="B38" s="470" t="s">
        <v>137</v>
      </c>
      <c r="C38" s="470"/>
      <c r="D38" s="478">
        <v>0.35419210000000001</v>
      </c>
      <c r="E38" s="479"/>
      <c r="F38" s="478">
        <v>0.35419420000000001</v>
      </c>
      <c r="G38" s="480"/>
      <c r="H38" s="478">
        <v>0.35419420000000001</v>
      </c>
      <c r="I38" s="480"/>
      <c r="J38" s="478">
        <v>0.84004959999999995</v>
      </c>
      <c r="K38" s="480"/>
      <c r="L38" s="478">
        <v>0.84004959999999995</v>
      </c>
      <c r="M38" s="480"/>
      <c r="N38" s="478">
        <v>0.84004959999999995</v>
      </c>
      <c r="O38" s="474"/>
      <c r="P38" s="474"/>
      <c r="Q38" s="481"/>
      <c r="R38" s="482"/>
      <c r="S38" s="470"/>
      <c r="T38" s="481"/>
      <c r="U38" s="476"/>
      <c r="V38" s="416"/>
    </row>
    <row r="39" spans="1:23" s="431" customFormat="1" x14ac:dyDescent="0.3">
      <c r="A39" s="449"/>
      <c r="B39" s="450" t="s">
        <v>11</v>
      </c>
      <c r="C39" s="450"/>
      <c r="D39" s="456" t="s">
        <v>275</v>
      </c>
      <c r="E39" s="450"/>
      <c r="F39" s="456" t="s">
        <v>232</v>
      </c>
      <c r="G39" s="456"/>
      <c r="H39" s="456" t="s">
        <v>232</v>
      </c>
      <c r="I39" s="456"/>
      <c r="J39" s="456" t="s">
        <v>234</v>
      </c>
      <c r="K39" s="456"/>
      <c r="L39" s="456" t="s">
        <v>234</v>
      </c>
      <c r="M39" s="456"/>
      <c r="N39" s="456" t="s">
        <v>235</v>
      </c>
      <c r="O39" s="456"/>
      <c r="P39" s="456"/>
      <c r="Q39" s="483"/>
      <c r="R39" s="484"/>
      <c r="S39" s="450"/>
      <c r="T39" s="450"/>
      <c r="U39" s="452"/>
      <c r="V39" s="430"/>
    </row>
    <row r="40" spans="1:23" s="431" customFormat="1" x14ac:dyDescent="0.3">
      <c r="A40" s="449"/>
      <c r="B40" s="450" t="s">
        <v>12</v>
      </c>
      <c r="C40" s="450"/>
      <c r="D40" s="484">
        <v>6.2155999999999999E-3</v>
      </c>
      <c r="E40" s="450"/>
      <c r="F40" s="484">
        <v>7.6156000000000001E-3</v>
      </c>
      <c r="G40" s="483"/>
      <c r="H40" s="484">
        <v>0</v>
      </c>
      <c r="I40" s="483"/>
      <c r="J40" s="484">
        <v>1.00156E-2</v>
      </c>
      <c r="K40" s="483"/>
      <c r="L40" s="484">
        <v>1.5100000000000001E-3</v>
      </c>
      <c r="M40" s="483"/>
      <c r="N40" s="484">
        <v>5.7099999999999998E-3</v>
      </c>
      <c r="O40" s="483"/>
      <c r="P40" s="484"/>
      <c r="Q40" s="483"/>
      <c r="R40" s="484"/>
      <c r="S40" s="450"/>
      <c r="T40" s="456"/>
      <c r="U40" s="452"/>
      <c r="V40" s="430"/>
    </row>
    <row r="41" spans="1:23" s="431" customFormat="1" x14ac:dyDescent="0.3">
      <c r="A41" s="449"/>
      <c r="B41" s="450" t="s">
        <v>13</v>
      </c>
      <c r="C41" s="450"/>
      <c r="D41" s="484">
        <v>4.7875000000000001E-3</v>
      </c>
      <c r="E41" s="450"/>
      <c r="F41" s="484">
        <v>6.1875000000000003E-3</v>
      </c>
      <c r="G41" s="483"/>
      <c r="H41" s="484">
        <v>0</v>
      </c>
      <c r="I41" s="483"/>
      <c r="J41" s="484">
        <v>8.5874999999999996E-3</v>
      </c>
      <c r="K41" s="483"/>
      <c r="L41" s="484">
        <v>1.5100000000000001E-3</v>
      </c>
      <c r="M41" s="483"/>
      <c r="N41" s="484">
        <v>5.7099999999999998E-3</v>
      </c>
      <c r="O41" s="483"/>
      <c r="P41" s="484"/>
      <c r="Q41" s="483"/>
      <c r="R41" s="484"/>
      <c r="S41" s="450"/>
      <c r="T41" s="483" t="s">
        <v>201</v>
      </c>
      <c r="U41" s="452"/>
      <c r="V41" s="430"/>
    </row>
    <row r="42" spans="1:23" s="431" customFormat="1" x14ac:dyDescent="0.3">
      <c r="A42" s="449"/>
      <c r="B42" s="450" t="s">
        <v>286</v>
      </c>
      <c r="C42" s="450"/>
      <c r="D42" s="456" t="s">
        <v>275</v>
      </c>
      <c r="E42" s="450"/>
      <c r="F42" s="456" t="s">
        <v>232</v>
      </c>
      <c r="G42" s="456"/>
      <c r="H42" s="456" t="s">
        <v>232</v>
      </c>
      <c r="I42" s="456"/>
      <c r="J42" s="456" t="s">
        <v>234</v>
      </c>
      <c r="K42" s="456"/>
      <c r="L42" s="456" t="s">
        <v>245</v>
      </c>
      <c r="M42" s="456"/>
      <c r="N42" s="456" t="s">
        <v>247</v>
      </c>
      <c r="O42" s="456"/>
      <c r="P42" s="456"/>
      <c r="Q42" s="483"/>
      <c r="R42" s="484"/>
      <c r="S42" s="450"/>
      <c r="T42" s="450"/>
      <c r="U42" s="452"/>
      <c r="V42" s="430"/>
    </row>
    <row r="43" spans="1:23" s="431" customFormat="1" x14ac:dyDescent="0.3">
      <c r="A43" s="449"/>
      <c r="B43" s="450" t="s">
        <v>287</v>
      </c>
      <c r="C43" s="485"/>
      <c r="D43" s="484">
        <f>+D40</f>
        <v>6.2155999999999999E-3</v>
      </c>
      <c r="E43" s="484"/>
      <c r="F43" s="484">
        <f>+F40</f>
        <v>7.6156000000000001E-3</v>
      </c>
      <c r="G43" s="484"/>
      <c r="H43" s="484">
        <v>7.6115999999999996E-3</v>
      </c>
      <c r="I43" s="484"/>
      <c r="J43" s="484">
        <f>+J40</f>
        <v>1.00156E-2</v>
      </c>
      <c r="K43" s="484"/>
      <c r="L43" s="484">
        <v>1.03216E-2</v>
      </c>
      <c r="M43" s="484"/>
      <c r="N43" s="484">
        <v>1.50256E-2</v>
      </c>
      <c r="O43" s="483"/>
      <c r="P43" s="484"/>
      <c r="Q43" s="456"/>
      <c r="R43" s="456"/>
      <c r="S43" s="450"/>
      <c r="T43" s="483">
        <f>SUMPRODUCT(D43:N43,D35:N35)/T35</f>
        <v>8.2196823651324684E-3</v>
      </c>
      <c r="U43" s="452"/>
      <c r="V43" s="430"/>
    </row>
    <row r="44" spans="1:23" s="431" customFormat="1" x14ac:dyDescent="0.3">
      <c r="A44" s="449"/>
      <c r="B44" s="450" t="s">
        <v>288</v>
      </c>
      <c r="C44" s="485"/>
      <c r="D44" s="484">
        <f>+D41</f>
        <v>4.7875000000000001E-3</v>
      </c>
      <c r="E44" s="484"/>
      <c r="F44" s="484">
        <f>+F41</f>
        <v>6.1875000000000003E-3</v>
      </c>
      <c r="G44" s="484"/>
      <c r="H44" s="484">
        <v>6.1834999999999998E-3</v>
      </c>
      <c r="I44" s="484"/>
      <c r="J44" s="484">
        <f>+J41</f>
        <v>8.5874999999999996E-3</v>
      </c>
      <c r="K44" s="484"/>
      <c r="L44" s="484">
        <v>8.8935000000000004E-3</v>
      </c>
      <c r="M44" s="484"/>
      <c r="N44" s="484">
        <v>1.35975E-2</v>
      </c>
      <c r="O44" s="483"/>
      <c r="P44" s="484"/>
      <c r="Q44" s="456"/>
      <c r="R44" s="456"/>
      <c r="S44" s="450"/>
      <c r="T44" s="450"/>
      <c r="U44" s="452"/>
      <c r="V44" s="430"/>
    </row>
    <row r="45" spans="1:23" s="431" customFormat="1" x14ac:dyDescent="0.3">
      <c r="A45" s="449"/>
      <c r="B45" s="450" t="s">
        <v>14</v>
      </c>
      <c r="C45" s="450"/>
      <c r="D45" s="485">
        <v>40283</v>
      </c>
      <c r="E45" s="485"/>
      <c r="F45" s="485">
        <v>40283</v>
      </c>
      <c r="G45" s="485"/>
      <c r="H45" s="485">
        <v>40283</v>
      </c>
      <c r="I45" s="485"/>
      <c r="J45" s="485">
        <v>40283</v>
      </c>
      <c r="K45" s="485"/>
      <c r="L45" s="485">
        <v>40283</v>
      </c>
      <c r="M45" s="485"/>
      <c r="N45" s="485">
        <v>40283</v>
      </c>
      <c r="O45" s="485"/>
      <c r="P45" s="485"/>
      <c r="Q45" s="456"/>
      <c r="R45" s="456"/>
      <c r="S45" s="450"/>
      <c r="T45" s="450"/>
      <c r="U45" s="452"/>
      <c r="V45" s="430"/>
    </row>
    <row r="46" spans="1:23" s="431" customFormat="1" x14ac:dyDescent="0.3">
      <c r="A46" s="449"/>
      <c r="B46" s="450" t="s">
        <v>15</v>
      </c>
      <c r="C46" s="450"/>
      <c r="D46" s="485">
        <v>40648</v>
      </c>
      <c r="E46" s="485"/>
      <c r="F46" s="485">
        <v>40648</v>
      </c>
      <c r="G46" s="485"/>
      <c r="H46" s="485">
        <v>40648</v>
      </c>
      <c r="I46" s="456"/>
      <c r="J46" s="485">
        <v>40648</v>
      </c>
      <c r="K46" s="456"/>
      <c r="L46" s="485">
        <v>40648</v>
      </c>
      <c r="M46" s="456"/>
      <c r="N46" s="485">
        <v>40648</v>
      </c>
      <c r="O46" s="456"/>
      <c r="P46" s="485"/>
      <c r="Q46" s="456"/>
      <c r="R46" s="456"/>
      <c r="S46" s="450"/>
      <c r="T46" s="450"/>
      <c r="U46" s="452"/>
      <c r="V46" s="430"/>
    </row>
    <row r="47" spans="1:23" s="431" customFormat="1" x14ac:dyDescent="0.3">
      <c r="A47" s="449"/>
      <c r="B47" s="450" t="s">
        <v>125</v>
      </c>
      <c r="C47" s="450"/>
      <c r="D47" s="456" t="s">
        <v>124</v>
      </c>
      <c r="E47" s="450"/>
      <c r="F47" s="456" t="s">
        <v>232</v>
      </c>
      <c r="G47" s="456"/>
      <c r="H47" s="456" t="s">
        <v>232</v>
      </c>
      <c r="I47" s="456"/>
      <c r="J47" s="456" t="s">
        <v>234</v>
      </c>
      <c r="K47" s="456"/>
      <c r="L47" s="456" t="s">
        <v>234</v>
      </c>
      <c r="M47" s="456"/>
      <c r="N47" s="456" t="s">
        <v>235</v>
      </c>
      <c r="O47" s="456"/>
      <c r="P47" s="456"/>
      <c r="Q47" s="486"/>
      <c r="R47" s="486"/>
      <c r="S47" s="486"/>
      <c r="T47" s="486"/>
      <c r="U47" s="452"/>
      <c r="V47" s="430"/>
    </row>
    <row r="48" spans="1:23" s="431" customFormat="1" x14ac:dyDescent="0.3">
      <c r="A48" s="449"/>
      <c r="B48" s="450" t="s">
        <v>289</v>
      </c>
      <c r="C48" s="450"/>
      <c r="D48" s="456" t="s">
        <v>124</v>
      </c>
      <c r="E48" s="450"/>
      <c r="F48" s="456" t="s">
        <v>232</v>
      </c>
      <c r="G48" s="456"/>
      <c r="H48" s="456" t="s">
        <v>232</v>
      </c>
      <c r="I48" s="456"/>
      <c r="J48" s="456" t="s">
        <v>234</v>
      </c>
      <c r="K48" s="456"/>
      <c r="L48" s="456" t="s">
        <v>245</v>
      </c>
      <c r="M48" s="456"/>
      <c r="N48" s="456" t="s">
        <v>247</v>
      </c>
      <c r="O48" s="456"/>
      <c r="P48" s="456"/>
      <c r="Q48" s="450"/>
      <c r="R48" s="450"/>
      <c r="S48" s="450"/>
      <c r="T48" s="483"/>
      <c r="U48" s="452"/>
      <c r="V48" s="430"/>
    </row>
    <row r="49" spans="1:23" s="431" customFormat="1" x14ac:dyDescent="0.3">
      <c r="A49" s="449"/>
      <c r="B49" s="450"/>
      <c r="C49" s="450"/>
      <c r="D49" s="456"/>
      <c r="E49" s="450"/>
      <c r="F49" s="456"/>
      <c r="G49" s="456"/>
      <c r="H49" s="456"/>
      <c r="I49" s="456"/>
      <c r="J49" s="456"/>
      <c r="K49" s="456"/>
      <c r="L49" s="456"/>
      <c r="M49" s="456"/>
      <c r="N49" s="456"/>
      <c r="O49" s="456"/>
      <c r="P49" s="456"/>
      <c r="Q49" s="450"/>
      <c r="R49" s="450"/>
      <c r="S49" s="450"/>
      <c r="T49" s="483" t="s">
        <v>201</v>
      </c>
      <c r="U49" s="452"/>
      <c r="V49" s="430"/>
    </row>
    <row r="50" spans="1:23" s="431" customFormat="1" x14ac:dyDescent="0.3">
      <c r="A50" s="449"/>
      <c r="B50" s="450" t="s">
        <v>176</v>
      </c>
      <c r="C50" s="450"/>
      <c r="D50" s="456"/>
      <c r="E50" s="450"/>
      <c r="F50" s="456"/>
      <c r="G50" s="456"/>
      <c r="H50" s="456"/>
      <c r="I50" s="456"/>
      <c r="J50" s="456"/>
      <c r="K50" s="456"/>
      <c r="L50" s="456"/>
      <c r="M50" s="456"/>
      <c r="N50" s="456"/>
      <c r="O50" s="456"/>
      <c r="P50" s="456"/>
      <c r="Q50" s="450"/>
      <c r="R50" s="450"/>
      <c r="S50" s="450"/>
      <c r="T50" s="483">
        <f>SUM(J34:P34)/SUM(D34:H34)</f>
        <v>0.15279804679664968</v>
      </c>
      <c r="U50" s="452"/>
      <c r="V50" s="430"/>
    </row>
    <row r="51" spans="1:23" s="431" customFormat="1" x14ac:dyDescent="0.3">
      <c r="A51" s="449"/>
      <c r="B51" s="450" t="s">
        <v>177</v>
      </c>
      <c r="C51" s="450"/>
      <c r="D51" s="450"/>
      <c r="E51" s="450"/>
      <c r="F51" s="487"/>
      <c r="G51" s="450"/>
      <c r="H51" s="450"/>
      <c r="I51" s="450"/>
      <c r="J51" s="450"/>
      <c r="K51" s="450"/>
      <c r="L51" s="450"/>
      <c r="M51" s="450"/>
      <c r="N51" s="450"/>
      <c r="O51" s="450"/>
      <c r="P51" s="450"/>
      <c r="Q51" s="450"/>
      <c r="R51" s="450"/>
      <c r="S51" s="450"/>
      <c r="T51" s="483">
        <f>SUM(J36:P36)/SUM(D36:H36)</f>
        <v>0.36239555445414418</v>
      </c>
      <c r="U51" s="452"/>
      <c r="V51" s="430"/>
    </row>
    <row r="52" spans="1:23" s="431" customFormat="1" x14ac:dyDescent="0.3">
      <c r="A52" s="449"/>
      <c r="B52" s="450" t="s">
        <v>178</v>
      </c>
      <c r="C52" s="450"/>
      <c r="D52" s="450"/>
      <c r="E52" s="450"/>
      <c r="F52" s="450"/>
      <c r="G52" s="450"/>
      <c r="H52" s="450"/>
      <c r="I52" s="450"/>
      <c r="J52" s="450"/>
      <c r="K52" s="450"/>
      <c r="L52" s="450"/>
      <c r="M52" s="450"/>
      <c r="N52" s="450"/>
      <c r="O52" s="450"/>
      <c r="P52" s="450"/>
      <c r="Q52" s="450"/>
      <c r="R52" s="456" t="s">
        <v>109</v>
      </c>
      <c r="S52" s="456" t="s">
        <v>115</v>
      </c>
      <c r="T52" s="458">
        <f>+T34/2-SUM(J34:P34)</f>
        <v>367473</v>
      </c>
      <c r="U52" s="452"/>
      <c r="V52" s="430"/>
    </row>
    <row r="53" spans="1:23" s="431" customFormat="1" x14ac:dyDescent="0.3">
      <c r="A53" s="449"/>
      <c r="B53" s="450"/>
      <c r="C53" s="450"/>
      <c r="D53" s="450"/>
      <c r="E53" s="450"/>
      <c r="F53" s="450"/>
      <c r="G53" s="450"/>
      <c r="H53" s="450"/>
      <c r="I53" s="450"/>
      <c r="J53" s="450"/>
      <c r="K53" s="450"/>
      <c r="L53" s="450"/>
      <c r="M53" s="450"/>
      <c r="N53" s="450"/>
      <c r="O53" s="450"/>
      <c r="P53" s="450"/>
      <c r="Q53" s="450"/>
      <c r="R53" s="450"/>
      <c r="S53" s="450"/>
      <c r="T53" s="488"/>
      <c r="U53" s="452"/>
      <c r="V53" s="430"/>
    </row>
    <row r="54" spans="1:23" s="431" customFormat="1" x14ac:dyDescent="0.3">
      <c r="A54" s="449"/>
      <c r="B54" s="450" t="s">
        <v>342</v>
      </c>
      <c r="C54" s="450"/>
      <c r="D54" s="450"/>
      <c r="E54" s="450"/>
      <c r="F54" s="450"/>
      <c r="G54" s="450"/>
      <c r="H54" s="450"/>
      <c r="I54" s="450"/>
      <c r="J54" s="450"/>
      <c r="K54" s="450"/>
      <c r="L54" s="450"/>
      <c r="M54" s="450"/>
      <c r="N54" s="450"/>
      <c r="O54" s="450"/>
      <c r="P54" s="450"/>
      <c r="Q54" s="450"/>
      <c r="R54" s="456"/>
      <c r="S54" s="456"/>
      <c r="T54" s="489" t="s">
        <v>117</v>
      </c>
      <c r="U54" s="452"/>
      <c r="V54" s="430"/>
    </row>
    <row r="55" spans="1:23" s="431" customFormat="1" x14ac:dyDescent="0.3">
      <c r="A55" s="449"/>
      <c r="B55" s="455" t="s">
        <v>210</v>
      </c>
      <c r="C55" s="455"/>
      <c r="D55" s="455"/>
      <c r="E55" s="455"/>
      <c r="F55" s="455"/>
      <c r="G55" s="455"/>
      <c r="H55" s="455"/>
      <c r="I55" s="455"/>
      <c r="J55" s="455"/>
      <c r="K55" s="455"/>
      <c r="L55" s="455"/>
      <c r="M55" s="455"/>
      <c r="N55" s="455"/>
      <c r="O55" s="455"/>
      <c r="P55" s="455"/>
      <c r="Q55" s="455"/>
      <c r="R55" s="490"/>
      <c r="S55" s="490"/>
      <c r="T55" s="491">
        <v>43206</v>
      </c>
      <c r="U55" s="452"/>
      <c r="V55" s="430"/>
    </row>
    <row r="56" spans="1:23" s="431" customFormat="1" x14ac:dyDescent="0.3">
      <c r="A56" s="449"/>
      <c r="B56" s="450" t="s">
        <v>127</v>
      </c>
      <c r="C56" s="450"/>
      <c r="D56" s="450"/>
      <c r="E56" s="450"/>
      <c r="F56" s="450"/>
      <c r="G56" s="450"/>
      <c r="H56" s="492"/>
      <c r="I56" s="492"/>
      <c r="J56" s="492"/>
      <c r="K56" s="492"/>
      <c r="L56" s="492"/>
      <c r="M56" s="492"/>
      <c r="N56" s="492"/>
      <c r="O56" s="492"/>
      <c r="P56" s="450">
        <f>+T56-R56+1</f>
        <v>92</v>
      </c>
      <c r="Q56" s="492"/>
      <c r="R56" s="493">
        <v>43024</v>
      </c>
      <c r="S56" s="494"/>
      <c r="T56" s="493">
        <v>43115</v>
      </c>
      <c r="U56" s="452"/>
      <c r="V56" s="430"/>
    </row>
    <row r="57" spans="1:23" s="431" customFormat="1" x14ac:dyDescent="0.3">
      <c r="A57" s="449"/>
      <c r="B57" s="450" t="s">
        <v>128</v>
      </c>
      <c r="C57" s="450"/>
      <c r="D57" s="450"/>
      <c r="E57" s="450"/>
      <c r="F57" s="450"/>
      <c r="G57" s="450"/>
      <c r="H57" s="450"/>
      <c r="I57" s="450"/>
      <c r="J57" s="450"/>
      <c r="K57" s="450"/>
      <c r="L57" s="450"/>
      <c r="M57" s="450"/>
      <c r="N57" s="450"/>
      <c r="O57" s="450"/>
      <c r="P57" s="450">
        <f>+T57-R57+1</f>
        <v>90</v>
      </c>
      <c r="Q57" s="450"/>
      <c r="R57" s="493">
        <v>43116</v>
      </c>
      <c r="S57" s="494"/>
      <c r="T57" s="493">
        <v>43205</v>
      </c>
      <c r="U57" s="452"/>
      <c r="V57" s="430"/>
    </row>
    <row r="58" spans="1:23" s="431" customFormat="1" x14ac:dyDescent="0.3">
      <c r="A58" s="449"/>
      <c r="B58" s="450" t="s">
        <v>344</v>
      </c>
      <c r="C58" s="450"/>
      <c r="D58" s="450"/>
      <c r="E58" s="450"/>
      <c r="F58" s="450"/>
      <c r="G58" s="450"/>
      <c r="H58" s="450"/>
      <c r="I58" s="450"/>
      <c r="J58" s="450"/>
      <c r="K58" s="450"/>
      <c r="L58" s="450"/>
      <c r="M58" s="450"/>
      <c r="N58" s="450"/>
      <c r="O58" s="450"/>
      <c r="P58" s="450"/>
      <c r="Q58" s="450"/>
      <c r="R58" s="493"/>
      <c r="S58" s="494"/>
      <c r="T58" s="493" t="s">
        <v>126</v>
      </c>
      <c r="U58" s="452"/>
      <c r="V58" s="430"/>
    </row>
    <row r="59" spans="1:23" s="431" customFormat="1" x14ac:dyDescent="0.3">
      <c r="A59" s="449"/>
      <c r="B59" s="450" t="s">
        <v>343</v>
      </c>
      <c r="C59" s="450"/>
      <c r="D59" s="450"/>
      <c r="E59" s="450"/>
      <c r="F59" s="450"/>
      <c r="G59" s="450"/>
      <c r="H59" s="450"/>
      <c r="I59" s="450"/>
      <c r="J59" s="450"/>
      <c r="K59" s="450"/>
      <c r="L59" s="450"/>
      <c r="M59" s="450"/>
      <c r="N59" s="450"/>
      <c r="O59" s="450"/>
      <c r="P59" s="450"/>
      <c r="Q59" s="450"/>
      <c r="R59" s="493"/>
      <c r="S59" s="494"/>
      <c r="T59" s="493" t="s">
        <v>160</v>
      </c>
      <c r="U59" s="452"/>
      <c r="V59" s="430"/>
      <c r="W59" s="495"/>
    </row>
    <row r="60" spans="1:23" s="431" customFormat="1" x14ac:dyDescent="0.3">
      <c r="A60" s="449"/>
      <c r="B60" s="450" t="s">
        <v>16</v>
      </c>
      <c r="C60" s="450"/>
      <c r="D60" s="450"/>
      <c r="E60" s="450"/>
      <c r="F60" s="450"/>
      <c r="G60" s="450"/>
      <c r="H60" s="450"/>
      <c r="I60" s="450"/>
      <c r="J60" s="450"/>
      <c r="K60" s="450"/>
      <c r="L60" s="450"/>
      <c r="M60" s="450"/>
      <c r="N60" s="450"/>
      <c r="O60" s="450"/>
      <c r="P60" s="450"/>
      <c r="Q60" s="450"/>
      <c r="R60" s="493"/>
      <c r="S60" s="494"/>
      <c r="T60" s="493">
        <v>43193</v>
      </c>
      <c r="U60" s="452"/>
      <c r="V60" s="430"/>
    </row>
    <row r="61" spans="1:23" s="431" customFormat="1" x14ac:dyDescent="0.3">
      <c r="A61" s="432"/>
      <c r="B61" s="447"/>
      <c r="C61" s="447"/>
      <c r="D61" s="447"/>
      <c r="E61" s="447"/>
      <c r="F61" s="447"/>
      <c r="G61" s="447"/>
      <c r="H61" s="447"/>
      <c r="I61" s="447"/>
      <c r="J61" s="447"/>
      <c r="K61" s="447"/>
      <c r="L61" s="447"/>
      <c r="M61" s="447"/>
      <c r="N61" s="447"/>
      <c r="O61" s="447"/>
      <c r="P61" s="447"/>
      <c r="Q61" s="447"/>
      <c r="R61" s="496"/>
      <c r="S61" s="497"/>
      <c r="T61" s="496"/>
      <c r="U61" s="641"/>
      <c r="V61" s="430"/>
    </row>
    <row r="62" spans="1:23" s="431" customFormat="1" x14ac:dyDescent="0.3">
      <c r="A62" s="432"/>
      <c r="B62" s="433"/>
      <c r="C62" s="433"/>
      <c r="D62" s="433"/>
      <c r="E62" s="433"/>
      <c r="F62" s="433"/>
      <c r="G62" s="433"/>
      <c r="H62" s="433"/>
      <c r="I62" s="433"/>
      <c r="J62" s="433"/>
      <c r="K62" s="433"/>
      <c r="L62" s="433"/>
      <c r="M62" s="433"/>
      <c r="N62" s="433"/>
      <c r="O62" s="433"/>
      <c r="P62" s="433"/>
      <c r="Q62" s="433"/>
      <c r="R62" s="498"/>
      <c r="S62" s="499"/>
      <c r="T62" s="498"/>
      <c r="U62" s="641"/>
      <c r="V62" s="430"/>
    </row>
    <row r="63" spans="1:23" s="431" customFormat="1" ht="18.600000000000001" thickBot="1" x14ac:dyDescent="0.4">
      <c r="A63" s="500"/>
      <c r="B63" s="501" t="s">
        <v>361</v>
      </c>
      <c r="C63" s="502"/>
      <c r="D63" s="502"/>
      <c r="E63" s="502"/>
      <c r="F63" s="502"/>
      <c r="G63" s="502"/>
      <c r="H63" s="502"/>
      <c r="I63" s="502"/>
      <c r="J63" s="502"/>
      <c r="K63" s="502"/>
      <c r="L63" s="502"/>
      <c r="M63" s="502"/>
      <c r="N63" s="502"/>
      <c r="O63" s="502"/>
      <c r="P63" s="502"/>
      <c r="Q63" s="502"/>
      <c r="R63" s="502"/>
      <c r="S63" s="502"/>
      <c r="T63" s="503"/>
      <c r="U63" s="504"/>
      <c r="V63" s="430"/>
    </row>
    <row r="64" spans="1:23" x14ac:dyDescent="0.3">
      <c r="A64" s="505"/>
      <c r="B64" s="506" t="s">
        <v>17</v>
      </c>
      <c r="C64" s="507"/>
      <c r="D64" s="507"/>
      <c r="E64" s="507"/>
      <c r="F64" s="507"/>
      <c r="G64" s="507"/>
      <c r="H64" s="507"/>
      <c r="I64" s="507"/>
      <c r="J64" s="507"/>
      <c r="K64" s="507"/>
      <c r="L64" s="507"/>
      <c r="M64" s="507"/>
      <c r="N64" s="507"/>
      <c r="O64" s="507"/>
      <c r="P64" s="507"/>
      <c r="Q64" s="507"/>
      <c r="R64" s="507"/>
      <c r="S64" s="507"/>
      <c r="T64" s="508"/>
      <c r="U64" s="509"/>
      <c r="V64" s="416"/>
    </row>
    <row r="65" spans="1:22" x14ac:dyDescent="0.3">
      <c r="A65" s="418"/>
      <c r="B65" s="427"/>
      <c r="C65" s="420"/>
      <c r="D65" s="420"/>
      <c r="E65" s="420"/>
      <c r="F65" s="420"/>
      <c r="G65" s="420"/>
      <c r="H65" s="420"/>
      <c r="I65" s="420"/>
      <c r="J65" s="420"/>
      <c r="K65" s="420"/>
      <c r="L65" s="420"/>
      <c r="M65" s="420"/>
      <c r="N65" s="420"/>
      <c r="O65" s="420"/>
      <c r="P65" s="420"/>
      <c r="Q65" s="420"/>
      <c r="R65" s="420"/>
      <c r="S65" s="420"/>
      <c r="T65" s="510"/>
      <c r="U65" s="639"/>
      <c r="V65" s="416"/>
    </row>
    <row r="66" spans="1:22" ht="46.8" x14ac:dyDescent="0.3">
      <c r="A66" s="418"/>
      <c r="B66" s="511" t="s">
        <v>18</v>
      </c>
      <c r="C66" s="512"/>
      <c r="D66" s="512"/>
      <c r="E66" s="512"/>
      <c r="F66" s="512"/>
      <c r="G66" s="512"/>
      <c r="H66" s="512"/>
      <c r="I66" s="512"/>
      <c r="J66" s="512" t="s">
        <v>97</v>
      </c>
      <c r="K66" s="512"/>
      <c r="L66" s="512" t="s">
        <v>99</v>
      </c>
      <c r="M66" s="512"/>
      <c r="N66" s="512" t="s">
        <v>101</v>
      </c>
      <c r="O66" s="512"/>
      <c r="P66" s="512" t="s">
        <v>103</v>
      </c>
      <c r="Q66" s="512"/>
      <c r="R66" s="512" t="s">
        <v>110</v>
      </c>
      <c r="S66" s="512"/>
      <c r="T66" s="513" t="s">
        <v>118</v>
      </c>
      <c r="U66" s="642"/>
      <c r="V66" s="416"/>
    </row>
    <row r="67" spans="1:22" s="431" customFormat="1" x14ac:dyDescent="0.3">
      <c r="A67" s="449"/>
      <c r="B67" s="450" t="s">
        <v>19</v>
      </c>
      <c r="C67" s="514"/>
      <c r="D67" s="514"/>
      <c r="E67" s="514"/>
      <c r="F67" s="514"/>
      <c r="G67" s="514"/>
      <c r="H67" s="514"/>
      <c r="I67" s="514"/>
      <c r="J67" s="514">
        <v>1000039</v>
      </c>
      <c r="K67" s="514"/>
      <c r="L67" s="515">
        <v>418613</v>
      </c>
      <c r="M67" s="514"/>
      <c r="N67" s="514">
        <v>6338</v>
      </c>
      <c r="O67" s="514"/>
      <c r="P67" s="514">
        <v>0</v>
      </c>
      <c r="Q67" s="514"/>
      <c r="R67" s="514">
        <v>0</v>
      </c>
      <c r="S67" s="514"/>
      <c r="T67" s="515">
        <f>+L67-N67+P67-R67</f>
        <v>412275</v>
      </c>
      <c r="U67" s="452"/>
      <c r="V67" s="430"/>
    </row>
    <row r="68" spans="1:22" s="431" customFormat="1" x14ac:dyDescent="0.3">
      <c r="A68" s="449"/>
      <c r="B68" s="450" t="s">
        <v>20</v>
      </c>
      <c r="C68" s="514"/>
      <c r="D68" s="514"/>
      <c r="E68" s="514"/>
      <c r="F68" s="514"/>
      <c r="G68" s="514"/>
      <c r="H68" s="514"/>
      <c r="I68" s="514"/>
      <c r="J68" s="514">
        <v>10</v>
      </c>
      <c r="K68" s="514"/>
      <c r="L68" s="515">
        <v>0</v>
      </c>
      <c r="M68" s="514"/>
      <c r="N68" s="514">
        <v>0</v>
      </c>
      <c r="O68" s="514"/>
      <c r="P68" s="514">
        <v>0</v>
      </c>
      <c r="Q68" s="514"/>
      <c r="R68" s="514">
        <v>0</v>
      </c>
      <c r="S68" s="514"/>
      <c r="T68" s="515">
        <v>0</v>
      </c>
      <c r="U68" s="452"/>
      <c r="V68" s="430"/>
    </row>
    <row r="69" spans="1:22" s="431" customFormat="1" x14ac:dyDescent="0.3">
      <c r="A69" s="449"/>
      <c r="B69" s="450"/>
      <c r="C69" s="514"/>
      <c r="D69" s="514"/>
      <c r="E69" s="514"/>
      <c r="F69" s="514"/>
      <c r="G69" s="514"/>
      <c r="H69" s="514"/>
      <c r="I69" s="514"/>
      <c r="J69" s="514"/>
      <c r="K69" s="514"/>
      <c r="L69" s="515"/>
      <c r="M69" s="514"/>
      <c r="N69" s="514"/>
      <c r="O69" s="514"/>
      <c r="P69" s="514"/>
      <c r="Q69" s="514"/>
      <c r="R69" s="514"/>
      <c r="S69" s="514"/>
      <c r="T69" s="515"/>
      <c r="U69" s="452"/>
      <c r="V69" s="430"/>
    </row>
    <row r="70" spans="1:22" s="431" customFormat="1" x14ac:dyDescent="0.3">
      <c r="A70" s="449"/>
      <c r="B70" s="450" t="s">
        <v>21</v>
      </c>
      <c r="C70" s="514"/>
      <c r="D70" s="514"/>
      <c r="E70" s="514"/>
      <c r="F70" s="514"/>
      <c r="G70" s="514"/>
      <c r="H70" s="514"/>
      <c r="I70" s="514"/>
      <c r="J70" s="514">
        <f>SUM(J67:J69)</f>
        <v>1000049</v>
      </c>
      <c r="K70" s="514"/>
      <c r="L70" s="514">
        <f>L67+L68</f>
        <v>418613</v>
      </c>
      <c r="M70" s="514"/>
      <c r="N70" s="514">
        <f>SUM(N67:N69)</f>
        <v>6338</v>
      </c>
      <c r="O70" s="514"/>
      <c r="P70" s="514">
        <f>SUM(P67:P69)</f>
        <v>0</v>
      </c>
      <c r="Q70" s="514"/>
      <c r="R70" s="514">
        <f>SUM(R67:R69)</f>
        <v>0</v>
      </c>
      <c r="S70" s="514"/>
      <c r="T70" s="514">
        <f>SUM(T67:T69)</f>
        <v>412275</v>
      </c>
      <c r="U70" s="452"/>
      <c r="V70" s="430"/>
    </row>
    <row r="71" spans="1:22" x14ac:dyDescent="0.3">
      <c r="A71" s="418"/>
      <c r="B71" s="516"/>
      <c r="C71" s="517"/>
      <c r="D71" s="517"/>
      <c r="E71" s="517"/>
      <c r="F71" s="517"/>
      <c r="G71" s="517"/>
      <c r="H71" s="517"/>
      <c r="I71" s="517"/>
      <c r="J71" s="517"/>
      <c r="K71" s="517"/>
      <c r="L71" s="517"/>
      <c r="M71" s="517"/>
      <c r="N71" s="517"/>
      <c r="O71" s="517"/>
      <c r="P71" s="517"/>
      <c r="Q71" s="517"/>
      <c r="R71" s="517"/>
      <c r="S71" s="517"/>
      <c r="T71" s="518"/>
      <c r="U71" s="639"/>
      <c r="V71" s="416"/>
    </row>
    <row r="72" spans="1:22" x14ac:dyDescent="0.3">
      <c r="A72" s="418"/>
      <c r="B72" s="422" t="s">
        <v>22</v>
      </c>
      <c r="C72" s="519"/>
      <c r="D72" s="519"/>
      <c r="E72" s="519"/>
      <c r="F72" s="519"/>
      <c r="G72" s="519"/>
      <c r="H72" s="519"/>
      <c r="I72" s="519"/>
      <c r="J72" s="519"/>
      <c r="K72" s="519"/>
      <c r="L72" s="519"/>
      <c r="M72" s="519"/>
      <c r="N72" s="519"/>
      <c r="O72" s="519"/>
      <c r="P72" s="519"/>
      <c r="Q72" s="519"/>
      <c r="R72" s="519"/>
      <c r="S72" s="519"/>
      <c r="T72" s="520"/>
      <c r="U72" s="639"/>
      <c r="V72" s="416"/>
    </row>
    <row r="73" spans="1:22" x14ac:dyDescent="0.3">
      <c r="A73" s="418"/>
      <c r="B73" s="420"/>
      <c r="C73" s="519"/>
      <c r="D73" s="519"/>
      <c r="E73" s="519"/>
      <c r="F73" s="519"/>
      <c r="G73" s="519"/>
      <c r="H73" s="519"/>
      <c r="I73" s="519"/>
      <c r="J73" s="519"/>
      <c r="K73" s="519"/>
      <c r="L73" s="519"/>
      <c r="M73" s="519"/>
      <c r="N73" s="519"/>
      <c r="O73" s="519"/>
      <c r="P73" s="519"/>
      <c r="Q73" s="519"/>
      <c r="R73" s="519"/>
      <c r="S73" s="519"/>
      <c r="T73" s="520"/>
      <c r="U73" s="639"/>
      <c r="V73" s="416"/>
    </row>
    <row r="74" spans="1:22" s="431" customFormat="1" x14ac:dyDescent="0.3">
      <c r="A74" s="449"/>
      <c r="B74" s="450" t="s">
        <v>19</v>
      </c>
      <c r="C74" s="514"/>
      <c r="D74" s="514"/>
      <c r="E74" s="514"/>
      <c r="F74" s="514"/>
      <c r="G74" s="514"/>
      <c r="H74" s="514"/>
      <c r="I74" s="514"/>
      <c r="J74" s="514"/>
      <c r="K74" s="514"/>
      <c r="L74" s="514"/>
      <c r="M74" s="514"/>
      <c r="N74" s="514"/>
      <c r="O74" s="514"/>
      <c r="P74" s="514"/>
      <c r="Q74" s="514"/>
      <c r="R74" s="514"/>
      <c r="S74" s="514"/>
      <c r="T74" s="514"/>
      <c r="U74" s="452"/>
      <c r="V74" s="430"/>
    </row>
    <row r="75" spans="1:22" s="431" customFormat="1" x14ac:dyDescent="0.3">
      <c r="A75" s="449"/>
      <c r="B75" s="450" t="s">
        <v>20</v>
      </c>
      <c r="C75" s="514"/>
      <c r="D75" s="514"/>
      <c r="E75" s="514"/>
      <c r="F75" s="514"/>
      <c r="G75" s="514"/>
      <c r="H75" s="514"/>
      <c r="I75" s="514"/>
      <c r="J75" s="514"/>
      <c r="K75" s="514"/>
      <c r="L75" s="514"/>
      <c r="M75" s="514"/>
      <c r="N75" s="514"/>
      <c r="O75" s="514"/>
      <c r="P75" s="514"/>
      <c r="Q75" s="514"/>
      <c r="R75" s="514"/>
      <c r="S75" s="514"/>
      <c r="T75" s="514"/>
      <c r="U75" s="452"/>
      <c r="V75" s="430"/>
    </row>
    <row r="76" spans="1:22" s="431" customFormat="1" x14ac:dyDescent="0.3">
      <c r="A76" s="449"/>
      <c r="B76" s="450"/>
      <c r="C76" s="514"/>
      <c r="D76" s="514"/>
      <c r="E76" s="514"/>
      <c r="F76" s="514"/>
      <c r="G76" s="514"/>
      <c r="H76" s="514"/>
      <c r="I76" s="514"/>
      <c r="J76" s="514"/>
      <c r="K76" s="514"/>
      <c r="L76" s="514"/>
      <c r="M76" s="514"/>
      <c r="N76" s="514"/>
      <c r="O76" s="514"/>
      <c r="P76" s="514"/>
      <c r="Q76" s="514"/>
      <c r="R76" s="514"/>
      <c r="S76" s="514"/>
      <c r="T76" s="514"/>
      <c r="U76" s="452"/>
      <c r="V76" s="430"/>
    </row>
    <row r="77" spans="1:22" s="431" customFormat="1" x14ac:dyDescent="0.3">
      <c r="A77" s="449"/>
      <c r="B77" s="450" t="s">
        <v>21</v>
      </c>
      <c r="C77" s="514"/>
      <c r="D77" s="514"/>
      <c r="E77" s="514"/>
      <c r="F77" s="514"/>
      <c r="G77" s="514"/>
      <c r="H77" s="514"/>
      <c r="I77" s="514"/>
      <c r="J77" s="514"/>
      <c r="K77" s="514"/>
      <c r="L77" s="514"/>
      <c r="M77" s="514"/>
      <c r="N77" s="514"/>
      <c r="O77" s="514"/>
      <c r="P77" s="514"/>
      <c r="Q77" s="514"/>
      <c r="R77" s="514"/>
      <c r="S77" s="514"/>
      <c r="T77" s="514"/>
      <c r="U77" s="452"/>
      <c r="V77" s="430"/>
    </row>
    <row r="78" spans="1:22" s="431" customFormat="1" x14ac:dyDescent="0.3">
      <c r="A78" s="449"/>
      <c r="B78" s="450"/>
      <c r="C78" s="514"/>
      <c r="D78" s="514"/>
      <c r="E78" s="514"/>
      <c r="F78" s="514"/>
      <c r="G78" s="514"/>
      <c r="H78" s="514"/>
      <c r="I78" s="514"/>
      <c r="J78" s="514"/>
      <c r="K78" s="514"/>
      <c r="L78" s="514"/>
      <c r="M78" s="514"/>
      <c r="N78" s="514"/>
      <c r="O78" s="514"/>
      <c r="P78" s="514"/>
      <c r="Q78" s="514"/>
      <c r="R78" s="514"/>
      <c r="S78" s="514"/>
      <c r="T78" s="514"/>
      <c r="U78" s="452"/>
      <c r="V78" s="430"/>
    </row>
    <row r="79" spans="1:22" s="431" customFormat="1" x14ac:dyDescent="0.3">
      <c r="A79" s="449"/>
      <c r="B79" s="450" t="s">
        <v>23</v>
      </c>
      <c r="C79" s="514"/>
      <c r="D79" s="514"/>
      <c r="E79" s="514"/>
      <c r="F79" s="514"/>
      <c r="G79" s="514"/>
      <c r="H79" s="514"/>
      <c r="I79" s="514"/>
      <c r="J79" s="514">
        <v>0</v>
      </c>
      <c r="K79" s="514"/>
      <c r="L79" s="514">
        <v>0</v>
      </c>
      <c r="M79" s="514"/>
      <c r="N79" s="514"/>
      <c r="O79" s="514"/>
      <c r="P79" s="514"/>
      <c r="Q79" s="514"/>
      <c r="R79" s="514"/>
      <c r="S79" s="514"/>
      <c r="T79" s="515">
        <v>0</v>
      </c>
      <c r="U79" s="452"/>
      <c r="V79" s="430"/>
    </row>
    <row r="80" spans="1:22" s="431" customFormat="1" x14ac:dyDescent="0.3">
      <c r="A80" s="449"/>
      <c r="B80" s="450" t="s">
        <v>123</v>
      </c>
      <c r="C80" s="514"/>
      <c r="D80" s="514"/>
      <c r="E80" s="514"/>
      <c r="F80" s="514"/>
      <c r="G80" s="514"/>
      <c r="H80" s="514"/>
      <c r="I80" s="514"/>
      <c r="J80" s="514">
        <v>0</v>
      </c>
      <c r="K80" s="514"/>
      <c r="L80" s="514">
        <v>0</v>
      </c>
      <c r="M80" s="514"/>
      <c r="N80" s="514"/>
      <c r="O80" s="514"/>
      <c r="P80" s="514"/>
      <c r="Q80" s="514"/>
      <c r="R80" s="514"/>
      <c r="S80" s="514"/>
      <c r="T80" s="514">
        <f>SUM(J80:P80)</f>
        <v>0</v>
      </c>
      <c r="U80" s="452"/>
      <c r="V80" s="430"/>
    </row>
    <row r="81" spans="1:22" s="431" customFormat="1" x14ac:dyDescent="0.3">
      <c r="A81" s="449"/>
      <c r="B81" s="450" t="s">
        <v>152</v>
      </c>
      <c r="C81" s="514"/>
      <c r="D81" s="514"/>
      <c r="E81" s="514"/>
      <c r="F81" s="514"/>
      <c r="G81" s="514"/>
      <c r="H81" s="514"/>
      <c r="I81" s="514"/>
      <c r="J81" s="514">
        <v>1</v>
      </c>
      <c r="K81" s="514"/>
      <c r="L81" s="514">
        <v>0</v>
      </c>
      <c r="M81" s="514"/>
      <c r="N81" s="514">
        <v>0</v>
      </c>
      <c r="O81" s="514"/>
      <c r="P81" s="514"/>
      <c r="Q81" s="514"/>
      <c r="R81" s="514"/>
      <c r="S81" s="514"/>
      <c r="T81" s="514">
        <f>+L81+N81</f>
        <v>0</v>
      </c>
      <c r="U81" s="452"/>
      <c r="V81" s="430"/>
    </row>
    <row r="82" spans="1:22" s="431" customFormat="1" x14ac:dyDescent="0.3">
      <c r="A82" s="449"/>
      <c r="B82" s="450" t="s">
        <v>25</v>
      </c>
      <c r="C82" s="514"/>
      <c r="D82" s="514"/>
      <c r="E82" s="514"/>
      <c r="F82" s="514"/>
      <c r="G82" s="514"/>
      <c r="H82" s="514"/>
      <c r="I82" s="514"/>
      <c r="J82" s="514">
        <v>0</v>
      </c>
      <c r="K82" s="514"/>
      <c r="L82" s="514">
        <v>0</v>
      </c>
      <c r="M82" s="514"/>
      <c r="N82" s="514"/>
      <c r="O82" s="514"/>
      <c r="P82" s="514"/>
      <c r="Q82" s="514"/>
      <c r="R82" s="514"/>
      <c r="S82" s="514"/>
      <c r="T82" s="514">
        <v>0</v>
      </c>
      <c r="U82" s="452"/>
      <c r="V82" s="430"/>
    </row>
    <row r="83" spans="1:22" s="431" customFormat="1" x14ac:dyDescent="0.3">
      <c r="A83" s="449"/>
      <c r="B83" s="450" t="s">
        <v>26</v>
      </c>
      <c r="C83" s="514"/>
      <c r="D83" s="514"/>
      <c r="E83" s="514"/>
      <c r="F83" s="514"/>
      <c r="G83" s="514"/>
      <c r="H83" s="514"/>
      <c r="I83" s="514"/>
      <c r="J83" s="514">
        <f>SUM(J70:J82)</f>
        <v>1000050</v>
      </c>
      <c r="K83" s="514"/>
      <c r="L83" s="514">
        <f>SUM(L70:L82)</f>
        <v>418613</v>
      </c>
      <c r="M83" s="514"/>
      <c r="N83" s="514"/>
      <c r="O83" s="514"/>
      <c r="P83" s="514"/>
      <c r="Q83" s="514"/>
      <c r="R83" s="514"/>
      <c r="S83" s="514"/>
      <c r="T83" s="514">
        <f>SUM(T70:T82)</f>
        <v>412275</v>
      </c>
      <c r="U83" s="452"/>
      <c r="V83" s="430"/>
    </row>
    <row r="84" spans="1:22" x14ac:dyDescent="0.3">
      <c r="A84" s="418"/>
      <c r="B84" s="516"/>
      <c r="C84" s="517"/>
      <c r="D84" s="517"/>
      <c r="E84" s="517"/>
      <c r="F84" s="517"/>
      <c r="G84" s="517"/>
      <c r="H84" s="517"/>
      <c r="I84" s="517"/>
      <c r="J84" s="517"/>
      <c r="K84" s="517"/>
      <c r="L84" s="517"/>
      <c r="M84" s="517"/>
      <c r="N84" s="517"/>
      <c r="O84" s="517"/>
      <c r="P84" s="517"/>
      <c r="Q84" s="517"/>
      <c r="R84" s="517"/>
      <c r="S84" s="517"/>
      <c r="T84" s="518"/>
      <c r="U84" s="639"/>
      <c r="V84" s="416"/>
    </row>
    <row r="85" spans="1:22" x14ac:dyDescent="0.3">
      <c r="A85" s="418"/>
      <c r="B85" s="420"/>
      <c r="C85" s="420"/>
      <c r="D85" s="420"/>
      <c r="E85" s="420"/>
      <c r="F85" s="420"/>
      <c r="G85" s="420"/>
      <c r="H85" s="420"/>
      <c r="I85" s="420"/>
      <c r="J85" s="420"/>
      <c r="K85" s="420"/>
      <c r="L85" s="420"/>
      <c r="M85" s="420"/>
      <c r="N85" s="420"/>
      <c r="O85" s="420"/>
      <c r="P85" s="420"/>
      <c r="Q85" s="420"/>
      <c r="R85" s="420"/>
      <c r="S85" s="420"/>
      <c r="T85" s="420"/>
      <c r="U85" s="639"/>
      <c r="V85" s="416"/>
    </row>
    <row r="86" spans="1:22" x14ac:dyDescent="0.3">
      <c r="A86" s="442"/>
      <c r="B86" s="521" t="s">
        <v>27</v>
      </c>
      <c r="C86" s="521"/>
      <c r="D86" s="521"/>
      <c r="E86" s="521"/>
      <c r="F86" s="521"/>
      <c r="G86" s="521"/>
      <c r="H86" s="522"/>
      <c r="I86" s="522"/>
      <c r="J86" s="523" t="s">
        <v>98</v>
      </c>
      <c r="K86" s="522"/>
      <c r="L86" s="524">
        <f>+R193</f>
        <v>43188</v>
      </c>
      <c r="M86" s="522"/>
      <c r="N86" s="522"/>
      <c r="O86" s="522"/>
      <c r="P86" s="522"/>
      <c r="Q86" s="522"/>
      <c r="R86" s="522" t="s">
        <v>111</v>
      </c>
      <c r="S86" s="522"/>
      <c r="T86" s="522" t="s">
        <v>119</v>
      </c>
      <c r="U86" s="446"/>
      <c r="V86" s="416"/>
    </row>
    <row r="87" spans="1:22" s="431" customFormat="1" x14ac:dyDescent="0.3">
      <c r="A87" s="432"/>
      <c r="B87" s="447" t="s">
        <v>28</v>
      </c>
      <c r="C87" s="447"/>
      <c r="D87" s="447"/>
      <c r="E87" s="447"/>
      <c r="F87" s="447"/>
      <c r="G87" s="447"/>
      <c r="H87" s="447"/>
      <c r="I87" s="447"/>
      <c r="J87" s="447"/>
      <c r="K87" s="447"/>
      <c r="L87" s="447"/>
      <c r="M87" s="447"/>
      <c r="N87" s="447"/>
      <c r="O87" s="447"/>
      <c r="P87" s="447"/>
      <c r="Q87" s="447"/>
      <c r="R87" s="525">
        <v>0</v>
      </c>
      <c r="S87" s="447"/>
      <c r="T87" s="526">
        <v>0</v>
      </c>
      <c r="U87" s="641"/>
      <c r="V87" s="430"/>
    </row>
    <row r="88" spans="1:22" s="431" customFormat="1" x14ac:dyDescent="0.3">
      <c r="A88" s="449"/>
      <c r="B88" s="450" t="s">
        <v>29</v>
      </c>
      <c r="C88" s="450"/>
      <c r="D88" s="450"/>
      <c r="E88" s="450"/>
      <c r="F88" s="450"/>
      <c r="G88" s="450"/>
      <c r="H88" s="486"/>
      <c r="I88" s="527"/>
      <c r="J88" s="486"/>
      <c r="K88" s="450"/>
      <c r="L88" s="528"/>
      <c r="M88" s="450"/>
      <c r="N88" s="450"/>
      <c r="O88" s="450"/>
      <c r="P88" s="450"/>
      <c r="Q88" s="450"/>
      <c r="R88" s="514">
        <f>6338-347</f>
        <v>5991</v>
      </c>
      <c r="S88" s="450"/>
      <c r="T88" s="515"/>
      <c r="U88" s="452"/>
      <c r="V88" s="430"/>
    </row>
    <row r="89" spans="1:22" s="431" customFormat="1" x14ac:dyDescent="0.3">
      <c r="A89" s="449"/>
      <c r="B89" s="450" t="s">
        <v>225</v>
      </c>
      <c r="C89" s="450"/>
      <c r="D89" s="450"/>
      <c r="E89" s="450"/>
      <c r="F89" s="450"/>
      <c r="G89" s="450"/>
      <c r="H89" s="486"/>
      <c r="I89" s="527"/>
      <c r="J89" s="486"/>
      <c r="K89" s="450"/>
      <c r="L89" s="528"/>
      <c r="M89" s="450"/>
      <c r="N89" s="450"/>
      <c r="O89" s="450"/>
      <c r="P89" s="450"/>
      <c r="Q89" s="450"/>
      <c r="R89" s="514"/>
      <c r="S89" s="450"/>
      <c r="T89" s="515">
        <f>1752+1684-477-387</f>
        <v>2572</v>
      </c>
      <c r="U89" s="452"/>
      <c r="V89" s="430"/>
    </row>
    <row r="90" spans="1:22" s="431" customFormat="1" x14ac:dyDescent="0.3">
      <c r="A90" s="449"/>
      <c r="B90" s="450" t="s">
        <v>220</v>
      </c>
      <c r="C90" s="450"/>
      <c r="D90" s="450"/>
      <c r="E90" s="450"/>
      <c r="F90" s="450"/>
      <c r="G90" s="450"/>
      <c r="H90" s="486"/>
      <c r="I90" s="527"/>
      <c r="J90" s="486"/>
      <c r="K90" s="450"/>
      <c r="L90" s="528"/>
      <c r="M90" s="450"/>
      <c r="N90" s="450"/>
      <c r="O90" s="450"/>
      <c r="P90" s="450"/>
      <c r="Q90" s="450"/>
      <c r="R90" s="514"/>
      <c r="S90" s="450"/>
      <c r="T90" s="515">
        <f>138+17</f>
        <v>155</v>
      </c>
      <c r="U90" s="452"/>
      <c r="V90" s="430"/>
    </row>
    <row r="91" spans="1:22" s="431" customFormat="1" x14ac:dyDescent="0.3">
      <c r="A91" s="449"/>
      <c r="B91" s="450" t="s">
        <v>221</v>
      </c>
      <c r="C91" s="450"/>
      <c r="D91" s="450"/>
      <c r="E91" s="450"/>
      <c r="F91" s="450"/>
      <c r="G91" s="450"/>
      <c r="H91" s="486"/>
      <c r="I91" s="527"/>
      <c r="J91" s="486"/>
      <c r="K91" s="450"/>
      <c r="L91" s="528"/>
      <c r="M91" s="450"/>
      <c r="N91" s="450"/>
      <c r="O91" s="450"/>
      <c r="P91" s="450"/>
      <c r="Q91" s="450"/>
      <c r="R91" s="514"/>
      <c r="S91" s="450"/>
      <c r="T91" s="515">
        <v>24</v>
      </c>
      <c r="U91" s="452"/>
      <c r="V91" s="430"/>
    </row>
    <row r="92" spans="1:22" s="431" customFormat="1" x14ac:dyDescent="0.3">
      <c r="A92" s="449"/>
      <c r="B92" s="450" t="s">
        <v>261</v>
      </c>
      <c r="C92" s="450"/>
      <c r="D92" s="450"/>
      <c r="E92" s="450"/>
      <c r="F92" s="450"/>
      <c r="G92" s="450"/>
      <c r="H92" s="486"/>
      <c r="I92" s="527"/>
      <c r="J92" s="486"/>
      <c r="K92" s="450"/>
      <c r="L92" s="528"/>
      <c r="M92" s="450"/>
      <c r="N92" s="450"/>
      <c r="O92" s="450"/>
      <c r="P92" s="450"/>
      <c r="Q92" s="450"/>
      <c r="R92" s="514"/>
      <c r="S92" s="450"/>
      <c r="T92" s="515">
        <v>0</v>
      </c>
      <c r="U92" s="452"/>
      <c r="V92" s="430"/>
    </row>
    <row r="93" spans="1:22" s="431" customFormat="1" x14ac:dyDescent="0.3">
      <c r="A93" s="449"/>
      <c r="B93" s="450" t="s">
        <v>141</v>
      </c>
      <c r="C93" s="450"/>
      <c r="D93" s="450"/>
      <c r="E93" s="450"/>
      <c r="F93" s="450"/>
      <c r="G93" s="450"/>
      <c r="H93" s="450"/>
      <c r="I93" s="450"/>
      <c r="J93" s="450"/>
      <c r="K93" s="450"/>
      <c r="L93" s="450"/>
      <c r="M93" s="450"/>
      <c r="N93" s="450"/>
      <c r="O93" s="450"/>
      <c r="P93" s="450"/>
      <c r="Q93" s="450"/>
      <c r="R93" s="514"/>
      <c r="S93" s="450"/>
      <c r="T93" s="515">
        <v>0</v>
      </c>
      <c r="U93" s="452"/>
      <c r="V93" s="430"/>
    </row>
    <row r="94" spans="1:22" s="431" customFormat="1" x14ac:dyDescent="0.3">
      <c r="A94" s="449"/>
      <c r="B94" s="450" t="s">
        <v>250</v>
      </c>
      <c r="C94" s="450"/>
      <c r="D94" s="450"/>
      <c r="E94" s="450"/>
      <c r="F94" s="450"/>
      <c r="G94" s="450"/>
      <c r="H94" s="450"/>
      <c r="I94" s="450"/>
      <c r="J94" s="450"/>
      <c r="K94" s="450"/>
      <c r="L94" s="450"/>
      <c r="M94" s="450"/>
      <c r="N94" s="450"/>
      <c r="O94" s="450"/>
      <c r="P94" s="450"/>
      <c r="Q94" s="450"/>
      <c r="R94" s="514"/>
      <c r="S94" s="450"/>
      <c r="T94" s="515">
        <v>0</v>
      </c>
      <c r="U94" s="452"/>
      <c r="V94" s="430"/>
    </row>
    <row r="95" spans="1:22" s="431" customFormat="1" x14ac:dyDescent="0.3">
      <c r="A95" s="449"/>
      <c r="B95" s="450" t="s">
        <v>30</v>
      </c>
      <c r="C95" s="450"/>
      <c r="D95" s="450"/>
      <c r="E95" s="450"/>
      <c r="F95" s="450"/>
      <c r="G95" s="450"/>
      <c r="H95" s="450"/>
      <c r="I95" s="450"/>
      <c r="J95" s="450"/>
      <c r="K95" s="450"/>
      <c r="L95" s="450"/>
      <c r="M95" s="450"/>
      <c r="N95" s="450"/>
      <c r="O95" s="450"/>
      <c r="P95" s="450"/>
      <c r="Q95" s="450"/>
      <c r="R95" s="514">
        <f>SUM(R87:R94)</f>
        <v>5991</v>
      </c>
      <c r="S95" s="450"/>
      <c r="T95" s="514">
        <f>SUM(T87:T94)</f>
        <v>2751</v>
      </c>
      <c r="U95" s="452"/>
      <c r="V95" s="430"/>
    </row>
    <row r="96" spans="1:22" s="431" customFormat="1" x14ac:dyDescent="0.3">
      <c r="A96" s="449"/>
      <c r="B96" s="450" t="s">
        <v>168</v>
      </c>
      <c r="C96" s="450"/>
      <c r="D96" s="450"/>
      <c r="E96" s="450"/>
      <c r="F96" s="450"/>
      <c r="G96" s="450"/>
      <c r="H96" s="450"/>
      <c r="I96" s="450"/>
      <c r="J96" s="450"/>
      <c r="K96" s="450"/>
      <c r="L96" s="450"/>
      <c r="M96" s="450"/>
      <c r="N96" s="450"/>
      <c r="O96" s="450"/>
      <c r="P96" s="450"/>
      <c r="Q96" s="450"/>
      <c r="R96" s="514">
        <v>0</v>
      </c>
      <c r="S96" s="450"/>
      <c r="T96" s="514">
        <f>-R96</f>
        <v>0</v>
      </c>
      <c r="U96" s="452"/>
      <c r="V96" s="430"/>
    </row>
    <row r="97" spans="1:24" s="431" customFormat="1" x14ac:dyDescent="0.3">
      <c r="A97" s="449"/>
      <c r="B97" s="450" t="s">
        <v>31</v>
      </c>
      <c r="C97" s="450"/>
      <c r="D97" s="450"/>
      <c r="E97" s="450"/>
      <c r="F97" s="450"/>
      <c r="G97" s="450"/>
      <c r="H97" s="450"/>
      <c r="I97" s="450"/>
      <c r="J97" s="450"/>
      <c r="K97" s="450"/>
      <c r="L97" s="450"/>
      <c r="M97" s="450"/>
      <c r="N97" s="450"/>
      <c r="O97" s="450"/>
      <c r="P97" s="450"/>
      <c r="Q97" s="450"/>
      <c r="R97" s="514">
        <f>-T97</f>
        <v>0</v>
      </c>
      <c r="S97" s="450"/>
      <c r="T97" s="515">
        <v>0</v>
      </c>
      <c r="U97" s="452"/>
      <c r="V97" s="430"/>
    </row>
    <row r="98" spans="1:24" s="431" customFormat="1" x14ac:dyDescent="0.3">
      <c r="A98" s="449"/>
      <c r="B98" s="450" t="s">
        <v>273</v>
      </c>
      <c r="C98" s="450"/>
      <c r="D98" s="450"/>
      <c r="E98" s="450"/>
      <c r="F98" s="450"/>
      <c r="G98" s="450"/>
      <c r="H98" s="450"/>
      <c r="I98" s="450"/>
      <c r="J98" s="450"/>
      <c r="K98" s="450"/>
      <c r="L98" s="450"/>
      <c r="M98" s="450"/>
      <c r="N98" s="450"/>
      <c r="O98" s="450"/>
      <c r="P98" s="450"/>
      <c r="Q98" s="450"/>
      <c r="R98" s="514"/>
      <c r="S98" s="450"/>
      <c r="T98" s="515">
        <v>222</v>
      </c>
      <c r="U98" s="452"/>
      <c r="V98" s="430"/>
    </row>
    <row r="99" spans="1:24" s="431" customFormat="1" x14ac:dyDescent="0.3">
      <c r="A99" s="449"/>
      <c r="B99" s="450" t="s">
        <v>32</v>
      </c>
      <c r="C99" s="450"/>
      <c r="D99" s="450"/>
      <c r="E99" s="450"/>
      <c r="F99" s="450"/>
      <c r="G99" s="450"/>
      <c r="H99" s="450"/>
      <c r="I99" s="450"/>
      <c r="J99" s="450"/>
      <c r="K99" s="450"/>
      <c r="L99" s="450"/>
      <c r="M99" s="450"/>
      <c r="N99" s="450"/>
      <c r="O99" s="450"/>
      <c r="P99" s="450"/>
      <c r="Q99" s="450"/>
      <c r="R99" s="514">
        <f>R95+R97+R96</f>
        <v>5991</v>
      </c>
      <c r="S99" s="450"/>
      <c r="T99" s="514">
        <f>T95+T97+T96+T98</f>
        <v>2973</v>
      </c>
      <c r="U99" s="452"/>
      <c r="V99" s="430"/>
    </row>
    <row r="100" spans="1:24" x14ac:dyDescent="0.3">
      <c r="A100" s="468"/>
      <c r="B100" s="529" t="s">
        <v>33</v>
      </c>
      <c r="C100" s="470"/>
      <c r="D100" s="470"/>
      <c r="E100" s="470"/>
      <c r="F100" s="470"/>
      <c r="G100" s="470"/>
      <c r="H100" s="470"/>
      <c r="I100" s="470"/>
      <c r="J100" s="470"/>
      <c r="K100" s="470"/>
      <c r="L100" s="470"/>
      <c r="M100" s="470"/>
      <c r="N100" s="470"/>
      <c r="O100" s="470"/>
      <c r="P100" s="470"/>
      <c r="Q100" s="470"/>
      <c r="R100" s="530"/>
      <c r="S100" s="470"/>
      <c r="T100" s="531"/>
      <c r="U100" s="476"/>
      <c r="V100" s="416"/>
    </row>
    <row r="101" spans="1:24" s="431" customFormat="1" x14ac:dyDescent="0.3">
      <c r="A101" s="449">
        <v>1</v>
      </c>
      <c r="B101" s="450" t="s">
        <v>34</v>
      </c>
      <c r="C101" s="450"/>
      <c r="D101" s="450"/>
      <c r="E101" s="450"/>
      <c r="F101" s="450"/>
      <c r="G101" s="450"/>
      <c r="H101" s="450"/>
      <c r="I101" s="450"/>
      <c r="J101" s="450"/>
      <c r="K101" s="450"/>
      <c r="L101" s="450"/>
      <c r="M101" s="450"/>
      <c r="N101" s="450"/>
      <c r="O101" s="450"/>
      <c r="P101" s="450"/>
      <c r="Q101" s="450"/>
      <c r="R101" s="450"/>
      <c r="S101" s="450"/>
      <c r="T101" s="515">
        <v>0</v>
      </c>
      <c r="U101" s="452"/>
      <c r="V101" s="430"/>
    </row>
    <row r="102" spans="1:24" s="431" customFormat="1" x14ac:dyDescent="0.3">
      <c r="A102" s="449">
        <f>+A101+1</f>
        <v>2</v>
      </c>
      <c r="B102" s="450" t="s">
        <v>312</v>
      </c>
      <c r="C102" s="450"/>
      <c r="D102" s="450"/>
      <c r="E102" s="450"/>
      <c r="F102" s="450"/>
      <c r="G102" s="450"/>
      <c r="H102" s="450"/>
      <c r="I102" s="450"/>
      <c r="J102" s="450"/>
      <c r="K102" s="450"/>
      <c r="L102" s="450"/>
      <c r="M102" s="450"/>
      <c r="N102" s="450"/>
      <c r="O102" s="450"/>
      <c r="P102" s="450"/>
      <c r="Q102" s="450"/>
      <c r="R102" s="450"/>
      <c r="S102" s="450"/>
      <c r="T102" s="515">
        <v>-2</v>
      </c>
      <c r="U102" s="452"/>
      <c r="V102" s="430"/>
    </row>
    <row r="103" spans="1:24" s="431" customFormat="1" x14ac:dyDescent="0.3">
      <c r="A103" s="449">
        <f>+A102+1</f>
        <v>3</v>
      </c>
      <c r="B103" s="532" t="s">
        <v>314</v>
      </c>
      <c r="C103" s="450"/>
      <c r="D103" s="450"/>
      <c r="E103" s="450"/>
      <c r="F103" s="450"/>
      <c r="G103" s="450"/>
      <c r="H103" s="450"/>
      <c r="I103" s="450"/>
      <c r="J103" s="450"/>
      <c r="K103" s="450"/>
      <c r="L103" s="450"/>
      <c r="M103" s="450"/>
      <c r="N103" s="450"/>
      <c r="O103" s="450"/>
      <c r="P103" s="450"/>
      <c r="Q103" s="450"/>
      <c r="R103" s="450"/>
      <c r="S103" s="450"/>
      <c r="T103" s="515">
        <f>-157-56-6</f>
        <v>-219</v>
      </c>
      <c r="U103" s="452"/>
      <c r="V103" s="430"/>
    </row>
    <row r="104" spans="1:24" s="431" customFormat="1" x14ac:dyDescent="0.3">
      <c r="A104" s="449" t="s">
        <v>133</v>
      </c>
      <c r="B104" s="450" t="s">
        <v>122</v>
      </c>
      <c r="C104" s="450"/>
      <c r="D104" s="450"/>
      <c r="E104" s="450"/>
      <c r="F104" s="450"/>
      <c r="G104" s="450"/>
      <c r="H104" s="450"/>
      <c r="I104" s="450"/>
      <c r="J104" s="450"/>
      <c r="K104" s="450"/>
      <c r="L104" s="450"/>
      <c r="M104" s="450"/>
      <c r="N104" s="450"/>
      <c r="O104" s="450"/>
      <c r="P104" s="450"/>
      <c r="Q104" s="450"/>
      <c r="R104" s="450"/>
      <c r="S104" s="450"/>
      <c r="T104" s="515">
        <v>0</v>
      </c>
      <c r="U104" s="452"/>
      <c r="V104" s="430"/>
    </row>
    <row r="105" spans="1:24" s="431" customFormat="1" x14ac:dyDescent="0.3">
      <c r="A105" s="449" t="s">
        <v>134</v>
      </c>
      <c r="B105" s="450" t="s">
        <v>348</v>
      </c>
      <c r="C105" s="450"/>
      <c r="D105" s="450"/>
      <c r="E105" s="450"/>
      <c r="F105" s="450"/>
      <c r="G105" s="450"/>
      <c r="H105" s="450"/>
      <c r="I105" s="450"/>
      <c r="J105" s="450"/>
      <c r="K105" s="450"/>
      <c r="L105" s="450"/>
      <c r="M105" s="450"/>
      <c r="N105" s="450"/>
      <c r="O105" s="450"/>
      <c r="P105" s="450"/>
      <c r="Q105" s="450"/>
      <c r="R105" s="450"/>
      <c r="S105" s="450"/>
      <c r="T105" s="515">
        <f>-308-99</f>
        <v>-407</v>
      </c>
      <c r="U105" s="452"/>
      <c r="V105" s="430"/>
      <c r="W105" s="533"/>
    </row>
    <row r="106" spans="1:24" s="431" customFormat="1" x14ac:dyDescent="0.3">
      <c r="A106" s="449" t="s">
        <v>156</v>
      </c>
      <c r="B106" s="450" t="s">
        <v>349</v>
      </c>
      <c r="C106" s="450"/>
      <c r="D106" s="450"/>
      <c r="E106" s="450"/>
      <c r="F106" s="450"/>
      <c r="G106" s="450"/>
      <c r="H106" s="450"/>
      <c r="I106" s="450"/>
      <c r="J106" s="450"/>
      <c r="K106" s="450"/>
      <c r="L106" s="450"/>
      <c r="M106" s="450"/>
      <c r="N106" s="450"/>
      <c r="O106" s="450"/>
      <c r="P106" s="450"/>
      <c r="Q106" s="450"/>
      <c r="R106" s="450"/>
      <c r="S106" s="450"/>
      <c r="T106" s="515">
        <v>-100</v>
      </c>
      <c r="U106" s="452"/>
      <c r="V106" s="430"/>
      <c r="W106" s="533"/>
    </row>
    <row r="107" spans="1:24" s="431" customFormat="1" x14ac:dyDescent="0.3">
      <c r="A107" s="449" t="s">
        <v>214</v>
      </c>
      <c r="B107" s="450" t="s">
        <v>192</v>
      </c>
      <c r="C107" s="450"/>
      <c r="D107" s="450"/>
      <c r="E107" s="450"/>
      <c r="F107" s="450"/>
      <c r="G107" s="450"/>
      <c r="H107" s="450"/>
      <c r="I107" s="450"/>
      <c r="J107" s="450"/>
      <c r="K107" s="450"/>
      <c r="L107" s="450"/>
      <c r="M107" s="450"/>
      <c r="N107" s="450"/>
      <c r="O107" s="450"/>
      <c r="P107" s="450"/>
      <c r="Q107" s="450"/>
      <c r="R107" s="450"/>
      <c r="S107" s="450"/>
      <c r="T107" s="515">
        <v>-121</v>
      </c>
      <c r="U107" s="452"/>
      <c r="V107" s="430"/>
      <c r="W107" s="533"/>
      <c r="X107" s="533"/>
    </row>
    <row r="108" spans="1:24" s="431" customFormat="1" x14ac:dyDescent="0.3">
      <c r="A108" s="449" t="s">
        <v>215</v>
      </c>
      <c r="B108" s="450" t="s">
        <v>193</v>
      </c>
      <c r="C108" s="450"/>
      <c r="D108" s="450"/>
      <c r="E108" s="450"/>
      <c r="F108" s="450"/>
      <c r="G108" s="450"/>
      <c r="H108" s="450"/>
      <c r="I108" s="450"/>
      <c r="J108" s="450"/>
      <c r="K108" s="450"/>
      <c r="L108" s="450"/>
      <c r="M108" s="450"/>
      <c r="N108" s="450"/>
      <c r="O108" s="450"/>
      <c r="P108" s="450"/>
      <c r="Q108" s="450"/>
      <c r="R108" s="450"/>
      <c r="S108" s="450"/>
      <c r="T108" s="515">
        <v>-33</v>
      </c>
      <c r="U108" s="452"/>
      <c r="V108" s="534"/>
      <c r="W108" s="533"/>
    </row>
    <row r="109" spans="1:24" s="431" customFormat="1" x14ac:dyDescent="0.3">
      <c r="A109" s="449" t="s">
        <v>216</v>
      </c>
      <c r="B109" s="450" t="s">
        <v>204</v>
      </c>
      <c r="C109" s="450"/>
      <c r="D109" s="450"/>
      <c r="E109" s="450"/>
      <c r="F109" s="450"/>
      <c r="G109" s="450"/>
      <c r="H109" s="450"/>
      <c r="I109" s="450"/>
      <c r="J109" s="450"/>
      <c r="K109" s="450"/>
      <c r="L109" s="450"/>
      <c r="M109" s="450"/>
      <c r="N109" s="450"/>
      <c r="O109" s="450"/>
      <c r="P109" s="450"/>
      <c r="Q109" s="450"/>
      <c r="R109" s="450"/>
      <c r="S109" s="450"/>
      <c r="T109" s="515">
        <v>-187</v>
      </c>
      <c r="U109" s="452"/>
      <c r="V109" s="430"/>
      <c r="W109" s="533"/>
    </row>
    <row r="110" spans="1:24" s="431" customFormat="1" x14ac:dyDescent="0.3">
      <c r="A110" s="535">
        <v>7</v>
      </c>
      <c r="B110" s="532" t="s">
        <v>313</v>
      </c>
      <c r="C110" s="532"/>
      <c r="D110" s="532"/>
      <c r="E110" s="532"/>
      <c r="F110" s="532"/>
      <c r="G110" s="450"/>
      <c r="H110" s="450"/>
      <c r="I110" s="450"/>
      <c r="J110" s="450"/>
      <c r="K110" s="450"/>
      <c r="L110" s="450"/>
      <c r="M110" s="450"/>
      <c r="N110" s="450"/>
      <c r="O110" s="450"/>
      <c r="P110" s="450"/>
      <c r="Q110" s="450"/>
      <c r="R110" s="450"/>
      <c r="S110" s="450"/>
      <c r="T110" s="515">
        <v>0</v>
      </c>
      <c r="U110" s="452"/>
      <c r="V110" s="430"/>
      <c r="W110" s="533"/>
    </row>
    <row r="111" spans="1:24" s="431" customFormat="1" x14ac:dyDescent="0.3">
      <c r="A111" s="449">
        <f t="shared" ref="A111:A117" si="0">+A110+1</f>
        <v>8</v>
      </c>
      <c r="B111" s="450" t="s">
        <v>35</v>
      </c>
      <c r="C111" s="450"/>
      <c r="D111" s="450"/>
      <c r="E111" s="450"/>
      <c r="F111" s="450"/>
      <c r="G111" s="450"/>
      <c r="H111" s="450"/>
      <c r="I111" s="450"/>
      <c r="J111" s="450"/>
      <c r="K111" s="450"/>
      <c r="L111" s="450"/>
      <c r="M111" s="450"/>
      <c r="N111" s="450"/>
      <c r="O111" s="450"/>
      <c r="P111" s="450"/>
      <c r="Q111" s="450"/>
      <c r="R111" s="450"/>
      <c r="S111" s="450"/>
      <c r="T111" s="515">
        <v>-25</v>
      </c>
      <c r="U111" s="452"/>
      <c r="V111" s="430"/>
    </row>
    <row r="112" spans="1:24" s="431" customFormat="1" x14ac:dyDescent="0.3">
      <c r="A112" s="449">
        <f t="shared" si="0"/>
        <v>9</v>
      </c>
      <c r="B112" s="450" t="s">
        <v>46</v>
      </c>
      <c r="C112" s="450"/>
      <c r="D112" s="450"/>
      <c r="E112" s="450"/>
      <c r="F112" s="450"/>
      <c r="G112" s="450"/>
      <c r="H112" s="450"/>
      <c r="I112" s="450"/>
      <c r="J112" s="450"/>
      <c r="K112" s="450"/>
      <c r="L112" s="450"/>
      <c r="M112" s="450"/>
      <c r="N112" s="450"/>
      <c r="O112" s="450"/>
      <c r="P112" s="450"/>
      <c r="Q112" s="450"/>
      <c r="R112" s="514">
        <f>-T112</f>
        <v>347</v>
      </c>
      <c r="S112" s="450"/>
      <c r="T112" s="515">
        <v>-347</v>
      </c>
      <c r="U112" s="452"/>
      <c r="V112" s="430"/>
    </row>
    <row r="113" spans="1:22" s="431" customFormat="1" x14ac:dyDescent="0.3">
      <c r="A113" s="449">
        <f t="shared" si="0"/>
        <v>10</v>
      </c>
      <c r="B113" s="450" t="s">
        <v>131</v>
      </c>
      <c r="C113" s="450"/>
      <c r="D113" s="450"/>
      <c r="E113" s="450"/>
      <c r="F113" s="450"/>
      <c r="G113" s="450"/>
      <c r="H113" s="450"/>
      <c r="I113" s="450"/>
      <c r="J113" s="450"/>
      <c r="K113" s="450"/>
      <c r="L113" s="450"/>
      <c r="M113" s="450"/>
      <c r="N113" s="450"/>
      <c r="O113" s="450"/>
      <c r="P113" s="450"/>
      <c r="Q113" s="450"/>
      <c r="R113" s="450"/>
      <c r="S113" s="450"/>
      <c r="T113" s="515">
        <v>0</v>
      </c>
      <c r="U113" s="452"/>
      <c r="V113" s="430"/>
    </row>
    <row r="114" spans="1:22" s="431" customFormat="1" x14ac:dyDescent="0.3">
      <c r="A114" s="449">
        <f t="shared" si="0"/>
        <v>11</v>
      </c>
      <c r="B114" s="450" t="s">
        <v>36</v>
      </c>
      <c r="C114" s="450"/>
      <c r="D114" s="450"/>
      <c r="E114" s="450"/>
      <c r="F114" s="450"/>
      <c r="G114" s="450"/>
      <c r="H114" s="450"/>
      <c r="I114" s="450"/>
      <c r="J114" s="450"/>
      <c r="K114" s="450"/>
      <c r="L114" s="450"/>
      <c r="M114" s="450"/>
      <c r="N114" s="450"/>
      <c r="O114" s="450"/>
      <c r="P114" s="450"/>
      <c r="Q114" s="450"/>
      <c r="R114" s="450"/>
      <c r="S114" s="450"/>
      <c r="T114" s="515">
        <v>0</v>
      </c>
      <c r="U114" s="452"/>
      <c r="V114" s="430"/>
    </row>
    <row r="115" spans="1:22" s="431" customFormat="1" x14ac:dyDescent="0.3">
      <c r="A115" s="449">
        <f t="shared" si="0"/>
        <v>12</v>
      </c>
      <c r="B115" s="450" t="s">
        <v>37</v>
      </c>
      <c r="C115" s="450"/>
      <c r="D115" s="450"/>
      <c r="E115" s="450"/>
      <c r="F115" s="450"/>
      <c r="G115" s="450"/>
      <c r="H115" s="450"/>
      <c r="I115" s="450"/>
      <c r="J115" s="450"/>
      <c r="K115" s="450"/>
      <c r="L115" s="450"/>
      <c r="M115" s="450"/>
      <c r="N115" s="450"/>
      <c r="O115" s="450"/>
      <c r="P115" s="450"/>
      <c r="Q115" s="450"/>
      <c r="R115" s="450"/>
      <c r="S115" s="450"/>
      <c r="T115" s="515">
        <v>0</v>
      </c>
      <c r="U115" s="452"/>
      <c r="V115" s="430"/>
    </row>
    <row r="116" spans="1:22" s="431" customFormat="1" x14ac:dyDescent="0.3">
      <c r="A116" s="449">
        <f t="shared" si="0"/>
        <v>13</v>
      </c>
      <c r="B116" s="450" t="s">
        <v>155</v>
      </c>
      <c r="C116" s="450"/>
      <c r="D116" s="450"/>
      <c r="E116" s="450"/>
      <c r="F116" s="450"/>
      <c r="G116" s="450"/>
      <c r="H116" s="450"/>
      <c r="I116" s="450"/>
      <c r="J116" s="450"/>
      <c r="K116" s="450"/>
      <c r="L116" s="450"/>
      <c r="M116" s="450"/>
      <c r="N116" s="450"/>
      <c r="O116" s="450"/>
      <c r="P116" s="450"/>
      <c r="Q116" s="450"/>
      <c r="R116" s="450"/>
      <c r="S116" s="450"/>
      <c r="T116" s="515">
        <v>-157</v>
      </c>
      <c r="U116" s="452"/>
      <c r="V116" s="430"/>
    </row>
    <row r="117" spans="1:22" s="431" customFormat="1" x14ac:dyDescent="0.3">
      <c r="A117" s="449">
        <f t="shared" si="0"/>
        <v>14</v>
      </c>
      <c r="B117" s="450" t="s">
        <v>132</v>
      </c>
      <c r="C117" s="450"/>
      <c r="D117" s="450"/>
      <c r="E117" s="450"/>
      <c r="F117" s="450"/>
      <c r="G117" s="450"/>
      <c r="H117" s="450"/>
      <c r="I117" s="450"/>
      <c r="J117" s="450"/>
      <c r="K117" s="450"/>
      <c r="L117" s="450"/>
      <c r="M117" s="450"/>
      <c r="N117" s="450"/>
      <c r="O117" s="450"/>
      <c r="P117" s="450"/>
      <c r="Q117" s="450"/>
      <c r="R117" s="450"/>
      <c r="S117" s="450"/>
      <c r="T117" s="515">
        <f>-T99-SUM(T101:T116)</f>
        <v>-1375</v>
      </c>
      <c r="U117" s="452"/>
      <c r="V117" s="430"/>
    </row>
    <row r="118" spans="1:22" x14ac:dyDescent="0.3">
      <c r="A118" s="468"/>
      <c r="B118" s="529" t="s">
        <v>38</v>
      </c>
      <c r="C118" s="470"/>
      <c r="D118" s="470"/>
      <c r="E118" s="470"/>
      <c r="F118" s="470"/>
      <c r="G118" s="470"/>
      <c r="H118" s="470"/>
      <c r="I118" s="470"/>
      <c r="J118" s="470"/>
      <c r="K118" s="470"/>
      <c r="L118" s="470"/>
      <c r="M118" s="470"/>
      <c r="N118" s="470"/>
      <c r="O118" s="470"/>
      <c r="P118" s="470"/>
      <c r="Q118" s="470"/>
      <c r="R118" s="470"/>
      <c r="S118" s="470"/>
      <c r="T118" s="536"/>
      <c r="U118" s="476"/>
      <c r="V118" s="416"/>
    </row>
    <row r="119" spans="1:22" s="431" customFormat="1" x14ac:dyDescent="0.3">
      <c r="A119" s="449"/>
      <c r="B119" s="450" t="s">
        <v>180</v>
      </c>
      <c r="C119" s="450"/>
      <c r="D119" s="450"/>
      <c r="E119" s="450"/>
      <c r="F119" s="450"/>
      <c r="G119" s="450"/>
      <c r="H119" s="450"/>
      <c r="I119" s="450"/>
      <c r="J119" s="450"/>
      <c r="K119" s="450"/>
      <c r="L119" s="450"/>
      <c r="M119" s="450"/>
      <c r="N119" s="450"/>
      <c r="O119" s="450"/>
      <c r="P119" s="450"/>
      <c r="Q119" s="450"/>
      <c r="R119" s="514">
        <f>-R177</f>
        <v>0</v>
      </c>
      <c r="S119" s="514"/>
      <c r="T119" s="515"/>
      <c r="U119" s="452"/>
      <c r="V119" s="430"/>
    </row>
    <row r="120" spans="1:22" s="431" customFormat="1" x14ac:dyDescent="0.3">
      <c r="A120" s="449"/>
      <c r="B120" s="450" t="s">
        <v>181</v>
      </c>
      <c r="C120" s="450"/>
      <c r="D120" s="450"/>
      <c r="E120" s="450"/>
      <c r="F120" s="450"/>
      <c r="G120" s="450"/>
      <c r="H120" s="450"/>
      <c r="I120" s="450"/>
      <c r="J120" s="450"/>
      <c r="K120" s="450"/>
      <c r="L120" s="450"/>
      <c r="M120" s="450"/>
      <c r="N120" s="450"/>
      <c r="O120" s="450"/>
      <c r="P120" s="450"/>
      <c r="Q120" s="450"/>
      <c r="R120" s="514">
        <v>0</v>
      </c>
      <c r="S120" s="514"/>
      <c r="T120" s="515"/>
      <c r="U120" s="452"/>
      <c r="V120" s="430"/>
    </row>
    <row r="121" spans="1:22" s="431" customFormat="1" x14ac:dyDescent="0.3">
      <c r="A121" s="449"/>
      <c r="B121" s="450" t="s">
        <v>39</v>
      </c>
      <c r="C121" s="450"/>
      <c r="D121" s="450"/>
      <c r="E121" s="450"/>
      <c r="F121" s="450"/>
      <c r="G121" s="450"/>
      <c r="H121" s="450"/>
      <c r="I121" s="450"/>
      <c r="J121" s="450"/>
      <c r="K121" s="450"/>
      <c r="L121" s="450"/>
      <c r="M121" s="450"/>
      <c r="N121" s="450"/>
      <c r="O121" s="450"/>
      <c r="P121" s="450"/>
      <c r="Q121" s="450"/>
      <c r="R121" s="514">
        <f>-Q177</f>
        <v>0</v>
      </c>
      <c r="S121" s="514"/>
      <c r="T121" s="515"/>
      <c r="U121" s="452"/>
      <c r="V121" s="430"/>
    </row>
    <row r="122" spans="1:22" s="431" customFormat="1" x14ac:dyDescent="0.3">
      <c r="A122" s="449"/>
      <c r="B122" s="450" t="s">
        <v>372</v>
      </c>
      <c r="C122" s="450"/>
      <c r="D122" s="450"/>
      <c r="E122" s="450"/>
      <c r="F122" s="450"/>
      <c r="G122" s="450"/>
      <c r="H122" s="450"/>
      <c r="I122" s="450"/>
      <c r="J122" s="450"/>
      <c r="K122" s="450"/>
      <c r="L122" s="450"/>
      <c r="M122" s="450"/>
      <c r="N122" s="450"/>
      <c r="O122" s="450"/>
      <c r="P122" s="450"/>
      <c r="Q122" s="450"/>
      <c r="R122" s="514">
        <v>-3042</v>
      </c>
      <c r="S122" s="514"/>
      <c r="T122" s="515"/>
      <c r="U122" s="452"/>
      <c r="V122" s="430"/>
    </row>
    <row r="123" spans="1:22" s="431" customFormat="1" x14ac:dyDescent="0.3">
      <c r="A123" s="449"/>
      <c r="B123" s="450" t="s">
        <v>203</v>
      </c>
      <c r="C123" s="450"/>
      <c r="D123" s="450"/>
      <c r="E123" s="450"/>
      <c r="F123" s="450"/>
      <c r="G123" s="450"/>
      <c r="H123" s="450"/>
      <c r="I123" s="450"/>
      <c r="J123" s="450"/>
      <c r="K123" s="450"/>
      <c r="L123" s="450"/>
      <c r="M123" s="450"/>
      <c r="N123" s="450"/>
      <c r="O123" s="450"/>
      <c r="P123" s="450"/>
      <c r="Q123" s="450"/>
      <c r="R123" s="514">
        <v>-802</v>
      </c>
      <c r="S123" s="514"/>
      <c r="T123" s="515"/>
      <c r="U123" s="452"/>
      <c r="V123" s="430"/>
    </row>
    <row r="124" spans="1:22" s="431" customFormat="1" x14ac:dyDescent="0.3">
      <c r="A124" s="449"/>
      <c r="B124" s="450" t="s">
        <v>202</v>
      </c>
      <c r="C124" s="450"/>
      <c r="D124" s="450"/>
      <c r="E124" s="450"/>
      <c r="F124" s="450"/>
      <c r="G124" s="450"/>
      <c r="H124" s="450"/>
      <c r="I124" s="450"/>
      <c r="J124" s="450"/>
      <c r="K124" s="450"/>
      <c r="L124" s="450"/>
      <c r="M124" s="450"/>
      <c r="N124" s="450"/>
      <c r="O124" s="450"/>
      <c r="P124" s="450"/>
      <c r="Q124" s="450"/>
      <c r="R124" s="514">
        <v>-808</v>
      </c>
      <c r="S124" s="514"/>
      <c r="T124" s="515"/>
      <c r="U124" s="452"/>
      <c r="V124" s="430"/>
    </row>
    <row r="125" spans="1:22" s="431" customFormat="1" x14ac:dyDescent="0.3">
      <c r="A125" s="449"/>
      <c r="B125" s="450" t="s">
        <v>197</v>
      </c>
      <c r="C125" s="450"/>
      <c r="D125" s="450"/>
      <c r="E125" s="450"/>
      <c r="F125" s="450"/>
      <c r="G125" s="450"/>
      <c r="H125" s="450"/>
      <c r="I125" s="450"/>
      <c r="J125" s="450"/>
      <c r="K125" s="450"/>
      <c r="L125" s="450"/>
      <c r="M125" s="450"/>
      <c r="N125" s="450"/>
      <c r="O125" s="450"/>
      <c r="P125" s="450"/>
      <c r="Q125" s="450"/>
      <c r="R125" s="514">
        <v>-203</v>
      </c>
      <c r="S125" s="514"/>
      <c r="T125" s="515"/>
      <c r="U125" s="452"/>
      <c r="V125" s="430"/>
    </row>
    <row r="126" spans="1:22" s="431" customFormat="1" x14ac:dyDescent="0.3">
      <c r="A126" s="449"/>
      <c r="B126" s="450" t="s">
        <v>196</v>
      </c>
      <c r="C126" s="450"/>
      <c r="D126" s="450"/>
      <c r="E126" s="450"/>
      <c r="F126" s="450"/>
      <c r="G126" s="450"/>
      <c r="H126" s="450"/>
      <c r="I126" s="450"/>
      <c r="J126" s="450"/>
      <c r="K126" s="450"/>
      <c r="L126" s="450"/>
      <c r="M126" s="450"/>
      <c r="N126" s="450"/>
      <c r="O126" s="450"/>
      <c r="P126" s="450"/>
      <c r="Q126" s="450"/>
      <c r="R126" s="514">
        <v>-719</v>
      </c>
      <c r="S126" s="514"/>
      <c r="T126" s="515"/>
      <c r="U126" s="452"/>
      <c r="V126" s="430"/>
    </row>
    <row r="127" spans="1:22" s="431" customFormat="1" x14ac:dyDescent="0.3">
      <c r="A127" s="449"/>
      <c r="B127" s="450" t="s">
        <v>195</v>
      </c>
      <c r="C127" s="450"/>
      <c r="D127" s="450"/>
      <c r="E127" s="450"/>
      <c r="F127" s="450"/>
      <c r="G127" s="450"/>
      <c r="H127" s="450"/>
      <c r="I127" s="450"/>
      <c r="J127" s="450"/>
      <c r="K127" s="450"/>
      <c r="L127" s="450"/>
      <c r="M127" s="450"/>
      <c r="N127" s="450"/>
      <c r="O127" s="450"/>
      <c r="P127" s="450"/>
      <c r="Q127" s="450"/>
      <c r="R127" s="514">
        <v>-764</v>
      </c>
      <c r="S127" s="514"/>
      <c r="T127" s="515"/>
      <c r="U127" s="452"/>
      <c r="V127" s="430"/>
    </row>
    <row r="128" spans="1:22" s="431" customFormat="1" x14ac:dyDescent="0.3">
      <c r="A128" s="449"/>
      <c r="B128" s="450" t="s">
        <v>40</v>
      </c>
      <c r="C128" s="450"/>
      <c r="D128" s="450"/>
      <c r="E128" s="450"/>
      <c r="F128" s="450"/>
      <c r="G128" s="450"/>
      <c r="H128" s="450"/>
      <c r="I128" s="450"/>
      <c r="J128" s="450"/>
      <c r="K128" s="450"/>
      <c r="L128" s="450"/>
      <c r="M128" s="450"/>
      <c r="N128" s="450"/>
      <c r="O128" s="450"/>
      <c r="P128" s="450"/>
      <c r="Q128" s="450"/>
      <c r="R128" s="514">
        <f>SUM(R119:R127)</f>
        <v>-6338</v>
      </c>
      <c r="S128" s="514"/>
      <c r="T128" s="514">
        <f>SUM(T100:T126)</f>
        <v>-2973</v>
      </c>
      <c r="U128" s="452"/>
      <c r="V128" s="430"/>
    </row>
    <row r="129" spans="1:23" s="431" customFormat="1" x14ac:dyDescent="0.3">
      <c r="A129" s="449"/>
      <c r="B129" s="450" t="s">
        <v>41</v>
      </c>
      <c r="C129" s="450"/>
      <c r="D129" s="450"/>
      <c r="E129" s="450"/>
      <c r="F129" s="450"/>
      <c r="G129" s="450"/>
      <c r="H129" s="450"/>
      <c r="I129" s="450"/>
      <c r="J129" s="450"/>
      <c r="K129" s="450"/>
      <c r="L129" s="450"/>
      <c r="M129" s="450"/>
      <c r="N129" s="450"/>
      <c r="O129" s="450"/>
      <c r="P129" s="450"/>
      <c r="Q129" s="450"/>
      <c r="R129" s="514">
        <f>R99+R128+R112</f>
        <v>0</v>
      </c>
      <c r="S129" s="514"/>
      <c r="T129" s="514">
        <f>T99+T128</f>
        <v>0</v>
      </c>
      <c r="U129" s="452"/>
      <c r="V129" s="430"/>
    </row>
    <row r="130" spans="1:23" s="431" customFormat="1" x14ac:dyDescent="0.3">
      <c r="A130" s="432"/>
      <c r="B130" s="447"/>
      <c r="C130" s="447"/>
      <c r="D130" s="447"/>
      <c r="E130" s="447"/>
      <c r="F130" s="447"/>
      <c r="G130" s="447"/>
      <c r="H130" s="447"/>
      <c r="I130" s="447"/>
      <c r="J130" s="447"/>
      <c r="K130" s="447"/>
      <c r="L130" s="447"/>
      <c r="M130" s="447"/>
      <c r="N130" s="447"/>
      <c r="O130" s="447"/>
      <c r="P130" s="447"/>
      <c r="Q130" s="447"/>
      <c r="R130" s="525"/>
      <c r="S130" s="525"/>
      <c r="T130" s="525"/>
      <c r="U130" s="641"/>
      <c r="V130" s="430"/>
    </row>
    <row r="131" spans="1:23" s="431" customFormat="1" x14ac:dyDescent="0.3">
      <c r="A131" s="432"/>
      <c r="B131" s="433"/>
      <c r="C131" s="433"/>
      <c r="D131" s="433"/>
      <c r="E131" s="433"/>
      <c r="F131" s="433"/>
      <c r="G131" s="433"/>
      <c r="H131" s="433"/>
      <c r="I131" s="433"/>
      <c r="J131" s="433"/>
      <c r="K131" s="433"/>
      <c r="L131" s="433"/>
      <c r="M131" s="433"/>
      <c r="N131" s="433"/>
      <c r="O131" s="433"/>
      <c r="P131" s="433"/>
      <c r="Q131" s="433"/>
      <c r="R131" s="433"/>
      <c r="S131" s="433"/>
      <c r="T131" s="537"/>
      <c r="U131" s="641"/>
      <c r="V131" s="430"/>
    </row>
    <row r="132" spans="1:23" s="431" customFormat="1" ht="18.600000000000001" thickBot="1" x14ac:dyDescent="0.4">
      <c r="A132" s="500"/>
      <c r="B132" s="501" t="str">
        <f>B63</f>
        <v>PM11 INVESTOR REPORT QUARTER ENDING MARCH 2018</v>
      </c>
      <c r="C132" s="502"/>
      <c r="D132" s="502"/>
      <c r="E132" s="502"/>
      <c r="F132" s="502"/>
      <c r="G132" s="502"/>
      <c r="H132" s="502"/>
      <c r="I132" s="502"/>
      <c r="J132" s="502"/>
      <c r="K132" s="502"/>
      <c r="L132" s="502"/>
      <c r="M132" s="502"/>
      <c r="N132" s="502"/>
      <c r="O132" s="502"/>
      <c r="P132" s="502"/>
      <c r="Q132" s="502"/>
      <c r="R132" s="502"/>
      <c r="S132" s="502"/>
      <c r="T132" s="538"/>
      <c r="U132" s="504"/>
      <c r="V132" s="430"/>
    </row>
    <row r="133" spans="1:23" x14ac:dyDescent="0.3">
      <c r="A133" s="505"/>
      <c r="B133" s="506" t="s">
        <v>42</v>
      </c>
      <c r="C133" s="507"/>
      <c r="D133" s="507"/>
      <c r="E133" s="507"/>
      <c r="F133" s="507"/>
      <c r="G133" s="507"/>
      <c r="H133" s="507"/>
      <c r="I133" s="507"/>
      <c r="J133" s="507"/>
      <c r="K133" s="507"/>
      <c r="L133" s="507"/>
      <c r="M133" s="507"/>
      <c r="N133" s="507"/>
      <c r="O133" s="507"/>
      <c r="P133" s="507"/>
      <c r="Q133" s="507"/>
      <c r="R133" s="507"/>
      <c r="S133" s="507"/>
      <c r="T133" s="508"/>
      <c r="U133" s="509"/>
      <c r="V133" s="416"/>
    </row>
    <row r="134" spans="1:23" x14ac:dyDescent="0.3">
      <c r="A134" s="418"/>
      <c r="B134" s="539"/>
      <c r="C134" s="420"/>
      <c r="D134" s="420"/>
      <c r="E134" s="420"/>
      <c r="F134" s="420"/>
      <c r="G134" s="420"/>
      <c r="H134" s="420"/>
      <c r="I134" s="420"/>
      <c r="J134" s="420"/>
      <c r="K134" s="420"/>
      <c r="L134" s="420"/>
      <c r="M134" s="420"/>
      <c r="N134" s="420"/>
      <c r="O134" s="420"/>
      <c r="P134" s="420"/>
      <c r="Q134" s="420"/>
      <c r="R134" s="420"/>
      <c r="S134" s="420"/>
      <c r="T134" s="510"/>
      <c r="U134" s="639"/>
      <c r="V134" s="416"/>
    </row>
    <row r="135" spans="1:23" x14ac:dyDescent="0.3">
      <c r="A135" s="418"/>
      <c r="B135" s="540" t="s">
        <v>43</v>
      </c>
      <c r="C135" s="420"/>
      <c r="D135" s="420"/>
      <c r="E135" s="420"/>
      <c r="F135" s="420"/>
      <c r="G135" s="420"/>
      <c r="H135" s="420"/>
      <c r="I135" s="420"/>
      <c r="J135" s="420"/>
      <c r="K135" s="420"/>
      <c r="L135" s="420"/>
      <c r="M135" s="420"/>
      <c r="N135" s="420"/>
      <c r="O135" s="420"/>
      <c r="P135" s="420"/>
      <c r="Q135" s="420"/>
      <c r="R135" s="420"/>
      <c r="S135" s="420"/>
      <c r="T135" s="510"/>
      <c r="U135" s="639"/>
      <c r="V135" s="416"/>
    </row>
    <row r="136" spans="1:23" s="431" customFormat="1" x14ac:dyDescent="0.3">
      <c r="A136" s="449"/>
      <c r="B136" s="450" t="s">
        <v>44</v>
      </c>
      <c r="C136" s="450"/>
      <c r="D136" s="450"/>
      <c r="E136" s="450"/>
      <c r="F136" s="450"/>
      <c r="G136" s="450"/>
      <c r="H136" s="450"/>
      <c r="I136" s="450"/>
      <c r="J136" s="450"/>
      <c r="K136" s="450"/>
      <c r="L136" s="450"/>
      <c r="M136" s="450"/>
      <c r="N136" s="450"/>
      <c r="O136" s="450"/>
      <c r="P136" s="450"/>
      <c r="Q136" s="450"/>
      <c r="R136" s="450"/>
      <c r="S136" s="450"/>
      <c r="T136" s="515">
        <f>+T34*0.019</f>
        <v>19000.95</v>
      </c>
      <c r="U136" s="452"/>
      <c r="V136" s="430"/>
    </row>
    <row r="137" spans="1:23" s="431" customFormat="1" x14ac:dyDescent="0.3">
      <c r="A137" s="449"/>
      <c r="B137" s="450" t="s">
        <v>45</v>
      </c>
      <c r="C137" s="450"/>
      <c r="D137" s="450"/>
      <c r="E137" s="450"/>
      <c r="F137" s="450"/>
      <c r="G137" s="450"/>
      <c r="H137" s="450"/>
      <c r="I137" s="450"/>
      <c r="J137" s="450"/>
      <c r="K137" s="450"/>
      <c r="L137" s="450"/>
      <c r="M137" s="450"/>
      <c r="N137" s="450"/>
      <c r="O137" s="450"/>
      <c r="P137" s="450"/>
      <c r="Q137" s="450"/>
      <c r="R137" s="450"/>
      <c r="S137" s="450"/>
      <c r="T137" s="515">
        <v>19001</v>
      </c>
      <c r="U137" s="452"/>
      <c r="V137" s="430"/>
    </row>
    <row r="138" spans="1:23" s="431" customFormat="1" x14ac:dyDescent="0.3">
      <c r="A138" s="449"/>
      <c r="B138" s="450" t="s">
        <v>142</v>
      </c>
      <c r="C138" s="450"/>
      <c r="D138" s="450"/>
      <c r="E138" s="450"/>
      <c r="F138" s="450"/>
      <c r="G138" s="450"/>
      <c r="H138" s="450"/>
      <c r="I138" s="450"/>
      <c r="J138" s="450"/>
      <c r="K138" s="450"/>
      <c r="L138" s="450"/>
      <c r="M138" s="450"/>
      <c r="N138" s="450"/>
      <c r="O138" s="450"/>
      <c r="P138" s="450"/>
      <c r="Q138" s="450"/>
      <c r="R138" s="450"/>
      <c r="S138" s="450"/>
      <c r="T138" s="515">
        <v>0</v>
      </c>
      <c r="U138" s="452"/>
      <c r="V138" s="430"/>
    </row>
    <row r="139" spans="1:23" s="431" customFormat="1" x14ac:dyDescent="0.3">
      <c r="A139" s="449"/>
      <c r="B139" s="450" t="s">
        <v>129</v>
      </c>
      <c r="C139" s="450"/>
      <c r="D139" s="450"/>
      <c r="E139" s="450"/>
      <c r="F139" s="450"/>
      <c r="G139" s="450"/>
      <c r="H139" s="450"/>
      <c r="I139" s="450"/>
      <c r="J139" s="450"/>
      <c r="K139" s="450"/>
      <c r="L139" s="450"/>
      <c r="M139" s="450"/>
      <c r="N139" s="450"/>
      <c r="O139" s="450"/>
      <c r="P139" s="450"/>
      <c r="Q139" s="450"/>
      <c r="R139" s="450"/>
      <c r="S139" s="450"/>
      <c r="T139" s="515">
        <v>0</v>
      </c>
      <c r="U139" s="452"/>
      <c r="V139" s="430"/>
    </row>
    <row r="140" spans="1:23" s="431" customFormat="1" x14ac:dyDescent="0.3">
      <c r="A140" s="449"/>
      <c r="B140" s="450" t="s">
        <v>130</v>
      </c>
      <c r="C140" s="450"/>
      <c r="D140" s="450"/>
      <c r="E140" s="450"/>
      <c r="F140" s="450"/>
      <c r="G140" s="450"/>
      <c r="H140" s="450"/>
      <c r="I140" s="450"/>
      <c r="J140" s="450"/>
      <c r="K140" s="450"/>
      <c r="L140" s="450"/>
      <c r="M140" s="450"/>
      <c r="N140" s="450"/>
      <c r="O140" s="450"/>
      <c r="P140" s="450"/>
      <c r="Q140" s="450"/>
      <c r="R140" s="450"/>
      <c r="S140" s="450"/>
      <c r="T140" s="515">
        <v>0</v>
      </c>
      <c r="U140" s="452"/>
      <c r="V140" s="430"/>
    </row>
    <row r="141" spans="1:23" s="431" customFormat="1" x14ac:dyDescent="0.3">
      <c r="A141" s="449"/>
      <c r="B141" s="450" t="s">
        <v>182</v>
      </c>
      <c r="C141" s="450"/>
      <c r="D141" s="450"/>
      <c r="E141" s="450"/>
      <c r="F141" s="450"/>
      <c r="G141" s="450"/>
      <c r="H141" s="450"/>
      <c r="I141" s="450"/>
      <c r="J141" s="450"/>
      <c r="K141" s="450"/>
      <c r="L141" s="450"/>
      <c r="M141" s="450"/>
      <c r="N141" s="450"/>
      <c r="O141" s="450"/>
      <c r="P141" s="450"/>
      <c r="Q141" s="450"/>
      <c r="R141" s="450"/>
      <c r="S141" s="450"/>
      <c r="T141" s="515">
        <v>0</v>
      </c>
      <c r="U141" s="452"/>
      <c r="V141" s="430"/>
    </row>
    <row r="142" spans="1:23" s="431" customFormat="1" x14ac:dyDescent="0.3">
      <c r="A142" s="449"/>
      <c r="B142" s="450" t="s">
        <v>46</v>
      </c>
      <c r="C142" s="450"/>
      <c r="D142" s="450"/>
      <c r="E142" s="450"/>
      <c r="F142" s="450"/>
      <c r="G142" s="450"/>
      <c r="H142" s="450"/>
      <c r="I142" s="450"/>
      <c r="J142" s="450"/>
      <c r="K142" s="450"/>
      <c r="L142" s="450"/>
      <c r="M142" s="450"/>
      <c r="N142" s="450"/>
      <c r="O142" s="450"/>
      <c r="P142" s="450"/>
      <c r="Q142" s="450"/>
      <c r="R142" s="450"/>
      <c r="S142" s="450"/>
      <c r="T142" s="515">
        <v>0</v>
      </c>
      <c r="U142" s="452"/>
      <c r="V142" s="430"/>
    </row>
    <row r="143" spans="1:23" s="431" customFormat="1" x14ac:dyDescent="0.3">
      <c r="A143" s="449"/>
      <c r="B143" s="450" t="s">
        <v>135</v>
      </c>
      <c r="C143" s="450"/>
      <c r="D143" s="450"/>
      <c r="E143" s="450"/>
      <c r="F143" s="450"/>
      <c r="G143" s="450"/>
      <c r="H143" s="450"/>
      <c r="I143" s="450"/>
      <c r="J143" s="450"/>
      <c r="K143" s="450"/>
      <c r="L143" s="450"/>
      <c r="M143" s="450"/>
      <c r="N143" s="450"/>
      <c r="O143" s="450"/>
      <c r="P143" s="450"/>
      <c r="Q143" s="450"/>
      <c r="R143" s="450"/>
      <c r="S143" s="450"/>
      <c r="T143" s="515">
        <v>0</v>
      </c>
      <c r="U143" s="452"/>
      <c r="V143" s="430"/>
    </row>
    <row r="144" spans="1:23" s="431" customFormat="1" x14ac:dyDescent="0.3">
      <c r="A144" s="449"/>
      <c r="B144" s="450" t="s">
        <v>251</v>
      </c>
      <c r="C144" s="450"/>
      <c r="D144" s="450"/>
      <c r="E144" s="450"/>
      <c r="F144" s="450"/>
      <c r="G144" s="450"/>
      <c r="H144" s="450"/>
      <c r="I144" s="450"/>
      <c r="J144" s="450"/>
      <c r="K144" s="450"/>
      <c r="L144" s="450"/>
      <c r="M144" s="450"/>
      <c r="N144" s="450"/>
      <c r="O144" s="450"/>
      <c r="P144" s="450"/>
      <c r="Q144" s="450"/>
      <c r="R144" s="450"/>
      <c r="S144" s="450"/>
      <c r="T144" s="515">
        <v>0</v>
      </c>
      <c r="U144" s="452"/>
      <c r="V144" s="430"/>
      <c r="W144" s="533"/>
    </row>
    <row r="145" spans="1:22" s="431" customFormat="1" x14ac:dyDescent="0.3">
      <c r="A145" s="449"/>
      <c r="B145" s="450" t="s">
        <v>47</v>
      </c>
      <c r="C145" s="450"/>
      <c r="D145" s="450"/>
      <c r="E145" s="450"/>
      <c r="F145" s="450"/>
      <c r="G145" s="450"/>
      <c r="H145" s="450"/>
      <c r="I145" s="450"/>
      <c r="J145" s="450"/>
      <c r="K145" s="450"/>
      <c r="L145" s="450"/>
      <c r="M145" s="450"/>
      <c r="N145" s="450"/>
      <c r="O145" s="450"/>
      <c r="P145" s="450"/>
      <c r="Q145" s="450"/>
      <c r="R145" s="450"/>
      <c r="S145" s="450"/>
      <c r="T145" s="515">
        <f>SUM(T137:T144)</f>
        <v>19001</v>
      </c>
      <c r="U145" s="452"/>
      <c r="V145" s="430"/>
    </row>
    <row r="146" spans="1:22" x14ac:dyDescent="0.3">
      <c r="A146" s="468"/>
      <c r="B146" s="470"/>
      <c r="C146" s="470"/>
      <c r="D146" s="470"/>
      <c r="E146" s="470"/>
      <c r="F146" s="470"/>
      <c r="G146" s="470"/>
      <c r="H146" s="470"/>
      <c r="I146" s="470"/>
      <c r="J146" s="470"/>
      <c r="K146" s="470"/>
      <c r="L146" s="470"/>
      <c r="M146" s="470"/>
      <c r="N146" s="470"/>
      <c r="O146" s="470"/>
      <c r="P146" s="470"/>
      <c r="Q146" s="470"/>
      <c r="R146" s="470"/>
      <c r="S146" s="470"/>
      <c r="T146" s="531"/>
      <c r="U146" s="476"/>
      <c r="V146" s="416"/>
    </row>
    <row r="147" spans="1:22" x14ac:dyDescent="0.3">
      <c r="A147" s="468"/>
      <c r="B147" s="529" t="s">
        <v>262</v>
      </c>
      <c r="C147" s="470"/>
      <c r="D147" s="470"/>
      <c r="E147" s="470"/>
      <c r="F147" s="470"/>
      <c r="G147" s="470"/>
      <c r="H147" s="470"/>
      <c r="I147" s="470"/>
      <c r="J147" s="470"/>
      <c r="K147" s="470"/>
      <c r="L147" s="470"/>
      <c r="M147" s="470"/>
      <c r="N147" s="470"/>
      <c r="O147" s="470"/>
      <c r="P147" s="470"/>
      <c r="Q147" s="470"/>
      <c r="R147" s="470"/>
      <c r="S147" s="470"/>
      <c r="T147" s="531"/>
      <c r="U147" s="476"/>
      <c r="V147" s="416"/>
    </row>
    <row r="148" spans="1:22" s="431" customFormat="1" x14ac:dyDescent="0.3">
      <c r="A148" s="449"/>
      <c r="B148" s="450" t="s">
        <v>263</v>
      </c>
      <c r="C148" s="450"/>
      <c r="D148" s="450"/>
      <c r="E148" s="450"/>
      <c r="F148" s="450"/>
      <c r="G148" s="450"/>
      <c r="H148" s="450"/>
      <c r="I148" s="450"/>
      <c r="J148" s="450"/>
      <c r="K148" s="450"/>
      <c r="L148" s="450"/>
      <c r="M148" s="450"/>
      <c r="N148" s="450"/>
      <c r="O148" s="450"/>
      <c r="P148" s="450"/>
      <c r="Q148" s="450"/>
      <c r="R148" s="450"/>
      <c r="S148" s="450"/>
      <c r="T148" s="515">
        <v>0</v>
      </c>
      <c r="U148" s="452"/>
      <c r="V148" s="430"/>
    </row>
    <row r="149" spans="1:22" s="431" customFormat="1" x14ac:dyDescent="0.3">
      <c r="A149" s="449"/>
      <c r="B149" s="450" t="s">
        <v>179</v>
      </c>
      <c r="C149" s="450"/>
      <c r="D149" s="450"/>
      <c r="E149" s="450"/>
      <c r="F149" s="450"/>
      <c r="G149" s="450"/>
      <c r="H149" s="450"/>
      <c r="I149" s="450"/>
      <c r="J149" s="450"/>
      <c r="K149" s="450"/>
      <c r="L149" s="450"/>
      <c r="M149" s="450"/>
      <c r="N149" s="450"/>
      <c r="O149" s="450"/>
      <c r="P149" s="450"/>
      <c r="Q149" s="450"/>
      <c r="R149" s="450"/>
      <c r="S149" s="450"/>
      <c r="T149" s="515">
        <v>0</v>
      </c>
      <c r="U149" s="452"/>
      <c r="V149" s="430"/>
    </row>
    <row r="150" spans="1:22" s="431" customFormat="1" x14ac:dyDescent="0.3">
      <c r="A150" s="449"/>
      <c r="B150" s="450" t="s">
        <v>264</v>
      </c>
      <c r="C150" s="450"/>
      <c r="D150" s="450"/>
      <c r="E150" s="450"/>
      <c r="F150" s="450"/>
      <c r="G150" s="450"/>
      <c r="H150" s="450"/>
      <c r="I150" s="450"/>
      <c r="J150" s="450"/>
      <c r="K150" s="450"/>
      <c r="L150" s="450"/>
      <c r="M150" s="450"/>
      <c r="N150" s="450"/>
      <c r="O150" s="450"/>
      <c r="P150" s="450"/>
      <c r="Q150" s="450"/>
      <c r="R150" s="450"/>
      <c r="S150" s="450"/>
      <c r="T150" s="515">
        <v>0</v>
      </c>
      <c r="U150" s="452"/>
      <c r="V150" s="430"/>
    </row>
    <row r="151" spans="1:22" x14ac:dyDescent="0.3">
      <c r="A151" s="468"/>
      <c r="B151" s="541"/>
      <c r="C151" s="541"/>
      <c r="D151" s="541"/>
      <c r="E151" s="541"/>
      <c r="F151" s="541"/>
      <c r="G151" s="541"/>
      <c r="H151" s="541"/>
      <c r="I151" s="541"/>
      <c r="J151" s="541"/>
      <c r="K151" s="541"/>
      <c r="L151" s="541"/>
      <c r="M151" s="541"/>
      <c r="N151" s="541"/>
      <c r="O151" s="541"/>
      <c r="P151" s="541"/>
      <c r="Q151" s="541"/>
      <c r="R151" s="541"/>
      <c r="S151" s="541"/>
      <c r="T151" s="542"/>
      <c r="U151" s="543"/>
      <c r="V151" s="416"/>
    </row>
    <row r="152" spans="1:22" x14ac:dyDescent="0.3">
      <c r="A152" s="418"/>
      <c r="B152" s="516"/>
      <c r="C152" s="516"/>
      <c r="D152" s="516"/>
      <c r="E152" s="516"/>
      <c r="F152" s="516"/>
      <c r="G152" s="516"/>
      <c r="H152" s="516"/>
      <c r="I152" s="516"/>
      <c r="J152" s="516"/>
      <c r="K152" s="516"/>
      <c r="L152" s="516"/>
      <c r="M152" s="516"/>
      <c r="N152" s="516"/>
      <c r="O152" s="516"/>
      <c r="P152" s="516"/>
      <c r="Q152" s="516"/>
      <c r="R152" s="516"/>
      <c r="S152" s="516"/>
      <c r="T152" s="544"/>
      <c r="U152" s="639"/>
      <c r="V152" s="416"/>
    </row>
    <row r="153" spans="1:22" x14ac:dyDescent="0.3">
      <c r="A153" s="418"/>
      <c r="B153" s="540" t="s">
        <v>24</v>
      </c>
      <c r="C153" s="420"/>
      <c r="D153" s="420"/>
      <c r="E153" s="420"/>
      <c r="F153" s="420"/>
      <c r="G153" s="420"/>
      <c r="H153" s="420"/>
      <c r="I153" s="420"/>
      <c r="J153" s="420"/>
      <c r="K153" s="420"/>
      <c r="L153" s="420"/>
      <c r="M153" s="420"/>
      <c r="N153" s="420"/>
      <c r="O153" s="420"/>
      <c r="P153" s="420"/>
      <c r="Q153" s="420"/>
      <c r="R153" s="420"/>
      <c r="S153" s="420"/>
      <c r="T153" s="510"/>
      <c r="U153" s="639"/>
      <c r="V153" s="416"/>
    </row>
    <row r="154" spans="1:22" s="431" customFormat="1" x14ac:dyDescent="0.3">
      <c r="A154" s="449"/>
      <c r="B154" s="450" t="s">
        <v>48</v>
      </c>
      <c r="C154" s="450"/>
      <c r="D154" s="450"/>
      <c r="E154" s="450"/>
      <c r="F154" s="450"/>
      <c r="G154" s="450"/>
      <c r="H154" s="450"/>
      <c r="I154" s="450"/>
      <c r="J154" s="450"/>
      <c r="K154" s="450"/>
      <c r="L154" s="450"/>
      <c r="M154" s="450"/>
      <c r="N154" s="450"/>
      <c r="O154" s="450"/>
      <c r="P154" s="450"/>
      <c r="Q154" s="450"/>
      <c r="R154" s="450"/>
      <c r="S154" s="450"/>
      <c r="T154" s="545" t="s">
        <v>124</v>
      </c>
      <c r="U154" s="452"/>
      <c r="V154" s="430"/>
    </row>
    <row r="155" spans="1:22" s="431" customFormat="1" x14ac:dyDescent="0.3">
      <c r="A155" s="449"/>
      <c r="B155" s="450" t="s">
        <v>49</v>
      </c>
      <c r="C155" s="450"/>
      <c r="D155" s="450"/>
      <c r="E155" s="450"/>
      <c r="F155" s="450"/>
      <c r="G155" s="450"/>
      <c r="H155" s="450"/>
      <c r="I155" s="450"/>
      <c r="J155" s="450"/>
      <c r="K155" s="450"/>
      <c r="L155" s="450"/>
      <c r="M155" s="450"/>
      <c r="N155" s="450"/>
      <c r="O155" s="450"/>
      <c r="P155" s="450"/>
      <c r="Q155" s="450"/>
      <c r="R155" s="450"/>
      <c r="S155" s="450"/>
      <c r="T155" s="545" t="s">
        <v>124</v>
      </c>
      <c r="U155" s="452"/>
      <c r="V155" s="430"/>
    </row>
    <row r="156" spans="1:22" s="431" customFormat="1" x14ac:dyDescent="0.3">
      <c r="A156" s="449"/>
      <c r="B156" s="450" t="s">
        <v>50</v>
      </c>
      <c r="C156" s="450"/>
      <c r="D156" s="450"/>
      <c r="E156" s="450"/>
      <c r="F156" s="450"/>
      <c r="G156" s="450"/>
      <c r="H156" s="450"/>
      <c r="I156" s="450"/>
      <c r="J156" s="450"/>
      <c r="K156" s="450"/>
      <c r="L156" s="450"/>
      <c r="M156" s="450"/>
      <c r="N156" s="450"/>
      <c r="O156" s="450"/>
      <c r="P156" s="450"/>
      <c r="Q156" s="450"/>
      <c r="R156" s="450"/>
      <c r="S156" s="450"/>
      <c r="T156" s="545" t="s">
        <v>124</v>
      </c>
      <c r="U156" s="452"/>
      <c r="V156" s="430"/>
    </row>
    <row r="157" spans="1:22" s="431" customFormat="1" x14ac:dyDescent="0.3">
      <c r="A157" s="449"/>
      <c r="B157" s="450" t="s">
        <v>51</v>
      </c>
      <c r="C157" s="450"/>
      <c r="D157" s="450"/>
      <c r="E157" s="450"/>
      <c r="F157" s="450"/>
      <c r="G157" s="450"/>
      <c r="H157" s="450"/>
      <c r="I157" s="450"/>
      <c r="J157" s="450"/>
      <c r="K157" s="450"/>
      <c r="L157" s="450"/>
      <c r="M157" s="450"/>
      <c r="N157" s="450"/>
      <c r="O157" s="450"/>
      <c r="P157" s="450"/>
      <c r="Q157" s="450"/>
      <c r="R157" s="450"/>
      <c r="S157" s="450"/>
      <c r="T157" s="545" t="s">
        <v>124</v>
      </c>
      <c r="U157" s="452"/>
      <c r="V157" s="430"/>
    </row>
    <row r="158" spans="1:22" x14ac:dyDescent="0.3">
      <c r="A158" s="418"/>
      <c r="B158" s="516"/>
      <c r="C158" s="516"/>
      <c r="D158" s="516"/>
      <c r="E158" s="516"/>
      <c r="F158" s="516"/>
      <c r="G158" s="516"/>
      <c r="H158" s="516"/>
      <c r="I158" s="516"/>
      <c r="J158" s="516"/>
      <c r="K158" s="516"/>
      <c r="L158" s="516"/>
      <c r="M158" s="516"/>
      <c r="N158" s="516"/>
      <c r="O158" s="516"/>
      <c r="P158" s="516"/>
      <c r="Q158" s="516"/>
      <c r="R158" s="516"/>
      <c r="S158" s="516"/>
      <c r="T158" s="544"/>
      <c r="U158" s="639"/>
      <c r="V158" s="416"/>
    </row>
    <row r="159" spans="1:22" x14ac:dyDescent="0.3">
      <c r="A159" s="418"/>
      <c r="B159" s="540" t="s">
        <v>52</v>
      </c>
      <c r="C159" s="420"/>
      <c r="D159" s="420"/>
      <c r="E159" s="420"/>
      <c r="F159" s="420"/>
      <c r="G159" s="420"/>
      <c r="H159" s="420"/>
      <c r="I159" s="420"/>
      <c r="J159" s="420"/>
      <c r="K159" s="420"/>
      <c r="L159" s="420"/>
      <c r="M159" s="420"/>
      <c r="N159" s="420"/>
      <c r="O159" s="420"/>
      <c r="P159" s="420"/>
      <c r="Q159" s="420"/>
      <c r="R159" s="420"/>
      <c r="S159" s="420"/>
      <c r="T159" s="546"/>
      <c r="U159" s="639"/>
      <c r="V159" s="416"/>
    </row>
    <row r="160" spans="1:22" s="431" customFormat="1" x14ac:dyDescent="0.3">
      <c r="A160" s="449"/>
      <c r="B160" s="450" t="s">
        <v>53</v>
      </c>
      <c r="C160" s="450"/>
      <c r="D160" s="450"/>
      <c r="E160" s="450"/>
      <c r="F160" s="450"/>
      <c r="G160" s="450"/>
      <c r="H160" s="450"/>
      <c r="I160" s="450"/>
      <c r="J160" s="450"/>
      <c r="K160" s="450"/>
      <c r="L160" s="450"/>
      <c r="M160" s="450"/>
      <c r="N160" s="450"/>
      <c r="O160" s="450"/>
      <c r="P160" s="450"/>
      <c r="Q160" s="450"/>
      <c r="R160" s="450"/>
      <c r="S160" s="450"/>
      <c r="T160" s="515">
        <v>0</v>
      </c>
      <c r="U160" s="452"/>
      <c r="V160" s="430"/>
    </row>
    <row r="161" spans="1:22" s="431" customFormat="1" x14ac:dyDescent="0.3">
      <c r="A161" s="449"/>
      <c r="B161" s="450" t="s">
        <v>54</v>
      </c>
      <c r="C161" s="450"/>
      <c r="D161" s="450"/>
      <c r="E161" s="450"/>
      <c r="F161" s="450"/>
      <c r="G161" s="450"/>
      <c r="H161" s="450"/>
      <c r="I161" s="450"/>
      <c r="J161" s="450"/>
      <c r="K161" s="450"/>
      <c r="L161" s="450"/>
      <c r="M161" s="450"/>
      <c r="N161" s="450"/>
      <c r="O161" s="450"/>
      <c r="P161" s="450"/>
      <c r="Q161" s="450"/>
      <c r="R161" s="450"/>
      <c r="S161" s="450"/>
      <c r="T161" s="515">
        <f>R112</f>
        <v>347</v>
      </c>
      <c r="U161" s="452"/>
      <c r="V161" s="430"/>
    </row>
    <row r="162" spans="1:22" s="431" customFormat="1" x14ac:dyDescent="0.3">
      <c r="A162" s="449"/>
      <c r="B162" s="450" t="s">
        <v>55</v>
      </c>
      <c r="C162" s="450"/>
      <c r="D162" s="450"/>
      <c r="E162" s="450"/>
      <c r="F162" s="450"/>
      <c r="G162" s="450"/>
      <c r="H162" s="450"/>
      <c r="I162" s="450"/>
      <c r="J162" s="450"/>
      <c r="K162" s="450"/>
      <c r="L162" s="450"/>
      <c r="M162" s="450"/>
      <c r="N162" s="450"/>
      <c r="O162" s="450"/>
      <c r="P162" s="450"/>
      <c r="Q162" s="450"/>
      <c r="R162" s="450"/>
      <c r="S162" s="450"/>
      <c r="T162" s="515">
        <f>T161+T160</f>
        <v>347</v>
      </c>
      <c r="U162" s="452"/>
      <c r="V162" s="430"/>
    </row>
    <row r="163" spans="1:22" s="431" customFormat="1" x14ac:dyDescent="0.3">
      <c r="A163" s="449"/>
      <c r="B163" s="450" t="s">
        <v>301</v>
      </c>
      <c r="C163" s="450"/>
      <c r="D163" s="450"/>
      <c r="E163" s="450"/>
      <c r="F163" s="450"/>
      <c r="G163" s="450"/>
      <c r="H163" s="450"/>
      <c r="I163" s="450"/>
      <c r="J163" s="450"/>
      <c r="K163" s="450"/>
      <c r="L163" s="450"/>
      <c r="M163" s="450"/>
      <c r="N163" s="450"/>
      <c r="O163" s="450"/>
      <c r="P163" s="450"/>
      <c r="Q163" s="450"/>
      <c r="R163" s="450"/>
      <c r="S163" s="450"/>
      <c r="T163" s="515">
        <f>T112</f>
        <v>-347</v>
      </c>
      <c r="U163" s="452"/>
      <c r="V163" s="430"/>
    </row>
    <row r="164" spans="1:22" s="431" customFormat="1" x14ac:dyDescent="0.3">
      <c r="A164" s="449"/>
      <c r="B164" s="450" t="s">
        <v>56</v>
      </c>
      <c r="C164" s="450"/>
      <c r="D164" s="450"/>
      <c r="E164" s="450"/>
      <c r="F164" s="450"/>
      <c r="G164" s="450"/>
      <c r="H164" s="450"/>
      <c r="I164" s="450"/>
      <c r="J164" s="450"/>
      <c r="K164" s="450"/>
      <c r="L164" s="450"/>
      <c r="M164" s="450"/>
      <c r="N164" s="450"/>
      <c r="O164" s="450"/>
      <c r="P164" s="450"/>
      <c r="Q164" s="450"/>
      <c r="R164" s="450"/>
      <c r="S164" s="450"/>
      <c r="T164" s="515">
        <f>T162+T163</f>
        <v>0</v>
      </c>
      <c r="U164" s="452"/>
      <c r="V164" s="430"/>
    </row>
    <row r="165" spans="1:22" s="431" customFormat="1" x14ac:dyDescent="0.3">
      <c r="A165" s="449"/>
      <c r="B165" s="450" t="s">
        <v>273</v>
      </c>
      <c r="C165" s="450"/>
      <c r="D165" s="450"/>
      <c r="E165" s="450"/>
      <c r="F165" s="450"/>
      <c r="G165" s="450"/>
      <c r="H165" s="450"/>
      <c r="I165" s="450"/>
      <c r="J165" s="450"/>
      <c r="K165" s="450"/>
      <c r="L165" s="450"/>
      <c r="M165" s="450"/>
      <c r="N165" s="450"/>
      <c r="O165" s="450"/>
      <c r="P165" s="450"/>
      <c r="Q165" s="450"/>
      <c r="R165" s="450"/>
      <c r="S165" s="450"/>
      <c r="T165" s="515">
        <v>0</v>
      </c>
      <c r="U165" s="452"/>
      <c r="V165" s="430"/>
    </row>
    <row r="166" spans="1:22" ht="16.2" thickBot="1" x14ac:dyDescent="0.35">
      <c r="A166" s="418"/>
      <c r="B166" s="516"/>
      <c r="C166" s="516"/>
      <c r="D166" s="516"/>
      <c r="E166" s="516"/>
      <c r="F166" s="516"/>
      <c r="G166" s="516"/>
      <c r="H166" s="516"/>
      <c r="I166" s="516"/>
      <c r="J166" s="516"/>
      <c r="K166" s="516"/>
      <c r="L166" s="516"/>
      <c r="M166" s="516"/>
      <c r="N166" s="516"/>
      <c r="O166" s="516"/>
      <c r="P166" s="516"/>
      <c r="Q166" s="516"/>
      <c r="R166" s="516"/>
      <c r="S166" s="516"/>
      <c r="T166" s="544"/>
      <c r="U166" s="639"/>
      <c r="V166" s="416"/>
    </row>
    <row r="167" spans="1:22" x14ac:dyDescent="0.3">
      <c r="A167" s="547"/>
      <c r="B167" s="415"/>
      <c r="C167" s="415"/>
      <c r="D167" s="415"/>
      <c r="E167" s="415"/>
      <c r="F167" s="415"/>
      <c r="G167" s="415"/>
      <c r="H167" s="415"/>
      <c r="I167" s="415"/>
      <c r="J167" s="415"/>
      <c r="K167" s="415"/>
      <c r="L167" s="415"/>
      <c r="M167" s="415"/>
      <c r="N167" s="415"/>
      <c r="O167" s="415"/>
      <c r="P167" s="415"/>
      <c r="Q167" s="415"/>
      <c r="R167" s="415"/>
      <c r="S167" s="415"/>
      <c r="T167" s="548"/>
      <c r="U167" s="638"/>
      <c r="V167" s="416"/>
    </row>
    <row r="168" spans="1:22" x14ac:dyDescent="0.3">
      <c r="A168" s="418"/>
      <c r="B168" s="540" t="s">
        <v>57</v>
      </c>
      <c r="C168" s="420"/>
      <c r="D168" s="420"/>
      <c r="E168" s="420"/>
      <c r="F168" s="420"/>
      <c r="G168" s="420"/>
      <c r="H168" s="420"/>
      <c r="I168" s="420"/>
      <c r="J168" s="420"/>
      <c r="K168" s="420"/>
      <c r="L168" s="420"/>
      <c r="M168" s="420"/>
      <c r="N168" s="420"/>
      <c r="O168" s="420"/>
      <c r="P168" s="420"/>
      <c r="Q168" s="420"/>
      <c r="R168" s="420"/>
      <c r="S168" s="420"/>
      <c r="T168" s="510"/>
      <c r="U168" s="639"/>
      <c r="V168" s="416"/>
    </row>
    <row r="169" spans="1:22" x14ac:dyDescent="0.3">
      <c r="A169" s="418"/>
      <c r="B169" s="540"/>
      <c r="C169" s="420"/>
      <c r="D169" s="420"/>
      <c r="E169" s="420"/>
      <c r="F169" s="420"/>
      <c r="G169" s="420"/>
      <c r="H169" s="420"/>
      <c r="I169" s="420"/>
      <c r="J169" s="420"/>
      <c r="K169" s="420"/>
      <c r="L169" s="420"/>
      <c r="M169" s="420"/>
      <c r="N169" s="420"/>
      <c r="O169" s="420"/>
      <c r="P169" s="420"/>
      <c r="Q169" s="420"/>
      <c r="R169" s="420"/>
      <c r="S169" s="420"/>
      <c r="T169" s="510"/>
      <c r="U169" s="639"/>
      <c r="V169" s="416"/>
    </row>
    <row r="170" spans="1:22" s="431" customFormat="1" x14ac:dyDescent="0.3">
      <c r="A170" s="449"/>
      <c r="B170" s="450" t="s">
        <v>58</v>
      </c>
      <c r="C170" s="450"/>
      <c r="D170" s="450"/>
      <c r="E170" s="450"/>
      <c r="F170" s="450"/>
      <c r="G170" s="450"/>
      <c r="H170" s="450"/>
      <c r="I170" s="450"/>
      <c r="J170" s="450"/>
      <c r="K170" s="450"/>
      <c r="L170" s="450"/>
      <c r="M170" s="450"/>
      <c r="N170" s="450"/>
      <c r="O170" s="450"/>
      <c r="P170" s="450"/>
      <c r="Q170" s="450"/>
      <c r="R170" s="450"/>
      <c r="S170" s="450"/>
      <c r="T170" s="515">
        <f>T70</f>
        <v>412275</v>
      </c>
      <c r="U170" s="452"/>
      <c r="V170" s="430"/>
    </row>
    <row r="171" spans="1:22" s="431" customFormat="1" x14ac:dyDescent="0.3">
      <c r="A171" s="449"/>
      <c r="B171" s="450" t="s">
        <v>59</v>
      </c>
      <c r="C171" s="450"/>
      <c r="D171" s="450"/>
      <c r="E171" s="450"/>
      <c r="F171" s="450"/>
      <c r="G171" s="450"/>
      <c r="H171" s="450"/>
      <c r="I171" s="450"/>
      <c r="J171" s="450"/>
      <c r="K171" s="450"/>
      <c r="L171" s="450"/>
      <c r="M171" s="450"/>
      <c r="N171" s="450"/>
      <c r="O171" s="450"/>
      <c r="P171" s="450"/>
      <c r="Q171" s="450"/>
      <c r="R171" s="450"/>
      <c r="S171" s="450"/>
      <c r="T171" s="515">
        <f>T83</f>
        <v>412275</v>
      </c>
      <c r="U171" s="452"/>
      <c r="V171" s="430"/>
    </row>
    <row r="172" spans="1:22" ht="16.2" thickBot="1" x14ac:dyDescent="0.35">
      <c r="A172" s="418"/>
      <c r="B172" s="516"/>
      <c r="C172" s="516"/>
      <c r="D172" s="516"/>
      <c r="E172" s="516"/>
      <c r="F172" s="516"/>
      <c r="G172" s="516"/>
      <c r="H172" s="516"/>
      <c r="I172" s="516"/>
      <c r="J172" s="516"/>
      <c r="K172" s="516"/>
      <c r="L172" s="516"/>
      <c r="M172" s="516"/>
      <c r="N172" s="516"/>
      <c r="O172" s="516"/>
      <c r="P172" s="516"/>
      <c r="Q172" s="516"/>
      <c r="R172" s="516"/>
      <c r="S172" s="516"/>
      <c r="T172" s="544"/>
      <c r="U172" s="639"/>
      <c r="V172" s="416"/>
    </row>
    <row r="173" spans="1:22" x14ac:dyDescent="0.3">
      <c r="A173" s="547"/>
      <c r="B173" s="415"/>
      <c r="C173" s="415"/>
      <c r="D173" s="415"/>
      <c r="E173" s="415"/>
      <c r="F173" s="415"/>
      <c r="G173" s="415"/>
      <c r="H173" s="415"/>
      <c r="I173" s="415"/>
      <c r="J173" s="415"/>
      <c r="K173" s="415"/>
      <c r="L173" s="415"/>
      <c r="M173" s="415"/>
      <c r="N173" s="415"/>
      <c r="O173" s="415"/>
      <c r="P173" s="415"/>
      <c r="Q173" s="415"/>
      <c r="R173" s="415"/>
      <c r="S173" s="415"/>
      <c r="T173" s="548"/>
      <c r="U173" s="638"/>
      <c r="V173" s="416"/>
    </row>
    <row r="174" spans="1:22" x14ac:dyDescent="0.3">
      <c r="A174" s="418"/>
      <c r="B174" s="540" t="s">
        <v>60</v>
      </c>
      <c r="C174" s="549"/>
      <c r="D174" s="549"/>
      <c r="E174" s="549"/>
      <c r="F174" s="549"/>
      <c r="G174" s="549"/>
      <c r="H174" s="550"/>
      <c r="I174" s="550"/>
      <c r="J174" s="550"/>
      <c r="K174" s="550"/>
      <c r="L174" s="550"/>
      <c r="M174" s="550"/>
      <c r="N174" s="550"/>
      <c r="O174" s="550"/>
      <c r="P174" s="550"/>
      <c r="Q174" s="550" t="s">
        <v>104</v>
      </c>
      <c r="R174" s="550" t="s">
        <v>183</v>
      </c>
      <c r="S174" s="422"/>
      <c r="T174" s="551" t="s">
        <v>120</v>
      </c>
      <c r="U174" s="643"/>
      <c r="V174" s="416"/>
    </row>
    <row r="175" spans="1:22" s="431" customFormat="1" x14ac:dyDescent="0.3">
      <c r="A175" s="449"/>
      <c r="B175" s="450" t="s">
        <v>61</v>
      </c>
      <c r="C175" s="450"/>
      <c r="D175" s="450"/>
      <c r="E175" s="450"/>
      <c r="F175" s="450"/>
      <c r="G175" s="450"/>
      <c r="H175" s="450"/>
      <c r="I175" s="450"/>
      <c r="J175" s="450"/>
      <c r="K175" s="450"/>
      <c r="L175" s="450"/>
      <c r="M175" s="450"/>
      <c r="N175" s="450"/>
      <c r="O175" s="450"/>
      <c r="P175" s="450"/>
      <c r="Q175" s="515">
        <v>160008</v>
      </c>
      <c r="R175" s="486"/>
      <c r="S175" s="450"/>
      <c r="T175" s="515"/>
      <c r="U175" s="452"/>
      <c r="V175" s="430"/>
    </row>
    <row r="176" spans="1:22" s="431" customFormat="1" x14ac:dyDescent="0.3">
      <c r="A176" s="449"/>
      <c r="B176" s="450" t="s">
        <v>62</v>
      </c>
      <c r="C176" s="450"/>
      <c r="D176" s="450"/>
      <c r="E176" s="450"/>
      <c r="F176" s="450"/>
      <c r="G176" s="450"/>
      <c r="H176" s="450"/>
      <c r="I176" s="450"/>
      <c r="J176" s="450"/>
      <c r="K176" s="450"/>
      <c r="L176" s="450"/>
      <c r="M176" s="450"/>
      <c r="N176" s="450"/>
      <c r="O176" s="450"/>
      <c r="P176" s="450"/>
      <c r="Q176" s="515">
        <f>+'Dec 17'!Q178</f>
        <v>40806</v>
      </c>
      <c r="R176" s="515">
        <f>+'Dec 17'!R178</f>
        <v>3447</v>
      </c>
      <c r="S176" s="450"/>
      <c r="T176" s="515">
        <f>Q176+R176</f>
        <v>44253</v>
      </c>
      <c r="U176" s="452"/>
      <c r="V176" s="430"/>
    </row>
    <row r="177" spans="1:22" s="431" customFormat="1" x14ac:dyDescent="0.3">
      <c r="A177" s="449"/>
      <c r="B177" s="450" t="s">
        <v>63</v>
      </c>
      <c r="C177" s="450"/>
      <c r="D177" s="450"/>
      <c r="E177" s="450"/>
      <c r="F177" s="450"/>
      <c r="G177" s="450"/>
      <c r="H177" s="450"/>
      <c r="I177" s="450"/>
      <c r="J177" s="450"/>
      <c r="K177" s="450"/>
      <c r="L177" s="450"/>
      <c r="M177" s="450"/>
      <c r="N177" s="450"/>
      <c r="O177" s="450"/>
      <c r="P177" s="450"/>
      <c r="Q177" s="514">
        <v>0</v>
      </c>
      <c r="R177" s="514">
        <v>0</v>
      </c>
      <c r="S177" s="450"/>
      <c r="T177" s="515">
        <f>Q177+R177</f>
        <v>0</v>
      </c>
      <c r="U177" s="452"/>
      <c r="V177" s="430"/>
    </row>
    <row r="178" spans="1:22" s="431" customFormat="1" x14ac:dyDescent="0.3">
      <c r="A178" s="449"/>
      <c r="B178" s="450" t="s">
        <v>64</v>
      </c>
      <c r="C178" s="450"/>
      <c r="D178" s="450"/>
      <c r="E178" s="450"/>
      <c r="F178" s="450"/>
      <c r="G178" s="450"/>
      <c r="H178" s="450"/>
      <c r="I178" s="450"/>
      <c r="J178" s="450"/>
      <c r="K178" s="450"/>
      <c r="L178" s="450"/>
      <c r="M178" s="450"/>
      <c r="N178" s="450"/>
      <c r="O178" s="450"/>
      <c r="P178" s="450"/>
      <c r="Q178" s="515">
        <f>Q176+Q177</f>
        <v>40806</v>
      </c>
      <c r="R178" s="515">
        <f>R177+R176</f>
        <v>3447</v>
      </c>
      <c r="S178" s="450"/>
      <c r="T178" s="515">
        <f>Q178+R178</f>
        <v>44253</v>
      </c>
      <c r="U178" s="452"/>
      <c r="V178" s="430"/>
    </row>
    <row r="179" spans="1:22" s="431" customFormat="1" x14ac:dyDescent="0.3">
      <c r="A179" s="449"/>
      <c r="B179" s="450" t="s">
        <v>65</v>
      </c>
      <c r="C179" s="450"/>
      <c r="D179" s="450"/>
      <c r="E179" s="450"/>
      <c r="F179" s="450"/>
      <c r="G179" s="450"/>
      <c r="H179" s="450"/>
      <c r="I179" s="450"/>
      <c r="J179" s="450"/>
      <c r="K179" s="450"/>
      <c r="L179" s="450"/>
      <c r="M179" s="450"/>
      <c r="N179" s="450"/>
      <c r="O179" s="450"/>
      <c r="P179" s="450"/>
      <c r="Q179" s="515">
        <f>Q175-Q178-R178</f>
        <v>115755</v>
      </c>
      <c r="R179" s="486"/>
      <c r="S179" s="450"/>
      <c r="T179" s="515"/>
      <c r="U179" s="452"/>
      <c r="V179" s="430"/>
    </row>
    <row r="180" spans="1:22" ht="16.2" thickBot="1" x14ac:dyDescent="0.35">
      <c r="A180" s="418"/>
      <c r="B180" s="516"/>
      <c r="C180" s="516"/>
      <c r="D180" s="516"/>
      <c r="E180" s="516"/>
      <c r="F180" s="516"/>
      <c r="G180" s="516"/>
      <c r="H180" s="516"/>
      <c r="I180" s="516"/>
      <c r="J180" s="516"/>
      <c r="K180" s="516"/>
      <c r="L180" s="516"/>
      <c r="M180" s="516"/>
      <c r="N180" s="516"/>
      <c r="O180" s="516"/>
      <c r="P180" s="516"/>
      <c r="Q180" s="516"/>
      <c r="R180" s="516"/>
      <c r="S180" s="516"/>
      <c r="T180" s="544"/>
      <c r="U180" s="639"/>
      <c r="V180" s="416"/>
    </row>
    <row r="181" spans="1:22" x14ac:dyDescent="0.3">
      <c r="A181" s="547"/>
      <c r="B181" s="415"/>
      <c r="C181" s="415"/>
      <c r="D181" s="415"/>
      <c r="E181" s="415"/>
      <c r="F181" s="415"/>
      <c r="G181" s="415"/>
      <c r="H181" s="415"/>
      <c r="I181" s="415"/>
      <c r="J181" s="415"/>
      <c r="K181" s="415"/>
      <c r="L181" s="415"/>
      <c r="M181" s="415"/>
      <c r="N181" s="415"/>
      <c r="O181" s="415"/>
      <c r="P181" s="415"/>
      <c r="Q181" s="415"/>
      <c r="R181" s="415"/>
      <c r="S181" s="415"/>
      <c r="T181" s="548"/>
      <c r="U181" s="638"/>
      <c r="V181" s="416"/>
    </row>
    <row r="182" spans="1:22" x14ac:dyDescent="0.3">
      <c r="A182" s="418"/>
      <c r="B182" s="540" t="s">
        <v>66</v>
      </c>
      <c r="C182" s="420"/>
      <c r="D182" s="420"/>
      <c r="E182" s="420"/>
      <c r="F182" s="420"/>
      <c r="G182" s="420"/>
      <c r="H182" s="420"/>
      <c r="I182" s="420"/>
      <c r="J182" s="420"/>
      <c r="K182" s="420"/>
      <c r="L182" s="420"/>
      <c r="M182" s="420"/>
      <c r="N182" s="420"/>
      <c r="O182" s="420"/>
      <c r="P182" s="420"/>
      <c r="Q182" s="420"/>
      <c r="R182" s="420"/>
      <c r="S182" s="420"/>
      <c r="T182" s="552"/>
      <c r="U182" s="639"/>
      <c r="V182" s="416"/>
    </row>
    <row r="183" spans="1:22" s="431" customFormat="1" x14ac:dyDescent="0.3">
      <c r="A183" s="449"/>
      <c r="B183" s="450" t="s">
        <v>67</v>
      </c>
      <c r="C183" s="450"/>
      <c r="D183" s="450"/>
      <c r="E183" s="450"/>
      <c r="F183" s="450"/>
      <c r="G183" s="450"/>
      <c r="H183" s="450"/>
      <c r="I183" s="450"/>
      <c r="J183" s="450"/>
      <c r="K183" s="450"/>
      <c r="L183" s="450"/>
      <c r="M183" s="450"/>
      <c r="N183" s="450"/>
      <c r="O183" s="450"/>
      <c r="P183" s="450"/>
      <c r="Q183" s="450"/>
      <c r="R183" s="450"/>
      <c r="S183" s="450"/>
      <c r="T183" s="545">
        <f>(T99+T101+T102+T103+T104)/-(T105+T106)</f>
        <v>5.4280078895463513</v>
      </c>
      <c r="U183" s="452" t="s">
        <v>121</v>
      </c>
      <c r="V183" s="430"/>
    </row>
    <row r="184" spans="1:22" s="431" customFormat="1" x14ac:dyDescent="0.3">
      <c r="A184" s="449"/>
      <c r="B184" s="450" t="s">
        <v>68</v>
      </c>
      <c r="C184" s="450"/>
      <c r="D184" s="450"/>
      <c r="E184" s="450"/>
      <c r="F184" s="450"/>
      <c r="G184" s="450"/>
      <c r="H184" s="450"/>
      <c r="I184" s="450"/>
      <c r="J184" s="450"/>
      <c r="K184" s="450"/>
      <c r="L184" s="450"/>
      <c r="M184" s="450"/>
      <c r="N184" s="450"/>
      <c r="O184" s="450"/>
      <c r="P184" s="450"/>
      <c r="Q184" s="450"/>
      <c r="R184" s="450"/>
      <c r="S184" s="450"/>
      <c r="T184" s="553">
        <v>1.92</v>
      </c>
      <c r="U184" s="452" t="s">
        <v>121</v>
      </c>
      <c r="V184" s="430"/>
    </row>
    <row r="185" spans="1:22" s="431" customFormat="1" x14ac:dyDescent="0.3">
      <c r="A185" s="449"/>
      <c r="B185" s="450" t="s">
        <v>69</v>
      </c>
      <c r="C185" s="450"/>
      <c r="D185" s="450"/>
      <c r="E185" s="450"/>
      <c r="F185" s="450"/>
      <c r="G185" s="450"/>
      <c r="H185" s="450"/>
      <c r="I185" s="450"/>
      <c r="J185" s="450"/>
      <c r="K185" s="450"/>
      <c r="L185" s="450"/>
      <c r="M185" s="450"/>
      <c r="N185" s="450"/>
      <c r="O185" s="450"/>
      <c r="P185" s="450"/>
      <c r="Q185" s="450"/>
      <c r="R185" s="450"/>
      <c r="S185" s="450"/>
      <c r="T185" s="545">
        <f>(T99+T101+T102+T103+T104+T105+T106)/-(T107+T108)</f>
        <v>14.577922077922079</v>
      </c>
      <c r="U185" s="452" t="s">
        <v>121</v>
      </c>
      <c r="V185" s="430"/>
    </row>
    <row r="186" spans="1:22" s="431" customFormat="1" x14ac:dyDescent="0.3">
      <c r="A186" s="449"/>
      <c r="B186" s="450" t="s">
        <v>70</v>
      </c>
      <c r="C186" s="450"/>
      <c r="D186" s="450"/>
      <c r="E186" s="450"/>
      <c r="F186" s="450"/>
      <c r="G186" s="450"/>
      <c r="H186" s="450"/>
      <c r="I186" s="450"/>
      <c r="J186" s="450"/>
      <c r="K186" s="450"/>
      <c r="L186" s="450"/>
      <c r="M186" s="450"/>
      <c r="N186" s="450"/>
      <c r="O186" s="450"/>
      <c r="P186" s="450"/>
      <c r="Q186" s="450"/>
      <c r="R186" s="450"/>
      <c r="S186" s="450"/>
      <c r="T186" s="553">
        <v>7.08</v>
      </c>
      <c r="U186" s="452" t="s">
        <v>121</v>
      </c>
      <c r="V186" s="430"/>
    </row>
    <row r="187" spans="1:22" s="431" customFormat="1" x14ac:dyDescent="0.3">
      <c r="A187" s="449"/>
      <c r="B187" s="450" t="s">
        <v>206</v>
      </c>
      <c r="C187" s="450"/>
      <c r="D187" s="450"/>
      <c r="E187" s="450"/>
      <c r="F187" s="450"/>
      <c r="G187" s="450"/>
      <c r="H187" s="450"/>
      <c r="I187" s="450"/>
      <c r="J187" s="450"/>
      <c r="K187" s="450"/>
      <c r="L187" s="450"/>
      <c r="M187" s="450"/>
      <c r="N187" s="450"/>
      <c r="O187" s="450"/>
      <c r="P187" s="450"/>
      <c r="Q187" s="450"/>
      <c r="R187" s="450"/>
      <c r="S187" s="450"/>
      <c r="T187" s="545">
        <f>(T99+T101+T102+T103+T104+T105+T106+T107+T108)/-(T109)</f>
        <v>11.181818181818182</v>
      </c>
      <c r="U187" s="452" t="s">
        <v>121</v>
      </c>
      <c r="V187" s="430"/>
    </row>
    <row r="188" spans="1:22" s="431" customFormat="1" x14ac:dyDescent="0.3">
      <c r="A188" s="449"/>
      <c r="B188" s="450" t="s">
        <v>207</v>
      </c>
      <c r="C188" s="450"/>
      <c r="D188" s="450"/>
      <c r="E188" s="450"/>
      <c r="F188" s="450"/>
      <c r="G188" s="450"/>
      <c r="H188" s="450"/>
      <c r="I188" s="450"/>
      <c r="J188" s="450"/>
      <c r="K188" s="450"/>
      <c r="L188" s="450"/>
      <c r="M188" s="450"/>
      <c r="N188" s="450"/>
      <c r="O188" s="450"/>
      <c r="P188" s="450"/>
      <c r="Q188" s="450"/>
      <c r="R188" s="450"/>
      <c r="S188" s="450"/>
      <c r="T188" s="553">
        <v>6.29</v>
      </c>
      <c r="U188" s="452" t="s">
        <v>121</v>
      </c>
      <c r="V188" s="430"/>
    </row>
    <row r="189" spans="1:22" x14ac:dyDescent="0.3">
      <c r="A189" s="468"/>
      <c r="B189" s="470"/>
      <c r="C189" s="470"/>
      <c r="D189" s="470"/>
      <c r="E189" s="470"/>
      <c r="F189" s="470"/>
      <c r="G189" s="470"/>
      <c r="H189" s="470"/>
      <c r="I189" s="470"/>
      <c r="J189" s="470"/>
      <c r="K189" s="470"/>
      <c r="L189" s="470"/>
      <c r="M189" s="470"/>
      <c r="N189" s="470"/>
      <c r="O189" s="470"/>
      <c r="P189" s="470"/>
      <c r="Q189" s="470"/>
      <c r="R189" s="470"/>
      <c r="S189" s="470"/>
      <c r="T189" s="470"/>
      <c r="U189" s="476"/>
      <c r="V189" s="416"/>
    </row>
    <row r="190" spans="1:22" x14ac:dyDescent="0.3">
      <c r="A190" s="418"/>
      <c r="B190" s="516"/>
      <c r="C190" s="516"/>
      <c r="D190" s="516"/>
      <c r="E190" s="516"/>
      <c r="F190" s="516"/>
      <c r="G190" s="516"/>
      <c r="H190" s="516"/>
      <c r="I190" s="516"/>
      <c r="J190" s="516"/>
      <c r="K190" s="516"/>
      <c r="L190" s="516"/>
      <c r="M190" s="516"/>
      <c r="N190" s="516"/>
      <c r="O190" s="516"/>
      <c r="P190" s="516"/>
      <c r="Q190" s="516"/>
      <c r="R190" s="516"/>
      <c r="S190" s="516"/>
      <c r="T190" s="516"/>
      <c r="U190" s="639"/>
      <c r="V190" s="416"/>
    </row>
    <row r="191" spans="1:22" x14ac:dyDescent="0.3">
      <c r="A191" s="418"/>
      <c r="B191" s="420"/>
      <c r="C191" s="420"/>
      <c r="D191" s="420"/>
      <c r="E191" s="420"/>
      <c r="F191" s="420"/>
      <c r="G191" s="420"/>
      <c r="H191" s="420"/>
      <c r="I191" s="420"/>
      <c r="J191" s="420"/>
      <c r="K191" s="420"/>
      <c r="L191" s="420"/>
      <c r="M191" s="420"/>
      <c r="N191" s="420"/>
      <c r="O191" s="420"/>
      <c r="P191" s="420"/>
      <c r="Q191" s="420"/>
      <c r="R191" s="420"/>
      <c r="S191" s="420"/>
      <c r="T191" s="420"/>
      <c r="U191" s="639"/>
      <c r="V191" s="416"/>
    </row>
    <row r="192" spans="1:22" ht="18.600000000000001" thickBot="1" x14ac:dyDescent="0.4">
      <c r="A192" s="554"/>
      <c r="B192" s="501" t="str">
        <f>B132</f>
        <v>PM11 INVESTOR REPORT QUARTER ENDING MARCH 2018</v>
      </c>
      <c r="C192" s="555"/>
      <c r="D192" s="555"/>
      <c r="E192" s="555"/>
      <c r="F192" s="555"/>
      <c r="G192" s="555"/>
      <c r="H192" s="555"/>
      <c r="I192" s="555"/>
      <c r="J192" s="555"/>
      <c r="K192" s="555"/>
      <c r="L192" s="555"/>
      <c r="M192" s="555"/>
      <c r="N192" s="555"/>
      <c r="O192" s="555"/>
      <c r="P192" s="555"/>
      <c r="Q192" s="555"/>
      <c r="R192" s="555"/>
      <c r="S192" s="555"/>
      <c r="T192" s="555"/>
      <c r="U192" s="556"/>
      <c r="V192" s="416"/>
    </row>
    <row r="193" spans="1:22" x14ac:dyDescent="0.3">
      <c r="A193" s="505"/>
      <c r="B193" s="506" t="s">
        <v>71</v>
      </c>
      <c r="C193" s="627"/>
      <c r="D193" s="627"/>
      <c r="E193" s="627"/>
      <c r="F193" s="627"/>
      <c r="G193" s="628"/>
      <c r="H193" s="628"/>
      <c r="I193" s="628"/>
      <c r="J193" s="628"/>
      <c r="K193" s="628"/>
      <c r="L193" s="628"/>
      <c r="M193" s="628"/>
      <c r="N193" s="628"/>
      <c r="O193" s="628"/>
      <c r="P193" s="628"/>
      <c r="Q193" s="628"/>
      <c r="R193" s="629">
        <v>43188</v>
      </c>
      <c r="S193" s="507"/>
      <c r="T193" s="507"/>
      <c r="U193" s="509"/>
      <c r="V193" s="416"/>
    </row>
    <row r="194" spans="1:22" x14ac:dyDescent="0.3">
      <c r="A194" s="557"/>
      <c r="B194" s="558"/>
      <c r="C194" s="559"/>
      <c r="D194" s="559"/>
      <c r="E194" s="559"/>
      <c r="F194" s="559"/>
      <c r="G194" s="560"/>
      <c r="H194" s="560"/>
      <c r="I194" s="560"/>
      <c r="J194" s="560"/>
      <c r="K194" s="560"/>
      <c r="L194" s="560"/>
      <c r="M194" s="560"/>
      <c r="N194" s="560"/>
      <c r="O194" s="560"/>
      <c r="P194" s="560"/>
      <c r="Q194" s="560"/>
      <c r="R194" s="560"/>
      <c r="S194" s="420"/>
      <c r="T194" s="420"/>
      <c r="U194" s="639"/>
      <c r="V194" s="416"/>
    </row>
    <row r="195" spans="1:22" s="431" customFormat="1" x14ac:dyDescent="0.3">
      <c r="A195" s="449"/>
      <c r="B195" s="450" t="s">
        <v>72</v>
      </c>
      <c r="C195" s="561"/>
      <c r="D195" s="561"/>
      <c r="E195" s="561"/>
      <c r="F195" s="561"/>
      <c r="G195" s="490"/>
      <c r="H195" s="490"/>
      <c r="I195" s="490"/>
      <c r="J195" s="490"/>
      <c r="K195" s="490"/>
      <c r="L195" s="490"/>
      <c r="M195" s="490"/>
      <c r="N195" s="490"/>
      <c r="O195" s="490"/>
      <c r="P195" s="490"/>
      <c r="Q195" s="490"/>
      <c r="R195" s="483">
        <v>5.1569999999999998E-2</v>
      </c>
      <c r="S195" s="450"/>
      <c r="T195" s="450"/>
      <c r="U195" s="452"/>
      <c r="V195" s="430"/>
    </row>
    <row r="196" spans="1:22" s="431" customFormat="1" x14ac:dyDescent="0.3">
      <c r="A196" s="449"/>
      <c r="B196" s="450" t="s">
        <v>157</v>
      </c>
      <c r="C196" s="561"/>
      <c r="D196" s="561"/>
      <c r="E196" s="561"/>
      <c r="F196" s="561"/>
      <c r="G196" s="490"/>
      <c r="H196" s="490"/>
      <c r="I196" s="490"/>
      <c r="J196" s="490"/>
      <c r="K196" s="490"/>
      <c r="L196" s="490"/>
      <c r="M196" s="490"/>
      <c r="N196" s="490"/>
      <c r="O196" s="490"/>
      <c r="P196" s="490"/>
      <c r="Q196" s="490"/>
      <c r="R196" s="483">
        <v>4.6899999999999997E-2</v>
      </c>
      <c r="S196" s="450"/>
      <c r="T196" s="450"/>
      <c r="U196" s="452"/>
      <c r="V196" s="430"/>
    </row>
    <row r="197" spans="1:22" s="431" customFormat="1" x14ac:dyDescent="0.3">
      <c r="A197" s="449"/>
      <c r="B197" s="450" t="s">
        <v>73</v>
      </c>
      <c r="C197" s="561"/>
      <c r="D197" s="561"/>
      <c r="E197" s="561"/>
      <c r="F197" s="561"/>
      <c r="G197" s="490"/>
      <c r="H197" s="490"/>
      <c r="I197" s="490"/>
      <c r="J197" s="490"/>
      <c r="K197" s="490"/>
      <c r="L197" s="490"/>
      <c r="M197" s="490"/>
      <c r="N197" s="490"/>
      <c r="O197" s="490"/>
      <c r="P197" s="490"/>
      <c r="Q197" s="490"/>
      <c r="R197" s="483">
        <f>R195-R196</f>
        <v>4.6700000000000005E-3</v>
      </c>
      <c r="S197" s="450"/>
      <c r="T197" s="450"/>
      <c r="U197" s="452"/>
      <c r="V197" s="430"/>
    </row>
    <row r="198" spans="1:22" s="431" customFormat="1" x14ac:dyDescent="0.3">
      <c r="A198" s="449"/>
      <c r="B198" s="450" t="s">
        <v>74</v>
      </c>
      <c r="C198" s="561"/>
      <c r="D198" s="561"/>
      <c r="E198" s="561"/>
      <c r="F198" s="561"/>
      <c r="G198" s="490"/>
      <c r="H198" s="490"/>
      <c r="I198" s="490"/>
      <c r="J198" s="490"/>
      <c r="K198" s="490"/>
      <c r="L198" s="490"/>
      <c r="M198" s="490"/>
      <c r="N198" s="490"/>
      <c r="O198" s="490"/>
      <c r="P198" s="490"/>
      <c r="Q198" s="490"/>
      <c r="R198" s="483">
        <v>2.366E-2</v>
      </c>
      <c r="S198" s="450"/>
      <c r="T198" s="450"/>
      <c r="U198" s="452"/>
      <c r="V198" s="430"/>
    </row>
    <row r="199" spans="1:22" s="431" customFormat="1" x14ac:dyDescent="0.3">
      <c r="A199" s="449"/>
      <c r="B199" s="450" t="s">
        <v>257</v>
      </c>
      <c r="C199" s="561"/>
      <c r="D199" s="561"/>
      <c r="E199" s="561"/>
      <c r="F199" s="561"/>
      <c r="G199" s="490"/>
      <c r="H199" s="490"/>
      <c r="I199" s="490"/>
      <c r="J199" s="490"/>
      <c r="K199" s="490"/>
      <c r="L199" s="490"/>
      <c r="M199" s="490"/>
      <c r="N199" s="490"/>
      <c r="O199" s="490"/>
      <c r="P199" s="490"/>
      <c r="Q199" s="490"/>
      <c r="R199" s="483">
        <f>T43</f>
        <v>8.2196823651324684E-3</v>
      </c>
      <c r="S199" s="450"/>
      <c r="T199" s="450"/>
      <c r="U199" s="452"/>
      <c r="V199" s="430"/>
    </row>
    <row r="200" spans="1:22" s="431" customFormat="1" x14ac:dyDescent="0.3">
      <c r="A200" s="449"/>
      <c r="B200" s="450" t="s">
        <v>75</v>
      </c>
      <c r="C200" s="561"/>
      <c r="D200" s="561"/>
      <c r="E200" s="561"/>
      <c r="F200" s="561"/>
      <c r="G200" s="490"/>
      <c r="H200" s="490"/>
      <c r="I200" s="490"/>
      <c r="J200" s="490"/>
      <c r="K200" s="490"/>
      <c r="L200" s="490"/>
      <c r="M200" s="490"/>
      <c r="N200" s="490"/>
      <c r="O200" s="490"/>
      <c r="P200" s="490"/>
      <c r="Q200" s="490"/>
      <c r="R200" s="483">
        <f>R198-R199</f>
        <v>1.5440317634867532E-2</v>
      </c>
      <c r="S200" s="450"/>
      <c r="T200" s="450"/>
      <c r="U200" s="452"/>
      <c r="V200" s="430"/>
    </row>
    <row r="201" spans="1:22" s="431" customFormat="1" x14ac:dyDescent="0.3">
      <c r="A201" s="449"/>
      <c r="B201" s="450" t="s">
        <v>260</v>
      </c>
      <c r="C201" s="561"/>
      <c r="D201" s="561"/>
      <c r="E201" s="561"/>
      <c r="F201" s="561"/>
      <c r="G201" s="490"/>
      <c r="H201" s="490"/>
      <c r="I201" s="490"/>
      <c r="J201" s="490"/>
      <c r="K201" s="490"/>
      <c r="L201" s="490"/>
      <c r="M201" s="490"/>
      <c r="N201" s="490"/>
      <c r="O201" s="490"/>
      <c r="P201" s="490"/>
      <c r="Q201" s="490"/>
      <c r="R201" s="483">
        <f>+T99/L70</f>
        <v>7.102025020723198E-3</v>
      </c>
      <c r="S201" s="450"/>
      <c r="T201" s="450"/>
      <c r="U201" s="452"/>
      <c r="V201" s="430"/>
    </row>
    <row r="202" spans="1:22" s="431" customFormat="1" x14ac:dyDescent="0.3">
      <c r="A202" s="449"/>
      <c r="B202" s="450" t="s">
        <v>217</v>
      </c>
      <c r="C202" s="561"/>
      <c r="D202" s="561"/>
      <c r="E202" s="561"/>
      <c r="F202" s="561"/>
      <c r="G202" s="490"/>
      <c r="H202" s="490"/>
      <c r="I202" s="490"/>
      <c r="J202" s="490"/>
      <c r="K202" s="490"/>
      <c r="L202" s="490"/>
      <c r="M202" s="490"/>
      <c r="N202" s="490"/>
      <c r="O202" s="490"/>
      <c r="P202" s="490"/>
      <c r="Q202" s="490"/>
      <c r="R202" s="562">
        <v>15250</v>
      </c>
      <c r="S202" s="450"/>
      <c r="T202" s="450"/>
      <c r="U202" s="452"/>
      <c r="V202" s="430"/>
    </row>
    <row r="203" spans="1:22" s="431" customFormat="1" x14ac:dyDescent="0.3">
      <c r="A203" s="449"/>
      <c r="B203" s="450" t="s">
        <v>218</v>
      </c>
      <c r="C203" s="561"/>
      <c r="D203" s="561"/>
      <c r="E203" s="561"/>
      <c r="F203" s="561"/>
      <c r="G203" s="490"/>
      <c r="H203" s="490"/>
      <c r="I203" s="490"/>
      <c r="J203" s="490"/>
      <c r="K203" s="490"/>
      <c r="L203" s="490"/>
      <c r="M203" s="490"/>
      <c r="N203" s="490"/>
      <c r="O203" s="490"/>
      <c r="P203" s="490"/>
      <c r="Q203" s="490"/>
      <c r="R203" s="562">
        <v>15250</v>
      </c>
      <c r="S203" s="450"/>
      <c r="T203" s="450"/>
      <c r="U203" s="452"/>
      <c r="V203" s="430"/>
    </row>
    <row r="204" spans="1:22" s="431" customFormat="1" x14ac:dyDescent="0.3">
      <c r="A204" s="449"/>
      <c r="B204" s="450" t="s">
        <v>219</v>
      </c>
      <c r="C204" s="561"/>
      <c r="D204" s="561"/>
      <c r="E204" s="561"/>
      <c r="F204" s="561"/>
      <c r="G204" s="490"/>
      <c r="H204" s="490"/>
      <c r="I204" s="490"/>
      <c r="J204" s="490"/>
      <c r="K204" s="490"/>
      <c r="L204" s="490"/>
      <c r="M204" s="490"/>
      <c r="N204" s="490"/>
      <c r="O204" s="490"/>
      <c r="P204" s="490"/>
      <c r="Q204" s="490"/>
      <c r="R204" s="562">
        <v>15250</v>
      </c>
      <c r="S204" s="450"/>
      <c r="T204" s="450"/>
      <c r="U204" s="452"/>
      <c r="V204" s="430"/>
    </row>
    <row r="205" spans="1:22" s="431" customFormat="1" x14ac:dyDescent="0.3">
      <c r="A205" s="449"/>
      <c r="B205" s="450" t="s">
        <v>76</v>
      </c>
      <c r="C205" s="561"/>
      <c r="D205" s="561"/>
      <c r="E205" s="561"/>
      <c r="F205" s="561"/>
      <c r="G205" s="490"/>
      <c r="H205" s="490"/>
      <c r="I205" s="490"/>
      <c r="J205" s="490"/>
      <c r="K205" s="490"/>
      <c r="L205" s="490"/>
      <c r="M205" s="490"/>
      <c r="N205" s="490"/>
      <c r="O205" s="490"/>
      <c r="P205" s="490"/>
      <c r="Q205" s="490"/>
      <c r="R205" s="488">
        <v>21.18</v>
      </c>
      <c r="S205" s="450" t="s">
        <v>116</v>
      </c>
      <c r="T205" s="450"/>
      <c r="U205" s="452"/>
      <c r="V205" s="430"/>
    </row>
    <row r="206" spans="1:22" s="431" customFormat="1" x14ac:dyDescent="0.3">
      <c r="A206" s="449"/>
      <c r="B206" s="450" t="s">
        <v>77</v>
      </c>
      <c r="C206" s="561"/>
      <c r="D206" s="561"/>
      <c r="E206" s="561"/>
      <c r="F206" s="561"/>
      <c r="G206" s="490"/>
      <c r="H206" s="490"/>
      <c r="I206" s="490"/>
      <c r="J206" s="490"/>
      <c r="K206" s="490"/>
      <c r="L206" s="490"/>
      <c r="M206" s="490"/>
      <c r="N206" s="490"/>
      <c r="O206" s="490"/>
      <c r="P206" s="490"/>
      <c r="Q206" s="490"/>
      <c r="R206" s="488">
        <v>9.92</v>
      </c>
      <c r="S206" s="450" t="s">
        <v>116</v>
      </c>
      <c r="T206" s="450"/>
      <c r="U206" s="452"/>
      <c r="V206" s="430"/>
    </row>
    <row r="207" spans="1:22" s="431" customFormat="1" x14ac:dyDescent="0.3">
      <c r="A207" s="449"/>
      <c r="B207" s="450" t="s">
        <v>78</v>
      </c>
      <c r="C207" s="561"/>
      <c r="D207" s="561"/>
      <c r="E207" s="561"/>
      <c r="F207" s="561"/>
      <c r="G207" s="490"/>
      <c r="H207" s="490"/>
      <c r="I207" s="490"/>
      <c r="J207" s="490"/>
      <c r="K207" s="490"/>
      <c r="L207" s="490"/>
      <c r="M207" s="490"/>
      <c r="N207" s="490"/>
      <c r="O207" s="490"/>
      <c r="P207" s="490"/>
      <c r="Q207" s="490"/>
      <c r="R207" s="483">
        <f>N67/L67</f>
        <v>1.5140475809399135E-2</v>
      </c>
      <c r="S207" s="450"/>
      <c r="T207" s="450"/>
      <c r="U207" s="452"/>
      <c r="V207" s="430"/>
    </row>
    <row r="208" spans="1:22" s="431" customFormat="1" x14ac:dyDescent="0.3">
      <c r="A208" s="449"/>
      <c r="B208" s="450" t="s">
        <v>79</v>
      </c>
      <c r="C208" s="561"/>
      <c r="D208" s="561"/>
      <c r="E208" s="561"/>
      <c r="F208" s="561"/>
      <c r="G208" s="490"/>
      <c r="H208" s="490"/>
      <c r="I208" s="490"/>
      <c r="J208" s="490"/>
      <c r="K208" s="490"/>
      <c r="L208" s="490"/>
      <c r="M208" s="490"/>
      <c r="N208" s="490"/>
      <c r="O208" s="490"/>
      <c r="P208" s="490"/>
      <c r="Q208" s="490"/>
      <c r="R208" s="483">
        <v>7.5399999999999995E-2</v>
      </c>
      <c r="S208" s="450"/>
      <c r="T208" s="450"/>
      <c r="U208" s="452"/>
      <c r="V208" s="430"/>
    </row>
    <row r="209" spans="1:22" x14ac:dyDescent="0.3">
      <c r="A209" s="557"/>
      <c r="B209" s="563"/>
      <c r="C209" s="563"/>
      <c r="D209" s="563"/>
      <c r="E209" s="563"/>
      <c r="F209" s="563"/>
      <c r="G209" s="516"/>
      <c r="H209" s="516"/>
      <c r="I209" s="516"/>
      <c r="J209" s="516"/>
      <c r="K209" s="516"/>
      <c r="L209" s="516"/>
      <c r="M209" s="516"/>
      <c r="N209" s="516"/>
      <c r="O209" s="516"/>
      <c r="P209" s="516"/>
      <c r="Q209" s="516"/>
      <c r="R209" s="544"/>
      <c r="S209" s="516"/>
      <c r="T209" s="564"/>
      <c r="U209" s="639"/>
      <c r="V209" s="416"/>
    </row>
    <row r="210" spans="1:22" x14ac:dyDescent="0.3">
      <c r="A210" s="565"/>
      <c r="B210" s="521" t="s">
        <v>80</v>
      </c>
      <c r="C210" s="522"/>
      <c r="D210" s="522"/>
      <c r="E210" s="522"/>
      <c r="F210" s="566"/>
      <c r="G210" s="522"/>
      <c r="H210" s="522"/>
      <c r="I210" s="522"/>
      <c r="J210" s="522"/>
      <c r="K210" s="522"/>
      <c r="L210" s="522"/>
      <c r="M210" s="522"/>
      <c r="N210" s="522"/>
      <c r="O210" s="522"/>
      <c r="P210" s="522"/>
      <c r="Q210" s="522" t="s">
        <v>105</v>
      </c>
      <c r="R210" s="566" t="s">
        <v>112</v>
      </c>
      <c r="S210" s="443"/>
      <c r="T210" s="443"/>
      <c r="U210" s="446"/>
      <c r="V210" s="416"/>
    </row>
    <row r="211" spans="1:22" s="431" customFormat="1" x14ac:dyDescent="0.3">
      <c r="A211" s="567"/>
      <c r="B211" s="447" t="s">
        <v>81</v>
      </c>
      <c r="C211" s="525"/>
      <c r="D211" s="525"/>
      <c r="E211" s="525"/>
      <c r="F211" s="447"/>
      <c r="G211" s="447"/>
      <c r="H211" s="568"/>
      <c r="I211" s="568"/>
      <c r="J211" s="568"/>
      <c r="K211" s="568"/>
      <c r="L211" s="568"/>
      <c r="M211" s="568"/>
      <c r="N211" s="568"/>
      <c r="O211" s="568"/>
      <c r="P211" s="568"/>
      <c r="Q211" s="568">
        <v>0</v>
      </c>
      <c r="R211" s="569">
        <v>0</v>
      </c>
      <c r="S211" s="447"/>
      <c r="T211" s="570"/>
      <c r="U211" s="644"/>
      <c r="V211" s="430"/>
    </row>
    <row r="212" spans="1:22" s="431" customFormat="1" x14ac:dyDescent="0.3">
      <c r="A212" s="571"/>
      <c r="B212" s="450" t="s">
        <v>151</v>
      </c>
      <c r="C212" s="514"/>
      <c r="D212" s="514"/>
      <c r="E212" s="514"/>
      <c r="F212" s="450"/>
      <c r="G212" s="450"/>
      <c r="H212" s="456"/>
      <c r="I212" s="456"/>
      <c r="J212" s="456"/>
      <c r="K212" s="456"/>
      <c r="L212" s="456"/>
      <c r="M212" s="456"/>
      <c r="N212" s="456"/>
      <c r="O212" s="456"/>
      <c r="P212" s="456"/>
      <c r="Q212" s="572">
        <f>+P264</f>
        <v>32</v>
      </c>
      <c r="R212" s="573">
        <f>+R264</f>
        <v>5081</v>
      </c>
      <c r="S212" s="450"/>
      <c r="T212" s="574"/>
      <c r="U212" s="575"/>
      <c r="V212" s="430"/>
    </row>
    <row r="213" spans="1:22" s="431" customFormat="1" x14ac:dyDescent="0.3">
      <c r="A213" s="571"/>
      <c r="B213" s="450" t="s">
        <v>82</v>
      </c>
      <c r="C213" s="514"/>
      <c r="D213" s="514"/>
      <c r="E213" s="514"/>
      <c r="F213" s="450"/>
      <c r="G213" s="450"/>
      <c r="H213" s="456"/>
      <c r="I213" s="456"/>
      <c r="J213" s="456"/>
      <c r="K213" s="456"/>
      <c r="L213" s="456"/>
      <c r="M213" s="456"/>
      <c r="N213" s="456"/>
      <c r="O213" s="456"/>
      <c r="P213" s="456"/>
      <c r="Q213" s="572">
        <f>+P276</f>
        <v>0</v>
      </c>
      <c r="R213" s="573">
        <f>+R276</f>
        <v>0</v>
      </c>
      <c r="S213" s="450"/>
      <c r="T213" s="574"/>
      <c r="U213" s="575"/>
      <c r="V213" s="430"/>
    </row>
    <row r="214" spans="1:22" x14ac:dyDescent="0.3">
      <c r="A214" s="576"/>
      <c r="B214" s="577" t="s">
        <v>83</v>
      </c>
      <c r="C214" s="578"/>
      <c r="D214" s="578"/>
      <c r="E214" s="578"/>
      <c r="F214" s="470"/>
      <c r="G214" s="470"/>
      <c r="H214" s="470"/>
      <c r="I214" s="470"/>
      <c r="J214" s="470"/>
      <c r="K214" s="470"/>
      <c r="L214" s="470"/>
      <c r="M214" s="470"/>
      <c r="N214" s="470"/>
      <c r="O214" s="470"/>
      <c r="P214" s="470"/>
      <c r="Q214" s="541"/>
      <c r="R214" s="579">
        <v>0</v>
      </c>
      <c r="S214" s="470"/>
      <c r="T214" s="580"/>
      <c r="U214" s="581"/>
      <c r="V214" s="416"/>
    </row>
    <row r="215" spans="1:22" x14ac:dyDescent="0.3">
      <c r="A215" s="576"/>
      <c r="B215" s="577" t="s">
        <v>84</v>
      </c>
      <c r="C215" s="578"/>
      <c r="D215" s="578"/>
      <c r="E215" s="578"/>
      <c r="F215" s="470"/>
      <c r="G215" s="470"/>
      <c r="H215" s="470"/>
      <c r="I215" s="470"/>
      <c r="J215" s="470"/>
      <c r="K215" s="470"/>
      <c r="L215" s="470"/>
      <c r="M215" s="470"/>
      <c r="N215" s="470"/>
      <c r="O215" s="470"/>
      <c r="P215" s="470"/>
      <c r="Q215" s="450"/>
      <c r="R215" s="582" t="s">
        <v>113</v>
      </c>
      <c r="S215" s="470"/>
      <c r="T215" s="580"/>
      <c r="U215" s="581"/>
      <c r="V215" s="416"/>
    </row>
    <row r="216" spans="1:22" x14ac:dyDescent="0.3">
      <c r="A216" s="583"/>
      <c r="B216" s="577" t="s">
        <v>85</v>
      </c>
      <c r="C216" s="584"/>
      <c r="D216" s="584"/>
      <c r="E216" s="584"/>
      <c r="F216" s="584"/>
      <c r="G216" s="470"/>
      <c r="H216" s="470"/>
      <c r="I216" s="470"/>
      <c r="J216" s="470"/>
      <c r="K216" s="470"/>
      <c r="L216" s="470"/>
      <c r="M216" s="470"/>
      <c r="N216" s="470"/>
      <c r="O216" s="470"/>
      <c r="P216" s="470"/>
      <c r="Q216" s="450"/>
      <c r="R216" s="573"/>
      <c r="S216" s="470"/>
      <c r="T216" s="580"/>
      <c r="U216" s="585"/>
      <c r="V216" s="416"/>
    </row>
    <row r="217" spans="1:22" s="431" customFormat="1" x14ac:dyDescent="0.3">
      <c r="A217" s="586"/>
      <c r="B217" s="450" t="s">
        <v>86</v>
      </c>
      <c r="C217" s="450"/>
      <c r="D217" s="450"/>
      <c r="E217" s="450"/>
      <c r="F217" s="450"/>
      <c r="G217" s="450"/>
      <c r="H217" s="450"/>
      <c r="I217" s="450"/>
      <c r="J217" s="450"/>
      <c r="K217" s="450"/>
      <c r="L217" s="450"/>
      <c r="M217" s="450"/>
      <c r="N217" s="450"/>
      <c r="O217" s="450"/>
      <c r="P217" s="450"/>
      <c r="Q217" s="456"/>
      <c r="R217" s="573">
        <f>T161</f>
        <v>347</v>
      </c>
      <c r="S217" s="450"/>
      <c r="T217" s="574"/>
      <c r="U217" s="587"/>
      <c r="V217" s="430"/>
    </row>
    <row r="218" spans="1:22" s="431" customFormat="1" x14ac:dyDescent="0.3">
      <c r="A218" s="571"/>
      <c r="B218" s="450" t="s">
        <v>87</v>
      </c>
      <c r="C218" s="514"/>
      <c r="D218" s="514"/>
      <c r="E218" s="514"/>
      <c r="F218" s="514"/>
      <c r="G218" s="450"/>
      <c r="H218" s="450"/>
      <c r="I218" s="450"/>
      <c r="J218" s="450"/>
      <c r="K218" s="450"/>
      <c r="L218" s="450"/>
      <c r="M218" s="450"/>
      <c r="N218" s="450"/>
      <c r="O218" s="450"/>
      <c r="P218" s="450"/>
      <c r="Q218" s="456"/>
      <c r="R218" s="573">
        <f>'Dec 17'!R218+R217</f>
        <v>6998</v>
      </c>
      <c r="S218" s="450"/>
      <c r="T218" s="574"/>
      <c r="U218" s="587"/>
      <c r="V218" s="430"/>
    </row>
    <row r="219" spans="1:22" x14ac:dyDescent="0.3">
      <c r="A219" s="583"/>
      <c r="B219" s="577" t="s">
        <v>282</v>
      </c>
      <c r="C219" s="584"/>
      <c r="D219" s="584"/>
      <c r="E219" s="584"/>
      <c r="F219" s="584"/>
      <c r="G219" s="470"/>
      <c r="H219" s="470"/>
      <c r="I219" s="470"/>
      <c r="J219" s="470"/>
      <c r="K219" s="470"/>
      <c r="L219" s="470"/>
      <c r="M219" s="470"/>
      <c r="N219" s="470"/>
      <c r="O219" s="470"/>
      <c r="P219" s="470"/>
      <c r="Q219" s="456"/>
      <c r="R219" s="573"/>
      <c r="S219" s="470"/>
      <c r="T219" s="580"/>
      <c r="U219" s="585"/>
      <c r="V219" s="416"/>
    </row>
    <row r="220" spans="1:22" s="431" customFormat="1" x14ac:dyDescent="0.3">
      <c r="A220" s="586"/>
      <c r="B220" s="450" t="s">
        <v>280</v>
      </c>
      <c r="C220" s="450"/>
      <c r="D220" s="450"/>
      <c r="E220" s="450"/>
      <c r="F220" s="450"/>
      <c r="G220" s="450"/>
      <c r="H220" s="450"/>
      <c r="I220" s="450"/>
      <c r="J220" s="450"/>
      <c r="K220" s="450"/>
      <c r="L220" s="450"/>
      <c r="M220" s="450"/>
      <c r="N220" s="450"/>
      <c r="O220" s="450"/>
      <c r="P220" s="450"/>
      <c r="Q220" s="456">
        <v>0</v>
      </c>
      <c r="R220" s="573">
        <v>0</v>
      </c>
      <c r="S220" s="450"/>
      <c r="T220" s="574"/>
      <c r="U220" s="587"/>
      <c r="V220" s="430"/>
    </row>
    <row r="221" spans="1:22" s="431" customFormat="1" x14ac:dyDescent="0.3">
      <c r="A221" s="571"/>
      <c r="B221" s="450" t="s">
        <v>89</v>
      </c>
      <c r="C221" s="486"/>
      <c r="D221" s="486"/>
      <c r="E221" s="486"/>
      <c r="F221" s="588"/>
      <c r="G221" s="450"/>
      <c r="H221" s="450"/>
      <c r="I221" s="450"/>
      <c r="J221" s="450"/>
      <c r="K221" s="450"/>
      <c r="L221" s="450"/>
      <c r="M221" s="450"/>
      <c r="N221" s="450"/>
      <c r="O221" s="450"/>
      <c r="P221" s="450"/>
      <c r="Q221" s="450"/>
      <c r="R221" s="582">
        <v>0</v>
      </c>
      <c r="S221" s="450"/>
      <c r="T221" s="574"/>
      <c r="U221" s="587"/>
      <c r="V221" s="430"/>
    </row>
    <row r="222" spans="1:22" s="431" customFormat="1" x14ac:dyDescent="0.3">
      <c r="A222" s="571"/>
      <c r="B222" s="450" t="s">
        <v>90</v>
      </c>
      <c r="C222" s="486"/>
      <c r="D222" s="486"/>
      <c r="E222" s="486"/>
      <c r="F222" s="588"/>
      <c r="G222" s="450"/>
      <c r="H222" s="450"/>
      <c r="I222" s="450"/>
      <c r="J222" s="450"/>
      <c r="K222" s="450"/>
      <c r="L222" s="450"/>
      <c r="M222" s="450"/>
      <c r="N222" s="450"/>
      <c r="O222" s="450"/>
      <c r="P222" s="450"/>
      <c r="Q222" s="450"/>
      <c r="R222" s="582">
        <v>0</v>
      </c>
      <c r="S222" s="450"/>
      <c r="T222" s="574"/>
      <c r="U222" s="587"/>
      <c r="V222" s="430"/>
    </row>
    <row r="223" spans="1:22" x14ac:dyDescent="0.3">
      <c r="A223" s="576"/>
      <c r="B223" s="577" t="s">
        <v>226</v>
      </c>
      <c r="C223" s="589"/>
      <c r="D223" s="589"/>
      <c r="E223" s="589"/>
      <c r="F223" s="590"/>
      <c r="G223" s="470"/>
      <c r="H223" s="470"/>
      <c r="I223" s="470"/>
      <c r="J223" s="470"/>
      <c r="K223" s="470"/>
      <c r="L223" s="470"/>
      <c r="M223" s="470"/>
      <c r="N223" s="470"/>
      <c r="O223" s="470"/>
      <c r="P223" s="470"/>
      <c r="Q223" s="456"/>
      <c r="R223" s="591"/>
      <c r="S223" s="470"/>
      <c r="T223" s="580"/>
      <c r="U223" s="585"/>
      <c r="V223" s="416"/>
    </row>
    <row r="224" spans="1:22" s="431" customFormat="1" x14ac:dyDescent="0.3">
      <c r="A224" s="571"/>
      <c r="B224" s="450" t="s">
        <v>280</v>
      </c>
      <c r="C224" s="486"/>
      <c r="D224" s="486"/>
      <c r="E224" s="486"/>
      <c r="F224" s="588"/>
      <c r="G224" s="450"/>
      <c r="H224" s="450"/>
      <c r="I224" s="450"/>
      <c r="J224" s="450"/>
      <c r="K224" s="450"/>
      <c r="L224" s="450"/>
      <c r="M224" s="450"/>
      <c r="N224" s="450"/>
      <c r="O224" s="450"/>
      <c r="P224" s="450"/>
      <c r="Q224" s="456">
        <v>1</v>
      </c>
      <c r="R224" s="573">
        <v>373</v>
      </c>
      <c r="S224" s="450"/>
      <c r="T224" s="574"/>
      <c r="U224" s="587"/>
      <c r="V224" s="430"/>
    </row>
    <row r="225" spans="1:23" s="431" customFormat="1" x14ac:dyDescent="0.3">
      <c r="A225" s="571"/>
      <c r="B225" s="450" t="s">
        <v>227</v>
      </c>
      <c r="C225" s="486"/>
      <c r="D225" s="486"/>
      <c r="E225" s="486"/>
      <c r="F225" s="588"/>
      <c r="G225" s="450"/>
      <c r="H225" s="450"/>
      <c r="I225" s="450"/>
      <c r="J225" s="450"/>
      <c r="K225" s="450"/>
      <c r="L225" s="450"/>
      <c r="M225" s="450"/>
      <c r="N225" s="450"/>
      <c r="O225" s="450"/>
      <c r="P225" s="450"/>
      <c r="Q225" s="456"/>
      <c r="R225" s="582">
        <v>0</v>
      </c>
      <c r="S225" s="450"/>
      <c r="T225" s="574"/>
      <c r="U225" s="587"/>
      <c r="V225" s="430"/>
    </row>
    <row r="226" spans="1:23" x14ac:dyDescent="0.3">
      <c r="A226" s="576"/>
      <c r="B226" s="584"/>
      <c r="C226" s="589"/>
      <c r="D226" s="589"/>
      <c r="E226" s="589"/>
      <c r="F226" s="590"/>
      <c r="G226" s="470"/>
      <c r="H226" s="470"/>
      <c r="I226" s="470"/>
      <c r="J226" s="470"/>
      <c r="K226" s="470"/>
      <c r="L226" s="470"/>
      <c r="M226" s="470"/>
      <c r="N226" s="470"/>
      <c r="O226" s="470"/>
      <c r="P226" s="470"/>
      <c r="Q226" s="450"/>
      <c r="R226" s="591"/>
      <c r="S226" s="470"/>
      <c r="T226" s="580"/>
      <c r="U226" s="585"/>
      <c r="V226" s="416"/>
    </row>
    <row r="227" spans="1:23" x14ac:dyDescent="0.3">
      <c r="A227" s="576"/>
      <c r="B227" s="584"/>
      <c r="C227" s="589"/>
      <c r="D227" s="589"/>
      <c r="E227" s="589"/>
      <c r="F227" s="590"/>
      <c r="G227" s="470"/>
      <c r="H227" s="470"/>
      <c r="I227" s="470"/>
      <c r="J227" s="470"/>
      <c r="K227" s="470"/>
      <c r="L227" s="470"/>
      <c r="M227" s="470"/>
      <c r="N227" s="470"/>
      <c r="O227" s="470"/>
      <c r="P227" s="470"/>
      <c r="Q227" s="450"/>
      <c r="R227" s="591"/>
      <c r="S227" s="470"/>
      <c r="T227" s="580"/>
      <c r="U227" s="585"/>
      <c r="V227" s="416"/>
    </row>
    <row r="228" spans="1:23" ht="18" x14ac:dyDescent="0.35">
      <c r="A228" s="576"/>
      <c r="B228" s="592" t="s">
        <v>175</v>
      </c>
      <c r="C228" s="589"/>
      <c r="D228" s="589"/>
      <c r="E228" s="589"/>
      <c r="F228" s="590"/>
      <c r="G228" s="470"/>
      <c r="H228" s="470"/>
      <c r="I228" s="470"/>
      <c r="J228" s="470"/>
      <c r="K228" s="470"/>
      <c r="L228" s="470"/>
      <c r="M228" s="470"/>
      <c r="N228" s="647" t="s">
        <v>356</v>
      </c>
      <c r="O228" s="470"/>
      <c r="P228" s="470"/>
      <c r="Q228" s="470"/>
      <c r="R228" s="593"/>
      <c r="S228" s="470"/>
      <c r="T228" s="580"/>
      <c r="U228" s="585"/>
      <c r="V228" s="416"/>
    </row>
    <row r="229" spans="1:23" x14ac:dyDescent="0.3">
      <c r="A229" s="594"/>
      <c r="B229" s="563"/>
      <c r="C229" s="595"/>
      <c r="D229" s="595"/>
      <c r="E229" s="595"/>
      <c r="F229" s="596"/>
      <c r="G229" s="516"/>
      <c r="H229" s="516"/>
      <c r="I229" s="516"/>
      <c r="J229" s="516"/>
      <c r="K229" s="516"/>
      <c r="L229" s="516"/>
      <c r="M229" s="516"/>
      <c r="N229" s="516"/>
      <c r="O229" s="516"/>
      <c r="P229" s="516"/>
      <c r="Q229" s="516"/>
      <c r="R229" s="597"/>
      <c r="S229" s="516"/>
      <c r="T229" s="564"/>
      <c r="U229" s="645"/>
      <c r="V229" s="416"/>
    </row>
    <row r="230" spans="1:23" x14ac:dyDescent="0.3">
      <c r="A230" s="442"/>
      <c r="B230" s="598" t="s">
        <v>295</v>
      </c>
      <c r="C230" s="599"/>
      <c r="D230" s="599"/>
      <c r="E230" s="599"/>
      <c r="F230" s="600"/>
      <c r="G230" s="599"/>
      <c r="H230" s="599"/>
      <c r="I230" s="599"/>
      <c r="J230" s="599"/>
      <c r="K230" s="599"/>
      <c r="L230" s="599"/>
      <c r="M230" s="599"/>
      <c r="N230" s="599"/>
      <c r="O230" s="599"/>
      <c r="P230" s="600" t="s">
        <v>105</v>
      </c>
      <c r="Q230" s="599" t="s">
        <v>106</v>
      </c>
      <c r="R230" s="600" t="s">
        <v>114</v>
      </c>
      <c r="S230" s="599" t="s">
        <v>106</v>
      </c>
      <c r="T230" s="601"/>
      <c r="U230" s="605"/>
      <c r="V230" s="416"/>
    </row>
    <row r="231" spans="1:23" s="431" customFormat="1" x14ac:dyDescent="0.3">
      <c r="A231" s="632"/>
      <c r="B231" s="633" t="s">
        <v>91</v>
      </c>
      <c r="C231" s="634"/>
      <c r="D231" s="634"/>
      <c r="E231" s="634"/>
      <c r="F231" s="635"/>
      <c r="G231" s="634"/>
      <c r="H231" s="634"/>
      <c r="I231" s="634"/>
      <c r="J231" s="634"/>
      <c r="K231" s="634"/>
      <c r="L231" s="634"/>
      <c r="M231" s="634"/>
      <c r="N231" s="634"/>
      <c r="O231" s="634"/>
      <c r="P231" s="633">
        <f t="shared" ref="P231:P238" si="1">+P243+P255+P267</f>
        <v>3200</v>
      </c>
      <c r="Q231" s="636">
        <f t="shared" ref="Q231:Q238" si="2">P231/$P$240</f>
        <v>0.99781727471156845</v>
      </c>
      <c r="R231" s="637">
        <f t="shared" ref="R231:R238" si="3">+R243+R255+R267</f>
        <v>411270</v>
      </c>
      <c r="S231" s="636">
        <f t="shared" ref="S231:S238" si="4">R231/$R$240</f>
        <v>0.99756230671275237</v>
      </c>
      <c r="T231" s="630"/>
      <c r="U231" s="631"/>
      <c r="V231" s="430"/>
    </row>
    <row r="232" spans="1:23" s="431" customFormat="1" x14ac:dyDescent="0.3">
      <c r="A232" s="449"/>
      <c r="B232" s="514" t="s">
        <v>92</v>
      </c>
      <c r="C232" s="603"/>
      <c r="D232" s="603"/>
      <c r="E232" s="603"/>
      <c r="F232" s="450"/>
      <c r="G232" s="602"/>
      <c r="H232" s="603"/>
      <c r="I232" s="603"/>
      <c r="J232" s="603"/>
      <c r="K232" s="603"/>
      <c r="L232" s="603"/>
      <c r="M232" s="603"/>
      <c r="N232" s="603"/>
      <c r="O232" s="603"/>
      <c r="P232" s="514">
        <f t="shared" si="1"/>
        <v>5</v>
      </c>
      <c r="Q232" s="602">
        <f t="shared" si="2"/>
        <v>1.5590894917368258E-3</v>
      </c>
      <c r="R232" s="515">
        <f t="shared" si="3"/>
        <v>718</v>
      </c>
      <c r="S232" s="602">
        <f t="shared" si="4"/>
        <v>1.7415560002425566E-3</v>
      </c>
      <c r="T232" s="574"/>
      <c r="U232" s="587"/>
      <c r="V232" s="430"/>
      <c r="W232" s="533"/>
    </row>
    <row r="233" spans="1:23" s="431" customFormat="1" x14ac:dyDescent="0.3">
      <c r="A233" s="449"/>
      <c r="B233" s="514" t="s">
        <v>93</v>
      </c>
      <c r="C233" s="603"/>
      <c r="D233" s="603"/>
      <c r="E233" s="603"/>
      <c r="F233" s="450"/>
      <c r="G233" s="602"/>
      <c r="H233" s="603"/>
      <c r="I233" s="603"/>
      <c r="J233" s="603"/>
      <c r="K233" s="603"/>
      <c r="L233" s="603"/>
      <c r="M233" s="603"/>
      <c r="N233" s="603"/>
      <c r="O233" s="603"/>
      <c r="P233" s="514">
        <f t="shared" si="1"/>
        <v>0</v>
      </c>
      <c r="Q233" s="602">
        <f t="shared" si="2"/>
        <v>0</v>
      </c>
      <c r="R233" s="515">
        <f t="shared" si="3"/>
        <v>0</v>
      </c>
      <c r="S233" s="602">
        <f t="shared" si="4"/>
        <v>0</v>
      </c>
      <c r="T233" s="574"/>
      <c r="U233" s="587"/>
      <c r="V233" s="430"/>
    </row>
    <row r="234" spans="1:23" s="431" customFormat="1" x14ac:dyDescent="0.3">
      <c r="A234" s="449"/>
      <c r="B234" s="514" t="s">
        <v>163</v>
      </c>
      <c r="C234" s="603"/>
      <c r="D234" s="603"/>
      <c r="E234" s="603"/>
      <c r="F234" s="450"/>
      <c r="G234" s="602"/>
      <c r="H234" s="603"/>
      <c r="I234" s="603"/>
      <c r="J234" s="603"/>
      <c r="K234" s="603"/>
      <c r="L234" s="603"/>
      <c r="M234" s="603"/>
      <c r="N234" s="603"/>
      <c r="O234" s="603"/>
      <c r="P234" s="514">
        <f t="shared" si="1"/>
        <v>0</v>
      </c>
      <c r="Q234" s="602">
        <f t="shared" si="2"/>
        <v>0</v>
      </c>
      <c r="R234" s="515">
        <f t="shared" si="3"/>
        <v>0</v>
      </c>
      <c r="S234" s="602">
        <f t="shared" si="4"/>
        <v>0</v>
      </c>
      <c r="T234" s="574"/>
      <c r="U234" s="587"/>
      <c r="V234" s="430"/>
      <c r="W234" s="533"/>
    </row>
    <row r="235" spans="1:23" s="431" customFormat="1" x14ac:dyDescent="0.3">
      <c r="A235" s="449"/>
      <c r="B235" s="514" t="s">
        <v>164</v>
      </c>
      <c r="C235" s="603"/>
      <c r="D235" s="603"/>
      <c r="E235" s="603"/>
      <c r="F235" s="450"/>
      <c r="G235" s="602"/>
      <c r="H235" s="603"/>
      <c r="I235" s="603"/>
      <c r="J235" s="603"/>
      <c r="K235" s="603"/>
      <c r="L235" s="603"/>
      <c r="M235" s="603"/>
      <c r="N235" s="603"/>
      <c r="O235" s="603"/>
      <c r="P235" s="514">
        <f t="shared" si="1"/>
        <v>0</v>
      </c>
      <c r="Q235" s="602">
        <f t="shared" si="2"/>
        <v>0</v>
      </c>
      <c r="R235" s="515">
        <f t="shared" si="3"/>
        <v>0</v>
      </c>
      <c r="S235" s="602">
        <f t="shared" si="4"/>
        <v>0</v>
      </c>
      <c r="T235" s="574"/>
      <c r="U235" s="587"/>
      <c r="V235" s="430"/>
    </row>
    <row r="236" spans="1:23" s="431" customFormat="1" x14ac:dyDescent="0.3">
      <c r="A236" s="449"/>
      <c r="B236" s="514" t="s">
        <v>165</v>
      </c>
      <c r="C236" s="603"/>
      <c r="D236" s="603"/>
      <c r="E236" s="603"/>
      <c r="F236" s="450"/>
      <c r="G236" s="602"/>
      <c r="H236" s="603"/>
      <c r="I236" s="603"/>
      <c r="J236" s="603"/>
      <c r="K236" s="603"/>
      <c r="L236" s="603"/>
      <c r="M236" s="603"/>
      <c r="N236" s="603"/>
      <c r="O236" s="603"/>
      <c r="P236" s="514">
        <f t="shared" si="1"/>
        <v>0</v>
      </c>
      <c r="Q236" s="602">
        <f t="shared" si="2"/>
        <v>0</v>
      </c>
      <c r="R236" s="515">
        <f t="shared" si="3"/>
        <v>0</v>
      </c>
      <c r="S236" s="602">
        <f t="shared" si="4"/>
        <v>0</v>
      </c>
      <c r="T236" s="574"/>
      <c r="U236" s="587"/>
      <c r="V236" s="430"/>
      <c r="W236" s="533"/>
    </row>
    <row r="237" spans="1:23" s="431" customFormat="1" x14ac:dyDescent="0.3">
      <c r="A237" s="449"/>
      <c r="B237" s="514" t="s">
        <v>166</v>
      </c>
      <c r="C237" s="603"/>
      <c r="D237" s="603"/>
      <c r="E237" s="603"/>
      <c r="F237" s="450"/>
      <c r="G237" s="602"/>
      <c r="H237" s="603"/>
      <c r="I237" s="603"/>
      <c r="J237" s="603"/>
      <c r="K237" s="603"/>
      <c r="L237" s="603"/>
      <c r="M237" s="603"/>
      <c r="N237" s="603"/>
      <c r="O237" s="603"/>
      <c r="P237" s="514">
        <f t="shared" si="1"/>
        <v>2</v>
      </c>
      <c r="Q237" s="602">
        <f t="shared" si="2"/>
        <v>6.2363579669473025E-4</v>
      </c>
      <c r="R237" s="515">
        <f t="shared" si="3"/>
        <v>287</v>
      </c>
      <c r="S237" s="602">
        <f t="shared" si="4"/>
        <v>6.9613728700503301E-4</v>
      </c>
      <c r="T237" s="574"/>
      <c r="U237" s="587"/>
      <c r="V237" s="430"/>
    </row>
    <row r="238" spans="1:23" s="431" customFormat="1" x14ac:dyDescent="0.3">
      <c r="A238" s="449"/>
      <c r="B238" s="514" t="s">
        <v>167</v>
      </c>
      <c r="C238" s="603"/>
      <c r="D238" s="603"/>
      <c r="E238" s="603"/>
      <c r="F238" s="450"/>
      <c r="G238" s="602"/>
      <c r="H238" s="603"/>
      <c r="I238" s="603"/>
      <c r="J238" s="603"/>
      <c r="K238" s="603"/>
      <c r="L238" s="603"/>
      <c r="M238" s="603"/>
      <c r="N238" s="603"/>
      <c r="O238" s="603"/>
      <c r="P238" s="514">
        <f t="shared" si="1"/>
        <v>0</v>
      </c>
      <c r="Q238" s="602">
        <f t="shared" si="2"/>
        <v>0</v>
      </c>
      <c r="R238" s="515">
        <f t="shared" si="3"/>
        <v>0</v>
      </c>
      <c r="S238" s="602">
        <f t="shared" si="4"/>
        <v>0</v>
      </c>
      <c r="T238" s="574"/>
      <c r="U238" s="587"/>
      <c r="V238" s="430"/>
      <c r="W238" s="533"/>
    </row>
    <row r="239" spans="1:23" s="431" customFormat="1" x14ac:dyDescent="0.3">
      <c r="A239" s="449"/>
      <c r="B239" s="514"/>
      <c r="C239" s="603"/>
      <c r="D239" s="603"/>
      <c r="E239" s="603"/>
      <c r="F239" s="450"/>
      <c r="G239" s="602"/>
      <c r="H239" s="603"/>
      <c r="I239" s="603"/>
      <c r="J239" s="603"/>
      <c r="K239" s="603"/>
      <c r="L239" s="603"/>
      <c r="M239" s="603"/>
      <c r="N239" s="603"/>
      <c r="O239" s="603"/>
      <c r="P239" s="514"/>
      <c r="Q239" s="602"/>
      <c r="R239" s="515"/>
      <c r="S239" s="602"/>
      <c r="T239" s="574"/>
      <c r="U239" s="587"/>
      <c r="V239" s="430"/>
    </row>
    <row r="240" spans="1:23" s="431" customFormat="1" x14ac:dyDescent="0.3">
      <c r="A240" s="449"/>
      <c r="B240" s="450" t="s">
        <v>120</v>
      </c>
      <c r="C240" s="450"/>
      <c r="D240" s="450"/>
      <c r="E240" s="450"/>
      <c r="F240" s="450"/>
      <c r="G240" s="450"/>
      <c r="H240" s="604"/>
      <c r="I240" s="604"/>
      <c r="J240" s="604"/>
      <c r="K240" s="604"/>
      <c r="L240" s="604"/>
      <c r="M240" s="604"/>
      <c r="N240" s="604"/>
      <c r="O240" s="604"/>
      <c r="P240" s="514">
        <f>SUM(P231:P239)</f>
        <v>3207</v>
      </c>
      <c r="Q240" s="602">
        <f>SUM(Q231:Q239)</f>
        <v>1</v>
      </c>
      <c r="R240" s="515">
        <f>SUM(R231:R239)</f>
        <v>412275</v>
      </c>
      <c r="S240" s="602">
        <f>SUM(S231:S239)</f>
        <v>0.99999999999999989</v>
      </c>
      <c r="T240" s="450"/>
      <c r="U240" s="452"/>
      <c r="V240" s="430"/>
    </row>
    <row r="241" spans="1:23" x14ac:dyDescent="0.3">
      <c r="A241" s="594"/>
      <c r="B241" s="563"/>
      <c r="C241" s="595"/>
      <c r="D241" s="595"/>
      <c r="E241" s="595"/>
      <c r="F241" s="596"/>
      <c r="G241" s="516"/>
      <c r="H241" s="516"/>
      <c r="I241" s="516"/>
      <c r="J241" s="516"/>
      <c r="K241" s="516"/>
      <c r="L241" s="516"/>
      <c r="M241" s="516"/>
      <c r="N241" s="516"/>
      <c r="O241" s="516"/>
      <c r="P241" s="516"/>
      <c r="Q241" s="516"/>
      <c r="R241" s="597"/>
      <c r="S241" s="516"/>
      <c r="T241" s="564"/>
      <c r="U241" s="645"/>
      <c r="V241" s="416"/>
    </row>
    <row r="242" spans="1:23" x14ac:dyDescent="0.3">
      <c r="A242" s="442"/>
      <c r="B242" s="521" t="s">
        <v>169</v>
      </c>
      <c r="C242" s="522"/>
      <c r="D242" s="522"/>
      <c r="E242" s="522"/>
      <c r="F242" s="566"/>
      <c r="G242" s="522"/>
      <c r="H242" s="522"/>
      <c r="I242" s="522"/>
      <c r="J242" s="522"/>
      <c r="K242" s="522"/>
      <c r="L242" s="522"/>
      <c r="M242" s="522"/>
      <c r="N242" s="522"/>
      <c r="O242" s="522"/>
      <c r="P242" s="566" t="s">
        <v>105</v>
      </c>
      <c r="Q242" s="522" t="s">
        <v>106</v>
      </c>
      <c r="R242" s="566" t="s">
        <v>114</v>
      </c>
      <c r="S242" s="522" t="s">
        <v>106</v>
      </c>
      <c r="T242" s="443"/>
      <c r="U242" s="605"/>
      <c r="V242" s="416"/>
    </row>
    <row r="243" spans="1:23" s="431" customFormat="1" x14ac:dyDescent="0.3">
      <c r="A243" s="432"/>
      <c r="B243" s="525" t="s">
        <v>91</v>
      </c>
      <c r="C243" s="606"/>
      <c r="D243" s="606"/>
      <c r="E243" s="606"/>
      <c r="F243" s="447"/>
      <c r="G243" s="606"/>
      <c r="H243" s="606"/>
      <c r="I243" s="606"/>
      <c r="J243" s="606"/>
      <c r="K243" s="606"/>
      <c r="L243" s="606"/>
      <c r="M243" s="606"/>
      <c r="N243" s="606"/>
      <c r="O243" s="606"/>
      <c r="P243" s="525">
        <v>3171</v>
      </c>
      <c r="Q243" s="607">
        <f t="shared" ref="Q243:Q250" si="5">P243/$P$252</f>
        <v>0.99874015748031497</v>
      </c>
      <c r="R243" s="526">
        <v>406599</v>
      </c>
      <c r="S243" s="607">
        <f t="shared" ref="S243:S250" si="6">R243/$R$252</f>
        <v>0.9985387800409633</v>
      </c>
      <c r="T243" s="570"/>
      <c r="U243" s="646"/>
      <c r="V243" s="430"/>
    </row>
    <row r="244" spans="1:23" s="431" customFormat="1" x14ac:dyDescent="0.3">
      <c r="A244" s="449"/>
      <c r="B244" s="514" t="s">
        <v>92</v>
      </c>
      <c r="C244" s="603"/>
      <c r="D244" s="603"/>
      <c r="E244" s="603"/>
      <c r="F244" s="450"/>
      <c r="G244" s="602"/>
      <c r="H244" s="603"/>
      <c r="I244" s="603"/>
      <c r="J244" s="603"/>
      <c r="K244" s="603"/>
      <c r="L244" s="603"/>
      <c r="M244" s="603"/>
      <c r="N244" s="603"/>
      <c r="O244" s="603"/>
      <c r="P244" s="514">
        <v>4</v>
      </c>
      <c r="Q244" s="602">
        <f t="shared" si="5"/>
        <v>1.2598425196850393E-3</v>
      </c>
      <c r="R244" s="515">
        <v>595</v>
      </c>
      <c r="S244" s="602">
        <f t="shared" si="6"/>
        <v>1.4612199590367245E-3</v>
      </c>
      <c r="T244" s="574"/>
      <c r="U244" s="587"/>
      <c r="V244" s="430"/>
      <c r="W244" s="533"/>
    </row>
    <row r="245" spans="1:23" s="431" customFormat="1" x14ac:dyDescent="0.3">
      <c r="A245" s="449"/>
      <c r="B245" s="514" t="s">
        <v>93</v>
      </c>
      <c r="C245" s="603"/>
      <c r="D245" s="603"/>
      <c r="E245" s="603"/>
      <c r="F245" s="450"/>
      <c r="G245" s="602"/>
      <c r="H245" s="603"/>
      <c r="I245" s="603"/>
      <c r="J245" s="603"/>
      <c r="K245" s="603"/>
      <c r="L245" s="603"/>
      <c r="M245" s="603"/>
      <c r="N245" s="603"/>
      <c r="O245" s="603"/>
      <c r="P245" s="514">
        <v>0</v>
      </c>
      <c r="Q245" s="602">
        <f t="shared" si="5"/>
        <v>0</v>
      </c>
      <c r="R245" s="515">
        <v>0</v>
      </c>
      <c r="S245" s="602">
        <f t="shared" si="6"/>
        <v>0</v>
      </c>
      <c r="T245" s="574"/>
      <c r="U245" s="587"/>
      <c r="V245" s="430"/>
    </row>
    <row r="246" spans="1:23" s="431" customFormat="1" x14ac:dyDescent="0.3">
      <c r="A246" s="449"/>
      <c r="B246" s="514" t="s">
        <v>163</v>
      </c>
      <c r="C246" s="603"/>
      <c r="D246" s="603"/>
      <c r="E246" s="603"/>
      <c r="F246" s="450"/>
      <c r="G246" s="602"/>
      <c r="H246" s="603"/>
      <c r="I246" s="603"/>
      <c r="J246" s="603"/>
      <c r="K246" s="603"/>
      <c r="L246" s="603"/>
      <c r="M246" s="603"/>
      <c r="N246" s="603"/>
      <c r="O246" s="603"/>
      <c r="P246" s="514">
        <v>0</v>
      </c>
      <c r="Q246" s="602">
        <f t="shared" si="5"/>
        <v>0</v>
      </c>
      <c r="R246" s="515">
        <v>0</v>
      </c>
      <c r="S246" s="602">
        <f t="shared" si="6"/>
        <v>0</v>
      </c>
      <c r="T246" s="574"/>
      <c r="U246" s="587"/>
      <c r="V246" s="430"/>
      <c r="W246" s="533"/>
    </row>
    <row r="247" spans="1:23" s="431" customFormat="1" x14ac:dyDescent="0.3">
      <c r="A247" s="449"/>
      <c r="B247" s="514" t="s">
        <v>164</v>
      </c>
      <c r="C247" s="603"/>
      <c r="D247" s="603"/>
      <c r="E247" s="603"/>
      <c r="F247" s="450"/>
      <c r="G247" s="602"/>
      <c r="H247" s="603"/>
      <c r="I247" s="603"/>
      <c r="J247" s="603"/>
      <c r="K247" s="603"/>
      <c r="L247" s="603"/>
      <c r="M247" s="603"/>
      <c r="N247" s="603"/>
      <c r="O247" s="603"/>
      <c r="P247" s="514">
        <v>0</v>
      </c>
      <c r="Q247" s="602">
        <f t="shared" si="5"/>
        <v>0</v>
      </c>
      <c r="R247" s="515">
        <v>0</v>
      </c>
      <c r="S247" s="602">
        <f t="shared" si="6"/>
        <v>0</v>
      </c>
      <c r="T247" s="574"/>
      <c r="U247" s="587"/>
      <c r="V247" s="430"/>
    </row>
    <row r="248" spans="1:23" s="431" customFormat="1" x14ac:dyDescent="0.3">
      <c r="A248" s="449"/>
      <c r="B248" s="514" t="s">
        <v>165</v>
      </c>
      <c r="C248" s="603"/>
      <c r="D248" s="603"/>
      <c r="E248" s="603"/>
      <c r="F248" s="450"/>
      <c r="G248" s="602"/>
      <c r="H248" s="603"/>
      <c r="I248" s="603"/>
      <c r="J248" s="603"/>
      <c r="K248" s="603"/>
      <c r="L248" s="603"/>
      <c r="M248" s="603"/>
      <c r="N248" s="603"/>
      <c r="O248" s="603"/>
      <c r="P248" s="514">
        <v>0</v>
      </c>
      <c r="Q248" s="602">
        <f t="shared" si="5"/>
        <v>0</v>
      </c>
      <c r="R248" s="515">
        <v>0</v>
      </c>
      <c r="S248" s="602">
        <f t="shared" si="6"/>
        <v>0</v>
      </c>
      <c r="T248" s="574"/>
      <c r="U248" s="587"/>
      <c r="V248" s="430"/>
      <c r="W248" s="533"/>
    </row>
    <row r="249" spans="1:23" s="431" customFormat="1" x14ac:dyDescent="0.3">
      <c r="A249" s="449"/>
      <c r="B249" s="514" t="s">
        <v>166</v>
      </c>
      <c r="C249" s="603"/>
      <c r="D249" s="603"/>
      <c r="E249" s="603"/>
      <c r="F249" s="450"/>
      <c r="G249" s="602"/>
      <c r="H249" s="603"/>
      <c r="I249" s="603"/>
      <c r="J249" s="603"/>
      <c r="K249" s="603"/>
      <c r="L249" s="603"/>
      <c r="M249" s="603"/>
      <c r="N249" s="603"/>
      <c r="O249" s="603"/>
      <c r="P249" s="514">
        <v>0</v>
      </c>
      <c r="Q249" s="602">
        <f t="shared" si="5"/>
        <v>0</v>
      </c>
      <c r="R249" s="515">
        <v>0</v>
      </c>
      <c r="S249" s="602">
        <f t="shared" si="6"/>
        <v>0</v>
      </c>
      <c r="T249" s="574"/>
      <c r="U249" s="587"/>
      <c r="V249" s="430"/>
    </row>
    <row r="250" spans="1:23" s="431" customFormat="1" x14ac:dyDescent="0.3">
      <c r="A250" s="449"/>
      <c r="B250" s="514" t="s">
        <v>167</v>
      </c>
      <c r="C250" s="603"/>
      <c r="D250" s="603"/>
      <c r="E250" s="603"/>
      <c r="F250" s="450"/>
      <c r="G250" s="602"/>
      <c r="H250" s="603"/>
      <c r="I250" s="603"/>
      <c r="J250" s="603"/>
      <c r="K250" s="603"/>
      <c r="L250" s="603"/>
      <c r="M250" s="603"/>
      <c r="N250" s="603"/>
      <c r="O250" s="603"/>
      <c r="P250" s="514">
        <v>0</v>
      </c>
      <c r="Q250" s="602">
        <f t="shared" si="5"/>
        <v>0</v>
      </c>
      <c r="R250" s="515">
        <v>0</v>
      </c>
      <c r="S250" s="602">
        <f t="shared" si="6"/>
        <v>0</v>
      </c>
      <c r="T250" s="574"/>
      <c r="U250" s="587"/>
      <c r="V250" s="430"/>
      <c r="W250" s="533"/>
    </row>
    <row r="251" spans="1:23" s="431" customFormat="1" x14ac:dyDescent="0.3">
      <c r="A251" s="449"/>
      <c r="B251" s="514"/>
      <c r="C251" s="603"/>
      <c r="D251" s="603"/>
      <c r="E251" s="603"/>
      <c r="F251" s="450"/>
      <c r="G251" s="602"/>
      <c r="H251" s="603"/>
      <c r="I251" s="603"/>
      <c r="J251" s="603"/>
      <c r="K251" s="603"/>
      <c r="L251" s="603"/>
      <c r="M251" s="603"/>
      <c r="N251" s="603"/>
      <c r="O251" s="603"/>
      <c r="P251" s="514"/>
      <c r="Q251" s="602"/>
      <c r="R251" s="515"/>
      <c r="S251" s="602"/>
      <c r="T251" s="574"/>
      <c r="U251" s="587"/>
      <c r="V251" s="430"/>
    </row>
    <row r="252" spans="1:23" s="431" customFormat="1" x14ac:dyDescent="0.3">
      <c r="A252" s="449"/>
      <c r="B252" s="450" t="s">
        <v>120</v>
      </c>
      <c r="C252" s="450"/>
      <c r="D252" s="450"/>
      <c r="E252" s="450"/>
      <c r="F252" s="450"/>
      <c r="G252" s="450"/>
      <c r="H252" s="604"/>
      <c r="I252" s="604"/>
      <c r="J252" s="604"/>
      <c r="K252" s="604"/>
      <c r="L252" s="604"/>
      <c r="M252" s="604"/>
      <c r="N252" s="604"/>
      <c r="O252" s="604"/>
      <c r="P252" s="514">
        <f>SUM(P243:P251)</f>
        <v>3175</v>
      </c>
      <c r="Q252" s="602">
        <f>SUM(Q243:Q251)</f>
        <v>1</v>
      </c>
      <c r="R252" s="515">
        <f>SUM(R243:R251)</f>
        <v>407194</v>
      </c>
      <c r="S252" s="602">
        <f>SUM(S243:S251)</f>
        <v>1</v>
      </c>
      <c r="T252" s="450"/>
      <c r="U252" s="452"/>
      <c r="V252" s="430"/>
    </row>
    <row r="253" spans="1:23" x14ac:dyDescent="0.3">
      <c r="A253" s="418"/>
      <c r="B253" s="516"/>
      <c r="C253" s="516"/>
      <c r="D253" s="516"/>
      <c r="E253" s="516"/>
      <c r="F253" s="516"/>
      <c r="G253" s="516"/>
      <c r="H253" s="608"/>
      <c r="I253" s="608"/>
      <c r="J253" s="608"/>
      <c r="K253" s="608"/>
      <c r="L253" s="608"/>
      <c r="M253" s="608"/>
      <c r="N253" s="608"/>
      <c r="O253" s="608"/>
      <c r="P253" s="517"/>
      <c r="Q253" s="609"/>
      <c r="R253" s="610"/>
      <c r="S253" s="609"/>
      <c r="T253" s="516"/>
      <c r="U253" s="639"/>
      <c r="V253" s="416"/>
    </row>
    <row r="254" spans="1:23" x14ac:dyDescent="0.3">
      <c r="A254" s="442"/>
      <c r="B254" s="521" t="s">
        <v>267</v>
      </c>
      <c r="C254" s="522"/>
      <c r="D254" s="522"/>
      <c r="E254" s="522"/>
      <c r="F254" s="566"/>
      <c r="G254" s="522"/>
      <c r="H254" s="522"/>
      <c r="I254" s="522"/>
      <c r="J254" s="522"/>
      <c r="K254" s="522"/>
      <c r="L254" s="522"/>
      <c r="M254" s="522"/>
      <c r="N254" s="522"/>
      <c r="O254" s="522"/>
      <c r="P254" s="566" t="s">
        <v>105</v>
      </c>
      <c r="Q254" s="522" t="s">
        <v>106</v>
      </c>
      <c r="R254" s="566" t="s">
        <v>114</v>
      </c>
      <c r="S254" s="522" t="s">
        <v>106</v>
      </c>
      <c r="T254" s="443"/>
      <c r="U254" s="446"/>
      <c r="V254" s="416"/>
    </row>
    <row r="255" spans="1:23" s="431" customFormat="1" x14ac:dyDescent="0.3">
      <c r="A255" s="432"/>
      <c r="B255" s="525" t="s">
        <v>91</v>
      </c>
      <c r="C255" s="606"/>
      <c r="D255" s="606"/>
      <c r="E255" s="606"/>
      <c r="F255" s="447"/>
      <c r="G255" s="606"/>
      <c r="H255" s="606"/>
      <c r="I255" s="606"/>
      <c r="J255" s="606"/>
      <c r="K255" s="606"/>
      <c r="L255" s="606"/>
      <c r="M255" s="606"/>
      <c r="N255" s="606"/>
      <c r="O255" s="606"/>
      <c r="P255" s="525">
        <v>29</v>
      </c>
      <c r="Q255" s="607">
        <f t="shared" ref="Q255:Q262" si="7">P255/$P$264</f>
        <v>0.90625</v>
      </c>
      <c r="R255" s="526">
        <v>4671</v>
      </c>
      <c r="S255" s="607">
        <f>R255/$R$264</f>
        <v>0.91930722298760081</v>
      </c>
      <c r="T255" s="447"/>
      <c r="U255" s="641"/>
      <c r="V255" s="430"/>
    </row>
    <row r="256" spans="1:23" s="431" customFormat="1" x14ac:dyDescent="0.3">
      <c r="A256" s="449"/>
      <c r="B256" s="514" t="s">
        <v>92</v>
      </c>
      <c r="C256" s="603"/>
      <c r="D256" s="603"/>
      <c r="E256" s="603"/>
      <c r="F256" s="450"/>
      <c r="G256" s="602"/>
      <c r="H256" s="603"/>
      <c r="I256" s="603"/>
      <c r="J256" s="603"/>
      <c r="K256" s="603"/>
      <c r="L256" s="603"/>
      <c r="M256" s="603"/>
      <c r="N256" s="603"/>
      <c r="O256" s="603"/>
      <c r="P256" s="514">
        <v>1</v>
      </c>
      <c r="Q256" s="602">
        <f t="shared" si="7"/>
        <v>3.125E-2</v>
      </c>
      <c r="R256" s="515">
        <v>123</v>
      </c>
      <c r="S256" s="602">
        <f t="shared" ref="S256:S262" si="8">R256/$R$264</f>
        <v>2.4207833103719739E-2</v>
      </c>
      <c r="T256" s="450"/>
      <c r="U256" s="452"/>
      <c r="V256" s="430"/>
    </row>
    <row r="257" spans="1:22" s="431" customFormat="1" x14ac:dyDescent="0.3">
      <c r="A257" s="449"/>
      <c r="B257" s="514" t="s">
        <v>93</v>
      </c>
      <c r="C257" s="603"/>
      <c r="D257" s="603"/>
      <c r="E257" s="603"/>
      <c r="F257" s="450"/>
      <c r="G257" s="602"/>
      <c r="H257" s="603"/>
      <c r="I257" s="603"/>
      <c r="J257" s="603"/>
      <c r="K257" s="603"/>
      <c r="L257" s="603"/>
      <c r="M257" s="603"/>
      <c r="N257" s="603"/>
      <c r="O257" s="603"/>
      <c r="P257" s="514">
        <v>0</v>
      </c>
      <c r="Q257" s="602">
        <f t="shared" si="7"/>
        <v>0</v>
      </c>
      <c r="R257" s="515">
        <v>0</v>
      </c>
      <c r="S257" s="602">
        <f t="shared" si="8"/>
        <v>0</v>
      </c>
      <c r="T257" s="450"/>
      <c r="U257" s="452"/>
      <c r="V257" s="430"/>
    </row>
    <row r="258" spans="1:22" s="431" customFormat="1" x14ac:dyDescent="0.3">
      <c r="A258" s="449"/>
      <c r="B258" s="514" t="s">
        <v>163</v>
      </c>
      <c r="C258" s="603"/>
      <c r="D258" s="603"/>
      <c r="E258" s="603"/>
      <c r="F258" s="450"/>
      <c r="G258" s="602"/>
      <c r="H258" s="603"/>
      <c r="I258" s="603"/>
      <c r="J258" s="603"/>
      <c r="K258" s="603"/>
      <c r="L258" s="603"/>
      <c r="M258" s="603"/>
      <c r="N258" s="603"/>
      <c r="O258" s="603"/>
      <c r="P258" s="514">
        <v>0</v>
      </c>
      <c r="Q258" s="602">
        <f t="shared" si="7"/>
        <v>0</v>
      </c>
      <c r="R258" s="515">
        <v>0</v>
      </c>
      <c r="S258" s="602">
        <f t="shared" si="8"/>
        <v>0</v>
      </c>
      <c r="T258" s="450"/>
      <c r="U258" s="452"/>
      <c r="V258" s="430"/>
    </row>
    <row r="259" spans="1:22" s="431" customFormat="1" x14ac:dyDescent="0.3">
      <c r="A259" s="449"/>
      <c r="B259" s="514" t="s">
        <v>164</v>
      </c>
      <c r="C259" s="603"/>
      <c r="D259" s="603"/>
      <c r="E259" s="603"/>
      <c r="F259" s="450"/>
      <c r="G259" s="602"/>
      <c r="H259" s="603"/>
      <c r="I259" s="603"/>
      <c r="J259" s="603"/>
      <c r="K259" s="603"/>
      <c r="L259" s="603"/>
      <c r="M259" s="603"/>
      <c r="N259" s="603"/>
      <c r="O259" s="603"/>
      <c r="P259" s="514">
        <v>0</v>
      </c>
      <c r="Q259" s="602">
        <f t="shared" si="7"/>
        <v>0</v>
      </c>
      <c r="R259" s="515">
        <v>0</v>
      </c>
      <c r="S259" s="602">
        <f t="shared" si="8"/>
        <v>0</v>
      </c>
      <c r="T259" s="450"/>
      <c r="U259" s="452"/>
      <c r="V259" s="430"/>
    </row>
    <row r="260" spans="1:22" s="431" customFormat="1" x14ac:dyDescent="0.3">
      <c r="A260" s="449"/>
      <c r="B260" s="514" t="s">
        <v>165</v>
      </c>
      <c r="C260" s="603"/>
      <c r="D260" s="603"/>
      <c r="E260" s="603"/>
      <c r="F260" s="450"/>
      <c r="G260" s="602"/>
      <c r="H260" s="603"/>
      <c r="I260" s="603"/>
      <c r="J260" s="603"/>
      <c r="K260" s="603"/>
      <c r="L260" s="603"/>
      <c r="M260" s="603"/>
      <c r="N260" s="603"/>
      <c r="O260" s="603"/>
      <c r="P260" s="514">
        <v>0</v>
      </c>
      <c r="Q260" s="602">
        <f t="shared" si="7"/>
        <v>0</v>
      </c>
      <c r="R260" s="515">
        <v>0</v>
      </c>
      <c r="S260" s="602">
        <f t="shared" si="8"/>
        <v>0</v>
      </c>
      <c r="T260" s="450"/>
      <c r="U260" s="452"/>
      <c r="V260" s="430"/>
    </row>
    <row r="261" spans="1:22" s="431" customFormat="1" x14ac:dyDescent="0.3">
      <c r="A261" s="449"/>
      <c r="B261" s="514" t="s">
        <v>166</v>
      </c>
      <c r="C261" s="603"/>
      <c r="D261" s="603"/>
      <c r="E261" s="603"/>
      <c r="F261" s="450"/>
      <c r="G261" s="602"/>
      <c r="H261" s="603"/>
      <c r="I261" s="603"/>
      <c r="J261" s="603"/>
      <c r="K261" s="603"/>
      <c r="L261" s="603"/>
      <c r="M261" s="603"/>
      <c r="N261" s="603"/>
      <c r="O261" s="603"/>
      <c r="P261" s="514">
        <v>2</v>
      </c>
      <c r="Q261" s="602">
        <f t="shared" si="7"/>
        <v>6.25E-2</v>
      </c>
      <c r="R261" s="515">
        <v>287</v>
      </c>
      <c r="S261" s="602">
        <f t="shared" si="8"/>
        <v>5.6484943908679391E-2</v>
      </c>
      <c r="T261" s="450"/>
      <c r="U261" s="452"/>
      <c r="V261" s="430"/>
    </row>
    <row r="262" spans="1:22" s="431" customFormat="1" x14ac:dyDescent="0.3">
      <c r="A262" s="449"/>
      <c r="B262" s="514" t="s">
        <v>167</v>
      </c>
      <c r="C262" s="603"/>
      <c r="D262" s="603"/>
      <c r="E262" s="603"/>
      <c r="F262" s="450"/>
      <c r="G262" s="602"/>
      <c r="H262" s="603"/>
      <c r="I262" s="603"/>
      <c r="J262" s="603"/>
      <c r="K262" s="603"/>
      <c r="L262" s="603"/>
      <c r="M262" s="603"/>
      <c r="N262" s="603"/>
      <c r="O262" s="603"/>
      <c r="P262" s="514">
        <v>0</v>
      </c>
      <c r="Q262" s="602">
        <f t="shared" si="7"/>
        <v>0</v>
      </c>
      <c r="R262" s="515">
        <v>0</v>
      </c>
      <c r="S262" s="602">
        <f t="shared" si="8"/>
        <v>0</v>
      </c>
      <c r="T262" s="450"/>
      <c r="U262" s="452"/>
      <c r="V262" s="430"/>
    </row>
    <row r="263" spans="1:22" s="431" customFormat="1" x14ac:dyDescent="0.3">
      <c r="A263" s="449"/>
      <c r="B263" s="514"/>
      <c r="C263" s="603"/>
      <c r="D263" s="603"/>
      <c r="E263" s="603"/>
      <c r="F263" s="450"/>
      <c r="G263" s="602"/>
      <c r="H263" s="603"/>
      <c r="I263" s="603"/>
      <c r="J263" s="603"/>
      <c r="K263" s="603"/>
      <c r="L263" s="603"/>
      <c r="M263" s="603"/>
      <c r="N263" s="603"/>
      <c r="O263" s="603"/>
      <c r="P263" s="514"/>
      <c r="Q263" s="602"/>
      <c r="R263" s="515"/>
      <c r="S263" s="602"/>
      <c r="T263" s="450"/>
      <c r="U263" s="452"/>
      <c r="V263" s="430"/>
    </row>
    <row r="264" spans="1:22" s="431" customFormat="1" x14ac:dyDescent="0.3">
      <c r="A264" s="449"/>
      <c r="B264" s="450" t="s">
        <v>120</v>
      </c>
      <c r="C264" s="450"/>
      <c r="D264" s="450"/>
      <c r="E264" s="450"/>
      <c r="F264" s="450"/>
      <c r="G264" s="450"/>
      <c r="H264" s="604"/>
      <c r="I264" s="604"/>
      <c r="J264" s="604"/>
      <c r="K264" s="604"/>
      <c r="L264" s="604"/>
      <c r="M264" s="604"/>
      <c r="N264" s="604"/>
      <c r="O264" s="604"/>
      <c r="P264" s="514">
        <f>SUM(P255:P263)</f>
        <v>32</v>
      </c>
      <c r="Q264" s="602">
        <f>SUM(Q255:Q263)</f>
        <v>1</v>
      </c>
      <c r="R264" s="515">
        <f>SUM(R255:R263)</f>
        <v>5081</v>
      </c>
      <c r="S264" s="602">
        <f>SUM(S255:S263)</f>
        <v>1</v>
      </c>
      <c r="T264" s="450"/>
      <c r="U264" s="452"/>
      <c r="V264" s="430"/>
    </row>
    <row r="265" spans="1:22" x14ac:dyDescent="0.3">
      <c r="A265" s="418"/>
      <c r="B265" s="516"/>
      <c r="C265" s="516"/>
      <c r="D265" s="516"/>
      <c r="E265" s="516"/>
      <c r="F265" s="516"/>
      <c r="G265" s="516"/>
      <c r="H265" s="608"/>
      <c r="I265" s="608"/>
      <c r="J265" s="608"/>
      <c r="K265" s="608"/>
      <c r="L265" s="608"/>
      <c r="M265" s="608"/>
      <c r="N265" s="608"/>
      <c r="O265" s="608"/>
      <c r="P265" s="517"/>
      <c r="Q265" s="609"/>
      <c r="R265" s="610"/>
      <c r="S265" s="609"/>
      <c r="T265" s="516"/>
      <c r="U265" s="639"/>
      <c r="V265" s="416"/>
    </row>
    <row r="266" spans="1:22" x14ac:dyDescent="0.3">
      <c r="A266" s="442"/>
      <c r="B266" s="521" t="s">
        <v>170</v>
      </c>
      <c r="C266" s="443"/>
      <c r="D266" s="443"/>
      <c r="E266" s="443"/>
      <c r="F266" s="443"/>
      <c r="G266" s="443"/>
      <c r="H266" s="611"/>
      <c r="I266" s="611"/>
      <c r="J266" s="611"/>
      <c r="K266" s="611"/>
      <c r="L266" s="611"/>
      <c r="M266" s="611"/>
      <c r="N266" s="611"/>
      <c r="O266" s="611"/>
      <c r="P266" s="566" t="s">
        <v>105</v>
      </c>
      <c r="Q266" s="522" t="s">
        <v>106</v>
      </c>
      <c r="R266" s="566" t="s">
        <v>114</v>
      </c>
      <c r="S266" s="522" t="s">
        <v>106</v>
      </c>
      <c r="T266" s="443"/>
      <c r="U266" s="446"/>
      <c r="V266" s="416"/>
    </row>
    <row r="267" spans="1:22" s="431" customFormat="1" x14ac:dyDescent="0.3">
      <c r="A267" s="432"/>
      <c r="B267" s="525" t="s">
        <v>91</v>
      </c>
      <c r="C267" s="447"/>
      <c r="D267" s="447"/>
      <c r="E267" s="447"/>
      <c r="F267" s="447"/>
      <c r="G267" s="447"/>
      <c r="H267" s="612"/>
      <c r="I267" s="612"/>
      <c r="J267" s="612"/>
      <c r="K267" s="612"/>
      <c r="L267" s="612"/>
      <c r="M267" s="612"/>
      <c r="N267" s="612"/>
      <c r="O267" s="612"/>
      <c r="P267" s="525">
        <v>0</v>
      </c>
      <c r="Q267" s="607">
        <v>0</v>
      </c>
      <c r="R267" s="526">
        <v>0</v>
      </c>
      <c r="S267" s="607">
        <v>0</v>
      </c>
      <c r="T267" s="447"/>
      <c r="U267" s="641"/>
      <c r="V267" s="430"/>
    </row>
    <row r="268" spans="1:22" s="431" customFormat="1" x14ac:dyDescent="0.3">
      <c r="A268" s="449"/>
      <c r="B268" s="514" t="s">
        <v>92</v>
      </c>
      <c r="C268" s="450"/>
      <c r="D268" s="450"/>
      <c r="E268" s="450"/>
      <c r="F268" s="450"/>
      <c r="G268" s="450"/>
      <c r="H268" s="604"/>
      <c r="I268" s="604"/>
      <c r="J268" s="604"/>
      <c r="K268" s="604"/>
      <c r="L268" s="604"/>
      <c r="M268" s="604"/>
      <c r="N268" s="604"/>
      <c r="O268" s="604"/>
      <c r="P268" s="514">
        <v>0</v>
      </c>
      <c r="Q268" s="602">
        <v>0</v>
      </c>
      <c r="R268" s="515">
        <v>0</v>
      </c>
      <c r="S268" s="602">
        <v>0</v>
      </c>
      <c r="T268" s="450"/>
      <c r="U268" s="452"/>
      <c r="V268" s="430"/>
    </row>
    <row r="269" spans="1:22" s="431" customFormat="1" x14ac:dyDescent="0.3">
      <c r="A269" s="449"/>
      <c r="B269" s="514" t="s">
        <v>93</v>
      </c>
      <c r="C269" s="450"/>
      <c r="D269" s="450"/>
      <c r="E269" s="450"/>
      <c r="F269" s="450"/>
      <c r="G269" s="450"/>
      <c r="H269" s="604"/>
      <c r="I269" s="604"/>
      <c r="J269" s="604"/>
      <c r="K269" s="604"/>
      <c r="L269" s="604"/>
      <c r="M269" s="604"/>
      <c r="N269" s="604"/>
      <c r="O269" s="604"/>
      <c r="P269" s="514">
        <v>0</v>
      </c>
      <c r="Q269" s="602">
        <v>0</v>
      </c>
      <c r="R269" s="515">
        <v>0</v>
      </c>
      <c r="S269" s="602">
        <v>0</v>
      </c>
      <c r="T269" s="450"/>
      <c r="U269" s="452"/>
      <c r="V269" s="430"/>
    </row>
    <row r="270" spans="1:22" s="431" customFormat="1" x14ac:dyDescent="0.3">
      <c r="A270" s="449"/>
      <c r="B270" s="514" t="s">
        <v>163</v>
      </c>
      <c r="C270" s="450"/>
      <c r="D270" s="450"/>
      <c r="E270" s="450"/>
      <c r="F270" s="450"/>
      <c r="G270" s="450"/>
      <c r="H270" s="604"/>
      <c r="I270" s="604"/>
      <c r="J270" s="604"/>
      <c r="K270" s="604"/>
      <c r="L270" s="604"/>
      <c r="M270" s="604"/>
      <c r="N270" s="604"/>
      <c r="O270" s="604"/>
      <c r="P270" s="514">
        <v>0</v>
      </c>
      <c r="Q270" s="602">
        <v>0</v>
      </c>
      <c r="R270" s="515">
        <v>0</v>
      </c>
      <c r="S270" s="602">
        <v>0</v>
      </c>
      <c r="T270" s="450"/>
      <c r="U270" s="452"/>
      <c r="V270" s="430"/>
    </row>
    <row r="271" spans="1:22" s="431" customFormat="1" x14ac:dyDescent="0.3">
      <c r="A271" s="449"/>
      <c r="B271" s="514" t="s">
        <v>164</v>
      </c>
      <c r="C271" s="450"/>
      <c r="D271" s="450"/>
      <c r="E271" s="450"/>
      <c r="F271" s="450"/>
      <c r="G271" s="450"/>
      <c r="H271" s="604"/>
      <c r="I271" s="604"/>
      <c r="J271" s="604"/>
      <c r="K271" s="604"/>
      <c r="L271" s="604"/>
      <c r="M271" s="604"/>
      <c r="N271" s="604"/>
      <c r="O271" s="604"/>
      <c r="P271" s="514">
        <v>0</v>
      </c>
      <c r="Q271" s="602">
        <v>0</v>
      </c>
      <c r="R271" s="515">
        <v>0</v>
      </c>
      <c r="S271" s="602">
        <v>0</v>
      </c>
      <c r="T271" s="450"/>
      <c r="U271" s="452"/>
      <c r="V271" s="430"/>
    </row>
    <row r="272" spans="1:22" s="431" customFormat="1" x14ac:dyDescent="0.3">
      <c r="A272" s="449"/>
      <c r="B272" s="514" t="s">
        <v>165</v>
      </c>
      <c r="C272" s="450"/>
      <c r="D272" s="450"/>
      <c r="E272" s="450"/>
      <c r="F272" s="450"/>
      <c r="G272" s="450"/>
      <c r="H272" s="604"/>
      <c r="I272" s="604"/>
      <c r="J272" s="604"/>
      <c r="K272" s="604"/>
      <c r="L272" s="604"/>
      <c r="M272" s="604"/>
      <c r="N272" s="604"/>
      <c r="O272" s="604"/>
      <c r="P272" s="514">
        <v>0</v>
      </c>
      <c r="Q272" s="602">
        <v>0</v>
      </c>
      <c r="R272" s="515">
        <v>0</v>
      </c>
      <c r="S272" s="602">
        <v>0</v>
      </c>
      <c r="T272" s="450"/>
      <c r="U272" s="452"/>
      <c r="V272" s="430"/>
    </row>
    <row r="273" spans="1:22" s="431" customFormat="1" x14ac:dyDescent="0.3">
      <c r="A273" s="449"/>
      <c r="B273" s="514" t="s">
        <v>166</v>
      </c>
      <c r="C273" s="450"/>
      <c r="D273" s="450"/>
      <c r="E273" s="450"/>
      <c r="F273" s="450"/>
      <c r="G273" s="450"/>
      <c r="H273" s="604"/>
      <c r="I273" s="604"/>
      <c r="J273" s="604"/>
      <c r="K273" s="604"/>
      <c r="L273" s="604"/>
      <c r="M273" s="604"/>
      <c r="N273" s="604"/>
      <c r="O273" s="604"/>
      <c r="P273" s="514">
        <v>0</v>
      </c>
      <c r="Q273" s="602">
        <v>0</v>
      </c>
      <c r="R273" s="515">
        <v>0</v>
      </c>
      <c r="S273" s="602">
        <v>0</v>
      </c>
      <c r="T273" s="450"/>
      <c r="U273" s="452"/>
      <c r="V273" s="430"/>
    </row>
    <row r="274" spans="1:22" s="431" customFormat="1" x14ac:dyDescent="0.3">
      <c r="A274" s="449"/>
      <c r="B274" s="514" t="s">
        <v>167</v>
      </c>
      <c r="C274" s="450"/>
      <c r="D274" s="450"/>
      <c r="E274" s="450"/>
      <c r="F274" s="450"/>
      <c r="G274" s="450"/>
      <c r="H274" s="604"/>
      <c r="I274" s="604"/>
      <c r="J274" s="604"/>
      <c r="K274" s="604"/>
      <c r="L274" s="604"/>
      <c r="M274" s="604"/>
      <c r="N274" s="604"/>
      <c r="O274" s="604"/>
      <c r="P274" s="514">
        <v>0</v>
      </c>
      <c r="Q274" s="602">
        <v>0</v>
      </c>
      <c r="R274" s="515">
        <v>0</v>
      </c>
      <c r="S274" s="602">
        <v>0</v>
      </c>
      <c r="T274" s="450"/>
      <c r="U274" s="452"/>
      <c r="V274" s="430"/>
    </row>
    <row r="275" spans="1:22" s="431" customFormat="1" x14ac:dyDescent="0.3">
      <c r="A275" s="449"/>
      <c r="B275" s="514"/>
      <c r="C275" s="450"/>
      <c r="D275" s="450"/>
      <c r="E275" s="450"/>
      <c r="F275" s="450"/>
      <c r="G275" s="450"/>
      <c r="H275" s="604"/>
      <c r="I275" s="604"/>
      <c r="J275" s="604"/>
      <c r="K275" s="604"/>
      <c r="L275" s="604"/>
      <c r="M275" s="604"/>
      <c r="N275" s="604"/>
      <c r="O275" s="604"/>
      <c r="P275" s="514"/>
      <c r="Q275" s="602"/>
      <c r="R275" s="515"/>
      <c r="S275" s="602"/>
      <c r="T275" s="450"/>
      <c r="U275" s="452"/>
      <c r="V275" s="430"/>
    </row>
    <row r="276" spans="1:22" s="431" customFormat="1" x14ac:dyDescent="0.3">
      <c r="A276" s="449"/>
      <c r="B276" s="450" t="s">
        <v>120</v>
      </c>
      <c r="C276" s="450"/>
      <c r="D276" s="450"/>
      <c r="E276" s="450"/>
      <c r="F276" s="450"/>
      <c r="G276" s="450"/>
      <c r="H276" s="604"/>
      <c r="I276" s="604"/>
      <c r="J276" s="604"/>
      <c r="K276" s="604"/>
      <c r="L276" s="604"/>
      <c r="M276" s="604"/>
      <c r="N276" s="604"/>
      <c r="O276" s="604"/>
      <c r="P276" s="514">
        <f>SUM(P267:P274)</f>
        <v>0</v>
      </c>
      <c r="Q276" s="602">
        <f>SUM(Q267:Q275)</f>
        <v>0</v>
      </c>
      <c r="R276" s="515">
        <f>SUM(R267:R274)</f>
        <v>0</v>
      </c>
      <c r="S276" s="602">
        <f>SUM(S267:S275)</f>
        <v>0</v>
      </c>
      <c r="T276" s="450"/>
      <c r="U276" s="452"/>
      <c r="V276" s="430"/>
    </row>
    <row r="277" spans="1:22" s="431" customFormat="1" x14ac:dyDescent="0.3">
      <c r="A277" s="449"/>
      <c r="B277" s="450"/>
      <c r="C277" s="450"/>
      <c r="D277" s="450"/>
      <c r="E277" s="450"/>
      <c r="F277" s="450"/>
      <c r="G277" s="450"/>
      <c r="H277" s="604"/>
      <c r="I277" s="604"/>
      <c r="J277" s="604"/>
      <c r="K277" s="604"/>
      <c r="L277" s="604"/>
      <c r="M277" s="604"/>
      <c r="N277" s="604"/>
      <c r="O277" s="604"/>
      <c r="P277" s="514"/>
      <c r="Q277" s="602"/>
      <c r="R277" s="515"/>
      <c r="S277" s="602"/>
      <c r="T277" s="450"/>
      <c r="U277" s="452"/>
      <c r="V277" s="430"/>
    </row>
    <row r="278" spans="1:22" s="431" customFormat="1" x14ac:dyDescent="0.3">
      <c r="A278" s="449"/>
      <c r="B278" s="455" t="s">
        <v>171</v>
      </c>
      <c r="C278" s="450"/>
      <c r="D278" s="450"/>
      <c r="E278" s="450"/>
      <c r="F278" s="450"/>
      <c r="G278" s="450"/>
      <c r="H278" s="604"/>
      <c r="I278" s="604"/>
      <c r="J278" s="604"/>
      <c r="K278" s="604"/>
      <c r="L278" s="604"/>
      <c r="M278" s="604"/>
      <c r="N278" s="604"/>
      <c r="O278" s="604"/>
      <c r="P278" s="613">
        <f>P276+P264+P252</f>
        <v>3207</v>
      </c>
      <c r="Q278" s="602"/>
      <c r="R278" s="614">
        <f>+R276+R264+R252</f>
        <v>412275</v>
      </c>
      <c r="S278" s="602"/>
      <c r="T278" s="450"/>
      <c r="U278" s="452"/>
      <c r="V278" s="430"/>
    </row>
    <row r="279" spans="1:22" s="431" customFormat="1" x14ac:dyDescent="0.3">
      <c r="A279" s="432"/>
      <c r="B279" s="447"/>
      <c r="C279" s="447"/>
      <c r="D279" s="447"/>
      <c r="E279" s="447"/>
      <c r="F279" s="447"/>
      <c r="G279" s="447"/>
      <c r="H279" s="612"/>
      <c r="I279" s="612"/>
      <c r="J279" s="612"/>
      <c r="K279" s="612"/>
      <c r="L279" s="612"/>
      <c r="M279" s="612"/>
      <c r="N279" s="612"/>
      <c r="O279" s="612"/>
      <c r="P279" s="612"/>
      <c r="Q279" s="612"/>
      <c r="R279" s="526"/>
      <c r="S279" s="612"/>
      <c r="T279" s="447"/>
      <c r="U279" s="641"/>
      <c r="V279" s="430"/>
    </row>
    <row r="280" spans="1:22" s="431" customFormat="1" x14ac:dyDescent="0.3">
      <c r="A280" s="432"/>
      <c r="B280" s="447"/>
      <c r="C280" s="433"/>
      <c r="D280" s="433"/>
      <c r="E280" s="433"/>
      <c r="F280" s="433"/>
      <c r="G280" s="433"/>
      <c r="H280" s="615"/>
      <c r="I280" s="615"/>
      <c r="J280" s="615"/>
      <c r="K280" s="615"/>
      <c r="L280" s="615"/>
      <c r="M280" s="615"/>
      <c r="N280" s="615"/>
      <c r="O280" s="615"/>
      <c r="P280" s="615"/>
      <c r="Q280" s="615"/>
      <c r="R280" s="616"/>
      <c r="S280" s="615"/>
      <c r="T280" s="433"/>
      <c r="U280" s="641"/>
      <c r="V280" s="430"/>
    </row>
    <row r="281" spans="1:22" s="431" customFormat="1" x14ac:dyDescent="0.3">
      <c r="A281" s="432"/>
      <c r="B281" s="428" t="s">
        <v>94</v>
      </c>
      <c r="C281" s="433"/>
      <c r="D281" s="433"/>
      <c r="E281" s="433"/>
      <c r="F281" s="437" t="s">
        <v>100</v>
      </c>
      <c r="G281" s="433"/>
      <c r="H281" s="428" t="s">
        <v>102</v>
      </c>
      <c r="I281" s="433"/>
      <c r="J281" s="433"/>
      <c r="K281" s="433"/>
      <c r="L281" s="433"/>
      <c r="M281" s="433"/>
      <c r="N281" s="433"/>
      <c r="O281" s="433"/>
      <c r="P281" s="433"/>
      <c r="Q281" s="433"/>
      <c r="R281" s="433"/>
      <c r="S281" s="433"/>
      <c r="T281" s="433"/>
      <c r="U281" s="641"/>
      <c r="V281" s="430"/>
    </row>
    <row r="282" spans="1:22" s="431" customFormat="1" x14ac:dyDescent="0.3">
      <c r="A282" s="432"/>
      <c r="B282" s="428" t="s">
        <v>317</v>
      </c>
      <c r="C282" s="428"/>
      <c r="D282" s="428"/>
      <c r="E282" s="428"/>
      <c r="F282" s="617" t="s">
        <v>269</v>
      </c>
      <c r="G282" s="428"/>
      <c r="H282" s="428" t="s">
        <v>357</v>
      </c>
      <c r="I282" s="433"/>
      <c r="J282" s="433"/>
      <c r="K282" s="433"/>
      <c r="L282" s="433"/>
      <c r="M282" s="433"/>
      <c r="N282" s="433"/>
      <c r="O282" s="433"/>
      <c r="P282" s="433"/>
      <c r="Q282" s="433"/>
      <c r="R282" s="433"/>
      <c r="S282" s="433"/>
      <c r="T282" s="433"/>
      <c r="U282" s="641"/>
      <c r="V282" s="430"/>
    </row>
    <row r="283" spans="1:22" s="431" customFormat="1" x14ac:dyDescent="0.3">
      <c r="A283" s="432"/>
      <c r="B283" s="428" t="s">
        <v>318</v>
      </c>
      <c r="C283" s="428"/>
      <c r="D283" s="428"/>
      <c r="E283" s="428"/>
      <c r="F283" s="617" t="s">
        <v>153</v>
      </c>
      <c r="G283" s="428"/>
      <c r="H283" s="428" t="s">
        <v>358</v>
      </c>
      <c r="I283" s="433"/>
      <c r="J283" s="433"/>
      <c r="K283" s="433"/>
      <c r="L283" s="433"/>
      <c r="M283" s="433"/>
      <c r="N283" s="433"/>
      <c r="O283" s="433"/>
      <c r="P283" s="433"/>
      <c r="Q283" s="433"/>
      <c r="R283" s="433"/>
      <c r="S283" s="433"/>
      <c r="T283" s="433"/>
      <c r="U283" s="641"/>
      <c r="V283" s="430"/>
    </row>
    <row r="284" spans="1:22" s="431" customFormat="1" x14ac:dyDescent="0.3">
      <c r="A284" s="432"/>
      <c r="B284" s="428"/>
      <c r="C284" s="428"/>
      <c r="D284" s="428"/>
      <c r="E284" s="428"/>
      <c r="F284" s="617"/>
      <c r="G284" s="428"/>
      <c r="H284" s="428"/>
      <c r="I284" s="433"/>
      <c r="J284" s="433"/>
      <c r="K284" s="433"/>
      <c r="L284" s="433"/>
      <c r="M284" s="433"/>
      <c r="N284" s="433"/>
      <c r="O284" s="433"/>
      <c r="P284" s="433"/>
      <c r="Q284" s="433"/>
      <c r="R284" s="433"/>
      <c r="S284" s="433"/>
      <c r="T284" s="433"/>
      <c r="U284" s="641"/>
      <c r="V284" s="430"/>
    </row>
    <row r="285" spans="1:22" s="431" customFormat="1" x14ac:dyDescent="0.3">
      <c r="A285" s="432"/>
      <c r="B285" s="447" t="s">
        <v>354</v>
      </c>
      <c r="C285" s="428"/>
      <c r="D285" s="428"/>
      <c r="E285" s="428"/>
      <c r="F285" s="617"/>
      <c r="G285" s="428"/>
      <c r="H285" s="428"/>
      <c r="I285" s="433"/>
      <c r="J285" s="433"/>
      <c r="K285" s="433"/>
      <c r="L285" s="433"/>
      <c r="M285" s="433"/>
      <c r="N285" s="433"/>
      <c r="O285" s="433"/>
      <c r="P285" s="433"/>
      <c r="Q285" s="433"/>
      <c r="R285" s="433"/>
      <c r="S285" s="433"/>
      <c r="T285" s="433"/>
      <c r="U285" s="641"/>
      <c r="V285" s="430"/>
    </row>
    <row r="286" spans="1:22" s="431" customFormat="1" x14ac:dyDescent="0.3">
      <c r="A286" s="432"/>
      <c r="B286" s="447" t="s">
        <v>359</v>
      </c>
      <c r="C286" s="428"/>
      <c r="D286" s="428"/>
      <c r="E286" s="428"/>
      <c r="F286" s="617"/>
      <c r="G286" s="428"/>
      <c r="H286" s="428"/>
      <c r="I286" s="433"/>
      <c r="J286" s="433"/>
      <c r="K286" s="433"/>
      <c r="L286" s="433"/>
      <c r="M286" s="433"/>
      <c r="N286" s="433"/>
      <c r="O286" s="433"/>
      <c r="P286" s="433"/>
      <c r="Q286" s="433"/>
      <c r="R286" s="433"/>
      <c r="S286" s="433"/>
      <c r="T286" s="433"/>
      <c r="U286" s="641"/>
      <c r="V286" s="430"/>
    </row>
    <row r="287" spans="1:22" s="431" customFormat="1" x14ac:dyDescent="0.3">
      <c r="A287" s="432"/>
      <c r="B287" s="447" t="s">
        <v>352</v>
      </c>
      <c r="C287" s="428"/>
      <c r="D287" s="428"/>
      <c r="E287" s="428"/>
      <c r="F287" s="617"/>
      <c r="G287" s="428"/>
      <c r="H287" s="428"/>
      <c r="I287" s="433"/>
      <c r="J287" s="433"/>
      <c r="K287" s="433"/>
      <c r="L287" s="433"/>
      <c r="M287" s="433"/>
      <c r="N287" s="433"/>
      <c r="O287" s="433"/>
      <c r="P287" s="433"/>
      <c r="Q287" s="433"/>
      <c r="R287" s="433"/>
      <c r="S287" s="433"/>
      <c r="T287" s="433"/>
      <c r="U287" s="641"/>
      <c r="V287" s="430"/>
    </row>
    <row r="288" spans="1:22" s="431" customFormat="1" x14ac:dyDescent="0.3">
      <c r="A288" s="432"/>
      <c r="B288" s="447" t="s">
        <v>351</v>
      </c>
      <c r="C288" s="428"/>
      <c r="D288" s="428"/>
      <c r="E288" s="428"/>
      <c r="F288" s="617"/>
      <c r="G288" s="428"/>
      <c r="H288" s="428"/>
      <c r="I288" s="433"/>
      <c r="J288" s="433"/>
      <c r="K288" s="433"/>
      <c r="L288" s="433"/>
      <c r="M288" s="433"/>
      <c r="N288" s="433"/>
      <c r="O288" s="433"/>
      <c r="P288" s="433"/>
      <c r="Q288" s="433"/>
      <c r="R288" s="433"/>
      <c r="S288" s="433"/>
      <c r="T288" s="433"/>
      <c r="U288" s="641"/>
      <c r="V288" s="430"/>
    </row>
    <row r="289" spans="1:22" x14ac:dyDescent="0.3">
      <c r="A289" s="418"/>
      <c r="B289" s="618"/>
      <c r="C289" s="619"/>
      <c r="D289" s="619"/>
      <c r="E289" s="619"/>
      <c r="F289" s="620"/>
      <c r="G289" s="619"/>
      <c r="H289" s="619"/>
      <c r="I289" s="621"/>
      <c r="J289" s="621"/>
      <c r="K289" s="621"/>
      <c r="L289" s="420"/>
      <c r="M289" s="420"/>
      <c r="N289" s="420"/>
      <c r="O289" s="420"/>
      <c r="P289" s="420"/>
      <c r="Q289" s="420"/>
      <c r="R289" s="420"/>
      <c r="S289" s="420"/>
      <c r="T289" s="420"/>
      <c r="U289" s="639"/>
      <c r="V289" s="416"/>
    </row>
    <row r="290" spans="1:22" ht="18" x14ac:dyDescent="0.35">
      <c r="A290" s="418"/>
      <c r="B290" s="622" t="s">
        <v>353</v>
      </c>
      <c r="C290" s="619"/>
      <c r="D290" s="619"/>
      <c r="E290" s="619"/>
      <c r="F290" s="619"/>
      <c r="G290" s="619"/>
      <c r="H290" s="621"/>
      <c r="I290" s="621"/>
      <c r="J290" s="621"/>
      <c r="K290" s="621"/>
      <c r="L290" s="420"/>
      <c r="M290" s="420"/>
      <c r="N290" s="623"/>
      <c r="O290" s="420"/>
      <c r="P290" s="624" t="s">
        <v>356</v>
      </c>
      <c r="Q290" s="420"/>
      <c r="R290" s="420"/>
      <c r="S290" s="420"/>
      <c r="T290" s="420"/>
      <c r="U290" s="639"/>
      <c r="V290" s="416"/>
    </row>
    <row r="291" spans="1:22" x14ac:dyDescent="0.3">
      <c r="A291" s="418"/>
      <c r="B291" s="619"/>
      <c r="C291" s="619"/>
      <c r="D291" s="619"/>
      <c r="E291" s="619"/>
      <c r="F291" s="619"/>
      <c r="G291" s="619"/>
      <c r="H291" s="621"/>
      <c r="I291" s="621"/>
      <c r="J291" s="621"/>
      <c r="K291" s="621"/>
      <c r="L291" s="420"/>
      <c r="M291" s="420"/>
      <c r="N291" s="420"/>
      <c r="O291" s="420"/>
      <c r="P291" s="420"/>
      <c r="Q291" s="420"/>
      <c r="R291" s="420"/>
      <c r="S291" s="420"/>
      <c r="T291" s="420"/>
      <c r="U291" s="639"/>
      <c r="V291" s="416"/>
    </row>
    <row r="292" spans="1:22" ht="18.600000000000001" thickBot="1" x14ac:dyDescent="0.4">
      <c r="A292" s="418"/>
      <c r="B292" s="625" t="str">
        <f>B192</f>
        <v>PM11 INVESTOR REPORT QUARTER ENDING MARCH 2018</v>
      </c>
      <c r="C292" s="619"/>
      <c r="D292" s="619"/>
      <c r="E292" s="619"/>
      <c r="F292" s="619"/>
      <c r="G292" s="619"/>
      <c r="H292" s="621"/>
      <c r="I292" s="621"/>
      <c r="J292" s="621"/>
      <c r="K292" s="621"/>
      <c r="L292" s="420"/>
      <c r="M292" s="420"/>
      <c r="N292" s="420"/>
      <c r="O292" s="420"/>
      <c r="P292" s="420"/>
      <c r="Q292" s="420"/>
      <c r="R292" s="420"/>
      <c r="S292" s="420"/>
      <c r="T292" s="420"/>
      <c r="U292" s="556"/>
      <c r="V292" s="416"/>
    </row>
    <row r="293" spans="1:22" x14ac:dyDescent="0.3">
      <c r="A293" s="626"/>
      <c r="B293" s="626"/>
      <c r="C293" s="626"/>
      <c r="D293" s="626"/>
      <c r="E293" s="626"/>
      <c r="F293" s="626"/>
      <c r="G293" s="626"/>
      <c r="H293" s="626"/>
      <c r="I293" s="626"/>
      <c r="J293" s="626"/>
      <c r="K293" s="626"/>
      <c r="L293" s="626"/>
      <c r="M293" s="626"/>
      <c r="N293" s="626"/>
      <c r="O293" s="626"/>
      <c r="P293" s="626"/>
      <c r="Q293" s="626"/>
      <c r="R293" s="626"/>
      <c r="S293" s="626"/>
      <c r="T293" s="626"/>
      <c r="U293" s="626"/>
    </row>
  </sheetData>
  <hyperlinks>
    <hyperlink ref="J9" r:id="rId1" display="http://www.paragon-group.co.uk" xr:uid="{00000000-0004-0000-2F00-000000000000}"/>
    <hyperlink ref="P290" r:id="rId2" display="http://www.paragon-group.co.uk" xr:uid="{00000000-0004-0000-2F00-000001000000}"/>
    <hyperlink ref="N228" r:id="rId3" display="http://www.paragon-group.co.uk" xr:uid="{00000000-0004-0000-2F00-000002000000}"/>
  </hyperlinks>
  <printOptions horizontalCentered="1" verticalCentered="1"/>
  <pageMargins left="0.19685039370078741" right="0.19685039370078741" top="0.27559055118110237" bottom="0.27559055118110237" header="0" footer="0"/>
  <pageSetup scale="40" orientation="landscape" r:id="rId4"/>
  <headerFooter alignWithMargins="0"/>
  <rowBreaks count="3" manualBreakCount="3">
    <brk id="63" max="20" man="1"/>
    <brk id="132" max="20" man="1"/>
    <brk id="192" max="20" man="1"/>
  </rowBreaks>
  <drawing r:id="rId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89CB31"/>
  </sheetPr>
  <dimension ref="A1:X293"/>
  <sheetViews>
    <sheetView showGridLines="0" showOutlineSymbols="0" zoomScale="70" zoomScaleNormal="70" workbookViewId="0"/>
  </sheetViews>
  <sheetFormatPr defaultColWidth="9.81640625" defaultRowHeight="15.6" x14ac:dyDescent="0.3"/>
  <cols>
    <col min="1" max="1" width="4" style="417" customWidth="1"/>
    <col min="2" max="2" width="71.08984375" style="417" customWidth="1"/>
    <col min="3" max="3" width="2.08984375" style="417" customWidth="1"/>
    <col min="4" max="4" width="19.1796875" style="417" customWidth="1"/>
    <col min="5" max="5" width="2.08984375" style="417" customWidth="1"/>
    <col min="6" max="6" width="25.08984375" style="417" customWidth="1"/>
    <col min="7" max="7" width="2.08984375" style="417" customWidth="1"/>
    <col min="8" max="8" width="16.08984375" style="417" customWidth="1"/>
    <col min="9" max="9" width="2.08984375" style="417" customWidth="1"/>
    <col min="10" max="10" width="17.81640625" style="417" customWidth="1"/>
    <col min="11" max="11" width="2.1796875" style="417" customWidth="1"/>
    <col min="12" max="12" width="14.81640625" style="417" customWidth="1"/>
    <col min="13" max="13" width="2.1796875" style="417" customWidth="1"/>
    <col min="14" max="14" width="15.54296875" style="417" customWidth="1"/>
    <col min="15" max="15" width="2.08984375" style="417" customWidth="1"/>
    <col min="16" max="16" width="15.54296875" style="417" customWidth="1"/>
    <col min="17" max="18" width="12.81640625" style="417" customWidth="1"/>
    <col min="19" max="19" width="7.81640625" style="417" customWidth="1"/>
    <col min="20" max="20" width="14.81640625" style="417" customWidth="1"/>
    <col min="21" max="21" width="11.81640625" style="417" customWidth="1"/>
    <col min="22" max="16384" width="9.81640625" style="417"/>
  </cols>
  <sheetData>
    <row r="1" spans="1:22" ht="21" x14ac:dyDescent="0.4">
      <c r="A1" s="413"/>
      <c r="B1" s="414" t="s">
        <v>228</v>
      </c>
      <c r="C1" s="415"/>
      <c r="D1" s="415"/>
      <c r="E1" s="415"/>
      <c r="F1" s="415"/>
      <c r="G1" s="415"/>
      <c r="H1" s="415"/>
      <c r="I1" s="415"/>
      <c r="J1" s="415"/>
      <c r="K1" s="415"/>
      <c r="L1" s="415"/>
      <c r="M1" s="415"/>
      <c r="N1" s="415"/>
      <c r="O1" s="415"/>
      <c r="P1" s="415"/>
      <c r="Q1" s="415"/>
      <c r="R1" s="415"/>
      <c r="S1" s="415"/>
      <c r="T1" s="415"/>
      <c r="U1" s="638"/>
      <c r="V1" s="416"/>
    </row>
    <row r="2" spans="1:22" x14ac:dyDescent="0.3">
      <c r="A2" s="418"/>
      <c r="B2" s="419"/>
      <c r="C2" s="420"/>
      <c r="D2" s="420"/>
      <c r="E2" s="420"/>
      <c r="F2" s="420"/>
      <c r="G2" s="420"/>
      <c r="H2" s="420"/>
      <c r="I2" s="420"/>
      <c r="J2" s="420"/>
      <c r="K2" s="420"/>
      <c r="L2" s="420"/>
      <c r="M2" s="420"/>
      <c r="N2" s="420"/>
      <c r="O2" s="420"/>
      <c r="P2" s="420"/>
      <c r="Q2" s="420"/>
      <c r="R2" s="420"/>
      <c r="S2" s="420"/>
      <c r="T2" s="420"/>
      <c r="U2" s="639"/>
      <c r="V2" s="416"/>
    </row>
    <row r="3" spans="1:22" x14ac:dyDescent="0.3">
      <c r="A3" s="421"/>
      <c r="B3" s="422" t="s">
        <v>229</v>
      </c>
      <c r="C3" s="420"/>
      <c r="D3" s="420"/>
      <c r="E3" s="420"/>
      <c r="F3" s="420"/>
      <c r="G3" s="420"/>
      <c r="H3" s="420"/>
      <c r="I3" s="420"/>
      <c r="J3" s="420"/>
      <c r="K3" s="420"/>
      <c r="L3" s="420"/>
      <c r="M3" s="420"/>
      <c r="N3" s="420"/>
      <c r="O3" s="420"/>
      <c r="P3" s="420"/>
      <c r="Q3" s="420"/>
      <c r="R3" s="420"/>
      <c r="S3" s="420"/>
      <c r="T3" s="420"/>
      <c r="U3" s="639"/>
      <c r="V3" s="416"/>
    </row>
    <row r="4" spans="1:22" x14ac:dyDescent="0.3">
      <c r="A4" s="418"/>
      <c r="B4" s="419"/>
      <c r="C4" s="420"/>
      <c r="D4" s="420"/>
      <c r="E4" s="420"/>
      <c r="F4" s="420"/>
      <c r="G4" s="420"/>
      <c r="H4" s="420"/>
      <c r="I4" s="420"/>
      <c r="J4" s="420"/>
      <c r="K4" s="420"/>
      <c r="L4" s="420"/>
      <c r="M4" s="420"/>
      <c r="N4" s="420"/>
      <c r="O4" s="420"/>
      <c r="P4" s="420"/>
      <c r="Q4" s="420"/>
      <c r="R4" s="420"/>
      <c r="S4" s="420"/>
      <c r="T4" s="420"/>
      <c r="U4" s="639"/>
      <c r="V4" s="416"/>
    </row>
    <row r="5" spans="1:22" x14ac:dyDescent="0.3">
      <c r="A5" s="418"/>
      <c r="B5" s="423" t="s">
        <v>143</v>
      </c>
      <c r="C5" s="420"/>
      <c r="D5" s="420"/>
      <c r="E5" s="420"/>
      <c r="F5" s="420"/>
      <c r="G5" s="420"/>
      <c r="H5" s="420"/>
      <c r="I5" s="420"/>
      <c r="J5" s="420"/>
      <c r="K5" s="420"/>
      <c r="L5" s="420"/>
      <c r="M5" s="420"/>
      <c r="N5" s="420"/>
      <c r="O5" s="420"/>
      <c r="P5" s="420"/>
      <c r="Q5" s="420"/>
      <c r="R5" s="420"/>
      <c r="S5" s="420"/>
      <c r="T5" s="420"/>
      <c r="U5" s="639"/>
      <c r="V5" s="416"/>
    </row>
    <row r="6" spans="1:22" x14ac:dyDescent="0.3">
      <c r="A6" s="418"/>
      <c r="B6" s="423" t="s">
        <v>145</v>
      </c>
      <c r="C6" s="420"/>
      <c r="D6" s="420"/>
      <c r="E6" s="420"/>
      <c r="F6" s="420"/>
      <c r="G6" s="420"/>
      <c r="H6" s="420"/>
      <c r="I6" s="420"/>
      <c r="J6" s="420"/>
      <c r="K6" s="420"/>
      <c r="L6" s="420"/>
      <c r="M6" s="420"/>
      <c r="N6" s="420"/>
      <c r="O6" s="420"/>
      <c r="P6" s="420"/>
      <c r="Q6" s="420"/>
      <c r="R6" s="420"/>
      <c r="S6" s="420"/>
      <c r="T6" s="420"/>
      <c r="U6" s="639"/>
      <c r="V6" s="416"/>
    </row>
    <row r="7" spans="1:22" x14ac:dyDescent="0.3">
      <c r="A7" s="418"/>
      <c r="B7" s="423" t="s">
        <v>144</v>
      </c>
      <c r="C7" s="420"/>
      <c r="D7" s="420"/>
      <c r="E7" s="420"/>
      <c r="F7" s="420"/>
      <c r="G7" s="420"/>
      <c r="H7" s="420"/>
      <c r="I7" s="420"/>
      <c r="J7" s="420"/>
      <c r="K7" s="420"/>
      <c r="L7" s="420"/>
      <c r="M7" s="420"/>
      <c r="N7" s="420"/>
      <c r="O7" s="420"/>
      <c r="P7" s="420"/>
      <c r="Q7" s="420"/>
      <c r="R7" s="420"/>
      <c r="S7" s="420"/>
      <c r="T7" s="420"/>
      <c r="U7" s="639"/>
      <c r="V7" s="416"/>
    </row>
    <row r="8" spans="1:22" x14ac:dyDescent="0.3">
      <c r="A8" s="418"/>
      <c r="B8" s="424"/>
      <c r="C8" s="420"/>
      <c r="D8" s="420"/>
      <c r="E8" s="420"/>
      <c r="F8" s="420"/>
      <c r="G8" s="420"/>
      <c r="H8" s="420"/>
      <c r="I8" s="420"/>
      <c r="J8" s="420"/>
      <c r="K8" s="420"/>
      <c r="L8" s="420"/>
      <c r="M8" s="420"/>
      <c r="N8" s="420"/>
      <c r="O8" s="420"/>
      <c r="P8" s="420"/>
      <c r="Q8" s="420"/>
      <c r="R8" s="420"/>
      <c r="S8" s="420"/>
      <c r="T8" s="420"/>
      <c r="U8" s="639"/>
      <c r="V8" s="416"/>
    </row>
    <row r="9" spans="1:22" x14ac:dyDescent="0.3">
      <c r="A9" s="418"/>
      <c r="B9" s="422" t="s">
        <v>173</v>
      </c>
      <c r="C9" s="420"/>
      <c r="D9" s="420"/>
      <c r="E9" s="420"/>
      <c r="F9" s="420"/>
      <c r="G9" s="420"/>
      <c r="H9" s="420"/>
      <c r="I9" s="420"/>
      <c r="J9" s="425" t="s">
        <v>356</v>
      </c>
      <c r="K9" s="420"/>
      <c r="L9" s="426"/>
      <c r="M9" s="420"/>
      <c r="N9" s="420"/>
      <c r="O9" s="420"/>
      <c r="P9" s="420"/>
      <c r="Q9" s="420"/>
      <c r="R9" s="420"/>
      <c r="S9" s="420"/>
      <c r="T9" s="420"/>
      <c r="U9" s="639"/>
      <c r="V9" s="416"/>
    </row>
    <row r="10" spans="1:22" x14ac:dyDescent="0.3">
      <c r="A10" s="418"/>
      <c r="B10" s="424"/>
      <c r="C10" s="427"/>
      <c r="D10" s="427"/>
      <c r="E10" s="427"/>
      <c r="F10" s="420"/>
      <c r="G10" s="420"/>
      <c r="H10" s="420"/>
      <c r="I10" s="420"/>
      <c r="J10" s="420"/>
      <c r="K10" s="420"/>
      <c r="L10" s="420"/>
      <c r="M10" s="420"/>
      <c r="N10" s="420"/>
      <c r="O10" s="420"/>
      <c r="P10" s="420"/>
      <c r="Q10" s="420"/>
      <c r="R10" s="420"/>
      <c r="S10" s="420"/>
      <c r="T10" s="420"/>
      <c r="U10" s="639"/>
      <c r="V10" s="416"/>
    </row>
    <row r="11" spans="1:22" x14ac:dyDescent="0.3">
      <c r="A11" s="418"/>
      <c r="B11" s="428" t="s">
        <v>0</v>
      </c>
      <c r="C11" s="420"/>
      <c r="D11" s="420"/>
      <c r="E11" s="420"/>
      <c r="F11" s="420"/>
      <c r="G11" s="420"/>
      <c r="H11" s="420"/>
      <c r="I11" s="420"/>
      <c r="J11" s="420"/>
      <c r="K11" s="420"/>
      <c r="L11" s="420"/>
      <c r="M11" s="420"/>
      <c r="N11" s="420"/>
      <c r="O11" s="420"/>
      <c r="P11" s="420"/>
      <c r="Q11" s="420"/>
      <c r="R11" s="420"/>
      <c r="S11" s="420"/>
      <c r="T11" s="420"/>
      <c r="U11" s="639"/>
      <c r="V11" s="416"/>
    </row>
    <row r="12" spans="1:22" ht="16.2" thickBot="1" x14ac:dyDescent="0.35">
      <c r="A12" s="418"/>
      <c r="B12" s="427"/>
      <c r="C12" s="420"/>
      <c r="D12" s="420"/>
      <c r="E12" s="420"/>
      <c r="F12" s="420"/>
      <c r="G12" s="420"/>
      <c r="H12" s="420"/>
      <c r="I12" s="420"/>
      <c r="J12" s="420"/>
      <c r="K12" s="420"/>
      <c r="L12" s="420"/>
      <c r="M12" s="420"/>
      <c r="N12" s="420"/>
      <c r="O12" s="420"/>
      <c r="P12" s="420"/>
      <c r="Q12" s="420"/>
      <c r="R12" s="420"/>
      <c r="S12" s="420"/>
      <c r="T12" s="420"/>
      <c r="U12" s="639"/>
      <c r="V12" s="416"/>
    </row>
    <row r="13" spans="1:22" s="431" customFormat="1" x14ac:dyDescent="0.3">
      <c r="A13" s="413"/>
      <c r="B13" s="429"/>
      <c r="C13" s="429"/>
      <c r="D13" s="429"/>
      <c r="E13" s="429"/>
      <c r="F13" s="429"/>
      <c r="G13" s="429"/>
      <c r="H13" s="429"/>
      <c r="I13" s="429"/>
      <c r="J13" s="429"/>
      <c r="K13" s="429"/>
      <c r="L13" s="429"/>
      <c r="M13" s="429"/>
      <c r="N13" s="429"/>
      <c r="O13" s="429"/>
      <c r="P13" s="429"/>
      <c r="Q13" s="429"/>
      <c r="R13" s="429"/>
      <c r="S13" s="429"/>
      <c r="T13" s="429"/>
      <c r="U13" s="640"/>
      <c r="V13" s="430"/>
    </row>
    <row r="14" spans="1:22" s="431" customFormat="1" x14ac:dyDescent="0.3">
      <c r="A14" s="432"/>
      <c r="B14" s="428" t="s">
        <v>1</v>
      </c>
      <c r="C14" s="433"/>
      <c r="D14" s="433"/>
      <c r="E14" s="433"/>
      <c r="F14" s="433"/>
      <c r="G14" s="433"/>
      <c r="H14" s="433"/>
      <c r="I14" s="433"/>
      <c r="J14" s="433"/>
      <c r="K14" s="433"/>
      <c r="L14" s="433"/>
      <c r="M14" s="433"/>
      <c r="N14" s="433"/>
      <c r="O14" s="433"/>
      <c r="P14" s="433"/>
      <c r="Q14" s="433"/>
      <c r="R14" s="433"/>
      <c r="S14" s="433"/>
      <c r="T14" s="434" t="s">
        <v>230</v>
      </c>
      <c r="U14" s="641"/>
      <c r="V14" s="430"/>
    </row>
    <row r="15" spans="1:22" s="431" customFormat="1" x14ac:dyDescent="0.3">
      <c r="A15" s="432"/>
      <c r="B15" s="428" t="s">
        <v>2</v>
      </c>
      <c r="C15" s="433"/>
      <c r="D15" s="433"/>
      <c r="E15" s="433"/>
      <c r="F15" s="433"/>
      <c r="G15" s="433"/>
      <c r="H15" s="435"/>
      <c r="I15" s="435"/>
      <c r="J15" s="435"/>
      <c r="K15" s="435"/>
      <c r="L15" s="435"/>
      <c r="M15" s="435"/>
      <c r="N15" s="435"/>
      <c r="O15" s="435"/>
      <c r="P15" s="435" t="s">
        <v>107</v>
      </c>
      <c r="Q15" s="436">
        <v>0.40749999999999997</v>
      </c>
      <c r="R15" s="437" t="s">
        <v>146</v>
      </c>
      <c r="S15" s="436">
        <v>0.59250000000000003</v>
      </c>
      <c r="T15" s="434"/>
      <c r="U15" s="641"/>
      <c r="V15" s="430"/>
    </row>
    <row r="16" spans="1:22" s="431" customFormat="1" x14ac:dyDescent="0.3">
      <c r="A16" s="432"/>
      <c r="B16" s="428" t="s">
        <v>3</v>
      </c>
      <c r="C16" s="433"/>
      <c r="D16" s="433"/>
      <c r="E16" s="433"/>
      <c r="F16" s="433"/>
      <c r="G16" s="433"/>
      <c r="H16" s="435"/>
      <c r="I16" s="435"/>
      <c r="J16" s="435"/>
      <c r="K16" s="435"/>
      <c r="L16" s="435"/>
      <c r="M16" s="435"/>
      <c r="N16" s="435"/>
      <c r="O16" s="435"/>
      <c r="P16" s="435" t="s">
        <v>107</v>
      </c>
      <c r="Q16" s="436">
        <v>0.49490000000000001</v>
      </c>
      <c r="R16" s="437" t="s">
        <v>146</v>
      </c>
      <c r="S16" s="436">
        <v>0.50509999999999999</v>
      </c>
      <c r="T16" s="434"/>
      <c r="U16" s="641"/>
      <c r="V16" s="430"/>
    </row>
    <row r="17" spans="1:22" s="431" customFormat="1" x14ac:dyDescent="0.3">
      <c r="A17" s="432"/>
      <c r="B17" s="428" t="s">
        <v>4</v>
      </c>
      <c r="C17" s="433"/>
      <c r="D17" s="433"/>
      <c r="E17" s="433"/>
      <c r="F17" s="433"/>
      <c r="G17" s="433"/>
      <c r="H17" s="433"/>
      <c r="I17" s="433"/>
      <c r="J17" s="433"/>
      <c r="K17" s="433"/>
      <c r="L17" s="433"/>
      <c r="M17" s="433"/>
      <c r="N17" s="433"/>
      <c r="O17" s="433"/>
      <c r="P17" s="433"/>
      <c r="Q17" s="433"/>
      <c r="R17" s="433"/>
      <c r="S17" s="433"/>
      <c r="T17" s="438">
        <v>38799</v>
      </c>
      <c r="U17" s="641"/>
      <c r="V17" s="430"/>
    </row>
    <row r="18" spans="1:22" s="431" customFormat="1" x14ac:dyDescent="0.3">
      <c r="A18" s="432"/>
      <c r="B18" s="428" t="s">
        <v>5</v>
      </c>
      <c r="C18" s="433"/>
      <c r="D18" s="433"/>
      <c r="E18" s="433"/>
      <c r="F18" s="433"/>
      <c r="G18" s="433"/>
      <c r="H18" s="433"/>
      <c r="I18" s="433"/>
      <c r="J18" s="433"/>
      <c r="K18" s="433"/>
      <c r="L18" s="433"/>
      <c r="M18" s="433"/>
      <c r="N18" s="433"/>
      <c r="O18" s="433"/>
      <c r="P18" s="433"/>
      <c r="Q18" s="433"/>
      <c r="R18" s="433"/>
      <c r="S18" s="433"/>
      <c r="T18" s="438">
        <v>43300</v>
      </c>
      <c r="U18" s="641"/>
      <c r="V18" s="430"/>
    </row>
    <row r="19" spans="1:22" s="431" customFormat="1" x14ac:dyDescent="0.3">
      <c r="A19" s="432"/>
      <c r="B19" s="433"/>
      <c r="C19" s="433"/>
      <c r="D19" s="433"/>
      <c r="E19" s="433"/>
      <c r="F19" s="433"/>
      <c r="G19" s="433"/>
      <c r="H19" s="433"/>
      <c r="I19" s="433"/>
      <c r="J19" s="433"/>
      <c r="K19" s="433"/>
      <c r="L19" s="433"/>
      <c r="M19" s="433"/>
      <c r="N19" s="433"/>
      <c r="O19" s="433"/>
      <c r="P19" s="433"/>
      <c r="Q19" s="433"/>
      <c r="R19" s="433"/>
      <c r="S19" s="433"/>
      <c r="T19" s="439"/>
      <c r="U19" s="641"/>
      <c r="V19" s="430"/>
    </row>
    <row r="20" spans="1:22" s="431" customFormat="1" x14ac:dyDescent="0.3">
      <c r="A20" s="432"/>
      <c r="B20" s="440" t="s">
        <v>6</v>
      </c>
      <c r="C20" s="433"/>
      <c r="D20" s="433"/>
      <c r="E20" s="433"/>
      <c r="F20" s="433"/>
      <c r="G20" s="433"/>
      <c r="H20" s="433"/>
      <c r="I20" s="433"/>
      <c r="J20" s="433"/>
      <c r="K20" s="433"/>
      <c r="L20" s="433"/>
      <c r="M20" s="433"/>
      <c r="N20" s="433"/>
      <c r="O20" s="433"/>
      <c r="P20" s="433"/>
      <c r="Q20" s="433"/>
      <c r="R20" s="439" t="s">
        <v>108</v>
      </c>
      <c r="S20" s="433"/>
      <c r="T20" s="433"/>
      <c r="U20" s="641"/>
      <c r="V20" s="430"/>
    </row>
    <row r="21" spans="1:22" x14ac:dyDescent="0.3">
      <c r="A21" s="418"/>
      <c r="B21" s="420"/>
      <c r="C21" s="420"/>
      <c r="D21" s="420"/>
      <c r="E21" s="420"/>
      <c r="F21" s="420"/>
      <c r="G21" s="420"/>
      <c r="H21" s="420"/>
      <c r="I21" s="420"/>
      <c r="J21" s="420"/>
      <c r="K21" s="420"/>
      <c r="L21" s="420"/>
      <c r="M21" s="420"/>
      <c r="N21" s="420"/>
      <c r="O21" s="420"/>
      <c r="P21" s="420"/>
      <c r="Q21" s="420"/>
      <c r="R21" s="420"/>
      <c r="S21" s="420"/>
      <c r="T21" s="441"/>
      <c r="U21" s="639"/>
      <c r="V21" s="416"/>
    </row>
    <row r="22" spans="1:22" x14ac:dyDescent="0.3">
      <c r="A22" s="442"/>
      <c r="B22" s="443"/>
      <c r="C22" s="444"/>
      <c r="D22" s="444" t="s">
        <v>184</v>
      </c>
      <c r="E22" s="444"/>
      <c r="F22" s="444" t="s">
        <v>185</v>
      </c>
      <c r="G22" s="444"/>
      <c r="H22" s="444" t="s">
        <v>186</v>
      </c>
      <c r="I22" s="444"/>
      <c r="J22" s="444" t="s">
        <v>187</v>
      </c>
      <c r="K22" s="444"/>
      <c r="L22" s="444" t="s">
        <v>188</v>
      </c>
      <c r="M22" s="444"/>
      <c r="N22" s="444" t="s">
        <v>189</v>
      </c>
      <c r="O22" s="444"/>
      <c r="P22" s="444"/>
      <c r="Q22" s="445"/>
      <c r="R22" s="445"/>
      <c r="S22" s="443"/>
      <c r="T22" s="443"/>
      <c r="U22" s="446"/>
      <c r="V22" s="416"/>
    </row>
    <row r="23" spans="1:22" s="431" customFormat="1" x14ac:dyDescent="0.3">
      <c r="A23" s="432"/>
      <c r="B23" s="447" t="s">
        <v>7</v>
      </c>
      <c r="C23" s="448"/>
      <c r="D23" s="448" t="s">
        <v>222</v>
      </c>
      <c r="E23" s="448"/>
      <c r="F23" s="448" t="s">
        <v>147</v>
      </c>
      <c r="G23" s="448"/>
      <c r="H23" s="448" t="s">
        <v>147</v>
      </c>
      <c r="I23" s="448"/>
      <c r="J23" s="448" t="s">
        <v>190</v>
      </c>
      <c r="K23" s="448"/>
      <c r="L23" s="448" t="s">
        <v>190</v>
      </c>
      <c r="M23" s="448"/>
      <c r="N23" s="448" t="s">
        <v>148</v>
      </c>
      <c r="O23" s="448"/>
      <c r="P23" s="448"/>
      <c r="Q23" s="448"/>
      <c r="R23" s="448"/>
      <c r="S23" s="447"/>
      <c r="T23" s="447"/>
      <c r="U23" s="641"/>
      <c r="V23" s="430"/>
    </row>
    <row r="24" spans="1:22" s="431" customFormat="1" x14ac:dyDescent="0.3">
      <c r="A24" s="449"/>
      <c r="B24" s="450" t="s">
        <v>8</v>
      </c>
      <c r="C24" s="451"/>
      <c r="D24" s="451" t="s">
        <v>223</v>
      </c>
      <c r="E24" s="451"/>
      <c r="F24" s="451" t="s">
        <v>149</v>
      </c>
      <c r="G24" s="451"/>
      <c r="H24" s="451" t="s">
        <v>149</v>
      </c>
      <c r="I24" s="451"/>
      <c r="J24" s="451" t="s">
        <v>172</v>
      </c>
      <c r="K24" s="451"/>
      <c r="L24" s="451" t="s">
        <v>172</v>
      </c>
      <c r="M24" s="451"/>
      <c r="N24" s="451" t="s">
        <v>150</v>
      </c>
      <c r="O24" s="451"/>
      <c r="P24" s="451"/>
      <c r="Q24" s="451"/>
      <c r="R24" s="451"/>
      <c r="S24" s="450"/>
      <c r="T24" s="450"/>
      <c r="U24" s="452"/>
      <c r="V24" s="430"/>
    </row>
    <row r="25" spans="1:22" s="431" customFormat="1" x14ac:dyDescent="0.3">
      <c r="A25" s="453"/>
      <c r="B25" s="450" t="s">
        <v>198</v>
      </c>
      <c r="C25" s="454"/>
      <c r="D25" s="451" t="s">
        <v>224</v>
      </c>
      <c r="E25" s="451"/>
      <c r="F25" s="451" t="s">
        <v>149</v>
      </c>
      <c r="G25" s="451"/>
      <c r="H25" s="451" t="s">
        <v>149</v>
      </c>
      <c r="I25" s="451"/>
      <c r="J25" s="451" t="s">
        <v>172</v>
      </c>
      <c r="K25" s="451"/>
      <c r="L25" s="451" t="s">
        <v>172</v>
      </c>
      <c r="M25" s="451"/>
      <c r="N25" s="451" t="s">
        <v>150</v>
      </c>
      <c r="O25" s="451"/>
      <c r="P25" s="451"/>
      <c r="Q25" s="454"/>
      <c r="R25" s="451"/>
      <c r="S25" s="450"/>
      <c r="T25" s="450"/>
      <c r="U25" s="452"/>
      <c r="V25" s="430"/>
    </row>
    <row r="26" spans="1:22" s="431" customFormat="1" x14ac:dyDescent="0.3">
      <c r="A26" s="453"/>
      <c r="B26" s="455" t="s">
        <v>9</v>
      </c>
      <c r="C26" s="454"/>
      <c r="D26" s="454" t="s">
        <v>147</v>
      </c>
      <c r="E26" s="454"/>
      <c r="F26" s="454" t="s">
        <v>147</v>
      </c>
      <c r="G26" s="454"/>
      <c r="H26" s="454" t="s">
        <v>147</v>
      </c>
      <c r="I26" s="454"/>
      <c r="J26" s="454" t="s">
        <v>190</v>
      </c>
      <c r="K26" s="454"/>
      <c r="L26" s="454" t="s">
        <v>190</v>
      </c>
      <c r="M26" s="454"/>
      <c r="N26" s="454" t="s">
        <v>148</v>
      </c>
      <c r="O26" s="454"/>
      <c r="P26" s="454"/>
      <c r="Q26" s="454"/>
      <c r="R26" s="451"/>
      <c r="S26" s="450"/>
      <c r="T26" s="450"/>
      <c r="U26" s="452"/>
      <c r="V26" s="430"/>
    </row>
    <row r="27" spans="1:22" s="431" customFormat="1" x14ac:dyDescent="0.3">
      <c r="A27" s="449"/>
      <c r="B27" s="455" t="s">
        <v>199</v>
      </c>
      <c r="C27" s="451"/>
      <c r="D27" s="454" t="s">
        <v>149</v>
      </c>
      <c r="E27" s="454"/>
      <c r="F27" s="454" t="s">
        <v>149</v>
      </c>
      <c r="G27" s="454"/>
      <c r="H27" s="454" t="s">
        <v>149</v>
      </c>
      <c r="I27" s="454"/>
      <c r="J27" s="454" t="s">
        <v>345</v>
      </c>
      <c r="K27" s="454"/>
      <c r="L27" s="454" t="s">
        <v>345</v>
      </c>
      <c r="M27" s="454"/>
      <c r="N27" s="454" t="s">
        <v>346</v>
      </c>
      <c r="O27" s="454"/>
      <c r="P27" s="454"/>
      <c r="Q27" s="451"/>
      <c r="R27" s="456"/>
      <c r="S27" s="450"/>
      <c r="T27" s="450"/>
      <c r="U27" s="452"/>
      <c r="V27" s="430"/>
    </row>
    <row r="28" spans="1:22" s="431" customFormat="1" x14ac:dyDescent="0.3">
      <c r="A28" s="449"/>
      <c r="B28" s="455" t="s">
        <v>200</v>
      </c>
      <c r="C28" s="451"/>
      <c r="D28" s="454" t="s">
        <v>149</v>
      </c>
      <c r="E28" s="454"/>
      <c r="F28" s="454" t="s">
        <v>149</v>
      </c>
      <c r="G28" s="454"/>
      <c r="H28" s="454" t="s">
        <v>149</v>
      </c>
      <c r="I28" s="454"/>
      <c r="J28" s="454" t="s">
        <v>149</v>
      </c>
      <c r="K28" s="454"/>
      <c r="L28" s="454" t="s">
        <v>149</v>
      </c>
      <c r="M28" s="454"/>
      <c r="N28" s="454" t="s">
        <v>150</v>
      </c>
      <c r="O28" s="454"/>
      <c r="P28" s="454"/>
      <c r="Q28" s="451"/>
      <c r="R28" s="456"/>
      <c r="S28" s="450"/>
      <c r="T28" s="450"/>
      <c r="U28" s="452"/>
      <c r="V28" s="430"/>
    </row>
    <row r="29" spans="1:22" s="431" customFormat="1" x14ac:dyDescent="0.3">
      <c r="A29" s="449"/>
      <c r="B29" s="450" t="s">
        <v>10</v>
      </c>
      <c r="C29" s="457"/>
      <c r="D29" s="451" t="s">
        <v>237</v>
      </c>
      <c r="E29" s="451"/>
      <c r="F29" s="456" t="s">
        <v>238</v>
      </c>
      <c r="G29" s="451"/>
      <c r="H29" s="451" t="s">
        <v>239</v>
      </c>
      <c r="I29" s="451"/>
      <c r="J29" s="451" t="s">
        <v>240</v>
      </c>
      <c r="K29" s="451"/>
      <c r="L29" s="451" t="s">
        <v>241</v>
      </c>
      <c r="M29" s="451"/>
      <c r="N29" s="451" t="s">
        <v>242</v>
      </c>
      <c r="O29" s="451"/>
      <c r="P29" s="451"/>
      <c r="Q29" s="458"/>
      <c r="R29" s="458"/>
      <c r="S29" s="457"/>
      <c r="T29" s="458"/>
      <c r="U29" s="459"/>
      <c r="V29" s="430"/>
    </row>
    <row r="30" spans="1:22" s="431" customFormat="1" x14ac:dyDescent="0.3">
      <c r="A30" s="449"/>
      <c r="B30" s="450" t="s">
        <v>10</v>
      </c>
      <c r="C30" s="457"/>
      <c r="D30" s="451" t="s">
        <v>236</v>
      </c>
      <c r="E30" s="451"/>
      <c r="F30" s="456" t="s">
        <v>124</v>
      </c>
      <c r="G30" s="451"/>
      <c r="H30" s="451" t="s">
        <v>124</v>
      </c>
      <c r="I30" s="451"/>
      <c r="J30" s="451" t="s">
        <v>124</v>
      </c>
      <c r="K30" s="451"/>
      <c r="L30" s="451" t="s">
        <v>124</v>
      </c>
      <c r="M30" s="451"/>
      <c r="N30" s="451" t="s">
        <v>124</v>
      </c>
      <c r="O30" s="451"/>
      <c r="P30" s="451"/>
      <c r="Q30" s="458"/>
      <c r="R30" s="458"/>
      <c r="S30" s="457"/>
      <c r="T30" s="458"/>
      <c r="U30" s="459"/>
      <c r="V30" s="430"/>
    </row>
    <row r="31" spans="1:22" s="431" customFormat="1" x14ac:dyDescent="0.3">
      <c r="A31" s="453"/>
      <c r="B31" s="450" t="s">
        <v>139</v>
      </c>
      <c r="C31" s="460"/>
      <c r="D31" s="461">
        <v>985000</v>
      </c>
      <c r="E31" s="457"/>
      <c r="F31" s="458">
        <v>149500</v>
      </c>
      <c r="G31" s="458"/>
      <c r="H31" s="462">
        <v>219700</v>
      </c>
      <c r="I31" s="458"/>
      <c r="J31" s="458">
        <v>16000</v>
      </c>
      <c r="K31" s="458"/>
      <c r="L31" s="462">
        <v>82400</v>
      </c>
      <c r="M31" s="458"/>
      <c r="N31" s="462">
        <v>87500</v>
      </c>
      <c r="O31" s="458"/>
      <c r="P31" s="462"/>
      <c r="Q31" s="463"/>
      <c r="R31" s="463"/>
      <c r="S31" s="460"/>
      <c r="T31" s="463"/>
      <c r="U31" s="459"/>
      <c r="V31" s="430"/>
    </row>
    <row r="32" spans="1:22" s="431" customFormat="1" x14ac:dyDescent="0.3">
      <c r="A32" s="449"/>
      <c r="B32" s="450" t="s">
        <v>138</v>
      </c>
      <c r="C32" s="457"/>
      <c r="D32" s="464">
        <f>D38*D34</f>
        <v>197884.63969080002</v>
      </c>
      <c r="E32" s="457"/>
      <c r="F32" s="458">
        <f>F38*F31</f>
        <v>52150.324200000003</v>
      </c>
      <c r="G32" s="458"/>
      <c r="H32" s="462">
        <f>H38*H31</f>
        <v>76638.302519999997</v>
      </c>
      <c r="I32" s="458"/>
      <c r="J32" s="458">
        <f>J31*J38</f>
        <v>13237.2896</v>
      </c>
      <c r="K32" s="458"/>
      <c r="L32" s="462">
        <f>L31*L38</f>
        <v>68172.041440000001</v>
      </c>
      <c r="M32" s="458"/>
      <c r="N32" s="462">
        <f>N31*N38</f>
        <v>72391.427500000005</v>
      </c>
      <c r="O32" s="458"/>
      <c r="P32" s="462"/>
      <c r="Q32" s="458"/>
      <c r="R32" s="458"/>
      <c r="S32" s="457"/>
      <c r="T32" s="458"/>
      <c r="U32" s="459"/>
      <c r="V32" s="430"/>
    </row>
    <row r="33" spans="1:23" s="431" customFormat="1" x14ac:dyDescent="0.3">
      <c r="A33" s="449"/>
      <c r="B33" s="455" t="s">
        <v>140</v>
      </c>
      <c r="C33" s="457"/>
      <c r="D33" s="465">
        <f>D37*D34</f>
        <v>194625.43441620001</v>
      </c>
      <c r="E33" s="460"/>
      <c r="F33" s="463">
        <f>F37*F31</f>
        <v>51291.416799999999</v>
      </c>
      <c r="G33" s="463"/>
      <c r="H33" s="466">
        <f>H31*H37</f>
        <v>75376.082080000007</v>
      </c>
      <c r="I33" s="463"/>
      <c r="J33" s="463">
        <f>J31*J37</f>
        <v>13019.2672</v>
      </c>
      <c r="K33" s="463"/>
      <c r="L33" s="466">
        <f>L31*L37</f>
        <v>67049.226079999993</v>
      </c>
      <c r="M33" s="463"/>
      <c r="N33" s="466">
        <f>N31*N37</f>
        <v>71199.117499999993</v>
      </c>
      <c r="O33" s="463"/>
      <c r="P33" s="466"/>
      <c r="Q33" s="458"/>
      <c r="R33" s="458"/>
      <c r="S33" s="457"/>
      <c r="T33" s="458"/>
      <c r="U33" s="459"/>
      <c r="V33" s="430"/>
    </row>
    <row r="34" spans="1:23" s="431" customFormat="1" x14ac:dyDescent="0.3">
      <c r="A34" s="453"/>
      <c r="B34" s="450" t="s">
        <v>283</v>
      </c>
      <c r="C34" s="460"/>
      <c r="D34" s="458">
        <v>567282</v>
      </c>
      <c r="E34" s="457"/>
      <c r="F34" s="458">
        <v>149500</v>
      </c>
      <c r="G34" s="458"/>
      <c r="H34" s="458">
        <v>150716</v>
      </c>
      <c r="I34" s="458"/>
      <c r="J34" s="458">
        <v>16000</v>
      </c>
      <c r="K34" s="458"/>
      <c r="L34" s="458">
        <v>56527</v>
      </c>
      <c r="M34" s="458"/>
      <c r="N34" s="458">
        <v>60025</v>
      </c>
      <c r="O34" s="458"/>
      <c r="P34" s="458"/>
      <c r="Q34" s="463"/>
      <c r="R34" s="463"/>
      <c r="S34" s="460"/>
      <c r="T34" s="458">
        <f>SUM(C34:P34)</f>
        <v>1000050</v>
      </c>
      <c r="U34" s="459"/>
      <c r="V34" s="430"/>
    </row>
    <row r="35" spans="1:23" s="431" customFormat="1" x14ac:dyDescent="0.3">
      <c r="A35" s="453"/>
      <c r="B35" s="450" t="s">
        <v>284</v>
      </c>
      <c r="C35" s="460"/>
      <c r="D35" s="458">
        <f>D38*D34</f>
        <v>197884.63969080002</v>
      </c>
      <c r="E35" s="457"/>
      <c r="F35" s="458">
        <f>F38*F34</f>
        <v>52150.324200000003</v>
      </c>
      <c r="G35" s="458"/>
      <c r="H35" s="458">
        <f>H38*H34</f>
        <v>52574.5034256</v>
      </c>
      <c r="I35" s="458"/>
      <c r="J35" s="458">
        <f>J34*J38</f>
        <v>13237.2896</v>
      </c>
      <c r="K35" s="458"/>
      <c r="L35" s="458">
        <f>L34*L38</f>
        <v>46766.516826200001</v>
      </c>
      <c r="M35" s="458"/>
      <c r="N35" s="458">
        <f>N34*N38</f>
        <v>49660.519265000003</v>
      </c>
      <c r="O35" s="458"/>
      <c r="P35" s="458"/>
      <c r="Q35" s="458"/>
      <c r="R35" s="458"/>
      <c r="S35" s="457"/>
      <c r="T35" s="458">
        <f>SUM(C35:P35)+1</f>
        <v>412274.79300760006</v>
      </c>
      <c r="U35" s="459"/>
      <c r="V35" s="430"/>
    </row>
    <row r="36" spans="1:23" s="431" customFormat="1" x14ac:dyDescent="0.3">
      <c r="A36" s="453"/>
      <c r="B36" s="455" t="s">
        <v>285</v>
      </c>
      <c r="C36" s="460"/>
      <c r="D36" s="463">
        <f>D37*D34</f>
        <v>194625.43441620001</v>
      </c>
      <c r="E36" s="460"/>
      <c r="F36" s="463">
        <f>F37*F34</f>
        <v>51291.416799999999</v>
      </c>
      <c r="G36" s="463"/>
      <c r="H36" s="463">
        <f>H37*H34</f>
        <v>51708.609862400001</v>
      </c>
      <c r="I36" s="463"/>
      <c r="J36" s="463">
        <f>J37*J34</f>
        <v>13019.2672</v>
      </c>
      <c r="K36" s="463"/>
      <c r="L36" s="463">
        <f>L37*L34</f>
        <v>45996.257313399998</v>
      </c>
      <c r="M36" s="463"/>
      <c r="N36" s="463">
        <f>N37*N34</f>
        <v>48842.594604999998</v>
      </c>
      <c r="O36" s="463"/>
      <c r="P36" s="463"/>
      <c r="Q36" s="467"/>
      <c r="R36" s="467"/>
      <c r="S36" s="457"/>
      <c r="T36" s="463">
        <f>SUM(C36:P36)+1</f>
        <v>405484.580197</v>
      </c>
      <c r="U36" s="459"/>
      <c r="V36" s="430"/>
    </row>
    <row r="37" spans="1:23" x14ac:dyDescent="0.3">
      <c r="A37" s="468"/>
      <c r="B37" s="469" t="s">
        <v>136</v>
      </c>
      <c r="C37" s="470"/>
      <c r="D37" s="471">
        <v>0.3430841</v>
      </c>
      <c r="E37" s="472"/>
      <c r="F37" s="471">
        <v>0.34308640000000001</v>
      </c>
      <c r="G37" s="473"/>
      <c r="H37" s="471">
        <v>0.34308640000000001</v>
      </c>
      <c r="I37" s="473"/>
      <c r="J37" s="471">
        <v>0.81370419999999999</v>
      </c>
      <c r="K37" s="473"/>
      <c r="L37" s="471">
        <v>0.81370419999999999</v>
      </c>
      <c r="M37" s="473"/>
      <c r="N37" s="471">
        <v>0.81370419999999999</v>
      </c>
      <c r="O37" s="474"/>
      <c r="P37" s="474"/>
      <c r="Q37" s="475"/>
      <c r="R37" s="475"/>
      <c r="S37" s="470"/>
      <c r="T37" s="470"/>
      <c r="U37" s="476"/>
      <c r="V37" s="416"/>
      <c r="W37" s="477"/>
    </row>
    <row r="38" spans="1:23" x14ac:dyDescent="0.3">
      <c r="A38" s="468"/>
      <c r="B38" s="470" t="s">
        <v>137</v>
      </c>
      <c r="C38" s="470"/>
      <c r="D38" s="478">
        <v>0.34882940000000001</v>
      </c>
      <c r="E38" s="479"/>
      <c r="F38" s="478">
        <v>0.34883160000000002</v>
      </c>
      <c r="G38" s="480"/>
      <c r="H38" s="478">
        <v>0.34883160000000002</v>
      </c>
      <c r="I38" s="480"/>
      <c r="J38" s="478">
        <v>0.82733060000000003</v>
      </c>
      <c r="K38" s="480"/>
      <c r="L38" s="478">
        <v>0.82733060000000003</v>
      </c>
      <c r="M38" s="480"/>
      <c r="N38" s="478">
        <v>0.82733060000000003</v>
      </c>
      <c r="O38" s="474"/>
      <c r="P38" s="474"/>
      <c r="Q38" s="481"/>
      <c r="R38" s="482"/>
      <c r="S38" s="470"/>
      <c r="T38" s="481"/>
      <c r="U38" s="476"/>
      <c r="V38" s="416"/>
    </row>
    <row r="39" spans="1:23" s="431" customFormat="1" x14ac:dyDescent="0.3">
      <c r="A39" s="449"/>
      <c r="B39" s="450" t="s">
        <v>11</v>
      </c>
      <c r="C39" s="450"/>
      <c r="D39" s="456" t="s">
        <v>275</v>
      </c>
      <c r="E39" s="450"/>
      <c r="F39" s="456" t="s">
        <v>232</v>
      </c>
      <c r="G39" s="456"/>
      <c r="H39" s="456" t="s">
        <v>232</v>
      </c>
      <c r="I39" s="456"/>
      <c r="J39" s="456" t="s">
        <v>234</v>
      </c>
      <c r="K39" s="456"/>
      <c r="L39" s="456" t="s">
        <v>234</v>
      </c>
      <c r="M39" s="456"/>
      <c r="N39" s="456" t="s">
        <v>235</v>
      </c>
      <c r="O39" s="456"/>
      <c r="P39" s="456"/>
      <c r="Q39" s="483"/>
      <c r="R39" s="484"/>
      <c r="S39" s="450"/>
      <c r="T39" s="450"/>
      <c r="U39" s="452"/>
      <c r="V39" s="430"/>
    </row>
    <row r="40" spans="1:23" s="431" customFormat="1" x14ac:dyDescent="0.3">
      <c r="A40" s="449"/>
      <c r="B40" s="450" t="s">
        <v>12</v>
      </c>
      <c r="C40" s="450"/>
      <c r="D40" s="484">
        <v>8.8588E-3</v>
      </c>
      <c r="E40" s="450"/>
      <c r="F40" s="484">
        <v>1.02588E-2</v>
      </c>
      <c r="G40" s="483"/>
      <c r="H40" s="484">
        <v>0</v>
      </c>
      <c r="I40" s="483"/>
      <c r="J40" s="484">
        <v>1.26588E-2</v>
      </c>
      <c r="K40" s="483"/>
      <c r="L40" s="484">
        <v>1.5100000000000001E-3</v>
      </c>
      <c r="M40" s="483"/>
      <c r="N40" s="484">
        <v>5.7099999999999998E-3</v>
      </c>
      <c r="O40" s="483"/>
      <c r="P40" s="484"/>
      <c r="Q40" s="483"/>
      <c r="R40" s="484"/>
      <c r="S40" s="450"/>
      <c r="T40" s="456"/>
      <c r="U40" s="452"/>
      <c r="V40" s="430"/>
    </row>
    <row r="41" spans="1:23" s="431" customFormat="1" x14ac:dyDescent="0.3">
      <c r="A41" s="449"/>
      <c r="B41" s="450" t="s">
        <v>13</v>
      </c>
      <c r="C41" s="450"/>
      <c r="D41" s="484">
        <v>6.2155999999999999E-3</v>
      </c>
      <c r="E41" s="450"/>
      <c r="F41" s="484">
        <v>7.6156000000000001E-3</v>
      </c>
      <c r="G41" s="483"/>
      <c r="H41" s="484">
        <v>0</v>
      </c>
      <c r="I41" s="483"/>
      <c r="J41" s="484">
        <v>1.00156E-2</v>
      </c>
      <c r="K41" s="483"/>
      <c r="L41" s="484">
        <v>1.5100000000000001E-3</v>
      </c>
      <c r="M41" s="483"/>
      <c r="N41" s="484">
        <v>5.7099999999999998E-3</v>
      </c>
      <c r="O41" s="483"/>
      <c r="P41" s="484"/>
      <c r="Q41" s="483"/>
      <c r="R41" s="484"/>
      <c r="S41" s="450"/>
      <c r="T41" s="483" t="s">
        <v>201</v>
      </c>
      <c r="U41" s="452"/>
      <c r="V41" s="430"/>
    </row>
    <row r="42" spans="1:23" s="431" customFormat="1" x14ac:dyDescent="0.3">
      <c r="A42" s="449"/>
      <c r="B42" s="450" t="s">
        <v>286</v>
      </c>
      <c r="C42" s="450"/>
      <c r="D42" s="456" t="s">
        <v>275</v>
      </c>
      <c r="E42" s="450"/>
      <c r="F42" s="456" t="s">
        <v>232</v>
      </c>
      <c r="G42" s="456"/>
      <c r="H42" s="456" t="s">
        <v>232</v>
      </c>
      <c r="I42" s="456"/>
      <c r="J42" s="456" t="s">
        <v>234</v>
      </c>
      <c r="K42" s="456"/>
      <c r="L42" s="456" t="s">
        <v>245</v>
      </c>
      <c r="M42" s="456"/>
      <c r="N42" s="456" t="s">
        <v>247</v>
      </c>
      <c r="O42" s="456"/>
      <c r="P42" s="456"/>
      <c r="Q42" s="483"/>
      <c r="R42" s="484"/>
      <c r="S42" s="450"/>
      <c r="T42" s="450"/>
      <c r="U42" s="452"/>
      <c r="V42" s="430"/>
    </row>
    <row r="43" spans="1:23" s="431" customFormat="1" x14ac:dyDescent="0.3">
      <c r="A43" s="449"/>
      <c r="B43" s="450" t="s">
        <v>287</v>
      </c>
      <c r="C43" s="485"/>
      <c r="D43" s="484">
        <f>+D40</f>
        <v>8.8588E-3</v>
      </c>
      <c r="E43" s="484"/>
      <c r="F43" s="484">
        <f>+F40</f>
        <v>1.02588E-2</v>
      </c>
      <c r="G43" s="484"/>
      <c r="H43" s="484">
        <v>1.02548E-2</v>
      </c>
      <c r="I43" s="484"/>
      <c r="J43" s="484">
        <f>+J40</f>
        <v>1.26588E-2</v>
      </c>
      <c r="K43" s="484"/>
      <c r="L43" s="484">
        <v>1.29648E-2</v>
      </c>
      <c r="M43" s="484"/>
      <c r="N43" s="484">
        <v>1.7668799999999998E-2</v>
      </c>
      <c r="O43" s="483"/>
      <c r="P43" s="484"/>
      <c r="Q43" s="456"/>
      <c r="R43" s="456"/>
      <c r="S43" s="450"/>
      <c r="T43" s="483">
        <f>SUMPRODUCT(D43:N43,D35:N35)/T35</f>
        <v>1.0862875459301567E-2</v>
      </c>
      <c r="U43" s="452"/>
      <c r="V43" s="430"/>
    </row>
    <row r="44" spans="1:23" s="431" customFormat="1" x14ac:dyDescent="0.3">
      <c r="A44" s="449"/>
      <c r="B44" s="450" t="s">
        <v>288</v>
      </c>
      <c r="C44" s="485"/>
      <c r="D44" s="484">
        <f>+D41</f>
        <v>6.2155999999999999E-3</v>
      </c>
      <c r="E44" s="484"/>
      <c r="F44" s="484">
        <f>+F41</f>
        <v>7.6156000000000001E-3</v>
      </c>
      <c r="G44" s="484"/>
      <c r="H44" s="484">
        <v>7.6115999999999996E-3</v>
      </c>
      <c r="I44" s="484"/>
      <c r="J44" s="484">
        <f>+J41</f>
        <v>1.00156E-2</v>
      </c>
      <c r="K44" s="484"/>
      <c r="L44" s="484">
        <v>1.03216E-2</v>
      </c>
      <c r="M44" s="484"/>
      <c r="N44" s="484">
        <v>1.50256E-2</v>
      </c>
      <c r="O44" s="483"/>
      <c r="P44" s="484"/>
      <c r="Q44" s="456"/>
      <c r="R44" s="456"/>
      <c r="S44" s="450"/>
      <c r="T44" s="450"/>
      <c r="U44" s="452"/>
      <c r="V44" s="430"/>
    </row>
    <row r="45" spans="1:23" s="431" customFormat="1" x14ac:dyDescent="0.3">
      <c r="A45" s="449"/>
      <c r="B45" s="450" t="s">
        <v>14</v>
      </c>
      <c r="C45" s="450"/>
      <c r="D45" s="485">
        <v>40283</v>
      </c>
      <c r="E45" s="485"/>
      <c r="F45" s="485">
        <v>40283</v>
      </c>
      <c r="G45" s="485"/>
      <c r="H45" s="485">
        <v>40283</v>
      </c>
      <c r="I45" s="485"/>
      <c r="J45" s="485">
        <v>40283</v>
      </c>
      <c r="K45" s="485"/>
      <c r="L45" s="485">
        <v>40283</v>
      </c>
      <c r="M45" s="485"/>
      <c r="N45" s="485">
        <v>40283</v>
      </c>
      <c r="O45" s="485"/>
      <c r="P45" s="485"/>
      <c r="Q45" s="456"/>
      <c r="R45" s="456"/>
      <c r="S45" s="450"/>
      <c r="T45" s="450"/>
      <c r="U45" s="452"/>
      <c r="V45" s="430"/>
    </row>
    <row r="46" spans="1:23" s="431" customFormat="1" x14ac:dyDescent="0.3">
      <c r="A46" s="449"/>
      <c r="B46" s="450" t="s">
        <v>15</v>
      </c>
      <c r="C46" s="450"/>
      <c r="D46" s="485">
        <v>40648</v>
      </c>
      <c r="E46" s="485"/>
      <c r="F46" s="485">
        <v>40648</v>
      </c>
      <c r="G46" s="485"/>
      <c r="H46" s="485">
        <v>40648</v>
      </c>
      <c r="I46" s="456"/>
      <c r="J46" s="485">
        <v>40648</v>
      </c>
      <c r="K46" s="456"/>
      <c r="L46" s="485">
        <v>40648</v>
      </c>
      <c r="M46" s="456"/>
      <c r="N46" s="485">
        <v>40648</v>
      </c>
      <c r="O46" s="456"/>
      <c r="P46" s="485"/>
      <c r="Q46" s="456"/>
      <c r="R46" s="456"/>
      <c r="S46" s="450"/>
      <c r="T46" s="450"/>
      <c r="U46" s="452"/>
      <c r="V46" s="430"/>
    </row>
    <row r="47" spans="1:23" s="431" customFormat="1" x14ac:dyDescent="0.3">
      <c r="A47" s="449"/>
      <c r="B47" s="450" t="s">
        <v>125</v>
      </c>
      <c r="C47" s="450"/>
      <c r="D47" s="456" t="s">
        <v>124</v>
      </c>
      <c r="E47" s="450"/>
      <c r="F47" s="456" t="s">
        <v>232</v>
      </c>
      <c r="G47" s="456"/>
      <c r="H47" s="456" t="s">
        <v>232</v>
      </c>
      <c r="I47" s="456"/>
      <c r="J47" s="456" t="s">
        <v>234</v>
      </c>
      <c r="K47" s="456"/>
      <c r="L47" s="456" t="s">
        <v>234</v>
      </c>
      <c r="M47" s="456"/>
      <c r="N47" s="456" t="s">
        <v>235</v>
      </c>
      <c r="O47" s="456"/>
      <c r="P47" s="456"/>
      <c r="Q47" s="486"/>
      <c r="R47" s="486"/>
      <c r="S47" s="486"/>
      <c r="T47" s="486"/>
      <c r="U47" s="452"/>
      <c r="V47" s="430"/>
    </row>
    <row r="48" spans="1:23" s="431" customFormat="1" x14ac:dyDescent="0.3">
      <c r="A48" s="449"/>
      <c r="B48" s="450" t="s">
        <v>289</v>
      </c>
      <c r="C48" s="450"/>
      <c r="D48" s="456" t="s">
        <v>124</v>
      </c>
      <c r="E48" s="450"/>
      <c r="F48" s="456" t="s">
        <v>232</v>
      </c>
      <c r="G48" s="456"/>
      <c r="H48" s="456" t="s">
        <v>232</v>
      </c>
      <c r="I48" s="456"/>
      <c r="J48" s="456" t="s">
        <v>234</v>
      </c>
      <c r="K48" s="456"/>
      <c r="L48" s="456" t="s">
        <v>245</v>
      </c>
      <c r="M48" s="456"/>
      <c r="N48" s="456" t="s">
        <v>247</v>
      </c>
      <c r="O48" s="456"/>
      <c r="P48" s="456"/>
      <c r="Q48" s="450"/>
      <c r="R48" s="450"/>
      <c r="S48" s="450"/>
      <c r="T48" s="483"/>
      <c r="U48" s="452"/>
      <c r="V48" s="430"/>
    </row>
    <row r="49" spans="1:23" s="431" customFormat="1" x14ac:dyDescent="0.3">
      <c r="A49" s="449"/>
      <c r="B49" s="450"/>
      <c r="C49" s="450"/>
      <c r="D49" s="456"/>
      <c r="E49" s="450"/>
      <c r="F49" s="456"/>
      <c r="G49" s="456"/>
      <c r="H49" s="456"/>
      <c r="I49" s="456"/>
      <c r="J49" s="456"/>
      <c r="K49" s="456"/>
      <c r="L49" s="456"/>
      <c r="M49" s="456"/>
      <c r="N49" s="456"/>
      <c r="O49" s="456"/>
      <c r="P49" s="456"/>
      <c r="Q49" s="450"/>
      <c r="R49" s="450"/>
      <c r="S49" s="450"/>
      <c r="T49" s="483" t="s">
        <v>201</v>
      </c>
      <c r="U49" s="452"/>
      <c r="V49" s="430"/>
    </row>
    <row r="50" spans="1:23" s="431" customFormat="1" x14ac:dyDescent="0.3">
      <c r="A50" s="449"/>
      <c r="B50" s="450" t="s">
        <v>176</v>
      </c>
      <c r="C50" s="450"/>
      <c r="D50" s="456"/>
      <c r="E50" s="450"/>
      <c r="F50" s="456"/>
      <c r="G50" s="456"/>
      <c r="H50" s="456"/>
      <c r="I50" s="456"/>
      <c r="J50" s="456"/>
      <c r="K50" s="456"/>
      <c r="L50" s="456"/>
      <c r="M50" s="456"/>
      <c r="N50" s="456"/>
      <c r="O50" s="456"/>
      <c r="P50" s="456"/>
      <c r="Q50" s="450"/>
      <c r="R50" s="450"/>
      <c r="S50" s="450"/>
      <c r="T50" s="483">
        <f>SUM(J34:P34)/SUM(D34:H34)</f>
        <v>0.15279804679664968</v>
      </c>
      <c r="U50" s="452"/>
      <c r="V50" s="430"/>
    </row>
    <row r="51" spans="1:23" s="431" customFormat="1" x14ac:dyDescent="0.3">
      <c r="A51" s="449"/>
      <c r="B51" s="450" t="s">
        <v>177</v>
      </c>
      <c r="C51" s="450"/>
      <c r="D51" s="450"/>
      <c r="E51" s="450"/>
      <c r="F51" s="487"/>
      <c r="G51" s="450"/>
      <c r="H51" s="450"/>
      <c r="I51" s="450"/>
      <c r="J51" s="450"/>
      <c r="K51" s="450"/>
      <c r="L51" s="450"/>
      <c r="M51" s="450"/>
      <c r="N51" s="450"/>
      <c r="O51" s="450"/>
      <c r="P51" s="450"/>
      <c r="Q51" s="450"/>
      <c r="R51" s="450"/>
      <c r="S51" s="450"/>
      <c r="T51" s="483">
        <f>SUM(J36:P36)/SUM(D36:H36)</f>
        <v>0.36239547089661028</v>
      </c>
      <c r="U51" s="452"/>
      <c r="V51" s="430"/>
    </row>
    <row r="52" spans="1:23" s="431" customFormat="1" x14ac:dyDescent="0.3">
      <c r="A52" s="449"/>
      <c r="B52" s="450" t="s">
        <v>178</v>
      </c>
      <c r="C52" s="450"/>
      <c r="D52" s="450"/>
      <c r="E52" s="450"/>
      <c r="F52" s="450"/>
      <c r="G52" s="450"/>
      <c r="H52" s="450"/>
      <c r="I52" s="450"/>
      <c r="J52" s="450"/>
      <c r="K52" s="450"/>
      <c r="L52" s="450"/>
      <c r="M52" s="450"/>
      <c r="N52" s="450"/>
      <c r="O52" s="450"/>
      <c r="P52" s="450"/>
      <c r="Q52" s="450"/>
      <c r="R52" s="456" t="s">
        <v>109</v>
      </c>
      <c r="S52" s="456" t="s">
        <v>115</v>
      </c>
      <c r="T52" s="458">
        <f>+T34/2-SUM(J34:P34)</f>
        <v>367473</v>
      </c>
      <c r="U52" s="452"/>
      <c r="V52" s="430"/>
    </row>
    <row r="53" spans="1:23" s="431" customFormat="1" x14ac:dyDescent="0.3">
      <c r="A53" s="449"/>
      <c r="B53" s="450"/>
      <c r="C53" s="450"/>
      <c r="D53" s="450"/>
      <c r="E53" s="450"/>
      <c r="F53" s="450"/>
      <c r="G53" s="450"/>
      <c r="H53" s="450"/>
      <c r="I53" s="450"/>
      <c r="J53" s="450"/>
      <c r="K53" s="450"/>
      <c r="L53" s="450"/>
      <c r="M53" s="450"/>
      <c r="N53" s="450"/>
      <c r="O53" s="450"/>
      <c r="P53" s="450"/>
      <c r="Q53" s="450"/>
      <c r="R53" s="450"/>
      <c r="S53" s="450"/>
      <c r="T53" s="488"/>
      <c r="U53" s="452"/>
      <c r="V53" s="430"/>
    </row>
    <row r="54" spans="1:23" s="431" customFormat="1" x14ac:dyDescent="0.3">
      <c r="A54" s="449"/>
      <c r="B54" s="450" t="s">
        <v>342</v>
      </c>
      <c r="C54" s="450"/>
      <c r="D54" s="450"/>
      <c r="E54" s="450"/>
      <c r="F54" s="450"/>
      <c r="G54" s="450"/>
      <c r="H54" s="450"/>
      <c r="I54" s="450"/>
      <c r="J54" s="450"/>
      <c r="K54" s="450"/>
      <c r="L54" s="450"/>
      <c r="M54" s="450"/>
      <c r="N54" s="450"/>
      <c r="O54" s="450"/>
      <c r="P54" s="450"/>
      <c r="Q54" s="450"/>
      <c r="R54" s="456"/>
      <c r="S54" s="456"/>
      <c r="T54" s="489" t="s">
        <v>117</v>
      </c>
      <c r="U54" s="452"/>
      <c r="V54" s="430"/>
    </row>
    <row r="55" spans="1:23" s="431" customFormat="1" x14ac:dyDescent="0.3">
      <c r="A55" s="449"/>
      <c r="B55" s="455" t="s">
        <v>210</v>
      </c>
      <c r="C55" s="455"/>
      <c r="D55" s="455"/>
      <c r="E55" s="455"/>
      <c r="F55" s="455"/>
      <c r="G55" s="455"/>
      <c r="H55" s="455"/>
      <c r="I55" s="455"/>
      <c r="J55" s="455"/>
      <c r="K55" s="455"/>
      <c r="L55" s="455"/>
      <c r="M55" s="455"/>
      <c r="N55" s="455"/>
      <c r="O55" s="455"/>
      <c r="P55" s="455"/>
      <c r="Q55" s="455"/>
      <c r="R55" s="490"/>
      <c r="S55" s="490"/>
      <c r="T55" s="491">
        <v>43297</v>
      </c>
      <c r="U55" s="452"/>
      <c r="V55" s="430"/>
    </row>
    <row r="56" spans="1:23" s="431" customFormat="1" x14ac:dyDescent="0.3">
      <c r="A56" s="449"/>
      <c r="B56" s="450" t="s">
        <v>127</v>
      </c>
      <c r="C56" s="450"/>
      <c r="D56" s="450"/>
      <c r="E56" s="450"/>
      <c r="F56" s="450"/>
      <c r="G56" s="450"/>
      <c r="H56" s="492"/>
      <c r="I56" s="492"/>
      <c r="J56" s="492"/>
      <c r="K56" s="492"/>
      <c r="L56" s="492"/>
      <c r="M56" s="492"/>
      <c r="N56" s="492"/>
      <c r="O56" s="492"/>
      <c r="P56" s="450">
        <f>+T56-R56+1</f>
        <v>90</v>
      </c>
      <c r="Q56" s="492"/>
      <c r="R56" s="493">
        <v>43116</v>
      </c>
      <c r="S56" s="494"/>
      <c r="T56" s="493">
        <v>43205</v>
      </c>
      <c r="U56" s="452"/>
      <c r="V56" s="430"/>
    </row>
    <row r="57" spans="1:23" s="431" customFormat="1" x14ac:dyDescent="0.3">
      <c r="A57" s="449"/>
      <c r="B57" s="450" t="s">
        <v>128</v>
      </c>
      <c r="C57" s="450"/>
      <c r="D57" s="450"/>
      <c r="E57" s="450"/>
      <c r="F57" s="450"/>
      <c r="G57" s="450"/>
      <c r="H57" s="450"/>
      <c r="I57" s="450"/>
      <c r="J57" s="450"/>
      <c r="K57" s="450"/>
      <c r="L57" s="450"/>
      <c r="M57" s="450"/>
      <c r="N57" s="450"/>
      <c r="O57" s="450"/>
      <c r="P57" s="450">
        <f>+T57-R57+1</f>
        <v>91</v>
      </c>
      <c r="Q57" s="450"/>
      <c r="R57" s="493">
        <v>43206</v>
      </c>
      <c r="S57" s="494"/>
      <c r="T57" s="493">
        <v>43296</v>
      </c>
      <c r="U57" s="452"/>
      <c r="V57" s="430"/>
    </row>
    <row r="58" spans="1:23" s="431" customFormat="1" x14ac:dyDescent="0.3">
      <c r="A58" s="449"/>
      <c r="B58" s="450" t="s">
        <v>344</v>
      </c>
      <c r="C58" s="450"/>
      <c r="D58" s="450"/>
      <c r="E58" s="450"/>
      <c r="F58" s="450"/>
      <c r="G58" s="450"/>
      <c r="H58" s="450"/>
      <c r="I58" s="450"/>
      <c r="J58" s="450"/>
      <c r="K58" s="450"/>
      <c r="L58" s="450"/>
      <c r="M58" s="450"/>
      <c r="N58" s="450"/>
      <c r="O58" s="450"/>
      <c r="P58" s="450"/>
      <c r="Q58" s="450"/>
      <c r="R58" s="493"/>
      <c r="S58" s="494"/>
      <c r="T58" s="493" t="s">
        <v>126</v>
      </c>
      <c r="U58" s="452"/>
      <c r="V58" s="430"/>
    </row>
    <row r="59" spans="1:23" s="431" customFormat="1" x14ac:dyDescent="0.3">
      <c r="A59" s="449"/>
      <c r="B59" s="450" t="s">
        <v>343</v>
      </c>
      <c r="C59" s="450"/>
      <c r="D59" s="450"/>
      <c r="E59" s="450"/>
      <c r="F59" s="450"/>
      <c r="G59" s="450"/>
      <c r="H59" s="450"/>
      <c r="I59" s="450"/>
      <c r="J59" s="450"/>
      <c r="K59" s="450"/>
      <c r="L59" s="450"/>
      <c r="M59" s="450"/>
      <c r="N59" s="450"/>
      <c r="O59" s="450"/>
      <c r="P59" s="450"/>
      <c r="Q59" s="450"/>
      <c r="R59" s="493"/>
      <c r="S59" s="494"/>
      <c r="T59" s="493" t="s">
        <v>160</v>
      </c>
      <c r="U59" s="452"/>
      <c r="V59" s="430"/>
      <c r="W59" s="495"/>
    </row>
    <row r="60" spans="1:23" s="431" customFormat="1" x14ac:dyDescent="0.3">
      <c r="A60" s="449"/>
      <c r="B60" s="450" t="s">
        <v>16</v>
      </c>
      <c r="C60" s="450"/>
      <c r="D60" s="450"/>
      <c r="E60" s="450"/>
      <c r="F60" s="450"/>
      <c r="G60" s="450"/>
      <c r="H60" s="450"/>
      <c r="I60" s="450"/>
      <c r="J60" s="450"/>
      <c r="K60" s="450"/>
      <c r="L60" s="450"/>
      <c r="M60" s="450"/>
      <c r="N60" s="450"/>
      <c r="O60" s="450"/>
      <c r="P60" s="450"/>
      <c r="Q60" s="450"/>
      <c r="R60" s="493"/>
      <c r="S60" s="494"/>
      <c r="T60" s="493">
        <v>43282</v>
      </c>
      <c r="U60" s="452"/>
      <c r="V60" s="430"/>
    </row>
    <row r="61" spans="1:23" s="431" customFormat="1" x14ac:dyDescent="0.3">
      <c r="A61" s="432"/>
      <c r="B61" s="447"/>
      <c r="C61" s="447"/>
      <c r="D61" s="447"/>
      <c r="E61" s="447"/>
      <c r="F61" s="447"/>
      <c r="G61" s="447"/>
      <c r="H61" s="447"/>
      <c r="I61" s="447"/>
      <c r="J61" s="447"/>
      <c r="K61" s="447"/>
      <c r="L61" s="447"/>
      <c r="M61" s="447"/>
      <c r="N61" s="447"/>
      <c r="O61" s="447"/>
      <c r="P61" s="447"/>
      <c r="Q61" s="447"/>
      <c r="R61" s="496"/>
      <c r="S61" s="497"/>
      <c r="T61" s="496"/>
      <c r="U61" s="641"/>
      <c r="V61" s="430"/>
    </row>
    <row r="62" spans="1:23" s="431" customFormat="1" x14ac:dyDescent="0.3">
      <c r="A62" s="432"/>
      <c r="B62" s="433"/>
      <c r="C62" s="433"/>
      <c r="D62" s="433"/>
      <c r="E62" s="433"/>
      <c r="F62" s="433"/>
      <c r="G62" s="433"/>
      <c r="H62" s="433"/>
      <c r="I62" s="433"/>
      <c r="J62" s="433"/>
      <c r="K62" s="433"/>
      <c r="L62" s="433"/>
      <c r="M62" s="433"/>
      <c r="N62" s="433"/>
      <c r="O62" s="433"/>
      <c r="P62" s="433"/>
      <c r="Q62" s="433"/>
      <c r="R62" s="498"/>
      <c r="S62" s="499"/>
      <c r="T62" s="498"/>
      <c r="U62" s="641"/>
      <c r="V62" s="430"/>
    </row>
    <row r="63" spans="1:23" s="431" customFormat="1" ht="18.600000000000001" thickBot="1" x14ac:dyDescent="0.4">
      <c r="A63" s="500"/>
      <c r="B63" s="501" t="s">
        <v>362</v>
      </c>
      <c r="C63" s="502"/>
      <c r="D63" s="502"/>
      <c r="E63" s="502"/>
      <c r="F63" s="502"/>
      <c r="G63" s="502"/>
      <c r="H63" s="502"/>
      <c r="I63" s="502"/>
      <c r="J63" s="502"/>
      <c r="K63" s="502"/>
      <c r="L63" s="502"/>
      <c r="M63" s="502"/>
      <c r="N63" s="502"/>
      <c r="O63" s="502"/>
      <c r="P63" s="502"/>
      <c r="Q63" s="502"/>
      <c r="R63" s="502"/>
      <c r="S63" s="502"/>
      <c r="T63" s="503"/>
      <c r="U63" s="504"/>
      <c r="V63" s="430"/>
    </row>
    <row r="64" spans="1:23" x14ac:dyDescent="0.3">
      <c r="A64" s="505"/>
      <c r="B64" s="506" t="s">
        <v>17</v>
      </c>
      <c r="C64" s="507"/>
      <c r="D64" s="507"/>
      <c r="E64" s="507"/>
      <c r="F64" s="507"/>
      <c r="G64" s="507"/>
      <c r="H64" s="507"/>
      <c r="I64" s="507"/>
      <c r="J64" s="507"/>
      <c r="K64" s="507"/>
      <c r="L64" s="507"/>
      <c r="M64" s="507"/>
      <c r="N64" s="507"/>
      <c r="O64" s="507"/>
      <c r="P64" s="507"/>
      <c r="Q64" s="507"/>
      <c r="R64" s="507"/>
      <c r="S64" s="507"/>
      <c r="T64" s="508"/>
      <c r="U64" s="509"/>
      <c r="V64" s="416"/>
    </row>
    <row r="65" spans="1:22" x14ac:dyDescent="0.3">
      <c r="A65" s="418"/>
      <c r="B65" s="427"/>
      <c r="C65" s="420"/>
      <c r="D65" s="420"/>
      <c r="E65" s="420"/>
      <c r="F65" s="420"/>
      <c r="G65" s="420"/>
      <c r="H65" s="420"/>
      <c r="I65" s="420"/>
      <c r="J65" s="420"/>
      <c r="K65" s="420"/>
      <c r="L65" s="420"/>
      <c r="M65" s="420"/>
      <c r="N65" s="420"/>
      <c r="O65" s="420"/>
      <c r="P65" s="420"/>
      <c r="Q65" s="420"/>
      <c r="R65" s="420"/>
      <c r="S65" s="420"/>
      <c r="T65" s="510"/>
      <c r="U65" s="639"/>
      <c r="V65" s="416"/>
    </row>
    <row r="66" spans="1:22" ht="46.8" x14ac:dyDescent="0.3">
      <c r="A66" s="418"/>
      <c r="B66" s="511" t="s">
        <v>18</v>
      </c>
      <c r="C66" s="512"/>
      <c r="D66" s="512"/>
      <c r="E66" s="512"/>
      <c r="F66" s="512"/>
      <c r="G66" s="512"/>
      <c r="H66" s="512"/>
      <c r="I66" s="512"/>
      <c r="J66" s="512" t="s">
        <v>97</v>
      </c>
      <c r="K66" s="512"/>
      <c r="L66" s="512" t="s">
        <v>99</v>
      </c>
      <c r="M66" s="512"/>
      <c r="N66" s="512" t="s">
        <v>101</v>
      </c>
      <c r="O66" s="512"/>
      <c r="P66" s="512" t="s">
        <v>103</v>
      </c>
      <c r="Q66" s="512"/>
      <c r="R66" s="512" t="s">
        <v>110</v>
      </c>
      <c r="S66" s="512"/>
      <c r="T66" s="513" t="s">
        <v>118</v>
      </c>
      <c r="U66" s="642"/>
      <c r="V66" s="416"/>
    </row>
    <row r="67" spans="1:22" s="431" customFormat="1" x14ac:dyDescent="0.3">
      <c r="A67" s="449"/>
      <c r="B67" s="450" t="s">
        <v>19</v>
      </c>
      <c r="C67" s="514"/>
      <c r="D67" s="514"/>
      <c r="E67" s="514"/>
      <c r="F67" s="514"/>
      <c r="G67" s="514"/>
      <c r="H67" s="514"/>
      <c r="I67" s="514"/>
      <c r="J67" s="514">
        <v>1000039</v>
      </c>
      <c r="K67" s="514"/>
      <c r="L67" s="515">
        <v>412275</v>
      </c>
      <c r="M67" s="514"/>
      <c r="N67" s="514">
        <f>6790+118</f>
        <v>6908</v>
      </c>
      <c r="O67" s="514"/>
      <c r="P67" s="514">
        <v>118</v>
      </c>
      <c r="Q67" s="514"/>
      <c r="R67" s="514">
        <v>0</v>
      </c>
      <c r="S67" s="514"/>
      <c r="T67" s="515">
        <f>+L67-N67+P67-R67</f>
        <v>405485</v>
      </c>
      <c r="U67" s="452"/>
      <c r="V67" s="430"/>
    </row>
    <row r="68" spans="1:22" s="431" customFormat="1" x14ac:dyDescent="0.3">
      <c r="A68" s="449"/>
      <c r="B68" s="450" t="s">
        <v>20</v>
      </c>
      <c r="C68" s="514"/>
      <c r="D68" s="514"/>
      <c r="E68" s="514"/>
      <c r="F68" s="514"/>
      <c r="G68" s="514"/>
      <c r="H68" s="514"/>
      <c r="I68" s="514"/>
      <c r="J68" s="514">
        <v>10</v>
      </c>
      <c r="K68" s="514"/>
      <c r="L68" s="515">
        <v>0</v>
      </c>
      <c r="M68" s="514"/>
      <c r="N68" s="514">
        <v>0</v>
      </c>
      <c r="O68" s="514"/>
      <c r="P68" s="514">
        <v>0</v>
      </c>
      <c r="Q68" s="514"/>
      <c r="R68" s="514">
        <v>0</v>
      </c>
      <c r="S68" s="514"/>
      <c r="T68" s="515">
        <v>0</v>
      </c>
      <c r="U68" s="452"/>
      <c r="V68" s="430"/>
    </row>
    <row r="69" spans="1:22" s="431" customFormat="1" x14ac:dyDescent="0.3">
      <c r="A69" s="449"/>
      <c r="B69" s="450"/>
      <c r="C69" s="514"/>
      <c r="D69" s="514"/>
      <c r="E69" s="514"/>
      <c r="F69" s="514"/>
      <c r="G69" s="514"/>
      <c r="H69" s="514"/>
      <c r="I69" s="514"/>
      <c r="J69" s="514"/>
      <c r="K69" s="514"/>
      <c r="L69" s="515"/>
      <c r="M69" s="514"/>
      <c r="N69" s="514"/>
      <c r="O69" s="514"/>
      <c r="P69" s="514"/>
      <c r="Q69" s="514"/>
      <c r="R69" s="514"/>
      <c r="S69" s="514"/>
      <c r="T69" s="515"/>
      <c r="U69" s="452"/>
      <c r="V69" s="430"/>
    </row>
    <row r="70" spans="1:22" s="431" customFormat="1" x14ac:dyDescent="0.3">
      <c r="A70" s="449"/>
      <c r="B70" s="450" t="s">
        <v>21</v>
      </c>
      <c r="C70" s="514"/>
      <c r="D70" s="514"/>
      <c r="E70" s="514"/>
      <c r="F70" s="514"/>
      <c r="G70" s="514"/>
      <c r="H70" s="514"/>
      <c r="I70" s="514"/>
      <c r="J70" s="514">
        <f>SUM(J67:J69)</f>
        <v>1000049</v>
      </c>
      <c r="K70" s="514"/>
      <c r="L70" s="514">
        <f>L67+L68</f>
        <v>412275</v>
      </c>
      <c r="M70" s="514"/>
      <c r="N70" s="514">
        <f>SUM(N67:N69)</f>
        <v>6908</v>
      </c>
      <c r="O70" s="514"/>
      <c r="P70" s="514">
        <f>SUM(P67:P69)</f>
        <v>118</v>
      </c>
      <c r="Q70" s="514"/>
      <c r="R70" s="514">
        <f>SUM(R67:R69)</f>
        <v>0</v>
      </c>
      <c r="S70" s="514"/>
      <c r="T70" s="514">
        <f>SUM(T67:T69)</f>
        <v>405485</v>
      </c>
      <c r="U70" s="452"/>
      <c r="V70" s="430"/>
    </row>
    <row r="71" spans="1:22" x14ac:dyDescent="0.3">
      <c r="A71" s="418"/>
      <c r="B71" s="516"/>
      <c r="C71" s="517"/>
      <c r="D71" s="517"/>
      <c r="E71" s="517"/>
      <c r="F71" s="517"/>
      <c r="G71" s="517"/>
      <c r="H71" s="517"/>
      <c r="I71" s="517"/>
      <c r="J71" s="517"/>
      <c r="K71" s="517"/>
      <c r="L71" s="517"/>
      <c r="M71" s="517"/>
      <c r="N71" s="517"/>
      <c r="O71" s="517"/>
      <c r="P71" s="517"/>
      <c r="Q71" s="517"/>
      <c r="R71" s="517"/>
      <c r="S71" s="517"/>
      <c r="T71" s="518"/>
      <c r="U71" s="639"/>
      <c r="V71" s="416"/>
    </row>
    <row r="72" spans="1:22" x14ac:dyDescent="0.3">
      <c r="A72" s="418"/>
      <c r="B72" s="422" t="s">
        <v>22</v>
      </c>
      <c r="C72" s="519"/>
      <c r="D72" s="519"/>
      <c r="E72" s="519"/>
      <c r="F72" s="519"/>
      <c r="G72" s="519"/>
      <c r="H72" s="519"/>
      <c r="I72" s="519"/>
      <c r="J72" s="519"/>
      <c r="K72" s="519"/>
      <c r="L72" s="519"/>
      <c r="M72" s="519"/>
      <c r="N72" s="519"/>
      <c r="O72" s="519"/>
      <c r="P72" s="519"/>
      <c r="Q72" s="519"/>
      <c r="R72" s="519"/>
      <c r="S72" s="519"/>
      <c r="T72" s="520"/>
      <c r="U72" s="639"/>
      <c r="V72" s="416"/>
    </row>
    <row r="73" spans="1:22" x14ac:dyDescent="0.3">
      <c r="A73" s="418"/>
      <c r="B73" s="420"/>
      <c r="C73" s="519"/>
      <c r="D73" s="519"/>
      <c r="E73" s="519"/>
      <c r="F73" s="519"/>
      <c r="G73" s="519"/>
      <c r="H73" s="519"/>
      <c r="I73" s="519"/>
      <c r="J73" s="519"/>
      <c r="K73" s="519"/>
      <c r="L73" s="519"/>
      <c r="M73" s="519"/>
      <c r="N73" s="519"/>
      <c r="O73" s="519"/>
      <c r="P73" s="519"/>
      <c r="Q73" s="519"/>
      <c r="R73" s="519"/>
      <c r="S73" s="519"/>
      <c r="T73" s="520"/>
      <c r="U73" s="639"/>
      <c r="V73" s="416"/>
    </row>
    <row r="74" spans="1:22" s="431" customFormat="1" x14ac:dyDescent="0.3">
      <c r="A74" s="449"/>
      <c r="B74" s="450" t="s">
        <v>19</v>
      </c>
      <c r="C74" s="514"/>
      <c r="D74" s="514"/>
      <c r="E74" s="514"/>
      <c r="F74" s="514"/>
      <c r="G74" s="514"/>
      <c r="H74" s="514"/>
      <c r="I74" s="514"/>
      <c r="J74" s="514"/>
      <c r="K74" s="514"/>
      <c r="L74" s="514"/>
      <c r="M74" s="514"/>
      <c r="N74" s="514"/>
      <c r="O74" s="514"/>
      <c r="P74" s="514"/>
      <c r="Q74" s="514"/>
      <c r="R74" s="514"/>
      <c r="S74" s="514"/>
      <c r="T74" s="514"/>
      <c r="U74" s="452"/>
      <c r="V74" s="430"/>
    </row>
    <row r="75" spans="1:22" s="431" customFormat="1" x14ac:dyDescent="0.3">
      <c r="A75" s="449"/>
      <c r="B75" s="450" t="s">
        <v>20</v>
      </c>
      <c r="C75" s="514"/>
      <c r="D75" s="514"/>
      <c r="E75" s="514"/>
      <c r="F75" s="514"/>
      <c r="G75" s="514"/>
      <c r="H75" s="514"/>
      <c r="I75" s="514"/>
      <c r="J75" s="514"/>
      <c r="K75" s="514"/>
      <c r="L75" s="514"/>
      <c r="M75" s="514"/>
      <c r="N75" s="514"/>
      <c r="O75" s="514"/>
      <c r="P75" s="514"/>
      <c r="Q75" s="514"/>
      <c r="R75" s="514"/>
      <c r="S75" s="514"/>
      <c r="T75" s="514"/>
      <c r="U75" s="452"/>
      <c r="V75" s="430"/>
    </row>
    <row r="76" spans="1:22" s="431" customFormat="1" x14ac:dyDescent="0.3">
      <c r="A76" s="449"/>
      <c r="B76" s="450"/>
      <c r="C76" s="514"/>
      <c r="D76" s="514"/>
      <c r="E76" s="514"/>
      <c r="F76" s="514"/>
      <c r="G76" s="514"/>
      <c r="H76" s="514"/>
      <c r="I76" s="514"/>
      <c r="J76" s="514"/>
      <c r="K76" s="514"/>
      <c r="L76" s="514"/>
      <c r="M76" s="514"/>
      <c r="N76" s="514"/>
      <c r="O76" s="514"/>
      <c r="P76" s="514"/>
      <c r="Q76" s="514"/>
      <c r="R76" s="514"/>
      <c r="S76" s="514"/>
      <c r="T76" s="514"/>
      <c r="U76" s="452"/>
      <c r="V76" s="430"/>
    </row>
    <row r="77" spans="1:22" s="431" customFormat="1" x14ac:dyDescent="0.3">
      <c r="A77" s="449"/>
      <c r="B77" s="450" t="s">
        <v>21</v>
      </c>
      <c r="C77" s="514"/>
      <c r="D77" s="514"/>
      <c r="E77" s="514"/>
      <c r="F77" s="514"/>
      <c r="G77" s="514"/>
      <c r="H77" s="514"/>
      <c r="I77" s="514"/>
      <c r="J77" s="514"/>
      <c r="K77" s="514"/>
      <c r="L77" s="514"/>
      <c r="M77" s="514"/>
      <c r="N77" s="514"/>
      <c r="O77" s="514"/>
      <c r="P77" s="514"/>
      <c r="Q77" s="514"/>
      <c r="R77" s="514"/>
      <c r="S77" s="514"/>
      <c r="T77" s="514"/>
      <c r="U77" s="452"/>
      <c r="V77" s="430"/>
    </row>
    <row r="78" spans="1:22" s="431" customFormat="1" x14ac:dyDescent="0.3">
      <c r="A78" s="449"/>
      <c r="B78" s="450"/>
      <c r="C78" s="514"/>
      <c r="D78" s="514"/>
      <c r="E78" s="514"/>
      <c r="F78" s="514"/>
      <c r="G78" s="514"/>
      <c r="H78" s="514"/>
      <c r="I78" s="514"/>
      <c r="J78" s="514"/>
      <c r="K78" s="514"/>
      <c r="L78" s="514"/>
      <c r="M78" s="514"/>
      <c r="N78" s="514"/>
      <c r="O78" s="514"/>
      <c r="P78" s="514"/>
      <c r="Q78" s="514"/>
      <c r="R78" s="514"/>
      <c r="S78" s="514"/>
      <c r="T78" s="514"/>
      <c r="U78" s="452"/>
      <c r="V78" s="430"/>
    </row>
    <row r="79" spans="1:22" s="431" customFormat="1" x14ac:dyDescent="0.3">
      <c r="A79" s="449"/>
      <c r="B79" s="450" t="s">
        <v>23</v>
      </c>
      <c r="C79" s="514"/>
      <c r="D79" s="514"/>
      <c r="E79" s="514"/>
      <c r="F79" s="514"/>
      <c r="G79" s="514"/>
      <c r="H79" s="514"/>
      <c r="I79" s="514"/>
      <c r="J79" s="514">
        <v>0</v>
      </c>
      <c r="K79" s="514"/>
      <c r="L79" s="514">
        <v>0</v>
      </c>
      <c r="M79" s="514"/>
      <c r="N79" s="514"/>
      <c r="O79" s="514"/>
      <c r="P79" s="514"/>
      <c r="Q79" s="514"/>
      <c r="R79" s="514"/>
      <c r="S79" s="514"/>
      <c r="T79" s="515">
        <v>0</v>
      </c>
      <c r="U79" s="452"/>
      <c r="V79" s="430"/>
    </row>
    <row r="80" spans="1:22" s="431" customFormat="1" x14ac:dyDescent="0.3">
      <c r="A80" s="449"/>
      <c r="B80" s="450" t="s">
        <v>123</v>
      </c>
      <c r="C80" s="514"/>
      <c r="D80" s="514"/>
      <c r="E80" s="514"/>
      <c r="F80" s="514"/>
      <c r="G80" s="514"/>
      <c r="H80" s="514"/>
      <c r="I80" s="514"/>
      <c r="J80" s="514">
        <v>0</v>
      </c>
      <c r="K80" s="514"/>
      <c r="L80" s="514">
        <v>0</v>
      </c>
      <c r="M80" s="514"/>
      <c r="N80" s="514"/>
      <c r="O80" s="514"/>
      <c r="P80" s="514"/>
      <c r="Q80" s="514"/>
      <c r="R80" s="514"/>
      <c r="S80" s="514"/>
      <c r="T80" s="514">
        <f>SUM(J80:P80)</f>
        <v>0</v>
      </c>
      <c r="U80" s="452"/>
      <c r="V80" s="430"/>
    </row>
    <row r="81" spans="1:22" s="431" customFormat="1" x14ac:dyDescent="0.3">
      <c r="A81" s="449"/>
      <c r="B81" s="450" t="s">
        <v>152</v>
      </c>
      <c r="C81" s="514"/>
      <c r="D81" s="514"/>
      <c r="E81" s="514"/>
      <c r="F81" s="514"/>
      <c r="G81" s="514"/>
      <c r="H81" s="514"/>
      <c r="I81" s="514"/>
      <c r="J81" s="514">
        <v>1</v>
      </c>
      <c r="K81" s="514"/>
      <c r="L81" s="514">
        <v>0</v>
      </c>
      <c r="M81" s="514"/>
      <c r="N81" s="514">
        <v>0</v>
      </c>
      <c r="O81" s="514"/>
      <c r="P81" s="514"/>
      <c r="Q81" s="514"/>
      <c r="R81" s="514"/>
      <c r="S81" s="514"/>
      <c r="T81" s="514">
        <f>+L81+N81</f>
        <v>0</v>
      </c>
      <c r="U81" s="452"/>
      <c r="V81" s="430"/>
    </row>
    <row r="82" spans="1:22" s="431" customFormat="1" x14ac:dyDescent="0.3">
      <c r="A82" s="449"/>
      <c r="B82" s="450" t="s">
        <v>25</v>
      </c>
      <c r="C82" s="514"/>
      <c r="D82" s="514"/>
      <c r="E82" s="514"/>
      <c r="F82" s="514"/>
      <c r="G82" s="514"/>
      <c r="H82" s="514"/>
      <c r="I82" s="514"/>
      <c r="J82" s="514">
        <v>0</v>
      </c>
      <c r="K82" s="514"/>
      <c r="L82" s="514">
        <v>0</v>
      </c>
      <c r="M82" s="514"/>
      <c r="N82" s="514"/>
      <c r="O82" s="514"/>
      <c r="P82" s="514"/>
      <c r="Q82" s="514"/>
      <c r="R82" s="514"/>
      <c r="S82" s="514"/>
      <c r="T82" s="514">
        <v>0</v>
      </c>
      <c r="U82" s="452"/>
      <c r="V82" s="430"/>
    </row>
    <row r="83" spans="1:22" s="431" customFormat="1" x14ac:dyDescent="0.3">
      <c r="A83" s="449"/>
      <c r="B83" s="450" t="s">
        <v>26</v>
      </c>
      <c r="C83" s="514"/>
      <c r="D83" s="514"/>
      <c r="E83" s="514"/>
      <c r="F83" s="514"/>
      <c r="G83" s="514"/>
      <c r="H83" s="514"/>
      <c r="I83" s="514"/>
      <c r="J83" s="514">
        <f>SUM(J70:J82)</f>
        <v>1000050</v>
      </c>
      <c r="K83" s="514"/>
      <c r="L83" s="514">
        <f>SUM(L70:L82)</f>
        <v>412275</v>
      </c>
      <c r="M83" s="514"/>
      <c r="N83" s="514"/>
      <c r="O83" s="514"/>
      <c r="P83" s="514"/>
      <c r="Q83" s="514"/>
      <c r="R83" s="514"/>
      <c r="S83" s="514"/>
      <c r="T83" s="514">
        <f>SUM(T70:T82)</f>
        <v>405485</v>
      </c>
      <c r="U83" s="452"/>
      <c r="V83" s="430"/>
    </row>
    <row r="84" spans="1:22" x14ac:dyDescent="0.3">
      <c r="A84" s="418"/>
      <c r="B84" s="516"/>
      <c r="C84" s="517"/>
      <c r="D84" s="517"/>
      <c r="E84" s="517"/>
      <c r="F84" s="517"/>
      <c r="G84" s="517"/>
      <c r="H84" s="517"/>
      <c r="I84" s="517"/>
      <c r="J84" s="517"/>
      <c r="K84" s="517"/>
      <c r="L84" s="517"/>
      <c r="M84" s="517"/>
      <c r="N84" s="517"/>
      <c r="O84" s="517"/>
      <c r="P84" s="517"/>
      <c r="Q84" s="517"/>
      <c r="R84" s="517"/>
      <c r="S84" s="517"/>
      <c r="T84" s="518"/>
      <c r="U84" s="639"/>
      <c r="V84" s="416"/>
    </row>
    <row r="85" spans="1:22" x14ac:dyDescent="0.3">
      <c r="A85" s="418"/>
      <c r="B85" s="420"/>
      <c r="C85" s="420"/>
      <c r="D85" s="420"/>
      <c r="E85" s="420"/>
      <c r="F85" s="420"/>
      <c r="G85" s="420"/>
      <c r="H85" s="420"/>
      <c r="I85" s="420"/>
      <c r="J85" s="420"/>
      <c r="K85" s="420"/>
      <c r="L85" s="420"/>
      <c r="M85" s="420"/>
      <c r="N85" s="420"/>
      <c r="O85" s="420"/>
      <c r="P85" s="420"/>
      <c r="Q85" s="420"/>
      <c r="R85" s="420"/>
      <c r="S85" s="420"/>
      <c r="T85" s="420"/>
      <c r="U85" s="639"/>
      <c r="V85" s="416"/>
    </row>
    <row r="86" spans="1:22" x14ac:dyDescent="0.3">
      <c r="A86" s="442"/>
      <c r="B86" s="521" t="s">
        <v>27</v>
      </c>
      <c r="C86" s="521"/>
      <c r="D86" s="521"/>
      <c r="E86" s="521"/>
      <c r="F86" s="521"/>
      <c r="G86" s="521"/>
      <c r="H86" s="522"/>
      <c r="I86" s="522"/>
      <c r="J86" s="523" t="s">
        <v>98</v>
      </c>
      <c r="K86" s="522"/>
      <c r="L86" s="524">
        <f>+R193</f>
        <v>43280</v>
      </c>
      <c r="M86" s="522"/>
      <c r="N86" s="522"/>
      <c r="O86" s="522"/>
      <c r="P86" s="522"/>
      <c r="Q86" s="522"/>
      <c r="R86" s="522" t="s">
        <v>111</v>
      </c>
      <c r="S86" s="522"/>
      <c r="T86" s="522" t="s">
        <v>119</v>
      </c>
      <c r="U86" s="446"/>
      <c r="V86" s="416"/>
    </row>
    <row r="87" spans="1:22" s="431" customFormat="1" x14ac:dyDescent="0.3">
      <c r="A87" s="432"/>
      <c r="B87" s="447" t="s">
        <v>28</v>
      </c>
      <c r="C87" s="447"/>
      <c r="D87" s="447"/>
      <c r="E87" s="447"/>
      <c r="F87" s="447"/>
      <c r="G87" s="447"/>
      <c r="H87" s="447"/>
      <c r="I87" s="447"/>
      <c r="J87" s="447"/>
      <c r="K87" s="447"/>
      <c r="L87" s="447"/>
      <c r="M87" s="447"/>
      <c r="N87" s="447"/>
      <c r="O87" s="447"/>
      <c r="P87" s="447"/>
      <c r="Q87" s="447"/>
      <c r="R87" s="525">
        <v>0</v>
      </c>
      <c r="S87" s="447"/>
      <c r="T87" s="526">
        <v>0</v>
      </c>
      <c r="U87" s="641"/>
      <c r="V87" s="430"/>
    </row>
    <row r="88" spans="1:22" s="431" customFormat="1" x14ac:dyDescent="0.3">
      <c r="A88" s="449"/>
      <c r="B88" s="450" t="s">
        <v>29</v>
      </c>
      <c r="C88" s="450"/>
      <c r="D88" s="450"/>
      <c r="E88" s="450"/>
      <c r="F88" s="450"/>
      <c r="G88" s="450"/>
      <c r="H88" s="486"/>
      <c r="I88" s="527"/>
      <c r="J88" s="486"/>
      <c r="K88" s="450"/>
      <c r="L88" s="528"/>
      <c r="M88" s="450"/>
      <c r="N88" s="450"/>
      <c r="O88" s="450"/>
      <c r="P88" s="450"/>
      <c r="Q88" s="450"/>
      <c r="R88" s="514">
        <f>6908-384</f>
        <v>6524</v>
      </c>
      <c r="S88" s="450"/>
      <c r="T88" s="515"/>
      <c r="U88" s="452"/>
      <c r="V88" s="430"/>
    </row>
    <row r="89" spans="1:22" s="431" customFormat="1" x14ac:dyDescent="0.3">
      <c r="A89" s="449"/>
      <c r="B89" s="450" t="s">
        <v>225</v>
      </c>
      <c r="C89" s="450"/>
      <c r="D89" s="450"/>
      <c r="E89" s="450"/>
      <c r="F89" s="450"/>
      <c r="G89" s="450"/>
      <c r="H89" s="486"/>
      <c r="I89" s="527"/>
      <c r="J89" s="486"/>
      <c r="K89" s="450"/>
      <c r="L89" s="528"/>
      <c r="M89" s="450"/>
      <c r="N89" s="450"/>
      <c r="O89" s="450"/>
      <c r="P89" s="450"/>
      <c r="Q89" s="450"/>
      <c r="R89" s="514"/>
      <c r="S89" s="450"/>
      <c r="T89" s="515">
        <f>2134+1664-873-417</f>
        <v>2508</v>
      </c>
      <c r="U89" s="452"/>
      <c r="V89" s="430"/>
    </row>
    <row r="90" spans="1:22" s="431" customFormat="1" x14ac:dyDescent="0.3">
      <c r="A90" s="449"/>
      <c r="B90" s="450" t="s">
        <v>220</v>
      </c>
      <c r="C90" s="450"/>
      <c r="D90" s="450"/>
      <c r="E90" s="450"/>
      <c r="F90" s="450"/>
      <c r="G90" s="450"/>
      <c r="H90" s="486"/>
      <c r="I90" s="527"/>
      <c r="J90" s="486"/>
      <c r="K90" s="450"/>
      <c r="L90" s="528"/>
      <c r="M90" s="450"/>
      <c r="N90" s="450"/>
      <c r="O90" s="450"/>
      <c r="P90" s="450"/>
      <c r="Q90" s="450"/>
      <c r="R90" s="514"/>
      <c r="S90" s="450"/>
      <c r="T90" s="515">
        <f>140+55</f>
        <v>195</v>
      </c>
      <c r="U90" s="452"/>
      <c r="V90" s="430"/>
    </row>
    <row r="91" spans="1:22" s="431" customFormat="1" x14ac:dyDescent="0.3">
      <c r="A91" s="449"/>
      <c r="B91" s="450" t="s">
        <v>221</v>
      </c>
      <c r="C91" s="450"/>
      <c r="D91" s="450"/>
      <c r="E91" s="450"/>
      <c r="F91" s="450"/>
      <c r="G91" s="450"/>
      <c r="H91" s="486"/>
      <c r="I91" s="527"/>
      <c r="J91" s="486"/>
      <c r="K91" s="450"/>
      <c r="L91" s="528"/>
      <c r="M91" s="450"/>
      <c r="N91" s="450"/>
      <c r="O91" s="450"/>
      <c r="P91" s="450"/>
      <c r="Q91" s="450"/>
      <c r="R91" s="514"/>
      <c r="S91" s="450"/>
      <c r="T91" s="515">
        <v>29</v>
      </c>
      <c r="U91" s="452"/>
      <c r="V91" s="430"/>
    </row>
    <row r="92" spans="1:22" s="431" customFormat="1" x14ac:dyDescent="0.3">
      <c r="A92" s="449"/>
      <c r="B92" s="450" t="s">
        <v>261</v>
      </c>
      <c r="C92" s="450"/>
      <c r="D92" s="450"/>
      <c r="E92" s="450"/>
      <c r="F92" s="450"/>
      <c r="G92" s="450"/>
      <c r="H92" s="486"/>
      <c r="I92" s="527"/>
      <c r="J92" s="486"/>
      <c r="K92" s="450"/>
      <c r="L92" s="528"/>
      <c r="M92" s="450"/>
      <c r="N92" s="450"/>
      <c r="O92" s="450"/>
      <c r="P92" s="450"/>
      <c r="Q92" s="450"/>
      <c r="R92" s="514"/>
      <c r="S92" s="450"/>
      <c r="T92" s="515">
        <v>0</v>
      </c>
      <c r="U92" s="452"/>
      <c r="V92" s="430"/>
    </row>
    <row r="93" spans="1:22" s="431" customFormat="1" x14ac:dyDescent="0.3">
      <c r="A93" s="449"/>
      <c r="B93" s="450" t="s">
        <v>141</v>
      </c>
      <c r="C93" s="450"/>
      <c r="D93" s="450"/>
      <c r="E93" s="450"/>
      <c r="F93" s="450"/>
      <c r="G93" s="450"/>
      <c r="H93" s="450"/>
      <c r="I93" s="450"/>
      <c r="J93" s="450"/>
      <c r="K93" s="450"/>
      <c r="L93" s="450"/>
      <c r="M93" s="450"/>
      <c r="N93" s="450"/>
      <c r="O93" s="450"/>
      <c r="P93" s="450"/>
      <c r="Q93" s="450"/>
      <c r="R93" s="514"/>
      <c r="S93" s="450"/>
      <c r="T93" s="515">
        <v>0</v>
      </c>
      <c r="U93" s="452"/>
      <c r="V93" s="430"/>
    </row>
    <row r="94" spans="1:22" s="431" customFormat="1" x14ac:dyDescent="0.3">
      <c r="A94" s="449"/>
      <c r="B94" s="450" t="s">
        <v>250</v>
      </c>
      <c r="C94" s="450"/>
      <c r="D94" s="450"/>
      <c r="E94" s="450"/>
      <c r="F94" s="450"/>
      <c r="G94" s="450"/>
      <c r="H94" s="450"/>
      <c r="I94" s="450"/>
      <c r="J94" s="450"/>
      <c r="K94" s="450"/>
      <c r="L94" s="450"/>
      <c r="M94" s="450"/>
      <c r="N94" s="450"/>
      <c r="O94" s="450"/>
      <c r="P94" s="450"/>
      <c r="Q94" s="450"/>
      <c r="R94" s="514"/>
      <c r="S94" s="450"/>
      <c r="T94" s="515">
        <v>108</v>
      </c>
      <c r="U94" s="452"/>
      <c r="V94" s="430"/>
    </row>
    <row r="95" spans="1:22" s="431" customFormat="1" x14ac:dyDescent="0.3">
      <c r="A95" s="449"/>
      <c r="B95" s="450" t="s">
        <v>30</v>
      </c>
      <c r="C95" s="450"/>
      <c r="D95" s="450"/>
      <c r="E95" s="450"/>
      <c r="F95" s="450"/>
      <c r="G95" s="450"/>
      <c r="H95" s="450"/>
      <c r="I95" s="450"/>
      <c r="J95" s="450"/>
      <c r="K95" s="450"/>
      <c r="L95" s="450"/>
      <c r="M95" s="450"/>
      <c r="N95" s="450"/>
      <c r="O95" s="450"/>
      <c r="P95" s="450"/>
      <c r="Q95" s="450"/>
      <c r="R95" s="514">
        <f>SUM(R87:R94)</f>
        <v>6524</v>
      </c>
      <c r="S95" s="450"/>
      <c r="T95" s="514">
        <f>SUM(T87:T94)</f>
        <v>2840</v>
      </c>
      <c r="U95" s="452"/>
      <c r="V95" s="430"/>
    </row>
    <row r="96" spans="1:22" s="431" customFormat="1" x14ac:dyDescent="0.3">
      <c r="A96" s="449"/>
      <c r="B96" s="450" t="s">
        <v>168</v>
      </c>
      <c r="C96" s="450"/>
      <c r="D96" s="450"/>
      <c r="E96" s="450"/>
      <c r="F96" s="450"/>
      <c r="G96" s="450"/>
      <c r="H96" s="450"/>
      <c r="I96" s="450"/>
      <c r="J96" s="450"/>
      <c r="K96" s="450"/>
      <c r="L96" s="450"/>
      <c r="M96" s="450"/>
      <c r="N96" s="450"/>
      <c r="O96" s="450"/>
      <c r="P96" s="450"/>
      <c r="Q96" s="450"/>
      <c r="R96" s="514">
        <v>0</v>
      </c>
      <c r="S96" s="450"/>
      <c r="T96" s="514">
        <f>-R96</f>
        <v>0</v>
      </c>
      <c r="U96" s="452"/>
      <c r="V96" s="430"/>
    </row>
    <row r="97" spans="1:24" s="431" customFormat="1" x14ac:dyDescent="0.3">
      <c r="A97" s="449"/>
      <c r="B97" s="450" t="s">
        <v>31</v>
      </c>
      <c r="C97" s="450"/>
      <c r="D97" s="450"/>
      <c r="E97" s="450"/>
      <c r="F97" s="450"/>
      <c r="G97" s="450"/>
      <c r="H97" s="450"/>
      <c r="I97" s="450"/>
      <c r="J97" s="450"/>
      <c r="K97" s="450"/>
      <c r="L97" s="450"/>
      <c r="M97" s="450"/>
      <c r="N97" s="450"/>
      <c r="O97" s="450"/>
      <c r="P97" s="450"/>
      <c r="Q97" s="450"/>
      <c r="R97" s="514">
        <f>-T97</f>
        <v>0</v>
      </c>
      <c r="S97" s="450"/>
      <c r="T97" s="515">
        <v>0</v>
      </c>
      <c r="U97" s="452"/>
      <c r="V97" s="430"/>
    </row>
    <row r="98" spans="1:24" s="431" customFormat="1" x14ac:dyDescent="0.3">
      <c r="A98" s="449"/>
      <c r="B98" s="450" t="s">
        <v>273</v>
      </c>
      <c r="C98" s="450"/>
      <c r="D98" s="450"/>
      <c r="E98" s="450"/>
      <c r="F98" s="450"/>
      <c r="G98" s="450"/>
      <c r="H98" s="450"/>
      <c r="I98" s="450"/>
      <c r="J98" s="450"/>
      <c r="K98" s="450"/>
      <c r="L98" s="450"/>
      <c r="M98" s="450"/>
      <c r="N98" s="450"/>
      <c r="O98" s="450"/>
      <c r="P98" s="450"/>
      <c r="Q98" s="450"/>
      <c r="R98" s="514"/>
      <c r="S98" s="450"/>
      <c r="T98" s="515">
        <v>248</v>
      </c>
      <c r="U98" s="452"/>
      <c r="V98" s="430"/>
    </row>
    <row r="99" spans="1:24" s="431" customFormat="1" x14ac:dyDescent="0.3">
      <c r="A99" s="449"/>
      <c r="B99" s="450" t="s">
        <v>32</v>
      </c>
      <c r="C99" s="450"/>
      <c r="D99" s="450"/>
      <c r="E99" s="450"/>
      <c r="F99" s="450"/>
      <c r="G99" s="450"/>
      <c r="H99" s="450"/>
      <c r="I99" s="450"/>
      <c r="J99" s="450"/>
      <c r="K99" s="450"/>
      <c r="L99" s="450"/>
      <c r="M99" s="450"/>
      <c r="N99" s="450"/>
      <c r="O99" s="450"/>
      <c r="P99" s="450"/>
      <c r="Q99" s="450"/>
      <c r="R99" s="514">
        <f>R95+R97+R96</f>
        <v>6524</v>
      </c>
      <c r="S99" s="450"/>
      <c r="T99" s="514">
        <f>T95+T97+T96+T98</f>
        <v>3088</v>
      </c>
      <c r="U99" s="452"/>
      <c r="V99" s="430"/>
    </row>
    <row r="100" spans="1:24" x14ac:dyDescent="0.3">
      <c r="A100" s="468"/>
      <c r="B100" s="529" t="s">
        <v>33</v>
      </c>
      <c r="C100" s="470"/>
      <c r="D100" s="470"/>
      <c r="E100" s="470"/>
      <c r="F100" s="470"/>
      <c r="G100" s="470"/>
      <c r="H100" s="470"/>
      <c r="I100" s="470"/>
      <c r="J100" s="470"/>
      <c r="K100" s="470"/>
      <c r="L100" s="470"/>
      <c r="M100" s="470"/>
      <c r="N100" s="470"/>
      <c r="O100" s="470"/>
      <c r="P100" s="470"/>
      <c r="Q100" s="470"/>
      <c r="R100" s="530"/>
      <c r="S100" s="470"/>
      <c r="T100" s="531"/>
      <c r="U100" s="476"/>
      <c r="V100" s="416"/>
    </row>
    <row r="101" spans="1:24" s="431" customFormat="1" x14ac:dyDescent="0.3">
      <c r="A101" s="449">
        <v>1</v>
      </c>
      <c r="B101" s="450" t="s">
        <v>34</v>
      </c>
      <c r="C101" s="450"/>
      <c r="D101" s="450"/>
      <c r="E101" s="450"/>
      <c r="F101" s="450"/>
      <c r="G101" s="450"/>
      <c r="H101" s="450"/>
      <c r="I101" s="450"/>
      <c r="J101" s="450"/>
      <c r="K101" s="450"/>
      <c r="L101" s="450"/>
      <c r="M101" s="450"/>
      <c r="N101" s="450"/>
      <c r="O101" s="450"/>
      <c r="P101" s="450"/>
      <c r="Q101" s="450"/>
      <c r="R101" s="450"/>
      <c r="S101" s="450"/>
      <c r="T101" s="515">
        <v>0</v>
      </c>
      <c r="U101" s="452"/>
      <c r="V101" s="430"/>
    </row>
    <row r="102" spans="1:24" s="431" customFormat="1" x14ac:dyDescent="0.3">
      <c r="A102" s="449">
        <f>+A101+1</f>
        <v>2</v>
      </c>
      <c r="B102" s="450" t="s">
        <v>312</v>
      </c>
      <c r="C102" s="450"/>
      <c r="D102" s="450"/>
      <c r="E102" s="450"/>
      <c r="F102" s="450"/>
      <c r="G102" s="450"/>
      <c r="H102" s="450"/>
      <c r="I102" s="450"/>
      <c r="J102" s="450"/>
      <c r="K102" s="450"/>
      <c r="L102" s="450"/>
      <c r="M102" s="450"/>
      <c r="N102" s="450"/>
      <c r="O102" s="450"/>
      <c r="P102" s="450"/>
      <c r="Q102" s="450"/>
      <c r="R102" s="450"/>
      <c r="S102" s="450"/>
      <c r="T102" s="515">
        <v>-2</v>
      </c>
      <c r="U102" s="452"/>
      <c r="V102" s="430"/>
    </row>
    <row r="103" spans="1:24" s="431" customFormat="1" x14ac:dyDescent="0.3">
      <c r="A103" s="449">
        <f>+A102+1</f>
        <v>3</v>
      </c>
      <c r="B103" s="532" t="s">
        <v>314</v>
      </c>
      <c r="C103" s="450"/>
      <c r="D103" s="450"/>
      <c r="E103" s="450"/>
      <c r="F103" s="450"/>
      <c r="G103" s="450"/>
      <c r="H103" s="450"/>
      <c r="I103" s="450"/>
      <c r="J103" s="450"/>
      <c r="K103" s="450"/>
      <c r="L103" s="450"/>
      <c r="M103" s="450"/>
      <c r="N103" s="450"/>
      <c r="O103" s="450"/>
      <c r="P103" s="450"/>
      <c r="Q103" s="450"/>
      <c r="R103" s="450"/>
      <c r="S103" s="450"/>
      <c r="T103" s="515">
        <f>-157-38-6</f>
        <v>-201</v>
      </c>
      <c r="U103" s="452"/>
      <c r="V103" s="430"/>
    </row>
    <row r="104" spans="1:24" s="431" customFormat="1" x14ac:dyDescent="0.3">
      <c r="A104" s="449" t="s">
        <v>133</v>
      </c>
      <c r="B104" s="450" t="s">
        <v>122</v>
      </c>
      <c r="C104" s="450"/>
      <c r="D104" s="450"/>
      <c r="E104" s="450"/>
      <c r="F104" s="450"/>
      <c r="G104" s="450"/>
      <c r="H104" s="450"/>
      <c r="I104" s="450"/>
      <c r="J104" s="450"/>
      <c r="K104" s="450"/>
      <c r="L104" s="450"/>
      <c r="M104" s="450"/>
      <c r="N104" s="450"/>
      <c r="O104" s="450"/>
      <c r="P104" s="450"/>
      <c r="Q104" s="450"/>
      <c r="R104" s="450"/>
      <c r="S104" s="450"/>
      <c r="T104" s="515">
        <v>0</v>
      </c>
      <c r="U104" s="452"/>
      <c r="V104" s="430"/>
    </row>
    <row r="105" spans="1:24" s="431" customFormat="1" x14ac:dyDescent="0.3">
      <c r="A105" s="449" t="s">
        <v>134</v>
      </c>
      <c r="B105" s="450" t="s">
        <v>348</v>
      </c>
      <c r="C105" s="450"/>
      <c r="D105" s="450"/>
      <c r="E105" s="450"/>
      <c r="F105" s="450"/>
      <c r="G105" s="450"/>
      <c r="H105" s="450"/>
      <c r="I105" s="450"/>
      <c r="J105" s="450"/>
      <c r="K105" s="450"/>
      <c r="L105" s="450"/>
      <c r="M105" s="450"/>
      <c r="N105" s="450"/>
      <c r="O105" s="450"/>
      <c r="P105" s="450"/>
      <c r="Q105" s="450"/>
      <c r="R105" s="450"/>
      <c r="S105" s="450"/>
      <c r="T105" s="515">
        <f>-437-133</f>
        <v>-570</v>
      </c>
      <c r="U105" s="452"/>
      <c r="V105" s="430"/>
      <c r="W105" s="533"/>
    </row>
    <row r="106" spans="1:24" s="431" customFormat="1" x14ac:dyDescent="0.3">
      <c r="A106" s="449" t="s">
        <v>156</v>
      </c>
      <c r="B106" s="450" t="s">
        <v>349</v>
      </c>
      <c r="C106" s="450"/>
      <c r="D106" s="450"/>
      <c r="E106" s="450"/>
      <c r="F106" s="450"/>
      <c r="G106" s="450"/>
      <c r="H106" s="450"/>
      <c r="I106" s="450"/>
      <c r="J106" s="450"/>
      <c r="K106" s="450"/>
      <c r="L106" s="450"/>
      <c r="M106" s="450"/>
      <c r="N106" s="450"/>
      <c r="O106" s="450"/>
      <c r="P106" s="450"/>
      <c r="Q106" s="450"/>
      <c r="R106" s="450"/>
      <c r="S106" s="450"/>
      <c r="T106" s="515">
        <v>-134</v>
      </c>
      <c r="U106" s="452"/>
      <c r="V106" s="430"/>
      <c r="W106" s="533"/>
    </row>
    <row r="107" spans="1:24" s="431" customFormat="1" x14ac:dyDescent="0.3">
      <c r="A107" s="449" t="s">
        <v>214</v>
      </c>
      <c r="B107" s="450" t="s">
        <v>192</v>
      </c>
      <c r="C107" s="450"/>
      <c r="D107" s="450"/>
      <c r="E107" s="450"/>
      <c r="F107" s="450"/>
      <c r="G107" s="450"/>
      <c r="H107" s="450"/>
      <c r="I107" s="450"/>
      <c r="J107" s="450"/>
      <c r="K107" s="450"/>
      <c r="L107" s="450"/>
      <c r="M107" s="450"/>
      <c r="N107" s="450"/>
      <c r="O107" s="450"/>
      <c r="P107" s="450"/>
      <c r="Q107" s="450"/>
      <c r="R107" s="450"/>
      <c r="S107" s="450"/>
      <c r="T107" s="515">
        <v>-151</v>
      </c>
      <c r="U107" s="452"/>
      <c r="V107" s="430"/>
      <c r="W107" s="533"/>
      <c r="X107" s="533"/>
    </row>
    <row r="108" spans="1:24" s="431" customFormat="1" x14ac:dyDescent="0.3">
      <c r="A108" s="449" t="s">
        <v>215</v>
      </c>
      <c r="B108" s="450" t="s">
        <v>193</v>
      </c>
      <c r="C108" s="450"/>
      <c r="D108" s="450"/>
      <c r="E108" s="450"/>
      <c r="F108" s="450"/>
      <c r="G108" s="450"/>
      <c r="H108" s="450"/>
      <c r="I108" s="450"/>
      <c r="J108" s="450"/>
      <c r="K108" s="450"/>
      <c r="L108" s="450"/>
      <c r="M108" s="450"/>
      <c r="N108" s="450"/>
      <c r="O108" s="450"/>
      <c r="P108" s="450"/>
      <c r="Q108" s="450"/>
      <c r="R108" s="450"/>
      <c r="S108" s="450"/>
      <c r="T108" s="515">
        <v>-42</v>
      </c>
      <c r="U108" s="452"/>
      <c r="V108" s="534"/>
      <c r="W108" s="533"/>
    </row>
    <row r="109" spans="1:24" s="431" customFormat="1" x14ac:dyDescent="0.3">
      <c r="A109" s="449" t="s">
        <v>216</v>
      </c>
      <c r="B109" s="450" t="s">
        <v>204</v>
      </c>
      <c r="C109" s="450"/>
      <c r="D109" s="450"/>
      <c r="E109" s="450"/>
      <c r="F109" s="450"/>
      <c r="G109" s="450"/>
      <c r="H109" s="450"/>
      <c r="I109" s="450"/>
      <c r="J109" s="450"/>
      <c r="K109" s="450"/>
      <c r="L109" s="450"/>
      <c r="M109" s="450"/>
      <c r="N109" s="450"/>
      <c r="O109" s="450"/>
      <c r="P109" s="450"/>
      <c r="Q109" s="450"/>
      <c r="R109" s="450"/>
      <c r="S109" s="450"/>
      <c r="T109" s="515">
        <v>-219</v>
      </c>
      <c r="U109" s="452"/>
      <c r="V109" s="430"/>
      <c r="W109" s="533"/>
    </row>
    <row r="110" spans="1:24" s="431" customFormat="1" x14ac:dyDescent="0.3">
      <c r="A110" s="535">
        <v>7</v>
      </c>
      <c r="B110" s="532" t="s">
        <v>313</v>
      </c>
      <c r="C110" s="532"/>
      <c r="D110" s="532"/>
      <c r="E110" s="532"/>
      <c r="F110" s="532"/>
      <c r="G110" s="450"/>
      <c r="H110" s="450"/>
      <c r="I110" s="450"/>
      <c r="J110" s="450"/>
      <c r="K110" s="450"/>
      <c r="L110" s="450"/>
      <c r="M110" s="450"/>
      <c r="N110" s="450"/>
      <c r="O110" s="450"/>
      <c r="P110" s="450"/>
      <c r="Q110" s="450"/>
      <c r="R110" s="450"/>
      <c r="S110" s="450"/>
      <c r="T110" s="515">
        <v>0</v>
      </c>
      <c r="U110" s="452"/>
      <c r="V110" s="430"/>
      <c r="W110" s="533"/>
    </row>
    <row r="111" spans="1:24" s="431" customFormat="1" x14ac:dyDescent="0.3">
      <c r="A111" s="449">
        <f t="shared" ref="A111:A117" si="0">+A110+1</f>
        <v>8</v>
      </c>
      <c r="B111" s="450" t="s">
        <v>35</v>
      </c>
      <c r="C111" s="450"/>
      <c r="D111" s="450"/>
      <c r="E111" s="450"/>
      <c r="F111" s="450"/>
      <c r="G111" s="450"/>
      <c r="H111" s="450"/>
      <c r="I111" s="450"/>
      <c r="J111" s="450"/>
      <c r="K111" s="450"/>
      <c r="L111" s="450"/>
      <c r="M111" s="450"/>
      <c r="N111" s="450"/>
      <c r="O111" s="450"/>
      <c r="P111" s="450"/>
      <c r="Q111" s="450"/>
      <c r="R111" s="450"/>
      <c r="S111" s="450"/>
      <c r="T111" s="515">
        <v>-25</v>
      </c>
      <c r="U111" s="452"/>
      <c r="V111" s="430"/>
    </row>
    <row r="112" spans="1:24" s="431" customFormat="1" x14ac:dyDescent="0.3">
      <c r="A112" s="449">
        <f t="shared" si="0"/>
        <v>9</v>
      </c>
      <c r="B112" s="450" t="s">
        <v>46</v>
      </c>
      <c r="C112" s="450"/>
      <c r="D112" s="450"/>
      <c r="E112" s="450"/>
      <c r="F112" s="450"/>
      <c r="G112" s="450"/>
      <c r="H112" s="450"/>
      <c r="I112" s="450"/>
      <c r="J112" s="450"/>
      <c r="K112" s="450"/>
      <c r="L112" s="450"/>
      <c r="M112" s="450"/>
      <c r="N112" s="450"/>
      <c r="O112" s="450"/>
      <c r="P112" s="450"/>
      <c r="Q112" s="450"/>
      <c r="R112" s="514">
        <f>-T112</f>
        <v>384</v>
      </c>
      <c r="S112" s="450"/>
      <c r="T112" s="515">
        <v>-384</v>
      </c>
      <c r="U112" s="452"/>
      <c r="V112" s="430"/>
    </row>
    <row r="113" spans="1:22" s="431" customFormat="1" x14ac:dyDescent="0.3">
      <c r="A113" s="449">
        <f t="shared" si="0"/>
        <v>10</v>
      </c>
      <c r="B113" s="450" t="s">
        <v>131</v>
      </c>
      <c r="C113" s="450"/>
      <c r="D113" s="450"/>
      <c r="E113" s="450"/>
      <c r="F113" s="450"/>
      <c r="G113" s="450"/>
      <c r="H113" s="450"/>
      <c r="I113" s="450"/>
      <c r="J113" s="450"/>
      <c r="K113" s="450"/>
      <c r="L113" s="450"/>
      <c r="M113" s="450"/>
      <c r="N113" s="450"/>
      <c r="O113" s="450"/>
      <c r="P113" s="450"/>
      <c r="Q113" s="450"/>
      <c r="R113" s="450"/>
      <c r="S113" s="450"/>
      <c r="T113" s="515">
        <v>0</v>
      </c>
      <c r="U113" s="452"/>
      <c r="V113" s="430"/>
    </row>
    <row r="114" spans="1:22" s="431" customFormat="1" x14ac:dyDescent="0.3">
      <c r="A114" s="449">
        <f t="shared" si="0"/>
        <v>11</v>
      </c>
      <c r="B114" s="450" t="s">
        <v>36</v>
      </c>
      <c r="C114" s="450"/>
      <c r="D114" s="450"/>
      <c r="E114" s="450"/>
      <c r="F114" s="450"/>
      <c r="G114" s="450"/>
      <c r="H114" s="450"/>
      <c r="I114" s="450"/>
      <c r="J114" s="450"/>
      <c r="K114" s="450"/>
      <c r="L114" s="450"/>
      <c r="M114" s="450"/>
      <c r="N114" s="450"/>
      <c r="O114" s="450"/>
      <c r="P114" s="450"/>
      <c r="Q114" s="450"/>
      <c r="R114" s="450"/>
      <c r="S114" s="450"/>
      <c r="T114" s="515">
        <v>0</v>
      </c>
      <c r="U114" s="452"/>
      <c r="V114" s="430"/>
    </row>
    <row r="115" spans="1:22" s="431" customFormat="1" x14ac:dyDescent="0.3">
      <c r="A115" s="449">
        <f t="shared" si="0"/>
        <v>12</v>
      </c>
      <c r="B115" s="450" t="s">
        <v>37</v>
      </c>
      <c r="C115" s="450"/>
      <c r="D115" s="450"/>
      <c r="E115" s="450"/>
      <c r="F115" s="450"/>
      <c r="G115" s="450"/>
      <c r="H115" s="450"/>
      <c r="I115" s="450"/>
      <c r="J115" s="450"/>
      <c r="K115" s="450"/>
      <c r="L115" s="450"/>
      <c r="M115" s="450"/>
      <c r="N115" s="450"/>
      <c r="O115" s="450"/>
      <c r="P115" s="450"/>
      <c r="Q115" s="450"/>
      <c r="R115" s="450"/>
      <c r="S115" s="450"/>
      <c r="T115" s="515">
        <v>0</v>
      </c>
      <c r="U115" s="452"/>
      <c r="V115" s="430"/>
    </row>
    <row r="116" spans="1:22" s="431" customFormat="1" x14ac:dyDescent="0.3">
      <c r="A116" s="449">
        <f t="shared" si="0"/>
        <v>13</v>
      </c>
      <c r="B116" s="450" t="s">
        <v>155</v>
      </c>
      <c r="C116" s="450"/>
      <c r="D116" s="450"/>
      <c r="E116" s="450"/>
      <c r="F116" s="450"/>
      <c r="G116" s="450"/>
      <c r="H116" s="450"/>
      <c r="I116" s="450"/>
      <c r="J116" s="450"/>
      <c r="K116" s="450"/>
      <c r="L116" s="450"/>
      <c r="M116" s="450"/>
      <c r="N116" s="450"/>
      <c r="O116" s="450"/>
      <c r="P116" s="450"/>
      <c r="Q116" s="450"/>
      <c r="R116" s="450"/>
      <c r="S116" s="450"/>
      <c r="T116" s="515">
        <v>-156</v>
      </c>
      <c r="U116" s="452"/>
      <c r="V116" s="430"/>
    </row>
    <row r="117" spans="1:22" s="431" customFormat="1" x14ac:dyDescent="0.3">
      <c r="A117" s="449">
        <f t="shared" si="0"/>
        <v>14</v>
      </c>
      <c r="B117" s="450" t="s">
        <v>132</v>
      </c>
      <c r="C117" s="450"/>
      <c r="D117" s="450"/>
      <c r="E117" s="450"/>
      <c r="F117" s="450"/>
      <c r="G117" s="450"/>
      <c r="H117" s="450"/>
      <c r="I117" s="450"/>
      <c r="J117" s="450"/>
      <c r="K117" s="450"/>
      <c r="L117" s="450"/>
      <c r="M117" s="450"/>
      <c r="N117" s="450"/>
      <c r="O117" s="450"/>
      <c r="P117" s="450"/>
      <c r="Q117" s="450"/>
      <c r="R117" s="450"/>
      <c r="S117" s="450"/>
      <c r="T117" s="515">
        <f>-T99-SUM(T101:T116)</f>
        <v>-1204</v>
      </c>
      <c r="U117" s="452"/>
      <c r="V117" s="430"/>
    </row>
    <row r="118" spans="1:22" x14ac:dyDescent="0.3">
      <c r="A118" s="468"/>
      <c r="B118" s="529" t="s">
        <v>38</v>
      </c>
      <c r="C118" s="470"/>
      <c r="D118" s="470"/>
      <c r="E118" s="470"/>
      <c r="F118" s="470"/>
      <c r="G118" s="470"/>
      <c r="H118" s="470"/>
      <c r="I118" s="470"/>
      <c r="J118" s="470"/>
      <c r="K118" s="470"/>
      <c r="L118" s="470"/>
      <c r="M118" s="470"/>
      <c r="N118" s="470"/>
      <c r="O118" s="470"/>
      <c r="P118" s="470"/>
      <c r="Q118" s="470"/>
      <c r="R118" s="470"/>
      <c r="S118" s="470"/>
      <c r="T118" s="536"/>
      <c r="U118" s="476"/>
      <c r="V118" s="416"/>
    </row>
    <row r="119" spans="1:22" s="431" customFormat="1" x14ac:dyDescent="0.3">
      <c r="A119" s="449"/>
      <c r="B119" s="450" t="s">
        <v>180</v>
      </c>
      <c r="C119" s="450"/>
      <c r="D119" s="450"/>
      <c r="E119" s="450"/>
      <c r="F119" s="450"/>
      <c r="G119" s="450"/>
      <c r="H119" s="450"/>
      <c r="I119" s="450"/>
      <c r="J119" s="450"/>
      <c r="K119" s="450"/>
      <c r="L119" s="450"/>
      <c r="M119" s="450"/>
      <c r="N119" s="450"/>
      <c r="O119" s="450"/>
      <c r="P119" s="450"/>
      <c r="Q119" s="450"/>
      <c r="R119" s="514">
        <f>-R177</f>
        <v>0</v>
      </c>
      <c r="S119" s="514"/>
      <c r="T119" s="515"/>
      <c r="U119" s="452"/>
      <c r="V119" s="430"/>
    </row>
    <row r="120" spans="1:22" s="431" customFormat="1" x14ac:dyDescent="0.3">
      <c r="A120" s="449"/>
      <c r="B120" s="450" t="s">
        <v>181</v>
      </c>
      <c r="C120" s="450"/>
      <c r="D120" s="450"/>
      <c r="E120" s="450"/>
      <c r="F120" s="450"/>
      <c r="G120" s="450"/>
      <c r="H120" s="450"/>
      <c r="I120" s="450"/>
      <c r="J120" s="450"/>
      <c r="K120" s="450"/>
      <c r="L120" s="450"/>
      <c r="M120" s="450"/>
      <c r="N120" s="450"/>
      <c r="O120" s="450"/>
      <c r="P120" s="450"/>
      <c r="Q120" s="450"/>
      <c r="R120" s="514">
        <v>0</v>
      </c>
      <c r="S120" s="514"/>
      <c r="T120" s="515"/>
      <c r="U120" s="452"/>
      <c r="V120" s="430"/>
    </row>
    <row r="121" spans="1:22" s="431" customFormat="1" x14ac:dyDescent="0.3">
      <c r="A121" s="449"/>
      <c r="B121" s="450" t="s">
        <v>39</v>
      </c>
      <c r="C121" s="450"/>
      <c r="D121" s="450"/>
      <c r="E121" s="450"/>
      <c r="F121" s="450"/>
      <c r="G121" s="450"/>
      <c r="H121" s="450"/>
      <c r="I121" s="450"/>
      <c r="J121" s="450"/>
      <c r="K121" s="450"/>
      <c r="L121" s="450"/>
      <c r="M121" s="450"/>
      <c r="N121" s="450"/>
      <c r="O121" s="450"/>
      <c r="P121" s="450"/>
      <c r="Q121" s="450"/>
      <c r="R121" s="514">
        <f>-Q177</f>
        <v>-118</v>
      </c>
      <c r="S121" s="514"/>
      <c r="T121" s="515"/>
      <c r="U121" s="452"/>
      <c r="V121" s="430"/>
    </row>
    <row r="122" spans="1:22" s="431" customFormat="1" x14ac:dyDescent="0.3">
      <c r="A122" s="449"/>
      <c r="B122" s="450" t="s">
        <v>372</v>
      </c>
      <c r="C122" s="450"/>
      <c r="D122" s="450"/>
      <c r="E122" s="450"/>
      <c r="F122" s="450"/>
      <c r="G122" s="450"/>
      <c r="H122" s="450"/>
      <c r="I122" s="450"/>
      <c r="J122" s="450"/>
      <c r="K122" s="450"/>
      <c r="L122" s="450"/>
      <c r="M122" s="450"/>
      <c r="N122" s="450"/>
      <c r="O122" s="450"/>
      <c r="P122" s="450"/>
      <c r="Q122" s="450"/>
      <c r="R122" s="514">
        <v>-3259</v>
      </c>
      <c r="S122" s="514"/>
      <c r="T122" s="515"/>
      <c r="U122" s="452"/>
      <c r="V122" s="430"/>
    </row>
    <row r="123" spans="1:22" s="431" customFormat="1" x14ac:dyDescent="0.3">
      <c r="A123" s="449"/>
      <c r="B123" s="450" t="s">
        <v>203</v>
      </c>
      <c r="C123" s="450"/>
      <c r="D123" s="450"/>
      <c r="E123" s="450"/>
      <c r="F123" s="450"/>
      <c r="G123" s="450"/>
      <c r="H123" s="450"/>
      <c r="I123" s="450"/>
      <c r="J123" s="450"/>
      <c r="K123" s="450"/>
      <c r="L123" s="450"/>
      <c r="M123" s="450"/>
      <c r="N123" s="450"/>
      <c r="O123" s="450"/>
      <c r="P123" s="450"/>
      <c r="Q123" s="450"/>
      <c r="R123" s="514">
        <v>-859</v>
      </c>
      <c r="S123" s="514"/>
      <c r="T123" s="515"/>
      <c r="U123" s="452"/>
      <c r="V123" s="430"/>
    </row>
    <row r="124" spans="1:22" s="431" customFormat="1" x14ac:dyDescent="0.3">
      <c r="A124" s="449"/>
      <c r="B124" s="450" t="s">
        <v>202</v>
      </c>
      <c r="C124" s="450"/>
      <c r="D124" s="450"/>
      <c r="E124" s="450"/>
      <c r="F124" s="450"/>
      <c r="G124" s="450"/>
      <c r="H124" s="450"/>
      <c r="I124" s="450"/>
      <c r="J124" s="450"/>
      <c r="K124" s="450"/>
      <c r="L124" s="450"/>
      <c r="M124" s="450"/>
      <c r="N124" s="450"/>
      <c r="O124" s="450"/>
      <c r="P124" s="450"/>
      <c r="Q124" s="450"/>
      <c r="R124" s="514">
        <v>-866</v>
      </c>
      <c r="S124" s="514"/>
      <c r="T124" s="515"/>
      <c r="U124" s="452"/>
      <c r="V124" s="430"/>
    </row>
    <row r="125" spans="1:22" s="431" customFormat="1" x14ac:dyDescent="0.3">
      <c r="A125" s="449"/>
      <c r="B125" s="450" t="s">
        <v>197</v>
      </c>
      <c r="C125" s="450"/>
      <c r="D125" s="450"/>
      <c r="E125" s="450"/>
      <c r="F125" s="450"/>
      <c r="G125" s="450"/>
      <c r="H125" s="450"/>
      <c r="I125" s="450"/>
      <c r="J125" s="450"/>
      <c r="K125" s="450"/>
      <c r="L125" s="450"/>
      <c r="M125" s="450"/>
      <c r="N125" s="450"/>
      <c r="O125" s="450"/>
      <c r="P125" s="450"/>
      <c r="Q125" s="450"/>
      <c r="R125" s="514">
        <v>-218</v>
      </c>
      <c r="S125" s="514"/>
      <c r="T125" s="515"/>
      <c r="U125" s="452"/>
      <c r="V125" s="430"/>
    </row>
    <row r="126" spans="1:22" s="431" customFormat="1" x14ac:dyDescent="0.3">
      <c r="A126" s="449"/>
      <c r="B126" s="450" t="s">
        <v>196</v>
      </c>
      <c r="C126" s="450"/>
      <c r="D126" s="450"/>
      <c r="E126" s="450"/>
      <c r="F126" s="450"/>
      <c r="G126" s="450"/>
      <c r="H126" s="450"/>
      <c r="I126" s="450"/>
      <c r="J126" s="450"/>
      <c r="K126" s="450"/>
      <c r="L126" s="450"/>
      <c r="M126" s="450"/>
      <c r="N126" s="450"/>
      <c r="O126" s="450"/>
      <c r="P126" s="450"/>
      <c r="Q126" s="450"/>
      <c r="R126" s="514">
        <v>-770</v>
      </c>
      <c r="S126" s="514"/>
      <c r="T126" s="515"/>
      <c r="U126" s="452"/>
      <c r="V126" s="430"/>
    </row>
    <row r="127" spans="1:22" s="431" customFormat="1" x14ac:dyDescent="0.3">
      <c r="A127" s="449"/>
      <c r="B127" s="450" t="s">
        <v>195</v>
      </c>
      <c r="C127" s="450"/>
      <c r="D127" s="450"/>
      <c r="E127" s="450"/>
      <c r="F127" s="450"/>
      <c r="G127" s="450"/>
      <c r="H127" s="450"/>
      <c r="I127" s="450"/>
      <c r="J127" s="450"/>
      <c r="K127" s="450"/>
      <c r="L127" s="450"/>
      <c r="M127" s="450"/>
      <c r="N127" s="450"/>
      <c r="O127" s="450"/>
      <c r="P127" s="450"/>
      <c r="Q127" s="450"/>
      <c r="R127" s="514">
        <v>-818</v>
      </c>
      <c r="S127" s="514"/>
      <c r="T127" s="515"/>
      <c r="U127" s="452"/>
      <c r="V127" s="430"/>
    </row>
    <row r="128" spans="1:22" s="431" customFormat="1" x14ac:dyDescent="0.3">
      <c r="A128" s="449"/>
      <c r="B128" s="450" t="s">
        <v>40</v>
      </c>
      <c r="C128" s="450"/>
      <c r="D128" s="450"/>
      <c r="E128" s="450"/>
      <c r="F128" s="450"/>
      <c r="G128" s="450"/>
      <c r="H128" s="450"/>
      <c r="I128" s="450"/>
      <c r="J128" s="450"/>
      <c r="K128" s="450"/>
      <c r="L128" s="450"/>
      <c r="M128" s="450"/>
      <c r="N128" s="450"/>
      <c r="O128" s="450"/>
      <c r="P128" s="450"/>
      <c r="Q128" s="450"/>
      <c r="R128" s="514">
        <f>SUM(R119:R127)</f>
        <v>-6908</v>
      </c>
      <c r="S128" s="514"/>
      <c r="T128" s="514">
        <f>SUM(T100:T126)</f>
        <v>-3088</v>
      </c>
      <c r="U128" s="452"/>
      <c r="V128" s="430"/>
    </row>
    <row r="129" spans="1:23" s="431" customFormat="1" x14ac:dyDescent="0.3">
      <c r="A129" s="449"/>
      <c r="B129" s="450" t="s">
        <v>41</v>
      </c>
      <c r="C129" s="450"/>
      <c r="D129" s="450"/>
      <c r="E129" s="450"/>
      <c r="F129" s="450"/>
      <c r="G129" s="450"/>
      <c r="H129" s="450"/>
      <c r="I129" s="450"/>
      <c r="J129" s="450"/>
      <c r="K129" s="450"/>
      <c r="L129" s="450"/>
      <c r="M129" s="450"/>
      <c r="N129" s="450"/>
      <c r="O129" s="450"/>
      <c r="P129" s="450"/>
      <c r="Q129" s="450"/>
      <c r="R129" s="514">
        <f>R99+R128+R112</f>
        <v>0</v>
      </c>
      <c r="S129" s="514"/>
      <c r="T129" s="514">
        <f>T99+T128</f>
        <v>0</v>
      </c>
      <c r="U129" s="452"/>
      <c r="V129" s="430"/>
    </row>
    <row r="130" spans="1:23" s="431" customFormat="1" x14ac:dyDescent="0.3">
      <c r="A130" s="432"/>
      <c r="B130" s="447"/>
      <c r="C130" s="447"/>
      <c r="D130" s="447"/>
      <c r="E130" s="447"/>
      <c r="F130" s="447"/>
      <c r="G130" s="447"/>
      <c r="H130" s="447"/>
      <c r="I130" s="447"/>
      <c r="J130" s="447"/>
      <c r="K130" s="447"/>
      <c r="L130" s="447"/>
      <c r="M130" s="447"/>
      <c r="N130" s="447"/>
      <c r="O130" s="447"/>
      <c r="P130" s="447"/>
      <c r="Q130" s="447"/>
      <c r="R130" s="525"/>
      <c r="S130" s="525"/>
      <c r="T130" s="525"/>
      <c r="U130" s="641"/>
      <c r="V130" s="430"/>
    </row>
    <row r="131" spans="1:23" s="431" customFormat="1" x14ac:dyDescent="0.3">
      <c r="A131" s="432"/>
      <c r="B131" s="433"/>
      <c r="C131" s="433"/>
      <c r="D131" s="433"/>
      <c r="E131" s="433"/>
      <c r="F131" s="433"/>
      <c r="G131" s="433"/>
      <c r="H131" s="433"/>
      <c r="I131" s="433"/>
      <c r="J131" s="433"/>
      <c r="K131" s="433"/>
      <c r="L131" s="433"/>
      <c r="M131" s="433"/>
      <c r="N131" s="433"/>
      <c r="O131" s="433"/>
      <c r="P131" s="433"/>
      <c r="Q131" s="433"/>
      <c r="R131" s="433"/>
      <c r="S131" s="433"/>
      <c r="T131" s="537"/>
      <c r="U131" s="641"/>
      <c r="V131" s="430"/>
    </row>
    <row r="132" spans="1:23" s="431" customFormat="1" ht="18.600000000000001" thickBot="1" x14ac:dyDescent="0.4">
      <c r="A132" s="500"/>
      <c r="B132" s="501" t="str">
        <f>B63</f>
        <v>PM11 INVESTOR REPORT QUARTER ENDING JUNE 2018</v>
      </c>
      <c r="C132" s="502"/>
      <c r="D132" s="502"/>
      <c r="E132" s="502"/>
      <c r="F132" s="502"/>
      <c r="G132" s="502"/>
      <c r="H132" s="502"/>
      <c r="I132" s="502"/>
      <c r="J132" s="502"/>
      <c r="K132" s="502"/>
      <c r="L132" s="502"/>
      <c r="M132" s="502"/>
      <c r="N132" s="502"/>
      <c r="O132" s="502"/>
      <c r="P132" s="502"/>
      <c r="Q132" s="502"/>
      <c r="R132" s="502"/>
      <c r="S132" s="502"/>
      <c r="T132" s="538"/>
      <c r="U132" s="504"/>
      <c r="V132" s="430"/>
    </row>
    <row r="133" spans="1:23" x14ac:dyDescent="0.3">
      <c r="A133" s="505"/>
      <c r="B133" s="506" t="s">
        <v>42</v>
      </c>
      <c r="C133" s="507"/>
      <c r="D133" s="507"/>
      <c r="E133" s="507"/>
      <c r="F133" s="507"/>
      <c r="G133" s="507"/>
      <c r="H133" s="507"/>
      <c r="I133" s="507"/>
      <c r="J133" s="507"/>
      <c r="K133" s="507"/>
      <c r="L133" s="507"/>
      <c r="M133" s="507"/>
      <c r="N133" s="507"/>
      <c r="O133" s="507"/>
      <c r="P133" s="507"/>
      <c r="Q133" s="507"/>
      <c r="R133" s="507"/>
      <c r="S133" s="507"/>
      <c r="T133" s="508"/>
      <c r="U133" s="509"/>
      <c r="V133" s="416"/>
    </row>
    <row r="134" spans="1:23" x14ac:dyDescent="0.3">
      <c r="A134" s="418"/>
      <c r="B134" s="539"/>
      <c r="C134" s="420"/>
      <c r="D134" s="420"/>
      <c r="E134" s="420"/>
      <c r="F134" s="420"/>
      <c r="G134" s="420"/>
      <c r="H134" s="420"/>
      <c r="I134" s="420"/>
      <c r="J134" s="420"/>
      <c r="K134" s="420"/>
      <c r="L134" s="420"/>
      <c r="M134" s="420"/>
      <c r="N134" s="420"/>
      <c r="O134" s="420"/>
      <c r="P134" s="420"/>
      <c r="Q134" s="420"/>
      <c r="R134" s="420"/>
      <c r="S134" s="420"/>
      <c r="T134" s="510"/>
      <c r="U134" s="639"/>
      <c r="V134" s="416"/>
    </row>
    <row r="135" spans="1:23" x14ac:dyDescent="0.3">
      <c r="A135" s="418"/>
      <c r="B135" s="540" t="s">
        <v>43</v>
      </c>
      <c r="C135" s="420"/>
      <c r="D135" s="420"/>
      <c r="E135" s="420"/>
      <c r="F135" s="420"/>
      <c r="G135" s="420"/>
      <c r="H135" s="420"/>
      <c r="I135" s="420"/>
      <c r="J135" s="420"/>
      <c r="K135" s="420"/>
      <c r="L135" s="420"/>
      <c r="M135" s="420"/>
      <c r="N135" s="420"/>
      <c r="O135" s="420"/>
      <c r="P135" s="420"/>
      <c r="Q135" s="420"/>
      <c r="R135" s="420"/>
      <c r="S135" s="420"/>
      <c r="T135" s="510"/>
      <c r="U135" s="639"/>
      <c r="V135" s="416"/>
    </row>
    <row r="136" spans="1:23" s="431" customFormat="1" x14ac:dyDescent="0.3">
      <c r="A136" s="449"/>
      <c r="B136" s="450" t="s">
        <v>44</v>
      </c>
      <c r="C136" s="450"/>
      <c r="D136" s="450"/>
      <c r="E136" s="450"/>
      <c r="F136" s="450"/>
      <c r="G136" s="450"/>
      <c r="H136" s="450"/>
      <c r="I136" s="450"/>
      <c r="J136" s="450"/>
      <c r="K136" s="450"/>
      <c r="L136" s="450"/>
      <c r="M136" s="450"/>
      <c r="N136" s="450"/>
      <c r="O136" s="450"/>
      <c r="P136" s="450"/>
      <c r="Q136" s="450"/>
      <c r="R136" s="450"/>
      <c r="S136" s="450"/>
      <c r="T136" s="515">
        <f>+T34*0.019</f>
        <v>19000.95</v>
      </c>
      <c r="U136" s="452"/>
      <c r="V136" s="430"/>
    </row>
    <row r="137" spans="1:23" s="431" customFormat="1" x14ac:dyDescent="0.3">
      <c r="A137" s="449"/>
      <c r="B137" s="450" t="s">
        <v>45</v>
      </c>
      <c r="C137" s="450"/>
      <c r="D137" s="450"/>
      <c r="E137" s="450"/>
      <c r="F137" s="450"/>
      <c r="G137" s="450"/>
      <c r="H137" s="450"/>
      <c r="I137" s="450"/>
      <c r="J137" s="450"/>
      <c r="K137" s="450"/>
      <c r="L137" s="450"/>
      <c r="M137" s="450"/>
      <c r="N137" s="450"/>
      <c r="O137" s="450"/>
      <c r="P137" s="450"/>
      <c r="Q137" s="450"/>
      <c r="R137" s="450"/>
      <c r="S137" s="450"/>
      <c r="T137" s="515">
        <v>19001</v>
      </c>
      <c r="U137" s="452"/>
      <c r="V137" s="430"/>
    </row>
    <row r="138" spans="1:23" s="431" customFormat="1" x14ac:dyDescent="0.3">
      <c r="A138" s="449"/>
      <c r="B138" s="450" t="s">
        <v>142</v>
      </c>
      <c r="C138" s="450"/>
      <c r="D138" s="450"/>
      <c r="E138" s="450"/>
      <c r="F138" s="450"/>
      <c r="G138" s="450"/>
      <c r="H138" s="450"/>
      <c r="I138" s="450"/>
      <c r="J138" s="450"/>
      <c r="K138" s="450"/>
      <c r="L138" s="450"/>
      <c r="M138" s="450"/>
      <c r="N138" s="450"/>
      <c r="O138" s="450"/>
      <c r="P138" s="450"/>
      <c r="Q138" s="450"/>
      <c r="R138" s="450"/>
      <c r="S138" s="450"/>
      <c r="T138" s="515">
        <v>0</v>
      </c>
      <c r="U138" s="452"/>
      <c r="V138" s="430"/>
    </row>
    <row r="139" spans="1:23" s="431" customFormat="1" x14ac:dyDescent="0.3">
      <c r="A139" s="449"/>
      <c r="B139" s="450" t="s">
        <v>129</v>
      </c>
      <c r="C139" s="450"/>
      <c r="D139" s="450"/>
      <c r="E139" s="450"/>
      <c r="F139" s="450"/>
      <c r="G139" s="450"/>
      <c r="H139" s="450"/>
      <c r="I139" s="450"/>
      <c r="J139" s="450"/>
      <c r="K139" s="450"/>
      <c r="L139" s="450"/>
      <c r="M139" s="450"/>
      <c r="N139" s="450"/>
      <c r="O139" s="450"/>
      <c r="P139" s="450"/>
      <c r="Q139" s="450"/>
      <c r="R139" s="450"/>
      <c r="S139" s="450"/>
      <c r="T139" s="515">
        <v>0</v>
      </c>
      <c r="U139" s="452"/>
      <c r="V139" s="430"/>
    </row>
    <row r="140" spans="1:23" s="431" customFormat="1" x14ac:dyDescent="0.3">
      <c r="A140" s="449"/>
      <c r="B140" s="450" t="s">
        <v>130</v>
      </c>
      <c r="C140" s="450"/>
      <c r="D140" s="450"/>
      <c r="E140" s="450"/>
      <c r="F140" s="450"/>
      <c r="G140" s="450"/>
      <c r="H140" s="450"/>
      <c r="I140" s="450"/>
      <c r="J140" s="450"/>
      <c r="K140" s="450"/>
      <c r="L140" s="450"/>
      <c r="M140" s="450"/>
      <c r="N140" s="450"/>
      <c r="O140" s="450"/>
      <c r="P140" s="450"/>
      <c r="Q140" s="450"/>
      <c r="R140" s="450"/>
      <c r="S140" s="450"/>
      <c r="T140" s="515">
        <v>0</v>
      </c>
      <c r="U140" s="452"/>
      <c r="V140" s="430"/>
    </row>
    <row r="141" spans="1:23" s="431" customFormat="1" x14ac:dyDescent="0.3">
      <c r="A141" s="449"/>
      <c r="B141" s="450" t="s">
        <v>182</v>
      </c>
      <c r="C141" s="450"/>
      <c r="D141" s="450"/>
      <c r="E141" s="450"/>
      <c r="F141" s="450"/>
      <c r="G141" s="450"/>
      <c r="H141" s="450"/>
      <c r="I141" s="450"/>
      <c r="J141" s="450"/>
      <c r="K141" s="450"/>
      <c r="L141" s="450"/>
      <c r="M141" s="450"/>
      <c r="N141" s="450"/>
      <c r="O141" s="450"/>
      <c r="P141" s="450"/>
      <c r="Q141" s="450"/>
      <c r="R141" s="450"/>
      <c r="S141" s="450"/>
      <c r="T141" s="515">
        <v>0</v>
      </c>
      <c r="U141" s="452"/>
      <c r="V141" s="430"/>
    </row>
    <row r="142" spans="1:23" s="431" customFormat="1" x14ac:dyDescent="0.3">
      <c r="A142" s="449"/>
      <c r="B142" s="450" t="s">
        <v>46</v>
      </c>
      <c r="C142" s="450"/>
      <c r="D142" s="450"/>
      <c r="E142" s="450"/>
      <c r="F142" s="450"/>
      <c r="G142" s="450"/>
      <c r="H142" s="450"/>
      <c r="I142" s="450"/>
      <c r="J142" s="450"/>
      <c r="K142" s="450"/>
      <c r="L142" s="450"/>
      <c r="M142" s="450"/>
      <c r="N142" s="450"/>
      <c r="O142" s="450"/>
      <c r="P142" s="450"/>
      <c r="Q142" s="450"/>
      <c r="R142" s="450"/>
      <c r="S142" s="450"/>
      <c r="T142" s="515">
        <v>0</v>
      </c>
      <c r="U142" s="452"/>
      <c r="V142" s="430"/>
    </row>
    <row r="143" spans="1:23" s="431" customFormat="1" x14ac:dyDescent="0.3">
      <c r="A143" s="449"/>
      <c r="B143" s="450" t="s">
        <v>135</v>
      </c>
      <c r="C143" s="450"/>
      <c r="D143" s="450"/>
      <c r="E143" s="450"/>
      <c r="F143" s="450"/>
      <c r="G143" s="450"/>
      <c r="H143" s="450"/>
      <c r="I143" s="450"/>
      <c r="J143" s="450"/>
      <c r="K143" s="450"/>
      <c r="L143" s="450"/>
      <c r="M143" s="450"/>
      <c r="N143" s="450"/>
      <c r="O143" s="450"/>
      <c r="P143" s="450"/>
      <c r="Q143" s="450"/>
      <c r="R143" s="450"/>
      <c r="S143" s="450"/>
      <c r="T143" s="515">
        <v>0</v>
      </c>
      <c r="U143" s="452"/>
      <c r="V143" s="430"/>
    </row>
    <row r="144" spans="1:23" s="431" customFormat="1" x14ac:dyDescent="0.3">
      <c r="A144" s="449"/>
      <c r="B144" s="450" t="s">
        <v>251</v>
      </c>
      <c r="C144" s="450"/>
      <c r="D144" s="450"/>
      <c r="E144" s="450"/>
      <c r="F144" s="450"/>
      <c r="G144" s="450"/>
      <c r="H144" s="450"/>
      <c r="I144" s="450"/>
      <c r="J144" s="450"/>
      <c r="K144" s="450"/>
      <c r="L144" s="450"/>
      <c r="M144" s="450"/>
      <c r="N144" s="450"/>
      <c r="O144" s="450"/>
      <c r="P144" s="450"/>
      <c r="Q144" s="450"/>
      <c r="R144" s="450"/>
      <c r="S144" s="450"/>
      <c r="T144" s="515">
        <v>0</v>
      </c>
      <c r="U144" s="452"/>
      <c r="V144" s="430"/>
      <c r="W144" s="533"/>
    </row>
    <row r="145" spans="1:22" s="431" customFormat="1" x14ac:dyDescent="0.3">
      <c r="A145" s="449"/>
      <c r="B145" s="450" t="s">
        <v>47</v>
      </c>
      <c r="C145" s="450"/>
      <c r="D145" s="450"/>
      <c r="E145" s="450"/>
      <c r="F145" s="450"/>
      <c r="G145" s="450"/>
      <c r="H145" s="450"/>
      <c r="I145" s="450"/>
      <c r="J145" s="450"/>
      <c r="K145" s="450"/>
      <c r="L145" s="450"/>
      <c r="M145" s="450"/>
      <c r="N145" s="450"/>
      <c r="O145" s="450"/>
      <c r="P145" s="450"/>
      <c r="Q145" s="450"/>
      <c r="R145" s="450"/>
      <c r="S145" s="450"/>
      <c r="T145" s="515">
        <f>SUM(T137:T144)</f>
        <v>19001</v>
      </c>
      <c r="U145" s="452"/>
      <c r="V145" s="430"/>
    </row>
    <row r="146" spans="1:22" x14ac:dyDescent="0.3">
      <c r="A146" s="468"/>
      <c r="B146" s="470"/>
      <c r="C146" s="470"/>
      <c r="D146" s="470"/>
      <c r="E146" s="470"/>
      <c r="F146" s="470"/>
      <c r="G146" s="470"/>
      <c r="H146" s="470"/>
      <c r="I146" s="470"/>
      <c r="J146" s="470"/>
      <c r="K146" s="470"/>
      <c r="L146" s="470"/>
      <c r="M146" s="470"/>
      <c r="N146" s="470"/>
      <c r="O146" s="470"/>
      <c r="P146" s="470"/>
      <c r="Q146" s="470"/>
      <c r="R146" s="470"/>
      <c r="S146" s="470"/>
      <c r="T146" s="531"/>
      <c r="U146" s="476"/>
      <c r="V146" s="416"/>
    </row>
    <row r="147" spans="1:22" x14ac:dyDescent="0.3">
      <c r="A147" s="468"/>
      <c r="B147" s="529" t="s">
        <v>262</v>
      </c>
      <c r="C147" s="470"/>
      <c r="D147" s="470"/>
      <c r="E147" s="470"/>
      <c r="F147" s="470"/>
      <c r="G147" s="470"/>
      <c r="H147" s="470"/>
      <c r="I147" s="470"/>
      <c r="J147" s="470"/>
      <c r="K147" s="470"/>
      <c r="L147" s="470"/>
      <c r="M147" s="470"/>
      <c r="N147" s="470"/>
      <c r="O147" s="470"/>
      <c r="P147" s="470"/>
      <c r="Q147" s="470"/>
      <c r="R147" s="470"/>
      <c r="S147" s="470"/>
      <c r="T147" s="531"/>
      <c r="U147" s="476"/>
      <c r="V147" s="416"/>
    </row>
    <row r="148" spans="1:22" s="431" customFormat="1" x14ac:dyDescent="0.3">
      <c r="A148" s="449"/>
      <c r="B148" s="450" t="s">
        <v>263</v>
      </c>
      <c r="C148" s="450"/>
      <c r="D148" s="450"/>
      <c r="E148" s="450"/>
      <c r="F148" s="450"/>
      <c r="G148" s="450"/>
      <c r="H148" s="450"/>
      <c r="I148" s="450"/>
      <c r="J148" s="450"/>
      <c r="K148" s="450"/>
      <c r="L148" s="450"/>
      <c r="M148" s="450"/>
      <c r="N148" s="450"/>
      <c r="O148" s="450"/>
      <c r="P148" s="450"/>
      <c r="Q148" s="450"/>
      <c r="R148" s="450"/>
      <c r="S148" s="450"/>
      <c r="T148" s="515">
        <v>0</v>
      </c>
      <c r="U148" s="452"/>
      <c r="V148" s="430"/>
    </row>
    <row r="149" spans="1:22" s="431" customFormat="1" x14ac:dyDescent="0.3">
      <c r="A149" s="449"/>
      <c r="B149" s="450" t="s">
        <v>179</v>
      </c>
      <c r="C149" s="450"/>
      <c r="D149" s="450"/>
      <c r="E149" s="450"/>
      <c r="F149" s="450"/>
      <c r="G149" s="450"/>
      <c r="H149" s="450"/>
      <c r="I149" s="450"/>
      <c r="J149" s="450"/>
      <c r="K149" s="450"/>
      <c r="L149" s="450"/>
      <c r="M149" s="450"/>
      <c r="N149" s="450"/>
      <c r="O149" s="450"/>
      <c r="P149" s="450"/>
      <c r="Q149" s="450"/>
      <c r="R149" s="450"/>
      <c r="S149" s="450"/>
      <c r="T149" s="515">
        <v>0</v>
      </c>
      <c r="U149" s="452"/>
      <c r="V149" s="430"/>
    </row>
    <row r="150" spans="1:22" s="431" customFormat="1" x14ac:dyDescent="0.3">
      <c r="A150" s="449"/>
      <c r="B150" s="450" t="s">
        <v>264</v>
      </c>
      <c r="C150" s="450"/>
      <c r="D150" s="450"/>
      <c r="E150" s="450"/>
      <c r="F150" s="450"/>
      <c r="G150" s="450"/>
      <c r="H150" s="450"/>
      <c r="I150" s="450"/>
      <c r="J150" s="450"/>
      <c r="K150" s="450"/>
      <c r="L150" s="450"/>
      <c r="M150" s="450"/>
      <c r="N150" s="450"/>
      <c r="O150" s="450"/>
      <c r="P150" s="450"/>
      <c r="Q150" s="450"/>
      <c r="R150" s="450"/>
      <c r="S150" s="450"/>
      <c r="T150" s="515">
        <v>0</v>
      </c>
      <c r="U150" s="452"/>
      <c r="V150" s="430"/>
    </row>
    <row r="151" spans="1:22" x14ac:dyDescent="0.3">
      <c r="A151" s="468"/>
      <c r="B151" s="541"/>
      <c r="C151" s="541"/>
      <c r="D151" s="541"/>
      <c r="E151" s="541"/>
      <c r="F151" s="541"/>
      <c r="G151" s="541"/>
      <c r="H151" s="541"/>
      <c r="I151" s="541"/>
      <c r="J151" s="541"/>
      <c r="K151" s="541"/>
      <c r="L151" s="541"/>
      <c r="M151" s="541"/>
      <c r="N151" s="541"/>
      <c r="O151" s="541"/>
      <c r="P151" s="541"/>
      <c r="Q151" s="541"/>
      <c r="R151" s="541"/>
      <c r="S151" s="541"/>
      <c r="T151" s="542"/>
      <c r="U151" s="543"/>
      <c r="V151" s="416"/>
    </row>
    <row r="152" spans="1:22" x14ac:dyDescent="0.3">
      <c r="A152" s="418"/>
      <c r="B152" s="516"/>
      <c r="C152" s="516"/>
      <c r="D152" s="516"/>
      <c r="E152" s="516"/>
      <c r="F152" s="516"/>
      <c r="G152" s="516"/>
      <c r="H152" s="516"/>
      <c r="I152" s="516"/>
      <c r="J152" s="516"/>
      <c r="K152" s="516"/>
      <c r="L152" s="516"/>
      <c r="M152" s="516"/>
      <c r="N152" s="516"/>
      <c r="O152" s="516"/>
      <c r="P152" s="516"/>
      <c r="Q152" s="516"/>
      <c r="R152" s="516"/>
      <c r="S152" s="516"/>
      <c r="T152" s="544"/>
      <c r="U152" s="639"/>
      <c r="V152" s="416"/>
    </row>
    <row r="153" spans="1:22" x14ac:dyDescent="0.3">
      <c r="A153" s="418"/>
      <c r="B153" s="540" t="s">
        <v>24</v>
      </c>
      <c r="C153" s="420"/>
      <c r="D153" s="420"/>
      <c r="E153" s="420"/>
      <c r="F153" s="420"/>
      <c r="G153" s="420"/>
      <c r="H153" s="420"/>
      <c r="I153" s="420"/>
      <c r="J153" s="420"/>
      <c r="K153" s="420"/>
      <c r="L153" s="420"/>
      <c r="M153" s="420"/>
      <c r="N153" s="420"/>
      <c r="O153" s="420"/>
      <c r="P153" s="420"/>
      <c r="Q153" s="420"/>
      <c r="R153" s="420"/>
      <c r="S153" s="420"/>
      <c r="T153" s="510"/>
      <c r="U153" s="639"/>
      <c r="V153" s="416"/>
    </row>
    <row r="154" spans="1:22" s="431" customFormat="1" x14ac:dyDescent="0.3">
      <c r="A154" s="449"/>
      <c r="B154" s="450" t="s">
        <v>48</v>
      </c>
      <c r="C154" s="450"/>
      <c r="D154" s="450"/>
      <c r="E154" s="450"/>
      <c r="F154" s="450"/>
      <c r="G154" s="450"/>
      <c r="H154" s="450"/>
      <c r="I154" s="450"/>
      <c r="J154" s="450"/>
      <c r="K154" s="450"/>
      <c r="L154" s="450"/>
      <c r="M154" s="450"/>
      <c r="N154" s="450"/>
      <c r="O154" s="450"/>
      <c r="P154" s="450"/>
      <c r="Q154" s="450"/>
      <c r="R154" s="450"/>
      <c r="S154" s="450"/>
      <c r="T154" s="545" t="s">
        <v>124</v>
      </c>
      <c r="U154" s="452"/>
      <c r="V154" s="430"/>
    </row>
    <row r="155" spans="1:22" s="431" customFormat="1" x14ac:dyDescent="0.3">
      <c r="A155" s="449"/>
      <c r="B155" s="450" t="s">
        <v>49</v>
      </c>
      <c r="C155" s="450"/>
      <c r="D155" s="450"/>
      <c r="E155" s="450"/>
      <c r="F155" s="450"/>
      <c r="G155" s="450"/>
      <c r="H155" s="450"/>
      <c r="I155" s="450"/>
      <c r="J155" s="450"/>
      <c r="K155" s="450"/>
      <c r="L155" s="450"/>
      <c r="M155" s="450"/>
      <c r="N155" s="450"/>
      <c r="O155" s="450"/>
      <c r="P155" s="450"/>
      <c r="Q155" s="450"/>
      <c r="R155" s="450"/>
      <c r="S155" s="450"/>
      <c r="T155" s="545" t="s">
        <v>124</v>
      </c>
      <c r="U155" s="452"/>
      <c r="V155" s="430"/>
    </row>
    <row r="156" spans="1:22" s="431" customFormat="1" x14ac:dyDescent="0.3">
      <c r="A156" s="449"/>
      <c r="B156" s="450" t="s">
        <v>50</v>
      </c>
      <c r="C156" s="450"/>
      <c r="D156" s="450"/>
      <c r="E156" s="450"/>
      <c r="F156" s="450"/>
      <c r="G156" s="450"/>
      <c r="H156" s="450"/>
      <c r="I156" s="450"/>
      <c r="J156" s="450"/>
      <c r="K156" s="450"/>
      <c r="L156" s="450"/>
      <c r="M156" s="450"/>
      <c r="N156" s="450"/>
      <c r="O156" s="450"/>
      <c r="P156" s="450"/>
      <c r="Q156" s="450"/>
      <c r="R156" s="450"/>
      <c r="S156" s="450"/>
      <c r="T156" s="545" t="s">
        <v>124</v>
      </c>
      <c r="U156" s="452"/>
      <c r="V156" s="430"/>
    </row>
    <row r="157" spans="1:22" s="431" customFormat="1" x14ac:dyDescent="0.3">
      <c r="A157" s="449"/>
      <c r="B157" s="450" t="s">
        <v>51</v>
      </c>
      <c r="C157" s="450"/>
      <c r="D157" s="450"/>
      <c r="E157" s="450"/>
      <c r="F157" s="450"/>
      <c r="G157" s="450"/>
      <c r="H157" s="450"/>
      <c r="I157" s="450"/>
      <c r="J157" s="450"/>
      <c r="K157" s="450"/>
      <c r="L157" s="450"/>
      <c r="M157" s="450"/>
      <c r="N157" s="450"/>
      <c r="O157" s="450"/>
      <c r="P157" s="450"/>
      <c r="Q157" s="450"/>
      <c r="R157" s="450"/>
      <c r="S157" s="450"/>
      <c r="T157" s="545" t="s">
        <v>124</v>
      </c>
      <c r="U157" s="452"/>
      <c r="V157" s="430"/>
    </row>
    <row r="158" spans="1:22" x14ac:dyDescent="0.3">
      <c r="A158" s="418"/>
      <c r="B158" s="516"/>
      <c r="C158" s="516"/>
      <c r="D158" s="516"/>
      <c r="E158" s="516"/>
      <c r="F158" s="516"/>
      <c r="G158" s="516"/>
      <c r="H158" s="516"/>
      <c r="I158" s="516"/>
      <c r="J158" s="516"/>
      <c r="K158" s="516"/>
      <c r="L158" s="516"/>
      <c r="M158" s="516"/>
      <c r="N158" s="516"/>
      <c r="O158" s="516"/>
      <c r="P158" s="516"/>
      <c r="Q158" s="516"/>
      <c r="R158" s="516"/>
      <c r="S158" s="516"/>
      <c r="T158" s="544"/>
      <c r="U158" s="639"/>
      <c r="V158" s="416"/>
    </row>
    <row r="159" spans="1:22" x14ac:dyDescent="0.3">
      <c r="A159" s="418"/>
      <c r="B159" s="540" t="s">
        <v>52</v>
      </c>
      <c r="C159" s="420"/>
      <c r="D159" s="420"/>
      <c r="E159" s="420"/>
      <c r="F159" s="420"/>
      <c r="G159" s="420"/>
      <c r="H159" s="420"/>
      <c r="I159" s="420"/>
      <c r="J159" s="420"/>
      <c r="K159" s="420"/>
      <c r="L159" s="420"/>
      <c r="M159" s="420"/>
      <c r="N159" s="420"/>
      <c r="O159" s="420"/>
      <c r="P159" s="420"/>
      <c r="Q159" s="420"/>
      <c r="R159" s="420"/>
      <c r="S159" s="420"/>
      <c r="T159" s="546"/>
      <c r="U159" s="639"/>
      <c r="V159" s="416"/>
    </row>
    <row r="160" spans="1:22" s="431" customFormat="1" x14ac:dyDescent="0.3">
      <c r="A160" s="449"/>
      <c r="B160" s="450" t="s">
        <v>53</v>
      </c>
      <c r="C160" s="450"/>
      <c r="D160" s="450"/>
      <c r="E160" s="450"/>
      <c r="F160" s="450"/>
      <c r="G160" s="450"/>
      <c r="H160" s="450"/>
      <c r="I160" s="450"/>
      <c r="J160" s="450"/>
      <c r="K160" s="450"/>
      <c r="L160" s="450"/>
      <c r="M160" s="450"/>
      <c r="N160" s="450"/>
      <c r="O160" s="450"/>
      <c r="P160" s="450"/>
      <c r="Q160" s="450"/>
      <c r="R160" s="450"/>
      <c r="S160" s="450"/>
      <c r="T160" s="515">
        <v>0</v>
      </c>
      <c r="U160" s="452"/>
      <c r="V160" s="430"/>
    </row>
    <row r="161" spans="1:22" s="431" customFormat="1" x14ac:dyDescent="0.3">
      <c r="A161" s="449"/>
      <c r="B161" s="450" t="s">
        <v>54</v>
      </c>
      <c r="C161" s="450"/>
      <c r="D161" s="450"/>
      <c r="E161" s="450"/>
      <c r="F161" s="450"/>
      <c r="G161" s="450"/>
      <c r="H161" s="450"/>
      <c r="I161" s="450"/>
      <c r="J161" s="450"/>
      <c r="K161" s="450"/>
      <c r="L161" s="450"/>
      <c r="M161" s="450"/>
      <c r="N161" s="450"/>
      <c r="O161" s="450"/>
      <c r="P161" s="450"/>
      <c r="Q161" s="450"/>
      <c r="R161" s="450"/>
      <c r="S161" s="450"/>
      <c r="T161" s="515">
        <f>R112</f>
        <v>384</v>
      </c>
      <c r="U161" s="452"/>
      <c r="V161" s="430"/>
    </row>
    <row r="162" spans="1:22" s="431" customFormat="1" x14ac:dyDescent="0.3">
      <c r="A162" s="449"/>
      <c r="B162" s="450" t="s">
        <v>55</v>
      </c>
      <c r="C162" s="450"/>
      <c r="D162" s="450"/>
      <c r="E162" s="450"/>
      <c r="F162" s="450"/>
      <c r="G162" s="450"/>
      <c r="H162" s="450"/>
      <c r="I162" s="450"/>
      <c r="J162" s="450"/>
      <c r="K162" s="450"/>
      <c r="L162" s="450"/>
      <c r="M162" s="450"/>
      <c r="N162" s="450"/>
      <c r="O162" s="450"/>
      <c r="P162" s="450"/>
      <c r="Q162" s="450"/>
      <c r="R162" s="450"/>
      <c r="S162" s="450"/>
      <c r="T162" s="515">
        <f>T161+T160</f>
        <v>384</v>
      </c>
      <c r="U162" s="452"/>
      <c r="V162" s="430"/>
    </row>
    <row r="163" spans="1:22" s="431" customFormat="1" x14ac:dyDescent="0.3">
      <c r="A163" s="449"/>
      <c r="B163" s="450" t="s">
        <v>301</v>
      </c>
      <c r="C163" s="450"/>
      <c r="D163" s="450"/>
      <c r="E163" s="450"/>
      <c r="F163" s="450"/>
      <c r="G163" s="450"/>
      <c r="H163" s="450"/>
      <c r="I163" s="450"/>
      <c r="J163" s="450"/>
      <c r="K163" s="450"/>
      <c r="L163" s="450"/>
      <c r="M163" s="450"/>
      <c r="N163" s="450"/>
      <c r="O163" s="450"/>
      <c r="P163" s="450"/>
      <c r="Q163" s="450"/>
      <c r="R163" s="450"/>
      <c r="S163" s="450"/>
      <c r="T163" s="515">
        <f>T112</f>
        <v>-384</v>
      </c>
      <c r="U163" s="452"/>
      <c r="V163" s="430"/>
    </row>
    <row r="164" spans="1:22" s="431" customFormat="1" x14ac:dyDescent="0.3">
      <c r="A164" s="449"/>
      <c r="B164" s="450" t="s">
        <v>56</v>
      </c>
      <c r="C164" s="450"/>
      <c r="D164" s="450"/>
      <c r="E164" s="450"/>
      <c r="F164" s="450"/>
      <c r="G164" s="450"/>
      <c r="H164" s="450"/>
      <c r="I164" s="450"/>
      <c r="J164" s="450"/>
      <c r="K164" s="450"/>
      <c r="L164" s="450"/>
      <c r="M164" s="450"/>
      <c r="N164" s="450"/>
      <c r="O164" s="450"/>
      <c r="P164" s="450"/>
      <c r="Q164" s="450"/>
      <c r="R164" s="450"/>
      <c r="S164" s="450"/>
      <c r="T164" s="515">
        <f>T162+T163</f>
        <v>0</v>
      </c>
      <c r="U164" s="452"/>
      <c r="V164" s="430"/>
    </row>
    <row r="165" spans="1:22" s="431" customFormat="1" x14ac:dyDescent="0.3">
      <c r="A165" s="449"/>
      <c r="B165" s="450" t="s">
        <v>273</v>
      </c>
      <c r="C165" s="450"/>
      <c r="D165" s="450"/>
      <c r="E165" s="450"/>
      <c r="F165" s="450"/>
      <c r="G165" s="450"/>
      <c r="H165" s="450"/>
      <c r="I165" s="450"/>
      <c r="J165" s="450"/>
      <c r="K165" s="450"/>
      <c r="L165" s="450"/>
      <c r="M165" s="450"/>
      <c r="N165" s="450"/>
      <c r="O165" s="450"/>
      <c r="P165" s="450"/>
      <c r="Q165" s="450"/>
      <c r="R165" s="450"/>
      <c r="S165" s="450"/>
      <c r="T165" s="515">
        <v>0</v>
      </c>
      <c r="U165" s="452"/>
      <c r="V165" s="430"/>
    </row>
    <row r="166" spans="1:22" ht="16.2" thickBot="1" x14ac:dyDescent="0.35">
      <c r="A166" s="418"/>
      <c r="B166" s="516"/>
      <c r="C166" s="516"/>
      <c r="D166" s="516"/>
      <c r="E166" s="516"/>
      <c r="F166" s="516"/>
      <c r="G166" s="516"/>
      <c r="H166" s="516"/>
      <c r="I166" s="516"/>
      <c r="J166" s="516"/>
      <c r="K166" s="516"/>
      <c r="L166" s="516"/>
      <c r="M166" s="516"/>
      <c r="N166" s="516"/>
      <c r="O166" s="516"/>
      <c r="P166" s="516"/>
      <c r="Q166" s="516"/>
      <c r="R166" s="516"/>
      <c r="S166" s="516"/>
      <c r="T166" s="544"/>
      <c r="U166" s="639"/>
      <c r="V166" s="416"/>
    </row>
    <row r="167" spans="1:22" x14ac:dyDescent="0.3">
      <c r="A167" s="547"/>
      <c r="B167" s="415"/>
      <c r="C167" s="415"/>
      <c r="D167" s="415"/>
      <c r="E167" s="415"/>
      <c r="F167" s="415"/>
      <c r="G167" s="415"/>
      <c r="H167" s="415"/>
      <c r="I167" s="415"/>
      <c r="J167" s="415"/>
      <c r="K167" s="415"/>
      <c r="L167" s="415"/>
      <c r="M167" s="415"/>
      <c r="N167" s="415"/>
      <c r="O167" s="415"/>
      <c r="P167" s="415"/>
      <c r="Q167" s="415"/>
      <c r="R167" s="415"/>
      <c r="S167" s="415"/>
      <c r="T167" s="548"/>
      <c r="U167" s="638"/>
      <c r="V167" s="416"/>
    </row>
    <row r="168" spans="1:22" x14ac:dyDescent="0.3">
      <c r="A168" s="418"/>
      <c r="B168" s="540" t="s">
        <v>57</v>
      </c>
      <c r="C168" s="420"/>
      <c r="D168" s="420"/>
      <c r="E168" s="420"/>
      <c r="F168" s="420"/>
      <c r="G168" s="420"/>
      <c r="H168" s="420"/>
      <c r="I168" s="420"/>
      <c r="J168" s="420"/>
      <c r="K168" s="420"/>
      <c r="L168" s="420"/>
      <c r="M168" s="420"/>
      <c r="N168" s="420"/>
      <c r="O168" s="420"/>
      <c r="P168" s="420"/>
      <c r="Q168" s="420"/>
      <c r="R168" s="420"/>
      <c r="S168" s="420"/>
      <c r="T168" s="510"/>
      <c r="U168" s="639"/>
      <c r="V168" s="416"/>
    </row>
    <row r="169" spans="1:22" x14ac:dyDescent="0.3">
      <c r="A169" s="418"/>
      <c r="B169" s="540"/>
      <c r="C169" s="420"/>
      <c r="D169" s="420"/>
      <c r="E169" s="420"/>
      <c r="F169" s="420"/>
      <c r="G169" s="420"/>
      <c r="H169" s="420"/>
      <c r="I169" s="420"/>
      <c r="J169" s="420"/>
      <c r="K169" s="420"/>
      <c r="L169" s="420"/>
      <c r="M169" s="420"/>
      <c r="N169" s="420"/>
      <c r="O169" s="420"/>
      <c r="P169" s="420"/>
      <c r="Q169" s="420"/>
      <c r="R169" s="420"/>
      <c r="S169" s="420"/>
      <c r="T169" s="510"/>
      <c r="U169" s="639"/>
      <c r="V169" s="416"/>
    </row>
    <row r="170" spans="1:22" s="431" customFormat="1" x14ac:dyDescent="0.3">
      <c r="A170" s="449"/>
      <c r="B170" s="450" t="s">
        <v>58</v>
      </c>
      <c r="C170" s="450"/>
      <c r="D170" s="450"/>
      <c r="E170" s="450"/>
      <c r="F170" s="450"/>
      <c r="G170" s="450"/>
      <c r="H170" s="450"/>
      <c r="I170" s="450"/>
      <c r="J170" s="450"/>
      <c r="K170" s="450"/>
      <c r="L170" s="450"/>
      <c r="M170" s="450"/>
      <c r="N170" s="450"/>
      <c r="O170" s="450"/>
      <c r="P170" s="450"/>
      <c r="Q170" s="450"/>
      <c r="R170" s="450"/>
      <c r="S170" s="450"/>
      <c r="T170" s="515">
        <f>T70</f>
        <v>405485</v>
      </c>
      <c r="U170" s="452"/>
      <c r="V170" s="430"/>
    </row>
    <row r="171" spans="1:22" s="431" customFormat="1" x14ac:dyDescent="0.3">
      <c r="A171" s="449"/>
      <c r="B171" s="450" t="s">
        <v>59</v>
      </c>
      <c r="C171" s="450"/>
      <c r="D171" s="450"/>
      <c r="E171" s="450"/>
      <c r="F171" s="450"/>
      <c r="G171" s="450"/>
      <c r="H171" s="450"/>
      <c r="I171" s="450"/>
      <c r="J171" s="450"/>
      <c r="K171" s="450"/>
      <c r="L171" s="450"/>
      <c r="M171" s="450"/>
      <c r="N171" s="450"/>
      <c r="O171" s="450"/>
      <c r="P171" s="450"/>
      <c r="Q171" s="450"/>
      <c r="R171" s="450"/>
      <c r="S171" s="450"/>
      <c r="T171" s="515">
        <f>T83</f>
        <v>405485</v>
      </c>
      <c r="U171" s="452"/>
      <c r="V171" s="430"/>
    </row>
    <row r="172" spans="1:22" ht="16.2" thickBot="1" x14ac:dyDescent="0.35">
      <c r="A172" s="418"/>
      <c r="B172" s="516"/>
      <c r="C172" s="516"/>
      <c r="D172" s="516"/>
      <c r="E172" s="516"/>
      <c r="F172" s="516"/>
      <c r="G172" s="516"/>
      <c r="H172" s="516"/>
      <c r="I172" s="516"/>
      <c r="J172" s="516"/>
      <c r="K172" s="516"/>
      <c r="L172" s="516"/>
      <c r="M172" s="516"/>
      <c r="N172" s="516"/>
      <c r="O172" s="516"/>
      <c r="P172" s="516"/>
      <c r="Q172" s="516"/>
      <c r="R172" s="516"/>
      <c r="S172" s="516"/>
      <c r="T172" s="544"/>
      <c r="U172" s="639"/>
      <c r="V172" s="416"/>
    </row>
    <row r="173" spans="1:22" x14ac:dyDescent="0.3">
      <c r="A173" s="547"/>
      <c r="B173" s="415"/>
      <c r="C173" s="415"/>
      <c r="D173" s="415"/>
      <c r="E173" s="415"/>
      <c r="F173" s="415"/>
      <c r="G173" s="415"/>
      <c r="H173" s="415"/>
      <c r="I173" s="415"/>
      <c r="J173" s="415"/>
      <c r="K173" s="415"/>
      <c r="L173" s="415"/>
      <c r="M173" s="415"/>
      <c r="N173" s="415"/>
      <c r="O173" s="415"/>
      <c r="P173" s="415"/>
      <c r="Q173" s="415"/>
      <c r="R173" s="415"/>
      <c r="S173" s="415"/>
      <c r="T173" s="548"/>
      <c r="U173" s="638"/>
      <c r="V173" s="416"/>
    </row>
    <row r="174" spans="1:22" x14ac:dyDescent="0.3">
      <c r="A174" s="418"/>
      <c r="B174" s="540" t="s">
        <v>60</v>
      </c>
      <c r="C174" s="549"/>
      <c r="D174" s="549"/>
      <c r="E174" s="549"/>
      <c r="F174" s="549"/>
      <c r="G174" s="549"/>
      <c r="H174" s="550"/>
      <c r="I174" s="550"/>
      <c r="J174" s="550"/>
      <c r="K174" s="550"/>
      <c r="L174" s="550"/>
      <c r="M174" s="550"/>
      <c r="N174" s="550"/>
      <c r="O174" s="550"/>
      <c r="P174" s="550"/>
      <c r="Q174" s="550" t="s">
        <v>104</v>
      </c>
      <c r="R174" s="550" t="s">
        <v>183</v>
      </c>
      <c r="S174" s="422"/>
      <c r="T174" s="551" t="s">
        <v>120</v>
      </c>
      <c r="U174" s="643"/>
      <c r="V174" s="416"/>
    </row>
    <row r="175" spans="1:22" s="431" customFormat="1" x14ac:dyDescent="0.3">
      <c r="A175" s="449"/>
      <c r="B175" s="450" t="s">
        <v>61</v>
      </c>
      <c r="C175" s="450"/>
      <c r="D175" s="450"/>
      <c r="E175" s="450"/>
      <c r="F175" s="450"/>
      <c r="G175" s="450"/>
      <c r="H175" s="450"/>
      <c r="I175" s="450"/>
      <c r="J175" s="450"/>
      <c r="K175" s="450"/>
      <c r="L175" s="450"/>
      <c r="M175" s="450"/>
      <c r="N175" s="450"/>
      <c r="O175" s="450"/>
      <c r="P175" s="450"/>
      <c r="Q175" s="515">
        <v>160008</v>
      </c>
      <c r="R175" s="486"/>
      <c r="S175" s="450"/>
      <c r="T175" s="515"/>
      <c r="U175" s="452"/>
      <c r="V175" s="430"/>
    </row>
    <row r="176" spans="1:22" s="431" customFormat="1" x14ac:dyDescent="0.3">
      <c r="A176" s="449"/>
      <c r="B176" s="450" t="s">
        <v>62</v>
      </c>
      <c r="C176" s="450"/>
      <c r="D176" s="450"/>
      <c r="E176" s="450"/>
      <c r="F176" s="450"/>
      <c r="G176" s="450"/>
      <c r="H176" s="450"/>
      <c r="I176" s="450"/>
      <c r="J176" s="450"/>
      <c r="K176" s="450"/>
      <c r="L176" s="450"/>
      <c r="M176" s="450"/>
      <c r="N176" s="450"/>
      <c r="O176" s="450"/>
      <c r="P176" s="450"/>
      <c r="Q176" s="515">
        <f>+'March 18'!Q178</f>
        <v>40806</v>
      </c>
      <c r="R176" s="515">
        <f>+'March 18'!R178</f>
        <v>3447</v>
      </c>
      <c r="S176" s="450"/>
      <c r="T176" s="515">
        <f>Q176+R176</f>
        <v>44253</v>
      </c>
      <c r="U176" s="452"/>
      <c r="V176" s="430"/>
    </row>
    <row r="177" spans="1:22" s="431" customFormat="1" x14ac:dyDescent="0.3">
      <c r="A177" s="449"/>
      <c r="B177" s="450" t="s">
        <v>63</v>
      </c>
      <c r="C177" s="450"/>
      <c r="D177" s="450"/>
      <c r="E177" s="450"/>
      <c r="F177" s="450"/>
      <c r="G177" s="450"/>
      <c r="H177" s="450"/>
      <c r="I177" s="450"/>
      <c r="J177" s="450"/>
      <c r="K177" s="450"/>
      <c r="L177" s="450"/>
      <c r="M177" s="450"/>
      <c r="N177" s="450"/>
      <c r="O177" s="450"/>
      <c r="P177" s="450"/>
      <c r="Q177" s="514">
        <v>118</v>
      </c>
      <c r="R177" s="514">
        <v>0</v>
      </c>
      <c r="S177" s="450"/>
      <c r="T177" s="515">
        <f>Q177+R177</f>
        <v>118</v>
      </c>
      <c r="U177" s="452"/>
      <c r="V177" s="430"/>
    </row>
    <row r="178" spans="1:22" s="431" customFormat="1" x14ac:dyDescent="0.3">
      <c r="A178" s="449"/>
      <c r="B178" s="450" t="s">
        <v>64</v>
      </c>
      <c r="C178" s="450"/>
      <c r="D178" s="450"/>
      <c r="E178" s="450"/>
      <c r="F178" s="450"/>
      <c r="G178" s="450"/>
      <c r="H178" s="450"/>
      <c r="I178" s="450"/>
      <c r="J178" s="450"/>
      <c r="K178" s="450"/>
      <c r="L178" s="450"/>
      <c r="M178" s="450"/>
      <c r="N178" s="450"/>
      <c r="O178" s="450"/>
      <c r="P178" s="450"/>
      <c r="Q178" s="515">
        <f>Q176+Q177</f>
        <v>40924</v>
      </c>
      <c r="R178" s="515">
        <f>R177+R176</f>
        <v>3447</v>
      </c>
      <c r="S178" s="450"/>
      <c r="T178" s="515">
        <f>Q178+R178</f>
        <v>44371</v>
      </c>
      <c r="U178" s="452"/>
      <c r="V178" s="430"/>
    </row>
    <row r="179" spans="1:22" s="431" customFormat="1" x14ac:dyDescent="0.3">
      <c r="A179" s="449"/>
      <c r="B179" s="450" t="s">
        <v>65</v>
      </c>
      <c r="C179" s="450"/>
      <c r="D179" s="450"/>
      <c r="E179" s="450"/>
      <c r="F179" s="450"/>
      <c r="G179" s="450"/>
      <c r="H179" s="450"/>
      <c r="I179" s="450"/>
      <c r="J179" s="450"/>
      <c r="K179" s="450"/>
      <c r="L179" s="450"/>
      <c r="M179" s="450"/>
      <c r="N179" s="450"/>
      <c r="O179" s="450"/>
      <c r="P179" s="450"/>
      <c r="Q179" s="515">
        <f>Q175-Q178-R178</f>
        <v>115637</v>
      </c>
      <c r="R179" s="486"/>
      <c r="S179" s="450"/>
      <c r="T179" s="515"/>
      <c r="U179" s="452"/>
      <c r="V179" s="430"/>
    </row>
    <row r="180" spans="1:22" ht="16.2" thickBot="1" x14ac:dyDescent="0.35">
      <c r="A180" s="418"/>
      <c r="B180" s="516"/>
      <c r="C180" s="516"/>
      <c r="D180" s="516"/>
      <c r="E180" s="516"/>
      <c r="F180" s="516"/>
      <c r="G180" s="516"/>
      <c r="H180" s="516"/>
      <c r="I180" s="516"/>
      <c r="J180" s="516"/>
      <c r="K180" s="516"/>
      <c r="L180" s="516"/>
      <c r="M180" s="516"/>
      <c r="N180" s="516"/>
      <c r="O180" s="516"/>
      <c r="P180" s="516"/>
      <c r="Q180" s="516"/>
      <c r="R180" s="516"/>
      <c r="S180" s="516"/>
      <c r="T180" s="544"/>
      <c r="U180" s="639"/>
      <c r="V180" s="416"/>
    </row>
    <row r="181" spans="1:22" x14ac:dyDescent="0.3">
      <c r="A181" s="547"/>
      <c r="B181" s="415"/>
      <c r="C181" s="415"/>
      <c r="D181" s="415"/>
      <c r="E181" s="415"/>
      <c r="F181" s="415"/>
      <c r="G181" s="415"/>
      <c r="H181" s="415"/>
      <c r="I181" s="415"/>
      <c r="J181" s="415"/>
      <c r="K181" s="415"/>
      <c r="L181" s="415"/>
      <c r="M181" s="415"/>
      <c r="N181" s="415"/>
      <c r="O181" s="415"/>
      <c r="P181" s="415"/>
      <c r="Q181" s="415"/>
      <c r="R181" s="415"/>
      <c r="S181" s="415"/>
      <c r="T181" s="548"/>
      <c r="U181" s="638"/>
      <c r="V181" s="416"/>
    </row>
    <row r="182" spans="1:22" x14ac:dyDescent="0.3">
      <c r="A182" s="418"/>
      <c r="B182" s="540" t="s">
        <v>66</v>
      </c>
      <c r="C182" s="420"/>
      <c r="D182" s="420"/>
      <c r="E182" s="420"/>
      <c r="F182" s="420"/>
      <c r="G182" s="420"/>
      <c r="H182" s="420"/>
      <c r="I182" s="420"/>
      <c r="J182" s="420"/>
      <c r="K182" s="420"/>
      <c r="L182" s="420"/>
      <c r="M182" s="420"/>
      <c r="N182" s="420"/>
      <c r="O182" s="420"/>
      <c r="P182" s="420"/>
      <c r="Q182" s="420"/>
      <c r="R182" s="420"/>
      <c r="S182" s="420"/>
      <c r="T182" s="552"/>
      <c r="U182" s="639"/>
      <c r="V182" s="416"/>
    </row>
    <row r="183" spans="1:22" s="431" customFormat="1" x14ac:dyDescent="0.3">
      <c r="A183" s="449"/>
      <c r="B183" s="450" t="s">
        <v>67</v>
      </c>
      <c r="C183" s="450"/>
      <c r="D183" s="450"/>
      <c r="E183" s="450"/>
      <c r="F183" s="450"/>
      <c r="G183" s="450"/>
      <c r="H183" s="450"/>
      <c r="I183" s="450"/>
      <c r="J183" s="450"/>
      <c r="K183" s="450"/>
      <c r="L183" s="450"/>
      <c r="M183" s="450"/>
      <c r="N183" s="450"/>
      <c r="O183" s="450"/>
      <c r="P183" s="450"/>
      <c r="Q183" s="450"/>
      <c r="R183" s="450"/>
      <c r="S183" s="450"/>
      <c r="T183" s="545">
        <f>(T99+T101+T102+T103+T104)/-(T105+T106)</f>
        <v>4.0980113636363633</v>
      </c>
      <c r="U183" s="452" t="s">
        <v>121</v>
      </c>
      <c r="V183" s="430"/>
    </row>
    <row r="184" spans="1:22" s="431" customFormat="1" x14ac:dyDescent="0.3">
      <c r="A184" s="449"/>
      <c r="B184" s="450" t="s">
        <v>68</v>
      </c>
      <c r="C184" s="450"/>
      <c r="D184" s="450"/>
      <c r="E184" s="450"/>
      <c r="F184" s="450"/>
      <c r="G184" s="450"/>
      <c r="H184" s="450"/>
      <c r="I184" s="450"/>
      <c r="J184" s="450"/>
      <c r="K184" s="450"/>
      <c r="L184" s="450"/>
      <c r="M184" s="450"/>
      <c r="N184" s="450"/>
      <c r="O184" s="450"/>
      <c r="P184" s="450"/>
      <c r="Q184" s="450"/>
      <c r="R184" s="450"/>
      <c r="S184" s="450"/>
      <c r="T184" s="553">
        <v>1.93</v>
      </c>
      <c r="U184" s="452" t="s">
        <v>121</v>
      </c>
      <c r="V184" s="430"/>
    </row>
    <row r="185" spans="1:22" s="431" customFormat="1" x14ac:dyDescent="0.3">
      <c r="A185" s="449"/>
      <c r="B185" s="450" t="s">
        <v>69</v>
      </c>
      <c r="C185" s="450"/>
      <c r="D185" s="450"/>
      <c r="E185" s="450"/>
      <c r="F185" s="450"/>
      <c r="G185" s="450"/>
      <c r="H185" s="450"/>
      <c r="I185" s="450"/>
      <c r="J185" s="450"/>
      <c r="K185" s="450"/>
      <c r="L185" s="450"/>
      <c r="M185" s="450"/>
      <c r="N185" s="450"/>
      <c r="O185" s="450"/>
      <c r="P185" s="450"/>
      <c r="Q185" s="450"/>
      <c r="R185" s="450"/>
      <c r="S185" s="450"/>
      <c r="T185" s="545">
        <f>(T99+T101+T102+T103+T104+T105+T106)/-(T107+T108)</f>
        <v>11.300518134715025</v>
      </c>
      <c r="U185" s="452" t="s">
        <v>121</v>
      </c>
      <c r="V185" s="430"/>
    </row>
    <row r="186" spans="1:22" s="431" customFormat="1" x14ac:dyDescent="0.3">
      <c r="A186" s="449"/>
      <c r="B186" s="450" t="s">
        <v>70</v>
      </c>
      <c r="C186" s="450"/>
      <c r="D186" s="450"/>
      <c r="E186" s="450"/>
      <c r="F186" s="450"/>
      <c r="G186" s="450"/>
      <c r="H186" s="450"/>
      <c r="I186" s="450"/>
      <c r="J186" s="450"/>
      <c r="K186" s="450"/>
      <c r="L186" s="450"/>
      <c r="M186" s="450"/>
      <c r="N186" s="450"/>
      <c r="O186" s="450"/>
      <c r="P186" s="450"/>
      <c r="Q186" s="450"/>
      <c r="R186" s="450"/>
      <c r="S186" s="450"/>
      <c r="T186" s="553">
        <v>7.12</v>
      </c>
      <c r="U186" s="452" t="s">
        <v>121</v>
      </c>
      <c r="V186" s="430"/>
    </row>
    <row r="187" spans="1:22" s="431" customFormat="1" x14ac:dyDescent="0.3">
      <c r="A187" s="449"/>
      <c r="B187" s="450" t="s">
        <v>206</v>
      </c>
      <c r="C187" s="450"/>
      <c r="D187" s="450"/>
      <c r="E187" s="450"/>
      <c r="F187" s="450"/>
      <c r="G187" s="450"/>
      <c r="H187" s="450"/>
      <c r="I187" s="450"/>
      <c r="J187" s="450"/>
      <c r="K187" s="450"/>
      <c r="L187" s="450"/>
      <c r="M187" s="450"/>
      <c r="N187" s="450"/>
      <c r="O187" s="450"/>
      <c r="P187" s="450"/>
      <c r="Q187" s="450"/>
      <c r="R187" s="450"/>
      <c r="S187" s="450"/>
      <c r="T187" s="545">
        <f>(T99+T101+T102+T103+T104+T105+T106+T107+T108)/-(T109)</f>
        <v>9.0776255707762559</v>
      </c>
      <c r="U187" s="452" t="s">
        <v>121</v>
      </c>
      <c r="V187" s="430"/>
    </row>
    <row r="188" spans="1:22" s="431" customFormat="1" x14ac:dyDescent="0.3">
      <c r="A188" s="449"/>
      <c r="B188" s="450" t="s">
        <v>207</v>
      </c>
      <c r="C188" s="450"/>
      <c r="D188" s="450"/>
      <c r="E188" s="450"/>
      <c r="F188" s="450"/>
      <c r="G188" s="450"/>
      <c r="H188" s="450"/>
      <c r="I188" s="450"/>
      <c r="J188" s="450"/>
      <c r="K188" s="450"/>
      <c r="L188" s="450"/>
      <c r="M188" s="450"/>
      <c r="N188" s="450"/>
      <c r="O188" s="450"/>
      <c r="P188" s="450"/>
      <c r="Q188" s="450"/>
      <c r="R188" s="450"/>
      <c r="S188" s="450"/>
      <c r="T188" s="553">
        <v>6.32</v>
      </c>
      <c r="U188" s="452" t="s">
        <v>121</v>
      </c>
      <c r="V188" s="430"/>
    </row>
    <row r="189" spans="1:22" x14ac:dyDescent="0.3">
      <c r="A189" s="468"/>
      <c r="B189" s="470"/>
      <c r="C189" s="470"/>
      <c r="D189" s="470"/>
      <c r="E189" s="470"/>
      <c r="F189" s="470"/>
      <c r="G189" s="470"/>
      <c r="H189" s="470"/>
      <c r="I189" s="470"/>
      <c r="J189" s="470"/>
      <c r="K189" s="470"/>
      <c r="L189" s="470"/>
      <c r="M189" s="470"/>
      <c r="N189" s="470"/>
      <c r="O189" s="470"/>
      <c r="P189" s="470"/>
      <c r="Q189" s="470"/>
      <c r="R189" s="470"/>
      <c r="S189" s="470"/>
      <c r="T189" s="470"/>
      <c r="U189" s="476"/>
      <c r="V189" s="416"/>
    </row>
    <row r="190" spans="1:22" x14ac:dyDescent="0.3">
      <c r="A190" s="418"/>
      <c r="B190" s="516"/>
      <c r="C190" s="516"/>
      <c r="D190" s="516"/>
      <c r="E190" s="516"/>
      <c r="F190" s="516"/>
      <c r="G190" s="516"/>
      <c r="H190" s="516"/>
      <c r="I190" s="516"/>
      <c r="J190" s="516"/>
      <c r="K190" s="516"/>
      <c r="L190" s="516"/>
      <c r="M190" s="516"/>
      <c r="N190" s="516"/>
      <c r="O190" s="516"/>
      <c r="P190" s="516"/>
      <c r="Q190" s="516"/>
      <c r="R190" s="516"/>
      <c r="S190" s="516"/>
      <c r="T190" s="516"/>
      <c r="U190" s="639"/>
      <c r="V190" s="416"/>
    </row>
    <row r="191" spans="1:22" x14ac:dyDescent="0.3">
      <c r="A191" s="418"/>
      <c r="B191" s="420"/>
      <c r="C191" s="420"/>
      <c r="D191" s="420"/>
      <c r="E191" s="420"/>
      <c r="F191" s="420"/>
      <c r="G191" s="420"/>
      <c r="H191" s="420"/>
      <c r="I191" s="420"/>
      <c r="J191" s="420"/>
      <c r="K191" s="420"/>
      <c r="L191" s="420"/>
      <c r="M191" s="420"/>
      <c r="N191" s="420"/>
      <c r="O191" s="420"/>
      <c r="P191" s="420"/>
      <c r="Q191" s="420"/>
      <c r="R191" s="420"/>
      <c r="S191" s="420"/>
      <c r="T191" s="420"/>
      <c r="U191" s="639"/>
      <c r="V191" s="416"/>
    </row>
    <row r="192" spans="1:22" ht="18.600000000000001" thickBot="1" x14ac:dyDescent="0.4">
      <c r="A192" s="554"/>
      <c r="B192" s="501" t="str">
        <f>B132</f>
        <v>PM11 INVESTOR REPORT QUARTER ENDING JUNE 2018</v>
      </c>
      <c r="C192" s="555"/>
      <c r="D192" s="555"/>
      <c r="E192" s="555"/>
      <c r="F192" s="555"/>
      <c r="G192" s="555"/>
      <c r="H192" s="555"/>
      <c r="I192" s="555"/>
      <c r="J192" s="555"/>
      <c r="K192" s="555"/>
      <c r="L192" s="555"/>
      <c r="M192" s="555"/>
      <c r="N192" s="555"/>
      <c r="O192" s="555"/>
      <c r="P192" s="555"/>
      <c r="Q192" s="555"/>
      <c r="R192" s="555"/>
      <c r="S192" s="555"/>
      <c r="T192" s="555"/>
      <c r="U192" s="556"/>
      <c r="V192" s="416"/>
    </row>
    <row r="193" spans="1:22" x14ac:dyDescent="0.3">
      <c r="A193" s="505"/>
      <c r="B193" s="506" t="s">
        <v>71</v>
      </c>
      <c r="C193" s="627"/>
      <c r="D193" s="627"/>
      <c r="E193" s="627"/>
      <c r="F193" s="627"/>
      <c r="G193" s="628"/>
      <c r="H193" s="628"/>
      <c r="I193" s="628"/>
      <c r="J193" s="628"/>
      <c r="K193" s="628"/>
      <c r="L193" s="628"/>
      <c r="M193" s="628"/>
      <c r="N193" s="628"/>
      <c r="O193" s="628"/>
      <c r="P193" s="628"/>
      <c r="Q193" s="628"/>
      <c r="R193" s="629">
        <v>43280</v>
      </c>
      <c r="S193" s="507"/>
      <c r="T193" s="507"/>
      <c r="U193" s="509"/>
      <c r="V193" s="416"/>
    </row>
    <row r="194" spans="1:22" x14ac:dyDescent="0.3">
      <c r="A194" s="557"/>
      <c r="B194" s="558"/>
      <c r="C194" s="559"/>
      <c r="D194" s="559"/>
      <c r="E194" s="559"/>
      <c r="F194" s="559"/>
      <c r="G194" s="560"/>
      <c r="H194" s="560"/>
      <c r="I194" s="560"/>
      <c r="J194" s="560"/>
      <c r="K194" s="560"/>
      <c r="L194" s="560"/>
      <c r="M194" s="560"/>
      <c r="N194" s="560"/>
      <c r="O194" s="560"/>
      <c r="P194" s="560"/>
      <c r="Q194" s="560"/>
      <c r="R194" s="560"/>
      <c r="S194" s="420"/>
      <c r="T194" s="420"/>
      <c r="U194" s="639"/>
      <c r="V194" s="416"/>
    </row>
    <row r="195" spans="1:22" s="431" customFormat="1" x14ac:dyDescent="0.3">
      <c r="A195" s="449"/>
      <c r="B195" s="450" t="s">
        <v>72</v>
      </c>
      <c r="C195" s="561"/>
      <c r="D195" s="561"/>
      <c r="E195" s="561"/>
      <c r="F195" s="561"/>
      <c r="G195" s="490"/>
      <c r="H195" s="490"/>
      <c r="I195" s="490"/>
      <c r="J195" s="490"/>
      <c r="K195" s="490"/>
      <c r="L195" s="490"/>
      <c r="M195" s="490"/>
      <c r="N195" s="490"/>
      <c r="O195" s="490"/>
      <c r="P195" s="490"/>
      <c r="Q195" s="490"/>
      <c r="R195" s="483">
        <v>5.1569999999999998E-2</v>
      </c>
      <c r="S195" s="450"/>
      <c r="T195" s="450"/>
      <c r="U195" s="452"/>
      <c r="V195" s="430"/>
    </row>
    <row r="196" spans="1:22" s="431" customFormat="1" x14ac:dyDescent="0.3">
      <c r="A196" s="449"/>
      <c r="B196" s="450" t="s">
        <v>157</v>
      </c>
      <c r="C196" s="561"/>
      <c r="D196" s="561"/>
      <c r="E196" s="561"/>
      <c r="F196" s="561"/>
      <c r="G196" s="490"/>
      <c r="H196" s="490"/>
      <c r="I196" s="490"/>
      <c r="J196" s="490"/>
      <c r="K196" s="490"/>
      <c r="L196" s="490"/>
      <c r="M196" s="490"/>
      <c r="N196" s="490"/>
      <c r="O196" s="490"/>
      <c r="P196" s="490"/>
      <c r="Q196" s="490"/>
      <c r="R196" s="483">
        <v>4.6899999999999997E-2</v>
      </c>
      <c r="S196" s="450"/>
      <c r="T196" s="450"/>
      <c r="U196" s="452"/>
      <c r="V196" s="430"/>
    </row>
    <row r="197" spans="1:22" s="431" customFormat="1" x14ac:dyDescent="0.3">
      <c r="A197" s="449"/>
      <c r="B197" s="450" t="s">
        <v>73</v>
      </c>
      <c r="C197" s="561"/>
      <c r="D197" s="561"/>
      <c r="E197" s="561"/>
      <c r="F197" s="561"/>
      <c r="G197" s="490"/>
      <c r="H197" s="490"/>
      <c r="I197" s="490"/>
      <c r="J197" s="490"/>
      <c r="K197" s="490"/>
      <c r="L197" s="490"/>
      <c r="M197" s="490"/>
      <c r="N197" s="490"/>
      <c r="O197" s="490"/>
      <c r="P197" s="490"/>
      <c r="Q197" s="490"/>
      <c r="R197" s="483">
        <f>R195-R196</f>
        <v>4.6700000000000005E-3</v>
      </c>
      <c r="S197" s="450"/>
      <c r="T197" s="450"/>
      <c r="U197" s="452"/>
      <c r="V197" s="430"/>
    </row>
    <row r="198" spans="1:22" s="431" customFormat="1" x14ac:dyDescent="0.3">
      <c r="A198" s="449"/>
      <c r="B198" s="450" t="s">
        <v>74</v>
      </c>
      <c r="C198" s="561"/>
      <c r="D198" s="561"/>
      <c r="E198" s="561"/>
      <c r="F198" s="561"/>
      <c r="G198" s="490"/>
      <c r="H198" s="490"/>
      <c r="I198" s="490"/>
      <c r="J198" s="490"/>
      <c r="K198" s="490"/>
      <c r="L198" s="490"/>
      <c r="M198" s="490"/>
      <c r="N198" s="490"/>
      <c r="O198" s="490"/>
      <c r="P198" s="490"/>
      <c r="Q198" s="490"/>
      <c r="R198" s="483">
        <v>2.479E-2</v>
      </c>
      <c r="S198" s="450"/>
      <c r="T198" s="450"/>
      <c r="U198" s="452"/>
      <c r="V198" s="430"/>
    </row>
    <row r="199" spans="1:22" s="431" customFormat="1" x14ac:dyDescent="0.3">
      <c r="A199" s="449"/>
      <c r="B199" s="450" t="s">
        <v>257</v>
      </c>
      <c r="C199" s="561"/>
      <c r="D199" s="561"/>
      <c r="E199" s="561"/>
      <c r="F199" s="561"/>
      <c r="G199" s="490"/>
      <c r="H199" s="490"/>
      <c r="I199" s="490"/>
      <c r="J199" s="490"/>
      <c r="K199" s="490"/>
      <c r="L199" s="490"/>
      <c r="M199" s="490"/>
      <c r="N199" s="490"/>
      <c r="O199" s="490"/>
      <c r="P199" s="490"/>
      <c r="Q199" s="490"/>
      <c r="R199" s="483">
        <f>T43</f>
        <v>1.0862875459301567E-2</v>
      </c>
      <c r="S199" s="450"/>
      <c r="T199" s="450"/>
      <c r="U199" s="452"/>
      <c r="V199" s="430"/>
    </row>
    <row r="200" spans="1:22" s="431" customFormat="1" x14ac:dyDescent="0.3">
      <c r="A200" s="449"/>
      <c r="B200" s="450" t="s">
        <v>75</v>
      </c>
      <c r="C200" s="561"/>
      <c r="D200" s="561"/>
      <c r="E200" s="561"/>
      <c r="F200" s="561"/>
      <c r="G200" s="490"/>
      <c r="H200" s="490"/>
      <c r="I200" s="490"/>
      <c r="J200" s="490"/>
      <c r="K200" s="490"/>
      <c r="L200" s="490"/>
      <c r="M200" s="490"/>
      <c r="N200" s="490"/>
      <c r="O200" s="490"/>
      <c r="P200" s="490"/>
      <c r="Q200" s="490"/>
      <c r="R200" s="483">
        <f>R198-R199</f>
        <v>1.3927124540698433E-2</v>
      </c>
      <c r="S200" s="450"/>
      <c r="T200" s="450"/>
      <c r="U200" s="452"/>
      <c r="V200" s="430"/>
    </row>
    <row r="201" spans="1:22" s="431" customFormat="1" x14ac:dyDescent="0.3">
      <c r="A201" s="449"/>
      <c r="B201" s="450" t="s">
        <v>260</v>
      </c>
      <c r="C201" s="561"/>
      <c r="D201" s="561"/>
      <c r="E201" s="561"/>
      <c r="F201" s="561"/>
      <c r="G201" s="490"/>
      <c r="H201" s="490"/>
      <c r="I201" s="490"/>
      <c r="J201" s="490"/>
      <c r="K201" s="490"/>
      <c r="L201" s="490"/>
      <c r="M201" s="490"/>
      <c r="N201" s="490"/>
      <c r="O201" s="490"/>
      <c r="P201" s="490"/>
      <c r="Q201" s="490"/>
      <c r="R201" s="483">
        <f>+T99/L70</f>
        <v>7.4901461403189618E-3</v>
      </c>
      <c r="S201" s="450"/>
      <c r="T201" s="450"/>
      <c r="U201" s="452"/>
      <c r="V201" s="430"/>
    </row>
    <row r="202" spans="1:22" s="431" customFormat="1" x14ac:dyDescent="0.3">
      <c r="A202" s="449"/>
      <c r="B202" s="450" t="s">
        <v>217</v>
      </c>
      <c r="C202" s="561"/>
      <c r="D202" s="561"/>
      <c r="E202" s="561"/>
      <c r="F202" s="561"/>
      <c r="G202" s="490"/>
      <c r="H202" s="490"/>
      <c r="I202" s="490"/>
      <c r="J202" s="490"/>
      <c r="K202" s="490"/>
      <c r="L202" s="490"/>
      <c r="M202" s="490"/>
      <c r="N202" s="490"/>
      <c r="O202" s="490"/>
      <c r="P202" s="490"/>
      <c r="Q202" s="490"/>
      <c r="R202" s="562">
        <v>15250</v>
      </c>
      <c r="S202" s="450"/>
      <c r="T202" s="450"/>
      <c r="U202" s="452"/>
      <c r="V202" s="430"/>
    </row>
    <row r="203" spans="1:22" s="431" customFormat="1" x14ac:dyDescent="0.3">
      <c r="A203" s="449"/>
      <c r="B203" s="450" t="s">
        <v>218</v>
      </c>
      <c r="C203" s="561"/>
      <c r="D203" s="561"/>
      <c r="E203" s="561"/>
      <c r="F203" s="561"/>
      <c r="G203" s="490"/>
      <c r="H203" s="490"/>
      <c r="I203" s="490"/>
      <c r="J203" s="490"/>
      <c r="K203" s="490"/>
      <c r="L203" s="490"/>
      <c r="M203" s="490"/>
      <c r="N203" s="490"/>
      <c r="O203" s="490"/>
      <c r="P203" s="490"/>
      <c r="Q203" s="490"/>
      <c r="R203" s="562">
        <v>15250</v>
      </c>
      <c r="S203" s="450"/>
      <c r="T203" s="450"/>
      <c r="U203" s="452"/>
      <c r="V203" s="430"/>
    </row>
    <row r="204" spans="1:22" s="431" customFormat="1" x14ac:dyDescent="0.3">
      <c r="A204" s="449"/>
      <c r="B204" s="450" t="s">
        <v>219</v>
      </c>
      <c r="C204" s="561"/>
      <c r="D204" s="561"/>
      <c r="E204" s="561"/>
      <c r="F204" s="561"/>
      <c r="G204" s="490"/>
      <c r="H204" s="490"/>
      <c r="I204" s="490"/>
      <c r="J204" s="490"/>
      <c r="K204" s="490"/>
      <c r="L204" s="490"/>
      <c r="M204" s="490"/>
      <c r="N204" s="490"/>
      <c r="O204" s="490"/>
      <c r="P204" s="490"/>
      <c r="Q204" s="490"/>
      <c r="R204" s="562">
        <v>15250</v>
      </c>
      <c r="S204" s="450"/>
      <c r="T204" s="450"/>
      <c r="U204" s="452"/>
      <c r="V204" s="430"/>
    </row>
    <row r="205" spans="1:22" s="431" customFormat="1" x14ac:dyDescent="0.3">
      <c r="A205" s="449"/>
      <c r="B205" s="450" t="s">
        <v>76</v>
      </c>
      <c r="C205" s="561"/>
      <c r="D205" s="561"/>
      <c r="E205" s="561"/>
      <c r="F205" s="561"/>
      <c r="G205" s="490"/>
      <c r="H205" s="490"/>
      <c r="I205" s="490"/>
      <c r="J205" s="490"/>
      <c r="K205" s="490"/>
      <c r="L205" s="490"/>
      <c r="M205" s="490"/>
      <c r="N205" s="490"/>
      <c r="O205" s="490"/>
      <c r="P205" s="490"/>
      <c r="Q205" s="490"/>
      <c r="R205" s="488">
        <v>21.18</v>
      </c>
      <c r="S205" s="450" t="s">
        <v>116</v>
      </c>
      <c r="T205" s="450"/>
      <c r="U205" s="452"/>
      <c r="V205" s="430"/>
    </row>
    <row r="206" spans="1:22" s="431" customFormat="1" x14ac:dyDescent="0.3">
      <c r="A206" s="449"/>
      <c r="B206" s="450" t="s">
        <v>77</v>
      </c>
      <c r="C206" s="561"/>
      <c r="D206" s="561"/>
      <c r="E206" s="561"/>
      <c r="F206" s="561"/>
      <c r="G206" s="490"/>
      <c r="H206" s="490"/>
      <c r="I206" s="490"/>
      <c r="J206" s="490"/>
      <c r="K206" s="490"/>
      <c r="L206" s="490"/>
      <c r="M206" s="490"/>
      <c r="N206" s="490"/>
      <c r="O206" s="490"/>
      <c r="P206" s="490"/>
      <c r="Q206" s="490"/>
      <c r="R206" s="488">
        <v>9.67</v>
      </c>
      <c r="S206" s="450" t="s">
        <v>116</v>
      </c>
      <c r="T206" s="450"/>
      <c r="U206" s="452"/>
      <c r="V206" s="430"/>
    </row>
    <row r="207" spans="1:22" s="431" customFormat="1" x14ac:dyDescent="0.3">
      <c r="A207" s="449"/>
      <c r="B207" s="450" t="s">
        <v>78</v>
      </c>
      <c r="C207" s="561"/>
      <c r="D207" s="561"/>
      <c r="E207" s="561"/>
      <c r="F207" s="561"/>
      <c r="G207" s="490"/>
      <c r="H207" s="490"/>
      <c r="I207" s="490"/>
      <c r="J207" s="490"/>
      <c r="K207" s="490"/>
      <c r="L207" s="490"/>
      <c r="M207" s="490"/>
      <c r="N207" s="490"/>
      <c r="O207" s="490"/>
      <c r="P207" s="490"/>
      <c r="Q207" s="490"/>
      <c r="R207" s="483">
        <f>N67/L67</f>
        <v>1.6755806197319749E-2</v>
      </c>
      <c r="S207" s="450"/>
      <c r="T207" s="450"/>
      <c r="U207" s="452"/>
      <c r="V207" s="430"/>
    </row>
    <row r="208" spans="1:22" s="431" customFormat="1" x14ac:dyDescent="0.3">
      <c r="A208" s="449"/>
      <c r="B208" s="450" t="s">
        <v>79</v>
      </c>
      <c r="C208" s="561"/>
      <c r="D208" s="561"/>
      <c r="E208" s="561"/>
      <c r="F208" s="561"/>
      <c r="G208" s="490"/>
      <c r="H208" s="490"/>
      <c r="I208" s="490"/>
      <c r="J208" s="490"/>
      <c r="K208" s="490"/>
      <c r="L208" s="490"/>
      <c r="M208" s="490"/>
      <c r="N208" s="490"/>
      <c r="O208" s="490"/>
      <c r="P208" s="490"/>
      <c r="Q208" s="490"/>
      <c r="R208" s="483">
        <v>7.5200000000000003E-2</v>
      </c>
      <c r="S208" s="450"/>
      <c r="T208" s="450"/>
      <c r="U208" s="452"/>
      <c r="V208" s="430"/>
    </row>
    <row r="209" spans="1:22" x14ac:dyDescent="0.3">
      <c r="A209" s="557"/>
      <c r="B209" s="563"/>
      <c r="C209" s="563"/>
      <c r="D209" s="563"/>
      <c r="E209" s="563"/>
      <c r="F209" s="563"/>
      <c r="G209" s="516"/>
      <c r="H209" s="516"/>
      <c r="I209" s="516"/>
      <c r="J209" s="516"/>
      <c r="K209" s="516"/>
      <c r="L209" s="516"/>
      <c r="M209" s="516"/>
      <c r="N209" s="516"/>
      <c r="O209" s="516"/>
      <c r="P209" s="516"/>
      <c r="Q209" s="516"/>
      <c r="R209" s="544"/>
      <c r="S209" s="516"/>
      <c r="T209" s="564"/>
      <c r="U209" s="639"/>
      <c r="V209" s="416"/>
    </row>
    <row r="210" spans="1:22" x14ac:dyDescent="0.3">
      <c r="A210" s="565"/>
      <c r="B210" s="521" t="s">
        <v>80</v>
      </c>
      <c r="C210" s="522"/>
      <c r="D210" s="522"/>
      <c r="E210" s="522"/>
      <c r="F210" s="566"/>
      <c r="G210" s="522"/>
      <c r="H210" s="522"/>
      <c r="I210" s="522"/>
      <c r="J210" s="522"/>
      <c r="K210" s="522"/>
      <c r="L210" s="522"/>
      <c r="M210" s="522"/>
      <c r="N210" s="522"/>
      <c r="O210" s="522"/>
      <c r="P210" s="522"/>
      <c r="Q210" s="522" t="s">
        <v>105</v>
      </c>
      <c r="R210" s="566" t="s">
        <v>112</v>
      </c>
      <c r="S210" s="443"/>
      <c r="T210" s="443"/>
      <c r="U210" s="446"/>
      <c r="V210" s="416"/>
    </row>
    <row r="211" spans="1:22" s="431" customFormat="1" x14ac:dyDescent="0.3">
      <c r="A211" s="567"/>
      <c r="B211" s="447" t="s">
        <v>81</v>
      </c>
      <c r="C211" s="525"/>
      <c r="D211" s="525"/>
      <c r="E211" s="525"/>
      <c r="F211" s="447"/>
      <c r="G211" s="447"/>
      <c r="H211" s="568"/>
      <c r="I211" s="568"/>
      <c r="J211" s="568"/>
      <c r="K211" s="568"/>
      <c r="L211" s="568"/>
      <c r="M211" s="568"/>
      <c r="N211" s="568"/>
      <c r="O211" s="568"/>
      <c r="P211" s="568"/>
      <c r="Q211" s="568">
        <v>0</v>
      </c>
      <c r="R211" s="569">
        <v>0</v>
      </c>
      <c r="S211" s="447"/>
      <c r="T211" s="570"/>
      <c r="U211" s="644"/>
      <c r="V211" s="430"/>
    </row>
    <row r="212" spans="1:22" s="431" customFormat="1" x14ac:dyDescent="0.3">
      <c r="A212" s="571"/>
      <c r="B212" s="450" t="s">
        <v>151</v>
      </c>
      <c r="C212" s="514"/>
      <c r="D212" s="514"/>
      <c r="E212" s="514"/>
      <c r="F212" s="450"/>
      <c r="G212" s="450"/>
      <c r="H212" s="456"/>
      <c r="I212" s="456"/>
      <c r="J212" s="456"/>
      <c r="K212" s="456"/>
      <c r="L212" s="456"/>
      <c r="M212" s="456"/>
      <c r="N212" s="456"/>
      <c r="O212" s="456"/>
      <c r="P212" s="456"/>
      <c r="Q212" s="572">
        <f>+P264</f>
        <v>29</v>
      </c>
      <c r="R212" s="573">
        <f>+R264</f>
        <v>4440</v>
      </c>
      <c r="S212" s="450"/>
      <c r="T212" s="574"/>
      <c r="U212" s="575"/>
      <c r="V212" s="430"/>
    </row>
    <row r="213" spans="1:22" s="431" customFormat="1" x14ac:dyDescent="0.3">
      <c r="A213" s="571"/>
      <c r="B213" s="450" t="s">
        <v>82</v>
      </c>
      <c r="C213" s="514"/>
      <c r="D213" s="514"/>
      <c r="E213" s="514"/>
      <c r="F213" s="450"/>
      <c r="G213" s="450"/>
      <c r="H213" s="456"/>
      <c r="I213" s="456"/>
      <c r="J213" s="456"/>
      <c r="K213" s="456"/>
      <c r="L213" s="456"/>
      <c r="M213" s="456"/>
      <c r="N213" s="456"/>
      <c r="O213" s="456"/>
      <c r="P213" s="456"/>
      <c r="Q213" s="572">
        <f>+P276</f>
        <v>0</v>
      </c>
      <c r="R213" s="573">
        <f>+R276</f>
        <v>0</v>
      </c>
      <c r="S213" s="450"/>
      <c r="T213" s="574"/>
      <c r="U213" s="575"/>
      <c r="V213" s="430"/>
    </row>
    <row r="214" spans="1:22" x14ac:dyDescent="0.3">
      <c r="A214" s="576"/>
      <c r="B214" s="577" t="s">
        <v>83</v>
      </c>
      <c r="C214" s="578"/>
      <c r="D214" s="578"/>
      <c r="E214" s="578"/>
      <c r="F214" s="470"/>
      <c r="G214" s="470"/>
      <c r="H214" s="470"/>
      <c r="I214" s="470"/>
      <c r="J214" s="470"/>
      <c r="K214" s="470"/>
      <c r="L214" s="470"/>
      <c r="M214" s="470"/>
      <c r="N214" s="470"/>
      <c r="O214" s="470"/>
      <c r="P214" s="470"/>
      <c r="Q214" s="541"/>
      <c r="R214" s="579">
        <v>0</v>
      </c>
      <c r="S214" s="470"/>
      <c r="T214" s="580"/>
      <c r="U214" s="581"/>
      <c r="V214" s="416"/>
    </row>
    <row r="215" spans="1:22" x14ac:dyDescent="0.3">
      <c r="A215" s="576"/>
      <c r="B215" s="577" t="s">
        <v>84</v>
      </c>
      <c r="C215" s="578"/>
      <c r="D215" s="578"/>
      <c r="E215" s="578"/>
      <c r="F215" s="470"/>
      <c r="G215" s="470"/>
      <c r="H215" s="470"/>
      <c r="I215" s="470"/>
      <c r="J215" s="470"/>
      <c r="K215" s="470"/>
      <c r="L215" s="470"/>
      <c r="M215" s="470"/>
      <c r="N215" s="470"/>
      <c r="O215" s="470"/>
      <c r="P215" s="470"/>
      <c r="Q215" s="450"/>
      <c r="R215" s="582" t="s">
        <v>113</v>
      </c>
      <c r="S215" s="470"/>
      <c r="T215" s="580"/>
      <c r="U215" s="581"/>
      <c r="V215" s="416"/>
    </row>
    <row r="216" spans="1:22" x14ac:dyDescent="0.3">
      <c r="A216" s="583"/>
      <c r="B216" s="577" t="s">
        <v>85</v>
      </c>
      <c r="C216" s="584"/>
      <c r="D216" s="584"/>
      <c r="E216" s="584"/>
      <c r="F216" s="584"/>
      <c r="G216" s="470"/>
      <c r="H216" s="470"/>
      <c r="I216" s="470"/>
      <c r="J216" s="470"/>
      <c r="K216" s="470"/>
      <c r="L216" s="470"/>
      <c r="M216" s="470"/>
      <c r="N216" s="470"/>
      <c r="O216" s="470"/>
      <c r="P216" s="470"/>
      <c r="Q216" s="450"/>
      <c r="R216" s="573"/>
      <c r="S216" s="470"/>
      <c r="T216" s="580"/>
      <c r="U216" s="585"/>
      <c r="V216" s="416"/>
    </row>
    <row r="217" spans="1:22" s="431" customFormat="1" x14ac:dyDescent="0.3">
      <c r="A217" s="586"/>
      <c r="B217" s="450" t="s">
        <v>86</v>
      </c>
      <c r="C217" s="450"/>
      <c r="D217" s="450"/>
      <c r="E217" s="450"/>
      <c r="F217" s="450"/>
      <c r="G217" s="450"/>
      <c r="H217" s="450"/>
      <c r="I217" s="450"/>
      <c r="J217" s="450"/>
      <c r="K217" s="450"/>
      <c r="L217" s="450"/>
      <c r="M217" s="450"/>
      <c r="N217" s="450"/>
      <c r="O217" s="450"/>
      <c r="P217" s="450"/>
      <c r="Q217" s="456"/>
      <c r="R217" s="573">
        <f>T161</f>
        <v>384</v>
      </c>
      <c r="S217" s="450"/>
      <c r="T217" s="574"/>
      <c r="U217" s="587"/>
      <c r="V217" s="430"/>
    </row>
    <row r="218" spans="1:22" s="431" customFormat="1" x14ac:dyDescent="0.3">
      <c r="A218" s="571"/>
      <c r="B218" s="450" t="s">
        <v>87</v>
      </c>
      <c r="C218" s="514"/>
      <c r="D218" s="514"/>
      <c r="E218" s="514"/>
      <c r="F218" s="514"/>
      <c r="G218" s="450"/>
      <c r="H218" s="450"/>
      <c r="I218" s="450"/>
      <c r="J218" s="450"/>
      <c r="K218" s="450"/>
      <c r="L218" s="450"/>
      <c r="M218" s="450"/>
      <c r="N218" s="450"/>
      <c r="O218" s="450"/>
      <c r="P218" s="450"/>
      <c r="Q218" s="456"/>
      <c r="R218" s="573">
        <f>'March 18'!R218+R217</f>
        <v>7382</v>
      </c>
      <c r="S218" s="450"/>
      <c r="T218" s="574"/>
      <c r="U218" s="587"/>
      <c r="V218" s="430"/>
    </row>
    <row r="219" spans="1:22" x14ac:dyDescent="0.3">
      <c r="A219" s="583"/>
      <c r="B219" s="577" t="s">
        <v>282</v>
      </c>
      <c r="C219" s="584"/>
      <c r="D219" s="584"/>
      <c r="E219" s="584"/>
      <c r="F219" s="584"/>
      <c r="G219" s="470"/>
      <c r="H219" s="470"/>
      <c r="I219" s="470"/>
      <c r="J219" s="470"/>
      <c r="K219" s="470"/>
      <c r="L219" s="470"/>
      <c r="M219" s="470"/>
      <c r="N219" s="470"/>
      <c r="O219" s="470"/>
      <c r="P219" s="470"/>
      <c r="Q219" s="456"/>
      <c r="R219" s="573"/>
      <c r="S219" s="470"/>
      <c r="T219" s="580"/>
      <c r="U219" s="585"/>
      <c r="V219" s="416"/>
    </row>
    <row r="220" spans="1:22" s="431" customFormat="1" x14ac:dyDescent="0.3">
      <c r="A220" s="586"/>
      <c r="B220" s="450" t="s">
        <v>280</v>
      </c>
      <c r="C220" s="450"/>
      <c r="D220" s="450"/>
      <c r="E220" s="450"/>
      <c r="F220" s="450"/>
      <c r="G220" s="450"/>
      <c r="H220" s="450"/>
      <c r="I220" s="450"/>
      <c r="J220" s="450"/>
      <c r="K220" s="450"/>
      <c r="L220" s="450"/>
      <c r="M220" s="450"/>
      <c r="N220" s="450"/>
      <c r="O220" s="450"/>
      <c r="P220" s="450"/>
      <c r="Q220" s="456">
        <v>0</v>
      </c>
      <c r="R220" s="573">
        <v>0</v>
      </c>
      <c r="S220" s="450"/>
      <c r="T220" s="574"/>
      <c r="U220" s="587"/>
      <c r="V220" s="430"/>
    </row>
    <row r="221" spans="1:22" s="431" customFormat="1" x14ac:dyDescent="0.3">
      <c r="A221" s="571"/>
      <c r="B221" s="450" t="s">
        <v>89</v>
      </c>
      <c r="C221" s="486"/>
      <c r="D221" s="486"/>
      <c r="E221" s="486"/>
      <c r="F221" s="588"/>
      <c r="G221" s="450"/>
      <c r="H221" s="450"/>
      <c r="I221" s="450"/>
      <c r="J221" s="450"/>
      <c r="K221" s="450"/>
      <c r="L221" s="450"/>
      <c r="M221" s="450"/>
      <c r="N221" s="450"/>
      <c r="O221" s="450"/>
      <c r="P221" s="450"/>
      <c r="Q221" s="450"/>
      <c r="R221" s="582">
        <v>0</v>
      </c>
      <c r="S221" s="450"/>
      <c r="T221" s="574"/>
      <c r="U221" s="587"/>
      <c r="V221" s="430"/>
    </row>
    <row r="222" spans="1:22" s="431" customFormat="1" x14ac:dyDescent="0.3">
      <c r="A222" s="571"/>
      <c r="B222" s="450" t="s">
        <v>90</v>
      </c>
      <c r="C222" s="486"/>
      <c r="D222" s="486"/>
      <c r="E222" s="486"/>
      <c r="F222" s="588"/>
      <c r="G222" s="450"/>
      <c r="H222" s="450"/>
      <c r="I222" s="450"/>
      <c r="J222" s="450"/>
      <c r="K222" s="450"/>
      <c r="L222" s="450"/>
      <c r="M222" s="450"/>
      <c r="N222" s="450"/>
      <c r="O222" s="450"/>
      <c r="P222" s="450"/>
      <c r="Q222" s="450"/>
      <c r="R222" s="582">
        <v>0</v>
      </c>
      <c r="S222" s="450"/>
      <c r="T222" s="574"/>
      <c r="U222" s="587"/>
      <c r="V222" s="430"/>
    </row>
    <row r="223" spans="1:22" x14ac:dyDescent="0.3">
      <c r="A223" s="576"/>
      <c r="B223" s="577" t="s">
        <v>226</v>
      </c>
      <c r="C223" s="589"/>
      <c r="D223" s="589"/>
      <c r="E223" s="589"/>
      <c r="F223" s="590"/>
      <c r="G223" s="470"/>
      <c r="H223" s="470"/>
      <c r="I223" s="470"/>
      <c r="J223" s="470"/>
      <c r="K223" s="470"/>
      <c r="L223" s="470"/>
      <c r="M223" s="470"/>
      <c r="N223" s="470"/>
      <c r="O223" s="470"/>
      <c r="P223" s="470"/>
      <c r="Q223" s="456"/>
      <c r="R223" s="591"/>
      <c r="S223" s="470"/>
      <c r="T223" s="580"/>
      <c r="U223" s="585"/>
      <c r="V223" s="416"/>
    </row>
    <row r="224" spans="1:22" s="431" customFormat="1" x14ac:dyDescent="0.3">
      <c r="A224" s="571"/>
      <c r="B224" s="450" t="s">
        <v>280</v>
      </c>
      <c r="C224" s="486"/>
      <c r="D224" s="486"/>
      <c r="E224" s="486"/>
      <c r="F224" s="588"/>
      <c r="G224" s="450"/>
      <c r="H224" s="450"/>
      <c r="I224" s="450"/>
      <c r="J224" s="450"/>
      <c r="K224" s="450"/>
      <c r="L224" s="450"/>
      <c r="M224" s="450"/>
      <c r="N224" s="450"/>
      <c r="O224" s="450"/>
      <c r="P224" s="450"/>
      <c r="Q224" s="456">
        <v>4</v>
      </c>
      <c r="R224" s="573">
        <v>752</v>
      </c>
      <c r="S224" s="450"/>
      <c r="T224" s="574"/>
      <c r="U224" s="587"/>
      <c r="V224" s="430"/>
    </row>
    <row r="225" spans="1:23" s="431" customFormat="1" x14ac:dyDescent="0.3">
      <c r="A225" s="571"/>
      <c r="B225" s="450" t="s">
        <v>227</v>
      </c>
      <c r="C225" s="486"/>
      <c r="D225" s="486"/>
      <c r="E225" s="486"/>
      <c r="F225" s="588"/>
      <c r="G225" s="450"/>
      <c r="H225" s="450"/>
      <c r="I225" s="450"/>
      <c r="J225" s="450"/>
      <c r="K225" s="450"/>
      <c r="L225" s="450"/>
      <c r="M225" s="450"/>
      <c r="N225" s="450"/>
      <c r="O225" s="450"/>
      <c r="P225" s="450"/>
      <c r="Q225" s="456"/>
      <c r="R225" s="582">
        <v>0</v>
      </c>
      <c r="S225" s="450"/>
      <c r="T225" s="574"/>
      <c r="U225" s="587"/>
      <c r="V225" s="430"/>
    </row>
    <row r="226" spans="1:23" x14ac:dyDescent="0.3">
      <c r="A226" s="576"/>
      <c r="B226" s="584"/>
      <c r="C226" s="589"/>
      <c r="D226" s="589"/>
      <c r="E226" s="589"/>
      <c r="F226" s="590"/>
      <c r="G226" s="470"/>
      <c r="H226" s="470"/>
      <c r="I226" s="470"/>
      <c r="J226" s="470"/>
      <c r="K226" s="470"/>
      <c r="L226" s="470"/>
      <c r="M226" s="470"/>
      <c r="N226" s="470"/>
      <c r="O226" s="470"/>
      <c r="P226" s="470"/>
      <c r="Q226" s="450"/>
      <c r="R226" s="591"/>
      <c r="S226" s="470"/>
      <c r="T226" s="580"/>
      <c r="U226" s="585"/>
      <c r="V226" s="416"/>
    </row>
    <row r="227" spans="1:23" x14ac:dyDescent="0.3">
      <c r="A227" s="576"/>
      <c r="B227" s="584"/>
      <c r="C227" s="589"/>
      <c r="D227" s="589"/>
      <c r="E227" s="589"/>
      <c r="F227" s="590"/>
      <c r="G227" s="470"/>
      <c r="H227" s="470"/>
      <c r="I227" s="470"/>
      <c r="J227" s="470"/>
      <c r="K227" s="470"/>
      <c r="L227" s="470"/>
      <c r="M227" s="470"/>
      <c r="N227" s="470"/>
      <c r="O227" s="470"/>
      <c r="P227" s="470"/>
      <c r="Q227" s="450"/>
      <c r="R227" s="591"/>
      <c r="S227" s="470"/>
      <c r="T227" s="580"/>
      <c r="U227" s="585"/>
      <c r="V227" s="416"/>
    </row>
    <row r="228" spans="1:23" ht="18" x14ac:dyDescent="0.35">
      <c r="A228" s="576"/>
      <c r="B228" s="592" t="s">
        <v>175</v>
      </c>
      <c r="C228" s="589"/>
      <c r="D228" s="589"/>
      <c r="E228" s="589"/>
      <c r="F228" s="590"/>
      <c r="G228" s="470"/>
      <c r="H228" s="470"/>
      <c r="I228" s="470"/>
      <c r="J228" s="470"/>
      <c r="K228" s="470"/>
      <c r="L228" s="470"/>
      <c r="M228" s="470"/>
      <c r="N228" s="647" t="s">
        <v>356</v>
      </c>
      <c r="O228" s="470"/>
      <c r="P228" s="470"/>
      <c r="Q228" s="470"/>
      <c r="R228" s="593"/>
      <c r="S228" s="470"/>
      <c r="T228" s="580"/>
      <c r="U228" s="585"/>
      <c r="V228" s="416"/>
    </row>
    <row r="229" spans="1:23" x14ac:dyDescent="0.3">
      <c r="A229" s="594"/>
      <c r="B229" s="563"/>
      <c r="C229" s="595"/>
      <c r="D229" s="595"/>
      <c r="E229" s="595"/>
      <c r="F229" s="596"/>
      <c r="G229" s="516"/>
      <c r="H229" s="516"/>
      <c r="I229" s="516"/>
      <c r="J229" s="516"/>
      <c r="K229" s="516"/>
      <c r="L229" s="516"/>
      <c r="M229" s="516"/>
      <c r="N229" s="516"/>
      <c r="O229" s="516"/>
      <c r="P229" s="516"/>
      <c r="Q229" s="516"/>
      <c r="R229" s="597"/>
      <c r="S229" s="516"/>
      <c r="T229" s="564"/>
      <c r="U229" s="645"/>
      <c r="V229" s="416"/>
    </row>
    <row r="230" spans="1:23" x14ac:dyDescent="0.3">
      <c r="A230" s="442"/>
      <c r="B230" s="598" t="s">
        <v>295</v>
      </c>
      <c r="C230" s="599"/>
      <c r="D230" s="599"/>
      <c r="E230" s="599"/>
      <c r="F230" s="600"/>
      <c r="G230" s="599"/>
      <c r="H230" s="599"/>
      <c r="I230" s="599"/>
      <c r="J230" s="599"/>
      <c r="K230" s="599"/>
      <c r="L230" s="599"/>
      <c r="M230" s="599"/>
      <c r="N230" s="599"/>
      <c r="O230" s="599"/>
      <c r="P230" s="600" t="s">
        <v>105</v>
      </c>
      <c r="Q230" s="599" t="s">
        <v>106</v>
      </c>
      <c r="R230" s="600" t="s">
        <v>114</v>
      </c>
      <c r="S230" s="599" t="s">
        <v>106</v>
      </c>
      <c r="T230" s="601"/>
      <c r="U230" s="605"/>
      <c r="V230" s="416"/>
    </row>
    <row r="231" spans="1:23" s="431" customFormat="1" x14ac:dyDescent="0.3">
      <c r="A231" s="632"/>
      <c r="B231" s="633" t="s">
        <v>91</v>
      </c>
      <c r="C231" s="634"/>
      <c r="D231" s="634"/>
      <c r="E231" s="634"/>
      <c r="F231" s="635"/>
      <c r="G231" s="634"/>
      <c r="H231" s="634"/>
      <c r="I231" s="634"/>
      <c r="J231" s="634"/>
      <c r="K231" s="634"/>
      <c r="L231" s="634"/>
      <c r="M231" s="634"/>
      <c r="N231" s="634"/>
      <c r="O231" s="634"/>
      <c r="P231" s="633">
        <f t="shared" ref="P231:P238" si="1">+P243+P255+P267</f>
        <v>3156</v>
      </c>
      <c r="Q231" s="636">
        <f t="shared" ref="Q231:Q238" si="2">P231/$P$240</f>
        <v>0.99778691116029083</v>
      </c>
      <c r="R231" s="637">
        <f t="shared" ref="R231:R238" si="3">+R243+R255+R267</f>
        <v>404780</v>
      </c>
      <c r="S231" s="636">
        <f t="shared" ref="S231:S238" si="4">R231/$R$240</f>
        <v>0.99826134135664701</v>
      </c>
      <c r="T231" s="630"/>
      <c r="U231" s="631"/>
      <c r="V231" s="430"/>
    </row>
    <row r="232" spans="1:23" s="431" customFormat="1" x14ac:dyDescent="0.3">
      <c r="A232" s="449"/>
      <c r="B232" s="514" t="s">
        <v>92</v>
      </c>
      <c r="C232" s="603"/>
      <c r="D232" s="603"/>
      <c r="E232" s="603"/>
      <c r="F232" s="450"/>
      <c r="G232" s="602"/>
      <c r="H232" s="603"/>
      <c r="I232" s="603"/>
      <c r="J232" s="603"/>
      <c r="K232" s="603"/>
      <c r="L232" s="603"/>
      <c r="M232" s="603"/>
      <c r="N232" s="603"/>
      <c r="O232" s="603"/>
      <c r="P232" s="514">
        <f t="shared" si="1"/>
        <v>3</v>
      </c>
      <c r="Q232" s="602">
        <f t="shared" si="2"/>
        <v>9.4846664558963006E-4</v>
      </c>
      <c r="R232" s="515">
        <f t="shared" si="3"/>
        <v>184</v>
      </c>
      <c r="S232" s="602">
        <f t="shared" si="4"/>
        <v>4.5377757500277444E-4</v>
      </c>
      <c r="T232" s="574"/>
      <c r="U232" s="587"/>
      <c r="V232" s="430"/>
      <c r="W232" s="533"/>
    </row>
    <row r="233" spans="1:23" s="431" customFormat="1" x14ac:dyDescent="0.3">
      <c r="A233" s="449"/>
      <c r="B233" s="514" t="s">
        <v>93</v>
      </c>
      <c r="C233" s="603"/>
      <c r="D233" s="603"/>
      <c r="E233" s="603"/>
      <c r="F233" s="450"/>
      <c r="G233" s="602"/>
      <c r="H233" s="603"/>
      <c r="I233" s="603"/>
      <c r="J233" s="603"/>
      <c r="K233" s="603"/>
      <c r="L233" s="603"/>
      <c r="M233" s="603"/>
      <c r="N233" s="603"/>
      <c r="O233" s="603"/>
      <c r="P233" s="514">
        <f t="shared" si="1"/>
        <v>2</v>
      </c>
      <c r="Q233" s="602">
        <f t="shared" si="2"/>
        <v>6.3231109705975345E-4</v>
      </c>
      <c r="R233" s="515">
        <f t="shared" si="3"/>
        <v>234</v>
      </c>
      <c r="S233" s="602">
        <f t="shared" si="4"/>
        <v>5.7708669864483272E-4</v>
      </c>
      <c r="T233" s="574"/>
      <c r="U233" s="587"/>
      <c r="V233" s="430"/>
    </row>
    <row r="234" spans="1:23" s="431" customFormat="1" x14ac:dyDescent="0.3">
      <c r="A234" s="449"/>
      <c r="B234" s="514" t="s">
        <v>163</v>
      </c>
      <c r="C234" s="603"/>
      <c r="D234" s="603"/>
      <c r="E234" s="603"/>
      <c r="F234" s="450"/>
      <c r="G234" s="602"/>
      <c r="H234" s="603"/>
      <c r="I234" s="603"/>
      <c r="J234" s="603"/>
      <c r="K234" s="603"/>
      <c r="L234" s="603"/>
      <c r="M234" s="603"/>
      <c r="N234" s="603"/>
      <c r="O234" s="603"/>
      <c r="P234" s="514">
        <f t="shared" si="1"/>
        <v>0</v>
      </c>
      <c r="Q234" s="602">
        <f t="shared" si="2"/>
        <v>0</v>
      </c>
      <c r="R234" s="515">
        <f t="shared" si="3"/>
        <v>0</v>
      </c>
      <c r="S234" s="602">
        <f t="shared" si="4"/>
        <v>0</v>
      </c>
      <c r="T234" s="574"/>
      <c r="U234" s="587"/>
      <c r="V234" s="430"/>
      <c r="W234" s="533"/>
    </row>
    <row r="235" spans="1:23" s="431" customFormat="1" x14ac:dyDescent="0.3">
      <c r="A235" s="449"/>
      <c r="B235" s="514" t="s">
        <v>164</v>
      </c>
      <c r="C235" s="603"/>
      <c r="D235" s="603"/>
      <c r="E235" s="603"/>
      <c r="F235" s="450"/>
      <c r="G235" s="602"/>
      <c r="H235" s="603"/>
      <c r="I235" s="603"/>
      <c r="J235" s="603"/>
      <c r="K235" s="603"/>
      <c r="L235" s="603"/>
      <c r="M235" s="603"/>
      <c r="N235" s="603"/>
      <c r="O235" s="603"/>
      <c r="P235" s="514">
        <f t="shared" si="1"/>
        <v>0</v>
      </c>
      <c r="Q235" s="602">
        <f t="shared" si="2"/>
        <v>0</v>
      </c>
      <c r="R235" s="515">
        <f t="shared" si="3"/>
        <v>0</v>
      </c>
      <c r="S235" s="602">
        <f t="shared" si="4"/>
        <v>0</v>
      </c>
      <c r="T235" s="574"/>
      <c r="U235" s="587"/>
      <c r="V235" s="430"/>
    </row>
    <row r="236" spans="1:23" s="431" customFormat="1" x14ac:dyDescent="0.3">
      <c r="A236" s="449"/>
      <c r="B236" s="514" t="s">
        <v>165</v>
      </c>
      <c r="C236" s="603"/>
      <c r="D236" s="603"/>
      <c r="E236" s="603"/>
      <c r="F236" s="450"/>
      <c r="G236" s="602"/>
      <c r="H236" s="603"/>
      <c r="I236" s="603"/>
      <c r="J236" s="603"/>
      <c r="K236" s="603"/>
      <c r="L236" s="603"/>
      <c r="M236" s="603"/>
      <c r="N236" s="603"/>
      <c r="O236" s="603"/>
      <c r="P236" s="514">
        <f t="shared" si="1"/>
        <v>0</v>
      </c>
      <c r="Q236" s="602">
        <f t="shared" si="2"/>
        <v>0</v>
      </c>
      <c r="R236" s="515">
        <f t="shared" si="3"/>
        <v>0</v>
      </c>
      <c r="S236" s="602">
        <f t="shared" si="4"/>
        <v>0</v>
      </c>
      <c r="T236" s="574"/>
      <c r="U236" s="587"/>
      <c r="V236" s="430"/>
      <c r="W236" s="533"/>
    </row>
    <row r="237" spans="1:23" s="431" customFormat="1" x14ac:dyDescent="0.3">
      <c r="A237" s="449"/>
      <c r="B237" s="514" t="s">
        <v>166</v>
      </c>
      <c r="C237" s="603"/>
      <c r="D237" s="603"/>
      <c r="E237" s="603"/>
      <c r="F237" s="450"/>
      <c r="G237" s="602"/>
      <c r="H237" s="603"/>
      <c r="I237" s="603"/>
      <c r="J237" s="603"/>
      <c r="K237" s="603"/>
      <c r="L237" s="603"/>
      <c r="M237" s="603"/>
      <c r="N237" s="603"/>
      <c r="O237" s="603"/>
      <c r="P237" s="514">
        <f t="shared" si="1"/>
        <v>0</v>
      </c>
      <c r="Q237" s="602">
        <f t="shared" si="2"/>
        <v>0</v>
      </c>
      <c r="R237" s="515">
        <f t="shared" si="3"/>
        <v>0</v>
      </c>
      <c r="S237" s="602">
        <f t="shared" si="4"/>
        <v>0</v>
      </c>
      <c r="T237" s="574"/>
      <c r="U237" s="587"/>
      <c r="V237" s="430"/>
    </row>
    <row r="238" spans="1:23" s="431" customFormat="1" x14ac:dyDescent="0.3">
      <c r="A238" s="449"/>
      <c r="B238" s="514" t="s">
        <v>167</v>
      </c>
      <c r="C238" s="603"/>
      <c r="D238" s="603"/>
      <c r="E238" s="603"/>
      <c r="F238" s="450"/>
      <c r="G238" s="602"/>
      <c r="H238" s="603"/>
      <c r="I238" s="603"/>
      <c r="J238" s="603"/>
      <c r="K238" s="603"/>
      <c r="L238" s="603"/>
      <c r="M238" s="603"/>
      <c r="N238" s="603"/>
      <c r="O238" s="603"/>
      <c r="P238" s="514">
        <f t="shared" si="1"/>
        <v>2</v>
      </c>
      <c r="Q238" s="602">
        <f t="shared" si="2"/>
        <v>6.3231109705975345E-4</v>
      </c>
      <c r="R238" s="515">
        <f t="shared" si="3"/>
        <v>287</v>
      </c>
      <c r="S238" s="602">
        <f t="shared" si="4"/>
        <v>7.0779436970541448E-4</v>
      </c>
      <c r="T238" s="574"/>
      <c r="U238" s="587"/>
      <c r="V238" s="430"/>
      <c r="W238" s="533"/>
    </row>
    <row r="239" spans="1:23" s="431" customFormat="1" x14ac:dyDescent="0.3">
      <c r="A239" s="449"/>
      <c r="B239" s="514"/>
      <c r="C239" s="603"/>
      <c r="D239" s="603"/>
      <c r="E239" s="603"/>
      <c r="F239" s="450"/>
      <c r="G239" s="602"/>
      <c r="H239" s="603"/>
      <c r="I239" s="603"/>
      <c r="J239" s="603"/>
      <c r="K239" s="603"/>
      <c r="L239" s="603"/>
      <c r="M239" s="603"/>
      <c r="N239" s="603"/>
      <c r="O239" s="603"/>
      <c r="P239" s="514"/>
      <c r="Q239" s="602"/>
      <c r="R239" s="515"/>
      <c r="S239" s="602"/>
      <c r="T239" s="574"/>
      <c r="U239" s="587"/>
      <c r="V239" s="430"/>
    </row>
    <row r="240" spans="1:23" s="431" customFormat="1" x14ac:dyDescent="0.3">
      <c r="A240" s="449"/>
      <c r="B240" s="450" t="s">
        <v>120</v>
      </c>
      <c r="C240" s="450"/>
      <c r="D240" s="450"/>
      <c r="E240" s="450"/>
      <c r="F240" s="450"/>
      <c r="G240" s="450"/>
      <c r="H240" s="604"/>
      <c r="I240" s="604"/>
      <c r="J240" s="604"/>
      <c r="K240" s="604"/>
      <c r="L240" s="604"/>
      <c r="M240" s="604"/>
      <c r="N240" s="604"/>
      <c r="O240" s="604"/>
      <c r="P240" s="514">
        <f>SUM(P231:P239)</f>
        <v>3163</v>
      </c>
      <c r="Q240" s="602">
        <f>SUM(Q231:Q239)</f>
        <v>1</v>
      </c>
      <c r="R240" s="515">
        <f>SUM(R231:R239)</f>
        <v>405485</v>
      </c>
      <c r="S240" s="602">
        <f>SUM(S231:S239)</f>
        <v>1</v>
      </c>
      <c r="T240" s="450"/>
      <c r="U240" s="452"/>
      <c r="V240" s="430"/>
    </row>
    <row r="241" spans="1:23" x14ac:dyDescent="0.3">
      <c r="A241" s="594"/>
      <c r="B241" s="563"/>
      <c r="C241" s="595"/>
      <c r="D241" s="595"/>
      <c r="E241" s="595"/>
      <c r="F241" s="596"/>
      <c r="G241" s="516"/>
      <c r="H241" s="516"/>
      <c r="I241" s="516"/>
      <c r="J241" s="516"/>
      <c r="K241" s="516"/>
      <c r="L241" s="516"/>
      <c r="M241" s="516"/>
      <c r="N241" s="516"/>
      <c r="O241" s="516"/>
      <c r="P241" s="516"/>
      <c r="Q241" s="516"/>
      <c r="R241" s="597"/>
      <c r="S241" s="516"/>
      <c r="T241" s="564"/>
      <c r="U241" s="645"/>
      <c r="V241" s="416"/>
    </row>
    <row r="242" spans="1:23" x14ac:dyDescent="0.3">
      <c r="A242" s="442"/>
      <c r="B242" s="521" t="s">
        <v>169</v>
      </c>
      <c r="C242" s="522"/>
      <c r="D242" s="522"/>
      <c r="E242" s="522"/>
      <c r="F242" s="566"/>
      <c r="G242" s="522"/>
      <c r="H242" s="522"/>
      <c r="I242" s="522"/>
      <c r="J242" s="522"/>
      <c r="K242" s="522"/>
      <c r="L242" s="522"/>
      <c r="M242" s="522"/>
      <c r="N242" s="522"/>
      <c r="O242" s="522"/>
      <c r="P242" s="566" t="s">
        <v>105</v>
      </c>
      <c r="Q242" s="522" t="s">
        <v>106</v>
      </c>
      <c r="R242" s="566" t="s">
        <v>114</v>
      </c>
      <c r="S242" s="522" t="s">
        <v>106</v>
      </c>
      <c r="T242" s="443"/>
      <c r="U242" s="605"/>
      <c r="V242" s="416"/>
    </row>
    <row r="243" spans="1:23" s="431" customFormat="1" x14ac:dyDescent="0.3">
      <c r="A243" s="432"/>
      <c r="B243" s="525" t="s">
        <v>91</v>
      </c>
      <c r="C243" s="606"/>
      <c r="D243" s="606"/>
      <c r="E243" s="606"/>
      <c r="F243" s="447"/>
      <c r="G243" s="606"/>
      <c r="H243" s="606"/>
      <c r="I243" s="606"/>
      <c r="J243" s="606"/>
      <c r="K243" s="606"/>
      <c r="L243" s="606"/>
      <c r="M243" s="606"/>
      <c r="N243" s="606"/>
      <c r="O243" s="606"/>
      <c r="P243" s="525">
        <v>3131</v>
      </c>
      <c r="Q243" s="607">
        <f t="shared" ref="Q243:Q250" si="5">P243/$P$252</f>
        <v>0.99904275686024246</v>
      </c>
      <c r="R243" s="526">
        <v>400861</v>
      </c>
      <c r="S243" s="607">
        <f t="shared" ref="S243:S250" si="6">R243/$R$252</f>
        <v>0.99954119861860891</v>
      </c>
      <c r="T243" s="570"/>
      <c r="U243" s="646"/>
      <c r="V243" s="430"/>
    </row>
    <row r="244" spans="1:23" s="431" customFormat="1" x14ac:dyDescent="0.3">
      <c r="A244" s="449"/>
      <c r="B244" s="514" t="s">
        <v>92</v>
      </c>
      <c r="C244" s="603"/>
      <c r="D244" s="603"/>
      <c r="E244" s="603"/>
      <c r="F244" s="450"/>
      <c r="G244" s="602"/>
      <c r="H244" s="603"/>
      <c r="I244" s="603"/>
      <c r="J244" s="603"/>
      <c r="K244" s="603"/>
      <c r="L244" s="603"/>
      <c r="M244" s="603"/>
      <c r="N244" s="603"/>
      <c r="O244" s="603"/>
      <c r="P244" s="514">
        <v>3</v>
      </c>
      <c r="Q244" s="602">
        <f t="shared" si="5"/>
        <v>9.5724313975749842E-4</v>
      </c>
      <c r="R244" s="515">
        <v>184</v>
      </c>
      <c r="S244" s="602">
        <f t="shared" si="6"/>
        <v>4.5880138139111568E-4</v>
      </c>
      <c r="T244" s="574"/>
      <c r="U244" s="587"/>
      <c r="V244" s="430"/>
      <c r="W244" s="533"/>
    </row>
    <row r="245" spans="1:23" s="431" customFormat="1" x14ac:dyDescent="0.3">
      <c r="A245" s="449"/>
      <c r="B245" s="514" t="s">
        <v>93</v>
      </c>
      <c r="C245" s="603"/>
      <c r="D245" s="603"/>
      <c r="E245" s="603"/>
      <c r="F245" s="450"/>
      <c r="G245" s="602"/>
      <c r="H245" s="603"/>
      <c r="I245" s="603"/>
      <c r="J245" s="603"/>
      <c r="K245" s="603"/>
      <c r="L245" s="603"/>
      <c r="M245" s="603"/>
      <c r="N245" s="603"/>
      <c r="O245" s="603"/>
      <c r="P245" s="514">
        <v>0</v>
      </c>
      <c r="Q245" s="602">
        <f t="shared" si="5"/>
        <v>0</v>
      </c>
      <c r="R245" s="515">
        <v>0</v>
      </c>
      <c r="S245" s="602">
        <f t="shared" si="6"/>
        <v>0</v>
      </c>
      <c r="T245" s="574"/>
      <c r="U245" s="587"/>
      <c r="V245" s="430"/>
    </row>
    <row r="246" spans="1:23" s="431" customFormat="1" x14ac:dyDescent="0.3">
      <c r="A246" s="449"/>
      <c r="B246" s="514" t="s">
        <v>163</v>
      </c>
      <c r="C246" s="603"/>
      <c r="D246" s="603"/>
      <c r="E246" s="603"/>
      <c r="F246" s="450"/>
      <c r="G246" s="602"/>
      <c r="H246" s="603"/>
      <c r="I246" s="603"/>
      <c r="J246" s="603"/>
      <c r="K246" s="603"/>
      <c r="L246" s="603"/>
      <c r="M246" s="603"/>
      <c r="N246" s="603"/>
      <c r="O246" s="603"/>
      <c r="P246" s="514">
        <v>0</v>
      </c>
      <c r="Q246" s="602">
        <f t="shared" si="5"/>
        <v>0</v>
      </c>
      <c r="R246" s="515">
        <v>0</v>
      </c>
      <c r="S246" s="602">
        <f t="shared" si="6"/>
        <v>0</v>
      </c>
      <c r="T246" s="574"/>
      <c r="U246" s="587"/>
      <c r="V246" s="430"/>
      <c r="W246" s="533"/>
    </row>
    <row r="247" spans="1:23" s="431" customFormat="1" x14ac:dyDescent="0.3">
      <c r="A247" s="449"/>
      <c r="B247" s="514" t="s">
        <v>164</v>
      </c>
      <c r="C247" s="603"/>
      <c r="D247" s="603"/>
      <c r="E247" s="603"/>
      <c r="F247" s="450"/>
      <c r="G247" s="602"/>
      <c r="H247" s="603"/>
      <c r="I247" s="603"/>
      <c r="J247" s="603"/>
      <c r="K247" s="603"/>
      <c r="L247" s="603"/>
      <c r="M247" s="603"/>
      <c r="N247" s="603"/>
      <c r="O247" s="603"/>
      <c r="P247" s="514">
        <v>0</v>
      </c>
      <c r="Q247" s="602">
        <f t="shared" si="5"/>
        <v>0</v>
      </c>
      <c r="R247" s="515">
        <v>0</v>
      </c>
      <c r="S247" s="602">
        <f t="shared" si="6"/>
        <v>0</v>
      </c>
      <c r="T247" s="574"/>
      <c r="U247" s="587"/>
      <c r="V247" s="430"/>
    </row>
    <row r="248" spans="1:23" s="431" customFormat="1" x14ac:dyDescent="0.3">
      <c r="A248" s="449"/>
      <c r="B248" s="514" t="s">
        <v>165</v>
      </c>
      <c r="C248" s="603"/>
      <c r="D248" s="603"/>
      <c r="E248" s="603"/>
      <c r="F248" s="450"/>
      <c r="G248" s="602"/>
      <c r="H248" s="603"/>
      <c r="I248" s="603"/>
      <c r="J248" s="603"/>
      <c r="K248" s="603"/>
      <c r="L248" s="603"/>
      <c r="M248" s="603"/>
      <c r="N248" s="603"/>
      <c r="O248" s="603"/>
      <c r="P248" s="514">
        <v>0</v>
      </c>
      <c r="Q248" s="602">
        <f t="shared" si="5"/>
        <v>0</v>
      </c>
      <c r="R248" s="515">
        <v>0</v>
      </c>
      <c r="S248" s="602">
        <f t="shared" si="6"/>
        <v>0</v>
      </c>
      <c r="T248" s="574"/>
      <c r="U248" s="587"/>
      <c r="V248" s="430"/>
      <c r="W248" s="533"/>
    </row>
    <row r="249" spans="1:23" s="431" customFormat="1" x14ac:dyDescent="0.3">
      <c r="A249" s="449"/>
      <c r="B249" s="514" t="s">
        <v>166</v>
      </c>
      <c r="C249" s="603"/>
      <c r="D249" s="603"/>
      <c r="E249" s="603"/>
      <c r="F249" s="450"/>
      <c r="G249" s="602"/>
      <c r="H249" s="603"/>
      <c r="I249" s="603"/>
      <c r="J249" s="603"/>
      <c r="K249" s="603"/>
      <c r="L249" s="603"/>
      <c r="M249" s="603"/>
      <c r="N249" s="603"/>
      <c r="O249" s="603"/>
      <c r="P249" s="514">
        <v>0</v>
      </c>
      <c r="Q249" s="602">
        <f t="shared" si="5"/>
        <v>0</v>
      </c>
      <c r="R249" s="515">
        <v>0</v>
      </c>
      <c r="S249" s="602">
        <f t="shared" si="6"/>
        <v>0</v>
      </c>
      <c r="T249" s="574"/>
      <c r="U249" s="587"/>
      <c r="V249" s="430"/>
    </row>
    <row r="250" spans="1:23" s="431" customFormat="1" x14ac:dyDescent="0.3">
      <c r="A250" s="449"/>
      <c r="B250" s="514" t="s">
        <v>167</v>
      </c>
      <c r="C250" s="603"/>
      <c r="D250" s="603"/>
      <c r="E250" s="603"/>
      <c r="F250" s="450"/>
      <c r="G250" s="602"/>
      <c r="H250" s="603"/>
      <c r="I250" s="603"/>
      <c r="J250" s="603"/>
      <c r="K250" s="603"/>
      <c r="L250" s="603"/>
      <c r="M250" s="603"/>
      <c r="N250" s="603"/>
      <c r="O250" s="603"/>
      <c r="P250" s="514">
        <v>0</v>
      </c>
      <c r="Q250" s="602">
        <f t="shared" si="5"/>
        <v>0</v>
      </c>
      <c r="R250" s="515">
        <v>0</v>
      </c>
      <c r="S250" s="602">
        <f t="shared" si="6"/>
        <v>0</v>
      </c>
      <c r="T250" s="574"/>
      <c r="U250" s="587"/>
      <c r="V250" s="430"/>
      <c r="W250" s="533"/>
    </row>
    <row r="251" spans="1:23" s="431" customFormat="1" x14ac:dyDescent="0.3">
      <c r="A251" s="449"/>
      <c r="B251" s="514"/>
      <c r="C251" s="603"/>
      <c r="D251" s="603"/>
      <c r="E251" s="603"/>
      <c r="F251" s="450"/>
      <c r="G251" s="602"/>
      <c r="H251" s="603"/>
      <c r="I251" s="603"/>
      <c r="J251" s="603"/>
      <c r="K251" s="603"/>
      <c r="L251" s="603"/>
      <c r="M251" s="603"/>
      <c r="N251" s="603"/>
      <c r="O251" s="603"/>
      <c r="P251" s="514"/>
      <c r="Q251" s="602"/>
      <c r="R251" s="515"/>
      <c r="S251" s="602"/>
      <c r="T251" s="574"/>
      <c r="U251" s="587"/>
      <c r="V251" s="430"/>
    </row>
    <row r="252" spans="1:23" s="431" customFormat="1" x14ac:dyDescent="0.3">
      <c r="A252" s="449"/>
      <c r="B252" s="450" t="s">
        <v>120</v>
      </c>
      <c r="C252" s="450"/>
      <c r="D252" s="450"/>
      <c r="E252" s="450"/>
      <c r="F252" s="450"/>
      <c r="G252" s="450"/>
      <c r="H252" s="604"/>
      <c r="I252" s="604"/>
      <c r="J252" s="604"/>
      <c r="K252" s="604"/>
      <c r="L252" s="604"/>
      <c r="M252" s="604"/>
      <c r="N252" s="604"/>
      <c r="O252" s="604"/>
      <c r="P252" s="514">
        <f>SUM(P243:P251)</f>
        <v>3134</v>
      </c>
      <c r="Q252" s="602">
        <f>SUM(Q243:Q251)</f>
        <v>1</v>
      </c>
      <c r="R252" s="515">
        <f>SUM(R243:R251)</f>
        <v>401045</v>
      </c>
      <c r="S252" s="602">
        <f>SUM(S243:S251)</f>
        <v>1</v>
      </c>
      <c r="T252" s="450"/>
      <c r="U252" s="452"/>
      <c r="V252" s="430"/>
    </row>
    <row r="253" spans="1:23" x14ac:dyDescent="0.3">
      <c r="A253" s="418"/>
      <c r="B253" s="516"/>
      <c r="C253" s="516"/>
      <c r="D253" s="516"/>
      <c r="E253" s="516"/>
      <c r="F253" s="516"/>
      <c r="G253" s="516"/>
      <c r="H253" s="608"/>
      <c r="I253" s="608"/>
      <c r="J253" s="608"/>
      <c r="K253" s="608"/>
      <c r="L253" s="608"/>
      <c r="M253" s="608"/>
      <c r="N253" s="608"/>
      <c r="O253" s="608"/>
      <c r="P253" s="517"/>
      <c r="Q253" s="609"/>
      <c r="R253" s="610"/>
      <c r="S253" s="609"/>
      <c r="T253" s="516"/>
      <c r="U253" s="639"/>
      <c r="V253" s="416"/>
    </row>
    <row r="254" spans="1:23" x14ac:dyDescent="0.3">
      <c r="A254" s="442"/>
      <c r="B254" s="521" t="s">
        <v>267</v>
      </c>
      <c r="C254" s="522"/>
      <c r="D254" s="522"/>
      <c r="E254" s="522"/>
      <c r="F254" s="566"/>
      <c r="G254" s="522"/>
      <c r="H254" s="522"/>
      <c r="I254" s="522"/>
      <c r="J254" s="522"/>
      <c r="K254" s="522"/>
      <c r="L254" s="522"/>
      <c r="M254" s="522"/>
      <c r="N254" s="522"/>
      <c r="O254" s="522"/>
      <c r="P254" s="566" t="s">
        <v>105</v>
      </c>
      <c r="Q254" s="522" t="s">
        <v>106</v>
      </c>
      <c r="R254" s="566" t="s">
        <v>114</v>
      </c>
      <c r="S254" s="522" t="s">
        <v>106</v>
      </c>
      <c r="T254" s="443"/>
      <c r="U254" s="446"/>
      <c r="V254" s="416"/>
    </row>
    <row r="255" spans="1:23" s="431" customFormat="1" x14ac:dyDescent="0.3">
      <c r="A255" s="432"/>
      <c r="B255" s="525" t="s">
        <v>91</v>
      </c>
      <c r="C255" s="606"/>
      <c r="D255" s="606"/>
      <c r="E255" s="606"/>
      <c r="F255" s="447"/>
      <c r="G255" s="606"/>
      <c r="H255" s="606"/>
      <c r="I255" s="606"/>
      <c r="J255" s="606"/>
      <c r="K255" s="606"/>
      <c r="L255" s="606"/>
      <c r="M255" s="606"/>
      <c r="N255" s="606"/>
      <c r="O255" s="606"/>
      <c r="P255" s="525">
        <v>25</v>
      </c>
      <c r="Q255" s="607">
        <f t="shared" ref="Q255:Q262" si="7">P255/$P$264</f>
        <v>0.86206896551724133</v>
      </c>
      <c r="R255" s="526">
        <v>3919</v>
      </c>
      <c r="S255" s="607">
        <f>R255/$R$264</f>
        <v>0.88265765765765769</v>
      </c>
      <c r="T255" s="447"/>
      <c r="U255" s="641"/>
      <c r="V255" s="430"/>
    </row>
    <row r="256" spans="1:23" s="431" customFormat="1" x14ac:dyDescent="0.3">
      <c r="A256" s="449"/>
      <c r="B256" s="514" t="s">
        <v>92</v>
      </c>
      <c r="C256" s="603"/>
      <c r="D256" s="603"/>
      <c r="E256" s="603"/>
      <c r="F256" s="450"/>
      <c r="G256" s="602"/>
      <c r="H256" s="603"/>
      <c r="I256" s="603"/>
      <c r="J256" s="603"/>
      <c r="K256" s="603"/>
      <c r="L256" s="603"/>
      <c r="M256" s="603"/>
      <c r="N256" s="603"/>
      <c r="O256" s="603"/>
      <c r="P256" s="514">
        <v>0</v>
      </c>
      <c r="Q256" s="602">
        <f t="shared" si="7"/>
        <v>0</v>
      </c>
      <c r="R256" s="515">
        <v>0</v>
      </c>
      <c r="S256" s="602">
        <f t="shared" ref="S256:S262" si="8">R256/$R$264</f>
        <v>0</v>
      </c>
      <c r="T256" s="450"/>
      <c r="U256" s="452"/>
      <c r="V256" s="430"/>
    </row>
    <row r="257" spans="1:22" s="431" customFormat="1" x14ac:dyDescent="0.3">
      <c r="A257" s="449"/>
      <c r="B257" s="514" t="s">
        <v>93</v>
      </c>
      <c r="C257" s="603"/>
      <c r="D257" s="603"/>
      <c r="E257" s="603"/>
      <c r="F257" s="450"/>
      <c r="G257" s="602"/>
      <c r="H257" s="603"/>
      <c r="I257" s="603"/>
      <c r="J257" s="603"/>
      <c r="K257" s="603"/>
      <c r="L257" s="603"/>
      <c r="M257" s="603"/>
      <c r="N257" s="603"/>
      <c r="O257" s="603"/>
      <c r="P257" s="514">
        <v>2</v>
      </c>
      <c r="Q257" s="602">
        <f t="shared" si="7"/>
        <v>6.8965517241379309E-2</v>
      </c>
      <c r="R257" s="515">
        <v>234</v>
      </c>
      <c r="S257" s="602">
        <f t="shared" si="8"/>
        <v>5.2702702702702706E-2</v>
      </c>
      <c r="T257" s="450"/>
      <c r="U257" s="452"/>
      <c r="V257" s="430"/>
    </row>
    <row r="258" spans="1:22" s="431" customFormat="1" x14ac:dyDescent="0.3">
      <c r="A258" s="449"/>
      <c r="B258" s="514" t="s">
        <v>163</v>
      </c>
      <c r="C258" s="603"/>
      <c r="D258" s="603"/>
      <c r="E258" s="603"/>
      <c r="F258" s="450"/>
      <c r="G258" s="602"/>
      <c r="H258" s="603"/>
      <c r="I258" s="603"/>
      <c r="J258" s="603"/>
      <c r="K258" s="603"/>
      <c r="L258" s="603"/>
      <c r="M258" s="603"/>
      <c r="N258" s="603"/>
      <c r="O258" s="603"/>
      <c r="P258" s="514">
        <v>0</v>
      </c>
      <c r="Q258" s="602">
        <f t="shared" si="7"/>
        <v>0</v>
      </c>
      <c r="R258" s="515">
        <v>0</v>
      </c>
      <c r="S258" s="602">
        <f t="shared" si="8"/>
        <v>0</v>
      </c>
      <c r="T258" s="450"/>
      <c r="U258" s="452"/>
      <c r="V258" s="430"/>
    </row>
    <row r="259" spans="1:22" s="431" customFormat="1" x14ac:dyDescent="0.3">
      <c r="A259" s="449"/>
      <c r="B259" s="514" t="s">
        <v>164</v>
      </c>
      <c r="C259" s="603"/>
      <c r="D259" s="603"/>
      <c r="E259" s="603"/>
      <c r="F259" s="450"/>
      <c r="G259" s="602"/>
      <c r="H259" s="603"/>
      <c r="I259" s="603"/>
      <c r="J259" s="603"/>
      <c r="K259" s="603"/>
      <c r="L259" s="603"/>
      <c r="M259" s="603"/>
      <c r="N259" s="603"/>
      <c r="O259" s="603"/>
      <c r="P259" s="514">
        <v>0</v>
      </c>
      <c r="Q259" s="602">
        <f t="shared" si="7"/>
        <v>0</v>
      </c>
      <c r="R259" s="515">
        <v>0</v>
      </c>
      <c r="S259" s="602">
        <f t="shared" si="8"/>
        <v>0</v>
      </c>
      <c r="T259" s="450"/>
      <c r="U259" s="452"/>
      <c r="V259" s="430"/>
    </row>
    <row r="260" spans="1:22" s="431" customFormat="1" x14ac:dyDescent="0.3">
      <c r="A260" s="449"/>
      <c r="B260" s="514" t="s">
        <v>165</v>
      </c>
      <c r="C260" s="603"/>
      <c r="D260" s="603"/>
      <c r="E260" s="603"/>
      <c r="F260" s="450"/>
      <c r="G260" s="602"/>
      <c r="H260" s="603"/>
      <c r="I260" s="603"/>
      <c r="J260" s="603"/>
      <c r="K260" s="603"/>
      <c r="L260" s="603"/>
      <c r="M260" s="603"/>
      <c r="N260" s="603"/>
      <c r="O260" s="603"/>
      <c r="P260" s="514">
        <v>0</v>
      </c>
      <c r="Q260" s="602">
        <f t="shared" si="7"/>
        <v>0</v>
      </c>
      <c r="R260" s="515">
        <v>0</v>
      </c>
      <c r="S260" s="602">
        <f t="shared" si="8"/>
        <v>0</v>
      </c>
      <c r="T260" s="450"/>
      <c r="U260" s="452"/>
      <c r="V260" s="430"/>
    </row>
    <row r="261" spans="1:22" s="431" customFormat="1" x14ac:dyDescent="0.3">
      <c r="A261" s="449"/>
      <c r="B261" s="514" t="s">
        <v>166</v>
      </c>
      <c r="C261" s="603"/>
      <c r="D261" s="603"/>
      <c r="E261" s="603"/>
      <c r="F261" s="450"/>
      <c r="G261" s="602"/>
      <c r="H261" s="603"/>
      <c r="I261" s="603"/>
      <c r="J261" s="603"/>
      <c r="K261" s="603"/>
      <c r="L261" s="603"/>
      <c r="M261" s="603"/>
      <c r="N261" s="603"/>
      <c r="O261" s="603"/>
      <c r="P261" s="514">
        <v>0</v>
      </c>
      <c r="Q261" s="602">
        <f t="shared" si="7"/>
        <v>0</v>
      </c>
      <c r="R261" s="515">
        <v>0</v>
      </c>
      <c r="S261" s="602">
        <f t="shared" si="8"/>
        <v>0</v>
      </c>
      <c r="T261" s="450"/>
      <c r="U261" s="452"/>
      <c r="V261" s="430"/>
    </row>
    <row r="262" spans="1:22" s="431" customFormat="1" x14ac:dyDescent="0.3">
      <c r="A262" s="449"/>
      <c r="B262" s="514" t="s">
        <v>167</v>
      </c>
      <c r="C262" s="603"/>
      <c r="D262" s="603"/>
      <c r="E262" s="603"/>
      <c r="F262" s="450"/>
      <c r="G262" s="602"/>
      <c r="H262" s="603"/>
      <c r="I262" s="603"/>
      <c r="J262" s="603"/>
      <c r="K262" s="603"/>
      <c r="L262" s="603"/>
      <c r="M262" s="603"/>
      <c r="N262" s="603"/>
      <c r="O262" s="603"/>
      <c r="P262" s="514">
        <v>2</v>
      </c>
      <c r="Q262" s="602">
        <f t="shared" si="7"/>
        <v>6.8965517241379309E-2</v>
      </c>
      <c r="R262" s="515">
        <v>287</v>
      </c>
      <c r="S262" s="602">
        <f t="shared" si="8"/>
        <v>6.4639639639639646E-2</v>
      </c>
      <c r="T262" s="450"/>
      <c r="U262" s="452"/>
      <c r="V262" s="430"/>
    </row>
    <row r="263" spans="1:22" s="431" customFormat="1" x14ac:dyDescent="0.3">
      <c r="A263" s="449"/>
      <c r="B263" s="514"/>
      <c r="C263" s="603"/>
      <c r="D263" s="603"/>
      <c r="E263" s="603"/>
      <c r="F263" s="450"/>
      <c r="G263" s="602"/>
      <c r="H263" s="603"/>
      <c r="I263" s="603"/>
      <c r="J263" s="603"/>
      <c r="K263" s="603"/>
      <c r="L263" s="603"/>
      <c r="M263" s="603"/>
      <c r="N263" s="603"/>
      <c r="O263" s="603"/>
      <c r="P263" s="514"/>
      <c r="Q263" s="602"/>
      <c r="R263" s="515"/>
      <c r="S263" s="602"/>
      <c r="T263" s="450"/>
      <c r="U263" s="452"/>
      <c r="V263" s="430"/>
    </row>
    <row r="264" spans="1:22" s="431" customFormat="1" x14ac:dyDescent="0.3">
      <c r="A264" s="449"/>
      <c r="B264" s="450" t="s">
        <v>120</v>
      </c>
      <c r="C264" s="450"/>
      <c r="D264" s="450"/>
      <c r="E264" s="450"/>
      <c r="F264" s="450"/>
      <c r="G264" s="450"/>
      <c r="H264" s="604"/>
      <c r="I264" s="604"/>
      <c r="J264" s="604"/>
      <c r="K264" s="604"/>
      <c r="L264" s="604"/>
      <c r="M264" s="604"/>
      <c r="N264" s="604"/>
      <c r="O264" s="604"/>
      <c r="P264" s="514">
        <f>SUM(P255:P263)</f>
        <v>29</v>
      </c>
      <c r="Q264" s="602">
        <f>SUM(Q255:Q263)</f>
        <v>1</v>
      </c>
      <c r="R264" s="515">
        <f>SUM(R255:R263)</f>
        <v>4440</v>
      </c>
      <c r="S264" s="602">
        <f>SUM(S255:S263)</f>
        <v>1</v>
      </c>
      <c r="T264" s="450"/>
      <c r="U264" s="452"/>
      <c r="V264" s="430"/>
    </row>
    <row r="265" spans="1:22" x14ac:dyDescent="0.3">
      <c r="A265" s="418"/>
      <c r="B265" s="516"/>
      <c r="C265" s="516"/>
      <c r="D265" s="516"/>
      <c r="E265" s="516"/>
      <c r="F265" s="516"/>
      <c r="G265" s="516"/>
      <c r="H265" s="608"/>
      <c r="I265" s="608"/>
      <c r="J265" s="608"/>
      <c r="K265" s="608"/>
      <c r="L265" s="608"/>
      <c r="M265" s="608"/>
      <c r="N265" s="608"/>
      <c r="O265" s="608"/>
      <c r="P265" s="517"/>
      <c r="Q265" s="609"/>
      <c r="R265" s="610"/>
      <c r="S265" s="609"/>
      <c r="T265" s="516"/>
      <c r="U265" s="639"/>
      <c r="V265" s="416"/>
    </row>
    <row r="266" spans="1:22" x14ac:dyDescent="0.3">
      <c r="A266" s="442"/>
      <c r="B266" s="521" t="s">
        <v>170</v>
      </c>
      <c r="C266" s="443"/>
      <c r="D266" s="443"/>
      <c r="E266" s="443"/>
      <c r="F266" s="443"/>
      <c r="G266" s="443"/>
      <c r="H266" s="611"/>
      <c r="I266" s="611"/>
      <c r="J266" s="611"/>
      <c r="K266" s="611"/>
      <c r="L266" s="611"/>
      <c r="M266" s="611"/>
      <c r="N266" s="611"/>
      <c r="O266" s="611"/>
      <c r="P266" s="566" t="s">
        <v>105</v>
      </c>
      <c r="Q266" s="522" t="s">
        <v>106</v>
      </c>
      <c r="R266" s="566" t="s">
        <v>114</v>
      </c>
      <c r="S266" s="522" t="s">
        <v>106</v>
      </c>
      <c r="T266" s="443"/>
      <c r="U266" s="446"/>
      <c r="V266" s="416"/>
    </row>
    <row r="267" spans="1:22" s="431" customFormat="1" x14ac:dyDescent="0.3">
      <c r="A267" s="432"/>
      <c r="B267" s="525" t="s">
        <v>91</v>
      </c>
      <c r="C267" s="447"/>
      <c r="D267" s="447"/>
      <c r="E267" s="447"/>
      <c r="F267" s="447"/>
      <c r="G267" s="447"/>
      <c r="H267" s="612"/>
      <c r="I267" s="612"/>
      <c r="J267" s="612"/>
      <c r="K267" s="612"/>
      <c r="L267" s="612"/>
      <c r="M267" s="612"/>
      <c r="N267" s="612"/>
      <c r="O267" s="612"/>
      <c r="P267" s="525">
        <v>0</v>
      </c>
      <c r="Q267" s="607">
        <v>0</v>
      </c>
      <c r="R267" s="526">
        <v>0</v>
      </c>
      <c r="S267" s="607">
        <v>0</v>
      </c>
      <c r="T267" s="447"/>
      <c r="U267" s="641"/>
      <c r="V267" s="430"/>
    </row>
    <row r="268" spans="1:22" s="431" customFormat="1" x14ac:dyDescent="0.3">
      <c r="A268" s="449"/>
      <c r="B268" s="514" t="s">
        <v>92</v>
      </c>
      <c r="C268" s="450"/>
      <c r="D268" s="450"/>
      <c r="E268" s="450"/>
      <c r="F268" s="450"/>
      <c r="G268" s="450"/>
      <c r="H268" s="604"/>
      <c r="I268" s="604"/>
      <c r="J268" s="604"/>
      <c r="K268" s="604"/>
      <c r="L268" s="604"/>
      <c r="M268" s="604"/>
      <c r="N268" s="604"/>
      <c r="O268" s="604"/>
      <c r="P268" s="514">
        <v>0</v>
      </c>
      <c r="Q268" s="602">
        <v>0</v>
      </c>
      <c r="R268" s="515">
        <v>0</v>
      </c>
      <c r="S268" s="602">
        <v>0</v>
      </c>
      <c r="T268" s="450"/>
      <c r="U268" s="452"/>
      <c r="V268" s="430"/>
    </row>
    <row r="269" spans="1:22" s="431" customFormat="1" x14ac:dyDescent="0.3">
      <c r="A269" s="449"/>
      <c r="B269" s="514" t="s">
        <v>93</v>
      </c>
      <c r="C269" s="450"/>
      <c r="D269" s="450"/>
      <c r="E269" s="450"/>
      <c r="F269" s="450"/>
      <c r="G269" s="450"/>
      <c r="H269" s="604"/>
      <c r="I269" s="604"/>
      <c r="J269" s="604"/>
      <c r="K269" s="604"/>
      <c r="L269" s="604"/>
      <c r="M269" s="604"/>
      <c r="N269" s="604"/>
      <c r="O269" s="604"/>
      <c r="P269" s="514">
        <v>0</v>
      </c>
      <c r="Q269" s="602">
        <v>0</v>
      </c>
      <c r="R269" s="515">
        <v>0</v>
      </c>
      <c r="S269" s="602">
        <v>0</v>
      </c>
      <c r="T269" s="450"/>
      <c r="U269" s="452"/>
      <c r="V269" s="430"/>
    </row>
    <row r="270" spans="1:22" s="431" customFormat="1" x14ac:dyDescent="0.3">
      <c r="A270" s="449"/>
      <c r="B270" s="514" t="s">
        <v>163</v>
      </c>
      <c r="C270" s="450"/>
      <c r="D270" s="450"/>
      <c r="E270" s="450"/>
      <c r="F270" s="450"/>
      <c r="G270" s="450"/>
      <c r="H270" s="604"/>
      <c r="I270" s="604"/>
      <c r="J270" s="604"/>
      <c r="K270" s="604"/>
      <c r="L270" s="604"/>
      <c r="M270" s="604"/>
      <c r="N270" s="604"/>
      <c r="O270" s="604"/>
      <c r="P270" s="514">
        <v>0</v>
      </c>
      <c r="Q270" s="602">
        <v>0</v>
      </c>
      <c r="R270" s="515">
        <v>0</v>
      </c>
      <c r="S270" s="602">
        <v>0</v>
      </c>
      <c r="T270" s="450"/>
      <c r="U270" s="452"/>
      <c r="V270" s="430"/>
    </row>
    <row r="271" spans="1:22" s="431" customFormat="1" x14ac:dyDescent="0.3">
      <c r="A271" s="449"/>
      <c r="B271" s="514" t="s">
        <v>164</v>
      </c>
      <c r="C271" s="450"/>
      <c r="D271" s="450"/>
      <c r="E271" s="450"/>
      <c r="F271" s="450"/>
      <c r="G271" s="450"/>
      <c r="H271" s="604"/>
      <c r="I271" s="604"/>
      <c r="J271" s="604"/>
      <c r="K271" s="604"/>
      <c r="L271" s="604"/>
      <c r="M271" s="604"/>
      <c r="N271" s="604"/>
      <c r="O271" s="604"/>
      <c r="P271" s="514">
        <v>0</v>
      </c>
      <c r="Q271" s="602">
        <v>0</v>
      </c>
      <c r="R271" s="515">
        <v>0</v>
      </c>
      <c r="S271" s="602">
        <v>0</v>
      </c>
      <c r="T271" s="450"/>
      <c r="U271" s="452"/>
      <c r="V271" s="430"/>
    </row>
    <row r="272" spans="1:22" s="431" customFormat="1" x14ac:dyDescent="0.3">
      <c r="A272" s="449"/>
      <c r="B272" s="514" t="s">
        <v>165</v>
      </c>
      <c r="C272" s="450"/>
      <c r="D272" s="450"/>
      <c r="E272" s="450"/>
      <c r="F272" s="450"/>
      <c r="G272" s="450"/>
      <c r="H272" s="604"/>
      <c r="I272" s="604"/>
      <c r="J272" s="604"/>
      <c r="K272" s="604"/>
      <c r="L272" s="604"/>
      <c r="M272" s="604"/>
      <c r="N272" s="604"/>
      <c r="O272" s="604"/>
      <c r="P272" s="514">
        <v>0</v>
      </c>
      <c r="Q272" s="602">
        <v>0</v>
      </c>
      <c r="R272" s="515">
        <v>0</v>
      </c>
      <c r="S272" s="602">
        <v>0</v>
      </c>
      <c r="T272" s="450"/>
      <c r="U272" s="452"/>
      <c r="V272" s="430"/>
    </row>
    <row r="273" spans="1:22" s="431" customFormat="1" x14ac:dyDescent="0.3">
      <c r="A273" s="449"/>
      <c r="B273" s="514" t="s">
        <v>166</v>
      </c>
      <c r="C273" s="450"/>
      <c r="D273" s="450"/>
      <c r="E273" s="450"/>
      <c r="F273" s="450"/>
      <c r="G273" s="450"/>
      <c r="H273" s="604"/>
      <c r="I273" s="604"/>
      <c r="J273" s="604"/>
      <c r="K273" s="604"/>
      <c r="L273" s="604"/>
      <c r="M273" s="604"/>
      <c r="N273" s="604"/>
      <c r="O273" s="604"/>
      <c r="P273" s="514">
        <v>0</v>
      </c>
      <c r="Q273" s="602">
        <v>0</v>
      </c>
      <c r="R273" s="515">
        <v>0</v>
      </c>
      <c r="S273" s="602">
        <v>0</v>
      </c>
      <c r="T273" s="450"/>
      <c r="U273" s="452"/>
      <c r="V273" s="430"/>
    </row>
    <row r="274" spans="1:22" s="431" customFormat="1" x14ac:dyDescent="0.3">
      <c r="A274" s="449"/>
      <c r="B274" s="514" t="s">
        <v>167</v>
      </c>
      <c r="C274" s="450"/>
      <c r="D274" s="450"/>
      <c r="E274" s="450"/>
      <c r="F274" s="450"/>
      <c r="G274" s="450"/>
      <c r="H274" s="604"/>
      <c r="I274" s="604"/>
      <c r="J274" s="604"/>
      <c r="K274" s="604"/>
      <c r="L274" s="604"/>
      <c r="M274" s="604"/>
      <c r="N274" s="604"/>
      <c r="O274" s="604"/>
      <c r="P274" s="514">
        <v>0</v>
      </c>
      <c r="Q274" s="602">
        <v>0</v>
      </c>
      <c r="R274" s="515">
        <v>0</v>
      </c>
      <c r="S274" s="602">
        <v>0</v>
      </c>
      <c r="T274" s="450"/>
      <c r="U274" s="452"/>
      <c r="V274" s="430"/>
    </row>
    <row r="275" spans="1:22" s="431" customFormat="1" x14ac:dyDescent="0.3">
      <c r="A275" s="449"/>
      <c r="B275" s="514"/>
      <c r="C275" s="450"/>
      <c r="D275" s="450"/>
      <c r="E275" s="450"/>
      <c r="F275" s="450"/>
      <c r="G275" s="450"/>
      <c r="H275" s="604"/>
      <c r="I275" s="604"/>
      <c r="J275" s="604"/>
      <c r="K275" s="604"/>
      <c r="L275" s="604"/>
      <c r="M275" s="604"/>
      <c r="N275" s="604"/>
      <c r="O275" s="604"/>
      <c r="P275" s="514"/>
      <c r="Q275" s="602"/>
      <c r="R275" s="515"/>
      <c r="S275" s="602"/>
      <c r="T275" s="450"/>
      <c r="U275" s="452"/>
      <c r="V275" s="430"/>
    </row>
    <row r="276" spans="1:22" s="431" customFormat="1" x14ac:dyDescent="0.3">
      <c r="A276" s="449"/>
      <c r="B276" s="450" t="s">
        <v>120</v>
      </c>
      <c r="C276" s="450"/>
      <c r="D276" s="450"/>
      <c r="E276" s="450"/>
      <c r="F276" s="450"/>
      <c r="G276" s="450"/>
      <c r="H276" s="604"/>
      <c r="I276" s="604"/>
      <c r="J276" s="604"/>
      <c r="K276" s="604"/>
      <c r="L276" s="604"/>
      <c r="M276" s="604"/>
      <c r="N276" s="604"/>
      <c r="O276" s="604"/>
      <c r="P276" s="514">
        <f>SUM(P267:P274)</f>
        <v>0</v>
      </c>
      <c r="Q276" s="602">
        <f>SUM(Q267:Q275)</f>
        <v>0</v>
      </c>
      <c r="R276" s="515">
        <f>SUM(R267:R274)</f>
        <v>0</v>
      </c>
      <c r="S276" s="602">
        <f>SUM(S267:S275)</f>
        <v>0</v>
      </c>
      <c r="T276" s="450"/>
      <c r="U276" s="452"/>
      <c r="V276" s="430"/>
    </row>
    <row r="277" spans="1:22" s="431" customFormat="1" x14ac:dyDescent="0.3">
      <c r="A277" s="449"/>
      <c r="B277" s="450"/>
      <c r="C277" s="450"/>
      <c r="D277" s="450"/>
      <c r="E277" s="450"/>
      <c r="F277" s="450"/>
      <c r="G277" s="450"/>
      <c r="H277" s="604"/>
      <c r="I277" s="604"/>
      <c r="J277" s="604"/>
      <c r="K277" s="604"/>
      <c r="L277" s="604"/>
      <c r="M277" s="604"/>
      <c r="N277" s="604"/>
      <c r="O277" s="604"/>
      <c r="P277" s="514"/>
      <c r="Q277" s="602"/>
      <c r="R277" s="515"/>
      <c r="S277" s="602"/>
      <c r="T277" s="450"/>
      <c r="U277" s="452"/>
      <c r="V277" s="430"/>
    </row>
    <row r="278" spans="1:22" s="431" customFormat="1" x14ac:dyDescent="0.3">
      <c r="A278" s="449"/>
      <c r="B278" s="455" t="s">
        <v>171</v>
      </c>
      <c r="C278" s="450"/>
      <c r="D278" s="450"/>
      <c r="E278" s="450"/>
      <c r="F278" s="450"/>
      <c r="G278" s="450"/>
      <c r="H278" s="604"/>
      <c r="I278" s="604"/>
      <c r="J278" s="604"/>
      <c r="K278" s="604"/>
      <c r="L278" s="604"/>
      <c r="M278" s="604"/>
      <c r="N278" s="604"/>
      <c r="O278" s="604"/>
      <c r="P278" s="613">
        <f>P276+P264+P252</f>
        <v>3163</v>
      </c>
      <c r="Q278" s="602"/>
      <c r="R278" s="614">
        <f>+R276+R264+R252</f>
        <v>405485</v>
      </c>
      <c r="S278" s="602"/>
      <c r="T278" s="450"/>
      <c r="U278" s="452"/>
      <c r="V278" s="430"/>
    </row>
    <row r="279" spans="1:22" s="431" customFormat="1" x14ac:dyDescent="0.3">
      <c r="A279" s="432"/>
      <c r="B279" s="447"/>
      <c r="C279" s="447"/>
      <c r="D279" s="447"/>
      <c r="E279" s="447"/>
      <c r="F279" s="447"/>
      <c r="G279" s="447"/>
      <c r="H279" s="612"/>
      <c r="I279" s="612"/>
      <c r="J279" s="612"/>
      <c r="K279" s="612"/>
      <c r="L279" s="612"/>
      <c r="M279" s="612"/>
      <c r="N279" s="612"/>
      <c r="O279" s="612"/>
      <c r="P279" s="612"/>
      <c r="Q279" s="612"/>
      <c r="R279" s="526"/>
      <c r="S279" s="612"/>
      <c r="T279" s="447"/>
      <c r="U279" s="641"/>
      <c r="V279" s="430"/>
    </row>
    <row r="280" spans="1:22" s="431" customFormat="1" x14ac:dyDescent="0.3">
      <c r="A280" s="432"/>
      <c r="B280" s="447"/>
      <c r="C280" s="433"/>
      <c r="D280" s="433"/>
      <c r="E280" s="433"/>
      <c r="F280" s="433"/>
      <c r="G280" s="433"/>
      <c r="H280" s="615"/>
      <c r="I280" s="615"/>
      <c r="J280" s="615"/>
      <c r="K280" s="615"/>
      <c r="L280" s="615"/>
      <c r="M280" s="615"/>
      <c r="N280" s="615"/>
      <c r="O280" s="615"/>
      <c r="P280" s="615"/>
      <c r="Q280" s="615"/>
      <c r="R280" s="616"/>
      <c r="S280" s="615"/>
      <c r="T280" s="433"/>
      <c r="U280" s="641"/>
      <c r="V280" s="430"/>
    </row>
    <row r="281" spans="1:22" s="431" customFormat="1" x14ac:dyDescent="0.3">
      <c r="A281" s="432"/>
      <c r="B281" s="428" t="s">
        <v>94</v>
      </c>
      <c r="C281" s="433"/>
      <c r="D281" s="433"/>
      <c r="E281" s="433"/>
      <c r="F281" s="437" t="s">
        <v>100</v>
      </c>
      <c r="G281" s="433"/>
      <c r="H281" s="428" t="s">
        <v>102</v>
      </c>
      <c r="I281" s="433"/>
      <c r="J281" s="433"/>
      <c r="K281" s="433"/>
      <c r="L281" s="433"/>
      <c r="M281" s="433"/>
      <c r="N281" s="433"/>
      <c r="O281" s="433"/>
      <c r="P281" s="433"/>
      <c r="Q281" s="433"/>
      <c r="R281" s="433"/>
      <c r="S281" s="433"/>
      <c r="T281" s="433"/>
      <c r="U281" s="641"/>
      <c r="V281" s="430"/>
    </row>
    <row r="282" spans="1:22" s="431" customFormat="1" x14ac:dyDescent="0.3">
      <c r="A282" s="432"/>
      <c r="B282" s="428" t="s">
        <v>317</v>
      </c>
      <c r="C282" s="428"/>
      <c r="D282" s="428"/>
      <c r="E282" s="428"/>
      <c r="F282" s="617" t="s">
        <v>269</v>
      </c>
      <c r="G282" s="428"/>
      <c r="H282" s="428" t="s">
        <v>357</v>
      </c>
      <c r="I282" s="433"/>
      <c r="J282" s="433"/>
      <c r="K282" s="433"/>
      <c r="L282" s="433"/>
      <c r="M282" s="433"/>
      <c r="N282" s="433"/>
      <c r="O282" s="433"/>
      <c r="P282" s="433"/>
      <c r="Q282" s="433"/>
      <c r="R282" s="433"/>
      <c r="S282" s="433"/>
      <c r="T282" s="433"/>
      <c r="U282" s="641"/>
      <c r="V282" s="430"/>
    </row>
    <row r="283" spans="1:22" s="431" customFormat="1" x14ac:dyDescent="0.3">
      <c r="A283" s="432"/>
      <c r="B283" s="428" t="s">
        <v>318</v>
      </c>
      <c r="C283" s="428"/>
      <c r="D283" s="428"/>
      <c r="E283" s="428"/>
      <c r="F283" s="617" t="s">
        <v>153</v>
      </c>
      <c r="G283" s="428"/>
      <c r="H283" s="428" t="s">
        <v>358</v>
      </c>
      <c r="I283" s="433"/>
      <c r="J283" s="433"/>
      <c r="K283" s="433"/>
      <c r="L283" s="433"/>
      <c r="M283" s="433"/>
      <c r="N283" s="433"/>
      <c r="O283" s="433"/>
      <c r="P283" s="433"/>
      <c r="Q283" s="433"/>
      <c r="R283" s="433"/>
      <c r="S283" s="433"/>
      <c r="T283" s="433"/>
      <c r="U283" s="641"/>
      <c r="V283" s="430"/>
    </row>
    <row r="284" spans="1:22" s="431" customFormat="1" x14ac:dyDescent="0.3">
      <c r="A284" s="432"/>
      <c r="B284" s="428"/>
      <c r="C284" s="428"/>
      <c r="D284" s="428"/>
      <c r="E284" s="428"/>
      <c r="F284" s="617"/>
      <c r="G284" s="428"/>
      <c r="H284" s="428"/>
      <c r="I284" s="433"/>
      <c r="J284" s="433"/>
      <c r="K284" s="433"/>
      <c r="L284" s="433"/>
      <c r="M284" s="433"/>
      <c r="N284" s="433"/>
      <c r="O284" s="433"/>
      <c r="P284" s="433"/>
      <c r="Q284" s="433"/>
      <c r="R284" s="433"/>
      <c r="S284" s="433"/>
      <c r="T284" s="433"/>
      <c r="U284" s="641"/>
      <c r="V284" s="430"/>
    </row>
    <row r="285" spans="1:22" s="431" customFormat="1" x14ac:dyDescent="0.3">
      <c r="A285" s="432"/>
      <c r="B285" s="447" t="s">
        <v>354</v>
      </c>
      <c r="C285" s="428"/>
      <c r="D285" s="428"/>
      <c r="E285" s="428"/>
      <c r="F285" s="617"/>
      <c r="G285" s="428"/>
      <c r="H285" s="428"/>
      <c r="I285" s="433"/>
      <c r="J285" s="433"/>
      <c r="K285" s="433"/>
      <c r="L285" s="433"/>
      <c r="M285" s="433"/>
      <c r="N285" s="433"/>
      <c r="O285" s="433"/>
      <c r="P285" s="433"/>
      <c r="Q285" s="433"/>
      <c r="R285" s="433"/>
      <c r="S285" s="433"/>
      <c r="T285" s="433"/>
      <c r="U285" s="641"/>
      <c r="V285" s="430"/>
    </row>
    <row r="286" spans="1:22" s="431" customFormat="1" x14ac:dyDescent="0.3">
      <c r="A286" s="432"/>
      <c r="B286" s="447" t="s">
        <v>359</v>
      </c>
      <c r="C286" s="428"/>
      <c r="D286" s="428"/>
      <c r="E286" s="428"/>
      <c r="F286" s="617"/>
      <c r="G286" s="428"/>
      <c r="H286" s="428"/>
      <c r="I286" s="433"/>
      <c r="J286" s="433"/>
      <c r="K286" s="433"/>
      <c r="L286" s="433"/>
      <c r="M286" s="433"/>
      <c r="N286" s="433"/>
      <c r="O286" s="433"/>
      <c r="P286" s="433"/>
      <c r="Q286" s="433"/>
      <c r="R286" s="433"/>
      <c r="S286" s="433"/>
      <c r="T286" s="433"/>
      <c r="U286" s="641"/>
      <c r="V286" s="430"/>
    </row>
    <row r="287" spans="1:22" s="431" customFormat="1" x14ac:dyDescent="0.3">
      <c r="A287" s="432"/>
      <c r="B287" s="447" t="s">
        <v>352</v>
      </c>
      <c r="C287" s="428"/>
      <c r="D287" s="428"/>
      <c r="E287" s="428"/>
      <c r="F287" s="617"/>
      <c r="G287" s="428"/>
      <c r="H287" s="428"/>
      <c r="I287" s="433"/>
      <c r="J287" s="433"/>
      <c r="K287" s="433"/>
      <c r="L287" s="433"/>
      <c r="M287" s="433"/>
      <c r="N287" s="433"/>
      <c r="O287" s="433"/>
      <c r="P287" s="433"/>
      <c r="Q287" s="433"/>
      <c r="R287" s="433"/>
      <c r="S287" s="433"/>
      <c r="T287" s="433"/>
      <c r="U287" s="641"/>
      <c r="V287" s="430"/>
    </row>
    <row r="288" spans="1:22" s="431" customFormat="1" x14ac:dyDescent="0.3">
      <c r="A288" s="432"/>
      <c r="B288" s="447" t="s">
        <v>351</v>
      </c>
      <c r="C288" s="428"/>
      <c r="D288" s="428"/>
      <c r="E288" s="428"/>
      <c r="F288" s="617"/>
      <c r="G288" s="428"/>
      <c r="H288" s="428"/>
      <c r="I288" s="433"/>
      <c r="J288" s="433"/>
      <c r="K288" s="433"/>
      <c r="L288" s="433"/>
      <c r="M288" s="433"/>
      <c r="N288" s="433"/>
      <c r="O288" s="433"/>
      <c r="P288" s="433"/>
      <c r="Q288" s="433"/>
      <c r="R288" s="433"/>
      <c r="S288" s="433"/>
      <c r="T288" s="433"/>
      <c r="U288" s="641"/>
      <c r="V288" s="430"/>
    </row>
    <row r="289" spans="1:22" x14ac:dyDescent="0.3">
      <c r="A289" s="418"/>
      <c r="B289" s="618"/>
      <c r="C289" s="619"/>
      <c r="D289" s="619"/>
      <c r="E289" s="619"/>
      <c r="F289" s="620"/>
      <c r="G289" s="619"/>
      <c r="H289" s="619"/>
      <c r="I289" s="621"/>
      <c r="J289" s="621"/>
      <c r="K289" s="621"/>
      <c r="L289" s="420"/>
      <c r="M289" s="420"/>
      <c r="N289" s="420"/>
      <c r="O289" s="420"/>
      <c r="P289" s="420"/>
      <c r="Q289" s="420"/>
      <c r="R289" s="420"/>
      <c r="S289" s="420"/>
      <c r="T289" s="420"/>
      <c r="U289" s="639"/>
      <c r="V289" s="416"/>
    </row>
    <row r="290" spans="1:22" ht="18" x14ac:dyDescent="0.35">
      <c r="A290" s="418"/>
      <c r="B290" s="622" t="s">
        <v>353</v>
      </c>
      <c r="C290" s="619"/>
      <c r="D290" s="619"/>
      <c r="E290" s="619"/>
      <c r="F290" s="619"/>
      <c r="G290" s="619"/>
      <c r="H290" s="621"/>
      <c r="I290" s="621"/>
      <c r="J290" s="621"/>
      <c r="K290" s="621"/>
      <c r="L290" s="420"/>
      <c r="M290" s="420"/>
      <c r="N290" s="623"/>
      <c r="O290" s="420"/>
      <c r="P290" s="624" t="s">
        <v>356</v>
      </c>
      <c r="Q290" s="420"/>
      <c r="R290" s="420"/>
      <c r="S290" s="420"/>
      <c r="T290" s="420"/>
      <c r="U290" s="639"/>
      <c r="V290" s="416"/>
    </row>
    <row r="291" spans="1:22" x14ac:dyDescent="0.3">
      <c r="A291" s="418"/>
      <c r="B291" s="619"/>
      <c r="C291" s="619"/>
      <c r="D291" s="619"/>
      <c r="E291" s="619"/>
      <c r="F291" s="619"/>
      <c r="G291" s="619"/>
      <c r="H291" s="621"/>
      <c r="I291" s="621"/>
      <c r="J291" s="621"/>
      <c r="K291" s="621"/>
      <c r="L291" s="420"/>
      <c r="M291" s="420"/>
      <c r="N291" s="420"/>
      <c r="O291" s="420"/>
      <c r="P291" s="420"/>
      <c r="Q291" s="420"/>
      <c r="R291" s="420"/>
      <c r="S291" s="420"/>
      <c r="T291" s="420"/>
      <c r="U291" s="639"/>
      <c r="V291" s="416"/>
    </row>
    <row r="292" spans="1:22" ht="18.600000000000001" thickBot="1" x14ac:dyDescent="0.4">
      <c r="A292" s="418"/>
      <c r="B292" s="625" t="str">
        <f>B192</f>
        <v>PM11 INVESTOR REPORT QUARTER ENDING JUNE 2018</v>
      </c>
      <c r="C292" s="619"/>
      <c r="D292" s="619"/>
      <c r="E292" s="619"/>
      <c r="F292" s="619"/>
      <c r="G292" s="619"/>
      <c r="H292" s="621"/>
      <c r="I292" s="621"/>
      <c r="J292" s="621"/>
      <c r="K292" s="621"/>
      <c r="L292" s="420"/>
      <c r="M292" s="420"/>
      <c r="N292" s="420"/>
      <c r="O292" s="420"/>
      <c r="P292" s="420"/>
      <c r="Q292" s="420"/>
      <c r="R292" s="420"/>
      <c r="S292" s="420"/>
      <c r="T292" s="420"/>
      <c r="U292" s="556"/>
      <c r="V292" s="416"/>
    </row>
    <row r="293" spans="1:22" x14ac:dyDescent="0.3">
      <c r="A293" s="626"/>
      <c r="B293" s="626"/>
      <c r="C293" s="626"/>
      <c r="D293" s="626"/>
      <c r="E293" s="626"/>
      <c r="F293" s="626"/>
      <c r="G293" s="626"/>
      <c r="H293" s="626"/>
      <c r="I293" s="626"/>
      <c r="J293" s="626"/>
      <c r="K293" s="626"/>
      <c r="L293" s="626"/>
      <c r="M293" s="626"/>
      <c r="N293" s="626"/>
      <c r="O293" s="626"/>
      <c r="P293" s="626"/>
      <c r="Q293" s="626"/>
      <c r="R293" s="626"/>
      <c r="S293" s="626"/>
      <c r="T293" s="626"/>
      <c r="U293" s="626"/>
    </row>
  </sheetData>
  <hyperlinks>
    <hyperlink ref="J9" r:id="rId1" display="http://www.paragon-group.co.uk" xr:uid="{00000000-0004-0000-3000-000000000000}"/>
    <hyperlink ref="P290" r:id="rId2" display="http://www.paragon-group.co.uk" xr:uid="{00000000-0004-0000-3000-000001000000}"/>
    <hyperlink ref="N228" r:id="rId3" display="http://www.paragon-group.co.uk" xr:uid="{00000000-0004-0000-3000-000002000000}"/>
  </hyperlinks>
  <printOptions horizontalCentered="1" verticalCentered="1"/>
  <pageMargins left="0.19685039370078741" right="0.19685039370078741" top="0.27559055118110237" bottom="0.27559055118110237" header="0" footer="0"/>
  <pageSetup scale="40" orientation="landscape" r:id="rId4"/>
  <headerFooter alignWithMargins="0"/>
  <rowBreaks count="3" manualBreakCount="3">
    <brk id="63" max="20" man="1"/>
    <brk id="132" max="20" man="1"/>
    <brk id="192" max="20"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89CB31"/>
  </sheetPr>
  <dimension ref="A1:X275"/>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08984375" style="1" customWidth="1"/>
    <col min="10" max="10" width="17.81640625" style="1" customWidth="1"/>
    <col min="11" max="11" width="2.1796875" style="1" customWidth="1"/>
    <col min="12" max="12" width="14.81640625" style="1" customWidth="1"/>
    <col min="13" max="13" width="2.1796875" style="1" customWidth="1"/>
    <col min="14" max="14" width="15.54296875" style="1" customWidth="1"/>
    <col min="15" max="15" width="2.08984375" style="1" customWidth="1"/>
    <col min="16" max="16" width="15.54296875" style="1" customWidth="1"/>
    <col min="17" max="18" width="12.81640625" style="1" customWidth="1"/>
    <col min="19" max="19" width="7.81640625" style="1" customWidth="1"/>
    <col min="20" max="20" width="14.81640625" style="1" customWidth="1"/>
    <col min="21" max="21" width="11.81640625" style="1" customWidth="1"/>
    <col min="22" max="16384" width="9.81640625" style="1"/>
  </cols>
  <sheetData>
    <row r="1" spans="1:22" ht="20.399999999999999" x14ac:dyDescent="0.35">
      <c r="A1" s="2"/>
      <c r="B1" s="3" t="s">
        <v>228</v>
      </c>
      <c r="C1" s="4"/>
      <c r="D1" s="4"/>
      <c r="E1" s="4"/>
      <c r="F1" s="4"/>
      <c r="G1" s="4"/>
      <c r="H1" s="4"/>
      <c r="I1" s="4"/>
      <c r="J1" s="4"/>
      <c r="K1" s="4"/>
      <c r="L1" s="4"/>
      <c r="M1" s="4"/>
      <c r="N1" s="4"/>
      <c r="O1" s="4"/>
      <c r="P1" s="4"/>
      <c r="Q1" s="4"/>
      <c r="R1" s="4"/>
      <c r="S1" s="4"/>
      <c r="T1" s="4"/>
      <c r="U1" s="4"/>
      <c r="V1" s="5"/>
    </row>
    <row r="2" spans="1:22" ht="15.6" x14ac:dyDescent="0.3">
      <c r="A2" s="6"/>
      <c r="B2" s="7"/>
      <c r="C2" s="8"/>
      <c r="D2" s="8"/>
      <c r="E2" s="8"/>
      <c r="F2" s="8"/>
      <c r="G2" s="8"/>
      <c r="H2" s="8"/>
      <c r="I2" s="8"/>
      <c r="J2" s="8"/>
      <c r="K2" s="8"/>
      <c r="L2" s="8"/>
      <c r="M2" s="8"/>
      <c r="N2" s="8"/>
      <c r="O2" s="8"/>
      <c r="P2" s="8"/>
      <c r="Q2" s="8"/>
      <c r="R2" s="8"/>
      <c r="S2" s="8"/>
      <c r="T2" s="8"/>
      <c r="U2" s="8"/>
      <c r="V2" s="5"/>
    </row>
    <row r="3" spans="1:22" ht="15.6" x14ac:dyDescent="0.3">
      <c r="A3" s="9"/>
      <c r="B3" s="111" t="s">
        <v>229</v>
      </c>
      <c r="C3" s="8"/>
      <c r="D3" s="8"/>
      <c r="E3" s="8"/>
      <c r="F3" s="8"/>
      <c r="G3" s="8"/>
      <c r="H3" s="8"/>
      <c r="I3" s="8"/>
      <c r="J3" s="8"/>
      <c r="K3" s="8"/>
      <c r="L3" s="8"/>
      <c r="M3" s="8"/>
      <c r="N3" s="8"/>
      <c r="O3" s="8"/>
      <c r="P3" s="8"/>
      <c r="Q3" s="8"/>
      <c r="R3" s="8"/>
      <c r="S3" s="8"/>
      <c r="T3" s="8"/>
      <c r="U3" s="8"/>
      <c r="V3" s="5"/>
    </row>
    <row r="4" spans="1:22" ht="15.6" x14ac:dyDescent="0.3">
      <c r="A4" s="6"/>
      <c r="B4" s="7"/>
      <c r="C4" s="8"/>
      <c r="D4" s="8"/>
      <c r="E4" s="8"/>
      <c r="F4" s="8"/>
      <c r="G4" s="8"/>
      <c r="H4" s="8"/>
      <c r="I4" s="8"/>
      <c r="J4" s="8"/>
      <c r="K4" s="8"/>
      <c r="L4" s="8"/>
      <c r="M4" s="8"/>
      <c r="N4" s="8"/>
      <c r="O4" s="8"/>
      <c r="P4" s="8"/>
      <c r="Q4" s="8"/>
      <c r="R4" s="8"/>
      <c r="S4" s="8"/>
      <c r="T4" s="8"/>
      <c r="U4" s="8"/>
      <c r="V4" s="5"/>
    </row>
    <row r="5" spans="1:22" ht="15.6" x14ac:dyDescent="0.3">
      <c r="A5" s="6"/>
      <c r="B5" s="11" t="s">
        <v>143</v>
      </c>
      <c r="C5" s="8"/>
      <c r="D5" s="8"/>
      <c r="E5" s="8"/>
      <c r="F5" s="8"/>
      <c r="G5" s="8"/>
      <c r="H5" s="8"/>
      <c r="I5" s="8"/>
      <c r="J5" s="8"/>
      <c r="K5" s="8"/>
      <c r="L5" s="8"/>
      <c r="M5" s="8"/>
      <c r="N5" s="8"/>
      <c r="O5" s="8"/>
      <c r="P5" s="8"/>
      <c r="Q5" s="8"/>
      <c r="R5" s="8"/>
      <c r="S5" s="8"/>
      <c r="T5" s="8"/>
      <c r="U5" s="8"/>
      <c r="V5" s="5"/>
    </row>
    <row r="6" spans="1:22" ht="15.6" x14ac:dyDescent="0.3">
      <c r="A6" s="6"/>
      <c r="B6" s="11" t="s">
        <v>145</v>
      </c>
      <c r="C6" s="8"/>
      <c r="D6" s="8"/>
      <c r="E6" s="8"/>
      <c r="F6" s="8"/>
      <c r="G6" s="8"/>
      <c r="H6" s="8"/>
      <c r="I6" s="8"/>
      <c r="J6" s="8"/>
      <c r="K6" s="8"/>
      <c r="L6" s="8"/>
      <c r="M6" s="8"/>
      <c r="N6" s="8"/>
      <c r="O6" s="8"/>
      <c r="P6" s="8"/>
      <c r="Q6" s="8"/>
      <c r="R6" s="8"/>
      <c r="S6" s="8"/>
      <c r="T6" s="8"/>
      <c r="U6" s="8"/>
      <c r="V6" s="5"/>
    </row>
    <row r="7" spans="1:22" ht="15.6" x14ac:dyDescent="0.3">
      <c r="A7" s="6"/>
      <c r="B7" s="11" t="s">
        <v>144</v>
      </c>
      <c r="C7" s="8"/>
      <c r="D7" s="8"/>
      <c r="E7" s="8"/>
      <c r="F7" s="8"/>
      <c r="G7" s="8"/>
      <c r="H7" s="8"/>
      <c r="I7" s="8"/>
      <c r="J7" s="8"/>
      <c r="K7" s="8"/>
      <c r="L7" s="8"/>
      <c r="M7" s="8"/>
      <c r="N7" s="8"/>
      <c r="O7" s="8"/>
      <c r="P7" s="8"/>
      <c r="Q7" s="8"/>
      <c r="R7" s="8"/>
      <c r="S7" s="8"/>
      <c r="T7" s="8"/>
      <c r="U7" s="8"/>
      <c r="V7" s="5"/>
    </row>
    <row r="8" spans="1:22" ht="15.6" x14ac:dyDescent="0.3">
      <c r="A8" s="6"/>
      <c r="B8" s="11"/>
      <c r="C8" s="8"/>
      <c r="D8" s="8"/>
      <c r="E8" s="8"/>
      <c r="F8" s="8"/>
      <c r="G8" s="8"/>
      <c r="H8" s="8"/>
      <c r="I8" s="8"/>
      <c r="J8" s="8"/>
      <c r="K8" s="8"/>
      <c r="L8" s="8"/>
      <c r="M8" s="8"/>
      <c r="N8" s="8"/>
      <c r="O8" s="8"/>
      <c r="P8" s="8"/>
      <c r="Q8" s="8"/>
      <c r="R8" s="8"/>
      <c r="S8" s="8"/>
      <c r="T8" s="8"/>
      <c r="U8" s="8"/>
      <c r="V8" s="5"/>
    </row>
    <row r="9" spans="1:22" ht="17.399999999999999" x14ac:dyDescent="0.3">
      <c r="A9" s="6"/>
      <c r="B9" s="147" t="s">
        <v>173</v>
      </c>
      <c r="C9" s="8"/>
      <c r="D9" s="8"/>
      <c r="E9" s="8"/>
      <c r="F9" s="8"/>
      <c r="G9" s="8"/>
      <c r="H9" s="8"/>
      <c r="I9" s="8"/>
      <c r="J9" s="148" t="s">
        <v>174</v>
      </c>
      <c r="K9" s="8"/>
      <c r="L9" s="148"/>
      <c r="M9" s="8"/>
      <c r="N9" s="8"/>
      <c r="O9" s="8"/>
      <c r="P9" s="8"/>
      <c r="Q9" s="8"/>
      <c r="R9" s="8"/>
      <c r="S9" s="8"/>
      <c r="T9" s="8"/>
      <c r="U9" s="8"/>
      <c r="V9" s="5"/>
    </row>
    <row r="10" spans="1:22" ht="15.6" x14ac:dyDescent="0.3">
      <c r="A10" s="6"/>
      <c r="B10" s="11"/>
      <c r="C10" s="13"/>
      <c r="D10" s="13"/>
      <c r="E10" s="13"/>
      <c r="F10" s="8"/>
      <c r="G10" s="8"/>
      <c r="H10" s="8"/>
      <c r="I10" s="8"/>
      <c r="J10" s="8"/>
      <c r="K10" s="8"/>
      <c r="L10" s="8"/>
      <c r="M10" s="8"/>
      <c r="N10" s="8"/>
      <c r="O10" s="8"/>
      <c r="P10" s="8"/>
      <c r="Q10" s="8"/>
      <c r="R10" s="8"/>
      <c r="S10" s="8"/>
      <c r="T10" s="8"/>
      <c r="U10" s="8"/>
      <c r="V10" s="5"/>
    </row>
    <row r="11" spans="1:22" ht="15.6" x14ac:dyDescent="0.3">
      <c r="A11" s="6"/>
      <c r="B11" s="14" t="s">
        <v>0</v>
      </c>
      <c r="C11" s="8"/>
      <c r="D11" s="8"/>
      <c r="E11" s="8"/>
      <c r="F11" s="8"/>
      <c r="G11" s="8"/>
      <c r="H11" s="8"/>
      <c r="I11" s="8"/>
      <c r="J11" s="8"/>
      <c r="K11" s="8"/>
      <c r="L11" s="8"/>
      <c r="M11" s="8"/>
      <c r="N11" s="8"/>
      <c r="O11" s="8"/>
      <c r="P11" s="8"/>
      <c r="Q11" s="8"/>
      <c r="R11" s="8"/>
      <c r="S11" s="8"/>
      <c r="T11" s="8"/>
      <c r="U11" s="8"/>
      <c r="V11" s="5"/>
    </row>
    <row r="12" spans="1:22" ht="16.2" thickBot="1" x14ac:dyDescent="0.35">
      <c r="A12" s="6"/>
      <c r="B12" s="13"/>
      <c r="C12" s="8"/>
      <c r="D12" s="8"/>
      <c r="E12" s="8"/>
      <c r="F12" s="8"/>
      <c r="G12" s="8"/>
      <c r="H12" s="8"/>
      <c r="I12" s="8"/>
      <c r="J12" s="8"/>
      <c r="K12" s="8"/>
      <c r="L12" s="8"/>
      <c r="M12" s="8"/>
      <c r="N12" s="8"/>
      <c r="O12" s="8"/>
      <c r="P12" s="8"/>
      <c r="Q12" s="8"/>
      <c r="R12" s="8"/>
      <c r="S12" s="8"/>
      <c r="T12" s="8"/>
      <c r="U12" s="8"/>
      <c r="V12" s="5"/>
    </row>
    <row r="13" spans="1:22" ht="15.6" x14ac:dyDescent="0.3">
      <c r="A13" s="2"/>
      <c r="B13" s="4"/>
      <c r="C13" s="4"/>
      <c r="D13" s="4"/>
      <c r="E13" s="4"/>
      <c r="F13" s="4"/>
      <c r="G13" s="4"/>
      <c r="H13" s="4"/>
      <c r="I13" s="4"/>
      <c r="J13" s="4"/>
      <c r="K13" s="4"/>
      <c r="L13" s="4"/>
      <c r="M13" s="4"/>
      <c r="N13" s="4"/>
      <c r="O13" s="4"/>
      <c r="P13" s="4"/>
      <c r="Q13" s="4"/>
      <c r="R13" s="4"/>
      <c r="S13" s="4"/>
      <c r="T13" s="4"/>
      <c r="U13" s="4"/>
      <c r="V13" s="5"/>
    </row>
    <row r="14" spans="1:22" ht="15.6" x14ac:dyDescent="0.3">
      <c r="A14" s="6"/>
      <c r="B14" s="14" t="s">
        <v>1</v>
      </c>
      <c r="C14" s="15"/>
      <c r="D14" s="15"/>
      <c r="E14" s="15"/>
      <c r="F14" s="15"/>
      <c r="G14" s="15"/>
      <c r="H14" s="15"/>
      <c r="I14" s="15"/>
      <c r="J14" s="15"/>
      <c r="K14" s="15"/>
      <c r="L14" s="15"/>
      <c r="M14" s="15"/>
      <c r="N14" s="15"/>
      <c r="O14" s="15"/>
      <c r="P14" s="15"/>
      <c r="Q14" s="15"/>
      <c r="R14" s="15"/>
      <c r="S14" s="15"/>
      <c r="T14" s="16" t="s">
        <v>230</v>
      </c>
      <c r="U14" s="15"/>
      <c r="V14" s="5"/>
    </row>
    <row r="15" spans="1:22" ht="15.6" x14ac:dyDescent="0.3">
      <c r="A15" s="6"/>
      <c r="B15" s="14" t="s">
        <v>2</v>
      </c>
      <c r="C15" s="15"/>
      <c r="D15" s="15"/>
      <c r="E15" s="15"/>
      <c r="F15" s="15"/>
      <c r="G15" s="15"/>
      <c r="H15" s="18"/>
      <c r="I15" s="18"/>
      <c r="J15" s="18"/>
      <c r="K15" s="18"/>
      <c r="L15" s="18"/>
      <c r="M15" s="18"/>
      <c r="N15" s="18"/>
      <c r="O15" s="18"/>
      <c r="P15" s="18" t="s">
        <v>107</v>
      </c>
      <c r="Q15" s="137">
        <v>0.40749999999999997</v>
      </c>
      <c r="R15" s="17" t="s">
        <v>146</v>
      </c>
      <c r="S15" s="137">
        <v>0.59250000000000003</v>
      </c>
      <c r="T15" s="16"/>
      <c r="U15" s="15"/>
      <c r="V15" s="5"/>
    </row>
    <row r="16" spans="1:22" ht="15.6" x14ac:dyDescent="0.3">
      <c r="A16" s="6"/>
      <c r="B16" s="14" t="s">
        <v>3</v>
      </c>
      <c r="C16" s="15"/>
      <c r="D16" s="15"/>
      <c r="E16" s="15"/>
      <c r="F16" s="15"/>
      <c r="G16" s="15"/>
      <c r="H16" s="18"/>
      <c r="I16" s="18"/>
      <c r="J16" s="18"/>
      <c r="K16" s="18"/>
      <c r="L16" s="18"/>
      <c r="M16" s="18"/>
      <c r="N16" s="18"/>
      <c r="O16" s="18"/>
      <c r="P16" s="18" t="s">
        <v>107</v>
      </c>
      <c r="Q16" s="137">
        <v>0.3866</v>
      </c>
      <c r="R16" s="17" t="s">
        <v>146</v>
      </c>
      <c r="S16" s="137">
        <v>0.61339999999999995</v>
      </c>
      <c r="T16" s="16"/>
      <c r="U16" s="15"/>
      <c r="V16" s="5"/>
    </row>
    <row r="17" spans="1:22" ht="15.6" x14ac:dyDescent="0.3">
      <c r="A17" s="6"/>
      <c r="B17" s="14" t="s">
        <v>4</v>
      </c>
      <c r="C17" s="15"/>
      <c r="D17" s="15"/>
      <c r="E17" s="15"/>
      <c r="F17" s="15"/>
      <c r="G17" s="15"/>
      <c r="H17" s="15"/>
      <c r="I17" s="15"/>
      <c r="J17" s="15"/>
      <c r="K17" s="15"/>
      <c r="L17" s="15"/>
      <c r="M17" s="15"/>
      <c r="N17" s="15"/>
      <c r="O17" s="15"/>
      <c r="P17" s="15"/>
      <c r="Q17" s="15"/>
      <c r="R17" s="15"/>
      <c r="S17" s="15"/>
      <c r="T17" s="19">
        <v>38799</v>
      </c>
      <c r="U17" s="15"/>
      <c r="V17" s="5"/>
    </row>
    <row r="18" spans="1:22" ht="15.6" x14ac:dyDescent="0.3">
      <c r="A18" s="6"/>
      <c r="B18" s="14" t="s">
        <v>5</v>
      </c>
      <c r="C18" s="15"/>
      <c r="D18" s="15"/>
      <c r="E18" s="15"/>
      <c r="F18" s="15"/>
      <c r="G18" s="15"/>
      <c r="H18" s="15"/>
      <c r="I18" s="15"/>
      <c r="J18" s="15"/>
      <c r="K18" s="15"/>
      <c r="L18" s="15"/>
      <c r="M18" s="15"/>
      <c r="N18" s="15"/>
      <c r="O18" s="15"/>
      <c r="P18" s="15"/>
      <c r="Q18" s="15"/>
      <c r="R18" s="15"/>
      <c r="S18" s="15"/>
      <c r="T18" s="19">
        <v>39286</v>
      </c>
      <c r="U18" s="15"/>
      <c r="V18" s="5"/>
    </row>
    <row r="19" spans="1:22" ht="15.6" x14ac:dyDescent="0.3">
      <c r="A19" s="6"/>
      <c r="B19" s="8"/>
      <c r="C19" s="8"/>
      <c r="D19" s="8"/>
      <c r="E19" s="8"/>
      <c r="F19" s="8"/>
      <c r="G19" s="8"/>
      <c r="H19" s="8"/>
      <c r="I19" s="8"/>
      <c r="J19" s="8"/>
      <c r="K19" s="8"/>
      <c r="L19" s="8"/>
      <c r="M19" s="8"/>
      <c r="N19" s="8"/>
      <c r="O19" s="8"/>
      <c r="P19" s="8"/>
      <c r="Q19" s="8"/>
      <c r="R19" s="8"/>
      <c r="S19" s="8"/>
      <c r="T19" s="20"/>
      <c r="U19" s="8"/>
      <c r="V19" s="5"/>
    </row>
    <row r="20" spans="1:22" ht="15.6" x14ac:dyDescent="0.3">
      <c r="A20" s="6"/>
      <c r="B20" s="21" t="s">
        <v>6</v>
      </c>
      <c r="C20" s="8"/>
      <c r="D20" s="8"/>
      <c r="E20" s="8"/>
      <c r="F20" s="8"/>
      <c r="G20" s="8"/>
      <c r="H20" s="8"/>
      <c r="I20" s="8"/>
      <c r="J20" s="8"/>
      <c r="K20" s="8"/>
      <c r="L20" s="8"/>
      <c r="M20" s="8"/>
      <c r="N20" s="8"/>
      <c r="O20" s="8"/>
      <c r="P20" s="8"/>
      <c r="Q20" s="8"/>
      <c r="R20" s="20" t="s">
        <v>108</v>
      </c>
      <c r="S20" s="8"/>
      <c r="T20" s="162"/>
      <c r="U20" s="8"/>
      <c r="V20" s="5"/>
    </row>
    <row r="21" spans="1:22" ht="15.6" x14ac:dyDescent="0.3">
      <c r="A21" s="6"/>
      <c r="B21" s="8"/>
      <c r="C21" s="8"/>
      <c r="D21" s="8"/>
      <c r="E21" s="8"/>
      <c r="F21" s="8"/>
      <c r="G21" s="8"/>
      <c r="H21" s="8"/>
      <c r="I21" s="8"/>
      <c r="J21" s="8"/>
      <c r="K21" s="8"/>
      <c r="L21" s="8"/>
      <c r="M21" s="8"/>
      <c r="N21" s="8"/>
      <c r="O21" s="8"/>
      <c r="P21" s="8"/>
      <c r="Q21" s="8"/>
      <c r="R21" s="8"/>
      <c r="S21" s="8"/>
      <c r="T21" s="22"/>
      <c r="U21" s="8"/>
      <c r="V21" s="5"/>
    </row>
    <row r="22" spans="1:22" ht="15.6" x14ac:dyDescent="0.3">
      <c r="A22" s="6"/>
      <c r="B22" s="8"/>
      <c r="C22" s="112"/>
      <c r="D22" s="112" t="s">
        <v>184</v>
      </c>
      <c r="E22" s="112"/>
      <c r="F22" s="112" t="s">
        <v>185</v>
      </c>
      <c r="G22" s="112"/>
      <c r="H22" s="112" t="s">
        <v>186</v>
      </c>
      <c r="I22" s="112"/>
      <c r="J22" s="112" t="s">
        <v>187</v>
      </c>
      <c r="K22" s="112"/>
      <c r="L22" s="112" t="s">
        <v>188</v>
      </c>
      <c r="M22" s="112"/>
      <c r="N22" s="112" t="s">
        <v>189</v>
      </c>
      <c r="O22" s="112"/>
      <c r="P22" s="112"/>
      <c r="Q22" s="113"/>
      <c r="R22" s="23"/>
      <c r="S22" s="162"/>
      <c r="T22" s="162"/>
      <c r="U22" s="8"/>
      <c r="V22" s="5"/>
    </row>
    <row r="23" spans="1:22" ht="15.6" x14ac:dyDescent="0.3">
      <c r="A23" s="24"/>
      <c r="B23" s="25" t="s">
        <v>7</v>
      </c>
      <c r="C23" s="26"/>
      <c r="D23" s="26" t="s">
        <v>222</v>
      </c>
      <c r="E23" s="26"/>
      <c r="F23" s="26" t="s">
        <v>147</v>
      </c>
      <c r="G23" s="26"/>
      <c r="H23" s="26" t="s">
        <v>147</v>
      </c>
      <c r="I23" s="26"/>
      <c r="J23" s="26" t="s">
        <v>190</v>
      </c>
      <c r="K23" s="26"/>
      <c r="L23" s="26" t="s">
        <v>190</v>
      </c>
      <c r="M23" s="26"/>
      <c r="N23" s="26" t="s">
        <v>148</v>
      </c>
      <c r="O23" s="26"/>
      <c r="P23" s="26"/>
      <c r="Q23" s="26"/>
      <c r="R23" s="26"/>
      <c r="S23" s="163"/>
      <c r="T23" s="163"/>
      <c r="U23" s="25"/>
      <c r="V23" s="5"/>
    </row>
    <row r="24" spans="1:22" ht="15.6" x14ac:dyDescent="0.3">
      <c r="A24" s="24"/>
      <c r="B24" s="25" t="s">
        <v>8</v>
      </c>
      <c r="C24" s="26"/>
      <c r="D24" s="26" t="s">
        <v>223</v>
      </c>
      <c r="E24" s="26"/>
      <c r="F24" s="26" t="s">
        <v>149</v>
      </c>
      <c r="G24" s="26"/>
      <c r="H24" s="26" t="s">
        <v>149</v>
      </c>
      <c r="I24" s="26"/>
      <c r="J24" s="26" t="s">
        <v>172</v>
      </c>
      <c r="K24" s="26"/>
      <c r="L24" s="26" t="s">
        <v>172</v>
      </c>
      <c r="M24" s="26"/>
      <c r="N24" s="26" t="s">
        <v>150</v>
      </c>
      <c r="O24" s="26"/>
      <c r="P24" s="26"/>
      <c r="Q24" s="26"/>
      <c r="R24" s="26"/>
      <c r="S24" s="163"/>
      <c r="T24" s="163"/>
      <c r="U24" s="25"/>
      <c r="V24" s="5"/>
    </row>
    <row r="25" spans="1:22" ht="15.6" x14ac:dyDescent="0.3">
      <c r="A25" s="28"/>
      <c r="B25" s="131" t="s">
        <v>198</v>
      </c>
      <c r="C25" s="123"/>
      <c r="D25" s="26" t="s">
        <v>224</v>
      </c>
      <c r="E25" s="26"/>
      <c r="F25" s="26" t="s">
        <v>149</v>
      </c>
      <c r="G25" s="26"/>
      <c r="H25" s="26" t="s">
        <v>149</v>
      </c>
      <c r="I25" s="26"/>
      <c r="J25" s="26" t="s">
        <v>172</v>
      </c>
      <c r="K25" s="26"/>
      <c r="L25" s="26" t="s">
        <v>172</v>
      </c>
      <c r="M25" s="26"/>
      <c r="N25" s="26" t="s">
        <v>150</v>
      </c>
      <c r="O25" s="26"/>
      <c r="P25" s="26"/>
      <c r="Q25" s="123"/>
      <c r="R25" s="26"/>
      <c r="S25" s="163"/>
      <c r="T25" s="163"/>
      <c r="U25" s="25"/>
      <c r="V25" s="5"/>
    </row>
    <row r="26" spans="1:22" ht="15.6" x14ac:dyDescent="0.3">
      <c r="A26" s="28"/>
      <c r="B26" s="29" t="s">
        <v>9</v>
      </c>
      <c r="C26" s="123"/>
      <c r="D26" s="123" t="s">
        <v>222</v>
      </c>
      <c r="E26" s="123"/>
      <c r="F26" s="123" t="s">
        <v>147</v>
      </c>
      <c r="G26" s="123"/>
      <c r="H26" s="123" t="s">
        <v>147</v>
      </c>
      <c r="I26" s="123"/>
      <c r="J26" s="123" t="s">
        <v>190</v>
      </c>
      <c r="K26" s="123"/>
      <c r="L26" s="123" t="s">
        <v>190</v>
      </c>
      <c r="M26" s="123"/>
      <c r="N26" s="123" t="s">
        <v>148</v>
      </c>
      <c r="O26" s="123"/>
      <c r="P26" s="123"/>
      <c r="Q26" s="123"/>
      <c r="R26" s="26"/>
      <c r="S26" s="163"/>
      <c r="T26" s="163"/>
      <c r="U26" s="25"/>
      <c r="V26" s="5"/>
    </row>
    <row r="27" spans="1:22" ht="15.6" x14ac:dyDescent="0.3">
      <c r="A27" s="24"/>
      <c r="B27" s="29" t="s">
        <v>199</v>
      </c>
      <c r="C27" s="26"/>
      <c r="D27" s="123" t="s">
        <v>223</v>
      </c>
      <c r="E27" s="123"/>
      <c r="F27" s="123" t="s">
        <v>149</v>
      </c>
      <c r="G27" s="123"/>
      <c r="H27" s="123" t="s">
        <v>149</v>
      </c>
      <c r="I27" s="123"/>
      <c r="J27" s="123" t="s">
        <v>172</v>
      </c>
      <c r="K27" s="123"/>
      <c r="L27" s="123" t="s">
        <v>172</v>
      </c>
      <c r="M27" s="123"/>
      <c r="N27" s="123" t="s">
        <v>150</v>
      </c>
      <c r="O27" s="123"/>
      <c r="P27" s="123"/>
      <c r="Q27" s="26"/>
      <c r="R27" s="30"/>
      <c r="S27" s="163"/>
      <c r="T27" s="163"/>
      <c r="U27" s="25"/>
      <c r="V27" s="5"/>
    </row>
    <row r="28" spans="1:22" ht="15.6" x14ac:dyDescent="0.3">
      <c r="A28" s="24"/>
      <c r="B28" s="153" t="s">
        <v>200</v>
      </c>
      <c r="C28" s="26"/>
      <c r="D28" s="123" t="s">
        <v>224</v>
      </c>
      <c r="E28" s="123"/>
      <c r="F28" s="123" t="s">
        <v>149</v>
      </c>
      <c r="G28" s="123"/>
      <c r="H28" s="123" t="s">
        <v>149</v>
      </c>
      <c r="I28" s="123"/>
      <c r="J28" s="123" t="s">
        <v>172</v>
      </c>
      <c r="K28" s="123"/>
      <c r="L28" s="123" t="s">
        <v>172</v>
      </c>
      <c r="M28" s="123"/>
      <c r="N28" s="123" t="s">
        <v>150</v>
      </c>
      <c r="O28" s="123"/>
      <c r="P28" s="123"/>
      <c r="Q28" s="26"/>
      <c r="R28" s="30"/>
      <c r="S28" s="163"/>
      <c r="T28" s="163"/>
      <c r="U28" s="25"/>
      <c r="V28" s="5"/>
    </row>
    <row r="29" spans="1:22" ht="15.6" x14ac:dyDescent="0.3">
      <c r="A29" s="24"/>
      <c r="B29" s="25" t="s">
        <v>10</v>
      </c>
      <c r="C29" s="32"/>
      <c r="D29" s="26" t="s">
        <v>237</v>
      </c>
      <c r="E29" s="26"/>
      <c r="F29" s="30" t="s">
        <v>238</v>
      </c>
      <c r="G29" s="26"/>
      <c r="H29" s="26" t="s">
        <v>239</v>
      </c>
      <c r="I29" s="26"/>
      <c r="J29" s="26" t="s">
        <v>240</v>
      </c>
      <c r="K29" s="26"/>
      <c r="L29" s="26" t="s">
        <v>241</v>
      </c>
      <c r="M29" s="26"/>
      <c r="N29" s="26" t="s">
        <v>242</v>
      </c>
      <c r="O29" s="26"/>
      <c r="P29" s="26"/>
      <c r="Q29" s="31"/>
      <c r="R29" s="31"/>
      <c r="S29" s="164"/>
      <c r="T29" s="31"/>
      <c r="U29" s="34"/>
      <c r="V29" s="5"/>
    </row>
    <row r="30" spans="1:22" ht="15.6" x14ac:dyDescent="0.3">
      <c r="A30" s="24"/>
      <c r="B30" s="25" t="s">
        <v>10</v>
      </c>
      <c r="C30" s="32"/>
      <c r="D30" s="26" t="s">
        <v>236</v>
      </c>
      <c r="E30" s="26"/>
      <c r="F30" s="30" t="s">
        <v>124</v>
      </c>
      <c r="G30" s="26"/>
      <c r="H30" s="26" t="s">
        <v>124</v>
      </c>
      <c r="I30" s="26"/>
      <c r="J30" s="26" t="s">
        <v>124</v>
      </c>
      <c r="K30" s="26"/>
      <c r="L30" s="26" t="s">
        <v>124</v>
      </c>
      <c r="M30" s="26"/>
      <c r="N30" s="26" t="s">
        <v>124</v>
      </c>
      <c r="O30" s="26"/>
      <c r="P30" s="26"/>
      <c r="Q30" s="31"/>
      <c r="R30" s="31"/>
      <c r="S30" s="164"/>
      <c r="T30" s="31"/>
      <c r="U30" s="34"/>
      <c r="V30" s="5"/>
    </row>
    <row r="31" spans="1:22" ht="15.6" x14ac:dyDescent="0.3">
      <c r="A31" s="28"/>
      <c r="B31" s="25" t="s">
        <v>139</v>
      </c>
      <c r="C31" s="36"/>
      <c r="D31" s="146">
        <v>985000</v>
      </c>
      <c r="E31" s="32"/>
      <c r="F31" s="31">
        <v>149500</v>
      </c>
      <c r="G31" s="31"/>
      <c r="H31" s="124">
        <v>219700</v>
      </c>
      <c r="I31" s="31"/>
      <c r="J31" s="31">
        <v>16000</v>
      </c>
      <c r="K31" s="31"/>
      <c r="L31" s="124">
        <v>82400</v>
      </c>
      <c r="M31" s="31"/>
      <c r="N31" s="124">
        <v>87500</v>
      </c>
      <c r="O31" s="31"/>
      <c r="P31" s="124"/>
      <c r="Q31" s="35"/>
      <c r="R31" s="35"/>
      <c r="S31" s="37"/>
      <c r="T31" s="35"/>
      <c r="U31" s="34"/>
      <c r="V31" s="5"/>
    </row>
    <row r="32" spans="1:22" ht="15.6" x14ac:dyDescent="0.3">
      <c r="A32" s="24"/>
      <c r="B32" s="25" t="s">
        <v>138</v>
      </c>
      <c r="C32" s="32"/>
      <c r="D32" s="146">
        <f>D38*D31</f>
        <v>908399.505</v>
      </c>
      <c r="E32" s="32"/>
      <c r="F32" s="31">
        <f>F38*F31</f>
        <v>137873.83350000001</v>
      </c>
      <c r="G32" s="31"/>
      <c r="H32" s="124">
        <f>H38*H31</f>
        <v>202614.5901</v>
      </c>
      <c r="I32" s="31"/>
      <c r="J32" s="31">
        <f>+J31</f>
        <v>16000</v>
      </c>
      <c r="K32" s="31"/>
      <c r="L32" s="124">
        <f>+L31</f>
        <v>82400</v>
      </c>
      <c r="M32" s="31"/>
      <c r="N32" s="124">
        <f>+N31</f>
        <v>87500</v>
      </c>
      <c r="O32" s="31"/>
      <c r="P32" s="124"/>
      <c r="Q32" s="31"/>
      <c r="R32" s="31"/>
      <c r="S32" s="164"/>
      <c r="T32" s="31"/>
      <c r="U32" s="34"/>
      <c r="V32" s="5"/>
    </row>
    <row r="33" spans="1:22" ht="15.6" x14ac:dyDescent="0.3">
      <c r="A33" s="24"/>
      <c r="B33" s="29" t="s">
        <v>140</v>
      </c>
      <c r="C33" s="32"/>
      <c r="D33" s="151">
        <f>D37*D31</f>
        <v>885293.67050000001</v>
      </c>
      <c r="E33" s="36"/>
      <c r="F33" s="35">
        <f>F37*F31</f>
        <v>134366.92230000001</v>
      </c>
      <c r="G33" s="35"/>
      <c r="H33" s="125">
        <f>H31*H37</f>
        <v>197460.95538</v>
      </c>
      <c r="I33" s="35"/>
      <c r="J33" s="35">
        <f>J31*J37</f>
        <v>16000</v>
      </c>
      <c r="K33" s="35"/>
      <c r="L33" s="125">
        <f>L31*L37</f>
        <v>82400</v>
      </c>
      <c r="M33" s="35"/>
      <c r="N33" s="125">
        <f>N31*N37</f>
        <v>87500</v>
      </c>
      <c r="O33" s="35"/>
      <c r="P33" s="125"/>
      <c r="Q33" s="31"/>
      <c r="R33" s="31"/>
      <c r="S33" s="164"/>
      <c r="T33" s="31"/>
      <c r="U33" s="34"/>
      <c r="V33" s="5"/>
    </row>
    <row r="34" spans="1:22" ht="15.6" x14ac:dyDescent="0.3">
      <c r="A34" s="28"/>
      <c r="B34" s="25" t="s">
        <v>283</v>
      </c>
      <c r="C34" s="36"/>
      <c r="D34" s="31">
        <v>567282</v>
      </c>
      <c r="E34" s="32"/>
      <c r="F34" s="31">
        <v>149500</v>
      </c>
      <c r="G34" s="31"/>
      <c r="H34" s="31">
        <v>150716</v>
      </c>
      <c r="I34" s="31"/>
      <c r="J34" s="31">
        <v>16000</v>
      </c>
      <c r="K34" s="31"/>
      <c r="L34" s="31">
        <v>56527</v>
      </c>
      <c r="M34" s="31"/>
      <c r="N34" s="31">
        <v>60025</v>
      </c>
      <c r="O34" s="31"/>
      <c r="P34" s="31"/>
      <c r="Q34" s="35"/>
      <c r="R34" s="35"/>
      <c r="S34" s="37"/>
      <c r="T34" s="154">
        <f>SUM(C34:P34)</f>
        <v>1000050</v>
      </c>
      <c r="U34" s="34"/>
      <c r="V34" s="5"/>
    </row>
    <row r="35" spans="1:22" ht="15.6" x14ac:dyDescent="0.3">
      <c r="A35" s="28"/>
      <c r="B35" s="25" t="s">
        <v>284</v>
      </c>
      <c r="C35" s="126"/>
      <c r="D35" s="31">
        <f>D38*D34</f>
        <v>523166.18070599996</v>
      </c>
      <c r="E35" s="32"/>
      <c r="F35" s="31">
        <f>F38*F34</f>
        <v>137873.83350000001</v>
      </c>
      <c r="G35" s="31"/>
      <c r="H35" s="31">
        <f>H38*H34</f>
        <v>138995.268828</v>
      </c>
      <c r="I35" s="31"/>
      <c r="J35" s="31">
        <f>+J34</f>
        <v>16000</v>
      </c>
      <c r="K35" s="31"/>
      <c r="L35" s="31">
        <f>+L34</f>
        <v>56527</v>
      </c>
      <c r="M35" s="31"/>
      <c r="N35" s="31">
        <f>+N34</f>
        <v>60025</v>
      </c>
      <c r="O35" s="31"/>
      <c r="P35" s="31"/>
      <c r="Q35" s="31"/>
      <c r="R35" s="31"/>
      <c r="S35" s="164"/>
      <c r="T35" s="154">
        <f>SUM(C35:P35)</f>
        <v>932587.28303399985</v>
      </c>
      <c r="U35" s="34"/>
      <c r="V35" s="5"/>
    </row>
    <row r="36" spans="1:22" ht="15.6" x14ac:dyDescent="0.3">
      <c r="A36" s="28"/>
      <c r="B36" s="29" t="s">
        <v>285</v>
      </c>
      <c r="C36" s="126"/>
      <c r="D36" s="35">
        <f>D37*D34</f>
        <v>509859.0497346</v>
      </c>
      <c r="E36" s="36"/>
      <c r="F36" s="35">
        <f>F37*F34</f>
        <v>134366.92230000001</v>
      </c>
      <c r="G36" s="35"/>
      <c r="H36" s="35">
        <f>H37*H34</f>
        <v>135459.83318640001</v>
      </c>
      <c r="I36" s="35"/>
      <c r="J36" s="35">
        <f>+J34</f>
        <v>16000</v>
      </c>
      <c r="K36" s="35"/>
      <c r="L36" s="35">
        <f>+L34</f>
        <v>56527</v>
      </c>
      <c r="M36" s="35"/>
      <c r="N36" s="35">
        <f>+N34</f>
        <v>60025</v>
      </c>
      <c r="O36" s="35"/>
      <c r="P36" s="35"/>
      <c r="Q36" s="128"/>
      <c r="R36" s="128"/>
      <c r="S36" s="164"/>
      <c r="T36" s="155">
        <f>SUM(C36:P36)</f>
        <v>912237.80522099999</v>
      </c>
      <c r="U36" s="34"/>
      <c r="V36" s="5"/>
    </row>
    <row r="37" spans="1:22" ht="15.6" x14ac:dyDescent="0.3">
      <c r="A37" s="24"/>
      <c r="B37" s="122" t="s">
        <v>136</v>
      </c>
      <c r="C37" s="25"/>
      <c r="D37" s="168">
        <v>0.89877530000000005</v>
      </c>
      <c r="E37" s="136"/>
      <c r="F37" s="168">
        <v>0.8987754</v>
      </c>
      <c r="G37" s="135"/>
      <c r="H37" s="168">
        <v>0.8987754</v>
      </c>
      <c r="I37" s="135"/>
      <c r="J37" s="168">
        <v>1</v>
      </c>
      <c r="K37" s="135"/>
      <c r="L37" s="168">
        <v>1</v>
      </c>
      <c r="M37" s="135"/>
      <c r="N37" s="168">
        <v>1</v>
      </c>
      <c r="O37" s="135"/>
      <c r="P37" s="135"/>
      <c r="Q37" s="30"/>
      <c r="R37" s="30"/>
      <c r="S37" s="163"/>
      <c r="T37" s="163"/>
      <c r="U37" s="25"/>
      <c r="V37" s="5"/>
    </row>
    <row r="38" spans="1:22" ht="15.6" x14ac:dyDescent="0.3">
      <c r="A38" s="24"/>
      <c r="B38" s="122" t="s">
        <v>137</v>
      </c>
      <c r="C38" s="25"/>
      <c r="D38" s="168">
        <v>0.92223299999999997</v>
      </c>
      <c r="E38" s="136"/>
      <c r="F38" s="168">
        <v>0.92223299999999997</v>
      </c>
      <c r="G38" s="135"/>
      <c r="H38" s="168">
        <v>0.92223299999999997</v>
      </c>
      <c r="I38" s="135"/>
      <c r="J38" s="135">
        <v>1</v>
      </c>
      <c r="K38" s="135"/>
      <c r="L38" s="135">
        <v>1</v>
      </c>
      <c r="M38" s="135"/>
      <c r="N38" s="135">
        <v>1</v>
      </c>
      <c r="O38" s="135"/>
      <c r="P38" s="135"/>
      <c r="Q38" s="39"/>
      <c r="R38" s="38"/>
      <c r="S38" s="163"/>
      <c r="T38" s="39"/>
      <c r="U38" s="25"/>
      <c r="V38" s="5"/>
    </row>
    <row r="39" spans="1:22" ht="15.6" x14ac:dyDescent="0.3">
      <c r="A39" s="24"/>
      <c r="B39" s="25" t="s">
        <v>11</v>
      </c>
      <c r="C39" s="25"/>
      <c r="D39" s="30" t="s">
        <v>252</v>
      </c>
      <c r="E39" s="25"/>
      <c r="F39" s="30" t="s">
        <v>231</v>
      </c>
      <c r="G39" s="30"/>
      <c r="H39" s="30" t="s">
        <v>231</v>
      </c>
      <c r="I39" s="30"/>
      <c r="J39" s="30" t="s">
        <v>232</v>
      </c>
      <c r="K39" s="30"/>
      <c r="L39" s="30" t="s">
        <v>232</v>
      </c>
      <c r="M39" s="30"/>
      <c r="N39" s="30" t="s">
        <v>233</v>
      </c>
      <c r="O39" s="30"/>
      <c r="P39" s="30"/>
      <c r="Q39" s="39"/>
      <c r="R39" s="38"/>
      <c r="S39" s="163"/>
      <c r="T39" s="163"/>
      <c r="U39" s="25"/>
      <c r="V39" s="5"/>
    </row>
    <row r="40" spans="1:22" ht="15.6" x14ac:dyDescent="0.3">
      <c r="A40" s="24"/>
      <c r="B40" s="25" t="s">
        <v>12</v>
      </c>
      <c r="C40" s="25"/>
      <c r="D40" s="38">
        <v>5.3100000000000001E-2</v>
      </c>
      <c r="E40" s="25"/>
      <c r="F40" s="38">
        <v>5.7200000000000001E-2</v>
      </c>
      <c r="G40" s="39"/>
      <c r="H40" s="38">
        <v>4.088E-2</v>
      </c>
      <c r="I40" s="39"/>
      <c r="J40" s="38">
        <v>5.8400000000000001E-2</v>
      </c>
      <c r="K40" s="39"/>
      <c r="L40" s="38">
        <v>4.2079999999999999E-2</v>
      </c>
      <c r="M40" s="39"/>
      <c r="N40" s="38">
        <v>4.4179999999999997E-2</v>
      </c>
      <c r="O40" s="39"/>
      <c r="P40" s="38"/>
      <c r="Q40" s="39"/>
      <c r="R40" s="38"/>
      <c r="S40" s="163"/>
      <c r="T40" s="30"/>
      <c r="U40" s="25"/>
      <c r="V40" s="5"/>
    </row>
    <row r="41" spans="1:22" ht="15.6" x14ac:dyDescent="0.3">
      <c r="A41" s="24"/>
      <c r="B41" s="25" t="s">
        <v>13</v>
      </c>
      <c r="C41" s="25"/>
      <c r="D41" s="38">
        <v>5.3100000000000001E-2</v>
      </c>
      <c r="E41" s="25"/>
      <c r="F41" s="38">
        <v>5.6731299999999998E-2</v>
      </c>
      <c r="G41" s="39"/>
      <c r="H41" s="38">
        <v>3.8649999999999997E-2</v>
      </c>
      <c r="I41" s="39"/>
      <c r="J41" s="38">
        <v>5.7931299999999998E-2</v>
      </c>
      <c r="K41" s="39"/>
      <c r="L41" s="38">
        <v>3.9849999999999997E-2</v>
      </c>
      <c r="M41" s="39"/>
      <c r="N41" s="38">
        <v>4.1950000000000001E-2</v>
      </c>
      <c r="O41" s="38"/>
      <c r="P41" s="38"/>
      <c r="Q41" s="39"/>
      <c r="R41" s="38"/>
      <c r="S41" s="163"/>
      <c r="T41" s="39" t="s">
        <v>201</v>
      </c>
      <c r="U41" s="25"/>
      <c r="V41" s="5"/>
    </row>
    <row r="42" spans="1:22" ht="15.6" x14ac:dyDescent="0.3">
      <c r="A42" s="24"/>
      <c r="B42" s="25" t="s">
        <v>286</v>
      </c>
      <c r="C42" s="25"/>
      <c r="D42" s="30" t="s">
        <v>256</v>
      </c>
      <c r="E42" s="25"/>
      <c r="F42" s="30" t="s">
        <v>231</v>
      </c>
      <c r="G42" s="30"/>
      <c r="H42" s="30" t="s">
        <v>243</v>
      </c>
      <c r="I42" s="30"/>
      <c r="J42" s="30" t="s">
        <v>232</v>
      </c>
      <c r="K42" s="30"/>
      <c r="L42" s="30" t="s">
        <v>244</v>
      </c>
      <c r="M42" s="30"/>
      <c r="N42" s="30" t="s">
        <v>246</v>
      </c>
      <c r="O42" s="30"/>
      <c r="P42" s="30"/>
      <c r="Q42" s="39"/>
      <c r="R42" s="38"/>
      <c r="S42" s="163"/>
      <c r="T42" s="163"/>
      <c r="U42" s="25"/>
      <c r="V42" s="5"/>
    </row>
    <row r="43" spans="1:22" ht="15.6" x14ac:dyDescent="0.3">
      <c r="A43" s="24"/>
      <c r="B43" s="25" t="s">
        <v>287</v>
      </c>
      <c r="C43" s="110"/>
      <c r="D43" s="38">
        <v>5.6127000000000003E-2</v>
      </c>
      <c r="E43" s="38"/>
      <c r="F43" s="38">
        <f>+F40</f>
        <v>5.7200000000000001E-2</v>
      </c>
      <c r="G43" s="38"/>
      <c r="H43" s="38">
        <v>5.7197999999999999E-2</v>
      </c>
      <c r="I43" s="38"/>
      <c r="J43" s="38">
        <f>+J40</f>
        <v>5.8400000000000001E-2</v>
      </c>
      <c r="K43" s="38"/>
      <c r="L43" s="38">
        <v>5.8553000000000001E-2</v>
      </c>
      <c r="M43" s="38"/>
      <c r="N43" s="38">
        <v>6.0905000000000001E-2</v>
      </c>
      <c r="O43" s="39"/>
      <c r="P43" s="38"/>
      <c r="Q43" s="30"/>
      <c r="R43" s="30"/>
      <c r="S43" s="163"/>
      <c r="T43" s="39">
        <f>SUMPRODUCT(D43:N43,D35:N35)/T35</f>
        <v>5.6938832331443763E-2</v>
      </c>
      <c r="U43" s="25"/>
      <c r="V43" s="5"/>
    </row>
    <row r="44" spans="1:22" ht="15.6" x14ac:dyDescent="0.3">
      <c r="A44" s="24"/>
      <c r="B44" s="25" t="s">
        <v>288</v>
      </c>
      <c r="C44" s="110"/>
      <c r="D44" s="38">
        <v>5.5658300000000001E-2</v>
      </c>
      <c r="E44" s="38"/>
      <c r="F44" s="38">
        <f>+F41</f>
        <v>5.6731299999999998E-2</v>
      </c>
      <c r="G44" s="38"/>
      <c r="H44" s="38">
        <v>5.6729300000000003E-2</v>
      </c>
      <c r="I44" s="38"/>
      <c r="J44" s="38">
        <f>+J41</f>
        <v>5.7931299999999998E-2</v>
      </c>
      <c r="K44" s="38"/>
      <c r="L44" s="38">
        <v>5.8084299999999998E-2</v>
      </c>
      <c r="M44" s="38"/>
      <c r="N44" s="38">
        <v>6.0436299999999998E-2</v>
      </c>
      <c r="O44" s="39"/>
      <c r="P44" s="38"/>
      <c r="Q44" s="30"/>
      <c r="R44" s="30"/>
      <c r="S44" s="163"/>
      <c r="T44" s="163"/>
      <c r="U44" s="25"/>
      <c r="V44" s="5"/>
    </row>
    <row r="45" spans="1:22" ht="15.6" x14ac:dyDescent="0.3">
      <c r="A45" s="24"/>
      <c r="B45" s="25" t="s">
        <v>14</v>
      </c>
      <c r="C45" s="25"/>
      <c r="D45" s="110">
        <v>40283</v>
      </c>
      <c r="E45" s="110"/>
      <c r="F45" s="110">
        <v>40283</v>
      </c>
      <c r="G45" s="110"/>
      <c r="H45" s="110">
        <v>40283</v>
      </c>
      <c r="I45" s="110"/>
      <c r="J45" s="110">
        <v>40283</v>
      </c>
      <c r="K45" s="110"/>
      <c r="L45" s="110">
        <v>40283</v>
      </c>
      <c r="M45" s="110"/>
      <c r="N45" s="110">
        <v>40283</v>
      </c>
      <c r="O45" s="110"/>
      <c r="P45" s="110"/>
      <c r="Q45" s="30"/>
      <c r="R45" s="30"/>
      <c r="S45" s="163"/>
      <c r="T45" s="163"/>
      <c r="U45" s="25"/>
      <c r="V45" s="5"/>
    </row>
    <row r="46" spans="1:22" ht="15.6" x14ac:dyDescent="0.3">
      <c r="A46" s="24"/>
      <c r="B46" s="25" t="s">
        <v>15</v>
      </c>
      <c r="C46" s="25"/>
      <c r="D46" s="110">
        <v>40648</v>
      </c>
      <c r="E46" s="110"/>
      <c r="F46" s="110">
        <v>40648</v>
      </c>
      <c r="G46" s="110"/>
      <c r="H46" s="110">
        <v>40648</v>
      </c>
      <c r="I46" s="30"/>
      <c r="J46" s="110">
        <v>40648</v>
      </c>
      <c r="K46" s="30"/>
      <c r="L46" s="110">
        <v>40648</v>
      </c>
      <c r="M46" s="30"/>
      <c r="N46" s="110">
        <v>40648</v>
      </c>
      <c r="O46" s="30"/>
      <c r="P46" s="110"/>
      <c r="Q46" s="30"/>
      <c r="R46" s="30"/>
      <c r="S46" s="163"/>
      <c r="T46" s="163"/>
      <c r="U46" s="25"/>
      <c r="V46" s="5"/>
    </row>
    <row r="47" spans="1:22" ht="15.6" x14ac:dyDescent="0.3">
      <c r="A47" s="24"/>
      <c r="B47" s="25" t="s">
        <v>125</v>
      </c>
      <c r="C47" s="25"/>
      <c r="D47" s="160" t="s">
        <v>124</v>
      </c>
      <c r="E47" s="25"/>
      <c r="F47" s="30" t="s">
        <v>232</v>
      </c>
      <c r="G47" s="30"/>
      <c r="H47" s="30" t="s">
        <v>232</v>
      </c>
      <c r="I47" s="30"/>
      <c r="J47" s="30" t="s">
        <v>234</v>
      </c>
      <c r="K47" s="30"/>
      <c r="L47" s="30" t="s">
        <v>234</v>
      </c>
      <c r="M47" s="30"/>
      <c r="N47" s="30" t="s">
        <v>235</v>
      </c>
      <c r="O47" s="30"/>
      <c r="P47" s="30"/>
      <c r="Q47" s="40"/>
      <c r="R47" s="40"/>
      <c r="S47" s="40"/>
      <c r="T47" s="40"/>
      <c r="U47" s="25"/>
      <c r="V47" s="5"/>
    </row>
    <row r="48" spans="1:22" ht="15.6" x14ac:dyDescent="0.3">
      <c r="A48" s="24"/>
      <c r="B48" s="25" t="s">
        <v>289</v>
      </c>
      <c r="C48" s="25"/>
      <c r="D48" s="30" t="s">
        <v>208</v>
      </c>
      <c r="E48" s="25"/>
      <c r="F48" s="30" t="s">
        <v>232</v>
      </c>
      <c r="G48" s="30"/>
      <c r="H48" s="30" t="s">
        <v>232</v>
      </c>
      <c r="I48" s="30"/>
      <c r="J48" s="30" t="s">
        <v>234</v>
      </c>
      <c r="K48" s="30"/>
      <c r="L48" s="30" t="s">
        <v>245</v>
      </c>
      <c r="M48" s="30"/>
      <c r="N48" s="30" t="s">
        <v>247</v>
      </c>
      <c r="O48" s="30"/>
      <c r="P48" s="30"/>
      <c r="Q48" s="25"/>
      <c r="R48" s="25"/>
      <c r="S48" s="25"/>
      <c r="T48" s="39"/>
      <c r="U48" s="25"/>
      <c r="V48" s="5"/>
    </row>
    <row r="49" spans="1:23" ht="15.6" x14ac:dyDescent="0.3">
      <c r="A49" s="24"/>
      <c r="B49" s="25"/>
      <c r="C49" s="25"/>
      <c r="D49" s="30"/>
      <c r="E49" s="25"/>
      <c r="F49" s="30"/>
      <c r="G49" s="30"/>
      <c r="H49" s="30"/>
      <c r="I49" s="30"/>
      <c r="J49" s="30"/>
      <c r="K49" s="30"/>
      <c r="L49" s="30"/>
      <c r="M49" s="30"/>
      <c r="N49" s="30"/>
      <c r="O49" s="30"/>
      <c r="P49" s="30"/>
      <c r="Q49" s="25"/>
      <c r="R49" s="25"/>
      <c r="S49" s="25"/>
      <c r="T49" s="39" t="s">
        <v>201</v>
      </c>
      <c r="U49" s="25"/>
      <c r="V49" s="5"/>
    </row>
    <row r="50" spans="1:23" ht="15.6" x14ac:dyDescent="0.3">
      <c r="A50" s="24"/>
      <c r="B50" s="25" t="s">
        <v>176</v>
      </c>
      <c r="C50" s="25"/>
      <c r="D50" s="30"/>
      <c r="E50" s="25"/>
      <c r="F50" s="30"/>
      <c r="G50" s="30"/>
      <c r="H50" s="30"/>
      <c r="I50" s="30"/>
      <c r="J50" s="30"/>
      <c r="K50" s="30"/>
      <c r="L50" s="30"/>
      <c r="M50" s="30"/>
      <c r="N50" s="30"/>
      <c r="O50" s="30"/>
      <c r="P50" s="30"/>
      <c r="Q50" s="25"/>
      <c r="R50" s="25"/>
      <c r="S50" s="25"/>
      <c r="T50" s="39">
        <f>SUM(J34:P34)/SUM(D34:H34)</f>
        <v>0.15279804679664968</v>
      </c>
      <c r="U50" s="25"/>
      <c r="V50" s="5"/>
    </row>
    <row r="51" spans="1:23" ht="15.6" x14ac:dyDescent="0.3">
      <c r="A51" s="24"/>
      <c r="B51" s="25" t="s">
        <v>177</v>
      </c>
      <c r="C51" s="25"/>
      <c r="D51" s="25"/>
      <c r="E51" s="25"/>
      <c r="F51" s="41"/>
      <c r="G51" s="25"/>
      <c r="H51" s="25"/>
      <c r="I51" s="25"/>
      <c r="J51" s="25"/>
      <c r="K51" s="25"/>
      <c r="L51" s="25"/>
      <c r="M51" s="25"/>
      <c r="N51" s="25"/>
      <c r="O51" s="25"/>
      <c r="P51" s="25"/>
      <c r="Q51" s="25"/>
      <c r="R51" s="25"/>
      <c r="S51" s="25"/>
      <c r="T51" s="39">
        <f>SUM(J36:P36)/SUM(D36:H36)</f>
        <v>0.17000694268433997</v>
      </c>
      <c r="U51" s="25"/>
      <c r="V51" s="5"/>
    </row>
    <row r="52" spans="1:23" ht="15.6" x14ac:dyDescent="0.3">
      <c r="A52" s="24"/>
      <c r="B52" s="25" t="s">
        <v>178</v>
      </c>
      <c r="C52" s="25"/>
      <c r="D52" s="25"/>
      <c r="E52" s="25"/>
      <c r="F52" s="25"/>
      <c r="G52" s="25"/>
      <c r="H52" s="25"/>
      <c r="I52" s="25"/>
      <c r="J52" s="25"/>
      <c r="K52" s="25"/>
      <c r="L52" s="25"/>
      <c r="M52" s="25"/>
      <c r="N52" s="25"/>
      <c r="O52" s="25"/>
      <c r="P52" s="25"/>
      <c r="Q52" s="25"/>
      <c r="R52" s="30" t="s">
        <v>109</v>
      </c>
      <c r="S52" s="30" t="s">
        <v>115</v>
      </c>
      <c r="T52" s="31">
        <f>+T34/2-SUM(J34:P34)</f>
        <v>367473</v>
      </c>
      <c r="U52" s="25"/>
      <c r="V52" s="5"/>
    </row>
    <row r="53" spans="1:23" ht="15.6" x14ac:dyDescent="0.3">
      <c r="A53" s="24"/>
      <c r="B53" s="25"/>
      <c r="C53" s="25"/>
      <c r="D53" s="25"/>
      <c r="E53" s="25"/>
      <c r="F53" s="25"/>
      <c r="G53" s="25"/>
      <c r="H53" s="25"/>
      <c r="I53" s="25"/>
      <c r="J53" s="25"/>
      <c r="K53" s="25"/>
      <c r="L53" s="25"/>
      <c r="M53" s="25"/>
      <c r="N53" s="25"/>
      <c r="O53" s="25"/>
      <c r="P53" s="25"/>
      <c r="Q53" s="25"/>
      <c r="R53" s="25"/>
      <c r="S53" s="25"/>
      <c r="T53" s="42"/>
      <c r="U53" s="25"/>
      <c r="V53" s="5"/>
    </row>
    <row r="54" spans="1:23" ht="15.6" x14ac:dyDescent="0.3">
      <c r="A54" s="24"/>
      <c r="B54" s="25" t="s">
        <v>211</v>
      </c>
      <c r="C54" s="25"/>
      <c r="D54" s="25"/>
      <c r="E54" s="25"/>
      <c r="F54" s="25"/>
      <c r="G54" s="25"/>
      <c r="H54" s="25"/>
      <c r="I54" s="25"/>
      <c r="J54" s="25"/>
      <c r="K54" s="25"/>
      <c r="L54" s="25"/>
      <c r="M54" s="25"/>
      <c r="N54" s="25"/>
      <c r="O54" s="25"/>
      <c r="P54" s="25"/>
      <c r="Q54" s="25"/>
      <c r="R54" s="25"/>
      <c r="S54" s="25"/>
      <c r="T54" s="156" t="s">
        <v>212</v>
      </c>
      <c r="U54" s="25"/>
      <c r="V54" s="5"/>
    </row>
    <row r="55" spans="1:23" ht="15.6" x14ac:dyDescent="0.3">
      <c r="A55" s="24"/>
      <c r="B55" s="25" t="s">
        <v>253</v>
      </c>
      <c r="C55" s="25"/>
      <c r="D55" s="25"/>
      <c r="E55" s="25"/>
      <c r="F55" s="25"/>
      <c r="G55" s="25"/>
      <c r="H55" s="25"/>
      <c r="I55" s="25"/>
      <c r="J55" s="25"/>
      <c r="K55" s="25"/>
      <c r="L55" s="25"/>
      <c r="M55" s="25"/>
      <c r="N55" s="25"/>
      <c r="O55" s="25"/>
      <c r="P55" s="25"/>
      <c r="Q55" s="25"/>
      <c r="R55" s="30"/>
      <c r="S55" s="30"/>
      <c r="T55" s="157" t="s">
        <v>117</v>
      </c>
      <c r="U55" s="25"/>
      <c r="V55" s="5"/>
    </row>
    <row r="56" spans="1:23" ht="15.6" x14ac:dyDescent="0.3">
      <c r="A56" s="24"/>
      <c r="B56" s="29" t="s">
        <v>210</v>
      </c>
      <c r="C56" s="29"/>
      <c r="D56" s="29"/>
      <c r="E56" s="29"/>
      <c r="F56" s="29"/>
      <c r="G56" s="29"/>
      <c r="H56" s="29"/>
      <c r="I56" s="29"/>
      <c r="J56" s="29"/>
      <c r="K56" s="29"/>
      <c r="L56" s="29"/>
      <c r="M56" s="29"/>
      <c r="N56" s="29"/>
      <c r="O56" s="29"/>
      <c r="P56" s="29"/>
      <c r="Q56" s="29"/>
      <c r="R56" s="43"/>
      <c r="S56" s="43"/>
      <c r="T56" s="44">
        <v>39279</v>
      </c>
      <c r="U56" s="25"/>
      <c r="V56" s="5"/>
    </row>
    <row r="57" spans="1:23" ht="15.6" x14ac:dyDescent="0.3">
      <c r="A57" s="24"/>
      <c r="B57" s="25" t="s">
        <v>127</v>
      </c>
      <c r="C57" s="25"/>
      <c r="D57" s="25"/>
      <c r="E57" s="25"/>
      <c r="F57" s="25"/>
      <c r="G57" s="25"/>
      <c r="H57" s="58"/>
      <c r="I57" s="58"/>
      <c r="J57" s="58"/>
      <c r="K57" s="58"/>
      <c r="L57" s="58"/>
      <c r="M57" s="58"/>
      <c r="N57" s="58"/>
      <c r="O57" s="58"/>
      <c r="P57" s="25">
        <f>+T57-R57+1</f>
        <v>90</v>
      </c>
      <c r="Q57" s="58"/>
      <c r="R57" s="45">
        <v>39098</v>
      </c>
      <c r="S57" s="46"/>
      <c r="T57" s="45">
        <v>39187</v>
      </c>
      <c r="U57" s="25"/>
      <c r="V57" s="5"/>
    </row>
    <row r="58" spans="1:23" ht="15.6" x14ac:dyDescent="0.3">
      <c r="A58" s="24"/>
      <c r="B58" s="25" t="s">
        <v>128</v>
      </c>
      <c r="C58" s="25"/>
      <c r="D58" s="25"/>
      <c r="E58" s="25"/>
      <c r="F58" s="25"/>
      <c r="G58" s="25"/>
      <c r="H58" s="25"/>
      <c r="I58" s="25"/>
      <c r="J58" s="25"/>
      <c r="K58" s="25"/>
      <c r="L58" s="25"/>
      <c r="M58" s="25"/>
      <c r="N58" s="25"/>
      <c r="O58" s="25"/>
      <c r="P58" s="25">
        <f>+T58-R58+1</f>
        <v>91</v>
      </c>
      <c r="Q58" s="25"/>
      <c r="R58" s="45">
        <v>39188</v>
      </c>
      <c r="S58" s="46"/>
      <c r="T58" s="45">
        <v>39278</v>
      </c>
      <c r="U58" s="25"/>
      <c r="V58" s="5"/>
    </row>
    <row r="59" spans="1:23" ht="15.6" x14ac:dyDescent="0.3">
      <c r="A59" s="24"/>
      <c r="B59" s="25" t="s">
        <v>209</v>
      </c>
      <c r="C59" s="25"/>
      <c r="D59" s="25"/>
      <c r="E59" s="25"/>
      <c r="F59" s="25"/>
      <c r="G59" s="25"/>
      <c r="H59" s="25"/>
      <c r="I59" s="25"/>
      <c r="J59" s="25"/>
      <c r="K59" s="25"/>
      <c r="L59" s="25"/>
      <c r="M59" s="25"/>
      <c r="N59" s="25"/>
      <c r="O59" s="25"/>
      <c r="P59" s="25"/>
      <c r="Q59" s="25"/>
      <c r="R59" s="45"/>
      <c r="S59" s="46"/>
      <c r="T59" s="45" t="s">
        <v>126</v>
      </c>
      <c r="U59" s="25"/>
      <c r="V59" s="5"/>
    </row>
    <row r="60" spans="1:23" ht="15.6" x14ac:dyDescent="0.3">
      <c r="A60" s="24"/>
      <c r="B60" s="25" t="s">
        <v>249</v>
      </c>
      <c r="C60" s="25"/>
      <c r="D60" s="25"/>
      <c r="E60" s="25"/>
      <c r="F60" s="25"/>
      <c r="G60" s="25"/>
      <c r="H60" s="25"/>
      <c r="I60" s="25"/>
      <c r="J60" s="25"/>
      <c r="K60" s="25"/>
      <c r="L60" s="25"/>
      <c r="M60" s="25"/>
      <c r="N60" s="25"/>
      <c r="O60" s="25"/>
      <c r="P60" s="25"/>
      <c r="Q60" s="25"/>
      <c r="R60" s="45"/>
      <c r="S60" s="46"/>
      <c r="T60" s="45" t="s">
        <v>160</v>
      </c>
      <c r="U60" s="25"/>
      <c r="V60" s="5"/>
      <c r="W60" s="134"/>
    </row>
    <row r="61" spans="1:23" ht="15.6" x14ac:dyDescent="0.3">
      <c r="A61" s="24"/>
      <c r="B61" s="25" t="s">
        <v>16</v>
      </c>
      <c r="C61" s="25"/>
      <c r="D61" s="25"/>
      <c r="E61" s="25"/>
      <c r="F61" s="25"/>
      <c r="G61" s="25"/>
      <c r="H61" s="25"/>
      <c r="I61" s="25"/>
      <c r="J61" s="25"/>
      <c r="K61" s="25"/>
      <c r="L61" s="25"/>
      <c r="M61" s="25"/>
      <c r="N61" s="25"/>
      <c r="O61" s="25"/>
      <c r="P61" s="25"/>
      <c r="Q61" s="25"/>
      <c r="R61" s="45"/>
      <c r="S61" s="46"/>
      <c r="T61" s="45">
        <v>39265</v>
      </c>
      <c r="U61" s="25"/>
      <c r="V61" s="5"/>
    </row>
    <row r="62" spans="1:23" ht="15.6" x14ac:dyDescent="0.3">
      <c r="A62" s="24"/>
      <c r="B62" s="25"/>
      <c r="C62" s="25"/>
      <c r="D62" s="25"/>
      <c r="E62" s="25"/>
      <c r="F62" s="25"/>
      <c r="G62" s="25"/>
      <c r="H62" s="25"/>
      <c r="I62" s="25"/>
      <c r="J62" s="25"/>
      <c r="K62" s="25"/>
      <c r="L62" s="25"/>
      <c r="M62" s="25"/>
      <c r="N62" s="25"/>
      <c r="O62" s="25"/>
      <c r="P62" s="25"/>
      <c r="Q62" s="25"/>
      <c r="R62" s="45"/>
      <c r="S62" s="46"/>
      <c r="T62" s="45"/>
      <c r="U62" s="25"/>
      <c r="V62" s="5"/>
    </row>
    <row r="63" spans="1:23" ht="15.6" x14ac:dyDescent="0.3">
      <c r="A63" s="6"/>
      <c r="B63" s="8"/>
      <c r="C63" s="8"/>
      <c r="D63" s="8"/>
      <c r="E63" s="8"/>
      <c r="F63" s="8"/>
      <c r="G63" s="8"/>
      <c r="H63" s="8"/>
      <c r="I63" s="8"/>
      <c r="J63" s="8"/>
      <c r="K63" s="8"/>
      <c r="L63" s="8"/>
      <c r="M63" s="8"/>
      <c r="N63" s="8"/>
      <c r="O63" s="8"/>
      <c r="P63" s="8"/>
      <c r="Q63" s="8"/>
      <c r="R63" s="47"/>
      <c r="S63" s="48"/>
      <c r="T63" s="47"/>
      <c r="U63" s="8"/>
      <c r="V63" s="5"/>
    </row>
    <row r="64" spans="1:23" ht="18" thickBot="1" x14ac:dyDescent="0.35">
      <c r="A64" s="101"/>
      <c r="B64" s="102" t="s">
        <v>266</v>
      </c>
      <c r="C64" s="103"/>
      <c r="D64" s="103"/>
      <c r="E64" s="103"/>
      <c r="F64" s="103"/>
      <c r="G64" s="103"/>
      <c r="H64" s="103"/>
      <c r="I64" s="103"/>
      <c r="J64" s="103"/>
      <c r="K64" s="103"/>
      <c r="L64" s="103"/>
      <c r="M64" s="103"/>
      <c r="N64" s="103"/>
      <c r="O64" s="103"/>
      <c r="P64" s="103"/>
      <c r="Q64" s="103"/>
      <c r="R64" s="103"/>
      <c r="S64" s="103"/>
      <c r="T64" s="104"/>
      <c r="U64" s="105"/>
      <c r="V64" s="5"/>
    </row>
    <row r="65" spans="1:22" ht="15.6" x14ac:dyDescent="0.3">
      <c r="A65" s="2"/>
      <c r="B65" s="4"/>
      <c r="C65" s="4"/>
      <c r="D65" s="4"/>
      <c r="E65" s="4"/>
      <c r="F65" s="4"/>
      <c r="G65" s="4"/>
      <c r="H65" s="4"/>
      <c r="I65" s="4"/>
      <c r="J65" s="4"/>
      <c r="K65" s="4"/>
      <c r="L65" s="4"/>
      <c r="M65" s="4"/>
      <c r="N65" s="4"/>
      <c r="O65" s="4"/>
      <c r="P65" s="4"/>
      <c r="Q65" s="4"/>
      <c r="R65" s="4"/>
      <c r="S65" s="4"/>
      <c r="T65" s="50"/>
      <c r="U65" s="4"/>
      <c r="V65" s="5"/>
    </row>
    <row r="66" spans="1:22" ht="15.6" x14ac:dyDescent="0.3">
      <c r="A66" s="6"/>
      <c r="B66" s="51" t="s">
        <v>17</v>
      </c>
      <c r="C66" s="8"/>
      <c r="D66" s="8"/>
      <c r="E66" s="8"/>
      <c r="F66" s="8"/>
      <c r="G66" s="8"/>
      <c r="H66" s="8"/>
      <c r="I66" s="8"/>
      <c r="J66" s="8"/>
      <c r="K66" s="8"/>
      <c r="L66" s="8"/>
      <c r="M66" s="8"/>
      <c r="N66" s="8"/>
      <c r="O66" s="8"/>
      <c r="P66" s="8"/>
      <c r="Q66" s="8"/>
      <c r="R66" s="8"/>
      <c r="S66" s="8"/>
      <c r="T66" s="52"/>
      <c r="U66" s="8"/>
      <c r="V66" s="5"/>
    </row>
    <row r="67" spans="1:22" ht="15.6" x14ac:dyDescent="0.3">
      <c r="A67" s="6"/>
      <c r="B67" s="13"/>
      <c r="C67" s="8"/>
      <c r="D67" s="8"/>
      <c r="E67" s="8"/>
      <c r="F67" s="8"/>
      <c r="G67" s="8"/>
      <c r="H67" s="8"/>
      <c r="I67" s="8"/>
      <c r="J67" s="8"/>
      <c r="K67" s="8"/>
      <c r="L67" s="8"/>
      <c r="M67" s="8"/>
      <c r="N67" s="8"/>
      <c r="O67" s="8"/>
      <c r="P67" s="8"/>
      <c r="Q67" s="8"/>
      <c r="R67" s="8"/>
      <c r="S67" s="8"/>
      <c r="T67" s="52"/>
      <c r="U67" s="8"/>
      <c r="V67" s="5"/>
    </row>
    <row r="68" spans="1:22" ht="46.8" x14ac:dyDescent="0.3">
      <c r="A68" s="6"/>
      <c r="B68" s="114" t="s">
        <v>18</v>
      </c>
      <c r="C68" s="115"/>
      <c r="D68" s="115"/>
      <c r="E68" s="115"/>
      <c r="F68" s="115"/>
      <c r="G68" s="115"/>
      <c r="H68" s="115"/>
      <c r="I68" s="115"/>
      <c r="J68" s="115" t="s">
        <v>97</v>
      </c>
      <c r="K68" s="115"/>
      <c r="L68" s="115" t="s">
        <v>99</v>
      </c>
      <c r="M68" s="115"/>
      <c r="N68" s="115" t="s">
        <v>101</v>
      </c>
      <c r="O68" s="115"/>
      <c r="P68" s="115" t="s">
        <v>103</v>
      </c>
      <c r="Q68" s="115"/>
      <c r="R68" s="115" t="s">
        <v>110</v>
      </c>
      <c r="S68" s="115"/>
      <c r="T68" s="116" t="s">
        <v>118</v>
      </c>
      <c r="U68" s="117"/>
      <c r="V68" s="5"/>
    </row>
    <row r="69" spans="1:22" ht="15.6" x14ac:dyDescent="0.3">
      <c r="A69" s="24"/>
      <c r="B69" s="25" t="s">
        <v>19</v>
      </c>
      <c r="C69" s="34"/>
      <c r="D69" s="34"/>
      <c r="E69" s="34"/>
      <c r="F69" s="34"/>
      <c r="G69" s="34"/>
      <c r="H69" s="34"/>
      <c r="I69" s="34"/>
      <c r="J69" s="34">
        <v>1000039</v>
      </c>
      <c r="K69" s="34"/>
      <c r="L69" s="53">
        <v>932587</v>
      </c>
      <c r="M69" s="34"/>
      <c r="N69" s="34">
        <f>20349+3201+1221</f>
        <v>24771</v>
      </c>
      <c r="O69" s="34"/>
      <c r="P69" s="34">
        <f>3201+1221</f>
        <v>4422</v>
      </c>
      <c r="Q69" s="34"/>
      <c r="R69" s="34">
        <v>0</v>
      </c>
      <c r="S69" s="34"/>
      <c r="T69" s="53">
        <f>+L69-N69+P69-R69</f>
        <v>912238</v>
      </c>
      <c r="U69" s="25"/>
      <c r="V69" s="5"/>
    </row>
    <row r="70" spans="1:22" ht="15.6" x14ac:dyDescent="0.3">
      <c r="A70" s="24"/>
      <c r="B70" s="25" t="s">
        <v>20</v>
      </c>
      <c r="C70" s="34"/>
      <c r="D70" s="34"/>
      <c r="E70" s="34"/>
      <c r="F70" s="34"/>
      <c r="G70" s="34"/>
      <c r="H70" s="34"/>
      <c r="I70" s="34"/>
      <c r="J70" s="34">
        <v>10</v>
      </c>
      <c r="K70" s="34"/>
      <c r="L70" s="53">
        <v>0</v>
      </c>
      <c r="M70" s="34"/>
      <c r="N70" s="34">
        <v>0</v>
      </c>
      <c r="O70" s="34"/>
      <c r="P70" s="34">
        <v>0</v>
      </c>
      <c r="Q70" s="34"/>
      <c r="R70" s="34">
        <v>0</v>
      </c>
      <c r="S70" s="34"/>
      <c r="T70" s="53">
        <v>0</v>
      </c>
      <c r="U70" s="25"/>
      <c r="V70" s="5"/>
    </row>
    <row r="71" spans="1:22" ht="15.6" x14ac:dyDescent="0.3">
      <c r="A71" s="24"/>
      <c r="B71" s="25"/>
      <c r="C71" s="34"/>
      <c r="D71" s="34"/>
      <c r="E71" s="34"/>
      <c r="F71" s="34"/>
      <c r="G71" s="34"/>
      <c r="H71" s="34"/>
      <c r="I71" s="34"/>
      <c r="J71" s="34"/>
      <c r="K71" s="34"/>
      <c r="L71" s="53"/>
      <c r="M71" s="34"/>
      <c r="N71" s="34"/>
      <c r="O71" s="34"/>
      <c r="P71" s="34"/>
      <c r="Q71" s="34"/>
      <c r="R71" s="34"/>
      <c r="S71" s="34"/>
      <c r="T71" s="53"/>
      <c r="U71" s="25"/>
      <c r="V71" s="5"/>
    </row>
    <row r="72" spans="1:22" ht="15.6" x14ac:dyDescent="0.3">
      <c r="A72" s="24"/>
      <c r="B72" s="25" t="s">
        <v>21</v>
      </c>
      <c r="C72" s="34"/>
      <c r="D72" s="34"/>
      <c r="E72" s="34"/>
      <c r="F72" s="34"/>
      <c r="G72" s="34"/>
      <c r="H72" s="34"/>
      <c r="I72" s="34"/>
      <c r="J72" s="34">
        <f>SUM(J69:J71)</f>
        <v>1000049</v>
      </c>
      <c r="K72" s="34"/>
      <c r="L72" s="54">
        <f>L69+L70</f>
        <v>932587</v>
      </c>
      <c r="M72" s="34"/>
      <c r="N72" s="34">
        <f>SUM(N69:N71)</f>
        <v>24771</v>
      </c>
      <c r="O72" s="34"/>
      <c r="P72" s="34">
        <f>SUM(P69:P71)</f>
        <v>4422</v>
      </c>
      <c r="Q72" s="34"/>
      <c r="R72" s="34">
        <f>SUM(R69:R71)</f>
        <v>0</v>
      </c>
      <c r="S72" s="34"/>
      <c r="T72" s="54">
        <f>SUM(T69:T71)</f>
        <v>912238</v>
      </c>
      <c r="U72" s="25"/>
      <c r="V72" s="5"/>
    </row>
    <row r="73" spans="1:22" ht="15.6" x14ac:dyDescent="0.3">
      <c r="A73" s="24"/>
      <c r="B73" s="25"/>
      <c r="C73" s="34"/>
      <c r="D73" s="34"/>
      <c r="E73" s="34"/>
      <c r="F73" s="34"/>
      <c r="G73" s="34"/>
      <c r="H73" s="34"/>
      <c r="I73" s="34"/>
      <c r="J73" s="34"/>
      <c r="K73" s="34"/>
      <c r="L73" s="34"/>
      <c r="M73" s="34"/>
      <c r="N73" s="34"/>
      <c r="O73" s="34"/>
      <c r="P73" s="34"/>
      <c r="Q73" s="34"/>
      <c r="R73" s="34"/>
      <c r="S73" s="34"/>
      <c r="T73" s="54"/>
      <c r="U73" s="25"/>
      <c r="V73" s="5"/>
    </row>
    <row r="74" spans="1:22" ht="15.6" x14ac:dyDescent="0.3">
      <c r="A74" s="6"/>
      <c r="B74" s="111" t="s">
        <v>22</v>
      </c>
      <c r="C74" s="55"/>
      <c r="D74" s="55"/>
      <c r="E74" s="55"/>
      <c r="F74" s="55"/>
      <c r="G74" s="55"/>
      <c r="H74" s="55"/>
      <c r="I74" s="55"/>
      <c r="J74" s="55"/>
      <c r="K74" s="55"/>
      <c r="L74" s="55"/>
      <c r="M74" s="55"/>
      <c r="N74" s="55"/>
      <c r="O74" s="55"/>
      <c r="P74" s="55"/>
      <c r="Q74" s="55"/>
      <c r="R74" s="55"/>
      <c r="S74" s="55"/>
      <c r="T74" s="56"/>
      <c r="U74" s="8"/>
      <c r="V74" s="5"/>
    </row>
    <row r="75" spans="1:22" ht="15.6" x14ac:dyDescent="0.3">
      <c r="A75" s="6"/>
      <c r="B75" s="8"/>
      <c r="C75" s="55"/>
      <c r="D75" s="55"/>
      <c r="E75" s="55"/>
      <c r="F75" s="55"/>
      <c r="G75" s="55"/>
      <c r="H75" s="55"/>
      <c r="I75" s="55"/>
      <c r="J75" s="55"/>
      <c r="K75" s="55"/>
      <c r="L75" s="55"/>
      <c r="M75" s="55"/>
      <c r="N75" s="55"/>
      <c r="O75" s="55"/>
      <c r="P75" s="55"/>
      <c r="Q75" s="55"/>
      <c r="R75" s="55"/>
      <c r="S75" s="55"/>
      <c r="T75" s="56"/>
      <c r="U75" s="8"/>
      <c r="V75" s="5"/>
    </row>
    <row r="76" spans="1:22" ht="15.6" x14ac:dyDescent="0.3">
      <c r="A76" s="24"/>
      <c r="B76" s="25" t="s">
        <v>19</v>
      </c>
      <c r="C76" s="34"/>
      <c r="D76" s="34"/>
      <c r="E76" s="34"/>
      <c r="F76" s="34"/>
      <c r="G76" s="34"/>
      <c r="H76" s="34"/>
      <c r="I76" s="34"/>
      <c r="J76" s="34"/>
      <c r="K76" s="34"/>
      <c r="L76" s="34"/>
      <c r="M76" s="34"/>
      <c r="N76" s="34"/>
      <c r="O76" s="34"/>
      <c r="P76" s="34"/>
      <c r="Q76" s="34"/>
      <c r="R76" s="34"/>
      <c r="S76" s="34"/>
      <c r="T76" s="54"/>
      <c r="U76" s="25"/>
      <c r="V76" s="5"/>
    </row>
    <row r="77" spans="1:22" ht="15.6" x14ac:dyDescent="0.3">
      <c r="A77" s="24"/>
      <c r="B77" s="25" t="s">
        <v>20</v>
      </c>
      <c r="C77" s="34"/>
      <c r="D77" s="34"/>
      <c r="E77" s="34"/>
      <c r="F77" s="34"/>
      <c r="G77" s="34"/>
      <c r="H77" s="34"/>
      <c r="I77" s="34"/>
      <c r="J77" s="34"/>
      <c r="K77" s="34"/>
      <c r="L77" s="34"/>
      <c r="M77" s="34"/>
      <c r="N77" s="34"/>
      <c r="O77" s="34"/>
      <c r="P77" s="34"/>
      <c r="Q77" s="34"/>
      <c r="R77" s="34"/>
      <c r="S77" s="34"/>
      <c r="T77" s="54"/>
      <c r="U77" s="25"/>
      <c r="V77" s="5"/>
    </row>
    <row r="78" spans="1:22" ht="15.6" x14ac:dyDescent="0.3">
      <c r="A78" s="24"/>
      <c r="B78" s="25"/>
      <c r="C78" s="34"/>
      <c r="D78" s="34"/>
      <c r="E78" s="34"/>
      <c r="F78" s="34"/>
      <c r="G78" s="34"/>
      <c r="H78" s="34"/>
      <c r="I78" s="34"/>
      <c r="J78" s="34"/>
      <c r="K78" s="34"/>
      <c r="L78" s="34"/>
      <c r="M78" s="34"/>
      <c r="N78" s="34"/>
      <c r="O78" s="34"/>
      <c r="P78" s="34"/>
      <c r="Q78" s="34"/>
      <c r="R78" s="34"/>
      <c r="S78" s="34"/>
      <c r="T78" s="54"/>
      <c r="U78" s="25"/>
      <c r="V78" s="5"/>
    </row>
    <row r="79" spans="1:22" ht="15.6" x14ac:dyDescent="0.3">
      <c r="A79" s="24"/>
      <c r="B79" s="25" t="s">
        <v>21</v>
      </c>
      <c r="C79" s="34"/>
      <c r="D79" s="34"/>
      <c r="E79" s="34"/>
      <c r="F79" s="34"/>
      <c r="G79" s="34"/>
      <c r="H79" s="34"/>
      <c r="I79" s="34"/>
      <c r="J79" s="34"/>
      <c r="K79" s="34"/>
      <c r="L79" s="34"/>
      <c r="M79" s="34"/>
      <c r="N79" s="34"/>
      <c r="O79" s="34"/>
      <c r="P79" s="34"/>
      <c r="Q79" s="34"/>
      <c r="R79" s="34"/>
      <c r="S79" s="34"/>
      <c r="T79" s="34"/>
      <c r="U79" s="25"/>
      <c r="V79" s="5"/>
    </row>
    <row r="80" spans="1:22" ht="15.6" x14ac:dyDescent="0.3">
      <c r="A80" s="24"/>
      <c r="B80" s="25"/>
      <c r="C80" s="34"/>
      <c r="D80" s="34"/>
      <c r="E80" s="34"/>
      <c r="F80" s="34"/>
      <c r="G80" s="34"/>
      <c r="H80" s="34"/>
      <c r="I80" s="34"/>
      <c r="J80" s="34"/>
      <c r="K80" s="34"/>
      <c r="L80" s="34"/>
      <c r="M80" s="34"/>
      <c r="N80" s="34"/>
      <c r="O80" s="34"/>
      <c r="P80" s="34"/>
      <c r="Q80" s="34"/>
      <c r="R80" s="34"/>
      <c r="S80" s="34"/>
      <c r="T80" s="34"/>
      <c r="U80" s="25"/>
      <c r="V80" s="5"/>
    </row>
    <row r="81" spans="1:22" ht="15.6" x14ac:dyDescent="0.3">
      <c r="A81" s="24"/>
      <c r="B81" s="25" t="s">
        <v>23</v>
      </c>
      <c r="C81" s="34"/>
      <c r="D81" s="34"/>
      <c r="E81" s="34"/>
      <c r="F81" s="34"/>
      <c r="G81" s="34"/>
      <c r="H81" s="34"/>
      <c r="I81" s="34"/>
      <c r="J81" s="34">
        <v>0</v>
      </c>
      <c r="K81" s="34"/>
      <c r="L81" s="34">
        <v>0</v>
      </c>
      <c r="M81" s="34"/>
      <c r="N81" s="34"/>
      <c r="O81" s="34"/>
      <c r="P81" s="34"/>
      <c r="Q81" s="34"/>
      <c r="R81" s="34"/>
      <c r="S81" s="34"/>
      <c r="T81" s="53">
        <v>0</v>
      </c>
      <c r="U81" s="25"/>
      <c r="V81" s="5"/>
    </row>
    <row r="82" spans="1:22" ht="15.6" x14ac:dyDescent="0.3">
      <c r="A82" s="24"/>
      <c r="B82" s="25" t="s">
        <v>123</v>
      </c>
      <c r="C82" s="34"/>
      <c r="D82" s="34"/>
      <c r="E82" s="34"/>
      <c r="F82" s="34"/>
      <c r="G82" s="34"/>
      <c r="H82" s="34"/>
      <c r="I82" s="34"/>
      <c r="J82" s="34">
        <v>0</v>
      </c>
      <c r="K82" s="34"/>
      <c r="L82" s="34">
        <v>0</v>
      </c>
      <c r="M82" s="34"/>
      <c r="N82" s="34"/>
      <c r="O82" s="34"/>
      <c r="P82" s="34"/>
      <c r="Q82" s="34"/>
      <c r="R82" s="34"/>
      <c r="S82" s="34"/>
      <c r="T82" s="54">
        <f>SUM(J82:P82)</f>
        <v>0</v>
      </c>
      <c r="U82" s="25"/>
      <c r="V82" s="5"/>
    </row>
    <row r="83" spans="1:22" ht="15.6" x14ac:dyDescent="0.3">
      <c r="A83" s="24"/>
      <c r="B83" s="25" t="s">
        <v>152</v>
      </c>
      <c r="C83" s="34"/>
      <c r="D83" s="34"/>
      <c r="E83" s="34"/>
      <c r="F83" s="34"/>
      <c r="G83" s="34"/>
      <c r="H83" s="34"/>
      <c r="I83" s="34"/>
      <c r="J83" s="34">
        <v>1</v>
      </c>
      <c r="K83" s="34"/>
      <c r="L83" s="34">
        <v>0</v>
      </c>
      <c r="M83" s="34"/>
      <c r="N83" s="34">
        <v>0</v>
      </c>
      <c r="O83" s="34"/>
      <c r="P83" s="34"/>
      <c r="Q83" s="34"/>
      <c r="R83" s="34"/>
      <c r="S83" s="34"/>
      <c r="T83" s="54">
        <f>+L83+N83</f>
        <v>0</v>
      </c>
      <c r="U83" s="25"/>
      <c r="V83" s="5"/>
    </row>
    <row r="84" spans="1:22" ht="15.6" x14ac:dyDescent="0.3">
      <c r="A84" s="24"/>
      <c r="B84" s="25" t="s">
        <v>25</v>
      </c>
      <c r="C84" s="34"/>
      <c r="D84" s="34"/>
      <c r="E84" s="34"/>
      <c r="F84" s="34"/>
      <c r="G84" s="34"/>
      <c r="H84" s="34"/>
      <c r="I84" s="34"/>
      <c r="J84" s="34">
        <v>0</v>
      </c>
      <c r="K84" s="34"/>
      <c r="L84" s="34">
        <v>0</v>
      </c>
      <c r="M84" s="34"/>
      <c r="N84" s="34"/>
      <c r="O84" s="34"/>
      <c r="P84" s="34"/>
      <c r="Q84" s="34"/>
      <c r="R84" s="34"/>
      <c r="S84" s="34"/>
      <c r="T84" s="54">
        <v>0</v>
      </c>
      <c r="U84" s="25"/>
      <c r="V84" s="5"/>
    </row>
    <row r="85" spans="1:22" ht="15.6" x14ac:dyDescent="0.3">
      <c r="A85" s="24"/>
      <c r="B85" s="25" t="s">
        <v>26</v>
      </c>
      <c r="C85" s="34"/>
      <c r="D85" s="34"/>
      <c r="E85" s="34"/>
      <c r="F85" s="54"/>
      <c r="G85" s="34"/>
      <c r="H85" s="54"/>
      <c r="I85" s="54"/>
      <c r="J85" s="54">
        <f>SUM(J72:J84)</f>
        <v>1000050</v>
      </c>
      <c r="K85" s="34"/>
      <c r="L85" s="54">
        <f>SUM(L72:L84)</f>
        <v>932587</v>
      </c>
      <c r="M85" s="34"/>
      <c r="N85" s="34"/>
      <c r="O85" s="34"/>
      <c r="P85" s="34"/>
      <c r="Q85" s="34"/>
      <c r="R85" s="54"/>
      <c r="S85" s="34"/>
      <c r="T85" s="54">
        <f>SUM(T72:T84)</f>
        <v>912238</v>
      </c>
      <c r="U85" s="25"/>
      <c r="V85" s="5"/>
    </row>
    <row r="86" spans="1:22" ht="15.6" x14ac:dyDescent="0.3">
      <c r="A86" s="24"/>
      <c r="B86" s="25"/>
      <c r="C86" s="34"/>
      <c r="D86" s="34"/>
      <c r="E86" s="34"/>
      <c r="F86" s="34"/>
      <c r="G86" s="34"/>
      <c r="H86" s="34"/>
      <c r="I86" s="34"/>
      <c r="J86" s="34"/>
      <c r="K86" s="34"/>
      <c r="L86" s="34"/>
      <c r="M86" s="34"/>
      <c r="N86" s="34"/>
      <c r="O86" s="34"/>
      <c r="P86" s="34"/>
      <c r="Q86" s="34"/>
      <c r="R86" s="34"/>
      <c r="S86" s="34"/>
      <c r="T86" s="54"/>
      <c r="U86" s="25"/>
      <c r="V86" s="5"/>
    </row>
    <row r="87" spans="1:22" ht="15.6" x14ac:dyDescent="0.3">
      <c r="A87" s="6"/>
      <c r="B87" s="8"/>
      <c r="C87" s="8"/>
      <c r="D87" s="8"/>
      <c r="E87" s="8"/>
      <c r="F87" s="8"/>
      <c r="G87" s="8"/>
      <c r="H87" s="8"/>
      <c r="I87" s="8"/>
      <c r="J87" s="8"/>
      <c r="K87" s="8"/>
      <c r="L87" s="8"/>
      <c r="M87" s="8"/>
      <c r="N87" s="8"/>
      <c r="O87" s="8"/>
      <c r="P87" s="8"/>
      <c r="Q87" s="8"/>
      <c r="R87" s="8"/>
      <c r="S87" s="8"/>
      <c r="T87" s="8"/>
      <c r="U87" s="8"/>
      <c r="V87" s="5"/>
    </row>
    <row r="88" spans="1:22" ht="15.6" x14ac:dyDescent="0.3">
      <c r="A88" s="6"/>
      <c r="B88" s="51" t="s">
        <v>27</v>
      </c>
      <c r="C88" s="14"/>
      <c r="D88" s="14"/>
      <c r="E88" s="14"/>
      <c r="F88" s="14"/>
      <c r="G88" s="14"/>
      <c r="H88" s="17"/>
      <c r="I88" s="17"/>
      <c r="J88" s="159" t="s">
        <v>98</v>
      </c>
      <c r="K88" s="17"/>
      <c r="L88" s="158">
        <f>+R192</f>
        <v>39262</v>
      </c>
      <c r="M88" s="17"/>
      <c r="N88" s="17"/>
      <c r="O88" s="17"/>
      <c r="P88" s="17"/>
      <c r="Q88" s="17"/>
      <c r="R88" s="17" t="s">
        <v>111</v>
      </c>
      <c r="S88" s="17"/>
      <c r="T88" s="17" t="s">
        <v>119</v>
      </c>
      <c r="U88" s="8"/>
      <c r="V88" s="5"/>
    </row>
    <row r="89" spans="1:22" ht="15.6" x14ac:dyDescent="0.3">
      <c r="A89" s="24"/>
      <c r="B89" s="25" t="s">
        <v>28</v>
      </c>
      <c r="C89" s="25"/>
      <c r="D89" s="25"/>
      <c r="E89" s="25"/>
      <c r="F89" s="25"/>
      <c r="G89" s="25"/>
      <c r="H89" s="25"/>
      <c r="I89" s="25"/>
      <c r="J89" s="25"/>
      <c r="K89" s="25"/>
      <c r="L89" s="25"/>
      <c r="M89" s="25"/>
      <c r="N89" s="25"/>
      <c r="O89" s="25"/>
      <c r="P89" s="25"/>
      <c r="Q89" s="25"/>
      <c r="R89" s="34">
        <v>0</v>
      </c>
      <c r="S89" s="25"/>
      <c r="T89" s="53">
        <v>0</v>
      </c>
      <c r="U89" s="25"/>
      <c r="V89" s="5"/>
    </row>
    <row r="90" spans="1:22" ht="15.6" x14ac:dyDescent="0.3">
      <c r="A90" s="24"/>
      <c r="B90" s="25" t="s">
        <v>29</v>
      </c>
      <c r="C90" s="25"/>
      <c r="D90" s="25"/>
      <c r="E90" s="25"/>
      <c r="F90" s="25"/>
      <c r="G90" s="25"/>
      <c r="H90" s="40"/>
      <c r="I90" s="57"/>
      <c r="J90" s="40"/>
      <c r="K90" s="25"/>
      <c r="L90" s="127"/>
      <c r="M90" s="25"/>
      <c r="N90" s="25"/>
      <c r="O90" s="25"/>
      <c r="P90" s="25"/>
      <c r="Q90" s="25"/>
      <c r="R90" s="34">
        <f>24771-19</f>
        <v>24752</v>
      </c>
      <c r="S90" s="25"/>
      <c r="T90" s="53"/>
      <c r="U90" s="25"/>
      <c r="V90" s="5"/>
    </row>
    <row r="91" spans="1:22" ht="15.6" x14ac:dyDescent="0.3">
      <c r="A91" s="24"/>
      <c r="B91" s="25" t="s">
        <v>225</v>
      </c>
      <c r="C91" s="25"/>
      <c r="D91" s="25"/>
      <c r="E91" s="25"/>
      <c r="F91" s="25"/>
      <c r="G91" s="25"/>
      <c r="H91" s="40"/>
      <c r="I91" s="57"/>
      <c r="J91" s="40"/>
      <c r="K91" s="25"/>
      <c r="L91" s="127"/>
      <c r="M91" s="25"/>
      <c r="N91" s="25"/>
      <c r="O91" s="25"/>
      <c r="P91" s="25"/>
      <c r="Q91" s="25"/>
      <c r="R91" s="34"/>
      <c r="S91" s="25"/>
      <c r="T91" s="53">
        <f>5617+7402-511-529+1</f>
        <v>11980</v>
      </c>
      <c r="U91" s="25"/>
      <c r="V91" s="5"/>
    </row>
    <row r="92" spans="1:22" ht="15.6" x14ac:dyDescent="0.3">
      <c r="A92" s="24"/>
      <c r="B92" s="25" t="s">
        <v>220</v>
      </c>
      <c r="C92" s="25"/>
      <c r="D92" s="25"/>
      <c r="E92" s="25"/>
      <c r="F92" s="25"/>
      <c r="G92" s="25"/>
      <c r="H92" s="40"/>
      <c r="I92" s="57"/>
      <c r="J92" s="40"/>
      <c r="K92" s="25"/>
      <c r="L92" s="127"/>
      <c r="M92" s="25"/>
      <c r="N92" s="25"/>
      <c r="O92" s="25"/>
      <c r="P92" s="25"/>
      <c r="Q92" s="25"/>
      <c r="R92" s="34"/>
      <c r="S92" s="25"/>
      <c r="T92" s="53">
        <f>221+385</f>
        <v>606</v>
      </c>
      <c r="U92" s="25"/>
      <c r="V92" s="5"/>
    </row>
    <row r="93" spans="1:22" ht="15.6" x14ac:dyDescent="0.3">
      <c r="A93" s="24"/>
      <c r="B93" s="25" t="s">
        <v>221</v>
      </c>
      <c r="C93" s="25"/>
      <c r="D93" s="25"/>
      <c r="E93" s="25"/>
      <c r="F93" s="25"/>
      <c r="G93" s="25"/>
      <c r="H93" s="40"/>
      <c r="I93" s="57"/>
      <c r="J93" s="40"/>
      <c r="K93" s="25"/>
      <c r="L93" s="127"/>
      <c r="M93" s="25"/>
      <c r="N93" s="25"/>
      <c r="O93" s="25"/>
      <c r="P93" s="25"/>
      <c r="Q93" s="25"/>
      <c r="R93" s="34"/>
      <c r="S93" s="25"/>
      <c r="T93" s="53">
        <v>589</v>
      </c>
      <c r="U93" s="25"/>
      <c r="V93" s="5"/>
    </row>
    <row r="94" spans="1:22" ht="15.6" x14ac:dyDescent="0.3">
      <c r="A94" s="24"/>
      <c r="B94" s="25" t="s">
        <v>261</v>
      </c>
      <c r="C94" s="25"/>
      <c r="D94" s="25"/>
      <c r="E94" s="25"/>
      <c r="F94" s="25"/>
      <c r="G94" s="25"/>
      <c r="H94" s="40"/>
      <c r="I94" s="57"/>
      <c r="J94" s="40"/>
      <c r="K94" s="25"/>
      <c r="L94" s="127"/>
      <c r="M94" s="25"/>
      <c r="N94" s="25"/>
      <c r="O94" s="25"/>
      <c r="P94" s="25"/>
      <c r="Q94" s="25"/>
      <c r="R94" s="34"/>
      <c r="S94" s="25"/>
      <c r="T94" s="53">
        <v>1761</v>
      </c>
      <c r="U94" s="25"/>
      <c r="V94" s="5"/>
    </row>
    <row r="95" spans="1:22" ht="15.6" x14ac:dyDescent="0.3">
      <c r="A95" s="24"/>
      <c r="B95" s="25" t="s">
        <v>141</v>
      </c>
      <c r="C95" s="25"/>
      <c r="D95" s="25"/>
      <c r="E95" s="25"/>
      <c r="F95" s="25"/>
      <c r="G95" s="25"/>
      <c r="H95" s="25"/>
      <c r="I95" s="25"/>
      <c r="J95" s="25"/>
      <c r="K95" s="25"/>
      <c r="L95" s="25"/>
      <c r="M95" s="25"/>
      <c r="N95" s="25"/>
      <c r="O95" s="25"/>
      <c r="P95" s="25"/>
      <c r="Q95" s="25"/>
      <c r="R95" s="34"/>
      <c r="S95" s="25"/>
      <c r="T95" s="53">
        <v>0</v>
      </c>
      <c r="U95" s="25"/>
      <c r="V95" s="5"/>
    </row>
    <row r="96" spans="1:22" ht="15.6" x14ac:dyDescent="0.3">
      <c r="A96" s="24"/>
      <c r="B96" s="25" t="s">
        <v>250</v>
      </c>
      <c r="C96" s="25"/>
      <c r="D96" s="25"/>
      <c r="E96" s="25"/>
      <c r="F96" s="25"/>
      <c r="G96" s="25"/>
      <c r="H96" s="25"/>
      <c r="I96" s="25"/>
      <c r="J96" s="25"/>
      <c r="K96" s="25"/>
      <c r="L96" s="25"/>
      <c r="M96" s="25"/>
      <c r="N96" s="25"/>
      <c r="O96" s="25"/>
      <c r="P96" s="25"/>
      <c r="Q96" s="25"/>
      <c r="R96" s="34"/>
      <c r="S96" s="25"/>
      <c r="T96" s="53">
        <v>1674</v>
      </c>
      <c r="U96" s="25"/>
      <c r="V96" s="5"/>
    </row>
    <row r="97" spans="1:24" ht="15.6" x14ac:dyDescent="0.3">
      <c r="A97" s="24"/>
      <c r="B97" s="25" t="s">
        <v>30</v>
      </c>
      <c r="C97" s="25"/>
      <c r="D97" s="25"/>
      <c r="E97" s="25"/>
      <c r="F97" s="25"/>
      <c r="G97" s="25"/>
      <c r="H97" s="25"/>
      <c r="I97" s="25"/>
      <c r="J97" s="25"/>
      <c r="K97" s="25"/>
      <c r="L97" s="25"/>
      <c r="M97" s="25"/>
      <c r="N97" s="25"/>
      <c r="O97" s="25"/>
      <c r="P97" s="25"/>
      <c r="Q97" s="25"/>
      <c r="R97" s="34">
        <f>SUM(R89:R96)</f>
        <v>24752</v>
      </c>
      <c r="S97" s="25"/>
      <c r="T97" s="54">
        <f>SUM(T89:T96)</f>
        <v>16610</v>
      </c>
      <c r="U97" s="25"/>
      <c r="V97" s="5"/>
    </row>
    <row r="98" spans="1:24" ht="15.6" x14ac:dyDescent="0.3">
      <c r="A98" s="24"/>
      <c r="B98" s="25" t="s">
        <v>168</v>
      </c>
      <c r="C98" s="25"/>
      <c r="D98" s="25"/>
      <c r="E98" s="25"/>
      <c r="F98" s="25"/>
      <c r="G98" s="25"/>
      <c r="H98" s="25"/>
      <c r="I98" s="25"/>
      <c r="J98" s="25"/>
      <c r="K98" s="25"/>
      <c r="L98" s="25"/>
      <c r="M98" s="25"/>
      <c r="N98" s="25"/>
      <c r="O98" s="25"/>
      <c r="P98" s="25"/>
      <c r="Q98" s="25"/>
      <c r="R98" s="34">
        <f>-T98</f>
        <v>-37</v>
      </c>
      <c r="S98" s="25"/>
      <c r="T98" s="54">
        <v>37</v>
      </c>
      <c r="U98" s="25"/>
      <c r="V98" s="5"/>
    </row>
    <row r="99" spans="1:24" ht="15.6" x14ac:dyDescent="0.3">
      <c r="A99" s="24"/>
      <c r="B99" s="25" t="s">
        <v>31</v>
      </c>
      <c r="C99" s="25"/>
      <c r="D99" s="25"/>
      <c r="E99" s="25"/>
      <c r="F99" s="25"/>
      <c r="G99" s="25"/>
      <c r="H99" s="25"/>
      <c r="I99" s="25"/>
      <c r="J99" s="25"/>
      <c r="K99" s="25"/>
      <c r="L99" s="25"/>
      <c r="M99" s="25"/>
      <c r="N99" s="25"/>
      <c r="O99" s="25"/>
      <c r="P99" s="25"/>
      <c r="Q99" s="25"/>
      <c r="R99" s="34">
        <f>-T99</f>
        <v>0</v>
      </c>
      <c r="S99" s="25"/>
      <c r="T99" s="53">
        <v>0</v>
      </c>
      <c r="U99" s="25"/>
      <c r="V99" s="5"/>
    </row>
    <row r="100" spans="1:24" ht="15.6" x14ac:dyDescent="0.3">
      <c r="A100" s="24"/>
      <c r="B100" s="25" t="s">
        <v>32</v>
      </c>
      <c r="C100" s="25"/>
      <c r="D100" s="25"/>
      <c r="E100" s="25"/>
      <c r="F100" s="25"/>
      <c r="G100" s="25"/>
      <c r="H100" s="25"/>
      <c r="I100" s="25"/>
      <c r="J100" s="25"/>
      <c r="K100" s="25"/>
      <c r="L100" s="25"/>
      <c r="M100" s="25"/>
      <c r="N100" s="25"/>
      <c r="O100" s="25"/>
      <c r="P100" s="25"/>
      <c r="Q100" s="25"/>
      <c r="R100" s="34">
        <f>R97+R99+R98</f>
        <v>24715</v>
      </c>
      <c r="S100" s="25"/>
      <c r="T100" s="54">
        <f>T97+T99+T98</f>
        <v>16647</v>
      </c>
      <c r="U100" s="25"/>
      <c r="V100" s="5"/>
    </row>
    <row r="101" spans="1:24" ht="15.6" x14ac:dyDescent="0.3">
      <c r="A101" s="24"/>
      <c r="B101" s="118" t="s">
        <v>33</v>
      </c>
      <c r="C101" s="25"/>
      <c r="D101" s="25"/>
      <c r="E101" s="25"/>
      <c r="F101" s="25"/>
      <c r="G101" s="25"/>
      <c r="H101" s="25"/>
      <c r="I101" s="25"/>
      <c r="J101" s="25"/>
      <c r="K101" s="25"/>
      <c r="L101" s="25"/>
      <c r="M101" s="25"/>
      <c r="N101" s="25"/>
      <c r="O101" s="25"/>
      <c r="P101" s="25"/>
      <c r="Q101" s="25"/>
      <c r="R101" s="34"/>
      <c r="S101" s="25"/>
      <c r="T101" s="53"/>
      <c r="U101" s="25"/>
      <c r="V101" s="5"/>
    </row>
    <row r="102" spans="1:24" ht="15.6" x14ac:dyDescent="0.3">
      <c r="A102" s="24">
        <v>1</v>
      </c>
      <c r="B102" s="25" t="s">
        <v>34</v>
      </c>
      <c r="C102" s="25"/>
      <c r="D102" s="25"/>
      <c r="E102" s="25"/>
      <c r="F102" s="25"/>
      <c r="G102" s="25"/>
      <c r="H102" s="25"/>
      <c r="I102" s="25"/>
      <c r="J102" s="25"/>
      <c r="K102" s="25"/>
      <c r="L102" s="25"/>
      <c r="M102" s="25"/>
      <c r="N102" s="25"/>
      <c r="O102" s="25"/>
      <c r="P102" s="25"/>
      <c r="Q102" s="25"/>
      <c r="R102" s="25"/>
      <c r="S102" s="25"/>
      <c r="T102" s="53">
        <v>0</v>
      </c>
      <c r="U102" s="25"/>
      <c r="V102" s="5"/>
    </row>
    <row r="103" spans="1:24" ht="15.6" x14ac:dyDescent="0.3">
      <c r="A103" s="24">
        <f>+A102+1</f>
        <v>2</v>
      </c>
      <c r="B103" s="25" t="s">
        <v>255</v>
      </c>
      <c r="C103" s="25"/>
      <c r="D103" s="25"/>
      <c r="E103" s="25"/>
      <c r="F103" s="25"/>
      <c r="G103" s="25"/>
      <c r="H103" s="25"/>
      <c r="I103" s="25"/>
      <c r="J103" s="25"/>
      <c r="K103" s="25"/>
      <c r="L103" s="25"/>
      <c r="M103" s="25"/>
      <c r="N103" s="25"/>
      <c r="O103" s="25"/>
      <c r="P103" s="25"/>
      <c r="Q103" s="25"/>
      <c r="R103" s="25"/>
      <c r="S103" s="25"/>
      <c r="T103" s="53">
        <v>-2</v>
      </c>
      <c r="U103" s="25"/>
      <c r="V103" s="5"/>
    </row>
    <row r="104" spans="1:24" ht="15.6" x14ac:dyDescent="0.3">
      <c r="A104" s="24">
        <f>+A103+1</f>
        <v>3</v>
      </c>
      <c r="B104" s="25" t="s">
        <v>213</v>
      </c>
      <c r="C104" s="25"/>
      <c r="D104" s="25"/>
      <c r="E104" s="25"/>
      <c r="F104" s="25"/>
      <c r="G104" s="25"/>
      <c r="H104" s="25"/>
      <c r="I104" s="25"/>
      <c r="J104" s="25"/>
      <c r="K104" s="25"/>
      <c r="L104" s="25"/>
      <c r="M104" s="25"/>
      <c r="N104" s="25"/>
      <c r="O104" s="25"/>
      <c r="P104" s="25"/>
      <c r="Q104" s="25"/>
      <c r="R104" s="25"/>
      <c r="S104" s="25"/>
      <c r="T104" s="53">
        <f>-349-17-11</f>
        <v>-377</v>
      </c>
      <c r="U104" s="25"/>
      <c r="V104" s="5"/>
    </row>
    <row r="105" spans="1:24" ht="15.6" x14ac:dyDescent="0.3">
      <c r="A105" s="24" t="s">
        <v>133</v>
      </c>
      <c r="B105" s="25" t="s">
        <v>122</v>
      </c>
      <c r="C105" s="25"/>
      <c r="D105" s="25"/>
      <c r="E105" s="25"/>
      <c r="F105" s="25"/>
      <c r="G105" s="25"/>
      <c r="H105" s="25"/>
      <c r="I105" s="25"/>
      <c r="J105" s="25"/>
      <c r="K105" s="25"/>
      <c r="L105" s="25"/>
      <c r="M105" s="25"/>
      <c r="N105" s="25"/>
      <c r="O105" s="25"/>
      <c r="P105" s="25"/>
      <c r="Q105" s="25"/>
      <c r="R105" s="25"/>
      <c r="S105" s="25"/>
      <c r="T105" s="53">
        <v>0</v>
      </c>
      <c r="U105" s="25"/>
      <c r="V105" s="5"/>
    </row>
    <row r="106" spans="1:24" ht="15.6" x14ac:dyDescent="0.3">
      <c r="A106" s="24" t="s">
        <v>134</v>
      </c>
      <c r="B106" s="25" t="s">
        <v>194</v>
      </c>
      <c r="C106" s="25"/>
      <c r="D106" s="25"/>
      <c r="E106" s="25"/>
      <c r="F106" s="25"/>
      <c r="G106" s="25"/>
      <c r="H106" s="25"/>
      <c r="I106" s="25"/>
      <c r="J106" s="25"/>
      <c r="K106" s="25"/>
      <c r="L106" s="25"/>
      <c r="M106" s="25"/>
      <c r="N106" s="25"/>
      <c r="O106" s="25"/>
      <c r="P106" s="25"/>
      <c r="Q106" s="25"/>
      <c r="R106" s="25"/>
      <c r="S106" s="25"/>
      <c r="T106" s="53">
        <f>-7321-1982</f>
        <v>-9303</v>
      </c>
      <c r="U106" s="25"/>
      <c r="V106" s="5"/>
      <c r="W106" s="109"/>
    </row>
    <row r="107" spans="1:24" ht="15.6" x14ac:dyDescent="0.3">
      <c r="A107" s="24" t="s">
        <v>156</v>
      </c>
      <c r="B107" s="25" t="s">
        <v>191</v>
      </c>
      <c r="C107" s="25"/>
      <c r="D107" s="25"/>
      <c r="E107" s="25"/>
      <c r="F107" s="25"/>
      <c r="G107" s="25"/>
      <c r="H107" s="25"/>
      <c r="I107" s="25"/>
      <c r="J107" s="25"/>
      <c r="K107" s="25"/>
      <c r="L107" s="25"/>
      <c r="M107" s="25"/>
      <c r="N107" s="25"/>
      <c r="O107" s="25"/>
      <c r="P107" s="25"/>
      <c r="Q107" s="25"/>
      <c r="R107" s="25"/>
      <c r="S107" s="25"/>
      <c r="T107" s="53">
        <v>-1966</v>
      </c>
      <c r="U107" s="25"/>
      <c r="V107" s="5"/>
      <c r="W107" s="109"/>
    </row>
    <row r="108" spans="1:24" ht="15.6" x14ac:dyDescent="0.3">
      <c r="A108" s="24" t="s">
        <v>214</v>
      </c>
      <c r="B108" s="25" t="s">
        <v>192</v>
      </c>
      <c r="C108" s="25"/>
      <c r="D108" s="25"/>
      <c r="E108" s="25"/>
      <c r="F108" s="25"/>
      <c r="G108" s="25"/>
      <c r="H108" s="25"/>
      <c r="I108" s="25"/>
      <c r="J108" s="25"/>
      <c r="K108" s="25"/>
      <c r="L108" s="25"/>
      <c r="M108" s="25"/>
      <c r="N108" s="25"/>
      <c r="O108" s="25"/>
      <c r="P108" s="25"/>
      <c r="Q108" s="25"/>
      <c r="R108" s="25"/>
      <c r="S108" s="25"/>
      <c r="T108" s="53">
        <v>-825</v>
      </c>
      <c r="U108" s="25"/>
      <c r="V108" s="5"/>
      <c r="W108" s="109"/>
      <c r="X108" s="109"/>
    </row>
    <row r="109" spans="1:24" ht="15.6" x14ac:dyDescent="0.3">
      <c r="A109" s="24" t="s">
        <v>215</v>
      </c>
      <c r="B109" s="25" t="s">
        <v>193</v>
      </c>
      <c r="C109" s="25"/>
      <c r="D109" s="25"/>
      <c r="E109" s="25"/>
      <c r="F109" s="25"/>
      <c r="G109" s="25"/>
      <c r="H109" s="25"/>
      <c r="I109" s="25"/>
      <c r="J109" s="25"/>
      <c r="K109" s="25"/>
      <c r="L109" s="25"/>
      <c r="M109" s="25"/>
      <c r="N109" s="25"/>
      <c r="O109" s="25"/>
      <c r="P109" s="25"/>
      <c r="Q109" s="25"/>
      <c r="R109" s="25"/>
      <c r="S109" s="25"/>
      <c r="T109" s="53">
        <v>-233</v>
      </c>
      <c r="U109" s="25"/>
      <c r="V109" s="5"/>
      <c r="W109" s="109"/>
    </row>
    <row r="110" spans="1:24" ht="15.6" x14ac:dyDescent="0.3">
      <c r="A110" s="24" t="s">
        <v>216</v>
      </c>
      <c r="B110" s="25" t="s">
        <v>204</v>
      </c>
      <c r="C110" s="25"/>
      <c r="D110" s="25"/>
      <c r="E110" s="25"/>
      <c r="F110" s="25"/>
      <c r="G110" s="25"/>
      <c r="H110" s="25"/>
      <c r="I110" s="25"/>
      <c r="J110" s="25"/>
      <c r="K110" s="25"/>
      <c r="L110" s="25"/>
      <c r="M110" s="25"/>
      <c r="N110" s="25"/>
      <c r="O110" s="25"/>
      <c r="P110" s="25"/>
      <c r="Q110" s="25"/>
      <c r="R110" s="25"/>
      <c r="S110" s="25"/>
      <c r="T110" s="53">
        <v>-911</v>
      </c>
      <c r="U110" s="25"/>
      <c r="V110" s="5"/>
      <c r="W110" s="109"/>
    </row>
    <row r="111" spans="1:24" ht="15.6" x14ac:dyDescent="0.3">
      <c r="A111" s="24">
        <v>7</v>
      </c>
      <c r="B111" s="25" t="s">
        <v>35</v>
      </c>
      <c r="C111" s="25"/>
      <c r="D111" s="25"/>
      <c r="E111" s="25"/>
      <c r="F111" s="25"/>
      <c r="G111" s="25"/>
      <c r="H111" s="25"/>
      <c r="I111" s="25"/>
      <c r="J111" s="25"/>
      <c r="K111" s="25"/>
      <c r="L111" s="25"/>
      <c r="M111" s="25"/>
      <c r="N111" s="25"/>
      <c r="O111" s="25"/>
      <c r="P111" s="25"/>
      <c r="Q111" s="25"/>
      <c r="R111" s="25"/>
      <c r="S111" s="25"/>
      <c r="T111" s="53">
        <v>-10</v>
      </c>
      <c r="U111" s="25"/>
      <c r="V111" s="5"/>
    </row>
    <row r="112" spans="1:24" ht="15.6" x14ac:dyDescent="0.3">
      <c r="A112" s="24">
        <f t="shared" ref="A112:A117" si="0">+A111+1</f>
        <v>8</v>
      </c>
      <c r="B112" s="25" t="s">
        <v>46</v>
      </c>
      <c r="C112" s="25"/>
      <c r="D112" s="25"/>
      <c r="E112" s="25"/>
      <c r="F112" s="25"/>
      <c r="G112" s="25"/>
      <c r="H112" s="25"/>
      <c r="I112" s="25"/>
      <c r="J112" s="25"/>
      <c r="K112" s="25"/>
      <c r="L112" s="25"/>
      <c r="M112" s="25"/>
      <c r="N112" s="25"/>
      <c r="O112" s="25"/>
      <c r="P112" s="25"/>
      <c r="Q112" s="25"/>
      <c r="R112" s="34">
        <f>-T112</f>
        <v>18</v>
      </c>
      <c r="S112" s="25"/>
      <c r="T112" s="53">
        <v>-18</v>
      </c>
      <c r="U112" s="25"/>
      <c r="V112" s="5"/>
    </row>
    <row r="113" spans="1:22" ht="15.6" x14ac:dyDescent="0.3">
      <c r="A113" s="24">
        <f t="shared" si="0"/>
        <v>9</v>
      </c>
      <c r="B113" s="25" t="s">
        <v>131</v>
      </c>
      <c r="C113" s="25"/>
      <c r="D113" s="25"/>
      <c r="E113" s="25"/>
      <c r="F113" s="25"/>
      <c r="G113" s="25"/>
      <c r="H113" s="25"/>
      <c r="I113" s="25"/>
      <c r="J113" s="25"/>
      <c r="K113" s="25"/>
      <c r="L113" s="25"/>
      <c r="M113" s="25"/>
      <c r="N113" s="25"/>
      <c r="O113" s="25"/>
      <c r="P113" s="25"/>
      <c r="Q113" s="25"/>
      <c r="R113" s="25"/>
      <c r="S113" s="25"/>
      <c r="T113" s="53">
        <v>0</v>
      </c>
      <c r="U113" s="25"/>
      <c r="V113" s="5"/>
    </row>
    <row r="114" spans="1:22" ht="15.6" x14ac:dyDescent="0.3">
      <c r="A114" s="24">
        <f t="shared" si="0"/>
        <v>10</v>
      </c>
      <c r="B114" s="25" t="s">
        <v>36</v>
      </c>
      <c r="C114" s="25"/>
      <c r="D114" s="25"/>
      <c r="E114" s="25"/>
      <c r="F114" s="25"/>
      <c r="G114" s="25"/>
      <c r="H114" s="25"/>
      <c r="I114" s="25"/>
      <c r="J114" s="25"/>
      <c r="K114" s="25"/>
      <c r="L114" s="25"/>
      <c r="M114" s="25"/>
      <c r="N114" s="25"/>
      <c r="O114" s="25"/>
      <c r="P114" s="25"/>
      <c r="Q114" s="25"/>
      <c r="R114" s="25"/>
      <c r="S114" s="25"/>
      <c r="T114" s="53">
        <v>0</v>
      </c>
      <c r="U114" s="25"/>
      <c r="V114" s="5"/>
    </row>
    <row r="115" spans="1:22" ht="15.6" x14ac:dyDescent="0.3">
      <c r="A115" s="24">
        <f t="shared" si="0"/>
        <v>11</v>
      </c>
      <c r="B115" s="25" t="s">
        <v>37</v>
      </c>
      <c r="C115" s="25"/>
      <c r="D115" s="25"/>
      <c r="E115" s="25"/>
      <c r="F115" s="25"/>
      <c r="G115" s="25"/>
      <c r="H115" s="25"/>
      <c r="I115" s="25"/>
      <c r="J115" s="25"/>
      <c r="K115" s="25"/>
      <c r="L115" s="25"/>
      <c r="M115" s="25"/>
      <c r="N115" s="25"/>
      <c r="O115" s="25"/>
      <c r="P115" s="25"/>
      <c r="Q115" s="25"/>
      <c r="R115" s="25"/>
      <c r="S115" s="25"/>
      <c r="T115" s="53">
        <v>0</v>
      </c>
      <c r="U115" s="25"/>
      <c r="V115" s="5"/>
    </row>
    <row r="116" spans="1:22" ht="15.6" x14ac:dyDescent="0.3">
      <c r="A116" s="24">
        <f t="shared" si="0"/>
        <v>12</v>
      </c>
      <c r="B116" s="25" t="s">
        <v>155</v>
      </c>
      <c r="C116" s="25"/>
      <c r="D116" s="25"/>
      <c r="E116" s="25"/>
      <c r="F116" s="25"/>
      <c r="G116" s="25"/>
      <c r="H116" s="25"/>
      <c r="I116" s="25"/>
      <c r="J116" s="25"/>
      <c r="K116" s="25"/>
      <c r="L116" s="25"/>
      <c r="M116" s="25"/>
      <c r="N116" s="25"/>
      <c r="O116" s="25"/>
      <c r="P116" s="25"/>
      <c r="Q116" s="25"/>
      <c r="R116" s="25"/>
      <c r="S116" s="25"/>
      <c r="T116" s="53">
        <v>-349</v>
      </c>
      <c r="U116" s="25"/>
      <c r="V116" s="5"/>
    </row>
    <row r="117" spans="1:22" ht="15.6" x14ac:dyDescent="0.3">
      <c r="A117" s="24">
        <f t="shared" si="0"/>
        <v>13</v>
      </c>
      <c r="B117" s="25" t="s">
        <v>132</v>
      </c>
      <c r="C117" s="25"/>
      <c r="D117" s="25"/>
      <c r="E117" s="25"/>
      <c r="F117" s="25"/>
      <c r="G117" s="25"/>
      <c r="H117" s="25"/>
      <c r="I117" s="25"/>
      <c r="J117" s="25"/>
      <c r="K117" s="25"/>
      <c r="L117" s="25"/>
      <c r="M117" s="25"/>
      <c r="N117" s="25"/>
      <c r="O117" s="25"/>
      <c r="P117" s="25"/>
      <c r="Q117" s="25"/>
      <c r="R117" s="25"/>
      <c r="S117" s="25"/>
      <c r="T117" s="53">
        <f>-T100-SUM(T102:T116)</f>
        <v>-2653</v>
      </c>
      <c r="U117" s="25"/>
      <c r="V117" s="5"/>
    </row>
    <row r="118" spans="1:22" ht="15.6" x14ac:dyDescent="0.3">
      <c r="A118" s="24"/>
      <c r="B118" s="118" t="s">
        <v>38</v>
      </c>
      <c r="C118" s="25"/>
      <c r="D118" s="25"/>
      <c r="E118" s="25"/>
      <c r="F118" s="25"/>
      <c r="G118" s="25"/>
      <c r="H118" s="25"/>
      <c r="I118" s="25"/>
      <c r="J118" s="25"/>
      <c r="K118" s="25"/>
      <c r="L118" s="25"/>
      <c r="M118" s="25"/>
      <c r="N118" s="25"/>
      <c r="O118" s="25"/>
      <c r="P118" s="25"/>
      <c r="Q118" s="25"/>
      <c r="R118" s="25"/>
      <c r="S118" s="25"/>
      <c r="T118" s="59"/>
      <c r="U118" s="25"/>
      <c r="V118" s="5"/>
    </row>
    <row r="119" spans="1:22" ht="15.6" x14ac:dyDescent="0.3">
      <c r="A119" s="24"/>
      <c r="B119" s="25" t="s">
        <v>180</v>
      </c>
      <c r="C119" s="25"/>
      <c r="D119" s="25"/>
      <c r="E119" s="25"/>
      <c r="F119" s="25"/>
      <c r="G119" s="25"/>
      <c r="H119" s="25"/>
      <c r="I119" s="25"/>
      <c r="J119" s="25"/>
      <c r="K119" s="25"/>
      <c r="L119" s="25"/>
      <c r="M119" s="25"/>
      <c r="N119" s="25"/>
      <c r="O119" s="25"/>
      <c r="P119" s="25"/>
      <c r="Q119" s="25"/>
      <c r="R119" s="34">
        <f>-R176</f>
        <v>-61</v>
      </c>
      <c r="S119" s="34"/>
      <c r="T119" s="53"/>
      <c r="U119" s="25"/>
      <c r="V119" s="5"/>
    </row>
    <row r="120" spans="1:22" ht="15.6" x14ac:dyDescent="0.3">
      <c r="A120" s="24"/>
      <c r="B120" s="25" t="s">
        <v>181</v>
      </c>
      <c r="C120" s="25"/>
      <c r="D120" s="25"/>
      <c r="E120" s="25"/>
      <c r="F120" s="25"/>
      <c r="G120" s="25"/>
      <c r="H120" s="25"/>
      <c r="I120" s="25"/>
      <c r="J120" s="25"/>
      <c r="K120" s="25"/>
      <c r="L120" s="25"/>
      <c r="M120" s="25"/>
      <c r="N120" s="25"/>
      <c r="O120" s="25"/>
      <c r="P120" s="25"/>
      <c r="Q120" s="25"/>
      <c r="R120" s="34">
        <v>-35</v>
      </c>
      <c r="S120" s="34"/>
      <c r="T120" s="53"/>
      <c r="U120" s="25"/>
      <c r="V120" s="5"/>
    </row>
    <row r="121" spans="1:22" ht="15.6" x14ac:dyDescent="0.3">
      <c r="A121" s="24"/>
      <c r="B121" s="25" t="s">
        <v>39</v>
      </c>
      <c r="C121" s="25"/>
      <c r="D121" s="25"/>
      <c r="E121" s="25"/>
      <c r="F121" s="25"/>
      <c r="G121" s="25"/>
      <c r="H121" s="25"/>
      <c r="I121" s="25"/>
      <c r="J121" s="25"/>
      <c r="K121" s="25"/>
      <c r="L121" s="25"/>
      <c r="M121" s="25"/>
      <c r="N121" s="25"/>
      <c r="O121" s="25"/>
      <c r="P121" s="25"/>
      <c r="Q121" s="25"/>
      <c r="R121" s="34">
        <f>-Q176</f>
        <v>-4289</v>
      </c>
      <c r="S121" s="34"/>
      <c r="T121" s="53"/>
      <c r="U121" s="25"/>
      <c r="V121" s="5"/>
    </row>
    <row r="122" spans="1:22" ht="15.6" x14ac:dyDescent="0.3">
      <c r="A122" s="24"/>
      <c r="B122" s="25" t="s">
        <v>205</v>
      </c>
      <c r="C122" s="25"/>
      <c r="D122" s="25"/>
      <c r="E122" s="25"/>
      <c r="F122" s="25"/>
      <c r="G122" s="25"/>
      <c r="H122" s="25"/>
      <c r="I122" s="25"/>
      <c r="J122" s="25"/>
      <c r="K122" s="25"/>
      <c r="L122" s="25"/>
      <c r="M122" s="25"/>
      <c r="N122" s="25"/>
      <c r="O122" s="25"/>
      <c r="P122" s="25"/>
      <c r="Q122" s="25"/>
      <c r="R122" s="34">
        <v>-13307</v>
      </c>
      <c r="S122" s="34"/>
      <c r="T122" s="53"/>
      <c r="U122" s="25"/>
      <c r="V122" s="5"/>
    </row>
    <row r="123" spans="1:22" ht="15.6" x14ac:dyDescent="0.3">
      <c r="A123" s="24"/>
      <c r="B123" s="25" t="s">
        <v>203</v>
      </c>
      <c r="C123" s="25"/>
      <c r="D123" s="25"/>
      <c r="E123" s="25"/>
      <c r="F123" s="25"/>
      <c r="G123" s="25"/>
      <c r="H123" s="25"/>
      <c r="I123" s="25"/>
      <c r="J123" s="25"/>
      <c r="K123" s="25"/>
      <c r="L123" s="25"/>
      <c r="M123" s="25"/>
      <c r="N123" s="25"/>
      <c r="O123" s="25"/>
      <c r="P123" s="25"/>
      <c r="Q123" s="25"/>
      <c r="R123" s="34">
        <v>-3506</v>
      </c>
      <c r="S123" s="34"/>
      <c r="T123" s="53"/>
      <c r="U123" s="25"/>
      <c r="V123" s="5"/>
    </row>
    <row r="124" spans="1:22" ht="15.6" x14ac:dyDescent="0.3">
      <c r="A124" s="24"/>
      <c r="B124" s="25" t="s">
        <v>202</v>
      </c>
      <c r="C124" s="25"/>
      <c r="D124" s="25"/>
      <c r="E124" s="25"/>
      <c r="F124" s="25"/>
      <c r="G124" s="25"/>
      <c r="H124" s="25"/>
      <c r="I124" s="25"/>
      <c r="J124" s="25"/>
      <c r="K124" s="25"/>
      <c r="L124" s="25"/>
      <c r="M124" s="25"/>
      <c r="N124" s="25"/>
      <c r="O124" s="25"/>
      <c r="P124" s="25"/>
      <c r="Q124" s="25"/>
      <c r="R124" s="34">
        <v>-3535</v>
      </c>
      <c r="S124" s="34"/>
      <c r="T124" s="53"/>
      <c r="U124" s="25"/>
      <c r="V124" s="5"/>
    </row>
    <row r="125" spans="1:22" ht="15.6" x14ac:dyDescent="0.3">
      <c r="A125" s="24"/>
      <c r="B125" s="25" t="s">
        <v>197</v>
      </c>
      <c r="C125" s="25"/>
      <c r="D125" s="25"/>
      <c r="E125" s="25"/>
      <c r="F125" s="25"/>
      <c r="G125" s="25"/>
      <c r="H125" s="25"/>
      <c r="I125" s="25"/>
      <c r="J125" s="25"/>
      <c r="K125" s="25"/>
      <c r="L125" s="25"/>
      <c r="M125" s="25"/>
      <c r="N125" s="25"/>
      <c r="O125" s="25"/>
      <c r="P125" s="25"/>
      <c r="Q125" s="25"/>
      <c r="R125" s="34">
        <v>0</v>
      </c>
      <c r="S125" s="34"/>
      <c r="T125" s="53"/>
      <c r="U125" s="25"/>
      <c r="V125" s="5"/>
    </row>
    <row r="126" spans="1:22" ht="15.6" x14ac:dyDescent="0.3">
      <c r="A126" s="24"/>
      <c r="B126" s="25" t="s">
        <v>196</v>
      </c>
      <c r="C126" s="25"/>
      <c r="D126" s="25"/>
      <c r="E126" s="25"/>
      <c r="F126" s="25"/>
      <c r="G126" s="25"/>
      <c r="H126" s="25"/>
      <c r="I126" s="25"/>
      <c r="J126" s="25"/>
      <c r="K126" s="25"/>
      <c r="L126" s="25"/>
      <c r="M126" s="25"/>
      <c r="N126" s="25"/>
      <c r="O126" s="25"/>
      <c r="P126" s="25"/>
      <c r="Q126" s="25"/>
      <c r="R126" s="34">
        <v>0</v>
      </c>
      <c r="S126" s="34"/>
      <c r="T126" s="53"/>
      <c r="U126" s="25"/>
      <c r="V126" s="5"/>
    </row>
    <row r="127" spans="1:22" ht="15.6" x14ac:dyDescent="0.3">
      <c r="A127" s="24"/>
      <c r="B127" s="25" t="s">
        <v>195</v>
      </c>
      <c r="C127" s="25"/>
      <c r="D127" s="25"/>
      <c r="E127" s="25"/>
      <c r="F127" s="25"/>
      <c r="G127" s="25"/>
      <c r="H127" s="25"/>
      <c r="I127" s="25"/>
      <c r="J127" s="25"/>
      <c r="K127" s="25"/>
      <c r="L127" s="25"/>
      <c r="M127" s="25"/>
      <c r="N127" s="25"/>
      <c r="O127" s="25"/>
      <c r="P127" s="25"/>
      <c r="Q127" s="25"/>
      <c r="R127" s="34">
        <v>0</v>
      </c>
      <c r="S127" s="34"/>
      <c r="T127" s="53"/>
      <c r="U127" s="25"/>
      <c r="V127" s="5"/>
    </row>
    <row r="128" spans="1:22" ht="15.6" x14ac:dyDescent="0.3">
      <c r="A128" s="24"/>
      <c r="B128" s="25" t="s">
        <v>40</v>
      </c>
      <c r="C128" s="25"/>
      <c r="D128" s="25"/>
      <c r="E128" s="25"/>
      <c r="F128" s="25"/>
      <c r="G128" s="25"/>
      <c r="H128" s="25"/>
      <c r="I128" s="25"/>
      <c r="J128" s="25"/>
      <c r="K128" s="25"/>
      <c r="L128" s="25"/>
      <c r="M128" s="25"/>
      <c r="N128" s="25"/>
      <c r="O128" s="25"/>
      <c r="P128" s="25"/>
      <c r="Q128" s="25"/>
      <c r="R128" s="34">
        <f>SUM(R119:R127)</f>
        <v>-24733</v>
      </c>
      <c r="S128" s="34"/>
      <c r="T128" s="34">
        <f>SUM(T101:T126)</f>
        <v>-16647</v>
      </c>
      <c r="U128" s="25"/>
      <c r="V128" s="5"/>
    </row>
    <row r="129" spans="1:23" ht="15.6" x14ac:dyDescent="0.3">
      <c r="A129" s="24"/>
      <c r="B129" s="25" t="s">
        <v>41</v>
      </c>
      <c r="C129" s="25"/>
      <c r="D129" s="25"/>
      <c r="E129" s="25"/>
      <c r="F129" s="25"/>
      <c r="G129" s="25"/>
      <c r="H129" s="25"/>
      <c r="I129" s="25"/>
      <c r="J129" s="25"/>
      <c r="K129" s="25"/>
      <c r="L129" s="25"/>
      <c r="M129" s="25"/>
      <c r="N129" s="25"/>
      <c r="O129" s="25"/>
      <c r="P129" s="25"/>
      <c r="Q129" s="25"/>
      <c r="R129" s="34">
        <f>R100+R128+R112</f>
        <v>0</v>
      </c>
      <c r="S129" s="34"/>
      <c r="T129" s="34">
        <f>T100+T128</f>
        <v>0</v>
      </c>
      <c r="U129" s="25"/>
      <c r="V129" s="5"/>
    </row>
    <row r="130" spans="1:23" ht="15.6" x14ac:dyDescent="0.3">
      <c r="A130" s="24"/>
      <c r="B130" s="25"/>
      <c r="C130" s="25"/>
      <c r="D130" s="25"/>
      <c r="E130" s="25"/>
      <c r="F130" s="25"/>
      <c r="G130" s="25"/>
      <c r="H130" s="25"/>
      <c r="I130" s="25"/>
      <c r="J130" s="25"/>
      <c r="K130" s="25"/>
      <c r="L130" s="25"/>
      <c r="M130" s="25"/>
      <c r="N130" s="25"/>
      <c r="O130" s="25"/>
      <c r="P130" s="25"/>
      <c r="Q130" s="25"/>
      <c r="R130" s="34"/>
      <c r="S130" s="34"/>
      <c r="T130" s="34"/>
      <c r="U130" s="25"/>
      <c r="V130" s="5"/>
    </row>
    <row r="131" spans="1:23" ht="15.6" x14ac:dyDescent="0.3">
      <c r="A131" s="6"/>
      <c r="B131" s="8"/>
      <c r="C131" s="8"/>
      <c r="D131" s="8"/>
      <c r="E131" s="8"/>
      <c r="F131" s="8"/>
      <c r="G131" s="8"/>
      <c r="H131" s="8"/>
      <c r="I131" s="8"/>
      <c r="J131" s="8"/>
      <c r="K131" s="8"/>
      <c r="L131" s="8"/>
      <c r="M131" s="8"/>
      <c r="N131" s="8"/>
      <c r="O131" s="8"/>
      <c r="P131" s="8"/>
      <c r="Q131" s="8"/>
      <c r="R131" s="8"/>
      <c r="S131" s="8"/>
      <c r="T131" s="52"/>
      <c r="U131" s="8"/>
      <c r="V131" s="5"/>
    </row>
    <row r="132" spans="1:23" ht="18" thickBot="1" x14ac:dyDescent="0.35">
      <c r="A132" s="101"/>
      <c r="B132" s="102" t="str">
        <f>B64</f>
        <v>PM11 INVESTOR REPORT QUARTER ENDING JUNE 2007</v>
      </c>
      <c r="C132" s="103"/>
      <c r="D132" s="103"/>
      <c r="E132" s="103"/>
      <c r="F132" s="103"/>
      <c r="G132" s="103"/>
      <c r="H132" s="103"/>
      <c r="I132" s="103"/>
      <c r="J132" s="103"/>
      <c r="K132" s="103"/>
      <c r="L132" s="103"/>
      <c r="M132" s="103"/>
      <c r="N132" s="103"/>
      <c r="O132" s="103"/>
      <c r="P132" s="103"/>
      <c r="Q132" s="103"/>
      <c r="R132" s="103"/>
      <c r="S132" s="103"/>
      <c r="T132" s="106"/>
      <c r="U132" s="105"/>
      <c r="V132" s="5"/>
    </row>
    <row r="133" spans="1:23" ht="15.6" x14ac:dyDescent="0.3">
      <c r="A133" s="2"/>
      <c r="B133" s="60" t="s">
        <v>42</v>
      </c>
      <c r="C133" s="4"/>
      <c r="D133" s="4"/>
      <c r="E133" s="4"/>
      <c r="F133" s="4"/>
      <c r="G133" s="4"/>
      <c r="H133" s="4"/>
      <c r="I133" s="4"/>
      <c r="J133" s="4"/>
      <c r="K133" s="4"/>
      <c r="L133" s="4"/>
      <c r="M133" s="4"/>
      <c r="N133" s="4"/>
      <c r="O133" s="4"/>
      <c r="P133" s="4"/>
      <c r="Q133" s="4"/>
      <c r="R133" s="4"/>
      <c r="S133" s="4"/>
      <c r="T133" s="50"/>
      <c r="U133" s="4"/>
      <c r="V133" s="5"/>
    </row>
    <row r="134" spans="1:23" ht="15.6" x14ac:dyDescent="0.3">
      <c r="A134" s="6"/>
      <c r="B134" s="21"/>
      <c r="C134" s="8"/>
      <c r="D134" s="8"/>
      <c r="E134" s="8"/>
      <c r="F134" s="8"/>
      <c r="G134" s="8"/>
      <c r="H134" s="8"/>
      <c r="I134" s="8"/>
      <c r="J134" s="8"/>
      <c r="K134" s="8"/>
      <c r="L134" s="8"/>
      <c r="M134" s="8"/>
      <c r="N134" s="8"/>
      <c r="O134" s="8"/>
      <c r="P134" s="8"/>
      <c r="Q134" s="8"/>
      <c r="R134" s="8"/>
      <c r="S134" s="8"/>
      <c r="T134" s="52"/>
      <c r="U134" s="8"/>
      <c r="V134" s="5"/>
    </row>
    <row r="135" spans="1:23" ht="15.6" x14ac:dyDescent="0.3">
      <c r="A135" s="6"/>
      <c r="B135" s="119" t="s">
        <v>43</v>
      </c>
      <c r="C135" s="8"/>
      <c r="D135" s="8"/>
      <c r="E135" s="8"/>
      <c r="F135" s="8"/>
      <c r="G135" s="8"/>
      <c r="H135" s="8"/>
      <c r="I135" s="8"/>
      <c r="J135" s="8"/>
      <c r="K135" s="8"/>
      <c r="L135" s="8"/>
      <c r="M135" s="8"/>
      <c r="N135" s="8"/>
      <c r="O135" s="8"/>
      <c r="P135" s="8"/>
      <c r="Q135" s="8"/>
      <c r="R135" s="8"/>
      <c r="S135" s="8"/>
      <c r="T135" s="52"/>
      <c r="U135" s="8"/>
      <c r="V135" s="5"/>
    </row>
    <row r="136" spans="1:23" ht="15.6" x14ac:dyDescent="0.3">
      <c r="A136" s="24"/>
      <c r="B136" s="25" t="s">
        <v>44</v>
      </c>
      <c r="C136" s="25"/>
      <c r="D136" s="25"/>
      <c r="E136" s="25"/>
      <c r="F136" s="25"/>
      <c r="G136" s="25"/>
      <c r="H136" s="25"/>
      <c r="I136" s="25"/>
      <c r="J136" s="25"/>
      <c r="K136" s="25"/>
      <c r="L136" s="25"/>
      <c r="M136" s="25"/>
      <c r="N136" s="25"/>
      <c r="O136" s="25"/>
      <c r="P136" s="25"/>
      <c r="Q136" s="25"/>
      <c r="R136" s="25"/>
      <c r="S136" s="25"/>
      <c r="T136" s="53">
        <f>+T34*0.019</f>
        <v>19000.95</v>
      </c>
      <c r="U136" s="25"/>
      <c r="V136" s="5"/>
    </row>
    <row r="137" spans="1:23" ht="15.6" x14ac:dyDescent="0.3">
      <c r="A137" s="24"/>
      <c r="B137" s="25" t="s">
        <v>45</v>
      </c>
      <c r="C137" s="25"/>
      <c r="D137" s="25"/>
      <c r="E137" s="25"/>
      <c r="F137" s="25"/>
      <c r="G137" s="25"/>
      <c r="H137" s="25"/>
      <c r="I137" s="25"/>
      <c r="J137" s="25"/>
      <c r="K137" s="25"/>
      <c r="L137" s="25"/>
      <c r="M137" s="25"/>
      <c r="N137" s="25"/>
      <c r="O137" s="25"/>
      <c r="P137" s="25"/>
      <c r="Q137" s="25"/>
      <c r="R137" s="25"/>
      <c r="S137" s="25"/>
      <c r="T137" s="53">
        <v>19001</v>
      </c>
      <c r="U137" s="25"/>
      <c r="V137" s="5"/>
    </row>
    <row r="138" spans="1:23" ht="15.6" x14ac:dyDescent="0.3">
      <c r="A138" s="24"/>
      <c r="B138" s="25" t="s">
        <v>142</v>
      </c>
      <c r="C138" s="25"/>
      <c r="D138" s="25"/>
      <c r="E138" s="25"/>
      <c r="F138" s="25"/>
      <c r="G138" s="25"/>
      <c r="H138" s="25"/>
      <c r="I138" s="25"/>
      <c r="J138" s="25"/>
      <c r="K138" s="25"/>
      <c r="L138" s="25"/>
      <c r="M138" s="25"/>
      <c r="N138" s="25"/>
      <c r="O138" s="25"/>
      <c r="P138" s="25"/>
      <c r="Q138" s="25"/>
      <c r="R138" s="25"/>
      <c r="S138" s="25"/>
      <c r="T138" s="53">
        <v>0</v>
      </c>
      <c r="U138" s="25"/>
      <c r="V138" s="5"/>
    </row>
    <row r="139" spans="1:23" ht="15.6" x14ac:dyDescent="0.3">
      <c r="A139" s="24"/>
      <c r="B139" s="25" t="s">
        <v>129</v>
      </c>
      <c r="C139" s="25"/>
      <c r="D139" s="25"/>
      <c r="E139" s="25"/>
      <c r="F139" s="25"/>
      <c r="G139" s="25"/>
      <c r="H139" s="25"/>
      <c r="I139" s="25"/>
      <c r="J139" s="25"/>
      <c r="K139" s="25"/>
      <c r="L139" s="25"/>
      <c r="M139" s="25"/>
      <c r="N139" s="25"/>
      <c r="O139" s="25"/>
      <c r="P139" s="25"/>
      <c r="Q139" s="25"/>
      <c r="R139" s="25"/>
      <c r="S139" s="25"/>
      <c r="T139" s="53">
        <v>0</v>
      </c>
      <c r="U139" s="25"/>
      <c r="V139" s="5"/>
    </row>
    <row r="140" spans="1:23" ht="15.6" x14ac:dyDescent="0.3">
      <c r="A140" s="24"/>
      <c r="B140" s="25" t="s">
        <v>130</v>
      </c>
      <c r="C140" s="25"/>
      <c r="D140" s="25"/>
      <c r="E140" s="25"/>
      <c r="F140" s="25"/>
      <c r="G140" s="25"/>
      <c r="H140" s="25"/>
      <c r="I140" s="25"/>
      <c r="J140" s="25"/>
      <c r="K140" s="25"/>
      <c r="L140" s="25"/>
      <c r="M140" s="25"/>
      <c r="N140" s="25"/>
      <c r="O140" s="25"/>
      <c r="P140" s="25"/>
      <c r="Q140" s="25"/>
      <c r="R140" s="25"/>
      <c r="S140" s="25"/>
      <c r="T140" s="53">
        <v>0</v>
      </c>
      <c r="U140" s="25"/>
      <c r="V140" s="5"/>
    </row>
    <row r="141" spans="1:23" ht="15.6" x14ac:dyDescent="0.3">
      <c r="A141" s="24"/>
      <c r="B141" s="25" t="s">
        <v>182</v>
      </c>
      <c r="C141" s="25"/>
      <c r="D141" s="25"/>
      <c r="E141" s="25"/>
      <c r="F141" s="25"/>
      <c r="G141" s="25"/>
      <c r="H141" s="25"/>
      <c r="I141" s="25"/>
      <c r="J141" s="25"/>
      <c r="K141" s="25"/>
      <c r="L141" s="25"/>
      <c r="M141" s="25"/>
      <c r="N141" s="25"/>
      <c r="O141" s="25"/>
      <c r="P141" s="25"/>
      <c r="Q141" s="25"/>
      <c r="R141" s="25"/>
      <c r="S141" s="25"/>
      <c r="T141" s="53">
        <v>0</v>
      </c>
      <c r="U141" s="25"/>
      <c r="V141" s="5"/>
    </row>
    <row r="142" spans="1:23" ht="15.6" x14ac:dyDescent="0.3">
      <c r="A142" s="24"/>
      <c r="B142" s="25" t="s">
        <v>46</v>
      </c>
      <c r="C142" s="25"/>
      <c r="D142" s="25"/>
      <c r="E142" s="25"/>
      <c r="F142" s="25"/>
      <c r="G142" s="25"/>
      <c r="H142" s="25"/>
      <c r="I142" s="25"/>
      <c r="J142" s="25"/>
      <c r="K142" s="25"/>
      <c r="L142" s="25"/>
      <c r="M142" s="25"/>
      <c r="N142" s="25"/>
      <c r="O142" s="25"/>
      <c r="P142" s="25"/>
      <c r="Q142" s="25"/>
      <c r="R142" s="25"/>
      <c r="S142" s="25"/>
      <c r="T142" s="53">
        <v>0</v>
      </c>
      <c r="U142" s="25"/>
      <c r="V142" s="5"/>
    </row>
    <row r="143" spans="1:23" ht="15.6" x14ac:dyDescent="0.3">
      <c r="A143" s="24"/>
      <c r="B143" s="25" t="s">
        <v>135</v>
      </c>
      <c r="C143" s="25"/>
      <c r="D143" s="25"/>
      <c r="E143" s="25"/>
      <c r="F143" s="25"/>
      <c r="G143" s="25"/>
      <c r="H143" s="25"/>
      <c r="I143" s="25"/>
      <c r="J143" s="25"/>
      <c r="K143" s="25"/>
      <c r="L143" s="25"/>
      <c r="M143" s="25"/>
      <c r="N143" s="25"/>
      <c r="O143" s="25"/>
      <c r="P143" s="25"/>
      <c r="Q143" s="25"/>
      <c r="R143" s="25"/>
      <c r="S143" s="25"/>
      <c r="T143" s="53">
        <v>0</v>
      </c>
      <c r="U143" s="25"/>
      <c r="V143" s="5"/>
    </row>
    <row r="144" spans="1:23" ht="15.6" x14ac:dyDescent="0.3">
      <c r="A144" s="24"/>
      <c r="B144" s="25" t="s">
        <v>251</v>
      </c>
      <c r="C144" s="25"/>
      <c r="D144" s="25"/>
      <c r="E144" s="25"/>
      <c r="F144" s="25"/>
      <c r="G144" s="25"/>
      <c r="H144" s="25"/>
      <c r="I144" s="25"/>
      <c r="J144" s="25"/>
      <c r="K144" s="25"/>
      <c r="L144" s="25"/>
      <c r="M144" s="25"/>
      <c r="N144" s="25"/>
      <c r="O144" s="25"/>
      <c r="P144" s="25"/>
      <c r="Q144" s="25"/>
      <c r="R144" s="25"/>
      <c r="S144" s="25"/>
      <c r="T144" s="53">
        <v>0</v>
      </c>
      <c r="U144" s="25"/>
      <c r="V144" s="5"/>
      <c r="W144" s="109"/>
    </row>
    <row r="145" spans="1:22" ht="15.6" x14ac:dyDescent="0.3">
      <c r="A145" s="24"/>
      <c r="B145" s="25" t="s">
        <v>47</v>
      </c>
      <c r="C145" s="25"/>
      <c r="D145" s="25"/>
      <c r="E145" s="25"/>
      <c r="F145" s="25"/>
      <c r="G145" s="25"/>
      <c r="H145" s="25"/>
      <c r="I145" s="25"/>
      <c r="J145" s="25"/>
      <c r="K145" s="25"/>
      <c r="L145" s="25"/>
      <c r="M145" s="25"/>
      <c r="N145" s="25"/>
      <c r="O145" s="25"/>
      <c r="P145" s="25"/>
      <c r="Q145" s="25"/>
      <c r="R145" s="25"/>
      <c r="S145" s="25"/>
      <c r="T145" s="53">
        <f>SUM(T137:T144)</f>
        <v>19001</v>
      </c>
      <c r="U145" s="25"/>
      <c r="V145" s="5"/>
    </row>
    <row r="146" spans="1:22" ht="15.6" x14ac:dyDescent="0.3">
      <c r="A146" s="24"/>
      <c r="B146" s="25"/>
      <c r="C146" s="25"/>
      <c r="D146" s="25"/>
      <c r="E146" s="25"/>
      <c r="F146" s="25"/>
      <c r="G146" s="25"/>
      <c r="H146" s="25"/>
      <c r="I146" s="25"/>
      <c r="J146" s="25"/>
      <c r="K146" s="25"/>
      <c r="L146" s="25"/>
      <c r="M146" s="25"/>
      <c r="N146" s="25"/>
      <c r="O146" s="25"/>
      <c r="P146" s="25"/>
      <c r="Q146" s="25"/>
      <c r="R146" s="25"/>
      <c r="S146" s="25"/>
      <c r="T146" s="53"/>
      <c r="U146" s="25"/>
      <c r="V146" s="5"/>
    </row>
    <row r="147" spans="1:22" ht="15.6" x14ac:dyDescent="0.3">
      <c r="A147" s="24"/>
      <c r="B147" s="138" t="s">
        <v>262</v>
      </c>
      <c r="C147" s="25"/>
      <c r="D147" s="25"/>
      <c r="E147" s="25"/>
      <c r="F147" s="25"/>
      <c r="G147" s="25"/>
      <c r="H147" s="25"/>
      <c r="I147" s="25"/>
      <c r="J147" s="25"/>
      <c r="K147" s="25"/>
      <c r="L147" s="25"/>
      <c r="M147" s="25"/>
      <c r="N147" s="25"/>
      <c r="O147" s="25"/>
      <c r="P147" s="25"/>
      <c r="Q147" s="25"/>
      <c r="R147" s="25"/>
      <c r="S147" s="25"/>
      <c r="T147" s="53"/>
      <c r="U147" s="25"/>
      <c r="V147" s="5"/>
    </row>
    <row r="148" spans="1:22" ht="15.6" x14ac:dyDescent="0.3">
      <c r="A148" s="24"/>
      <c r="B148" s="25" t="s">
        <v>263</v>
      </c>
      <c r="C148" s="25"/>
      <c r="D148" s="25"/>
      <c r="E148" s="25"/>
      <c r="F148" s="25"/>
      <c r="G148" s="25"/>
      <c r="H148" s="25"/>
      <c r="I148" s="25"/>
      <c r="J148" s="25"/>
      <c r="K148" s="25"/>
      <c r="L148" s="25"/>
      <c r="M148" s="25"/>
      <c r="N148" s="25"/>
      <c r="O148" s="25"/>
      <c r="P148" s="25"/>
      <c r="Q148" s="25"/>
      <c r="R148" s="25"/>
      <c r="S148" s="25"/>
      <c r="T148" s="53">
        <v>0</v>
      </c>
      <c r="U148" s="25"/>
      <c r="V148" s="5"/>
    </row>
    <row r="149" spans="1:22" ht="15.6" x14ac:dyDescent="0.3">
      <c r="A149" s="24"/>
      <c r="B149" s="25" t="s">
        <v>179</v>
      </c>
      <c r="C149" s="25"/>
      <c r="D149" s="25"/>
      <c r="E149" s="25"/>
      <c r="F149" s="25"/>
      <c r="G149" s="25"/>
      <c r="H149" s="25"/>
      <c r="I149" s="25"/>
      <c r="J149" s="25"/>
      <c r="K149" s="25"/>
      <c r="L149" s="25"/>
      <c r="M149" s="25"/>
      <c r="N149" s="25"/>
      <c r="O149" s="25"/>
      <c r="P149" s="25"/>
      <c r="Q149" s="25"/>
      <c r="R149" s="25"/>
      <c r="S149" s="25"/>
      <c r="T149" s="53">
        <v>0</v>
      </c>
      <c r="U149" s="25"/>
      <c r="V149" s="5"/>
    </row>
    <row r="150" spans="1:22" ht="15.6" x14ac:dyDescent="0.3">
      <c r="A150" s="24"/>
      <c r="B150" s="25" t="s">
        <v>264</v>
      </c>
      <c r="C150" s="25"/>
      <c r="D150" s="25"/>
      <c r="E150" s="25"/>
      <c r="F150" s="25"/>
      <c r="G150" s="25"/>
      <c r="H150" s="25"/>
      <c r="I150" s="25"/>
      <c r="J150" s="25"/>
      <c r="K150" s="25"/>
      <c r="L150" s="25"/>
      <c r="M150" s="25"/>
      <c r="N150" s="25"/>
      <c r="O150" s="25"/>
      <c r="P150" s="25"/>
      <c r="Q150" s="25"/>
      <c r="R150" s="25"/>
      <c r="S150" s="25"/>
      <c r="T150" s="53">
        <v>0</v>
      </c>
      <c r="U150" s="25"/>
      <c r="V150" s="5"/>
    </row>
    <row r="151" spans="1:22" ht="15.6" x14ac:dyDescent="0.3">
      <c r="A151" s="24"/>
      <c r="B151" s="25"/>
      <c r="C151" s="25"/>
      <c r="D151" s="25"/>
      <c r="E151" s="25"/>
      <c r="F151" s="25"/>
      <c r="G151" s="25"/>
      <c r="H151" s="25"/>
      <c r="I151" s="25"/>
      <c r="J151" s="25"/>
      <c r="K151" s="25"/>
      <c r="L151" s="25"/>
      <c r="M151" s="25"/>
      <c r="N151" s="25"/>
      <c r="O151" s="25"/>
      <c r="P151" s="25"/>
      <c r="Q151" s="25"/>
      <c r="R151" s="25"/>
      <c r="S151" s="25"/>
      <c r="T151" s="53"/>
      <c r="U151" s="25"/>
      <c r="V151" s="5"/>
    </row>
    <row r="152" spans="1:22" ht="15.6" x14ac:dyDescent="0.3">
      <c r="A152" s="24"/>
      <c r="B152" s="25"/>
      <c r="C152" s="25"/>
      <c r="D152" s="25"/>
      <c r="E152" s="25"/>
      <c r="F152" s="25"/>
      <c r="G152" s="25"/>
      <c r="H152" s="25"/>
      <c r="I152" s="25"/>
      <c r="J152" s="25"/>
      <c r="K152" s="25"/>
      <c r="L152" s="25"/>
      <c r="M152" s="25"/>
      <c r="N152" s="25"/>
      <c r="O152" s="25"/>
      <c r="P152" s="25"/>
      <c r="Q152" s="25"/>
      <c r="R152" s="25"/>
      <c r="S152" s="25"/>
      <c r="T152" s="61"/>
      <c r="U152" s="25"/>
      <c r="V152" s="5"/>
    </row>
    <row r="153" spans="1:22" ht="15.6" x14ac:dyDescent="0.3">
      <c r="A153" s="6"/>
      <c r="B153" s="119" t="s">
        <v>24</v>
      </c>
      <c r="C153" s="8"/>
      <c r="D153" s="8"/>
      <c r="E153" s="8"/>
      <c r="F153" s="8"/>
      <c r="G153" s="8"/>
      <c r="H153" s="8"/>
      <c r="I153" s="8"/>
      <c r="J153" s="8"/>
      <c r="K153" s="8"/>
      <c r="L153" s="8"/>
      <c r="M153" s="8"/>
      <c r="N153" s="8"/>
      <c r="O153" s="8"/>
      <c r="P153" s="8"/>
      <c r="Q153" s="8"/>
      <c r="R153" s="8"/>
      <c r="S153" s="8"/>
      <c r="T153" s="52"/>
      <c r="U153" s="8"/>
      <c r="V153" s="5"/>
    </row>
    <row r="154" spans="1:22" ht="15.6" x14ac:dyDescent="0.3">
      <c r="A154" s="24"/>
      <c r="B154" s="25" t="s">
        <v>48</v>
      </c>
      <c r="C154" s="25"/>
      <c r="D154" s="25"/>
      <c r="E154" s="25"/>
      <c r="F154" s="25"/>
      <c r="G154" s="25"/>
      <c r="H154" s="25"/>
      <c r="I154" s="25"/>
      <c r="J154" s="25"/>
      <c r="K154" s="25"/>
      <c r="L154" s="25"/>
      <c r="M154" s="25"/>
      <c r="N154" s="25"/>
      <c r="O154" s="25"/>
      <c r="P154" s="25"/>
      <c r="Q154" s="25"/>
      <c r="R154" s="25"/>
      <c r="S154" s="25"/>
      <c r="T154" s="59" t="s">
        <v>124</v>
      </c>
      <c r="U154" s="25"/>
      <c r="V154" s="5"/>
    </row>
    <row r="155" spans="1:22" ht="15.6" x14ac:dyDescent="0.3">
      <c r="A155" s="24"/>
      <c r="B155" s="25" t="s">
        <v>49</v>
      </c>
      <c r="C155" s="163"/>
      <c r="D155" s="163"/>
      <c r="E155" s="163"/>
      <c r="F155" s="163"/>
      <c r="G155" s="163"/>
      <c r="H155" s="163"/>
      <c r="I155" s="163"/>
      <c r="J155" s="163"/>
      <c r="K155" s="163"/>
      <c r="L155" s="163"/>
      <c r="M155" s="163"/>
      <c r="N155" s="163"/>
      <c r="O155" s="163"/>
      <c r="P155" s="163"/>
      <c r="Q155" s="163"/>
      <c r="R155" s="163"/>
      <c r="S155" s="163"/>
      <c r="T155" s="59" t="s">
        <v>124</v>
      </c>
      <c r="U155" s="25"/>
      <c r="V155" s="5"/>
    </row>
    <row r="156" spans="1:22" ht="15.6" x14ac:dyDescent="0.3">
      <c r="A156" s="24"/>
      <c r="B156" s="25" t="s">
        <v>50</v>
      </c>
      <c r="C156" s="25"/>
      <c r="D156" s="25"/>
      <c r="E156" s="25"/>
      <c r="F156" s="25"/>
      <c r="G156" s="25"/>
      <c r="H156" s="25"/>
      <c r="I156" s="25"/>
      <c r="J156" s="25"/>
      <c r="K156" s="25"/>
      <c r="L156" s="25"/>
      <c r="M156" s="25"/>
      <c r="N156" s="25"/>
      <c r="O156" s="25"/>
      <c r="P156" s="25"/>
      <c r="Q156" s="25"/>
      <c r="R156" s="25"/>
      <c r="S156" s="25"/>
      <c r="T156" s="59" t="s">
        <v>124</v>
      </c>
      <c r="U156" s="25"/>
      <c r="V156" s="5"/>
    </row>
    <row r="157" spans="1:22" ht="15.6" x14ac:dyDescent="0.3">
      <c r="A157" s="24"/>
      <c r="B157" s="25" t="s">
        <v>51</v>
      </c>
      <c r="C157" s="25"/>
      <c r="D157" s="25"/>
      <c r="E157" s="25"/>
      <c r="F157" s="25"/>
      <c r="G157" s="25"/>
      <c r="H157" s="25"/>
      <c r="I157" s="25"/>
      <c r="J157" s="25"/>
      <c r="K157" s="25"/>
      <c r="L157" s="25"/>
      <c r="M157" s="25"/>
      <c r="N157" s="25"/>
      <c r="O157" s="25"/>
      <c r="P157" s="25"/>
      <c r="Q157" s="25"/>
      <c r="R157" s="25"/>
      <c r="S157" s="25"/>
      <c r="T157" s="59" t="s">
        <v>124</v>
      </c>
      <c r="U157" s="25"/>
      <c r="V157" s="5"/>
    </row>
    <row r="158" spans="1:22" ht="15.6" x14ac:dyDescent="0.3">
      <c r="A158" s="24"/>
      <c r="B158" s="25"/>
      <c r="C158" s="25"/>
      <c r="D158" s="25"/>
      <c r="E158" s="25"/>
      <c r="F158" s="25"/>
      <c r="G158" s="25"/>
      <c r="H158" s="25"/>
      <c r="I158" s="25"/>
      <c r="J158" s="25"/>
      <c r="K158" s="25"/>
      <c r="L158" s="25"/>
      <c r="M158" s="25"/>
      <c r="N158" s="25"/>
      <c r="O158" s="25"/>
      <c r="P158" s="25"/>
      <c r="Q158" s="25"/>
      <c r="R158" s="25"/>
      <c r="S158" s="25"/>
      <c r="T158" s="61"/>
      <c r="U158" s="25"/>
      <c r="V158" s="5"/>
    </row>
    <row r="159" spans="1:22" ht="15.6" x14ac:dyDescent="0.3">
      <c r="A159" s="6"/>
      <c r="B159" s="119" t="s">
        <v>52</v>
      </c>
      <c r="C159" s="8"/>
      <c r="D159" s="8"/>
      <c r="E159" s="8"/>
      <c r="F159" s="8"/>
      <c r="G159" s="8"/>
      <c r="H159" s="8"/>
      <c r="I159" s="8"/>
      <c r="J159" s="8"/>
      <c r="K159" s="8"/>
      <c r="L159" s="8"/>
      <c r="M159" s="8"/>
      <c r="N159" s="8"/>
      <c r="O159" s="8"/>
      <c r="P159" s="8"/>
      <c r="Q159" s="8"/>
      <c r="R159" s="8"/>
      <c r="S159" s="8"/>
      <c r="T159" s="63"/>
      <c r="U159" s="8"/>
      <c r="V159" s="5"/>
    </row>
    <row r="160" spans="1:22" ht="15.6" x14ac:dyDescent="0.3">
      <c r="A160" s="24"/>
      <c r="B160" s="25" t="s">
        <v>53</v>
      </c>
      <c r="C160" s="25"/>
      <c r="D160" s="25"/>
      <c r="E160" s="25"/>
      <c r="F160" s="25"/>
      <c r="G160" s="25"/>
      <c r="H160" s="25"/>
      <c r="I160" s="25"/>
      <c r="J160" s="25"/>
      <c r="K160" s="25"/>
      <c r="L160" s="25"/>
      <c r="M160" s="25"/>
      <c r="N160" s="25"/>
      <c r="O160" s="25"/>
      <c r="P160" s="25"/>
      <c r="Q160" s="25"/>
      <c r="R160" s="25"/>
      <c r="S160" s="25"/>
      <c r="T160" s="53">
        <v>0</v>
      </c>
      <c r="U160" s="25"/>
      <c r="V160" s="5"/>
    </row>
    <row r="161" spans="1:22" ht="15.6" x14ac:dyDescent="0.3">
      <c r="A161" s="24"/>
      <c r="B161" s="25" t="s">
        <v>54</v>
      </c>
      <c r="C161" s="25"/>
      <c r="D161" s="25"/>
      <c r="E161" s="25"/>
      <c r="F161" s="25"/>
      <c r="G161" s="25"/>
      <c r="H161" s="25"/>
      <c r="I161" s="25"/>
      <c r="J161" s="25"/>
      <c r="K161" s="25"/>
      <c r="L161" s="25"/>
      <c r="M161" s="25"/>
      <c r="N161" s="25"/>
      <c r="O161" s="25"/>
      <c r="P161" s="25"/>
      <c r="Q161" s="25"/>
      <c r="R161" s="25"/>
      <c r="S161" s="25"/>
      <c r="T161" s="53">
        <f>R112</f>
        <v>18</v>
      </c>
      <c r="U161" s="25"/>
      <c r="V161" s="5"/>
    </row>
    <row r="162" spans="1:22" ht="15.6" x14ac:dyDescent="0.3">
      <c r="A162" s="24"/>
      <c r="B162" s="25" t="s">
        <v>55</v>
      </c>
      <c r="C162" s="25"/>
      <c r="D162" s="25"/>
      <c r="E162" s="25"/>
      <c r="F162" s="25"/>
      <c r="G162" s="25"/>
      <c r="H162" s="25"/>
      <c r="I162" s="25"/>
      <c r="J162" s="25"/>
      <c r="K162" s="25"/>
      <c r="L162" s="25"/>
      <c r="M162" s="25"/>
      <c r="N162" s="25"/>
      <c r="O162" s="25"/>
      <c r="P162" s="25"/>
      <c r="Q162" s="25"/>
      <c r="R162" s="25"/>
      <c r="S162" s="25"/>
      <c r="T162" s="53">
        <f>T161+T160</f>
        <v>18</v>
      </c>
      <c r="U162" s="25"/>
      <c r="V162" s="5"/>
    </row>
    <row r="163" spans="1:22" ht="15.6" x14ac:dyDescent="0.3">
      <c r="A163" s="24"/>
      <c r="B163" s="405" t="s">
        <v>301</v>
      </c>
      <c r="C163" s="25"/>
      <c r="D163" s="25"/>
      <c r="E163" s="25"/>
      <c r="F163" s="25"/>
      <c r="G163" s="25"/>
      <c r="H163" s="25"/>
      <c r="I163" s="25"/>
      <c r="J163" s="25"/>
      <c r="K163" s="25"/>
      <c r="L163" s="25"/>
      <c r="M163" s="25"/>
      <c r="N163" s="25"/>
      <c r="O163" s="25"/>
      <c r="P163" s="25"/>
      <c r="Q163" s="25"/>
      <c r="R163" s="25"/>
      <c r="S163" s="25"/>
      <c r="T163" s="53">
        <f>T112</f>
        <v>-18</v>
      </c>
      <c r="U163" s="25"/>
      <c r="V163" s="5"/>
    </row>
    <row r="164" spans="1:22" ht="15.6" x14ac:dyDescent="0.3">
      <c r="A164" s="24"/>
      <c r="B164" s="25" t="s">
        <v>56</v>
      </c>
      <c r="C164" s="25"/>
      <c r="D164" s="25"/>
      <c r="E164" s="25"/>
      <c r="F164" s="25"/>
      <c r="G164" s="25"/>
      <c r="H164" s="25"/>
      <c r="I164" s="25"/>
      <c r="J164" s="25"/>
      <c r="K164" s="25"/>
      <c r="L164" s="25"/>
      <c r="M164" s="25"/>
      <c r="N164" s="25"/>
      <c r="O164" s="25"/>
      <c r="P164" s="25"/>
      <c r="Q164" s="25"/>
      <c r="R164" s="25"/>
      <c r="S164" s="25"/>
      <c r="T164" s="53">
        <f>T162+T163</f>
        <v>0</v>
      </c>
      <c r="U164" s="25"/>
      <c r="V164" s="5"/>
    </row>
    <row r="165" spans="1:22" ht="16.2" thickBot="1" x14ac:dyDescent="0.35">
      <c r="A165" s="24"/>
      <c r="B165" s="25"/>
      <c r="C165" s="25"/>
      <c r="D165" s="25"/>
      <c r="E165" s="25"/>
      <c r="F165" s="25"/>
      <c r="G165" s="25"/>
      <c r="H165" s="25"/>
      <c r="I165" s="25"/>
      <c r="J165" s="25"/>
      <c r="K165" s="25"/>
      <c r="L165" s="25"/>
      <c r="M165" s="25"/>
      <c r="N165" s="25"/>
      <c r="O165" s="25"/>
      <c r="P165" s="25"/>
      <c r="Q165" s="25"/>
      <c r="R165" s="25"/>
      <c r="S165" s="25"/>
      <c r="T165" s="61"/>
      <c r="U165" s="25"/>
      <c r="V165" s="5"/>
    </row>
    <row r="166" spans="1:22" ht="15.6" x14ac:dyDescent="0.3">
      <c r="A166" s="2"/>
      <c r="B166" s="4"/>
      <c r="C166" s="4"/>
      <c r="D166" s="4"/>
      <c r="E166" s="4"/>
      <c r="F166" s="4"/>
      <c r="G166" s="4"/>
      <c r="H166" s="4"/>
      <c r="I166" s="4"/>
      <c r="J166" s="4"/>
      <c r="K166" s="4"/>
      <c r="L166" s="4"/>
      <c r="M166" s="4"/>
      <c r="N166" s="4"/>
      <c r="O166" s="4"/>
      <c r="P166" s="4"/>
      <c r="Q166" s="4"/>
      <c r="R166" s="4"/>
      <c r="S166" s="4"/>
      <c r="T166" s="50"/>
      <c r="U166" s="4"/>
      <c r="V166" s="5"/>
    </row>
    <row r="167" spans="1:22" ht="15.6" x14ac:dyDescent="0.3">
      <c r="A167" s="6"/>
      <c r="B167" s="119" t="s">
        <v>57</v>
      </c>
      <c r="C167" s="8"/>
      <c r="D167" s="8"/>
      <c r="E167" s="8"/>
      <c r="F167" s="8"/>
      <c r="G167" s="8"/>
      <c r="H167" s="8"/>
      <c r="I167" s="8"/>
      <c r="J167" s="8"/>
      <c r="K167" s="8"/>
      <c r="L167" s="8"/>
      <c r="M167" s="8"/>
      <c r="N167" s="8"/>
      <c r="O167" s="8"/>
      <c r="P167" s="8"/>
      <c r="Q167" s="8"/>
      <c r="R167" s="8"/>
      <c r="S167" s="8"/>
      <c r="T167" s="52"/>
      <c r="U167" s="8"/>
      <c r="V167" s="5"/>
    </row>
    <row r="168" spans="1:22" ht="15.6" x14ac:dyDescent="0.3">
      <c r="A168" s="6"/>
      <c r="B168" s="21"/>
      <c r="C168" s="8"/>
      <c r="D168" s="8"/>
      <c r="E168" s="8"/>
      <c r="F168" s="8"/>
      <c r="G168" s="8"/>
      <c r="H168" s="8"/>
      <c r="I168" s="8"/>
      <c r="J168" s="8"/>
      <c r="K168" s="8"/>
      <c r="L168" s="8"/>
      <c r="M168" s="8"/>
      <c r="N168" s="8"/>
      <c r="O168" s="8"/>
      <c r="P168" s="8"/>
      <c r="Q168" s="8"/>
      <c r="R168" s="8"/>
      <c r="S168" s="8"/>
      <c r="T168" s="52"/>
      <c r="U168" s="8"/>
      <c r="V168" s="5"/>
    </row>
    <row r="169" spans="1:22" ht="15.6" x14ac:dyDescent="0.3">
      <c r="A169" s="24"/>
      <c r="B169" s="25" t="s">
        <v>58</v>
      </c>
      <c r="C169" s="25"/>
      <c r="D169" s="25"/>
      <c r="E169" s="25"/>
      <c r="F169" s="25"/>
      <c r="G169" s="25"/>
      <c r="H169" s="25"/>
      <c r="I169" s="25"/>
      <c r="J169" s="25"/>
      <c r="K169" s="25"/>
      <c r="L169" s="25"/>
      <c r="M169" s="25"/>
      <c r="N169" s="25"/>
      <c r="O169" s="25"/>
      <c r="P169" s="25"/>
      <c r="Q169" s="25"/>
      <c r="R169" s="25"/>
      <c r="S169" s="25"/>
      <c r="T169" s="53">
        <f>T72</f>
        <v>912238</v>
      </c>
      <c r="U169" s="25"/>
      <c r="V169" s="5"/>
    </row>
    <row r="170" spans="1:22" ht="15.6" x14ac:dyDescent="0.3">
      <c r="A170" s="24"/>
      <c r="B170" s="25" t="s">
        <v>59</v>
      </c>
      <c r="C170" s="25"/>
      <c r="D170" s="25"/>
      <c r="E170" s="25"/>
      <c r="F170" s="25"/>
      <c r="G170" s="25"/>
      <c r="H170" s="25"/>
      <c r="I170" s="25"/>
      <c r="J170" s="25"/>
      <c r="K170" s="25"/>
      <c r="L170" s="25"/>
      <c r="M170" s="25"/>
      <c r="N170" s="25"/>
      <c r="O170" s="25"/>
      <c r="P170" s="25"/>
      <c r="Q170" s="25"/>
      <c r="R170" s="25"/>
      <c r="S170" s="25"/>
      <c r="T170" s="53">
        <f>T85</f>
        <v>912238</v>
      </c>
      <c r="U170" s="25"/>
      <c r="V170" s="5"/>
    </row>
    <row r="171" spans="1:22" ht="16.2" thickBot="1" x14ac:dyDescent="0.35">
      <c r="A171" s="24"/>
      <c r="B171" s="25"/>
      <c r="C171" s="25"/>
      <c r="D171" s="25"/>
      <c r="E171" s="25"/>
      <c r="F171" s="25"/>
      <c r="G171" s="25"/>
      <c r="H171" s="25"/>
      <c r="I171" s="25"/>
      <c r="J171" s="25"/>
      <c r="K171" s="25"/>
      <c r="L171" s="25"/>
      <c r="M171" s="25"/>
      <c r="N171" s="25"/>
      <c r="O171" s="25"/>
      <c r="P171" s="25"/>
      <c r="Q171" s="25"/>
      <c r="R171" s="25"/>
      <c r="S171" s="25"/>
      <c r="T171" s="61"/>
      <c r="U171" s="25"/>
      <c r="V171" s="5"/>
    </row>
    <row r="172" spans="1:22" ht="15.6" x14ac:dyDescent="0.3">
      <c r="A172" s="2"/>
      <c r="B172" s="4"/>
      <c r="C172" s="4"/>
      <c r="D172" s="4"/>
      <c r="E172" s="4"/>
      <c r="F172" s="4"/>
      <c r="G172" s="4"/>
      <c r="H172" s="4"/>
      <c r="I172" s="4"/>
      <c r="J172" s="4"/>
      <c r="K172" s="4"/>
      <c r="L172" s="4"/>
      <c r="M172" s="4"/>
      <c r="N172" s="4"/>
      <c r="O172" s="4"/>
      <c r="P172" s="4"/>
      <c r="Q172" s="4"/>
      <c r="R172" s="4"/>
      <c r="S172" s="4"/>
      <c r="T172" s="50"/>
      <c r="U172" s="4"/>
      <c r="V172" s="5"/>
    </row>
    <row r="173" spans="1:22" ht="15.6" x14ac:dyDescent="0.3">
      <c r="A173" s="6"/>
      <c r="B173" s="119" t="s">
        <v>60</v>
      </c>
      <c r="C173" s="117"/>
      <c r="D173" s="117"/>
      <c r="E173" s="117"/>
      <c r="F173" s="117"/>
      <c r="G173" s="117"/>
      <c r="H173" s="120"/>
      <c r="I173" s="120"/>
      <c r="J173" s="120"/>
      <c r="K173" s="120"/>
      <c r="L173" s="120"/>
      <c r="M173" s="120"/>
      <c r="N173" s="120"/>
      <c r="O173" s="120"/>
      <c r="P173" s="120"/>
      <c r="Q173" s="120" t="s">
        <v>104</v>
      </c>
      <c r="R173" s="120" t="s">
        <v>183</v>
      </c>
      <c r="S173" s="111"/>
      <c r="T173" s="121" t="s">
        <v>120</v>
      </c>
      <c r="U173" s="10"/>
      <c r="V173" s="5"/>
    </row>
    <row r="174" spans="1:22" ht="15.6" x14ac:dyDescent="0.3">
      <c r="A174" s="24"/>
      <c r="B174" s="25" t="s">
        <v>61</v>
      </c>
      <c r="C174" s="25"/>
      <c r="D174" s="25"/>
      <c r="E174" s="25"/>
      <c r="F174" s="25"/>
      <c r="G174" s="25"/>
      <c r="H174" s="25"/>
      <c r="I174" s="25"/>
      <c r="J174" s="25"/>
      <c r="K174" s="25"/>
      <c r="L174" s="25"/>
      <c r="M174" s="25"/>
      <c r="N174" s="25"/>
      <c r="O174" s="25"/>
      <c r="P174" s="25"/>
      <c r="Q174" s="53">
        <v>160008</v>
      </c>
      <c r="R174" s="40"/>
      <c r="S174" s="25"/>
      <c r="T174" s="53"/>
      <c r="U174" s="25"/>
      <c r="V174" s="5"/>
    </row>
    <row r="175" spans="1:22" ht="15.6" x14ac:dyDescent="0.3">
      <c r="A175" s="24"/>
      <c r="B175" s="25" t="s">
        <v>62</v>
      </c>
      <c r="C175" s="25"/>
      <c r="D175" s="25"/>
      <c r="E175" s="25"/>
      <c r="F175" s="25"/>
      <c r="G175" s="25"/>
      <c r="H175" s="25"/>
      <c r="I175" s="25"/>
      <c r="J175" s="25"/>
      <c r="K175" s="25"/>
      <c r="L175" s="25"/>
      <c r="M175" s="25"/>
      <c r="N175" s="25"/>
      <c r="O175" s="25"/>
      <c r="P175" s="25"/>
      <c r="Q175" s="53">
        <f>+'March 07'!Q177</f>
        <v>16152</v>
      </c>
      <c r="R175" s="53">
        <f>+'March 07'!R177</f>
        <v>2928</v>
      </c>
      <c r="S175" s="25"/>
      <c r="T175" s="53">
        <f>Q175+R175</f>
        <v>19080</v>
      </c>
      <c r="U175" s="25"/>
      <c r="V175" s="5"/>
    </row>
    <row r="176" spans="1:22" ht="15.6" x14ac:dyDescent="0.3">
      <c r="A176" s="24"/>
      <c r="B176" s="25" t="s">
        <v>63</v>
      </c>
      <c r="C176" s="25"/>
      <c r="D176" s="25"/>
      <c r="E176" s="25"/>
      <c r="F176" s="25"/>
      <c r="G176" s="25"/>
      <c r="H176" s="25"/>
      <c r="I176" s="25"/>
      <c r="J176" s="25"/>
      <c r="K176" s="25"/>
      <c r="L176" s="25"/>
      <c r="M176" s="25"/>
      <c r="N176" s="25"/>
      <c r="O176" s="25"/>
      <c r="P176" s="25"/>
      <c r="Q176" s="34">
        <v>4289</v>
      </c>
      <c r="R176" s="34">
        <v>61</v>
      </c>
      <c r="S176" s="25"/>
      <c r="T176" s="53">
        <f>Q176+R176</f>
        <v>4350</v>
      </c>
      <c r="U176" s="25"/>
      <c r="V176" s="5"/>
    </row>
    <row r="177" spans="1:22" ht="15.6" x14ac:dyDescent="0.3">
      <c r="A177" s="24"/>
      <c r="B177" s="25" t="s">
        <v>64</v>
      </c>
      <c r="C177" s="25"/>
      <c r="D177" s="25"/>
      <c r="E177" s="25"/>
      <c r="F177" s="25"/>
      <c r="G177" s="25"/>
      <c r="H177" s="25"/>
      <c r="I177" s="25"/>
      <c r="J177" s="25"/>
      <c r="K177" s="25"/>
      <c r="L177" s="25"/>
      <c r="M177" s="25"/>
      <c r="N177" s="25"/>
      <c r="O177" s="25"/>
      <c r="P177" s="25"/>
      <c r="Q177" s="53">
        <f>Q175+Q176</f>
        <v>20441</v>
      </c>
      <c r="R177" s="53">
        <f>R176+R175</f>
        <v>2989</v>
      </c>
      <c r="S177" s="25"/>
      <c r="T177" s="53">
        <f>Q177+R177</f>
        <v>23430</v>
      </c>
      <c r="U177" s="25"/>
      <c r="V177" s="5"/>
    </row>
    <row r="178" spans="1:22" ht="15.6" x14ac:dyDescent="0.3">
      <c r="A178" s="24"/>
      <c r="B178" s="25" t="s">
        <v>65</v>
      </c>
      <c r="C178" s="25"/>
      <c r="D178" s="25"/>
      <c r="E178" s="25"/>
      <c r="F178" s="25"/>
      <c r="G178" s="25"/>
      <c r="H178" s="25"/>
      <c r="I178" s="25"/>
      <c r="J178" s="25"/>
      <c r="K178" s="25"/>
      <c r="L178" s="25"/>
      <c r="M178" s="25"/>
      <c r="N178" s="25"/>
      <c r="O178" s="25"/>
      <c r="P178" s="25"/>
      <c r="Q178" s="53">
        <f>Q174-Q177-R177</f>
        <v>136578</v>
      </c>
      <c r="R178" s="40"/>
      <c r="S178" s="25"/>
      <c r="T178" s="53"/>
      <c r="U178" s="25"/>
      <c r="V178" s="5"/>
    </row>
    <row r="179" spans="1:22" ht="16.2" thickBot="1" x14ac:dyDescent="0.35">
      <c r="A179" s="24"/>
      <c r="B179" s="25"/>
      <c r="C179" s="25"/>
      <c r="D179" s="25"/>
      <c r="E179" s="25"/>
      <c r="F179" s="25"/>
      <c r="G179" s="25"/>
      <c r="H179" s="25"/>
      <c r="I179" s="25"/>
      <c r="J179" s="25"/>
      <c r="K179" s="25"/>
      <c r="L179" s="25"/>
      <c r="M179" s="25"/>
      <c r="N179" s="25"/>
      <c r="O179" s="25"/>
      <c r="P179" s="25"/>
      <c r="Q179" s="25"/>
      <c r="R179" s="25"/>
      <c r="S179" s="25"/>
      <c r="T179" s="61"/>
      <c r="U179" s="25"/>
      <c r="V179" s="5"/>
    </row>
    <row r="180" spans="1:22" ht="15.6" x14ac:dyDescent="0.3">
      <c r="A180" s="2"/>
      <c r="B180" s="4"/>
      <c r="C180" s="4"/>
      <c r="D180" s="4"/>
      <c r="E180" s="4"/>
      <c r="F180" s="4"/>
      <c r="G180" s="4"/>
      <c r="H180" s="4"/>
      <c r="I180" s="4"/>
      <c r="J180" s="4"/>
      <c r="K180" s="4"/>
      <c r="L180" s="4"/>
      <c r="M180" s="4"/>
      <c r="N180" s="4"/>
      <c r="O180" s="4"/>
      <c r="P180" s="4"/>
      <c r="Q180" s="4"/>
      <c r="R180" s="4"/>
      <c r="S180" s="4"/>
      <c r="T180" s="50"/>
      <c r="U180" s="4"/>
      <c r="V180" s="5"/>
    </row>
    <row r="181" spans="1:22" ht="15.6" x14ac:dyDescent="0.3">
      <c r="A181" s="6"/>
      <c r="B181" s="119" t="s">
        <v>66</v>
      </c>
      <c r="C181" s="8"/>
      <c r="D181" s="8"/>
      <c r="E181" s="8"/>
      <c r="F181" s="8"/>
      <c r="G181" s="8"/>
      <c r="H181" s="8"/>
      <c r="I181" s="8"/>
      <c r="J181" s="8"/>
      <c r="K181" s="8"/>
      <c r="L181" s="8"/>
      <c r="M181" s="8"/>
      <c r="N181" s="8"/>
      <c r="O181" s="8"/>
      <c r="P181" s="8"/>
      <c r="Q181" s="8"/>
      <c r="R181" s="8"/>
      <c r="S181" s="8"/>
      <c r="T181" s="65"/>
      <c r="U181" s="8"/>
      <c r="V181" s="5"/>
    </row>
    <row r="182" spans="1:22" ht="15.6" x14ac:dyDescent="0.3">
      <c r="A182" s="24"/>
      <c r="B182" s="25" t="s">
        <v>67</v>
      </c>
      <c r="C182" s="25"/>
      <c r="D182" s="25"/>
      <c r="E182" s="25"/>
      <c r="F182" s="25"/>
      <c r="G182" s="25"/>
      <c r="H182" s="25"/>
      <c r="I182" s="25"/>
      <c r="J182" s="25"/>
      <c r="K182" s="25"/>
      <c r="L182" s="25"/>
      <c r="M182" s="25"/>
      <c r="N182" s="25"/>
      <c r="O182" s="25"/>
      <c r="P182" s="25"/>
      <c r="Q182" s="25"/>
      <c r="R182" s="25"/>
      <c r="S182" s="25"/>
      <c r="T182" s="59">
        <f>(T100+T102+T103+T104+T105)/-(T106+T107)</f>
        <v>1.443606353713728</v>
      </c>
      <c r="U182" s="25" t="s">
        <v>121</v>
      </c>
      <c r="V182" s="5"/>
    </row>
    <row r="183" spans="1:22" ht="15.6" x14ac:dyDescent="0.3">
      <c r="A183" s="24"/>
      <c r="B183" s="25" t="s">
        <v>68</v>
      </c>
      <c r="C183" s="25"/>
      <c r="D183" s="25"/>
      <c r="E183" s="25"/>
      <c r="F183" s="25"/>
      <c r="G183" s="25"/>
      <c r="H183" s="25"/>
      <c r="I183" s="25"/>
      <c r="J183" s="25"/>
      <c r="K183" s="25"/>
      <c r="L183" s="25"/>
      <c r="M183" s="25"/>
      <c r="N183" s="25"/>
      <c r="O183" s="25"/>
      <c r="P183" s="25"/>
      <c r="Q183" s="25"/>
      <c r="R183" s="25"/>
      <c r="S183" s="25"/>
      <c r="T183" s="66">
        <v>1.43</v>
      </c>
      <c r="U183" s="25" t="s">
        <v>121</v>
      </c>
      <c r="V183" s="5"/>
    </row>
    <row r="184" spans="1:22" ht="15.6" x14ac:dyDescent="0.3">
      <c r="A184" s="24"/>
      <c r="B184" s="25" t="s">
        <v>69</v>
      </c>
      <c r="C184" s="25"/>
      <c r="D184" s="25"/>
      <c r="E184" s="25"/>
      <c r="F184" s="25"/>
      <c r="G184" s="25"/>
      <c r="H184" s="25"/>
      <c r="I184" s="25"/>
      <c r="J184" s="25"/>
      <c r="K184" s="25"/>
      <c r="L184" s="25"/>
      <c r="M184" s="25"/>
      <c r="N184" s="25"/>
      <c r="O184" s="25"/>
      <c r="P184" s="25"/>
      <c r="Q184" s="25"/>
      <c r="R184" s="25"/>
      <c r="S184" s="25"/>
      <c r="T184" s="59">
        <f>(T100+T102+T103+T104+T105+T106+T107)/-(T108+T109)</f>
        <v>4.7249527410207941</v>
      </c>
      <c r="U184" s="25" t="s">
        <v>121</v>
      </c>
      <c r="V184" s="5"/>
    </row>
    <row r="185" spans="1:22" ht="15.6" x14ac:dyDescent="0.3">
      <c r="A185" s="24"/>
      <c r="B185" s="25" t="s">
        <v>70</v>
      </c>
      <c r="C185" s="25"/>
      <c r="D185" s="25"/>
      <c r="E185" s="25"/>
      <c r="F185" s="25"/>
      <c r="G185" s="25"/>
      <c r="H185" s="25"/>
      <c r="I185" s="25"/>
      <c r="J185" s="25"/>
      <c r="K185" s="25"/>
      <c r="L185" s="25"/>
      <c r="M185" s="25"/>
      <c r="N185" s="25"/>
      <c r="O185" s="25"/>
      <c r="P185" s="25"/>
      <c r="Q185" s="25"/>
      <c r="R185" s="25"/>
      <c r="S185" s="25"/>
      <c r="T185" s="66">
        <v>4.78</v>
      </c>
      <c r="U185" s="25" t="s">
        <v>121</v>
      </c>
      <c r="V185" s="5"/>
    </row>
    <row r="186" spans="1:22" ht="15.6" x14ac:dyDescent="0.3">
      <c r="A186" s="24"/>
      <c r="B186" s="25" t="s">
        <v>206</v>
      </c>
      <c r="C186" s="25"/>
      <c r="D186" s="25"/>
      <c r="E186" s="25"/>
      <c r="F186" s="25"/>
      <c r="G186" s="25"/>
      <c r="H186" s="25"/>
      <c r="I186" s="25"/>
      <c r="J186" s="25"/>
      <c r="K186" s="25"/>
      <c r="L186" s="25"/>
      <c r="M186" s="25"/>
      <c r="N186" s="25"/>
      <c r="O186" s="25"/>
      <c r="P186" s="25"/>
      <c r="Q186" s="25"/>
      <c r="R186" s="25"/>
      <c r="S186" s="25"/>
      <c r="T186" s="59">
        <f>(T100+T102+T103+T104+T105+T106+T107+T108+T109)/-(T110)</f>
        <v>4.3260153677277717</v>
      </c>
      <c r="U186" s="25" t="s">
        <v>121</v>
      </c>
      <c r="V186" s="5"/>
    </row>
    <row r="187" spans="1:22" ht="15.6" x14ac:dyDescent="0.3">
      <c r="A187" s="24"/>
      <c r="B187" s="25" t="s">
        <v>207</v>
      </c>
      <c r="C187" s="25"/>
      <c r="D187" s="25"/>
      <c r="E187" s="25"/>
      <c r="F187" s="25"/>
      <c r="G187" s="25"/>
      <c r="H187" s="25"/>
      <c r="I187" s="25"/>
      <c r="J187" s="25"/>
      <c r="K187" s="25"/>
      <c r="L187" s="25"/>
      <c r="M187" s="25"/>
      <c r="N187" s="25"/>
      <c r="O187" s="25"/>
      <c r="P187" s="25"/>
      <c r="Q187" s="25"/>
      <c r="R187" s="25"/>
      <c r="S187" s="25"/>
      <c r="T187" s="66">
        <v>4.38</v>
      </c>
      <c r="U187" s="25" t="s">
        <v>121</v>
      </c>
      <c r="V187" s="5"/>
    </row>
    <row r="188" spans="1:22" ht="15.6" x14ac:dyDescent="0.3">
      <c r="A188" s="24"/>
      <c r="B188" s="25"/>
      <c r="C188" s="25"/>
      <c r="D188" s="25"/>
      <c r="E188" s="25"/>
      <c r="F188" s="25"/>
      <c r="G188" s="25"/>
      <c r="H188" s="25"/>
      <c r="I188" s="25"/>
      <c r="J188" s="25"/>
      <c r="K188" s="25"/>
      <c r="L188" s="25"/>
      <c r="M188" s="25"/>
      <c r="N188" s="25"/>
      <c r="O188" s="25"/>
      <c r="P188" s="25"/>
      <c r="Q188" s="25"/>
      <c r="R188" s="25"/>
      <c r="S188" s="25"/>
      <c r="T188" s="25"/>
      <c r="U188" s="25"/>
      <c r="V188" s="5"/>
    </row>
    <row r="189" spans="1:22" ht="15.6" x14ac:dyDescent="0.3">
      <c r="A189" s="24"/>
      <c r="B189" s="25"/>
      <c r="C189" s="25"/>
      <c r="D189" s="25"/>
      <c r="E189" s="25"/>
      <c r="F189" s="25"/>
      <c r="G189" s="25"/>
      <c r="H189" s="25"/>
      <c r="I189" s="25"/>
      <c r="J189" s="25"/>
      <c r="K189" s="25"/>
      <c r="L189" s="25"/>
      <c r="M189" s="25"/>
      <c r="N189" s="25"/>
      <c r="O189" s="25"/>
      <c r="P189" s="25"/>
      <c r="Q189" s="25"/>
      <c r="R189" s="25"/>
      <c r="S189" s="25"/>
      <c r="T189" s="25"/>
      <c r="U189" s="25"/>
      <c r="V189" s="5"/>
    </row>
    <row r="190" spans="1:22" ht="15.6" x14ac:dyDescent="0.3">
      <c r="A190" s="6"/>
      <c r="B190" s="8"/>
      <c r="C190" s="8"/>
      <c r="D190" s="8"/>
      <c r="E190" s="8"/>
      <c r="F190" s="8"/>
      <c r="G190" s="8"/>
      <c r="H190" s="8"/>
      <c r="I190" s="8"/>
      <c r="J190" s="8"/>
      <c r="K190" s="8"/>
      <c r="L190" s="8"/>
      <c r="M190" s="8"/>
      <c r="N190" s="8"/>
      <c r="O190" s="8"/>
      <c r="P190" s="8"/>
      <c r="Q190" s="8"/>
      <c r="R190" s="8"/>
      <c r="S190" s="8"/>
      <c r="T190" s="8"/>
      <c r="U190" s="8"/>
      <c r="V190" s="5"/>
    </row>
    <row r="191" spans="1:22" ht="18" thickBot="1" x14ac:dyDescent="0.35">
      <c r="A191" s="101"/>
      <c r="B191" s="102" t="str">
        <f>B132</f>
        <v>PM11 INVESTOR REPORT QUARTER ENDING JUNE 2007</v>
      </c>
      <c r="C191" s="165"/>
      <c r="D191" s="165"/>
      <c r="E191" s="165"/>
      <c r="F191" s="165"/>
      <c r="G191" s="165"/>
      <c r="H191" s="165"/>
      <c r="I191" s="165"/>
      <c r="J191" s="165"/>
      <c r="K191" s="165"/>
      <c r="L191" s="165"/>
      <c r="M191" s="165"/>
      <c r="N191" s="165"/>
      <c r="O191" s="165"/>
      <c r="P191" s="165"/>
      <c r="Q191" s="165"/>
      <c r="R191" s="165"/>
      <c r="S191" s="165"/>
      <c r="T191" s="165"/>
      <c r="U191" s="166"/>
      <c r="V191" s="5"/>
    </row>
    <row r="192" spans="1:22" ht="15.6" x14ac:dyDescent="0.3">
      <c r="A192" s="67"/>
      <c r="B192" s="60" t="s">
        <v>71</v>
      </c>
      <c r="C192" s="68"/>
      <c r="D192" s="68"/>
      <c r="E192" s="68"/>
      <c r="F192" s="68"/>
      <c r="G192" s="69"/>
      <c r="H192" s="69"/>
      <c r="I192" s="69"/>
      <c r="J192" s="69"/>
      <c r="K192" s="69"/>
      <c r="L192" s="69"/>
      <c r="M192" s="69"/>
      <c r="N192" s="69"/>
      <c r="O192" s="69"/>
      <c r="P192" s="69"/>
      <c r="Q192" s="69"/>
      <c r="R192" s="70">
        <v>39262</v>
      </c>
      <c r="S192" s="4"/>
      <c r="T192" s="4"/>
      <c r="U192" s="4"/>
      <c r="V192" s="5"/>
    </row>
    <row r="193" spans="1:22" ht="15.6" x14ac:dyDescent="0.3">
      <c r="A193" s="71"/>
      <c r="B193" s="72"/>
      <c r="C193" s="73"/>
      <c r="D193" s="73"/>
      <c r="E193" s="73"/>
      <c r="F193" s="73"/>
      <c r="G193" s="74"/>
      <c r="H193" s="74"/>
      <c r="I193" s="74"/>
      <c r="J193" s="74"/>
      <c r="K193" s="74"/>
      <c r="L193" s="74"/>
      <c r="M193" s="74"/>
      <c r="N193" s="74"/>
      <c r="O193" s="74"/>
      <c r="P193" s="74"/>
      <c r="Q193" s="74"/>
      <c r="R193" s="74"/>
      <c r="S193" s="8"/>
      <c r="T193" s="8"/>
      <c r="U193" s="8"/>
      <c r="V193" s="5"/>
    </row>
    <row r="194" spans="1:22" ht="15.6" x14ac:dyDescent="0.3">
      <c r="A194" s="75"/>
      <c r="B194" s="76" t="s">
        <v>72</v>
      </c>
      <c r="C194" s="77"/>
      <c r="D194" s="77"/>
      <c r="E194" s="77"/>
      <c r="F194" s="77"/>
      <c r="G194" s="64"/>
      <c r="H194" s="64"/>
      <c r="I194" s="64"/>
      <c r="J194" s="64"/>
      <c r="K194" s="64"/>
      <c r="L194" s="64"/>
      <c r="M194" s="64"/>
      <c r="N194" s="64"/>
      <c r="O194" s="64"/>
      <c r="P194" s="64"/>
      <c r="Q194" s="64"/>
      <c r="R194" s="78">
        <v>5.1569999999999998E-2</v>
      </c>
      <c r="S194" s="25"/>
      <c r="T194" s="25"/>
      <c r="U194" s="25"/>
      <c r="V194" s="5"/>
    </row>
    <row r="195" spans="1:22" ht="15.6" x14ac:dyDescent="0.3">
      <c r="A195" s="75"/>
      <c r="B195" s="76" t="s">
        <v>157</v>
      </c>
      <c r="C195" s="77"/>
      <c r="D195" s="77"/>
      <c r="E195" s="77"/>
      <c r="F195" s="77"/>
      <c r="G195" s="64"/>
      <c r="H195" s="64"/>
      <c r="I195" s="64"/>
      <c r="J195" s="64"/>
      <c r="K195" s="64"/>
      <c r="L195" s="64"/>
      <c r="M195" s="64"/>
      <c r="N195" s="64"/>
      <c r="O195" s="64"/>
      <c r="P195" s="64"/>
      <c r="Q195" s="64"/>
      <c r="R195" s="39">
        <v>4.6899999999999997E-2</v>
      </c>
      <c r="S195" s="25"/>
      <c r="T195" s="25"/>
      <c r="U195" s="25"/>
      <c r="V195" s="5"/>
    </row>
    <row r="196" spans="1:22" ht="15.6" x14ac:dyDescent="0.3">
      <c r="A196" s="75"/>
      <c r="B196" s="76" t="s">
        <v>73</v>
      </c>
      <c r="C196" s="77"/>
      <c r="D196" s="77"/>
      <c r="E196" s="77"/>
      <c r="F196" s="77"/>
      <c r="G196" s="64"/>
      <c r="H196" s="64"/>
      <c r="I196" s="64"/>
      <c r="J196" s="64"/>
      <c r="K196" s="64"/>
      <c r="L196" s="64"/>
      <c r="M196" s="64"/>
      <c r="N196" s="64"/>
      <c r="O196" s="64"/>
      <c r="P196" s="64"/>
      <c r="Q196" s="64"/>
      <c r="R196" s="78">
        <f>R194-R195</f>
        <v>4.6700000000000005E-3</v>
      </c>
      <c r="S196" s="25"/>
      <c r="T196" s="25"/>
      <c r="U196" s="25"/>
      <c r="V196" s="5"/>
    </row>
    <row r="197" spans="1:22" ht="15.6" x14ac:dyDescent="0.3">
      <c r="A197" s="75"/>
      <c r="B197" s="76" t="s">
        <v>74</v>
      </c>
      <c r="C197" s="77"/>
      <c r="D197" s="77"/>
      <c r="E197" s="77"/>
      <c r="F197" s="77"/>
      <c r="G197" s="64"/>
      <c r="H197" s="64"/>
      <c r="I197" s="64"/>
      <c r="J197" s="64"/>
      <c r="K197" s="64"/>
      <c r="L197" s="64"/>
      <c r="M197" s="64"/>
      <c r="N197" s="64"/>
      <c r="O197" s="64"/>
      <c r="P197" s="64"/>
      <c r="Q197" s="64"/>
      <c r="R197" s="78">
        <v>5.3249999999999999E-2</v>
      </c>
      <c r="S197" s="25"/>
      <c r="T197" s="25"/>
      <c r="U197" s="25"/>
      <c r="V197" s="5"/>
    </row>
    <row r="198" spans="1:22" ht="15.6" x14ac:dyDescent="0.3">
      <c r="A198" s="75"/>
      <c r="B198" s="76" t="s">
        <v>257</v>
      </c>
      <c r="C198" s="77"/>
      <c r="D198" s="77"/>
      <c r="E198" s="77"/>
      <c r="F198" s="77"/>
      <c r="G198" s="64"/>
      <c r="H198" s="64"/>
      <c r="I198" s="64"/>
      <c r="J198" s="64"/>
      <c r="K198" s="64"/>
      <c r="L198" s="64"/>
      <c r="M198" s="64"/>
      <c r="N198" s="64"/>
      <c r="O198" s="64"/>
      <c r="P198" s="64"/>
      <c r="Q198" s="64"/>
      <c r="R198" s="78">
        <f>T43</f>
        <v>5.6938832331443763E-2</v>
      </c>
      <c r="S198" s="25"/>
      <c r="T198" s="25"/>
      <c r="U198" s="25"/>
      <c r="V198" s="5"/>
    </row>
    <row r="199" spans="1:22" ht="15.6" x14ac:dyDescent="0.3">
      <c r="A199" s="75"/>
      <c r="B199" s="76" t="s">
        <v>75</v>
      </c>
      <c r="C199" s="77"/>
      <c r="D199" s="77"/>
      <c r="E199" s="77"/>
      <c r="F199" s="77"/>
      <c r="G199" s="64"/>
      <c r="H199" s="64"/>
      <c r="I199" s="64"/>
      <c r="J199" s="64"/>
      <c r="K199" s="64"/>
      <c r="L199" s="64"/>
      <c r="M199" s="64"/>
      <c r="N199" s="64"/>
      <c r="O199" s="64"/>
      <c r="P199" s="64"/>
      <c r="Q199" s="64"/>
      <c r="R199" s="78">
        <f>R197-R198</f>
        <v>-3.6888323314437643E-3</v>
      </c>
      <c r="S199" s="25"/>
      <c r="T199" s="25"/>
      <c r="U199" s="25"/>
      <c r="V199" s="5"/>
    </row>
    <row r="200" spans="1:22" ht="15.6" x14ac:dyDescent="0.3">
      <c r="A200" s="75"/>
      <c r="B200" s="76" t="s">
        <v>260</v>
      </c>
      <c r="C200" s="77"/>
      <c r="D200" s="77"/>
      <c r="E200" s="77"/>
      <c r="F200" s="77"/>
      <c r="G200" s="64"/>
      <c r="H200" s="64"/>
      <c r="I200" s="64"/>
      <c r="J200" s="64"/>
      <c r="K200" s="64"/>
      <c r="L200" s="64"/>
      <c r="M200" s="64"/>
      <c r="N200" s="64"/>
      <c r="O200" s="64"/>
      <c r="P200" s="64"/>
      <c r="Q200" s="64"/>
      <c r="R200" s="78">
        <f>+T100/L72</f>
        <v>1.7850345329711866E-2</v>
      </c>
      <c r="S200" s="25"/>
      <c r="T200" s="25"/>
      <c r="U200" s="25"/>
      <c r="V200" s="5"/>
    </row>
    <row r="201" spans="1:22" ht="15.6" x14ac:dyDescent="0.3">
      <c r="A201" s="75"/>
      <c r="B201" s="76" t="s">
        <v>217</v>
      </c>
      <c r="C201" s="77"/>
      <c r="D201" s="77"/>
      <c r="E201" s="77"/>
      <c r="F201" s="77"/>
      <c r="G201" s="64"/>
      <c r="H201" s="64"/>
      <c r="I201" s="64"/>
      <c r="J201" s="64"/>
      <c r="K201" s="64"/>
      <c r="L201" s="64"/>
      <c r="M201" s="64"/>
      <c r="N201" s="64"/>
      <c r="O201" s="64"/>
      <c r="P201" s="64"/>
      <c r="Q201" s="64"/>
      <c r="R201" s="129">
        <v>15250</v>
      </c>
      <c r="S201" s="25"/>
      <c r="T201" s="25"/>
      <c r="U201" s="25"/>
      <c r="V201" s="5"/>
    </row>
    <row r="202" spans="1:22" ht="15.6" x14ac:dyDescent="0.3">
      <c r="A202" s="75"/>
      <c r="B202" s="76" t="s">
        <v>218</v>
      </c>
      <c r="C202" s="77"/>
      <c r="D202" s="77"/>
      <c r="E202" s="77"/>
      <c r="F202" s="77"/>
      <c r="G202" s="64"/>
      <c r="H202" s="64"/>
      <c r="I202" s="64"/>
      <c r="J202" s="64"/>
      <c r="K202" s="64"/>
      <c r="L202" s="64"/>
      <c r="M202" s="64"/>
      <c r="N202" s="64"/>
      <c r="O202" s="64"/>
      <c r="P202" s="64"/>
      <c r="Q202" s="64"/>
      <c r="R202" s="129">
        <v>15250</v>
      </c>
      <c r="S202" s="25"/>
      <c r="T202" s="25"/>
      <c r="U202" s="25"/>
      <c r="V202" s="5"/>
    </row>
    <row r="203" spans="1:22" ht="15.6" x14ac:dyDescent="0.3">
      <c r="A203" s="75"/>
      <c r="B203" s="76" t="s">
        <v>219</v>
      </c>
      <c r="C203" s="77"/>
      <c r="D203" s="77"/>
      <c r="E203" s="77"/>
      <c r="F203" s="77"/>
      <c r="G203" s="64"/>
      <c r="H203" s="64"/>
      <c r="I203" s="64"/>
      <c r="J203" s="64"/>
      <c r="K203" s="64"/>
      <c r="L203" s="64"/>
      <c r="M203" s="64"/>
      <c r="N203" s="64"/>
      <c r="O203" s="64"/>
      <c r="P203" s="64"/>
      <c r="Q203" s="64"/>
      <c r="R203" s="129">
        <v>15250</v>
      </c>
      <c r="S203" s="25"/>
      <c r="T203" s="25"/>
      <c r="U203" s="25"/>
      <c r="V203" s="5"/>
    </row>
    <row r="204" spans="1:22" ht="15.6" x14ac:dyDescent="0.3">
      <c r="A204" s="75"/>
      <c r="B204" s="76" t="s">
        <v>76</v>
      </c>
      <c r="C204" s="77"/>
      <c r="D204" s="77"/>
      <c r="E204" s="77"/>
      <c r="F204" s="77"/>
      <c r="G204" s="64"/>
      <c r="H204" s="64"/>
      <c r="I204" s="64"/>
      <c r="J204" s="64"/>
      <c r="K204" s="64"/>
      <c r="L204" s="64"/>
      <c r="M204" s="64"/>
      <c r="N204" s="64"/>
      <c r="O204" s="64"/>
      <c r="P204" s="64"/>
      <c r="Q204" s="64"/>
      <c r="R204" s="133">
        <v>21.18</v>
      </c>
      <c r="S204" s="25" t="s">
        <v>116</v>
      </c>
      <c r="T204" s="25"/>
      <c r="U204" s="25"/>
      <c r="V204" s="5"/>
    </row>
    <row r="205" spans="1:22" ht="15.6" x14ac:dyDescent="0.3">
      <c r="A205" s="75"/>
      <c r="B205" s="76" t="s">
        <v>77</v>
      </c>
      <c r="C205" s="77"/>
      <c r="D205" s="77"/>
      <c r="E205" s="77"/>
      <c r="F205" s="77"/>
      <c r="G205" s="64"/>
      <c r="H205" s="64"/>
      <c r="I205" s="64"/>
      <c r="J205" s="64"/>
      <c r="K205" s="64"/>
      <c r="L205" s="64"/>
      <c r="M205" s="64"/>
      <c r="N205" s="64"/>
      <c r="O205" s="64"/>
      <c r="P205" s="64"/>
      <c r="Q205" s="64"/>
      <c r="R205" s="133">
        <v>19.95</v>
      </c>
      <c r="S205" s="25" t="s">
        <v>116</v>
      </c>
      <c r="T205" s="25"/>
      <c r="U205" s="25"/>
      <c r="V205" s="5"/>
    </row>
    <row r="206" spans="1:22" ht="15.6" x14ac:dyDescent="0.3">
      <c r="A206" s="75"/>
      <c r="B206" s="76" t="s">
        <v>78</v>
      </c>
      <c r="C206" s="77"/>
      <c r="D206" s="77"/>
      <c r="E206" s="77"/>
      <c r="F206" s="77"/>
      <c r="G206" s="64"/>
      <c r="H206" s="64"/>
      <c r="I206" s="64"/>
      <c r="J206" s="64"/>
      <c r="K206" s="64"/>
      <c r="L206" s="64"/>
      <c r="M206" s="64"/>
      <c r="N206" s="64"/>
      <c r="O206" s="64"/>
      <c r="P206" s="64"/>
      <c r="Q206" s="64"/>
      <c r="R206" s="78">
        <f>+N69/L69</f>
        <v>2.656159693411982E-2</v>
      </c>
      <c r="S206" s="25"/>
      <c r="T206" s="25"/>
      <c r="U206" s="25"/>
      <c r="V206" s="5"/>
    </row>
    <row r="207" spans="1:22" ht="15.6" x14ac:dyDescent="0.3">
      <c r="A207" s="75"/>
      <c r="B207" s="76" t="s">
        <v>79</v>
      </c>
      <c r="C207" s="77"/>
      <c r="D207" s="77"/>
      <c r="E207" s="77"/>
      <c r="F207" s="77"/>
      <c r="G207" s="64"/>
      <c r="H207" s="64"/>
      <c r="I207" s="64"/>
      <c r="J207" s="64"/>
      <c r="K207" s="64"/>
      <c r="L207" s="64"/>
      <c r="M207" s="64"/>
      <c r="N207" s="64"/>
      <c r="O207" s="64"/>
      <c r="P207" s="64"/>
      <c r="Q207" s="64"/>
      <c r="R207" s="78">
        <v>8.7599999999999997E-2</v>
      </c>
      <c r="S207" s="25"/>
      <c r="T207" s="25"/>
      <c r="U207" s="25"/>
      <c r="V207" s="5"/>
    </row>
    <row r="208" spans="1:22" ht="15.6" x14ac:dyDescent="0.3">
      <c r="A208" s="75"/>
      <c r="B208" s="76"/>
      <c r="C208" s="76"/>
      <c r="D208" s="76"/>
      <c r="E208" s="76"/>
      <c r="F208" s="76"/>
      <c r="G208" s="25"/>
      <c r="H208" s="25"/>
      <c r="I208" s="25"/>
      <c r="J208" s="25"/>
      <c r="K208" s="25"/>
      <c r="L208" s="25"/>
      <c r="M208" s="25"/>
      <c r="N208" s="25"/>
      <c r="O208" s="25"/>
      <c r="P208" s="25"/>
      <c r="Q208" s="25"/>
      <c r="R208" s="61"/>
      <c r="S208" s="25"/>
      <c r="T208" s="79"/>
      <c r="U208" s="25"/>
      <c r="V208" s="5"/>
    </row>
    <row r="209" spans="1:22" ht="15.6" x14ac:dyDescent="0.3">
      <c r="A209" s="80"/>
      <c r="B209" s="14" t="s">
        <v>80</v>
      </c>
      <c r="C209" s="81"/>
      <c r="D209" s="81"/>
      <c r="E209" s="81"/>
      <c r="F209" s="82"/>
      <c r="G209" s="81"/>
      <c r="H209" s="17"/>
      <c r="I209" s="17"/>
      <c r="J209" s="17"/>
      <c r="K209" s="17"/>
      <c r="L209" s="17"/>
      <c r="M209" s="17"/>
      <c r="N209" s="17"/>
      <c r="O209" s="17"/>
      <c r="P209" s="17"/>
      <c r="Q209" s="17" t="s">
        <v>105</v>
      </c>
      <c r="R209" s="83" t="s">
        <v>112</v>
      </c>
      <c r="S209" s="8"/>
      <c r="T209" s="8"/>
      <c r="U209" s="8"/>
      <c r="V209" s="5"/>
    </row>
    <row r="210" spans="1:22" ht="15.6" x14ac:dyDescent="0.3">
      <c r="A210" s="84"/>
      <c r="B210" s="76" t="s">
        <v>81</v>
      </c>
      <c r="C210" s="54"/>
      <c r="D210" s="54"/>
      <c r="E210" s="54"/>
      <c r="F210" s="25"/>
      <c r="G210" s="25"/>
      <c r="H210" s="30"/>
      <c r="I210" s="30"/>
      <c r="J210" s="30"/>
      <c r="K210" s="30"/>
      <c r="L210" s="30"/>
      <c r="M210" s="30"/>
      <c r="N210" s="30"/>
      <c r="O210" s="30"/>
      <c r="P210" s="30"/>
      <c r="Q210" s="30">
        <v>0</v>
      </c>
      <c r="R210" s="85">
        <v>0</v>
      </c>
      <c r="S210" s="25"/>
      <c r="T210" s="79"/>
      <c r="U210" s="86"/>
      <c r="V210" s="5"/>
    </row>
    <row r="211" spans="1:22" ht="15.6" x14ac:dyDescent="0.3">
      <c r="A211" s="84"/>
      <c r="B211" s="76" t="s">
        <v>151</v>
      </c>
      <c r="C211" s="54"/>
      <c r="D211" s="54"/>
      <c r="E211" s="54"/>
      <c r="F211" s="25"/>
      <c r="G211" s="25"/>
      <c r="H211" s="30"/>
      <c r="I211" s="30"/>
      <c r="J211" s="30"/>
      <c r="K211" s="30"/>
      <c r="L211" s="30"/>
      <c r="M211" s="30"/>
      <c r="N211" s="30"/>
      <c r="O211" s="30"/>
      <c r="P211" s="30"/>
      <c r="Q211" s="152">
        <f>+P251</f>
        <v>19</v>
      </c>
      <c r="R211" s="85">
        <f>+R251</f>
        <v>2827</v>
      </c>
      <c r="S211" s="25"/>
      <c r="T211" s="79"/>
      <c r="U211" s="86"/>
      <c r="V211" s="5"/>
    </row>
    <row r="212" spans="1:22" ht="15.6" x14ac:dyDescent="0.3">
      <c r="A212" s="84"/>
      <c r="B212" s="76" t="s">
        <v>82</v>
      </c>
      <c r="C212" s="54"/>
      <c r="D212" s="54"/>
      <c r="E212" s="54"/>
      <c r="F212" s="25"/>
      <c r="G212" s="25"/>
      <c r="H212" s="30"/>
      <c r="I212" s="30"/>
      <c r="J212" s="30"/>
      <c r="K212" s="30"/>
      <c r="L212" s="30"/>
      <c r="M212" s="30"/>
      <c r="N212" s="30"/>
      <c r="O212" s="30"/>
      <c r="P212" s="30"/>
      <c r="Q212" s="30">
        <v>0</v>
      </c>
      <c r="R212" s="85">
        <v>0</v>
      </c>
      <c r="S212" s="25"/>
      <c r="T212" s="79"/>
      <c r="U212" s="86"/>
      <c r="V212" s="5"/>
    </row>
    <row r="213" spans="1:22" ht="15.6" x14ac:dyDescent="0.3">
      <c r="A213" s="84"/>
      <c r="B213" s="122" t="s">
        <v>83</v>
      </c>
      <c r="C213" s="54"/>
      <c r="D213" s="54"/>
      <c r="E213" s="54"/>
      <c r="F213" s="25"/>
      <c r="G213" s="25"/>
      <c r="H213" s="25"/>
      <c r="I213" s="25"/>
      <c r="J213" s="25"/>
      <c r="K213" s="25"/>
      <c r="L213" s="25"/>
      <c r="M213" s="25"/>
      <c r="N213" s="25"/>
      <c r="O213" s="25"/>
      <c r="P213" s="25"/>
      <c r="Q213" s="25"/>
      <c r="R213" s="85">
        <v>0</v>
      </c>
      <c r="S213" s="25"/>
      <c r="T213" s="79"/>
      <c r="U213" s="86"/>
      <c r="V213" s="5"/>
    </row>
    <row r="214" spans="1:22" ht="15.6" x14ac:dyDescent="0.3">
      <c r="A214" s="84"/>
      <c r="B214" s="122" t="s">
        <v>84</v>
      </c>
      <c r="C214" s="54"/>
      <c r="D214" s="54"/>
      <c r="E214" s="54"/>
      <c r="F214" s="25"/>
      <c r="G214" s="25"/>
      <c r="H214" s="25"/>
      <c r="I214" s="25"/>
      <c r="J214" s="25"/>
      <c r="K214" s="25"/>
      <c r="L214" s="25"/>
      <c r="M214" s="25"/>
      <c r="N214" s="25"/>
      <c r="O214" s="25"/>
      <c r="P214" s="25"/>
      <c r="Q214" s="25"/>
      <c r="R214" s="62" t="s">
        <v>113</v>
      </c>
      <c r="S214" s="25"/>
      <c r="T214" s="79"/>
      <c r="U214" s="86"/>
      <c r="V214" s="5"/>
    </row>
    <row r="215" spans="1:22" ht="15.6" x14ac:dyDescent="0.3">
      <c r="A215" s="87"/>
      <c r="B215" s="122" t="s">
        <v>85</v>
      </c>
      <c r="C215" s="76"/>
      <c r="D215" s="76"/>
      <c r="E215" s="76"/>
      <c r="F215" s="76"/>
      <c r="G215" s="25"/>
      <c r="H215" s="25"/>
      <c r="I215" s="25"/>
      <c r="J215" s="25"/>
      <c r="K215" s="25"/>
      <c r="L215" s="25"/>
      <c r="M215" s="25"/>
      <c r="N215" s="25"/>
      <c r="O215" s="25"/>
      <c r="P215" s="25"/>
      <c r="Q215" s="25"/>
      <c r="R215" s="85"/>
      <c r="S215" s="25"/>
      <c r="T215" s="79"/>
      <c r="U215" s="88"/>
      <c r="V215" s="5"/>
    </row>
    <row r="216" spans="1:22" ht="15.6" x14ac:dyDescent="0.3">
      <c r="A216" s="87"/>
      <c r="B216" s="131" t="s">
        <v>86</v>
      </c>
      <c r="C216" s="76"/>
      <c r="D216" s="76"/>
      <c r="E216" s="76"/>
      <c r="F216" s="76"/>
      <c r="G216" s="25"/>
      <c r="H216" s="25"/>
      <c r="I216" s="25"/>
      <c r="J216" s="25"/>
      <c r="K216" s="25"/>
      <c r="L216" s="25"/>
      <c r="M216" s="25"/>
      <c r="N216" s="25"/>
      <c r="O216" s="25"/>
      <c r="P216" s="25"/>
      <c r="Q216" s="30"/>
      <c r="R216" s="85">
        <f>T161</f>
        <v>18</v>
      </c>
      <c r="S216" s="25"/>
      <c r="T216" s="79"/>
      <c r="U216" s="88"/>
      <c r="V216" s="5"/>
    </row>
    <row r="217" spans="1:22" ht="15.6" x14ac:dyDescent="0.3">
      <c r="A217" s="84"/>
      <c r="B217" s="76" t="s">
        <v>87</v>
      </c>
      <c r="C217" s="54"/>
      <c r="D217" s="54"/>
      <c r="E217" s="54"/>
      <c r="F217" s="54"/>
      <c r="G217" s="25"/>
      <c r="H217" s="25"/>
      <c r="I217" s="25"/>
      <c r="J217" s="25"/>
      <c r="K217" s="25"/>
      <c r="L217" s="25"/>
      <c r="M217" s="25"/>
      <c r="N217" s="25"/>
      <c r="O217" s="25"/>
      <c r="P217" s="25"/>
      <c r="Q217" s="30"/>
      <c r="R217" s="85">
        <f>+'March 07'!R217+R216</f>
        <v>18</v>
      </c>
      <c r="S217" s="25"/>
      <c r="T217" s="79"/>
      <c r="U217" s="88"/>
      <c r="V217" s="5"/>
    </row>
    <row r="218" spans="1:22" ht="15.6" x14ac:dyDescent="0.3">
      <c r="A218" s="87"/>
      <c r="B218" s="122" t="s">
        <v>282</v>
      </c>
      <c r="C218" s="76"/>
      <c r="D218" s="76"/>
      <c r="E218" s="76"/>
      <c r="F218" s="76"/>
      <c r="G218" s="25"/>
      <c r="H218" s="25"/>
      <c r="I218" s="25"/>
      <c r="J218" s="25"/>
      <c r="K218" s="25"/>
      <c r="L218" s="25"/>
      <c r="M218" s="25"/>
      <c r="N218" s="25"/>
      <c r="O218" s="25"/>
      <c r="P218" s="25"/>
      <c r="Q218" s="30"/>
      <c r="R218" s="85"/>
      <c r="S218" s="25"/>
      <c r="T218" s="79"/>
      <c r="U218" s="88"/>
      <c r="V218" s="5"/>
    </row>
    <row r="219" spans="1:22" ht="15.6" x14ac:dyDescent="0.3">
      <c r="A219" s="87"/>
      <c r="B219" s="76" t="s">
        <v>280</v>
      </c>
      <c r="C219" s="76"/>
      <c r="D219" s="76"/>
      <c r="E219" s="76"/>
      <c r="F219" s="76"/>
      <c r="G219" s="25"/>
      <c r="H219" s="25"/>
      <c r="I219" s="25"/>
      <c r="J219" s="25"/>
      <c r="K219" s="25"/>
      <c r="L219" s="25"/>
      <c r="M219" s="25"/>
      <c r="N219" s="25"/>
      <c r="O219" s="25"/>
      <c r="P219" s="25"/>
      <c r="Q219" s="30">
        <v>0</v>
      </c>
      <c r="R219" s="85">
        <v>0</v>
      </c>
      <c r="S219" s="25"/>
      <c r="T219" s="79"/>
      <c r="U219" s="88"/>
      <c r="V219" s="5"/>
    </row>
    <row r="220" spans="1:22" ht="15.6" x14ac:dyDescent="0.3">
      <c r="A220" s="84"/>
      <c r="B220" s="76" t="s">
        <v>89</v>
      </c>
      <c r="C220" s="89"/>
      <c r="D220" s="89"/>
      <c r="E220" s="89"/>
      <c r="F220" s="90"/>
      <c r="G220" s="25"/>
      <c r="H220" s="25"/>
      <c r="I220" s="25"/>
      <c r="J220" s="25"/>
      <c r="K220" s="25"/>
      <c r="L220" s="25"/>
      <c r="M220" s="25"/>
      <c r="N220" s="25"/>
      <c r="O220" s="25"/>
      <c r="P220" s="25"/>
      <c r="Q220" s="25"/>
      <c r="R220" s="62">
        <v>0</v>
      </c>
      <c r="S220" s="25"/>
      <c r="T220" s="79"/>
      <c r="U220" s="88"/>
      <c r="V220" s="5"/>
    </row>
    <row r="221" spans="1:22" ht="15.6" x14ac:dyDescent="0.3">
      <c r="A221" s="84"/>
      <c r="B221" s="76" t="s">
        <v>90</v>
      </c>
      <c r="C221" s="89"/>
      <c r="D221" s="89"/>
      <c r="E221" s="89"/>
      <c r="F221" s="90"/>
      <c r="G221" s="25"/>
      <c r="H221" s="25"/>
      <c r="I221" s="25"/>
      <c r="J221" s="25"/>
      <c r="K221" s="25"/>
      <c r="L221" s="25"/>
      <c r="M221" s="25"/>
      <c r="N221" s="25"/>
      <c r="O221" s="25"/>
      <c r="P221" s="25"/>
      <c r="Q221" s="25"/>
      <c r="R221" s="62">
        <v>0</v>
      </c>
      <c r="S221" s="25"/>
      <c r="T221" s="79"/>
      <c r="U221" s="88"/>
      <c r="V221" s="5"/>
    </row>
    <row r="222" spans="1:22" ht="15.6" x14ac:dyDescent="0.3">
      <c r="A222" s="84"/>
      <c r="B222" s="122" t="s">
        <v>226</v>
      </c>
      <c r="C222" s="89"/>
      <c r="D222" s="89"/>
      <c r="E222" s="89"/>
      <c r="F222" s="90"/>
      <c r="G222" s="25"/>
      <c r="H222" s="25"/>
      <c r="I222" s="25"/>
      <c r="J222" s="25"/>
      <c r="K222" s="25"/>
      <c r="L222" s="25"/>
      <c r="M222" s="25"/>
      <c r="N222" s="25"/>
      <c r="O222" s="25"/>
      <c r="P222" s="25"/>
      <c r="Q222" s="30"/>
      <c r="R222" s="91"/>
      <c r="S222" s="25"/>
      <c r="T222" s="79"/>
      <c r="U222" s="88"/>
      <c r="V222" s="5"/>
    </row>
    <row r="223" spans="1:22" ht="15.6" x14ac:dyDescent="0.3">
      <c r="A223" s="84"/>
      <c r="B223" s="76" t="s">
        <v>280</v>
      </c>
      <c r="C223" s="89"/>
      <c r="D223" s="89"/>
      <c r="E223" s="89"/>
      <c r="F223" s="90"/>
      <c r="G223" s="25"/>
      <c r="H223" s="25"/>
      <c r="I223" s="25"/>
      <c r="J223" s="25"/>
      <c r="K223" s="25"/>
      <c r="L223" s="25"/>
      <c r="M223" s="25"/>
      <c r="N223" s="25"/>
      <c r="O223" s="25"/>
      <c r="P223" s="25"/>
      <c r="Q223" s="30">
        <v>1</v>
      </c>
      <c r="R223" s="85">
        <v>61</v>
      </c>
      <c r="S223" s="25"/>
      <c r="T223" s="79"/>
      <c r="U223" s="88"/>
      <c r="V223" s="5"/>
    </row>
    <row r="224" spans="1:22" ht="15.6" x14ac:dyDescent="0.3">
      <c r="A224" s="84"/>
      <c r="B224" s="76" t="s">
        <v>227</v>
      </c>
      <c r="C224" s="89"/>
      <c r="D224" s="89"/>
      <c r="E224" s="89"/>
      <c r="F224" s="90"/>
      <c r="G224" s="25"/>
      <c r="H224" s="25"/>
      <c r="I224" s="25"/>
      <c r="J224" s="25"/>
      <c r="K224" s="25"/>
      <c r="L224" s="25"/>
      <c r="M224" s="25"/>
      <c r="N224" s="25"/>
      <c r="O224" s="25"/>
      <c r="P224" s="25"/>
      <c r="Q224" s="30"/>
      <c r="R224" s="62">
        <v>9.73</v>
      </c>
      <c r="S224" s="25"/>
      <c r="T224" s="79"/>
      <c r="U224" s="88"/>
      <c r="V224" s="5"/>
    </row>
    <row r="225" spans="1:23" ht="15.6" x14ac:dyDescent="0.3">
      <c r="A225" s="84"/>
      <c r="B225" s="76"/>
      <c r="C225" s="89"/>
      <c r="D225" s="89"/>
      <c r="E225" s="89"/>
      <c r="F225" s="90"/>
      <c r="G225" s="25"/>
      <c r="H225" s="25"/>
      <c r="I225" s="25"/>
      <c r="J225" s="25"/>
      <c r="K225" s="25"/>
      <c r="L225" s="25"/>
      <c r="M225" s="25"/>
      <c r="N225" s="25"/>
      <c r="O225" s="25"/>
      <c r="P225" s="25"/>
      <c r="Q225" s="25"/>
      <c r="R225" s="91"/>
      <c r="S225" s="25"/>
      <c r="T225" s="79"/>
      <c r="U225" s="88"/>
      <c r="V225" s="5"/>
    </row>
    <row r="226" spans="1:23" ht="15.6" x14ac:dyDescent="0.3">
      <c r="A226" s="84"/>
      <c r="B226" s="76"/>
      <c r="C226" s="89"/>
      <c r="D226" s="89"/>
      <c r="E226" s="89"/>
      <c r="F226" s="90"/>
      <c r="G226" s="25"/>
      <c r="H226" s="25"/>
      <c r="I226" s="25"/>
      <c r="J226" s="25"/>
      <c r="K226" s="25"/>
      <c r="L226" s="25"/>
      <c r="M226" s="25"/>
      <c r="N226" s="25"/>
      <c r="O226" s="25"/>
      <c r="P226" s="25"/>
      <c r="Q226" s="25"/>
      <c r="R226" s="91"/>
      <c r="S226" s="25"/>
      <c r="T226" s="79"/>
      <c r="U226" s="88"/>
      <c r="V226" s="5"/>
    </row>
    <row r="227" spans="1:23" ht="17.399999999999999" x14ac:dyDescent="0.3">
      <c r="A227" s="84"/>
      <c r="B227" s="149" t="s">
        <v>175</v>
      </c>
      <c r="C227" s="89"/>
      <c r="D227" s="89"/>
      <c r="E227" s="89"/>
      <c r="F227" s="90"/>
      <c r="G227" s="25"/>
      <c r="H227" s="25"/>
      <c r="I227" s="25"/>
      <c r="J227" s="25"/>
      <c r="K227" s="25"/>
      <c r="L227" s="25"/>
      <c r="M227" s="25"/>
      <c r="N227" s="150" t="s">
        <v>174</v>
      </c>
      <c r="O227" s="25"/>
      <c r="P227" s="25"/>
      <c r="Q227" s="25"/>
      <c r="R227" s="91"/>
      <c r="S227" s="25"/>
      <c r="T227" s="79"/>
      <c r="U227" s="88"/>
      <c r="V227" s="5"/>
    </row>
    <row r="228" spans="1:23" ht="15.6" x14ac:dyDescent="0.3">
      <c r="A228" s="84"/>
      <c r="B228" s="76"/>
      <c r="C228" s="89"/>
      <c r="D228" s="89"/>
      <c r="E228" s="89"/>
      <c r="F228" s="90"/>
      <c r="G228" s="25"/>
      <c r="H228" s="25"/>
      <c r="I228" s="25"/>
      <c r="J228" s="25"/>
      <c r="K228" s="25"/>
      <c r="L228" s="25"/>
      <c r="M228" s="25"/>
      <c r="N228" s="25"/>
      <c r="O228" s="25"/>
      <c r="P228" s="25"/>
      <c r="Q228" s="25"/>
      <c r="R228" s="91"/>
      <c r="S228" s="25"/>
      <c r="T228" s="79"/>
      <c r="U228" s="88"/>
      <c r="V228" s="5"/>
    </row>
    <row r="229" spans="1:23" ht="15.6" x14ac:dyDescent="0.3">
      <c r="A229" s="6"/>
      <c r="B229" s="14" t="s">
        <v>169</v>
      </c>
      <c r="C229" s="81"/>
      <c r="D229" s="81"/>
      <c r="E229" s="81"/>
      <c r="F229" s="82"/>
      <c r="G229" s="81"/>
      <c r="H229" s="17"/>
      <c r="I229" s="17"/>
      <c r="J229" s="17"/>
      <c r="K229" s="17"/>
      <c r="L229" s="17"/>
      <c r="M229" s="17"/>
      <c r="N229" s="17"/>
      <c r="O229" s="17"/>
      <c r="P229" s="83" t="s">
        <v>105</v>
      </c>
      <c r="Q229" s="17" t="s">
        <v>106</v>
      </c>
      <c r="R229" s="83" t="s">
        <v>114</v>
      </c>
      <c r="S229" s="17" t="s">
        <v>106</v>
      </c>
      <c r="T229" s="8"/>
      <c r="U229" s="92"/>
      <c r="V229" s="5"/>
    </row>
    <row r="230" spans="1:23" ht="15.6" x14ac:dyDescent="0.3">
      <c r="A230" s="24"/>
      <c r="B230" s="54" t="s">
        <v>91</v>
      </c>
      <c r="C230" s="93"/>
      <c r="D230" s="93"/>
      <c r="E230" s="93"/>
      <c r="F230" s="25"/>
      <c r="G230" s="93"/>
      <c r="H230" s="93"/>
      <c r="I230" s="93"/>
      <c r="J230" s="93"/>
      <c r="K230" s="93"/>
      <c r="L230" s="93"/>
      <c r="M230" s="93"/>
      <c r="N230" s="93"/>
      <c r="O230" s="93"/>
      <c r="P230" s="54">
        <v>6805</v>
      </c>
      <c r="Q230" s="94">
        <f t="shared" ref="Q230:Q237" si="1">P230/$P$239</f>
        <v>0.99575651155984779</v>
      </c>
      <c r="R230" s="53">
        <v>904429</v>
      </c>
      <c r="S230" s="132">
        <f t="shared" ref="S230:S237" si="2">R230/$R$239</f>
        <v>0.99452172889925461</v>
      </c>
      <c r="T230" s="79"/>
      <c r="U230" s="88"/>
      <c r="V230" s="5"/>
    </row>
    <row r="231" spans="1:23" ht="15.6" x14ac:dyDescent="0.3">
      <c r="A231" s="24"/>
      <c r="B231" s="54" t="s">
        <v>92</v>
      </c>
      <c r="C231" s="93"/>
      <c r="D231" s="93"/>
      <c r="E231" s="93"/>
      <c r="F231" s="25"/>
      <c r="G231" s="94"/>
      <c r="H231" s="93"/>
      <c r="I231" s="93"/>
      <c r="J231" s="93"/>
      <c r="K231" s="93"/>
      <c r="L231" s="93"/>
      <c r="M231" s="93"/>
      <c r="N231" s="93"/>
      <c r="O231" s="93"/>
      <c r="P231" s="54">
        <v>19</v>
      </c>
      <c r="Q231" s="94">
        <f t="shared" si="1"/>
        <v>2.7802165642376352E-3</v>
      </c>
      <c r="R231" s="53">
        <v>3281</v>
      </c>
      <c r="S231" s="132">
        <f t="shared" si="2"/>
        <v>3.6078296831685563E-3</v>
      </c>
      <c r="T231" s="79"/>
      <c r="U231" s="88"/>
      <c r="V231" s="5"/>
      <c r="W231" s="109"/>
    </row>
    <row r="232" spans="1:23" ht="15.6" x14ac:dyDescent="0.3">
      <c r="A232" s="24"/>
      <c r="B232" s="54" t="s">
        <v>93</v>
      </c>
      <c r="C232" s="93"/>
      <c r="D232" s="93"/>
      <c r="E232" s="93"/>
      <c r="F232" s="25"/>
      <c r="G232" s="94"/>
      <c r="H232" s="93"/>
      <c r="I232" s="93"/>
      <c r="J232" s="93"/>
      <c r="K232" s="93"/>
      <c r="L232" s="93"/>
      <c r="M232" s="93"/>
      <c r="N232" s="93"/>
      <c r="O232" s="93"/>
      <c r="P232" s="54">
        <v>8</v>
      </c>
      <c r="Q232" s="94">
        <f t="shared" si="1"/>
        <v>1.1706175007316359E-3</v>
      </c>
      <c r="R232" s="53">
        <v>1392</v>
      </c>
      <c r="S232" s="132">
        <f t="shared" si="2"/>
        <v>1.530661054242801E-3</v>
      </c>
      <c r="T232" s="79"/>
      <c r="U232" s="88"/>
      <c r="V232" s="5"/>
    </row>
    <row r="233" spans="1:23" ht="15.6" x14ac:dyDescent="0.3">
      <c r="A233" s="24"/>
      <c r="B233" s="54" t="s">
        <v>163</v>
      </c>
      <c r="C233" s="93"/>
      <c r="D233" s="93"/>
      <c r="E233" s="93"/>
      <c r="F233" s="25"/>
      <c r="G233" s="94"/>
      <c r="H233" s="93"/>
      <c r="I233" s="93"/>
      <c r="J233" s="93"/>
      <c r="K233" s="93"/>
      <c r="L233" s="93"/>
      <c r="M233" s="93"/>
      <c r="N233" s="93"/>
      <c r="O233" s="93"/>
      <c r="P233" s="54">
        <v>1</v>
      </c>
      <c r="Q233" s="94">
        <f t="shared" si="1"/>
        <v>1.4632718759145449E-4</v>
      </c>
      <c r="R233" s="53">
        <v>73</v>
      </c>
      <c r="S233" s="132">
        <f t="shared" si="2"/>
        <v>8.0271736321641156E-5</v>
      </c>
      <c r="T233" s="79"/>
      <c r="U233" s="88"/>
      <c r="V233" s="5"/>
      <c r="W233" s="109"/>
    </row>
    <row r="234" spans="1:23" ht="15.6" x14ac:dyDescent="0.3">
      <c r="A234" s="24"/>
      <c r="B234" s="54" t="s">
        <v>164</v>
      </c>
      <c r="C234" s="93"/>
      <c r="D234" s="93"/>
      <c r="E234" s="93"/>
      <c r="F234" s="25"/>
      <c r="G234" s="94"/>
      <c r="H234" s="93"/>
      <c r="I234" s="93"/>
      <c r="J234" s="93"/>
      <c r="K234" s="93"/>
      <c r="L234" s="93"/>
      <c r="M234" s="93"/>
      <c r="N234" s="93"/>
      <c r="O234" s="93"/>
      <c r="P234" s="54">
        <v>0</v>
      </c>
      <c r="Q234" s="94">
        <f t="shared" si="1"/>
        <v>0</v>
      </c>
      <c r="R234" s="53">
        <v>0</v>
      </c>
      <c r="S234" s="132">
        <f t="shared" si="2"/>
        <v>0</v>
      </c>
      <c r="T234" s="79"/>
      <c r="U234" s="88"/>
      <c r="V234" s="5"/>
    </row>
    <row r="235" spans="1:23" ht="15.6" x14ac:dyDescent="0.3">
      <c r="A235" s="24"/>
      <c r="B235" s="54" t="s">
        <v>165</v>
      </c>
      <c r="C235" s="93"/>
      <c r="D235" s="93"/>
      <c r="E235" s="93"/>
      <c r="F235" s="25"/>
      <c r="G235" s="94"/>
      <c r="H235" s="93"/>
      <c r="I235" s="93"/>
      <c r="J235" s="93"/>
      <c r="K235" s="93"/>
      <c r="L235" s="93"/>
      <c r="M235" s="93"/>
      <c r="N235" s="93"/>
      <c r="O235" s="93"/>
      <c r="P235" s="54">
        <v>0</v>
      </c>
      <c r="Q235" s="94">
        <f t="shared" si="1"/>
        <v>0</v>
      </c>
      <c r="R235" s="53">
        <v>0</v>
      </c>
      <c r="S235" s="132">
        <f t="shared" si="2"/>
        <v>0</v>
      </c>
      <c r="T235" s="79"/>
      <c r="U235" s="88"/>
      <c r="V235" s="5"/>
      <c r="W235" s="109"/>
    </row>
    <row r="236" spans="1:23" ht="15.6" x14ac:dyDescent="0.3">
      <c r="A236" s="24"/>
      <c r="B236" s="54" t="s">
        <v>166</v>
      </c>
      <c r="C236" s="93"/>
      <c r="D236" s="93"/>
      <c r="E236" s="93"/>
      <c r="F236" s="25"/>
      <c r="G236" s="94"/>
      <c r="H236" s="93"/>
      <c r="I236" s="93"/>
      <c r="J236" s="93"/>
      <c r="K236" s="93"/>
      <c r="L236" s="93"/>
      <c r="M236" s="93"/>
      <c r="N236" s="93"/>
      <c r="O236" s="93"/>
      <c r="P236" s="54">
        <v>1</v>
      </c>
      <c r="Q236" s="94">
        <f t="shared" si="1"/>
        <v>1.4632718759145449E-4</v>
      </c>
      <c r="R236" s="53">
        <v>236</v>
      </c>
      <c r="S236" s="132">
        <f t="shared" si="2"/>
        <v>2.5950862701242894E-4</v>
      </c>
      <c r="T236" s="79"/>
      <c r="U236" s="88"/>
      <c r="V236" s="5"/>
    </row>
    <row r="237" spans="1:23" ht="15.6" x14ac:dyDescent="0.3">
      <c r="A237" s="24"/>
      <c r="B237" s="54" t="s">
        <v>167</v>
      </c>
      <c r="C237" s="93"/>
      <c r="D237" s="93"/>
      <c r="E237" s="93"/>
      <c r="F237" s="25"/>
      <c r="G237" s="94"/>
      <c r="H237" s="93"/>
      <c r="I237" s="93"/>
      <c r="J237" s="93"/>
      <c r="K237" s="93"/>
      <c r="L237" s="93"/>
      <c r="M237" s="93"/>
      <c r="N237" s="93"/>
      <c r="O237" s="93"/>
      <c r="P237" s="54">
        <v>0</v>
      </c>
      <c r="Q237" s="94">
        <f t="shared" si="1"/>
        <v>0</v>
      </c>
      <c r="R237" s="53">
        <v>0</v>
      </c>
      <c r="S237" s="132">
        <f t="shared" si="2"/>
        <v>0</v>
      </c>
      <c r="T237" s="79"/>
      <c r="U237" s="88"/>
      <c r="V237" s="5"/>
      <c r="W237" s="109"/>
    </row>
    <row r="238" spans="1:23" ht="15.6" x14ac:dyDescent="0.3">
      <c r="A238" s="24"/>
      <c r="B238" s="54"/>
      <c r="C238" s="93"/>
      <c r="D238" s="93"/>
      <c r="E238" s="93"/>
      <c r="F238" s="25"/>
      <c r="G238" s="94"/>
      <c r="H238" s="93"/>
      <c r="I238" s="93"/>
      <c r="J238" s="93"/>
      <c r="K238" s="93"/>
      <c r="L238" s="93"/>
      <c r="M238" s="93"/>
      <c r="N238" s="93"/>
      <c r="O238" s="93"/>
      <c r="P238" s="54"/>
      <c r="Q238" s="94"/>
      <c r="R238" s="53"/>
      <c r="S238" s="132"/>
      <c r="T238" s="79"/>
      <c r="U238" s="88"/>
      <c r="V238" s="5"/>
    </row>
    <row r="239" spans="1:23" ht="15.6" x14ac:dyDescent="0.3">
      <c r="A239" s="24"/>
      <c r="B239" s="25"/>
      <c r="C239" s="25"/>
      <c r="D239" s="25"/>
      <c r="E239" s="25"/>
      <c r="F239" s="25"/>
      <c r="G239" s="25"/>
      <c r="H239" s="95"/>
      <c r="I239" s="95"/>
      <c r="J239" s="95"/>
      <c r="K239" s="95"/>
      <c r="L239" s="95"/>
      <c r="M239" s="95"/>
      <c r="N239" s="95"/>
      <c r="O239" s="95"/>
      <c r="P239" s="34">
        <f>SUM(P230:P238)</f>
        <v>6834</v>
      </c>
      <c r="Q239" s="132">
        <f>SUM(Q230:Q238)</f>
        <v>1</v>
      </c>
      <c r="R239" s="53">
        <f>SUM(R230:R238)</f>
        <v>909411</v>
      </c>
      <c r="S239" s="132">
        <f>SUM(S230:S238)</f>
        <v>1</v>
      </c>
      <c r="T239" s="25"/>
      <c r="U239" s="25"/>
      <c r="V239" s="5"/>
    </row>
    <row r="240" spans="1:23" ht="15.6" x14ac:dyDescent="0.3">
      <c r="A240" s="24"/>
      <c r="B240" s="25"/>
      <c r="C240" s="25"/>
      <c r="D240" s="25"/>
      <c r="E240" s="25"/>
      <c r="F240" s="25"/>
      <c r="G240" s="25"/>
      <c r="H240" s="95"/>
      <c r="I240" s="95"/>
      <c r="J240" s="95"/>
      <c r="K240" s="95"/>
      <c r="L240" s="95"/>
      <c r="M240" s="95"/>
      <c r="N240" s="95"/>
      <c r="O240" s="95"/>
      <c r="P240" s="34"/>
      <c r="Q240" s="132"/>
      <c r="R240" s="53"/>
      <c r="S240" s="132"/>
      <c r="T240" s="25"/>
      <c r="U240" s="25"/>
      <c r="V240" s="5"/>
    </row>
    <row r="241" spans="1:22" ht="15.6" x14ac:dyDescent="0.3">
      <c r="A241" s="141"/>
      <c r="B241" s="14" t="s">
        <v>267</v>
      </c>
      <c r="C241" s="81"/>
      <c r="D241" s="81"/>
      <c r="E241" s="81"/>
      <c r="F241" s="82"/>
      <c r="G241" s="81"/>
      <c r="H241" s="17"/>
      <c r="I241" s="17"/>
      <c r="J241" s="17"/>
      <c r="K241" s="17"/>
      <c r="L241" s="17"/>
      <c r="M241" s="17"/>
      <c r="N241" s="17"/>
      <c r="O241" s="17"/>
      <c r="P241" s="83" t="s">
        <v>105</v>
      </c>
      <c r="Q241" s="17" t="s">
        <v>106</v>
      </c>
      <c r="R241" s="83" t="s">
        <v>114</v>
      </c>
      <c r="S241" s="17" t="s">
        <v>106</v>
      </c>
      <c r="T241" s="139"/>
      <c r="U241" s="140"/>
      <c r="V241" s="5"/>
    </row>
    <row r="242" spans="1:22" ht="15.6" x14ac:dyDescent="0.3">
      <c r="A242" s="24"/>
      <c r="B242" s="54" t="s">
        <v>91</v>
      </c>
      <c r="C242" s="93"/>
      <c r="D242" s="93"/>
      <c r="E242" s="93"/>
      <c r="F242" s="25"/>
      <c r="G242" s="93"/>
      <c r="H242" s="93"/>
      <c r="I242" s="93"/>
      <c r="J242" s="93"/>
      <c r="K242" s="93"/>
      <c r="L242" s="93"/>
      <c r="M242" s="93"/>
      <c r="N242" s="93"/>
      <c r="O242" s="93"/>
      <c r="P242" s="54">
        <v>2</v>
      </c>
      <c r="Q242" s="94">
        <f t="shared" ref="Q242:Q249" si="3">P242/$P$251</f>
        <v>0.10526315789473684</v>
      </c>
      <c r="R242" s="53">
        <v>247</v>
      </c>
      <c r="S242" s="132">
        <f t="shared" ref="S242:S249" si="4">R242/$R$251</f>
        <v>8.7371772196674927E-2</v>
      </c>
      <c r="T242" s="25"/>
      <c r="U242" s="25"/>
      <c r="V242" s="5"/>
    </row>
    <row r="243" spans="1:22" ht="15.6" x14ac:dyDescent="0.3">
      <c r="A243" s="24"/>
      <c r="B243" s="54" t="s">
        <v>92</v>
      </c>
      <c r="C243" s="93"/>
      <c r="D243" s="93"/>
      <c r="E243" s="93"/>
      <c r="F243" s="25"/>
      <c r="G243" s="94"/>
      <c r="H243" s="93"/>
      <c r="I243" s="93"/>
      <c r="J243" s="93"/>
      <c r="K243" s="93"/>
      <c r="L243" s="93"/>
      <c r="M243" s="93"/>
      <c r="N243" s="93"/>
      <c r="O243" s="93"/>
      <c r="P243" s="54">
        <v>2</v>
      </c>
      <c r="Q243" s="94">
        <f t="shared" si="3"/>
        <v>0.10526315789473684</v>
      </c>
      <c r="R243" s="53">
        <v>157</v>
      </c>
      <c r="S243" s="132">
        <f t="shared" si="4"/>
        <v>5.5535903784931021E-2</v>
      </c>
      <c r="T243" s="25"/>
      <c r="U243" s="25"/>
      <c r="V243" s="5"/>
    </row>
    <row r="244" spans="1:22" ht="15.6" x14ac:dyDescent="0.3">
      <c r="A244" s="24"/>
      <c r="B244" s="54" t="s">
        <v>93</v>
      </c>
      <c r="C244" s="93"/>
      <c r="D244" s="93"/>
      <c r="E244" s="93"/>
      <c r="F244" s="25"/>
      <c r="G244" s="94"/>
      <c r="H244" s="93"/>
      <c r="I244" s="93"/>
      <c r="J244" s="93"/>
      <c r="K244" s="93"/>
      <c r="L244" s="93"/>
      <c r="M244" s="93"/>
      <c r="N244" s="93"/>
      <c r="O244" s="93"/>
      <c r="P244" s="54">
        <v>2</v>
      </c>
      <c r="Q244" s="94">
        <f t="shared" si="3"/>
        <v>0.10526315789473684</v>
      </c>
      <c r="R244" s="53">
        <v>300</v>
      </c>
      <c r="S244" s="132">
        <f t="shared" si="4"/>
        <v>0.10611956137247966</v>
      </c>
      <c r="T244" s="25"/>
      <c r="U244" s="25"/>
      <c r="V244" s="5"/>
    </row>
    <row r="245" spans="1:22" ht="15.6" x14ac:dyDescent="0.3">
      <c r="A245" s="24"/>
      <c r="B245" s="54" t="s">
        <v>163</v>
      </c>
      <c r="C245" s="93"/>
      <c r="D245" s="93"/>
      <c r="E245" s="93"/>
      <c r="F245" s="25"/>
      <c r="G245" s="94"/>
      <c r="H245" s="93"/>
      <c r="I245" s="93"/>
      <c r="J245" s="93"/>
      <c r="K245" s="93"/>
      <c r="L245" s="93"/>
      <c r="M245" s="93"/>
      <c r="N245" s="93"/>
      <c r="O245" s="93"/>
      <c r="P245" s="54">
        <v>2</v>
      </c>
      <c r="Q245" s="94">
        <f t="shared" si="3"/>
        <v>0.10526315789473684</v>
      </c>
      <c r="R245" s="53">
        <v>296</v>
      </c>
      <c r="S245" s="132">
        <f t="shared" si="4"/>
        <v>0.10470463388751326</v>
      </c>
      <c r="T245" s="25"/>
      <c r="U245" s="25"/>
      <c r="V245" s="5"/>
    </row>
    <row r="246" spans="1:22" ht="15.6" x14ac:dyDescent="0.3">
      <c r="A246" s="24"/>
      <c r="B246" s="54" t="s">
        <v>164</v>
      </c>
      <c r="C246" s="93"/>
      <c r="D246" s="93"/>
      <c r="E246" s="93"/>
      <c r="F246" s="25"/>
      <c r="G246" s="94"/>
      <c r="H246" s="93"/>
      <c r="I246" s="93"/>
      <c r="J246" s="93"/>
      <c r="K246" s="93"/>
      <c r="L246" s="93"/>
      <c r="M246" s="93"/>
      <c r="N246" s="93"/>
      <c r="O246" s="93"/>
      <c r="P246" s="54">
        <v>2</v>
      </c>
      <c r="Q246" s="94">
        <f t="shared" si="3"/>
        <v>0.10526315789473684</v>
      </c>
      <c r="R246" s="53">
        <v>543</v>
      </c>
      <c r="S246" s="132">
        <f t="shared" si="4"/>
        <v>0.19207640608418819</v>
      </c>
      <c r="T246" s="25"/>
      <c r="U246" s="25"/>
      <c r="V246" s="5"/>
    </row>
    <row r="247" spans="1:22" ht="15.6" x14ac:dyDescent="0.3">
      <c r="A247" s="24"/>
      <c r="B247" s="54" t="s">
        <v>165</v>
      </c>
      <c r="C247" s="93"/>
      <c r="D247" s="93"/>
      <c r="E247" s="93"/>
      <c r="F247" s="25"/>
      <c r="G247" s="94"/>
      <c r="H247" s="93"/>
      <c r="I247" s="93"/>
      <c r="J247" s="93"/>
      <c r="K247" s="93"/>
      <c r="L247" s="93"/>
      <c r="M247" s="93"/>
      <c r="N247" s="93"/>
      <c r="O247" s="93"/>
      <c r="P247" s="54">
        <v>3</v>
      </c>
      <c r="Q247" s="94">
        <f t="shared" si="3"/>
        <v>0.15789473684210525</v>
      </c>
      <c r="R247" s="53">
        <v>519</v>
      </c>
      <c r="S247" s="132">
        <f t="shared" si="4"/>
        <v>0.18358684117438981</v>
      </c>
      <c r="T247" s="25"/>
      <c r="U247" s="25"/>
      <c r="V247" s="5"/>
    </row>
    <row r="248" spans="1:22" ht="15.6" x14ac:dyDescent="0.3">
      <c r="A248" s="24"/>
      <c r="B248" s="54" t="s">
        <v>166</v>
      </c>
      <c r="C248" s="93"/>
      <c r="D248" s="93"/>
      <c r="E248" s="93"/>
      <c r="F248" s="25"/>
      <c r="G248" s="94"/>
      <c r="H248" s="93"/>
      <c r="I248" s="93"/>
      <c r="J248" s="93"/>
      <c r="K248" s="93"/>
      <c r="L248" s="93"/>
      <c r="M248" s="93"/>
      <c r="N248" s="93"/>
      <c r="O248" s="93"/>
      <c r="P248" s="54">
        <v>4</v>
      </c>
      <c r="Q248" s="94">
        <f t="shared" si="3"/>
        <v>0.21052631578947367</v>
      </c>
      <c r="R248" s="53">
        <v>534</v>
      </c>
      <c r="S248" s="132">
        <f t="shared" si="4"/>
        <v>0.18889281924301379</v>
      </c>
      <c r="T248" s="25"/>
      <c r="U248" s="25"/>
      <c r="V248" s="5"/>
    </row>
    <row r="249" spans="1:22" ht="15.6" x14ac:dyDescent="0.3">
      <c r="A249" s="24"/>
      <c r="B249" s="54" t="s">
        <v>167</v>
      </c>
      <c r="C249" s="93"/>
      <c r="D249" s="93"/>
      <c r="E249" s="93"/>
      <c r="F249" s="25"/>
      <c r="G249" s="94"/>
      <c r="H249" s="93"/>
      <c r="I249" s="93"/>
      <c r="J249" s="93"/>
      <c r="K249" s="93"/>
      <c r="L249" s="93"/>
      <c r="M249" s="93"/>
      <c r="N249" s="93"/>
      <c r="O249" s="93"/>
      <c r="P249" s="54">
        <v>2</v>
      </c>
      <c r="Q249" s="94">
        <f t="shared" si="3"/>
        <v>0.10526315789473684</v>
      </c>
      <c r="R249" s="53">
        <v>231</v>
      </c>
      <c r="S249" s="132">
        <f t="shared" si="4"/>
        <v>8.171206225680934E-2</v>
      </c>
      <c r="T249" s="25"/>
      <c r="U249" s="25"/>
      <c r="V249" s="5"/>
    </row>
    <row r="250" spans="1:22" ht="15.6" x14ac:dyDescent="0.3">
      <c r="A250" s="24"/>
      <c r="B250" s="54"/>
      <c r="C250" s="93"/>
      <c r="D250" s="93"/>
      <c r="E250" s="93"/>
      <c r="F250" s="25"/>
      <c r="G250" s="94"/>
      <c r="H250" s="93"/>
      <c r="I250" s="93"/>
      <c r="J250" s="93"/>
      <c r="K250" s="93"/>
      <c r="L250" s="93"/>
      <c r="M250" s="93"/>
      <c r="N250" s="93"/>
      <c r="O250" s="93"/>
      <c r="P250" s="54"/>
      <c r="Q250" s="94"/>
      <c r="R250" s="53"/>
      <c r="S250" s="132"/>
      <c r="T250" s="25"/>
      <c r="U250" s="25"/>
      <c r="V250" s="5"/>
    </row>
    <row r="251" spans="1:22" ht="15.6" x14ac:dyDescent="0.3">
      <c r="A251" s="24"/>
      <c r="B251" s="25"/>
      <c r="C251" s="25"/>
      <c r="D251" s="25"/>
      <c r="E251" s="25"/>
      <c r="F251" s="25"/>
      <c r="G251" s="25"/>
      <c r="H251" s="95"/>
      <c r="I251" s="95"/>
      <c r="J251" s="95"/>
      <c r="K251" s="95"/>
      <c r="L251" s="95"/>
      <c r="M251" s="95"/>
      <c r="N251" s="95"/>
      <c r="O251" s="95"/>
      <c r="P251" s="34">
        <f>SUM(P242:P250)</f>
        <v>19</v>
      </c>
      <c r="Q251" s="132">
        <f>SUM(Q242:Q250)</f>
        <v>0.99999999999999989</v>
      </c>
      <c r="R251" s="53">
        <f>SUM(R242:R250)</f>
        <v>2827</v>
      </c>
      <c r="S251" s="132">
        <f>SUM(S242:S250)</f>
        <v>1</v>
      </c>
      <c r="T251" s="25"/>
      <c r="U251" s="25"/>
      <c r="V251" s="5"/>
    </row>
    <row r="252" spans="1:22" ht="15.6" x14ac:dyDescent="0.3">
      <c r="A252" s="24"/>
      <c r="B252" s="25"/>
      <c r="C252" s="25"/>
      <c r="D252" s="25"/>
      <c r="E252" s="25"/>
      <c r="F252" s="25"/>
      <c r="G252" s="25"/>
      <c r="H252" s="95"/>
      <c r="I252" s="95"/>
      <c r="J252" s="95"/>
      <c r="K252" s="95"/>
      <c r="L252" s="95"/>
      <c r="M252" s="95"/>
      <c r="N252" s="95"/>
      <c r="O252" s="95"/>
      <c r="P252" s="34"/>
      <c r="Q252" s="132"/>
      <c r="R252" s="53"/>
      <c r="S252" s="132"/>
      <c r="T252" s="25"/>
      <c r="U252" s="25"/>
      <c r="V252" s="5"/>
    </row>
    <row r="253" spans="1:22" ht="15.6" x14ac:dyDescent="0.3">
      <c r="A253" s="141"/>
      <c r="B253" s="14" t="s">
        <v>170</v>
      </c>
      <c r="C253" s="139"/>
      <c r="D253" s="139"/>
      <c r="E253" s="139"/>
      <c r="F253" s="139"/>
      <c r="G253" s="139"/>
      <c r="H253" s="145"/>
      <c r="I253" s="145"/>
      <c r="J253" s="145"/>
      <c r="K253" s="145"/>
      <c r="L253" s="145"/>
      <c r="M253" s="145"/>
      <c r="N253" s="145"/>
      <c r="O253" s="145"/>
      <c r="P253" s="83" t="s">
        <v>105</v>
      </c>
      <c r="Q253" s="17" t="s">
        <v>106</v>
      </c>
      <c r="R253" s="83" t="s">
        <v>114</v>
      </c>
      <c r="S253" s="17" t="s">
        <v>106</v>
      </c>
      <c r="T253" s="139"/>
      <c r="U253" s="140"/>
      <c r="V253" s="5"/>
    </row>
    <row r="254" spans="1:22" ht="15.6" x14ac:dyDescent="0.3">
      <c r="A254" s="24"/>
      <c r="B254" s="54" t="s">
        <v>91</v>
      </c>
      <c r="C254" s="25"/>
      <c r="D254" s="25"/>
      <c r="E254" s="25"/>
      <c r="F254" s="25"/>
      <c r="G254" s="25"/>
      <c r="H254" s="95"/>
      <c r="I254" s="95"/>
      <c r="J254" s="95"/>
      <c r="K254" s="95"/>
      <c r="L254" s="95"/>
      <c r="M254" s="95"/>
      <c r="N254" s="95"/>
      <c r="O254" s="95"/>
      <c r="P254" s="54">
        <v>0</v>
      </c>
      <c r="Q254" s="94">
        <v>0</v>
      </c>
      <c r="R254" s="53">
        <v>0</v>
      </c>
      <c r="S254" s="132">
        <v>0</v>
      </c>
      <c r="T254" s="25"/>
      <c r="U254" s="25"/>
      <c r="V254" s="5"/>
    </row>
    <row r="255" spans="1:22" ht="15.6" x14ac:dyDescent="0.3">
      <c r="A255" s="24"/>
      <c r="B255" s="54" t="s">
        <v>92</v>
      </c>
      <c r="C255" s="25"/>
      <c r="D255" s="25"/>
      <c r="E255" s="25"/>
      <c r="F255" s="25"/>
      <c r="G255" s="25"/>
      <c r="H255" s="95"/>
      <c r="I255" s="95"/>
      <c r="J255" s="95"/>
      <c r="K255" s="95"/>
      <c r="L255" s="95"/>
      <c r="M255" s="95"/>
      <c r="N255" s="95"/>
      <c r="O255" s="95"/>
      <c r="P255" s="54">
        <v>0</v>
      </c>
      <c r="Q255" s="94">
        <v>0</v>
      </c>
      <c r="R255" s="53">
        <v>0</v>
      </c>
      <c r="S255" s="132">
        <v>0</v>
      </c>
      <c r="T255" s="25"/>
      <c r="U255" s="25"/>
      <c r="V255" s="5"/>
    </row>
    <row r="256" spans="1:22" ht="15.6" x14ac:dyDescent="0.3">
      <c r="A256" s="24"/>
      <c r="B256" s="54" t="s">
        <v>93</v>
      </c>
      <c r="C256" s="25"/>
      <c r="D256" s="25"/>
      <c r="E256" s="25"/>
      <c r="F256" s="25"/>
      <c r="G256" s="25"/>
      <c r="H256" s="95"/>
      <c r="I256" s="95"/>
      <c r="J256" s="95"/>
      <c r="K256" s="95"/>
      <c r="L256" s="95"/>
      <c r="M256" s="95"/>
      <c r="N256" s="95"/>
      <c r="O256" s="95"/>
      <c r="P256" s="54">
        <v>0</v>
      </c>
      <c r="Q256" s="94">
        <v>0</v>
      </c>
      <c r="R256" s="53">
        <v>0</v>
      </c>
      <c r="S256" s="132">
        <v>0</v>
      </c>
      <c r="T256" s="25"/>
      <c r="U256" s="25"/>
      <c r="V256" s="5"/>
    </row>
    <row r="257" spans="1:22" ht="15.6" x14ac:dyDescent="0.3">
      <c r="A257" s="24"/>
      <c r="B257" s="54" t="s">
        <v>163</v>
      </c>
      <c r="C257" s="25"/>
      <c r="D257" s="25"/>
      <c r="E257" s="25"/>
      <c r="F257" s="25"/>
      <c r="G257" s="25"/>
      <c r="H257" s="95"/>
      <c r="I257" s="95"/>
      <c r="J257" s="95"/>
      <c r="K257" s="95"/>
      <c r="L257" s="95"/>
      <c r="M257" s="95"/>
      <c r="N257" s="95"/>
      <c r="O257" s="95"/>
      <c r="P257" s="54">
        <v>0</v>
      </c>
      <c r="Q257" s="94">
        <v>0</v>
      </c>
      <c r="R257" s="53">
        <v>0</v>
      </c>
      <c r="S257" s="132">
        <v>0</v>
      </c>
      <c r="T257" s="25"/>
      <c r="U257" s="25"/>
      <c r="V257" s="5"/>
    </row>
    <row r="258" spans="1:22" ht="15.6" x14ac:dyDescent="0.3">
      <c r="A258" s="24"/>
      <c r="B258" s="54" t="s">
        <v>164</v>
      </c>
      <c r="C258" s="25"/>
      <c r="D258" s="25"/>
      <c r="E258" s="25"/>
      <c r="F258" s="25"/>
      <c r="G258" s="25"/>
      <c r="H258" s="95"/>
      <c r="I258" s="95"/>
      <c r="J258" s="95"/>
      <c r="K258" s="95"/>
      <c r="L258" s="95"/>
      <c r="M258" s="95"/>
      <c r="N258" s="95"/>
      <c r="O258" s="95"/>
      <c r="P258" s="54">
        <v>0</v>
      </c>
      <c r="Q258" s="94">
        <v>0</v>
      </c>
      <c r="R258" s="53">
        <v>0</v>
      </c>
      <c r="S258" s="132">
        <v>0</v>
      </c>
      <c r="T258" s="25"/>
      <c r="U258" s="25"/>
      <c r="V258" s="5"/>
    </row>
    <row r="259" spans="1:22" ht="15.6" x14ac:dyDescent="0.3">
      <c r="A259" s="24"/>
      <c r="B259" s="54" t="s">
        <v>165</v>
      </c>
      <c r="C259" s="25"/>
      <c r="D259" s="25"/>
      <c r="E259" s="25"/>
      <c r="F259" s="25"/>
      <c r="G259" s="25"/>
      <c r="H259" s="95"/>
      <c r="I259" s="95"/>
      <c r="J259" s="95"/>
      <c r="K259" s="95"/>
      <c r="L259" s="95"/>
      <c r="M259" s="95"/>
      <c r="N259" s="95"/>
      <c r="O259" s="95"/>
      <c r="P259" s="54">
        <v>0</v>
      </c>
      <c r="Q259" s="94">
        <v>0</v>
      </c>
      <c r="R259" s="53">
        <v>0</v>
      </c>
      <c r="S259" s="132">
        <v>0</v>
      </c>
      <c r="T259" s="25"/>
      <c r="U259" s="25"/>
      <c r="V259" s="5"/>
    </row>
    <row r="260" spans="1:22" ht="15.6" x14ac:dyDescent="0.3">
      <c r="A260" s="24"/>
      <c r="B260" s="54" t="s">
        <v>166</v>
      </c>
      <c r="C260" s="25"/>
      <c r="D260" s="25"/>
      <c r="E260" s="25"/>
      <c r="F260" s="25"/>
      <c r="G260" s="25"/>
      <c r="H260" s="95"/>
      <c r="I260" s="95"/>
      <c r="J260" s="95"/>
      <c r="K260" s="95"/>
      <c r="L260" s="95"/>
      <c r="M260" s="95"/>
      <c r="N260" s="95"/>
      <c r="O260" s="95"/>
      <c r="P260" s="54">
        <v>0</v>
      </c>
      <c r="Q260" s="94">
        <v>0</v>
      </c>
      <c r="R260" s="53">
        <v>0</v>
      </c>
      <c r="S260" s="132">
        <v>0</v>
      </c>
      <c r="T260" s="25"/>
      <c r="U260" s="25"/>
      <c r="V260" s="5"/>
    </row>
    <row r="261" spans="1:22" ht="15.6" x14ac:dyDescent="0.3">
      <c r="A261" s="24"/>
      <c r="B261" s="54" t="s">
        <v>167</v>
      </c>
      <c r="C261" s="25"/>
      <c r="D261" s="25"/>
      <c r="E261" s="25"/>
      <c r="F261" s="25"/>
      <c r="G261" s="25"/>
      <c r="H261" s="95"/>
      <c r="I261" s="95"/>
      <c r="J261" s="95"/>
      <c r="K261" s="95"/>
      <c r="L261" s="95"/>
      <c r="M261" s="95"/>
      <c r="N261" s="95"/>
      <c r="O261" s="95"/>
      <c r="P261" s="54">
        <v>0</v>
      </c>
      <c r="Q261" s="94">
        <v>0</v>
      </c>
      <c r="R261" s="53">
        <v>0</v>
      </c>
      <c r="S261" s="132">
        <v>0</v>
      </c>
      <c r="T261" s="25"/>
      <c r="U261" s="25"/>
      <c r="V261" s="5"/>
    </row>
    <row r="262" spans="1:22" ht="15.6" x14ac:dyDescent="0.3">
      <c r="A262" s="24"/>
      <c r="B262" s="54"/>
      <c r="C262" s="25"/>
      <c r="D262" s="25"/>
      <c r="E262" s="25"/>
      <c r="F262" s="25"/>
      <c r="G262" s="25"/>
      <c r="H262" s="95"/>
      <c r="I262" s="95"/>
      <c r="J262" s="95"/>
      <c r="K262" s="95"/>
      <c r="L262" s="95"/>
      <c r="M262" s="95"/>
      <c r="N262" s="95"/>
      <c r="O262" s="95"/>
      <c r="P262" s="54"/>
      <c r="Q262" s="94"/>
      <c r="R262" s="53"/>
      <c r="S262" s="132"/>
      <c r="T262" s="25"/>
      <c r="U262" s="25"/>
      <c r="V262" s="5"/>
    </row>
    <row r="263" spans="1:22" ht="15.6" x14ac:dyDescent="0.3">
      <c r="A263" s="24"/>
      <c r="B263" s="25" t="s">
        <v>120</v>
      </c>
      <c r="C263" s="25"/>
      <c r="D263" s="25"/>
      <c r="E263" s="25"/>
      <c r="F263" s="25"/>
      <c r="G263" s="25"/>
      <c r="H263" s="95"/>
      <c r="I263" s="95"/>
      <c r="J263" s="95"/>
      <c r="K263" s="95"/>
      <c r="L263" s="95"/>
      <c r="M263" s="95"/>
      <c r="N263" s="95"/>
      <c r="O263" s="95"/>
      <c r="P263" s="34">
        <f>SUM(P254:P261)</f>
        <v>0</v>
      </c>
      <c r="Q263" s="94">
        <f>SUM(Q254:Q261)</f>
        <v>0</v>
      </c>
      <c r="R263" s="53">
        <f>SUM(R254:R261)</f>
        <v>0</v>
      </c>
      <c r="S263" s="132">
        <f>SUM(S254:S261)</f>
        <v>0</v>
      </c>
      <c r="T263" s="25"/>
      <c r="U263" s="25"/>
      <c r="V263" s="5"/>
    </row>
    <row r="264" spans="1:22" ht="15.6" x14ac:dyDescent="0.3">
      <c r="A264" s="24"/>
      <c r="B264" s="25"/>
      <c r="C264" s="25"/>
      <c r="D264" s="25"/>
      <c r="E264" s="25"/>
      <c r="F264" s="25"/>
      <c r="G264" s="25"/>
      <c r="H264" s="95"/>
      <c r="I264" s="95"/>
      <c r="J264" s="95"/>
      <c r="K264" s="95"/>
      <c r="L264" s="95"/>
      <c r="M264" s="95"/>
      <c r="N264" s="95"/>
      <c r="O264" s="95"/>
      <c r="P264" s="34"/>
      <c r="Q264" s="132"/>
      <c r="R264" s="53"/>
      <c r="S264" s="132"/>
      <c r="T264" s="25"/>
      <c r="U264" s="25"/>
      <c r="V264" s="5"/>
    </row>
    <row r="265" spans="1:22" ht="15.6" x14ac:dyDescent="0.3">
      <c r="A265" s="24"/>
      <c r="B265" s="142" t="s">
        <v>171</v>
      </c>
      <c r="C265" s="25"/>
      <c r="D265" s="25"/>
      <c r="E265" s="25"/>
      <c r="F265" s="25"/>
      <c r="G265" s="25"/>
      <c r="H265" s="95"/>
      <c r="I265" s="95"/>
      <c r="J265" s="95"/>
      <c r="K265" s="95"/>
      <c r="L265" s="95"/>
      <c r="M265" s="95"/>
      <c r="N265" s="95"/>
      <c r="O265" s="95"/>
      <c r="P265" s="161">
        <f>P263+P251+P239</f>
        <v>6853</v>
      </c>
      <c r="Q265" s="143"/>
      <c r="R265" s="144">
        <f>+R263+R251+R239</f>
        <v>912238</v>
      </c>
      <c r="S265" s="143"/>
      <c r="T265" s="25"/>
      <c r="U265" s="25"/>
      <c r="V265" s="5"/>
    </row>
    <row r="266" spans="1:22" ht="15.6" x14ac:dyDescent="0.3">
      <c r="A266" s="24"/>
      <c r="B266" s="25"/>
      <c r="C266" s="25"/>
      <c r="D266" s="25"/>
      <c r="E266" s="25"/>
      <c r="F266" s="25"/>
      <c r="G266" s="25"/>
      <c r="H266" s="95"/>
      <c r="I266" s="95"/>
      <c r="J266" s="95"/>
      <c r="K266" s="95"/>
      <c r="L266" s="95"/>
      <c r="M266" s="95"/>
      <c r="N266" s="95"/>
      <c r="O266" s="95"/>
      <c r="P266" s="95"/>
      <c r="Q266" s="95"/>
      <c r="R266" s="53"/>
      <c r="S266" s="95"/>
      <c r="T266" s="25"/>
      <c r="U266" s="25"/>
      <c r="V266" s="5"/>
    </row>
    <row r="267" spans="1:22" ht="15.6" x14ac:dyDescent="0.3">
      <c r="A267" s="6"/>
      <c r="B267" s="8"/>
      <c r="C267" s="8"/>
      <c r="D267" s="8"/>
      <c r="E267" s="8"/>
      <c r="F267" s="8"/>
      <c r="G267" s="8"/>
      <c r="H267" s="96"/>
      <c r="I267" s="96"/>
      <c r="J267" s="96"/>
      <c r="K267" s="96"/>
      <c r="L267" s="96"/>
      <c r="M267" s="96"/>
      <c r="N267" s="96"/>
      <c r="O267" s="96"/>
      <c r="P267" s="96"/>
      <c r="Q267" s="96"/>
      <c r="R267" s="97"/>
      <c r="S267" s="96"/>
      <c r="T267" s="8"/>
      <c r="U267" s="8"/>
      <c r="V267" s="5"/>
    </row>
    <row r="268" spans="1:22" ht="15.6" x14ac:dyDescent="0.3">
      <c r="A268" s="167"/>
      <c r="B268" s="14" t="s">
        <v>94</v>
      </c>
      <c r="C268" s="15"/>
      <c r="D268" s="15"/>
      <c r="E268" s="15"/>
      <c r="F268" s="17" t="s">
        <v>100</v>
      </c>
      <c r="G268" s="15"/>
      <c r="H268" s="14" t="s">
        <v>102</v>
      </c>
      <c r="I268" s="162"/>
      <c r="J268" s="162"/>
      <c r="K268" s="162"/>
      <c r="L268" s="162"/>
      <c r="M268" s="162"/>
      <c r="N268" s="162"/>
      <c r="O268" s="162"/>
      <c r="P268" s="162"/>
      <c r="Q268" s="162"/>
      <c r="R268" s="162"/>
      <c r="S268" s="162"/>
      <c r="T268" s="162"/>
      <c r="U268" s="162"/>
      <c r="V268" s="5"/>
    </row>
    <row r="269" spans="1:22" ht="15.6" x14ac:dyDescent="0.3">
      <c r="A269" s="167"/>
      <c r="B269" s="13" t="s">
        <v>95</v>
      </c>
      <c r="C269" s="13"/>
      <c r="D269" s="13"/>
      <c r="E269" s="13"/>
      <c r="F269" s="130" t="s">
        <v>154</v>
      </c>
      <c r="G269" s="13"/>
      <c r="H269" s="13" t="s">
        <v>158</v>
      </c>
      <c r="I269" s="162"/>
      <c r="J269" s="162"/>
      <c r="K269" s="162"/>
      <c r="L269" s="162"/>
      <c r="M269" s="162"/>
      <c r="N269" s="162"/>
      <c r="O269" s="162"/>
      <c r="P269" s="162"/>
      <c r="Q269" s="162"/>
      <c r="R269" s="162"/>
      <c r="S269" s="162"/>
      <c r="T269" s="162"/>
      <c r="U269" s="162"/>
      <c r="V269" s="5"/>
    </row>
    <row r="270" spans="1:22" ht="15.6" x14ac:dyDescent="0.3">
      <c r="A270" s="167"/>
      <c r="B270" s="13" t="s">
        <v>268</v>
      </c>
      <c r="C270" s="13"/>
      <c r="D270" s="13"/>
      <c r="E270" s="13"/>
      <c r="F270" s="130" t="s">
        <v>269</v>
      </c>
      <c r="G270" s="13"/>
      <c r="H270" s="13" t="s">
        <v>270</v>
      </c>
      <c r="I270" s="162"/>
      <c r="J270" s="162"/>
      <c r="K270" s="162"/>
      <c r="L270" s="162"/>
      <c r="M270" s="162"/>
      <c r="N270" s="162"/>
      <c r="O270" s="162"/>
      <c r="P270" s="162"/>
      <c r="Q270" s="162"/>
      <c r="R270" s="162"/>
      <c r="S270" s="162"/>
      <c r="T270" s="162"/>
      <c r="U270" s="162"/>
      <c r="V270" s="5"/>
    </row>
    <row r="271" spans="1:22" ht="15.6" x14ac:dyDescent="0.3">
      <c r="A271" s="167"/>
      <c r="B271" s="13" t="s">
        <v>96</v>
      </c>
      <c r="C271" s="13"/>
      <c r="D271" s="13"/>
      <c r="E271" s="13"/>
      <c r="F271" s="130" t="s">
        <v>153</v>
      </c>
      <c r="G271" s="13"/>
      <c r="H271" s="13" t="s">
        <v>159</v>
      </c>
      <c r="I271" s="162"/>
      <c r="J271" s="162"/>
      <c r="K271" s="162"/>
      <c r="L271" s="162"/>
      <c r="M271" s="162"/>
      <c r="N271" s="162"/>
      <c r="O271" s="162"/>
      <c r="P271" s="162"/>
      <c r="Q271" s="162"/>
      <c r="R271" s="162"/>
      <c r="S271" s="162"/>
      <c r="T271" s="162"/>
      <c r="U271" s="162"/>
      <c r="V271" s="5"/>
    </row>
    <row r="272" spans="1:22" ht="15.6" x14ac:dyDescent="0.3">
      <c r="A272" s="167"/>
      <c r="B272" s="13"/>
      <c r="C272" s="13"/>
      <c r="D272" s="13"/>
      <c r="E272" s="13"/>
      <c r="F272" s="13"/>
      <c r="G272" s="99"/>
      <c r="H272" s="162"/>
      <c r="I272" s="162"/>
      <c r="J272" s="162"/>
      <c r="K272" s="162"/>
      <c r="L272" s="162"/>
      <c r="M272" s="162"/>
      <c r="N272" s="162"/>
      <c r="O272" s="162"/>
      <c r="P272" s="162"/>
      <c r="Q272" s="162"/>
      <c r="R272" s="162"/>
      <c r="S272" s="162"/>
      <c r="T272" s="162"/>
      <c r="U272" s="162"/>
      <c r="V272" s="5"/>
    </row>
    <row r="273" spans="1:22" ht="15.6" x14ac:dyDescent="0.3">
      <c r="A273" s="167"/>
      <c r="B273" s="13"/>
      <c r="C273" s="13"/>
      <c r="D273" s="13"/>
      <c r="E273" s="13"/>
      <c r="F273" s="13"/>
      <c r="G273" s="99"/>
      <c r="H273" s="162"/>
      <c r="I273" s="162"/>
      <c r="J273" s="162"/>
      <c r="K273" s="162"/>
      <c r="L273" s="162"/>
      <c r="M273" s="162"/>
      <c r="N273" s="162"/>
      <c r="O273" s="162"/>
      <c r="P273" s="162"/>
      <c r="Q273" s="162"/>
      <c r="R273" s="162"/>
      <c r="S273" s="162"/>
      <c r="T273" s="162"/>
      <c r="U273" s="162"/>
      <c r="V273" s="5"/>
    </row>
    <row r="274" spans="1:22" ht="18" thickBot="1" x14ac:dyDescent="0.35">
      <c r="A274" s="167"/>
      <c r="B274" s="49" t="str">
        <f>B191</f>
        <v>PM11 INVESTOR REPORT QUARTER ENDING JUNE 2007</v>
      </c>
      <c r="C274" s="13"/>
      <c r="D274" s="13"/>
      <c r="E274" s="13"/>
      <c r="F274" s="13"/>
      <c r="G274" s="99"/>
      <c r="H274" s="162"/>
      <c r="I274" s="162"/>
      <c r="J274" s="162"/>
      <c r="K274" s="162"/>
      <c r="L274" s="162"/>
      <c r="M274" s="162"/>
      <c r="N274" s="162"/>
      <c r="O274" s="162"/>
      <c r="P274" s="162"/>
      <c r="Q274" s="162"/>
      <c r="R274" s="162"/>
      <c r="S274" s="162"/>
      <c r="T274" s="162"/>
      <c r="U274" s="162"/>
      <c r="V274" s="5"/>
    </row>
    <row r="275" spans="1:22" x14ac:dyDescent="0.25">
      <c r="A275" s="100"/>
      <c r="B275" s="100"/>
      <c r="C275" s="100"/>
      <c r="D275" s="100"/>
      <c r="E275" s="100"/>
      <c r="F275" s="100"/>
      <c r="G275" s="100"/>
      <c r="H275" s="100"/>
      <c r="I275" s="100"/>
      <c r="J275" s="100"/>
      <c r="K275" s="100"/>
      <c r="L275" s="100"/>
      <c r="M275" s="100"/>
      <c r="N275" s="100"/>
      <c r="O275" s="100"/>
      <c r="P275" s="100"/>
      <c r="Q275" s="100"/>
      <c r="R275" s="100"/>
      <c r="S275" s="100"/>
      <c r="T275" s="100"/>
      <c r="U275" s="100"/>
    </row>
  </sheetData>
  <phoneticPr fontId="0" type="noConversion"/>
  <hyperlinks>
    <hyperlink ref="N227" r:id="rId1" xr:uid="{00000000-0004-0000-0400-000000000000}"/>
    <hyperlink ref="J9" r:id="rId2" xr:uid="{00000000-0004-0000-04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4" max="14" man="1"/>
    <brk id="132" max="14" man="1"/>
    <brk id="191" max="14" man="1"/>
  </rowBreaks>
  <drawing r:id="rId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2D2926"/>
  </sheetPr>
  <dimension ref="A1:X293"/>
  <sheetViews>
    <sheetView showGridLines="0" showOutlineSymbols="0" zoomScale="70" zoomScaleNormal="70" workbookViewId="0"/>
  </sheetViews>
  <sheetFormatPr defaultColWidth="9.81640625" defaultRowHeight="15.6" x14ac:dyDescent="0.3"/>
  <cols>
    <col min="1" max="1" width="4" style="417" customWidth="1"/>
    <col min="2" max="2" width="71.08984375" style="417" customWidth="1"/>
    <col min="3" max="3" width="2.08984375" style="417" customWidth="1"/>
    <col min="4" max="4" width="19.1796875" style="417" customWidth="1"/>
    <col min="5" max="5" width="2.08984375" style="417" customWidth="1"/>
    <col min="6" max="6" width="25.08984375" style="417" customWidth="1"/>
    <col min="7" max="7" width="2.08984375" style="417" customWidth="1"/>
    <col min="8" max="8" width="16.08984375" style="417" customWidth="1"/>
    <col min="9" max="9" width="2.08984375" style="417" customWidth="1"/>
    <col min="10" max="10" width="17.81640625" style="417" customWidth="1"/>
    <col min="11" max="11" width="2.1796875" style="417" customWidth="1"/>
    <col min="12" max="12" width="14.81640625" style="417" customWidth="1"/>
    <col min="13" max="13" width="2.1796875" style="417" customWidth="1"/>
    <col min="14" max="14" width="15.54296875" style="417" customWidth="1"/>
    <col min="15" max="15" width="2.08984375" style="417" customWidth="1"/>
    <col min="16" max="16" width="15.54296875" style="417" customWidth="1"/>
    <col min="17" max="18" width="12.81640625" style="417" customWidth="1"/>
    <col min="19" max="19" width="7.81640625" style="417" customWidth="1"/>
    <col min="20" max="20" width="14.81640625" style="417" customWidth="1"/>
    <col min="21" max="21" width="11.81640625" style="417" customWidth="1"/>
    <col min="22" max="16384" width="9.81640625" style="417"/>
  </cols>
  <sheetData>
    <row r="1" spans="1:22" ht="21" x14ac:dyDescent="0.4">
      <c r="A1" s="413"/>
      <c r="B1" s="414" t="s">
        <v>228</v>
      </c>
      <c r="C1" s="415"/>
      <c r="D1" s="415"/>
      <c r="E1" s="415"/>
      <c r="F1" s="415"/>
      <c r="G1" s="415"/>
      <c r="H1" s="415"/>
      <c r="I1" s="415"/>
      <c r="J1" s="415"/>
      <c r="K1" s="415"/>
      <c r="L1" s="415"/>
      <c r="M1" s="415"/>
      <c r="N1" s="415"/>
      <c r="O1" s="415"/>
      <c r="P1" s="415"/>
      <c r="Q1" s="415"/>
      <c r="R1" s="415"/>
      <c r="S1" s="415"/>
      <c r="T1" s="415"/>
      <c r="U1" s="638"/>
      <c r="V1" s="416"/>
    </row>
    <row r="2" spans="1:22" x14ac:dyDescent="0.3">
      <c r="A2" s="418"/>
      <c r="B2" s="419"/>
      <c r="C2" s="420"/>
      <c r="D2" s="420"/>
      <c r="E2" s="420"/>
      <c r="F2" s="420"/>
      <c r="G2" s="420"/>
      <c r="H2" s="420"/>
      <c r="I2" s="420"/>
      <c r="J2" s="420"/>
      <c r="K2" s="420"/>
      <c r="L2" s="420"/>
      <c r="M2" s="420"/>
      <c r="N2" s="420"/>
      <c r="O2" s="420"/>
      <c r="P2" s="420"/>
      <c r="Q2" s="420"/>
      <c r="R2" s="420"/>
      <c r="S2" s="420"/>
      <c r="T2" s="420"/>
      <c r="U2" s="639"/>
      <c r="V2" s="416"/>
    </row>
    <row r="3" spans="1:22" x14ac:dyDescent="0.3">
      <c r="A3" s="421"/>
      <c r="B3" s="422" t="s">
        <v>229</v>
      </c>
      <c r="C3" s="420"/>
      <c r="D3" s="420"/>
      <c r="E3" s="420"/>
      <c r="F3" s="420"/>
      <c r="G3" s="420"/>
      <c r="H3" s="420"/>
      <c r="I3" s="420"/>
      <c r="J3" s="420"/>
      <c r="K3" s="420"/>
      <c r="L3" s="420"/>
      <c r="M3" s="420"/>
      <c r="N3" s="420"/>
      <c r="O3" s="420"/>
      <c r="P3" s="420"/>
      <c r="Q3" s="420"/>
      <c r="R3" s="420"/>
      <c r="S3" s="420"/>
      <c r="T3" s="420"/>
      <c r="U3" s="639"/>
      <c r="V3" s="416"/>
    </row>
    <row r="4" spans="1:22" x14ac:dyDescent="0.3">
      <c r="A4" s="418"/>
      <c r="B4" s="419"/>
      <c r="C4" s="420"/>
      <c r="D4" s="420"/>
      <c r="E4" s="420"/>
      <c r="F4" s="420"/>
      <c r="G4" s="420"/>
      <c r="H4" s="420"/>
      <c r="I4" s="420"/>
      <c r="J4" s="420"/>
      <c r="K4" s="420"/>
      <c r="L4" s="420"/>
      <c r="M4" s="420"/>
      <c r="N4" s="420"/>
      <c r="O4" s="420"/>
      <c r="P4" s="420"/>
      <c r="Q4" s="420"/>
      <c r="R4" s="420"/>
      <c r="S4" s="420"/>
      <c r="T4" s="420"/>
      <c r="U4" s="639"/>
      <c r="V4" s="416"/>
    </row>
    <row r="5" spans="1:22" x14ac:dyDescent="0.3">
      <c r="A5" s="418"/>
      <c r="B5" s="423" t="s">
        <v>143</v>
      </c>
      <c r="C5" s="420"/>
      <c r="D5" s="420"/>
      <c r="E5" s="420"/>
      <c r="F5" s="420"/>
      <c r="G5" s="420"/>
      <c r="H5" s="420"/>
      <c r="I5" s="420"/>
      <c r="J5" s="420"/>
      <c r="K5" s="420"/>
      <c r="L5" s="420"/>
      <c r="M5" s="420"/>
      <c r="N5" s="420"/>
      <c r="O5" s="420"/>
      <c r="P5" s="420"/>
      <c r="Q5" s="420"/>
      <c r="R5" s="420"/>
      <c r="S5" s="420"/>
      <c r="T5" s="420"/>
      <c r="U5" s="639"/>
      <c r="V5" s="416"/>
    </row>
    <row r="6" spans="1:22" x14ac:dyDescent="0.3">
      <c r="A6" s="418"/>
      <c r="B6" s="423" t="s">
        <v>145</v>
      </c>
      <c r="C6" s="420"/>
      <c r="D6" s="420"/>
      <c r="E6" s="420"/>
      <c r="F6" s="420"/>
      <c r="G6" s="420"/>
      <c r="H6" s="420"/>
      <c r="I6" s="420"/>
      <c r="J6" s="420"/>
      <c r="K6" s="420"/>
      <c r="L6" s="420"/>
      <c r="M6" s="420"/>
      <c r="N6" s="420"/>
      <c r="O6" s="420"/>
      <c r="P6" s="420"/>
      <c r="Q6" s="420"/>
      <c r="R6" s="420"/>
      <c r="S6" s="420"/>
      <c r="T6" s="420"/>
      <c r="U6" s="639"/>
      <c r="V6" s="416"/>
    </row>
    <row r="7" spans="1:22" x14ac:dyDescent="0.3">
      <c r="A7" s="418"/>
      <c r="B7" s="423" t="s">
        <v>144</v>
      </c>
      <c r="C7" s="420"/>
      <c r="D7" s="420"/>
      <c r="E7" s="420"/>
      <c r="F7" s="420"/>
      <c r="G7" s="420"/>
      <c r="H7" s="420"/>
      <c r="I7" s="420"/>
      <c r="J7" s="420"/>
      <c r="K7" s="420"/>
      <c r="L7" s="420"/>
      <c r="M7" s="420"/>
      <c r="N7" s="420"/>
      <c r="O7" s="420"/>
      <c r="P7" s="420"/>
      <c r="Q7" s="420"/>
      <c r="R7" s="420"/>
      <c r="S7" s="420"/>
      <c r="T7" s="420"/>
      <c r="U7" s="639"/>
      <c r="V7" s="416"/>
    </row>
    <row r="8" spans="1:22" x14ac:dyDescent="0.3">
      <c r="A8" s="418"/>
      <c r="B8" s="424"/>
      <c r="C8" s="420"/>
      <c r="D8" s="420"/>
      <c r="E8" s="420"/>
      <c r="F8" s="420"/>
      <c r="G8" s="420"/>
      <c r="H8" s="420"/>
      <c r="I8" s="420"/>
      <c r="J8" s="420"/>
      <c r="K8" s="420"/>
      <c r="L8" s="420"/>
      <c r="M8" s="420"/>
      <c r="N8" s="420"/>
      <c r="O8" s="420"/>
      <c r="P8" s="420"/>
      <c r="Q8" s="420"/>
      <c r="R8" s="420"/>
      <c r="S8" s="420"/>
      <c r="T8" s="420"/>
      <c r="U8" s="639"/>
      <c r="V8" s="416"/>
    </row>
    <row r="9" spans="1:22" x14ac:dyDescent="0.3">
      <c r="A9" s="418"/>
      <c r="B9" s="422" t="s">
        <v>173</v>
      </c>
      <c r="C9" s="420"/>
      <c r="D9" s="420"/>
      <c r="E9" s="420"/>
      <c r="F9" s="420"/>
      <c r="G9" s="420"/>
      <c r="H9" s="420"/>
      <c r="I9" s="420"/>
      <c r="J9" s="425" t="s">
        <v>356</v>
      </c>
      <c r="K9" s="420"/>
      <c r="L9" s="426"/>
      <c r="M9" s="420"/>
      <c r="N9" s="420"/>
      <c r="O9" s="420"/>
      <c r="P9" s="420"/>
      <c r="Q9" s="420"/>
      <c r="R9" s="420"/>
      <c r="S9" s="420"/>
      <c r="T9" s="420"/>
      <c r="U9" s="639"/>
      <c r="V9" s="416"/>
    </row>
    <row r="10" spans="1:22" x14ac:dyDescent="0.3">
      <c r="A10" s="418"/>
      <c r="B10" s="424"/>
      <c r="C10" s="427"/>
      <c r="D10" s="427"/>
      <c r="E10" s="427"/>
      <c r="F10" s="420"/>
      <c r="G10" s="420"/>
      <c r="H10" s="420"/>
      <c r="I10" s="420"/>
      <c r="J10" s="420"/>
      <c r="K10" s="420"/>
      <c r="L10" s="420"/>
      <c r="M10" s="420"/>
      <c r="N10" s="420"/>
      <c r="O10" s="420"/>
      <c r="P10" s="420"/>
      <c r="Q10" s="420"/>
      <c r="R10" s="420"/>
      <c r="S10" s="420"/>
      <c r="T10" s="420"/>
      <c r="U10" s="639"/>
      <c r="V10" s="416"/>
    </row>
    <row r="11" spans="1:22" x14ac:dyDescent="0.3">
      <c r="A11" s="418"/>
      <c r="B11" s="428" t="s">
        <v>0</v>
      </c>
      <c r="C11" s="420"/>
      <c r="D11" s="420"/>
      <c r="E11" s="420"/>
      <c r="F11" s="420"/>
      <c r="G11" s="420"/>
      <c r="H11" s="420"/>
      <c r="I11" s="420"/>
      <c r="J11" s="420"/>
      <c r="K11" s="420"/>
      <c r="L11" s="420"/>
      <c r="M11" s="420"/>
      <c r="N11" s="420"/>
      <c r="O11" s="420"/>
      <c r="P11" s="420"/>
      <c r="Q11" s="420"/>
      <c r="R11" s="420"/>
      <c r="S11" s="420"/>
      <c r="T11" s="420"/>
      <c r="U11" s="639"/>
      <c r="V11" s="416"/>
    </row>
    <row r="12" spans="1:22" ht="16.2" thickBot="1" x14ac:dyDescent="0.35">
      <c r="A12" s="418"/>
      <c r="B12" s="427"/>
      <c r="C12" s="420"/>
      <c r="D12" s="420"/>
      <c r="E12" s="420"/>
      <c r="F12" s="420"/>
      <c r="G12" s="420"/>
      <c r="H12" s="420"/>
      <c r="I12" s="420"/>
      <c r="J12" s="420"/>
      <c r="K12" s="420"/>
      <c r="L12" s="420"/>
      <c r="M12" s="420"/>
      <c r="N12" s="420"/>
      <c r="O12" s="420"/>
      <c r="P12" s="420"/>
      <c r="Q12" s="420"/>
      <c r="R12" s="420"/>
      <c r="S12" s="420"/>
      <c r="T12" s="420"/>
      <c r="U12" s="639"/>
      <c r="V12" s="416"/>
    </row>
    <row r="13" spans="1:22" s="431" customFormat="1" x14ac:dyDescent="0.3">
      <c r="A13" s="413"/>
      <c r="B13" s="429"/>
      <c r="C13" s="429"/>
      <c r="D13" s="429"/>
      <c r="E13" s="429"/>
      <c r="F13" s="429"/>
      <c r="G13" s="429"/>
      <c r="H13" s="429"/>
      <c r="I13" s="429"/>
      <c r="J13" s="429"/>
      <c r="K13" s="429"/>
      <c r="L13" s="429"/>
      <c r="M13" s="429"/>
      <c r="N13" s="429"/>
      <c r="O13" s="429"/>
      <c r="P13" s="429"/>
      <c r="Q13" s="429"/>
      <c r="R13" s="429"/>
      <c r="S13" s="429"/>
      <c r="T13" s="429"/>
      <c r="U13" s="640"/>
      <c r="V13" s="430"/>
    </row>
    <row r="14" spans="1:22" s="431" customFormat="1" x14ac:dyDescent="0.3">
      <c r="A14" s="432"/>
      <c r="B14" s="428" t="s">
        <v>1</v>
      </c>
      <c r="C14" s="433"/>
      <c r="D14" s="433"/>
      <c r="E14" s="433"/>
      <c r="F14" s="433"/>
      <c r="G14" s="433"/>
      <c r="H14" s="433"/>
      <c r="I14" s="433"/>
      <c r="J14" s="433"/>
      <c r="K14" s="433"/>
      <c r="L14" s="433"/>
      <c r="M14" s="433"/>
      <c r="N14" s="433"/>
      <c r="O14" s="433"/>
      <c r="P14" s="433"/>
      <c r="Q14" s="433"/>
      <c r="R14" s="433"/>
      <c r="S14" s="433"/>
      <c r="T14" s="434" t="s">
        <v>230</v>
      </c>
      <c r="U14" s="641"/>
      <c r="V14" s="430"/>
    </row>
    <row r="15" spans="1:22" s="431" customFormat="1" x14ac:dyDescent="0.3">
      <c r="A15" s="432"/>
      <c r="B15" s="428" t="s">
        <v>2</v>
      </c>
      <c r="C15" s="433"/>
      <c r="D15" s="433"/>
      <c r="E15" s="433"/>
      <c r="F15" s="433"/>
      <c r="G15" s="433"/>
      <c r="H15" s="435"/>
      <c r="I15" s="435"/>
      <c r="J15" s="435"/>
      <c r="K15" s="435"/>
      <c r="L15" s="435"/>
      <c r="M15" s="435"/>
      <c r="N15" s="435"/>
      <c r="O15" s="435"/>
      <c r="P15" s="435" t="s">
        <v>107</v>
      </c>
      <c r="Q15" s="436">
        <v>0.40749999999999997</v>
      </c>
      <c r="R15" s="437" t="s">
        <v>146</v>
      </c>
      <c r="S15" s="436">
        <v>0.59250000000000003</v>
      </c>
      <c r="T15" s="434"/>
      <c r="U15" s="641"/>
      <c r="V15" s="430"/>
    </row>
    <row r="16" spans="1:22" s="431" customFormat="1" x14ac:dyDescent="0.3">
      <c r="A16" s="432"/>
      <c r="B16" s="428" t="s">
        <v>3</v>
      </c>
      <c r="C16" s="433"/>
      <c r="D16" s="433"/>
      <c r="E16" s="433"/>
      <c r="F16" s="433"/>
      <c r="G16" s="433"/>
      <c r="H16" s="435"/>
      <c r="I16" s="435"/>
      <c r="J16" s="435"/>
      <c r="K16" s="435"/>
      <c r="L16" s="435"/>
      <c r="M16" s="435"/>
      <c r="N16" s="435"/>
      <c r="O16" s="435"/>
      <c r="P16" s="435" t="s">
        <v>107</v>
      </c>
      <c r="Q16" s="436">
        <v>0.49540000000000001</v>
      </c>
      <c r="R16" s="437" t="s">
        <v>146</v>
      </c>
      <c r="S16" s="436">
        <v>0.50460000000000005</v>
      </c>
      <c r="T16" s="434"/>
      <c r="U16" s="641"/>
      <c r="V16" s="430"/>
    </row>
    <row r="17" spans="1:22" s="431" customFormat="1" x14ac:dyDescent="0.3">
      <c r="A17" s="432"/>
      <c r="B17" s="428" t="s">
        <v>4</v>
      </c>
      <c r="C17" s="433"/>
      <c r="D17" s="433"/>
      <c r="E17" s="433"/>
      <c r="F17" s="433"/>
      <c r="G17" s="433"/>
      <c r="H17" s="433"/>
      <c r="I17" s="433"/>
      <c r="J17" s="433"/>
      <c r="K17" s="433"/>
      <c r="L17" s="433"/>
      <c r="M17" s="433"/>
      <c r="N17" s="433"/>
      <c r="O17" s="433"/>
      <c r="P17" s="433"/>
      <c r="Q17" s="433"/>
      <c r="R17" s="433"/>
      <c r="S17" s="433"/>
      <c r="T17" s="438">
        <v>38799</v>
      </c>
      <c r="U17" s="641"/>
      <c r="V17" s="430"/>
    </row>
    <row r="18" spans="1:22" s="431" customFormat="1" x14ac:dyDescent="0.3">
      <c r="A18" s="432"/>
      <c r="B18" s="428" t="s">
        <v>5</v>
      </c>
      <c r="C18" s="433"/>
      <c r="D18" s="433"/>
      <c r="E18" s="433"/>
      <c r="F18" s="433"/>
      <c r="G18" s="433"/>
      <c r="H18" s="433"/>
      <c r="I18" s="433"/>
      <c r="J18" s="433"/>
      <c r="K18" s="433"/>
      <c r="L18" s="433"/>
      <c r="M18" s="433"/>
      <c r="N18" s="433"/>
      <c r="O18" s="433"/>
      <c r="P18" s="433"/>
      <c r="Q18" s="433"/>
      <c r="R18" s="433"/>
      <c r="S18" s="433"/>
      <c r="T18" s="438">
        <v>43391</v>
      </c>
      <c r="U18" s="641"/>
      <c r="V18" s="430"/>
    </row>
    <row r="19" spans="1:22" s="431" customFormat="1" x14ac:dyDescent="0.3">
      <c r="A19" s="432"/>
      <c r="B19" s="433"/>
      <c r="C19" s="433"/>
      <c r="D19" s="433"/>
      <c r="E19" s="433"/>
      <c r="F19" s="433"/>
      <c r="G19" s="433"/>
      <c r="H19" s="433"/>
      <c r="I19" s="433"/>
      <c r="J19" s="433"/>
      <c r="K19" s="433"/>
      <c r="L19" s="433"/>
      <c r="M19" s="433"/>
      <c r="N19" s="433"/>
      <c r="O19" s="433"/>
      <c r="P19" s="433"/>
      <c r="Q19" s="433"/>
      <c r="R19" s="433"/>
      <c r="S19" s="433"/>
      <c r="T19" s="439"/>
      <c r="U19" s="641"/>
      <c r="V19" s="430"/>
    </row>
    <row r="20" spans="1:22" s="431" customFormat="1" x14ac:dyDescent="0.3">
      <c r="A20" s="432"/>
      <c r="B20" s="440" t="s">
        <v>6</v>
      </c>
      <c r="C20" s="433"/>
      <c r="D20" s="433"/>
      <c r="E20" s="433"/>
      <c r="F20" s="433"/>
      <c r="G20" s="433"/>
      <c r="H20" s="433"/>
      <c r="I20" s="433"/>
      <c r="J20" s="433"/>
      <c r="K20" s="433"/>
      <c r="L20" s="433"/>
      <c r="M20" s="433"/>
      <c r="N20" s="433"/>
      <c r="O20" s="433"/>
      <c r="P20" s="433"/>
      <c r="Q20" s="433"/>
      <c r="R20" s="439" t="s">
        <v>108</v>
      </c>
      <c r="S20" s="433"/>
      <c r="T20" s="433"/>
      <c r="U20" s="641"/>
      <c r="V20" s="430"/>
    </row>
    <row r="21" spans="1:22" x14ac:dyDescent="0.3">
      <c r="A21" s="418"/>
      <c r="B21" s="420"/>
      <c r="C21" s="420"/>
      <c r="D21" s="420"/>
      <c r="E21" s="420"/>
      <c r="F21" s="420"/>
      <c r="G21" s="420"/>
      <c r="H21" s="420"/>
      <c r="I21" s="420"/>
      <c r="J21" s="420"/>
      <c r="K21" s="420"/>
      <c r="L21" s="420"/>
      <c r="M21" s="420"/>
      <c r="N21" s="420"/>
      <c r="O21" s="420"/>
      <c r="P21" s="420"/>
      <c r="Q21" s="420"/>
      <c r="R21" s="420"/>
      <c r="S21" s="420"/>
      <c r="T21" s="441"/>
      <c r="U21" s="639"/>
      <c r="V21" s="416"/>
    </row>
    <row r="22" spans="1:22" x14ac:dyDescent="0.3">
      <c r="A22" s="442"/>
      <c r="B22" s="443"/>
      <c r="C22" s="444"/>
      <c r="D22" s="444" t="s">
        <v>184</v>
      </c>
      <c r="E22" s="444"/>
      <c r="F22" s="444" t="s">
        <v>185</v>
      </c>
      <c r="G22" s="444"/>
      <c r="H22" s="444" t="s">
        <v>186</v>
      </c>
      <c r="I22" s="444"/>
      <c r="J22" s="444" t="s">
        <v>187</v>
      </c>
      <c r="K22" s="444"/>
      <c r="L22" s="444" t="s">
        <v>188</v>
      </c>
      <c r="M22" s="444"/>
      <c r="N22" s="444" t="s">
        <v>189</v>
      </c>
      <c r="O22" s="444"/>
      <c r="P22" s="444"/>
      <c r="Q22" s="445"/>
      <c r="R22" s="445"/>
      <c r="S22" s="443"/>
      <c r="T22" s="443"/>
      <c r="U22" s="446"/>
      <c r="V22" s="416"/>
    </row>
    <row r="23" spans="1:22" s="431" customFormat="1" x14ac:dyDescent="0.3">
      <c r="A23" s="432"/>
      <c r="B23" s="447" t="s">
        <v>7</v>
      </c>
      <c r="C23" s="448"/>
      <c r="D23" s="448" t="s">
        <v>222</v>
      </c>
      <c r="E23" s="448"/>
      <c r="F23" s="448" t="s">
        <v>147</v>
      </c>
      <c r="G23" s="448"/>
      <c r="H23" s="448" t="s">
        <v>147</v>
      </c>
      <c r="I23" s="448"/>
      <c r="J23" s="448" t="s">
        <v>190</v>
      </c>
      <c r="K23" s="448"/>
      <c r="L23" s="448" t="s">
        <v>190</v>
      </c>
      <c r="M23" s="448"/>
      <c r="N23" s="448" t="s">
        <v>148</v>
      </c>
      <c r="O23" s="448"/>
      <c r="P23" s="448"/>
      <c r="Q23" s="448"/>
      <c r="R23" s="448"/>
      <c r="S23" s="447"/>
      <c r="T23" s="447"/>
      <c r="U23" s="641"/>
      <c r="V23" s="430"/>
    </row>
    <row r="24" spans="1:22" s="431" customFormat="1" x14ac:dyDescent="0.3">
      <c r="A24" s="449"/>
      <c r="B24" s="450" t="s">
        <v>8</v>
      </c>
      <c r="C24" s="451"/>
      <c r="D24" s="451" t="s">
        <v>223</v>
      </c>
      <c r="E24" s="451"/>
      <c r="F24" s="451" t="s">
        <v>149</v>
      </c>
      <c r="G24" s="451"/>
      <c r="H24" s="451" t="s">
        <v>149</v>
      </c>
      <c r="I24" s="451"/>
      <c r="J24" s="451" t="s">
        <v>172</v>
      </c>
      <c r="K24" s="451"/>
      <c r="L24" s="451" t="s">
        <v>172</v>
      </c>
      <c r="M24" s="451"/>
      <c r="N24" s="451" t="s">
        <v>150</v>
      </c>
      <c r="O24" s="451"/>
      <c r="P24" s="451"/>
      <c r="Q24" s="451"/>
      <c r="R24" s="451"/>
      <c r="S24" s="450"/>
      <c r="T24" s="450"/>
      <c r="U24" s="452"/>
      <c r="V24" s="430"/>
    </row>
    <row r="25" spans="1:22" s="431" customFormat="1" x14ac:dyDescent="0.3">
      <c r="A25" s="453"/>
      <c r="B25" s="450" t="s">
        <v>198</v>
      </c>
      <c r="C25" s="454"/>
      <c r="D25" s="451" t="s">
        <v>224</v>
      </c>
      <c r="E25" s="451"/>
      <c r="F25" s="451" t="s">
        <v>149</v>
      </c>
      <c r="G25" s="451"/>
      <c r="H25" s="451" t="s">
        <v>149</v>
      </c>
      <c r="I25" s="451"/>
      <c r="J25" s="451" t="s">
        <v>172</v>
      </c>
      <c r="K25" s="451"/>
      <c r="L25" s="451" t="s">
        <v>172</v>
      </c>
      <c r="M25" s="451"/>
      <c r="N25" s="451" t="s">
        <v>150</v>
      </c>
      <c r="O25" s="451"/>
      <c r="P25" s="451"/>
      <c r="Q25" s="454"/>
      <c r="R25" s="451"/>
      <c r="S25" s="450"/>
      <c r="T25" s="450"/>
      <c r="U25" s="452"/>
      <c r="V25" s="430"/>
    </row>
    <row r="26" spans="1:22" s="431" customFormat="1" x14ac:dyDescent="0.3">
      <c r="A26" s="453"/>
      <c r="B26" s="455" t="s">
        <v>9</v>
      </c>
      <c r="C26" s="454"/>
      <c r="D26" s="454" t="s">
        <v>147</v>
      </c>
      <c r="E26" s="454"/>
      <c r="F26" s="454" t="s">
        <v>147</v>
      </c>
      <c r="G26" s="454"/>
      <c r="H26" s="454" t="s">
        <v>147</v>
      </c>
      <c r="I26" s="454"/>
      <c r="J26" s="454" t="s">
        <v>190</v>
      </c>
      <c r="K26" s="454"/>
      <c r="L26" s="454" t="s">
        <v>190</v>
      </c>
      <c r="M26" s="454"/>
      <c r="N26" s="454" t="s">
        <v>148</v>
      </c>
      <c r="O26" s="454"/>
      <c r="P26" s="454"/>
      <c r="Q26" s="454"/>
      <c r="R26" s="451"/>
      <c r="S26" s="450"/>
      <c r="T26" s="450"/>
      <c r="U26" s="452"/>
      <c r="V26" s="430"/>
    </row>
    <row r="27" spans="1:22" s="431" customFormat="1" x14ac:dyDescent="0.3">
      <c r="A27" s="449"/>
      <c r="B27" s="455" t="s">
        <v>199</v>
      </c>
      <c r="C27" s="451"/>
      <c r="D27" s="454" t="s">
        <v>149</v>
      </c>
      <c r="E27" s="454"/>
      <c r="F27" s="454" t="s">
        <v>149</v>
      </c>
      <c r="G27" s="454"/>
      <c r="H27" s="454" t="s">
        <v>149</v>
      </c>
      <c r="I27" s="454"/>
      <c r="J27" s="454" t="s">
        <v>345</v>
      </c>
      <c r="K27" s="454"/>
      <c r="L27" s="454" t="s">
        <v>345</v>
      </c>
      <c r="M27" s="454"/>
      <c r="N27" s="454" t="s">
        <v>346</v>
      </c>
      <c r="O27" s="454"/>
      <c r="P27" s="454"/>
      <c r="Q27" s="451"/>
      <c r="R27" s="456"/>
      <c r="S27" s="450"/>
      <c r="T27" s="450"/>
      <c r="U27" s="452"/>
      <c r="V27" s="430"/>
    </row>
    <row r="28" spans="1:22" s="431" customFormat="1" x14ac:dyDescent="0.3">
      <c r="A28" s="449"/>
      <c r="B28" s="455" t="s">
        <v>200</v>
      </c>
      <c r="C28" s="451"/>
      <c r="D28" s="454" t="s">
        <v>149</v>
      </c>
      <c r="E28" s="454"/>
      <c r="F28" s="454" t="s">
        <v>149</v>
      </c>
      <c r="G28" s="454"/>
      <c r="H28" s="454" t="s">
        <v>149</v>
      </c>
      <c r="I28" s="454"/>
      <c r="J28" s="454" t="s">
        <v>149</v>
      </c>
      <c r="K28" s="454"/>
      <c r="L28" s="454" t="s">
        <v>149</v>
      </c>
      <c r="M28" s="454"/>
      <c r="N28" s="454" t="s">
        <v>150</v>
      </c>
      <c r="O28" s="454"/>
      <c r="P28" s="454"/>
      <c r="Q28" s="451"/>
      <c r="R28" s="456"/>
      <c r="S28" s="450"/>
      <c r="T28" s="450"/>
      <c r="U28" s="452"/>
      <c r="V28" s="430"/>
    </row>
    <row r="29" spans="1:22" s="431" customFormat="1" x14ac:dyDescent="0.3">
      <c r="A29" s="449"/>
      <c r="B29" s="450" t="s">
        <v>10</v>
      </c>
      <c r="C29" s="457"/>
      <c r="D29" s="451" t="s">
        <v>237</v>
      </c>
      <c r="E29" s="451"/>
      <c r="F29" s="456" t="s">
        <v>238</v>
      </c>
      <c r="G29" s="451"/>
      <c r="H29" s="451" t="s">
        <v>239</v>
      </c>
      <c r="I29" s="451"/>
      <c r="J29" s="451" t="s">
        <v>240</v>
      </c>
      <c r="K29" s="451"/>
      <c r="L29" s="451" t="s">
        <v>241</v>
      </c>
      <c r="M29" s="451"/>
      <c r="N29" s="451" t="s">
        <v>242</v>
      </c>
      <c r="O29" s="451"/>
      <c r="P29" s="451"/>
      <c r="Q29" s="458"/>
      <c r="R29" s="458"/>
      <c r="S29" s="457"/>
      <c r="T29" s="458"/>
      <c r="U29" s="459"/>
      <c r="V29" s="430"/>
    </row>
    <row r="30" spans="1:22" s="431" customFormat="1" x14ac:dyDescent="0.3">
      <c r="A30" s="449"/>
      <c r="B30" s="450" t="s">
        <v>10</v>
      </c>
      <c r="C30" s="457"/>
      <c r="D30" s="451" t="s">
        <v>236</v>
      </c>
      <c r="E30" s="451"/>
      <c r="F30" s="456" t="s">
        <v>124</v>
      </c>
      <c r="G30" s="451"/>
      <c r="H30" s="451" t="s">
        <v>124</v>
      </c>
      <c r="I30" s="451"/>
      <c r="J30" s="451" t="s">
        <v>124</v>
      </c>
      <c r="K30" s="451"/>
      <c r="L30" s="451" t="s">
        <v>124</v>
      </c>
      <c r="M30" s="451"/>
      <c r="N30" s="451" t="s">
        <v>124</v>
      </c>
      <c r="O30" s="451"/>
      <c r="P30" s="451"/>
      <c r="Q30" s="458"/>
      <c r="R30" s="458"/>
      <c r="S30" s="457"/>
      <c r="T30" s="458"/>
      <c r="U30" s="459"/>
      <c r="V30" s="430"/>
    </row>
    <row r="31" spans="1:22" s="431" customFormat="1" x14ac:dyDescent="0.3">
      <c r="A31" s="453"/>
      <c r="B31" s="450" t="s">
        <v>139</v>
      </c>
      <c r="C31" s="460"/>
      <c r="D31" s="461">
        <v>985000</v>
      </c>
      <c r="E31" s="457"/>
      <c r="F31" s="458">
        <v>149500</v>
      </c>
      <c r="G31" s="458"/>
      <c r="H31" s="462">
        <v>219700</v>
      </c>
      <c r="I31" s="458"/>
      <c r="J31" s="458">
        <v>16000</v>
      </c>
      <c r="K31" s="458"/>
      <c r="L31" s="462">
        <v>82400</v>
      </c>
      <c r="M31" s="458"/>
      <c r="N31" s="462">
        <v>87500</v>
      </c>
      <c r="O31" s="458"/>
      <c r="P31" s="462"/>
      <c r="Q31" s="463"/>
      <c r="R31" s="463"/>
      <c r="S31" s="460"/>
      <c r="T31" s="463"/>
      <c r="U31" s="459"/>
      <c r="V31" s="430"/>
    </row>
    <row r="32" spans="1:22" s="431" customFormat="1" x14ac:dyDescent="0.3">
      <c r="A32" s="449"/>
      <c r="B32" s="450" t="s">
        <v>138</v>
      </c>
      <c r="C32" s="457"/>
      <c r="D32" s="464">
        <f>D38*D34</f>
        <v>194625.43441620001</v>
      </c>
      <c r="E32" s="457"/>
      <c r="F32" s="458">
        <f>F38*F31</f>
        <v>51291.416799999999</v>
      </c>
      <c r="G32" s="458"/>
      <c r="H32" s="462">
        <f>H38*H31</f>
        <v>75376.082080000007</v>
      </c>
      <c r="I32" s="458"/>
      <c r="J32" s="458">
        <f>J31*J38</f>
        <v>13019.2672</v>
      </c>
      <c r="K32" s="458"/>
      <c r="L32" s="462">
        <f>L31*L38</f>
        <v>67049.226079999993</v>
      </c>
      <c r="M32" s="458"/>
      <c r="N32" s="462">
        <f>N31*N38</f>
        <v>71199.117499999993</v>
      </c>
      <c r="O32" s="458"/>
      <c r="P32" s="462"/>
      <c r="Q32" s="458"/>
      <c r="R32" s="458"/>
      <c r="S32" s="457"/>
      <c r="T32" s="458"/>
      <c r="U32" s="459"/>
      <c r="V32" s="430"/>
    </row>
    <row r="33" spans="1:23" s="431" customFormat="1" x14ac:dyDescent="0.3">
      <c r="A33" s="449"/>
      <c r="B33" s="455" t="s">
        <v>140</v>
      </c>
      <c r="C33" s="457"/>
      <c r="D33" s="465">
        <f>D37*D34</f>
        <v>190728.37726080001</v>
      </c>
      <c r="E33" s="460"/>
      <c r="F33" s="463">
        <f>F37*F31</f>
        <v>50264.411599999999</v>
      </c>
      <c r="G33" s="463"/>
      <c r="H33" s="466">
        <f>H31*H37</f>
        <v>73866.830959999992</v>
      </c>
      <c r="I33" s="463"/>
      <c r="J33" s="463">
        <f>J31*J37</f>
        <v>12758.5792</v>
      </c>
      <c r="K33" s="463"/>
      <c r="L33" s="466">
        <f>L31*L37</f>
        <v>65706.682879999993</v>
      </c>
      <c r="M33" s="463"/>
      <c r="N33" s="466">
        <f>N31*N37</f>
        <v>69773.48</v>
      </c>
      <c r="O33" s="463"/>
      <c r="P33" s="466"/>
      <c r="Q33" s="458"/>
      <c r="R33" s="458"/>
      <c r="S33" s="457"/>
      <c r="T33" s="458"/>
      <c r="U33" s="459"/>
      <c r="V33" s="430"/>
    </row>
    <row r="34" spans="1:23" s="431" customFormat="1" x14ac:dyDescent="0.3">
      <c r="A34" s="453"/>
      <c r="B34" s="450" t="s">
        <v>283</v>
      </c>
      <c r="C34" s="460"/>
      <c r="D34" s="458">
        <v>567282</v>
      </c>
      <c r="E34" s="457"/>
      <c r="F34" s="458">
        <v>149500</v>
      </c>
      <c r="G34" s="458"/>
      <c r="H34" s="458">
        <v>150716</v>
      </c>
      <c r="I34" s="458"/>
      <c r="J34" s="458">
        <v>16000</v>
      </c>
      <c r="K34" s="458"/>
      <c r="L34" s="458">
        <v>56527</v>
      </c>
      <c r="M34" s="458"/>
      <c r="N34" s="458">
        <v>60025</v>
      </c>
      <c r="O34" s="458"/>
      <c r="P34" s="458"/>
      <c r="Q34" s="463"/>
      <c r="R34" s="463"/>
      <c r="S34" s="460"/>
      <c r="T34" s="458">
        <f>SUM(C34:P34)</f>
        <v>1000050</v>
      </c>
      <c r="U34" s="459"/>
      <c r="V34" s="430"/>
    </row>
    <row r="35" spans="1:23" s="431" customFormat="1" x14ac:dyDescent="0.3">
      <c r="A35" s="453"/>
      <c r="B35" s="450" t="s">
        <v>284</v>
      </c>
      <c r="C35" s="460"/>
      <c r="D35" s="458">
        <f>D38*D34</f>
        <v>194625.43441620001</v>
      </c>
      <c r="E35" s="457"/>
      <c r="F35" s="458">
        <f>F38*F34</f>
        <v>51291.416799999999</v>
      </c>
      <c r="G35" s="458"/>
      <c r="H35" s="458">
        <f>H38*H34</f>
        <v>51708.609862400001</v>
      </c>
      <c r="I35" s="458"/>
      <c r="J35" s="458">
        <f>J34*J38</f>
        <v>13019.2672</v>
      </c>
      <c r="K35" s="458"/>
      <c r="L35" s="458">
        <f>L34*L38</f>
        <v>45996.257313399998</v>
      </c>
      <c r="M35" s="458"/>
      <c r="N35" s="458">
        <f>N34*N38</f>
        <v>48842.594604999998</v>
      </c>
      <c r="O35" s="458"/>
      <c r="P35" s="458"/>
      <c r="Q35" s="458"/>
      <c r="R35" s="458"/>
      <c r="S35" s="457"/>
      <c r="T35" s="458">
        <f>SUM(C35:P35)+1</f>
        <v>405484.580197</v>
      </c>
      <c r="U35" s="459"/>
      <c r="V35" s="430"/>
    </row>
    <row r="36" spans="1:23" s="431" customFormat="1" x14ac:dyDescent="0.3">
      <c r="A36" s="453"/>
      <c r="B36" s="455" t="s">
        <v>285</v>
      </c>
      <c r="C36" s="460"/>
      <c r="D36" s="463">
        <f>D37*D34</f>
        <v>190728.37726080001</v>
      </c>
      <c r="E36" s="460"/>
      <c r="F36" s="463">
        <f>F37*F34</f>
        <v>50264.411599999999</v>
      </c>
      <c r="G36" s="463"/>
      <c r="H36" s="463">
        <f>H37*H34</f>
        <v>50673.2512288</v>
      </c>
      <c r="I36" s="463"/>
      <c r="J36" s="463">
        <f>J37*J34</f>
        <v>12758.5792</v>
      </c>
      <c r="K36" s="463"/>
      <c r="L36" s="463">
        <f>L37*L34</f>
        <v>45075.262902399998</v>
      </c>
      <c r="M36" s="463"/>
      <c r="N36" s="463">
        <f>N37*N34</f>
        <v>47864.607279999997</v>
      </c>
      <c r="O36" s="463"/>
      <c r="P36" s="463"/>
      <c r="Q36" s="467"/>
      <c r="R36" s="467"/>
      <c r="S36" s="457"/>
      <c r="T36" s="463">
        <f>SUM(C36:P36)+1</f>
        <v>397365.48947199999</v>
      </c>
      <c r="U36" s="459"/>
      <c r="V36" s="430"/>
    </row>
    <row r="37" spans="1:23" x14ac:dyDescent="0.3">
      <c r="A37" s="468"/>
      <c r="B37" s="469" t="s">
        <v>136</v>
      </c>
      <c r="C37" s="470"/>
      <c r="D37" s="471">
        <v>0.33621440000000002</v>
      </c>
      <c r="E37" s="472"/>
      <c r="F37" s="471">
        <v>0.33621679999999998</v>
      </c>
      <c r="G37" s="473"/>
      <c r="H37" s="471">
        <v>0.33621679999999998</v>
      </c>
      <c r="I37" s="473"/>
      <c r="J37" s="471">
        <v>0.79741119999999999</v>
      </c>
      <c r="K37" s="473"/>
      <c r="L37" s="471">
        <v>0.79741119999999999</v>
      </c>
      <c r="M37" s="473"/>
      <c r="N37" s="471">
        <v>0.79741119999999999</v>
      </c>
      <c r="O37" s="474"/>
      <c r="P37" s="474"/>
      <c r="Q37" s="475"/>
      <c r="R37" s="475"/>
      <c r="S37" s="470"/>
      <c r="T37" s="470"/>
      <c r="U37" s="476"/>
      <c r="V37" s="416"/>
      <c r="W37" s="477"/>
    </row>
    <row r="38" spans="1:23" x14ac:dyDescent="0.3">
      <c r="A38" s="468"/>
      <c r="B38" s="470" t="s">
        <v>137</v>
      </c>
      <c r="C38" s="470"/>
      <c r="D38" s="478">
        <v>0.3430841</v>
      </c>
      <c r="E38" s="479"/>
      <c r="F38" s="478">
        <v>0.34308640000000001</v>
      </c>
      <c r="G38" s="480"/>
      <c r="H38" s="478">
        <v>0.34308640000000001</v>
      </c>
      <c r="I38" s="480"/>
      <c r="J38" s="478">
        <v>0.81370419999999999</v>
      </c>
      <c r="K38" s="480"/>
      <c r="L38" s="478">
        <v>0.81370419999999999</v>
      </c>
      <c r="M38" s="480"/>
      <c r="N38" s="478">
        <v>0.81370419999999999</v>
      </c>
      <c r="O38" s="474"/>
      <c r="P38" s="474"/>
      <c r="Q38" s="481"/>
      <c r="R38" s="482"/>
      <c r="S38" s="470"/>
      <c r="T38" s="481"/>
      <c r="U38" s="476"/>
      <c r="V38" s="416"/>
    </row>
    <row r="39" spans="1:23" s="431" customFormat="1" x14ac:dyDescent="0.3">
      <c r="A39" s="449"/>
      <c r="B39" s="450" t="s">
        <v>11</v>
      </c>
      <c r="C39" s="450"/>
      <c r="D39" s="456" t="s">
        <v>275</v>
      </c>
      <c r="E39" s="450"/>
      <c r="F39" s="456" t="s">
        <v>232</v>
      </c>
      <c r="G39" s="456"/>
      <c r="H39" s="456" t="s">
        <v>232</v>
      </c>
      <c r="I39" s="456"/>
      <c r="J39" s="456" t="s">
        <v>234</v>
      </c>
      <c r="K39" s="456"/>
      <c r="L39" s="456" t="s">
        <v>234</v>
      </c>
      <c r="M39" s="456"/>
      <c r="N39" s="456" t="s">
        <v>235</v>
      </c>
      <c r="O39" s="456"/>
      <c r="P39" s="456"/>
      <c r="Q39" s="483"/>
      <c r="R39" s="484"/>
      <c r="S39" s="450"/>
      <c r="T39" s="450"/>
      <c r="U39" s="452"/>
      <c r="V39" s="430"/>
    </row>
    <row r="40" spans="1:23" s="431" customFormat="1" x14ac:dyDescent="0.3">
      <c r="A40" s="449"/>
      <c r="B40" s="450" t="s">
        <v>12</v>
      </c>
      <c r="C40" s="450"/>
      <c r="D40" s="484">
        <v>8.5305999999999993E-3</v>
      </c>
      <c r="E40" s="450"/>
      <c r="F40" s="484">
        <v>9.9305999999999995E-3</v>
      </c>
      <c r="G40" s="483"/>
      <c r="H40" s="484">
        <v>0</v>
      </c>
      <c r="I40" s="483"/>
      <c r="J40" s="484">
        <v>1.2330600000000001E-2</v>
      </c>
      <c r="K40" s="483"/>
      <c r="L40" s="484">
        <v>1.5900000000000001E-3</v>
      </c>
      <c r="M40" s="483"/>
      <c r="N40" s="484">
        <v>5.79E-3</v>
      </c>
      <c r="O40" s="483"/>
      <c r="P40" s="484"/>
      <c r="Q40" s="483"/>
      <c r="R40" s="484"/>
      <c r="S40" s="450"/>
      <c r="T40" s="456"/>
      <c r="U40" s="452"/>
      <c r="V40" s="430"/>
    </row>
    <row r="41" spans="1:23" s="431" customFormat="1" x14ac:dyDescent="0.3">
      <c r="A41" s="449"/>
      <c r="B41" s="450" t="s">
        <v>13</v>
      </c>
      <c r="C41" s="450"/>
      <c r="D41" s="484">
        <v>8.8588E-3</v>
      </c>
      <c r="E41" s="450"/>
      <c r="F41" s="484">
        <v>1.02588E-2</v>
      </c>
      <c r="G41" s="483"/>
      <c r="H41" s="484">
        <v>0</v>
      </c>
      <c r="I41" s="483"/>
      <c r="J41" s="484">
        <v>1.26588E-2</v>
      </c>
      <c r="K41" s="483"/>
      <c r="L41" s="484">
        <v>1.5100000000000001E-3</v>
      </c>
      <c r="M41" s="483"/>
      <c r="N41" s="484">
        <v>5.7099999999999998E-3</v>
      </c>
      <c r="O41" s="483"/>
      <c r="P41" s="484"/>
      <c r="Q41" s="483"/>
      <c r="R41" s="484"/>
      <c r="S41" s="450"/>
      <c r="T41" s="483" t="s">
        <v>201</v>
      </c>
      <c r="U41" s="452"/>
      <c r="V41" s="430"/>
    </row>
    <row r="42" spans="1:23" s="431" customFormat="1" x14ac:dyDescent="0.3">
      <c r="A42" s="449"/>
      <c r="B42" s="450" t="s">
        <v>286</v>
      </c>
      <c r="C42" s="450"/>
      <c r="D42" s="456" t="s">
        <v>275</v>
      </c>
      <c r="E42" s="450"/>
      <c r="F42" s="456" t="s">
        <v>232</v>
      </c>
      <c r="G42" s="456"/>
      <c r="H42" s="456" t="s">
        <v>232</v>
      </c>
      <c r="I42" s="456"/>
      <c r="J42" s="456" t="s">
        <v>234</v>
      </c>
      <c r="K42" s="456"/>
      <c r="L42" s="456" t="s">
        <v>245</v>
      </c>
      <c r="M42" s="456"/>
      <c r="N42" s="456" t="s">
        <v>247</v>
      </c>
      <c r="O42" s="456"/>
      <c r="P42" s="456"/>
      <c r="Q42" s="483"/>
      <c r="R42" s="484"/>
      <c r="S42" s="450"/>
      <c r="T42" s="450"/>
      <c r="U42" s="452"/>
      <c r="V42" s="430"/>
    </row>
    <row r="43" spans="1:23" s="431" customFormat="1" x14ac:dyDescent="0.3">
      <c r="A43" s="449"/>
      <c r="B43" s="450" t="s">
        <v>287</v>
      </c>
      <c r="C43" s="485"/>
      <c r="D43" s="484">
        <f>+D40</f>
        <v>8.5305999999999993E-3</v>
      </c>
      <c r="E43" s="484"/>
      <c r="F43" s="484">
        <f>+F40</f>
        <v>9.9305999999999995E-3</v>
      </c>
      <c r="G43" s="484"/>
      <c r="H43" s="484">
        <v>9.9266000000000007E-3</v>
      </c>
      <c r="I43" s="484"/>
      <c r="J43" s="484">
        <f>+J40</f>
        <v>1.2330600000000001E-2</v>
      </c>
      <c r="K43" s="484"/>
      <c r="L43" s="484">
        <v>1.26366E-2</v>
      </c>
      <c r="M43" s="484"/>
      <c r="N43" s="484">
        <v>1.7340600000000001E-2</v>
      </c>
      <c r="O43" s="483"/>
      <c r="P43" s="484"/>
      <c r="Q43" s="456"/>
      <c r="R43" s="456"/>
      <c r="S43" s="450"/>
      <c r="T43" s="483">
        <f>SUMPRODUCT(D43:N43,D35:N35)/T35</f>
        <v>1.0534675662388882E-2</v>
      </c>
      <c r="U43" s="452"/>
      <c r="V43" s="430"/>
    </row>
    <row r="44" spans="1:23" s="431" customFormat="1" x14ac:dyDescent="0.3">
      <c r="A44" s="449"/>
      <c r="B44" s="450" t="s">
        <v>288</v>
      </c>
      <c r="C44" s="485"/>
      <c r="D44" s="484">
        <f>+D41</f>
        <v>8.8588E-3</v>
      </c>
      <c r="E44" s="484"/>
      <c r="F44" s="484">
        <f>+F41</f>
        <v>1.02588E-2</v>
      </c>
      <c r="G44" s="484"/>
      <c r="H44" s="484">
        <v>1.02548E-2</v>
      </c>
      <c r="I44" s="484"/>
      <c r="J44" s="484">
        <f>+J41</f>
        <v>1.26588E-2</v>
      </c>
      <c r="K44" s="484"/>
      <c r="L44" s="484">
        <v>1.29648E-2</v>
      </c>
      <c r="M44" s="484"/>
      <c r="N44" s="484">
        <v>1.7668799999999998E-2</v>
      </c>
      <c r="O44" s="483"/>
      <c r="P44" s="484"/>
      <c r="Q44" s="456"/>
      <c r="R44" s="456"/>
      <c r="S44" s="450"/>
      <c r="T44" s="450"/>
      <c r="U44" s="452"/>
      <c r="V44" s="430"/>
    </row>
    <row r="45" spans="1:23" s="431" customFormat="1" x14ac:dyDescent="0.3">
      <c r="A45" s="449"/>
      <c r="B45" s="450" t="s">
        <v>14</v>
      </c>
      <c r="C45" s="450"/>
      <c r="D45" s="485">
        <v>40283</v>
      </c>
      <c r="E45" s="485"/>
      <c r="F45" s="485">
        <v>40283</v>
      </c>
      <c r="G45" s="485"/>
      <c r="H45" s="485">
        <v>40283</v>
      </c>
      <c r="I45" s="485"/>
      <c r="J45" s="485">
        <v>40283</v>
      </c>
      <c r="K45" s="485"/>
      <c r="L45" s="485">
        <v>40283</v>
      </c>
      <c r="M45" s="485"/>
      <c r="N45" s="485">
        <v>40283</v>
      </c>
      <c r="O45" s="485"/>
      <c r="P45" s="485"/>
      <c r="Q45" s="456"/>
      <c r="R45" s="456"/>
      <c r="S45" s="450"/>
      <c r="T45" s="450"/>
      <c r="U45" s="452"/>
      <c r="V45" s="430"/>
    </row>
    <row r="46" spans="1:23" s="431" customFormat="1" x14ac:dyDescent="0.3">
      <c r="A46" s="449"/>
      <c r="B46" s="450" t="s">
        <v>15</v>
      </c>
      <c r="C46" s="450"/>
      <c r="D46" s="485">
        <v>40648</v>
      </c>
      <c r="E46" s="485"/>
      <c r="F46" s="485">
        <v>40648</v>
      </c>
      <c r="G46" s="485"/>
      <c r="H46" s="485">
        <v>40648</v>
      </c>
      <c r="I46" s="456"/>
      <c r="J46" s="485">
        <v>40648</v>
      </c>
      <c r="K46" s="456"/>
      <c r="L46" s="485">
        <v>40648</v>
      </c>
      <c r="M46" s="456"/>
      <c r="N46" s="485">
        <v>40648</v>
      </c>
      <c r="O46" s="456"/>
      <c r="P46" s="485"/>
      <c r="Q46" s="456"/>
      <c r="R46" s="456"/>
      <c r="S46" s="450"/>
      <c r="T46" s="450"/>
      <c r="U46" s="452"/>
      <c r="V46" s="430"/>
    </row>
    <row r="47" spans="1:23" s="431" customFormat="1" x14ac:dyDescent="0.3">
      <c r="A47" s="449"/>
      <c r="B47" s="450" t="s">
        <v>125</v>
      </c>
      <c r="C47" s="450"/>
      <c r="D47" s="456" t="s">
        <v>124</v>
      </c>
      <c r="E47" s="450"/>
      <c r="F47" s="456" t="s">
        <v>232</v>
      </c>
      <c r="G47" s="456"/>
      <c r="H47" s="456" t="s">
        <v>232</v>
      </c>
      <c r="I47" s="456"/>
      <c r="J47" s="456" t="s">
        <v>234</v>
      </c>
      <c r="K47" s="456"/>
      <c r="L47" s="456" t="s">
        <v>234</v>
      </c>
      <c r="M47" s="456"/>
      <c r="N47" s="456" t="s">
        <v>235</v>
      </c>
      <c r="O47" s="456"/>
      <c r="P47" s="456"/>
      <c r="Q47" s="486"/>
      <c r="R47" s="486"/>
      <c r="S47" s="486"/>
      <c r="T47" s="486"/>
      <c r="U47" s="452"/>
      <c r="V47" s="430"/>
    </row>
    <row r="48" spans="1:23" s="431" customFormat="1" x14ac:dyDescent="0.3">
      <c r="A48" s="449"/>
      <c r="B48" s="450" t="s">
        <v>289</v>
      </c>
      <c r="C48" s="450"/>
      <c r="D48" s="456" t="s">
        <v>124</v>
      </c>
      <c r="E48" s="450"/>
      <c r="F48" s="456" t="s">
        <v>232</v>
      </c>
      <c r="G48" s="456"/>
      <c r="H48" s="456" t="s">
        <v>232</v>
      </c>
      <c r="I48" s="456"/>
      <c r="J48" s="456" t="s">
        <v>234</v>
      </c>
      <c r="K48" s="456"/>
      <c r="L48" s="456" t="s">
        <v>245</v>
      </c>
      <c r="M48" s="456"/>
      <c r="N48" s="456" t="s">
        <v>247</v>
      </c>
      <c r="O48" s="456"/>
      <c r="P48" s="456"/>
      <c r="Q48" s="450"/>
      <c r="R48" s="450"/>
      <c r="S48" s="450"/>
      <c r="T48" s="483"/>
      <c r="U48" s="452"/>
      <c r="V48" s="430"/>
    </row>
    <row r="49" spans="1:23" s="431" customFormat="1" x14ac:dyDescent="0.3">
      <c r="A49" s="449"/>
      <c r="B49" s="450"/>
      <c r="C49" s="450"/>
      <c r="D49" s="456"/>
      <c r="E49" s="450"/>
      <c r="F49" s="456"/>
      <c r="G49" s="456"/>
      <c r="H49" s="456"/>
      <c r="I49" s="456"/>
      <c r="J49" s="456"/>
      <c r="K49" s="456"/>
      <c r="L49" s="456"/>
      <c r="M49" s="456"/>
      <c r="N49" s="456"/>
      <c r="O49" s="456"/>
      <c r="P49" s="456"/>
      <c r="Q49" s="450"/>
      <c r="R49" s="450"/>
      <c r="S49" s="450"/>
      <c r="T49" s="483" t="s">
        <v>201</v>
      </c>
      <c r="U49" s="452"/>
      <c r="V49" s="430"/>
    </row>
    <row r="50" spans="1:23" s="431" customFormat="1" x14ac:dyDescent="0.3">
      <c r="A50" s="449"/>
      <c r="B50" s="450" t="s">
        <v>176</v>
      </c>
      <c r="C50" s="450"/>
      <c r="D50" s="456"/>
      <c r="E50" s="450"/>
      <c r="F50" s="456"/>
      <c r="G50" s="456"/>
      <c r="H50" s="456"/>
      <c r="I50" s="456"/>
      <c r="J50" s="456"/>
      <c r="K50" s="456"/>
      <c r="L50" s="456"/>
      <c r="M50" s="456"/>
      <c r="N50" s="456"/>
      <c r="O50" s="456"/>
      <c r="P50" s="456"/>
      <c r="Q50" s="450"/>
      <c r="R50" s="450"/>
      <c r="S50" s="450"/>
      <c r="T50" s="483">
        <f>SUM(J34:P34)/SUM(D34:H34)</f>
        <v>0.15279804679664968</v>
      </c>
      <c r="U50" s="452"/>
      <c r="V50" s="430"/>
    </row>
    <row r="51" spans="1:23" s="431" customFormat="1" x14ac:dyDescent="0.3">
      <c r="A51" s="449"/>
      <c r="B51" s="450" t="s">
        <v>177</v>
      </c>
      <c r="C51" s="450"/>
      <c r="D51" s="450"/>
      <c r="E51" s="450"/>
      <c r="F51" s="487"/>
      <c r="G51" s="450"/>
      <c r="H51" s="450"/>
      <c r="I51" s="450"/>
      <c r="J51" s="450"/>
      <c r="K51" s="450"/>
      <c r="L51" s="450"/>
      <c r="M51" s="450"/>
      <c r="N51" s="450"/>
      <c r="O51" s="450"/>
      <c r="P51" s="450"/>
      <c r="Q51" s="450"/>
      <c r="R51" s="450"/>
      <c r="S51" s="450"/>
      <c r="T51" s="483">
        <f>SUM(J36:P36)/SUM(D36:H36)</f>
        <v>0.36239546211800783</v>
      </c>
      <c r="U51" s="452"/>
      <c r="V51" s="430"/>
    </row>
    <row r="52" spans="1:23" s="431" customFormat="1" x14ac:dyDescent="0.3">
      <c r="A52" s="449"/>
      <c r="B52" s="450" t="s">
        <v>178</v>
      </c>
      <c r="C52" s="450"/>
      <c r="D52" s="450"/>
      <c r="E52" s="450"/>
      <c r="F52" s="450"/>
      <c r="G52" s="450"/>
      <c r="H52" s="450"/>
      <c r="I52" s="450"/>
      <c r="J52" s="450"/>
      <c r="K52" s="450"/>
      <c r="L52" s="450"/>
      <c r="M52" s="450"/>
      <c r="N52" s="450"/>
      <c r="O52" s="450"/>
      <c r="P52" s="450"/>
      <c r="Q52" s="450"/>
      <c r="R52" s="456" t="s">
        <v>109</v>
      </c>
      <c r="S52" s="456" t="s">
        <v>115</v>
      </c>
      <c r="T52" s="458">
        <f>+T34/2-SUM(J34:P34)</f>
        <v>367473</v>
      </c>
      <c r="U52" s="452"/>
      <c r="V52" s="430"/>
    </row>
    <row r="53" spans="1:23" s="431" customFormat="1" x14ac:dyDescent="0.3">
      <c r="A53" s="449"/>
      <c r="B53" s="450"/>
      <c r="C53" s="450"/>
      <c r="D53" s="450"/>
      <c r="E53" s="450"/>
      <c r="F53" s="450"/>
      <c r="G53" s="450"/>
      <c r="H53" s="450"/>
      <c r="I53" s="450"/>
      <c r="J53" s="450"/>
      <c r="K53" s="450"/>
      <c r="L53" s="450"/>
      <c r="M53" s="450"/>
      <c r="N53" s="450"/>
      <c r="O53" s="450"/>
      <c r="P53" s="450"/>
      <c r="Q53" s="450"/>
      <c r="R53" s="450"/>
      <c r="S53" s="450"/>
      <c r="T53" s="488"/>
      <c r="U53" s="452"/>
      <c r="V53" s="430"/>
    </row>
    <row r="54" spans="1:23" s="431" customFormat="1" x14ac:dyDescent="0.3">
      <c r="A54" s="449"/>
      <c r="B54" s="450" t="s">
        <v>342</v>
      </c>
      <c r="C54" s="450"/>
      <c r="D54" s="450"/>
      <c r="E54" s="450"/>
      <c r="F54" s="450"/>
      <c r="G54" s="450"/>
      <c r="H54" s="450"/>
      <c r="I54" s="450"/>
      <c r="J54" s="450"/>
      <c r="K54" s="450"/>
      <c r="L54" s="450"/>
      <c r="M54" s="450"/>
      <c r="N54" s="450"/>
      <c r="O54" s="450"/>
      <c r="P54" s="450"/>
      <c r="Q54" s="450"/>
      <c r="R54" s="456"/>
      <c r="S54" s="456"/>
      <c r="T54" s="489" t="s">
        <v>117</v>
      </c>
      <c r="U54" s="452"/>
      <c r="V54" s="430"/>
    </row>
    <row r="55" spans="1:23" s="431" customFormat="1" x14ac:dyDescent="0.3">
      <c r="A55" s="449"/>
      <c r="B55" s="455" t="s">
        <v>210</v>
      </c>
      <c r="C55" s="455"/>
      <c r="D55" s="455"/>
      <c r="E55" s="455"/>
      <c r="F55" s="455"/>
      <c r="G55" s="455"/>
      <c r="H55" s="455"/>
      <c r="I55" s="455"/>
      <c r="J55" s="455"/>
      <c r="K55" s="455"/>
      <c r="L55" s="455"/>
      <c r="M55" s="455"/>
      <c r="N55" s="455"/>
      <c r="O55" s="455"/>
      <c r="P55" s="455"/>
      <c r="Q55" s="455"/>
      <c r="R55" s="490"/>
      <c r="S55" s="490"/>
      <c r="T55" s="491">
        <v>43388</v>
      </c>
      <c r="U55" s="452"/>
      <c r="V55" s="430"/>
    </row>
    <row r="56" spans="1:23" s="431" customFormat="1" x14ac:dyDescent="0.3">
      <c r="A56" s="449"/>
      <c r="B56" s="450" t="s">
        <v>127</v>
      </c>
      <c r="C56" s="450"/>
      <c r="D56" s="450"/>
      <c r="E56" s="450"/>
      <c r="F56" s="450"/>
      <c r="G56" s="450"/>
      <c r="H56" s="492"/>
      <c r="I56" s="492"/>
      <c r="J56" s="492"/>
      <c r="K56" s="492"/>
      <c r="L56" s="492"/>
      <c r="M56" s="492"/>
      <c r="N56" s="492"/>
      <c r="O56" s="492"/>
      <c r="P56" s="450">
        <f>+T56-R56+1</f>
        <v>91</v>
      </c>
      <c r="Q56" s="492"/>
      <c r="R56" s="493">
        <v>43206</v>
      </c>
      <c r="S56" s="494"/>
      <c r="T56" s="493">
        <v>43296</v>
      </c>
      <c r="U56" s="452"/>
      <c r="V56" s="430"/>
    </row>
    <row r="57" spans="1:23" s="431" customFormat="1" x14ac:dyDescent="0.3">
      <c r="A57" s="449"/>
      <c r="B57" s="450" t="s">
        <v>128</v>
      </c>
      <c r="C57" s="450"/>
      <c r="D57" s="450"/>
      <c r="E57" s="450"/>
      <c r="F57" s="450"/>
      <c r="G57" s="450"/>
      <c r="H57" s="450"/>
      <c r="I57" s="450"/>
      <c r="J57" s="450"/>
      <c r="K57" s="450"/>
      <c r="L57" s="450"/>
      <c r="M57" s="450"/>
      <c r="N57" s="450"/>
      <c r="O57" s="450"/>
      <c r="P57" s="450">
        <f>+T57-R57+1</f>
        <v>91</v>
      </c>
      <c r="Q57" s="450"/>
      <c r="R57" s="493">
        <v>43297</v>
      </c>
      <c r="S57" s="494"/>
      <c r="T57" s="493">
        <v>43387</v>
      </c>
      <c r="U57" s="452"/>
      <c r="V57" s="430"/>
    </row>
    <row r="58" spans="1:23" s="431" customFormat="1" x14ac:dyDescent="0.3">
      <c r="A58" s="449"/>
      <c r="B58" s="450" t="s">
        <v>344</v>
      </c>
      <c r="C58" s="450"/>
      <c r="D58" s="450"/>
      <c r="E58" s="450"/>
      <c r="F58" s="450"/>
      <c r="G58" s="450"/>
      <c r="H58" s="450"/>
      <c r="I58" s="450"/>
      <c r="J58" s="450"/>
      <c r="K58" s="450"/>
      <c r="L58" s="450"/>
      <c r="M58" s="450"/>
      <c r="N58" s="450"/>
      <c r="O58" s="450"/>
      <c r="P58" s="450"/>
      <c r="Q58" s="450"/>
      <c r="R58" s="493"/>
      <c r="S58" s="494"/>
      <c r="T58" s="493" t="s">
        <v>126</v>
      </c>
      <c r="U58" s="452"/>
      <c r="V58" s="430"/>
    </row>
    <row r="59" spans="1:23" s="431" customFormat="1" x14ac:dyDescent="0.3">
      <c r="A59" s="449"/>
      <c r="B59" s="450" t="s">
        <v>343</v>
      </c>
      <c r="C59" s="450"/>
      <c r="D59" s="450"/>
      <c r="E59" s="450"/>
      <c r="F59" s="450"/>
      <c r="G59" s="450"/>
      <c r="H59" s="450"/>
      <c r="I59" s="450"/>
      <c r="J59" s="450"/>
      <c r="K59" s="450"/>
      <c r="L59" s="450"/>
      <c r="M59" s="450"/>
      <c r="N59" s="450"/>
      <c r="O59" s="450"/>
      <c r="P59" s="450"/>
      <c r="Q59" s="450"/>
      <c r="R59" s="493"/>
      <c r="S59" s="494"/>
      <c r="T59" s="493" t="s">
        <v>160</v>
      </c>
      <c r="U59" s="452"/>
      <c r="V59" s="430"/>
      <c r="W59" s="495"/>
    </row>
    <row r="60" spans="1:23" s="431" customFormat="1" x14ac:dyDescent="0.3">
      <c r="A60" s="449"/>
      <c r="B60" s="450" t="s">
        <v>16</v>
      </c>
      <c r="C60" s="450"/>
      <c r="D60" s="450"/>
      <c r="E60" s="450"/>
      <c r="F60" s="450"/>
      <c r="G60" s="450"/>
      <c r="H60" s="450"/>
      <c r="I60" s="450"/>
      <c r="J60" s="450"/>
      <c r="K60" s="450"/>
      <c r="L60" s="450"/>
      <c r="M60" s="450"/>
      <c r="N60" s="450"/>
      <c r="O60" s="450"/>
      <c r="P60" s="450"/>
      <c r="Q60" s="450"/>
      <c r="R60" s="493"/>
      <c r="S60" s="494"/>
      <c r="T60" s="493">
        <v>43374</v>
      </c>
      <c r="U60" s="452"/>
      <c r="V60" s="430"/>
    </row>
    <row r="61" spans="1:23" s="431" customFormat="1" x14ac:dyDescent="0.3">
      <c r="A61" s="432"/>
      <c r="B61" s="447"/>
      <c r="C61" s="447"/>
      <c r="D61" s="447"/>
      <c r="E61" s="447"/>
      <c r="F61" s="447"/>
      <c r="G61" s="447"/>
      <c r="H61" s="447"/>
      <c r="I61" s="447"/>
      <c r="J61" s="447"/>
      <c r="K61" s="447"/>
      <c r="L61" s="447"/>
      <c r="M61" s="447"/>
      <c r="N61" s="447"/>
      <c r="O61" s="447"/>
      <c r="P61" s="447"/>
      <c r="Q61" s="447"/>
      <c r="R61" s="496"/>
      <c r="S61" s="497"/>
      <c r="T61" s="496"/>
      <c r="U61" s="641"/>
      <c r="V61" s="430"/>
    </row>
    <row r="62" spans="1:23" s="431" customFormat="1" x14ac:dyDescent="0.3">
      <c r="A62" s="432"/>
      <c r="B62" s="433"/>
      <c r="C62" s="433"/>
      <c r="D62" s="433"/>
      <c r="E62" s="433"/>
      <c r="F62" s="433"/>
      <c r="G62" s="433"/>
      <c r="H62" s="433"/>
      <c r="I62" s="433"/>
      <c r="J62" s="433"/>
      <c r="K62" s="433"/>
      <c r="L62" s="433"/>
      <c r="M62" s="433"/>
      <c r="N62" s="433"/>
      <c r="O62" s="433"/>
      <c r="P62" s="433"/>
      <c r="Q62" s="433"/>
      <c r="R62" s="498"/>
      <c r="S62" s="499"/>
      <c r="T62" s="498"/>
      <c r="U62" s="641"/>
      <c r="V62" s="430"/>
    </row>
    <row r="63" spans="1:23" s="431" customFormat="1" ht="18.600000000000001" thickBot="1" x14ac:dyDescent="0.4">
      <c r="A63" s="500"/>
      <c r="B63" s="501" t="s">
        <v>363</v>
      </c>
      <c r="C63" s="502"/>
      <c r="D63" s="502"/>
      <c r="E63" s="502"/>
      <c r="F63" s="502"/>
      <c r="G63" s="502"/>
      <c r="H63" s="502"/>
      <c r="I63" s="502"/>
      <c r="J63" s="502"/>
      <c r="K63" s="502"/>
      <c r="L63" s="502"/>
      <c r="M63" s="502"/>
      <c r="N63" s="502"/>
      <c r="O63" s="502"/>
      <c r="P63" s="502"/>
      <c r="Q63" s="502"/>
      <c r="R63" s="502"/>
      <c r="S63" s="502"/>
      <c r="T63" s="503"/>
      <c r="U63" s="504"/>
      <c r="V63" s="430"/>
    </row>
    <row r="64" spans="1:23" x14ac:dyDescent="0.3">
      <c r="A64" s="505"/>
      <c r="B64" s="506" t="s">
        <v>17</v>
      </c>
      <c r="C64" s="507"/>
      <c r="D64" s="507"/>
      <c r="E64" s="507"/>
      <c r="F64" s="507"/>
      <c r="G64" s="507"/>
      <c r="H64" s="507"/>
      <c r="I64" s="507"/>
      <c r="J64" s="507"/>
      <c r="K64" s="507"/>
      <c r="L64" s="507"/>
      <c r="M64" s="507"/>
      <c r="N64" s="507"/>
      <c r="O64" s="507"/>
      <c r="P64" s="507"/>
      <c r="Q64" s="507"/>
      <c r="R64" s="507"/>
      <c r="S64" s="507"/>
      <c r="T64" s="508"/>
      <c r="U64" s="509"/>
      <c r="V64" s="416"/>
    </row>
    <row r="65" spans="1:22" x14ac:dyDescent="0.3">
      <c r="A65" s="418"/>
      <c r="B65" s="427"/>
      <c r="C65" s="420"/>
      <c r="D65" s="420"/>
      <c r="E65" s="420"/>
      <c r="F65" s="420"/>
      <c r="G65" s="420"/>
      <c r="H65" s="420"/>
      <c r="I65" s="420"/>
      <c r="J65" s="420"/>
      <c r="K65" s="420"/>
      <c r="L65" s="420"/>
      <c r="M65" s="420"/>
      <c r="N65" s="420"/>
      <c r="O65" s="420"/>
      <c r="P65" s="420"/>
      <c r="Q65" s="420"/>
      <c r="R65" s="420"/>
      <c r="S65" s="420"/>
      <c r="T65" s="510"/>
      <c r="U65" s="639"/>
      <c r="V65" s="416"/>
    </row>
    <row r="66" spans="1:22" ht="46.8" x14ac:dyDescent="0.3">
      <c r="A66" s="418"/>
      <c r="B66" s="511" t="s">
        <v>18</v>
      </c>
      <c r="C66" s="512"/>
      <c r="D66" s="512"/>
      <c r="E66" s="512"/>
      <c r="F66" s="512"/>
      <c r="G66" s="512"/>
      <c r="H66" s="512"/>
      <c r="I66" s="512"/>
      <c r="J66" s="512" t="s">
        <v>97</v>
      </c>
      <c r="K66" s="512"/>
      <c r="L66" s="512" t="s">
        <v>99</v>
      </c>
      <c r="M66" s="512"/>
      <c r="N66" s="512" t="s">
        <v>101</v>
      </c>
      <c r="O66" s="512"/>
      <c r="P66" s="512" t="s">
        <v>103</v>
      </c>
      <c r="Q66" s="512"/>
      <c r="R66" s="512" t="s">
        <v>110</v>
      </c>
      <c r="S66" s="512"/>
      <c r="T66" s="513" t="s">
        <v>118</v>
      </c>
      <c r="U66" s="642"/>
      <c r="V66" s="416"/>
    </row>
    <row r="67" spans="1:22" s="431" customFormat="1" x14ac:dyDescent="0.3">
      <c r="A67" s="449"/>
      <c r="B67" s="450" t="s">
        <v>19</v>
      </c>
      <c r="C67" s="514"/>
      <c r="D67" s="514"/>
      <c r="E67" s="514"/>
      <c r="F67" s="514"/>
      <c r="G67" s="514"/>
      <c r="H67" s="514"/>
      <c r="I67" s="514"/>
      <c r="J67" s="514">
        <v>1000039</v>
      </c>
      <c r="K67" s="514"/>
      <c r="L67" s="515">
        <v>405485</v>
      </c>
      <c r="M67" s="514"/>
      <c r="N67" s="514">
        <f>8119+45+1</f>
        <v>8165</v>
      </c>
      <c r="O67" s="514"/>
      <c r="P67" s="514">
        <v>45</v>
      </c>
      <c r="Q67" s="514"/>
      <c r="R67" s="514">
        <v>0</v>
      </c>
      <c r="S67" s="514"/>
      <c r="T67" s="515">
        <f>+L67-N67+P67-R67</f>
        <v>397365</v>
      </c>
      <c r="U67" s="452"/>
      <c r="V67" s="430"/>
    </row>
    <row r="68" spans="1:22" s="431" customFormat="1" x14ac:dyDescent="0.3">
      <c r="A68" s="449"/>
      <c r="B68" s="450" t="s">
        <v>20</v>
      </c>
      <c r="C68" s="514"/>
      <c r="D68" s="514"/>
      <c r="E68" s="514"/>
      <c r="F68" s="514"/>
      <c r="G68" s="514"/>
      <c r="H68" s="514"/>
      <c r="I68" s="514"/>
      <c r="J68" s="514">
        <v>10</v>
      </c>
      <c r="K68" s="514"/>
      <c r="L68" s="515">
        <v>0</v>
      </c>
      <c r="M68" s="514"/>
      <c r="N68" s="514">
        <v>0</v>
      </c>
      <c r="O68" s="514"/>
      <c r="P68" s="514">
        <v>0</v>
      </c>
      <c r="Q68" s="514"/>
      <c r="R68" s="514">
        <v>0</v>
      </c>
      <c r="S68" s="514"/>
      <c r="T68" s="515">
        <v>0</v>
      </c>
      <c r="U68" s="452"/>
      <c r="V68" s="430"/>
    </row>
    <row r="69" spans="1:22" s="431" customFormat="1" x14ac:dyDescent="0.3">
      <c r="A69" s="449"/>
      <c r="B69" s="450"/>
      <c r="C69" s="514"/>
      <c r="D69" s="514"/>
      <c r="E69" s="514"/>
      <c r="F69" s="514"/>
      <c r="G69" s="514"/>
      <c r="H69" s="514"/>
      <c r="I69" s="514"/>
      <c r="J69" s="514"/>
      <c r="K69" s="514"/>
      <c r="L69" s="515"/>
      <c r="M69" s="514"/>
      <c r="N69" s="514"/>
      <c r="O69" s="514"/>
      <c r="P69" s="514"/>
      <c r="Q69" s="514"/>
      <c r="R69" s="514"/>
      <c r="S69" s="514"/>
      <c r="T69" s="515"/>
      <c r="U69" s="452"/>
      <c r="V69" s="430"/>
    </row>
    <row r="70" spans="1:22" s="431" customFormat="1" x14ac:dyDescent="0.3">
      <c r="A70" s="449"/>
      <c r="B70" s="450" t="s">
        <v>21</v>
      </c>
      <c r="C70" s="514"/>
      <c r="D70" s="514"/>
      <c r="E70" s="514"/>
      <c r="F70" s="514"/>
      <c r="G70" s="514"/>
      <c r="H70" s="514"/>
      <c r="I70" s="514"/>
      <c r="J70" s="514">
        <f>SUM(J67:J69)</f>
        <v>1000049</v>
      </c>
      <c r="K70" s="514"/>
      <c r="L70" s="514">
        <f>L67+L68</f>
        <v>405485</v>
      </c>
      <c r="M70" s="514"/>
      <c r="N70" s="514">
        <f>SUM(N67:N69)</f>
        <v>8165</v>
      </c>
      <c r="O70" s="514"/>
      <c r="P70" s="514">
        <f>SUM(P67:P69)</f>
        <v>45</v>
      </c>
      <c r="Q70" s="514"/>
      <c r="R70" s="514">
        <f>SUM(R67:R69)</f>
        <v>0</v>
      </c>
      <c r="S70" s="514"/>
      <c r="T70" s="514">
        <f>SUM(T67:T69)</f>
        <v>397365</v>
      </c>
      <c r="U70" s="452"/>
      <c r="V70" s="430"/>
    </row>
    <row r="71" spans="1:22" x14ac:dyDescent="0.3">
      <c r="A71" s="418"/>
      <c r="B71" s="516"/>
      <c r="C71" s="517"/>
      <c r="D71" s="517"/>
      <c r="E71" s="517"/>
      <c r="F71" s="517"/>
      <c r="G71" s="517"/>
      <c r="H71" s="517"/>
      <c r="I71" s="517"/>
      <c r="J71" s="517"/>
      <c r="K71" s="517"/>
      <c r="L71" s="517"/>
      <c r="M71" s="517"/>
      <c r="N71" s="517"/>
      <c r="O71" s="517"/>
      <c r="P71" s="517"/>
      <c r="Q71" s="517"/>
      <c r="R71" s="517"/>
      <c r="S71" s="517"/>
      <c r="T71" s="518"/>
      <c r="U71" s="639"/>
      <c r="V71" s="416"/>
    </row>
    <row r="72" spans="1:22" x14ac:dyDescent="0.3">
      <c r="A72" s="418"/>
      <c r="B72" s="422" t="s">
        <v>22</v>
      </c>
      <c r="C72" s="519"/>
      <c r="D72" s="519"/>
      <c r="E72" s="519"/>
      <c r="F72" s="519"/>
      <c r="G72" s="519"/>
      <c r="H72" s="519"/>
      <c r="I72" s="519"/>
      <c r="J72" s="519"/>
      <c r="K72" s="519"/>
      <c r="L72" s="519"/>
      <c r="M72" s="519"/>
      <c r="N72" s="519"/>
      <c r="O72" s="519"/>
      <c r="P72" s="519"/>
      <c r="Q72" s="519"/>
      <c r="R72" s="519"/>
      <c r="S72" s="519"/>
      <c r="T72" s="520"/>
      <c r="U72" s="639"/>
      <c r="V72" s="416"/>
    </row>
    <row r="73" spans="1:22" x14ac:dyDescent="0.3">
      <c r="A73" s="418"/>
      <c r="B73" s="420"/>
      <c r="C73" s="519"/>
      <c r="D73" s="519"/>
      <c r="E73" s="519"/>
      <c r="F73" s="519"/>
      <c r="G73" s="519"/>
      <c r="H73" s="519"/>
      <c r="I73" s="519"/>
      <c r="J73" s="519"/>
      <c r="K73" s="519"/>
      <c r="L73" s="519"/>
      <c r="M73" s="519"/>
      <c r="N73" s="519"/>
      <c r="O73" s="519"/>
      <c r="P73" s="519"/>
      <c r="Q73" s="519"/>
      <c r="R73" s="519"/>
      <c r="S73" s="519"/>
      <c r="T73" s="520"/>
      <c r="U73" s="639"/>
      <c r="V73" s="416"/>
    </row>
    <row r="74" spans="1:22" s="431" customFormat="1" x14ac:dyDescent="0.3">
      <c r="A74" s="449"/>
      <c r="B74" s="450" t="s">
        <v>19</v>
      </c>
      <c r="C74" s="514"/>
      <c r="D74" s="514"/>
      <c r="E74" s="514"/>
      <c r="F74" s="514"/>
      <c r="G74" s="514"/>
      <c r="H74" s="514"/>
      <c r="I74" s="514"/>
      <c r="J74" s="514"/>
      <c r="K74" s="514"/>
      <c r="L74" s="514"/>
      <c r="M74" s="514"/>
      <c r="N74" s="514"/>
      <c r="O74" s="514"/>
      <c r="P74" s="514"/>
      <c r="Q74" s="514"/>
      <c r="R74" s="514"/>
      <c r="S74" s="514"/>
      <c r="T74" s="514"/>
      <c r="U74" s="452"/>
      <c r="V74" s="430"/>
    </row>
    <row r="75" spans="1:22" s="431" customFormat="1" x14ac:dyDescent="0.3">
      <c r="A75" s="449"/>
      <c r="B75" s="450" t="s">
        <v>20</v>
      </c>
      <c r="C75" s="514"/>
      <c r="D75" s="514"/>
      <c r="E75" s="514"/>
      <c r="F75" s="514"/>
      <c r="G75" s="514"/>
      <c r="H75" s="514"/>
      <c r="I75" s="514"/>
      <c r="J75" s="514"/>
      <c r="K75" s="514"/>
      <c r="L75" s="514"/>
      <c r="M75" s="514"/>
      <c r="N75" s="514"/>
      <c r="O75" s="514"/>
      <c r="P75" s="514"/>
      <c r="Q75" s="514"/>
      <c r="R75" s="514"/>
      <c r="S75" s="514"/>
      <c r="T75" s="514"/>
      <c r="U75" s="452"/>
      <c r="V75" s="430"/>
    </row>
    <row r="76" spans="1:22" s="431" customFormat="1" x14ac:dyDescent="0.3">
      <c r="A76" s="449"/>
      <c r="B76" s="450"/>
      <c r="C76" s="514"/>
      <c r="D76" s="514"/>
      <c r="E76" s="514"/>
      <c r="F76" s="514"/>
      <c r="G76" s="514"/>
      <c r="H76" s="514"/>
      <c r="I76" s="514"/>
      <c r="J76" s="514"/>
      <c r="K76" s="514"/>
      <c r="L76" s="514"/>
      <c r="M76" s="514"/>
      <c r="N76" s="514"/>
      <c r="O76" s="514"/>
      <c r="P76" s="514"/>
      <c r="Q76" s="514"/>
      <c r="R76" s="514"/>
      <c r="S76" s="514"/>
      <c r="T76" s="514"/>
      <c r="U76" s="452"/>
      <c r="V76" s="430"/>
    </row>
    <row r="77" spans="1:22" s="431" customFormat="1" x14ac:dyDescent="0.3">
      <c r="A77" s="449"/>
      <c r="B77" s="450" t="s">
        <v>21</v>
      </c>
      <c r="C77" s="514"/>
      <c r="D77" s="514"/>
      <c r="E77" s="514"/>
      <c r="F77" s="514"/>
      <c r="G77" s="514"/>
      <c r="H77" s="514"/>
      <c r="I77" s="514"/>
      <c r="J77" s="514"/>
      <c r="K77" s="514"/>
      <c r="L77" s="514"/>
      <c r="M77" s="514"/>
      <c r="N77" s="514"/>
      <c r="O77" s="514"/>
      <c r="P77" s="514"/>
      <c r="Q77" s="514"/>
      <c r="R77" s="514"/>
      <c r="S77" s="514"/>
      <c r="T77" s="514"/>
      <c r="U77" s="452"/>
      <c r="V77" s="430"/>
    </row>
    <row r="78" spans="1:22" s="431" customFormat="1" x14ac:dyDescent="0.3">
      <c r="A78" s="449"/>
      <c r="B78" s="450"/>
      <c r="C78" s="514"/>
      <c r="D78" s="514"/>
      <c r="E78" s="514"/>
      <c r="F78" s="514"/>
      <c r="G78" s="514"/>
      <c r="H78" s="514"/>
      <c r="I78" s="514"/>
      <c r="J78" s="514"/>
      <c r="K78" s="514"/>
      <c r="L78" s="514"/>
      <c r="M78" s="514"/>
      <c r="N78" s="514"/>
      <c r="O78" s="514"/>
      <c r="P78" s="514"/>
      <c r="Q78" s="514"/>
      <c r="R78" s="514"/>
      <c r="S78" s="514"/>
      <c r="T78" s="514"/>
      <c r="U78" s="452"/>
      <c r="V78" s="430"/>
    </row>
    <row r="79" spans="1:22" s="431" customFormat="1" x14ac:dyDescent="0.3">
      <c r="A79" s="449"/>
      <c r="B79" s="450" t="s">
        <v>23</v>
      </c>
      <c r="C79" s="514"/>
      <c r="D79" s="514"/>
      <c r="E79" s="514"/>
      <c r="F79" s="514"/>
      <c r="G79" s="514"/>
      <c r="H79" s="514"/>
      <c r="I79" s="514"/>
      <c r="J79" s="514">
        <v>0</v>
      </c>
      <c r="K79" s="514"/>
      <c r="L79" s="514">
        <v>0</v>
      </c>
      <c r="M79" s="514"/>
      <c r="N79" s="514"/>
      <c r="O79" s="514"/>
      <c r="P79" s="514"/>
      <c r="Q79" s="514"/>
      <c r="R79" s="514"/>
      <c r="S79" s="514"/>
      <c r="T79" s="515">
        <v>0</v>
      </c>
      <c r="U79" s="452"/>
      <c r="V79" s="430"/>
    </row>
    <row r="80" spans="1:22" s="431" customFormat="1" x14ac:dyDescent="0.3">
      <c r="A80" s="449"/>
      <c r="B80" s="450" t="s">
        <v>123</v>
      </c>
      <c r="C80" s="514"/>
      <c r="D80" s="514"/>
      <c r="E80" s="514"/>
      <c r="F80" s="514"/>
      <c r="G80" s="514"/>
      <c r="H80" s="514"/>
      <c r="I80" s="514"/>
      <c r="J80" s="514">
        <v>0</v>
      </c>
      <c r="K80" s="514"/>
      <c r="L80" s="514">
        <v>0</v>
      </c>
      <c r="M80" s="514"/>
      <c r="N80" s="514"/>
      <c r="O80" s="514"/>
      <c r="P80" s="514"/>
      <c r="Q80" s="514"/>
      <c r="R80" s="514"/>
      <c r="S80" s="514"/>
      <c r="T80" s="514">
        <f>SUM(J80:P80)</f>
        <v>0</v>
      </c>
      <c r="U80" s="452"/>
      <c r="V80" s="430"/>
    </row>
    <row r="81" spans="1:22" s="431" customFormat="1" x14ac:dyDescent="0.3">
      <c r="A81" s="449"/>
      <c r="B81" s="450" t="s">
        <v>152</v>
      </c>
      <c r="C81" s="514"/>
      <c r="D81" s="514"/>
      <c r="E81" s="514"/>
      <c r="F81" s="514"/>
      <c r="G81" s="514"/>
      <c r="H81" s="514"/>
      <c r="I81" s="514"/>
      <c r="J81" s="514">
        <v>1</v>
      </c>
      <c r="K81" s="514"/>
      <c r="L81" s="514">
        <v>0</v>
      </c>
      <c r="M81" s="514"/>
      <c r="N81" s="514">
        <v>0</v>
      </c>
      <c r="O81" s="514"/>
      <c r="P81" s="514"/>
      <c r="Q81" s="514"/>
      <c r="R81" s="514"/>
      <c r="S81" s="514"/>
      <c r="T81" s="514">
        <f>+L81+N81</f>
        <v>0</v>
      </c>
      <c r="U81" s="452"/>
      <c r="V81" s="430"/>
    </row>
    <row r="82" spans="1:22" s="431" customFormat="1" x14ac:dyDescent="0.3">
      <c r="A82" s="449"/>
      <c r="B82" s="450" t="s">
        <v>25</v>
      </c>
      <c r="C82" s="514"/>
      <c r="D82" s="514"/>
      <c r="E82" s="514"/>
      <c r="F82" s="514"/>
      <c r="G82" s="514"/>
      <c r="H82" s="514"/>
      <c r="I82" s="514"/>
      <c r="J82" s="514">
        <v>0</v>
      </c>
      <c r="K82" s="514"/>
      <c r="L82" s="514">
        <v>0</v>
      </c>
      <c r="M82" s="514"/>
      <c r="N82" s="514"/>
      <c r="O82" s="514"/>
      <c r="P82" s="514"/>
      <c r="Q82" s="514"/>
      <c r="R82" s="514"/>
      <c r="S82" s="514"/>
      <c r="T82" s="514">
        <v>0</v>
      </c>
      <c r="U82" s="452"/>
      <c r="V82" s="430"/>
    </row>
    <row r="83" spans="1:22" s="431" customFormat="1" x14ac:dyDescent="0.3">
      <c r="A83" s="449"/>
      <c r="B83" s="450" t="s">
        <v>26</v>
      </c>
      <c r="C83" s="514"/>
      <c r="D83" s="514"/>
      <c r="E83" s="514"/>
      <c r="F83" s="514"/>
      <c r="G83" s="514"/>
      <c r="H83" s="514"/>
      <c r="I83" s="514"/>
      <c r="J83" s="514">
        <f>SUM(J70:J82)</f>
        <v>1000050</v>
      </c>
      <c r="K83" s="514"/>
      <c r="L83" s="514">
        <f>SUM(L70:L82)</f>
        <v>405485</v>
      </c>
      <c r="M83" s="514"/>
      <c r="N83" s="514"/>
      <c r="O83" s="514"/>
      <c r="P83" s="514"/>
      <c r="Q83" s="514"/>
      <c r="R83" s="514"/>
      <c r="S83" s="514"/>
      <c r="T83" s="514">
        <f>SUM(T70:T82)</f>
        <v>397365</v>
      </c>
      <c r="U83" s="452"/>
      <c r="V83" s="430"/>
    </row>
    <row r="84" spans="1:22" x14ac:dyDescent="0.3">
      <c r="A84" s="418"/>
      <c r="B84" s="516"/>
      <c r="C84" s="517"/>
      <c r="D84" s="517"/>
      <c r="E84" s="517"/>
      <c r="F84" s="517"/>
      <c r="G84" s="517"/>
      <c r="H84" s="517"/>
      <c r="I84" s="517"/>
      <c r="J84" s="517"/>
      <c r="K84" s="517"/>
      <c r="L84" s="517"/>
      <c r="M84" s="517"/>
      <c r="N84" s="517"/>
      <c r="O84" s="517"/>
      <c r="P84" s="517"/>
      <c r="Q84" s="517"/>
      <c r="R84" s="517"/>
      <c r="S84" s="517"/>
      <c r="T84" s="518"/>
      <c r="U84" s="639"/>
      <c r="V84" s="416"/>
    </row>
    <row r="85" spans="1:22" x14ac:dyDescent="0.3">
      <c r="A85" s="418"/>
      <c r="B85" s="420"/>
      <c r="C85" s="420"/>
      <c r="D85" s="420"/>
      <c r="E85" s="420"/>
      <c r="F85" s="420"/>
      <c r="G85" s="420"/>
      <c r="H85" s="420"/>
      <c r="I85" s="420"/>
      <c r="J85" s="420"/>
      <c r="K85" s="420"/>
      <c r="L85" s="420"/>
      <c r="M85" s="420"/>
      <c r="N85" s="420"/>
      <c r="O85" s="420"/>
      <c r="P85" s="420"/>
      <c r="Q85" s="420"/>
      <c r="R85" s="420"/>
      <c r="S85" s="420"/>
      <c r="T85" s="420"/>
      <c r="U85" s="639"/>
      <c r="V85" s="416"/>
    </row>
    <row r="86" spans="1:22" x14ac:dyDescent="0.3">
      <c r="A86" s="442"/>
      <c r="B86" s="521" t="s">
        <v>27</v>
      </c>
      <c r="C86" s="521"/>
      <c r="D86" s="521"/>
      <c r="E86" s="521"/>
      <c r="F86" s="521"/>
      <c r="G86" s="521"/>
      <c r="H86" s="522"/>
      <c r="I86" s="522"/>
      <c r="J86" s="523" t="s">
        <v>98</v>
      </c>
      <c r="K86" s="522"/>
      <c r="L86" s="524">
        <f>+R193</f>
        <v>43371</v>
      </c>
      <c r="M86" s="522"/>
      <c r="N86" s="522"/>
      <c r="O86" s="522"/>
      <c r="P86" s="522"/>
      <c r="Q86" s="522"/>
      <c r="R86" s="522" t="s">
        <v>111</v>
      </c>
      <c r="S86" s="522"/>
      <c r="T86" s="522" t="s">
        <v>119</v>
      </c>
      <c r="U86" s="446"/>
      <c r="V86" s="416"/>
    </row>
    <row r="87" spans="1:22" s="431" customFormat="1" x14ac:dyDescent="0.3">
      <c r="A87" s="432"/>
      <c r="B87" s="447" t="s">
        <v>28</v>
      </c>
      <c r="C87" s="447"/>
      <c r="D87" s="447"/>
      <c r="E87" s="447"/>
      <c r="F87" s="447"/>
      <c r="G87" s="447"/>
      <c r="H87" s="447"/>
      <c r="I87" s="447"/>
      <c r="J87" s="447"/>
      <c r="K87" s="447"/>
      <c r="L87" s="447"/>
      <c r="M87" s="447"/>
      <c r="N87" s="447"/>
      <c r="O87" s="447"/>
      <c r="P87" s="447"/>
      <c r="Q87" s="447"/>
      <c r="R87" s="525">
        <v>0</v>
      </c>
      <c r="S87" s="447"/>
      <c r="T87" s="526">
        <v>0</v>
      </c>
      <c r="U87" s="641"/>
      <c r="V87" s="430"/>
    </row>
    <row r="88" spans="1:22" s="431" customFormat="1" x14ac:dyDescent="0.3">
      <c r="A88" s="449"/>
      <c r="B88" s="450" t="s">
        <v>29</v>
      </c>
      <c r="C88" s="450"/>
      <c r="D88" s="450"/>
      <c r="E88" s="450"/>
      <c r="F88" s="450"/>
      <c r="G88" s="450"/>
      <c r="H88" s="486"/>
      <c r="I88" s="527"/>
      <c r="J88" s="486"/>
      <c r="K88" s="450"/>
      <c r="L88" s="528"/>
      <c r="M88" s="450"/>
      <c r="N88" s="450"/>
      <c r="O88" s="450"/>
      <c r="P88" s="450"/>
      <c r="Q88" s="450"/>
      <c r="R88" s="514">
        <f>8165-91</f>
        <v>8074</v>
      </c>
      <c r="S88" s="450"/>
      <c r="T88" s="515"/>
      <c r="U88" s="452"/>
      <c r="V88" s="430"/>
    </row>
    <row r="89" spans="1:22" s="431" customFormat="1" x14ac:dyDescent="0.3">
      <c r="A89" s="449"/>
      <c r="B89" s="450" t="s">
        <v>225</v>
      </c>
      <c r="C89" s="450"/>
      <c r="D89" s="450"/>
      <c r="E89" s="450"/>
      <c r="F89" s="450"/>
      <c r="G89" s="450"/>
      <c r="H89" s="486"/>
      <c r="I89" s="527"/>
      <c r="J89" s="486"/>
      <c r="K89" s="450"/>
      <c r="L89" s="528"/>
      <c r="M89" s="450"/>
      <c r="N89" s="450"/>
      <c r="O89" s="450"/>
      <c r="P89" s="450"/>
      <c r="Q89" s="450"/>
      <c r="R89" s="514"/>
      <c r="S89" s="450"/>
      <c r="T89" s="515">
        <f>1961+1650-798-347</f>
        <v>2466</v>
      </c>
      <c r="U89" s="452"/>
      <c r="V89" s="430"/>
    </row>
    <row r="90" spans="1:22" s="431" customFormat="1" x14ac:dyDescent="0.3">
      <c r="A90" s="449"/>
      <c r="B90" s="450" t="s">
        <v>220</v>
      </c>
      <c r="C90" s="450"/>
      <c r="D90" s="450"/>
      <c r="E90" s="450"/>
      <c r="F90" s="450"/>
      <c r="G90" s="450"/>
      <c r="H90" s="486"/>
      <c r="I90" s="527"/>
      <c r="J90" s="486"/>
      <c r="K90" s="450"/>
      <c r="L90" s="528"/>
      <c r="M90" s="450"/>
      <c r="N90" s="450"/>
      <c r="O90" s="450"/>
      <c r="P90" s="450"/>
      <c r="Q90" s="450"/>
      <c r="R90" s="514"/>
      <c r="S90" s="450"/>
      <c r="T90" s="515">
        <f>86+13</f>
        <v>99</v>
      </c>
      <c r="U90" s="452"/>
      <c r="V90" s="430"/>
    </row>
    <row r="91" spans="1:22" s="431" customFormat="1" x14ac:dyDescent="0.3">
      <c r="A91" s="449"/>
      <c r="B91" s="450" t="s">
        <v>221</v>
      </c>
      <c r="C91" s="450"/>
      <c r="D91" s="450"/>
      <c r="E91" s="450"/>
      <c r="F91" s="450"/>
      <c r="G91" s="450"/>
      <c r="H91" s="486"/>
      <c r="I91" s="527"/>
      <c r="J91" s="486"/>
      <c r="K91" s="450"/>
      <c r="L91" s="528"/>
      <c r="M91" s="450"/>
      <c r="N91" s="450"/>
      <c r="O91" s="450"/>
      <c r="P91" s="450"/>
      <c r="Q91" s="450"/>
      <c r="R91" s="514"/>
      <c r="S91" s="450"/>
      <c r="T91" s="515">
        <v>43</v>
      </c>
      <c r="U91" s="452"/>
      <c r="V91" s="430"/>
    </row>
    <row r="92" spans="1:22" s="431" customFormat="1" x14ac:dyDescent="0.3">
      <c r="A92" s="449"/>
      <c r="B92" s="450" t="s">
        <v>261</v>
      </c>
      <c r="C92" s="450"/>
      <c r="D92" s="450"/>
      <c r="E92" s="450"/>
      <c r="F92" s="450"/>
      <c r="G92" s="450"/>
      <c r="H92" s="486"/>
      <c r="I92" s="527"/>
      <c r="J92" s="486"/>
      <c r="K92" s="450"/>
      <c r="L92" s="528"/>
      <c r="M92" s="450"/>
      <c r="N92" s="450"/>
      <c r="O92" s="450"/>
      <c r="P92" s="450"/>
      <c r="Q92" s="450"/>
      <c r="R92" s="514"/>
      <c r="S92" s="450"/>
      <c r="T92" s="515">
        <v>0</v>
      </c>
      <c r="U92" s="452"/>
      <c r="V92" s="430"/>
    </row>
    <row r="93" spans="1:22" s="431" customFormat="1" x14ac:dyDescent="0.3">
      <c r="A93" s="449"/>
      <c r="B93" s="450" t="s">
        <v>141</v>
      </c>
      <c r="C93" s="450"/>
      <c r="D93" s="450"/>
      <c r="E93" s="450"/>
      <c r="F93" s="450"/>
      <c r="G93" s="450"/>
      <c r="H93" s="450"/>
      <c r="I93" s="450"/>
      <c r="J93" s="450"/>
      <c r="K93" s="450"/>
      <c r="L93" s="450"/>
      <c r="M93" s="450"/>
      <c r="N93" s="450"/>
      <c r="O93" s="450"/>
      <c r="P93" s="450"/>
      <c r="Q93" s="450"/>
      <c r="R93" s="514"/>
      <c r="S93" s="450"/>
      <c r="T93" s="515">
        <v>0</v>
      </c>
      <c r="U93" s="452"/>
      <c r="V93" s="430"/>
    </row>
    <row r="94" spans="1:22" s="431" customFormat="1" x14ac:dyDescent="0.3">
      <c r="A94" s="449"/>
      <c r="B94" s="450" t="s">
        <v>250</v>
      </c>
      <c r="C94" s="450"/>
      <c r="D94" s="450"/>
      <c r="E94" s="450"/>
      <c r="F94" s="450"/>
      <c r="G94" s="450"/>
      <c r="H94" s="450"/>
      <c r="I94" s="450"/>
      <c r="J94" s="450"/>
      <c r="K94" s="450"/>
      <c r="L94" s="450"/>
      <c r="M94" s="450"/>
      <c r="N94" s="450"/>
      <c r="O94" s="450"/>
      <c r="P94" s="450"/>
      <c r="Q94" s="450"/>
      <c r="R94" s="514"/>
      <c r="S94" s="450"/>
      <c r="T94" s="515">
        <v>149</v>
      </c>
      <c r="U94" s="452"/>
      <c r="V94" s="430"/>
    </row>
    <row r="95" spans="1:22" s="431" customFormat="1" x14ac:dyDescent="0.3">
      <c r="A95" s="449"/>
      <c r="B95" s="450" t="s">
        <v>30</v>
      </c>
      <c r="C95" s="450"/>
      <c r="D95" s="450"/>
      <c r="E95" s="450"/>
      <c r="F95" s="450"/>
      <c r="G95" s="450"/>
      <c r="H95" s="450"/>
      <c r="I95" s="450"/>
      <c r="J95" s="450"/>
      <c r="K95" s="450"/>
      <c r="L95" s="450"/>
      <c r="M95" s="450"/>
      <c r="N95" s="450"/>
      <c r="O95" s="450"/>
      <c r="P95" s="450"/>
      <c r="Q95" s="450"/>
      <c r="R95" s="514">
        <f>SUM(R87:R94)</f>
        <v>8074</v>
      </c>
      <c r="S95" s="450"/>
      <c r="T95" s="514">
        <f>SUM(T87:T94)</f>
        <v>2757</v>
      </c>
      <c r="U95" s="452"/>
      <c r="V95" s="430"/>
    </row>
    <row r="96" spans="1:22" s="431" customFormat="1" x14ac:dyDescent="0.3">
      <c r="A96" s="449"/>
      <c r="B96" s="450" t="s">
        <v>168</v>
      </c>
      <c r="C96" s="450"/>
      <c r="D96" s="450"/>
      <c r="E96" s="450"/>
      <c r="F96" s="450"/>
      <c r="G96" s="450"/>
      <c r="H96" s="450"/>
      <c r="I96" s="450"/>
      <c r="J96" s="450"/>
      <c r="K96" s="450"/>
      <c r="L96" s="450"/>
      <c r="M96" s="450"/>
      <c r="N96" s="450"/>
      <c r="O96" s="450"/>
      <c r="P96" s="450"/>
      <c r="Q96" s="450"/>
      <c r="R96" s="514">
        <v>0</v>
      </c>
      <c r="S96" s="450"/>
      <c r="T96" s="514">
        <f>-R96</f>
        <v>0</v>
      </c>
      <c r="U96" s="452"/>
      <c r="V96" s="430"/>
    </row>
    <row r="97" spans="1:24" s="431" customFormat="1" x14ac:dyDescent="0.3">
      <c r="A97" s="449"/>
      <c r="B97" s="450" t="s">
        <v>31</v>
      </c>
      <c r="C97" s="450"/>
      <c r="D97" s="450"/>
      <c r="E97" s="450"/>
      <c r="F97" s="450"/>
      <c r="G97" s="450"/>
      <c r="H97" s="450"/>
      <c r="I97" s="450"/>
      <c r="J97" s="450"/>
      <c r="K97" s="450"/>
      <c r="L97" s="450"/>
      <c r="M97" s="450"/>
      <c r="N97" s="450"/>
      <c r="O97" s="450"/>
      <c r="P97" s="450"/>
      <c r="Q97" s="450"/>
      <c r="R97" s="514">
        <f>-T97</f>
        <v>0</v>
      </c>
      <c r="S97" s="450"/>
      <c r="T97" s="515">
        <v>0</v>
      </c>
      <c r="U97" s="452"/>
      <c r="V97" s="430"/>
    </row>
    <row r="98" spans="1:24" s="431" customFormat="1" x14ac:dyDescent="0.3">
      <c r="A98" s="449"/>
      <c r="B98" s="450" t="s">
        <v>273</v>
      </c>
      <c r="C98" s="450"/>
      <c r="D98" s="450"/>
      <c r="E98" s="450"/>
      <c r="F98" s="450"/>
      <c r="G98" s="450"/>
      <c r="H98" s="450"/>
      <c r="I98" s="450"/>
      <c r="J98" s="450"/>
      <c r="K98" s="450"/>
      <c r="L98" s="450"/>
      <c r="M98" s="450"/>
      <c r="N98" s="450"/>
      <c r="O98" s="450"/>
      <c r="P98" s="450"/>
      <c r="Q98" s="450"/>
      <c r="R98" s="514"/>
      <c r="S98" s="450"/>
      <c r="T98" s="515">
        <v>27</v>
      </c>
      <c r="U98" s="452"/>
      <c r="V98" s="430"/>
    </row>
    <row r="99" spans="1:24" s="431" customFormat="1" x14ac:dyDescent="0.3">
      <c r="A99" s="449"/>
      <c r="B99" s="450" t="s">
        <v>32</v>
      </c>
      <c r="C99" s="450"/>
      <c r="D99" s="450"/>
      <c r="E99" s="450"/>
      <c r="F99" s="450"/>
      <c r="G99" s="450"/>
      <c r="H99" s="450"/>
      <c r="I99" s="450"/>
      <c r="J99" s="450"/>
      <c r="K99" s="450"/>
      <c r="L99" s="450"/>
      <c r="M99" s="450"/>
      <c r="N99" s="450"/>
      <c r="O99" s="450"/>
      <c r="P99" s="450"/>
      <c r="Q99" s="450"/>
      <c r="R99" s="514">
        <f>R95+R97+R96</f>
        <v>8074</v>
      </c>
      <c r="S99" s="450"/>
      <c r="T99" s="514">
        <f>T95+T97+T96+T98</f>
        <v>2784</v>
      </c>
      <c r="U99" s="452"/>
      <c r="V99" s="430"/>
    </row>
    <row r="100" spans="1:24" x14ac:dyDescent="0.3">
      <c r="A100" s="468"/>
      <c r="B100" s="529" t="s">
        <v>33</v>
      </c>
      <c r="C100" s="470"/>
      <c r="D100" s="470"/>
      <c r="E100" s="470"/>
      <c r="F100" s="470"/>
      <c r="G100" s="470"/>
      <c r="H100" s="470"/>
      <c r="I100" s="470"/>
      <c r="J100" s="470"/>
      <c r="K100" s="470"/>
      <c r="L100" s="470"/>
      <c r="M100" s="470"/>
      <c r="N100" s="470"/>
      <c r="O100" s="470"/>
      <c r="P100" s="470"/>
      <c r="Q100" s="470"/>
      <c r="R100" s="530"/>
      <c r="S100" s="470"/>
      <c r="T100" s="531"/>
      <c r="U100" s="476"/>
      <c r="V100" s="416"/>
    </row>
    <row r="101" spans="1:24" s="431" customFormat="1" x14ac:dyDescent="0.3">
      <c r="A101" s="449">
        <v>1</v>
      </c>
      <c r="B101" s="450" t="s">
        <v>34</v>
      </c>
      <c r="C101" s="450"/>
      <c r="D101" s="450"/>
      <c r="E101" s="450"/>
      <c r="F101" s="450"/>
      <c r="G101" s="450"/>
      <c r="H101" s="450"/>
      <c r="I101" s="450"/>
      <c r="J101" s="450"/>
      <c r="K101" s="450"/>
      <c r="L101" s="450"/>
      <c r="M101" s="450"/>
      <c r="N101" s="450"/>
      <c r="O101" s="450"/>
      <c r="P101" s="450"/>
      <c r="Q101" s="450"/>
      <c r="R101" s="450"/>
      <c r="S101" s="450"/>
      <c r="T101" s="515">
        <v>0</v>
      </c>
      <c r="U101" s="452"/>
      <c r="V101" s="430"/>
    </row>
    <row r="102" spans="1:24" s="431" customFormat="1" x14ac:dyDescent="0.3">
      <c r="A102" s="449">
        <f>+A101+1</f>
        <v>2</v>
      </c>
      <c r="B102" s="450" t="s">
        <v>312</v>
      </c>
      <c r="C102" s="450"/>
      <c r="D102" s="450"/>
      <c r="E102" s="450"/>
      <c r="F102" s="450"/>
      <c r="G102" s="450"/>
      <c r="H102" s="450"/>
      <c r="I102" s="450"/>
      <c r="J102" s="450"/>
      <c r="K102" s="450"/>
      <c r="L102" s="450"/>
      <c r="M102" s="450"/>
      <c r="N102" s="450"/>
      <c r="O102" s="450"/>
      <c r="P102" s="450"/>
      <c r="Q102" s="450"/>
      <c r="R102" s="450"/>
      <c r="S102" s="450"/>
      <c r="T102" s="515">
        <v>-2</v>
      </c>
      <c r="U102" s="452"/>
      <c r="V102" s="430"/>
    </row>
    <row r="103" spans="1:24" s="431" customFormat="1" x14ac:dyDescent="0.3">
      <c r="A103" s="449">
        <f>+A102+1</f>
        <v>3</v>
      </c>
      <c r="B103" s="532" t="s">
        <v>314</v>
      </c>
      <c r="C103" s="450"/>
      <c r="D103" s="450"/>
      <c r="E103" s="450"/>
      <c r="F103" s="450"/>
      <c r="G103" s="450"/>
      <c r="H103" s="450"/>
      <c r="I103" s="450"/>
      <c r="J103" s="450"/>
      <c r="K103" s="450"/>
      <c r="L103" s="450"/>
      <c r="M103" s="450"/>
      <c r="N103" s="450"/>
      <c r="O103" s="450"/>
      <c r="P103" s="450"/>
      <c r="Q103" s="450"/>
      <c r="R103" s="450"/>
      <c r="S103" s="450"/>
      <c r="T103" s="515">
        <f>-156-39-6</f>
        <v>-201</v>
      </c>
      <c r="U103" s="452"/>
      <c r="V103" s="430"/>
    </row>
    <row r="104" spans="1:24" s="431" customFormat="1" x14ac:dyDescent="0.3">
      <c r="A104" s="449" t="s">
        <v>133</v>
      </c>
      <c r="B104" s="450" t="s">
        <v>122</v>
      </c>
      <c r="C104" s="450"/>
      <c r="D104" s="450"/>
      <c r="E104" s="450"/>
      <c r="F104" s="450"/>
      <c r="G104" s="450"/>
      <c r="H104" s="450"/>
      <c r="I104" s="450"/>
      <c r="J104" s="450"/>
      <c r="K104" s="450"/>
      <c r="L104" s="450"/>
      <c r="M104" s="450"/>
      <c r="N104" s="450"/>
      <c r="O104" s="450"/>
      <c r="P104" s="450"/>
      <c r="Q104" s="450"/>
      <c r="R104" s="450"/>
      <c r="S104" s="450"/>
      <c r="T104" s="515">
        <v>0</v>
      </c>
      <c r="U104" s="452"/>
      <c r="V104" s="430"/>
    </row>
    <row r="105" spans="1:24" s="431" customFormat="1" x14ac:dyDescent="0.3">
      <c r="A105" s="449" t="s">
        <v>134</v>
      </c>
      <c r="B105" s="450" t="s">
        <v>348</v>
      </c>
      <c r="C105" s="450"/>
      <c r="D105" s="450"/>
      <c r="E105" s="450"/>
      <c r="F105" s="450"/>
      <c r="G105" s="450"/>
      <c r="H105" s="450"/>
      <c r="I105" s="450"/>
      <c r="J105" s="450"/>
      <c r="K105" s="450"/>
      <c r="L105" s="450"/>
      <c r="M105" s="450"/>
      <c r="N105" s="450"/>
      <c r="O105" s="450"/>
      <c r="P105" s="450"/>
      <c r="Q105" s="450"/>
      <c r="R105" s="450"/>
      <c r="S105" s="450"/>
      <c r="T105" s="515">
        <f>-414-127</f>
        <v>-541</v>
      </c>
      <c r="U105" s="452"/>
      <c r="V105" s="430"/>
      <c r="W105" s="533"/>
    </row>
    <row r="106" spans="1:24" s="431" customFormat="1" x14ac:dyDescent="0.3">
      <c r="A106" s="449" t="s">
        <v>156</v>
      </c>
      <c r="B106" s="450" t="s">
        <v>349</v>
      </c>
      <c r="C106" s="450"/>
      <c r="D106" s="450"/>
      <c r="E106" s="450"/>
      <c r="F106" s="450"/>
      <c r="G106" s="450"/>
      <c r="H106" s="450"/>
      <c r="I106" s="450"/>
      <c r="J106" s="450"/>
      <c r="K106" s="450"/>
      <c r="L106" s="450"/>
      <c r="M106" s="450"/>
      <c r="N106" s="450"/>
      <c r="O106" s="450"/>
      <c r="P106" s="450"/>
      <c r="Q106" s="450"/>
      <c r="R106" s="450"/>
      <c r="S106" s="450"/>
      <c r="T106" s="515">
        <f>-128</f>
        <v>-128</v>
      </c>
      <c r="U106" s="452"/>
      <c r="V106" s="430"/>
      <c r="W106" s="533"/>
    </row>
    <row r="107" spans="1:24" s="431" customFormat="1" x14ac:dyDescent="0.3">
      <c r="A107" s="449" t="s">
        <v>214</v>
      </c>
      <c r="B107" s="450" t="s">
        <v>192</v>
      </c>
      <c r="C107" s="450"/>
      <c r="D107" s="450"/>
      <c r="E107" s="450"/>
      <c r="F107" s="450"/>
      <c r="G107" s="450"/>
      <c r="H107" s="450"/>
      <c r="I107" s="450"/>
      <c r="J107" s="450"/>
      <c r="K107" s="450"/>
      <c r="L107" s="450"/>
      <c r="M107" s="450"/>
      <c r="N107" s="450"/>
      <c r="O107" s="450"/>
      <c r="P107" s="450"/>
      <c r="Q107" s="450"/>
      <c r="R107" s="450"/>
      <c r="S107" s="450"/>
      <c r="T107" s="515">
        <v>-145</v>
      </c>
      <c r="U107" s="452"/>
      <c r="V107" s="430"/>
      <c r="W107" s="533"/>
      <c r="X107" s="533"/>
    </row>
    <row r="108" spans="1:24" s="431" customFormat="1" x14ac:dyDescent="0.3">
      <c r="A108" s="449" t="s">
        <v>215</v>
      </c>
      <c r="B108" s="450" t="s">
        <v>193</v>
      </c>
      <c r="C108" s="450"/>
      <c r="D108" s="450"/>
      <c r="E108" s="450"/>
      <c r="F108" s="450"/>
      <c r="G108" s="450"/>
      <c r="H108" s="450"/>
      <c r="I108" s="450"/>
      <c r="J108" s="450"/>
      <c r="K108" s="450"/>
      <c r="L108" s="450"/>
      <c r="M108" s="450"/>
      <c r="N108" s="450"/>
      <c r="O108" s="450"/>
      <c r="P108" s="450"/>
      <c r="Q108" s="450"/>
      <c r="R108" s="450"/>
      <c r="S108" s="450"/>
      <c r="T108" s="515">
        <v>-40</v>
      </c>
      <c r="U108" s="452"/>
      <c r="V108" s="534"/>
      <c r="W108" s="533"/>
    </row>
    <row r="109" spans="1:24" s="431" customFormat="1" x14ac:dyDescent="0.3">
      <c r="A109" s="449" t="s">
        <v>216</v>
      </c>
      <c r="B109" s="450" t="s">
        <v>204</v>
      </c>
      <c r="C109" s="450"/>
      <c r="D109" s="450"/>
      <c r="E109" s="450"/>
      <c r="F109" s="450"/>
      <c r="G109" s="450"/>
      <c r="H109" s="450"/>
      <c r="I109" s="450"/>
      <c r="J109" s="450"/>
      <c r="K109" s="450"/>
      <c r="L109" s="450"/>
      <c r="M109" s="450"/>
      <c r="N109" s="450"/>
      <c r="O109" s="450"/>
      <c r="P109" s="450"/>
      <c r="Q109" s="450"/>
      <c r="R109" s="450"/>
      <c r="S109" s="450"/>
      <c r="T109" s="515">
        <v>-211</v>
      </c>
      <c r="U109" s="452"/>
      <c r="V109" s="430"/>
      <c r="W109" s="533"/>
    </row>
    <row r="110" spans="1:24" s="431" customFormat="1" x14ac:dyDescent="0.3">
      <c r="A110" s="535">
        <v>7</v>
      </c>
      <c r="B110" s="532" t="s">
        <v>313</v>
      </c>
      <c r="C110" s="532"/>
      <c r="D110" s="532"/>
      <c r="E110" s="532"/>
      <c r="F110" s="532"/>
      <c r="G110" s="450"/>
      <c r="H110" s="450"/>
      <c r="I110" s="450"/>
      <c r="J110" s="450"/>
      <c r="K110" s="450"/>
      <c r="L110" s="450"/>
      <c r="M110" s="450"/>
      <c r="N110" s="450"/>
      <c r="O110" s="450"/>
      <c r="P110" s="450"/>
      <c r="Q110" s="450"/>
      <c r="R110" s="450"/>
      <c r="S110" s="450"/>
      <c r="T110" s="515">
        <v>0</v>
      </c>
      <c r="U110" s="452"/>
      <c r="V110" s="430"/>
      <c r="W110" s="533"/>
    </row>
    <row r="111" spans="1:24" s="431" customFormat="1" x14ac:dyDescent="0.3">
      <c r="A111" s="449">
        <f t="shared" ref="A111:A117" si="0">+A110+1</f>
        <v>8</v>
      </c>
      <c r="B111" s="450" t="s">
        <v>35</v>
      </c>
      <c r="C111" s="450"/>
      <c r="D111" s="450"/>
      <c r="E111" s="450"/>
      <c r="F111" s="450"/>
      <c r="G111" s="450"/>
      <c r="H111" s="450"/>
      <c r="I111" s="450"/>
      <c r="J111" s="450"/>
      <c r="K111" s="450"/>
      <c r="L111" s="450"/>
      <c r="M111" s="450"/>
      <c r="N111" s="450"/>
      <c r="O111" s="450"/>
      <c r="P111" s="450"/>
      <c r="Q111" s="450"/>
      <c r="R111" s="450"/>
      <c r="S111" s="450"/>
      <c r="T111" s="515">
        <v>-24</v>
      </c>
      <c r="U111" s="452"/>
      <c r="V111" s="430"/>
    </row>
    <row r="112" spans="1:24" s="431" customFormat="1" x14ac:dyDescent="0.3">
      <c r="A112" s="449">
        <f t="shared" si="0"/>
        <v>9</v>
      </c>
      <c r="B112" s="450" t="s">
        <v>46</v>
      </c>
      <c r="C112" s="450"/>
      <c r="D112" s="450"/>
      <c r="E112" s="450"/>
      <c r="F112" s="450"/>
      <c r="G112" s="450"/>
      <c r="H112" s="450"/>
      <c r="I112" s="450"/>
      <c r="J112" s="450"/>
      <c r="K112" s="450"/>
      <c r="L112" s="450"/>
      <c r="M112" s="450"/>
      <c r="N112" s="450"/>
      <c r="O112" s="450"/>
      <c r="P112" s="450"/>
      <c r="Q112" s="450"/>
      <c r="R112" s="514">
        <f>-T112</f>
        <v>91</v>
      </c>
      <c r="S112" s="450"/>
      <c r="T112" s="515">
        <v>-91</v>
      </c>
      <c r="U112" s="452"/>
      <c r="V112" s="430"/>
    </row>
    <row r="113" spans="1:22" s="431" customFormat="1" x14ac:dyDescent="0.3">
      <c r="A113" s="449">
        <f t="shared" si="0"/>
        <v>10</v>
      </c>
      <c r="B113" s="450" t="s">
        <v>131</v>
      </c>
      <c r="C113" s="450"/>
      <c r="D113" s="450"/>
      <c r="E113" s="450"/>
      <c r="F113" s="450"/>
      <c r="G113" s="450"/>
      <c r="H113" s="450"/>
      <c r="I113" s="450"/>
      <c r="J113" s="450"/>
      <c r="K113" s="450"/>
      <c r="L113" s="450"/>
      <c r="M113" s="450"/>
      <c r="N113" s="450"/>
      <c r="O113" s="450"/>
      <c r="P113" s="450"/>
      <c r="Q113" s="450"/>
      <c r="R113" s="450"/>
      <c r="S113" s="450"/>
      <c r="T113" s="515">
        <v>0</v>
      </c>
      <c r="U113" s="452"/>
      <c r="V113" s="430"/>
    </row>
    <row r="114" spans="1:22" s="431" customFormat="1" x14ac:dyDescent="0.3">
      <c r="A114" s="449">
        <f t="shared" si="0"/>
        <v>11</v>
      </c>
      <c r="B114" s="450" t="s">
        <v>36</v>
      </c>
      <c r="C114" s="450"/>
      <c r="D114" s="450"/>
      <c r="E114" s="450"/>
      <c r="F114" s="450"/>
      <c r="G114" s="450"/>
      <c r="H114" s="450"/>
      <c r="I114" s="450"/>
      <c r="J114" s="450"/>
      <c r="K114" s="450"/>
      <c r="L114" s="450"/>
      <c r="M114" s="450"/>
      <c r="N114" s="450"/>
      <c r="O114" s="450"/>
      <c r="P114" s="450"/>
      <c r="Q114" s="450"/>
      <c r="R114" s="450"/>
      <c r="S114" s="450"/>
      <c r="T114" s="515">
        <v>0</v>
      </c>
      <c r="U114" s="452"/>
      <c r="V114" s="430"/>
    </row>
    <row r="115" spans="1:22" s="431" customFormat="1" x14ac:dyDescent="0.3">
      <c r="A115" s="449">
        <f t="shared" si="0"/>
        <v>12</v>
      </c>
      <c r="B115" s="450" t="s">
        <v>37</v>
      </c>
      <c r="C115" s="450"/>
      <c r="D115" s="450"/>
      <c r="E115" s="450"/>
      <c r="F115" s="450"/>
      <c r="G115" s="450"/>
      <c r="H115" s="450"/>
      <c r="I115" s="450"/>
      <c r="J115" s="450"/>
      <c r="K115" s="450"/>
      <c r="L115" s="450"/>
      <c r="M115" s="450"/>
      <c r="N115" s="450"/>
      <c r="O115" s="450"/>
      <c r="P115" s="450"/>
      <c r="Q115" s="450"/>
      <c r="R115" s="450"/>
      <c r="S115" s="450"/>
      <c r="T115" s="515">
        <v>0</v>
      </c>
      <c r="U115" s="452"/>
      <c r="V115" s="430"/>
    </row>
    <row r="116" spans="1:22" s="431" customFormat="1" x14ac:dyDescent="0.3">
      <c r="A116" s="449">
        <f t="shared" si="0"/>
        <v>13</v>
      </c>
      <c r="B116" s="450" t="s">
        <v>155</v>
      </c>
      <c r="C116" s="450"/>
      <c r="D116" s="450"/>
      <c r="E116" s="450"/>
      <c r="F116" s="450"/>
      <c r="G116" s="450"/>
      <c r="H116" s="450"/>
      <c r="I116" s="450"/>
      <c r="J116" s="450"/>
      <c r="K116" s="450"/>
      <c r="L116" s="450"/>
      <c r="M116" s="450"/>
      <c r="N116" s="450"/>
      <c r="O116" s="450"/>
      <c r="P116" s="450"/>
      <c r="Q116" s="450"/>
      <c r="R116" s="450"/>
      <c r="S116" s="450"/>
      <c r="T116" s="515">
        <v>-156</v>
      </c>
      <c r="U116" s="452"/>
      <c r="V116" s="430"/>
    </row>
    <row r="117" spans="1:22" s="431" customFormat="1" x14ac:dyDescent="0.3">
      <c r="A117" s="449">
        <f t="shared" si="0"/>
        <v>14</v>
      </c>
      <c r="B117" s="450" t="s">
        <v>132</v>
      </c>
      <c r="C117" s="450"/>
      <c r="D117" s="450"/>
      <c r="E117" s="450"/>
      <c r="F117" s="450"/>
      <c r="G117" s="450"/>
      <c r="H117" s="450"/>
      <c r="I117" s="450"/>
      <c r="J117" s="450"/>
      <c r="K117" s="450"/>
      <c r="L117" s="450"/>
      <c r="M117" s="450"/>
      <c r="N117" s="450"/>
      <c r="O117" s="450"/>
      <c r="P117" s="450"/>
      <c r="Q117" s="450"/>
      <c r="R117" s="450"/>
      <c r="S117" s="450"/>
      <c r="T117" s="515">
        <f>-T99-SUM(T101:T116)</f>
        <v>-1245</v>
      </c>
      <c r="U117" s="452"/>
      <c r="V117" s="430"/>
    </row>
    <row r="118" spans="1:22" x14ac:dyDescent="0.3">
      <c r="A118" s="468"/>
      <c r="B118" s="529" t="s">
        <v>38</v>
      </c>
      <c r="C118" s="470"/>
      <c r="D118" s="470"/>
      <c r="E118" s="470"/>
      <c r="F118" s="470"/>
      <c r="G118" s="470"/>
      <c r="H118" s="470"/>
      <c r="I118" s="470"/>
      <c r="J118" s="470"/>
      <c r="K118" s="470"/>
      <c r="L118" s="470"/>
      <c r="M118" s="470"/>
      <c r="N118" s="470"/>
      <c r="O118" s="470"/>
      <c r="P118" s="470"/>
      <c r="Q118" s="470"/>
      <c r="R118" s="470"/>
      <c r="S118" s="470"/>
      <c r="T118" s="536"/>
      <c r="U118" s="476"/>
      <c r="V118" s="416"/>
    </row>
    <row r="119" spans="1:22" s="431" customFormat="1" x14ac:dyDescent="0.3">
      <c r="A119" s="449"/>
      <c r="B119" s="450" t="s">
        <v>180</v>
      </c>
      <c r="C119" s="450"/>
      <c r="D119" s="450"/>
      <c r="E119" s="450"/>
      <c r="F119" s="450"/>
      <c r="G119" s="450"/>
      <c r="H119" s="450"/>
      <c r="I119" s="450"/>
      <c r="J119" s="450"/>
      <c r="K119" s="450"/>
      <c r="L119" s="450"/>
      <c r="M119" s="450"/>
      <c r="N119" s="450"/>
      <c r="O119" s="450"/>
      <c r="P119" s="450"/>
      <c r="Q119" s="450"/>
      <c r="R119" s="514">
        <f>-R177</f>
        <v>0</v>
      </c>
      <c r="S119" s="514"/>
      <c r="T119" s="515"/>
      <c r="U119" s="452"/>
      <c r="V119" s="430"/>
    </row>
    <row r="120" spans="1:22" s="431" customFormat="1" x14ac:dyDescent="0.3">
      <c r="A120" s="449"/>
      <c r="B120" s="450" t="s">
        <v>181</v>
      </c>
      <c r="C120" s="450"/>
      <c r="D120" s="450"/>
      <c r="E120" s="450"/>
      <c r="F120" s="450"/>
      <c r="G120" s="450"/>
      <c r="H120" s="450"/>
      <c r="I120" s="450"/>
      <c r="J120" s="450"/>
      <c r="K120" s="450"/>
      <c r="L120" s="450"/>
      <c r="M120" s="450"/>
      <c r="N120" s="450"/>
      <c r="O120" s="450"/>
      <c r="P120" s="450"/>
      <c r="Q120" s="450"/>
      <c r="R120" s="514">
        <v>0</v>
      </c>
      <c r="S120" s="514"/>
      <c r="T120" s="515"/>
      <c r="U120" s="452"/>
      <c r="V120" s="430"/>
    </row>
    <row r="121" spans="1:22" s="431" customFormat="1" x14ac:dyDescent="0.3">
      <c r="A121" s="449"/>
      <c r="B121" s="450" t="s">
        <v>39</v>
      </c>
      <c r="C121" s="450"/>
      <c r="D121" s="450"/>
      <c r="E121" s="450"/>
      <c r="F121" s="450"/>
      <c r="G121" s="450"/>
      <c r="H121" s="450"/>
      <c r="I121" s="450"/>
      <c r="J121" s="450"/>
      <c r="K121" s="450"/>
      <c r="L121" s="450"/>
      <c r="M121" s="450"/>
      <c r="N121" s="450"/>
      <c r="O121" s="450"/>
      <c r="P121" s="450"/>
      <c r="Q121" s="450"/>
      <c r="R121" s="514">
        <f>-Q177</f>
        <v>-45</v>
      </c>
      <c r="S121" s="514"/>
      <c r="T121" s="515"/>
      <c r="U121" s="452"/>
      <c r="V121" s="430"/>
    </row>
    <row r="122" spans="1:22" s="431" customFormat="1" x14ac:dyDescent="0.3">
      <c r="A122" s="449"/>
      <c r="B122" s="450" t="s">
        <v>372</v>
      </c>
      <c r="C122" s="450"/>
      <c r="D122" s="450"/>
      <c r="E122" s="450"/>
      <c r="F122" s="450"/>
      <c r="G122" s="450"/>
      <c r="H122" s="450"/>
      <c r="I122" s="450"/>
      <c r="J122" s="450"/>
      <c r="K122" s="450"/>
      <c r="L122" s="450"/>
      <c r="M122" s="450"/>
      <c r="N122" s="450"/>
      <c r="O122" s="450"/>
      <c r="P122" s="450"/>
      <c r="Q122" s="450"/>
      <c r="R122" s="514">
        <v>-3897</v>
      </c>
      <c r="S122" s="514"/>
      <c r="T122" s="515"/>
      <c r="U122" s="452"/>
      <c r="V122" s="430"/>
    </row>
    <row r="123" spans="1:22" s="431" customFormat="1" x14ac:dyDescent="0.3">
      <c r="A123" s="449"/>
      <c r="B123" s="450" t="s">
        <v>203</v>
      </c>
      <c r="C123" s="450"/>
      <c r="D123" s="450"/>
      <c r="E123" s="450"/>
      <c r="F123" s="450"/>
      <c r="G123" s="450"/>
      <c r="H123" s="450"/>
      <c r="I123" s="450"/>
      <c r="J123" s="450"/>
      <c r="K123" s="450"/>
      <c r="L123" s="450"/>
      <c r="M123" s="450"/>
      <c r="N123" s="450"/>
      <c r="O123" s="450"/>
      <c r="P123" s="450"/>
      <c r="Q123" s="450"/>
      <c r="R123" s="514">
        <v>-1027</v>
      </c>
      <c r="S123" s="514"/>
      <c r="T123" s="515"/>
      <c r="U123" s="452"/>
      <c r="V123" s="430"/>
    </row>
    <row r="124" spans="1:22" s="431" customFormat="1" x14ac:dyDescent="0.3">
      <c r="A124" s="449"/>
      <c r="B124" s="450" t="s">
        <v>202</v>
      </c>
      <c r="C124" s="450"/>
      <c r="D124" s="450"/>
      <c r="E124" s="450"/>
      <c r="F124" s="450"/>
      <c r="G124" s="450"/>
      <c r="H124" s="450"/>
      <c r="I124" s="450"/>
      <c r="J124" s="450"/>
      <c r="K124" s="450"/>
      <c r="L124" s="450"/>
      <c r="M124" s="450"/>
      <c r="N124" s="450"/>
      <c r="O124" s="450"/>
      <c r="P124" s="450"/>
      <c r="Q124" s="450"/>
      <c r="R124" s="514">
        <v>-1036</v>
      </c>
      <c r="S124" s="514"/>
      <c r="T124" s="515"/>
      <c r="U124" s="452"/>
      <c r="V124" s="430"/>
    </row>
    <row r="125" spans="1:22" s="431" customFormat="1" x14ac:dyDescent="0.3">
      <c r="A125" s="449"/>
      <c r="B125" s="450" t="s">
        <v>197</v>
      </c>
      <c r="C125" s="450"/>
      <c r="D125" s="450"/>
      <c r="E125" s="450"/>
      <c r="F125" s="450"/>
      <c r="G125" s="450"/>
      <c r="H125" s="450"/>
      <c r="I125" s="450"/>
      <c r="J125" s="450"/>
      <c r="K125" s="450"/>
      <c r="L125" s="450"/>
      <c r="M125" s="450"/>
      <c r="N125" s="450"/>
      <c r="O125" s="450"/>
      <c r="P125" s="450"/>
      <c r="Q125" s="450"/>
      <c r="R125" s="514">
        <v>-261</v>
      </c>
      <c r="S125" s="514"/>
      <c r="T125" s="515"/>
      <c r="U125" s="452"/>
      <c r="V125" s="430"/>
    </row>
    <row r="126" spans="1:22" s="431" customFormat="1" x14ac:dyDescent="0.3">
      <c r="A126" s="449"/>
      <c r="B126" s="450" t="s">
        <v>196</v>
      </c>
      <c r="C126" s="450"/>
      <c r="D126" s="450"/>
      <c r="E126" s="450"/>
      <c r="F126" s="450"/>
      <c r="G126" s="450"/>
      <c r="H126" s="450"/>
      <c r="I126" s="450"/>
      <c r="J126" s="450"/>
      <c r="K126" s="450"/>
      <c r="L126" s="450"/>
      <c r="M126" s="450"/>
      <c r="N126" s="450"/>
      <c r="O126" s="450"/>
      <c r="P126" s="450"/>
      <c r="Q126" s="450"/>
      <c r="R126" s="514">
        <v>-921</v>
      </c>
      <c r="S126" s="514"/>
      <c r="T126" s="515"/>
      <c r="U126" s="452"/>
      <c r="V126" s="430"/>
    </row>
    <row r="127" spans="1:22" s="431" customFormat="1" x14ac:dyDescent="0.3">
      <c r="A127" s="449"/>
      <c r="B127" s="450" t="s">
        <v>195</v>
      </c>
      <c r="C127" s="450"/>
      <c r="D127" s="450"/>
      <c r="E127" s="450"/>
      <c r="F127" s="450"/>
      <c r="G127" s="450"/>
      <c r="H127" s="450"/>
      <c r="I127" s="450"/>
      <c r="J127" s="450"/>
      <c r="K127" s="450"/>
      <c r="L127" s="450"/>
      <c r="M127" s="450"/>
      <c r="N127" s="450"/>
      <c r="O127" s="450"/>
      <c r="P127" s="450"/>
      <c r="Q127" s="450"/>
      <c r="R127" s="514">
        <v>-978</v>
      </c>
      <c r="S127" s="514"/>
      <c r="T127" s="515"/>
      <c r="U127" s="452"/>
      <c r="V127" s="430"/>
    </row>
    <row r="128" spans="1:22" s="431" customFormat="1" x14ac:dyDescent="0.3">
      <c r="A128" s="449"/>
      <c r="B128" s="450" t="s">
        <v>40</v>
      </c>
      <c r="C128" s="450"/>
      <c r="D128" s="450"/>
      <c r="E128" s="450"/>
      <c r="F128" s="450"/>
      <c r="G128" s="450"/>
      <c r="H128" s="450"/>
      <c r="I128" s="450"/>
      <c r="J128" s="450"/>
      <c r="K128" s="450"/>
      <c r="L128" s="450"/>
      <c r="M128" s="450"/>
      <c r="N128" s="450"/>
      <c r="O128" s="450"/>
      <c r="P128" s="450"/>
      <c r="Q128" s="450"/>
      <c r="R128" s="514">
        <f>SUM(R119:R127)</f>
        <v>-8165</v>
      </c>
      <c r="S128" s="514"/>
      <c r="T128" s="514">
        <f>SUM(T100:T126)</f>
        <v>-2784</v>
      </c>
      <c r="U128" s="452"/>
      <c r="V128" s="430"/>
    </row>
    <row r="129" spans="1:23" s="431" customFormat="1" x14ac:dyDescent="0.3">
      <c r="A129" s="449"/>
      <c r="B129" s="450" t="s">
        <v>41</v>
      </c>
      <c r="C129" s="450"/>
      <c r="D129" s="450"/>
      <c r="E129" s="450"/>
      <c r="F129" s="450"/>
      <c r="G129" s="450"/>
      <c r="H129" s="450"/>
      <c r="I129" s="450"/>
      <c r="J129" s="450"/>
      <c r="K129" s="450"/>
      <c r="L129" s="450"/>
      <c r="M129" s="450"/>
      <c r="N129" s="450"/>
      <c r="O129" s="450"/>
      <c r="P129" s="450"/>
      <c r="Q129" s="450"/>
      <c r="R129" s="514">
        <f>R99+R128+R112</f>
        <v>0</v>
      </c>
      <c r="S129" s="514"/>
      <c r="T129" s="514">
        <f>T99+T128</f>
        <v>0</v>
      </c>
      <c r="U129" s="452"/>
      <c r="V129" s="430"/>
    </row>
    <row r="130" spans="1:23" s="431" customFormat="1" x14ac:dyDescent="0.3">
      <c r="A130" s="432"/>
      <c r="B130" s="447"/>
      <c r="C130" s="447"/>
      <c r="D130" s="447"/>
      <c r="E130" s="447"/>
      <c r="F130" s="447"/>
      <c r="G130" s="447"/>
      <c r="H130" s="447"/>
      <c r="I130" s="447"/>
      <c r="J130" s="447"/>
      <c r="K130" s="447"/>
      <c r="L130" s="447"/>
      <c r="M130" s="447"/>
      <c r="N130" s="447"/>
      <c r="O130" s="447"/>
      <c r="P130" s="447"/>
      <c r="Q130" s="447"/>
      <c r="R130" s="525"/>
      <c r="S130" s="525"/>
      <c r="T130" s="525"/>
      <c r="U130" s="641"/>
      <c r="V130" s="430"/>
    </row>
    <row r="131" spans="1:23" s="431" customFormat="1" x14ac:dyDescent="0.3">
      <c r="A131" s="432"/>
      <c r="B131" s="433"/>
      <c r="C131" s="433"/>
      <c r="D131" s="433"/>
      <c r="E131" s="433"/>
      <c r="F131" s="433"/>
      <c r="G131" s="433"/>
      <c r="H131" s="433"/>
      <c r="I131" s="433"/>
      <c r="J131" s="433"/>
      <c r="K131" s="433"/>
      <c r="L131" s="433"/>
      <c r="M131" s="433"/>
      <c r="N131" s="433"/>
      <c r="O131" s="433"/>
      <c r="P131" s="433"/>
      <c r="Q131" s="433"/>
      <c r="R131" s="433"/>
      <c r="S131" s="433"/>
      <c r="T131" s="537"/>
      <c r="U131" s="641"/>
      <c r="V131" s="430"/>
    </row>
    <row r="132" spans="1:23" s="431" customFormat="1" ht="18.600000000000001" thickBot="1" x14ac:dyDescent="0.4">
      <c r="A132" s="500"/>
      <c r="B132" s="501" t="str">
        <f>B63</f>
        <v>PM11 INVESTOR REPORT QUARTER ENDING SEPTEMBER 2018</v>
      </c>
      <c r="C132" s="502"/>
      <c r="D132" s="502"/>
      <c r="E132" s="502"/>
      <c r="F132" s="502"/>
      <c r="G132" s="502"/>
      <c r="H132" s="502"/>
      <c r="I132" s="502"/>
      <c r="J132" s="502"/>
      <c r="K132" s="502"/>
      <c r="L132" s="502"/>
      <c r="M132" s="502"/>
      <c r="N132" s="502"/>
      <c r="O132" s="502"/>
      <c r="P132" s="502"/>
      <c r="Q132" s="502"/>
      <c r="R132" s="502"/>
      <c r="S132" s="502"/>
      <c r="T132" s="538"/>
      <c r="U132" s="504"/>
      <c r="V132" s="430"/>
    </row>
    <row r="133" spans="1:23" x14ac:dyDescent="0.3">
      <c r="A133" s="505"/>
      <c r="B133" s="506" t="s">
        <v>42</v>
      </c>
      <c r="C133" s="507"/>
      <c r="D133" s="507"/>
      <c r="E133" s="507"/>
      <c r="F133" s="507"/>
      <c r="G133" s="507"/>
      <c r="H133" s="507"/>
      <c r="I133" s="507"/>
      <c r="J133" s="507"/>
      <c r="K133" s="507"/>
      <c r="L133" s="507"/>
      <c r="M133" s="507"/>
      <c r="N133" s="507"/>
      <c r="O133" s="507"/>
      <c r="P133" s="507"/>
      <c r="Q133" s="507"/>
      <c r="R133" s="507"/>
      <c r="S133" s="507"/>
      <c r="T133" s="508"/>
      <c r="U133" s="509"/>
      <c r="V133" s="416"/>
    </row>
    <row r="134" spans="1:23" x14ac:dyDescent="0.3">
      <c r="A134" s="418"/>
      <c r="B134" s="539"/>
      <c r="C134" s="420"/>
      <c r="D134" s="420"/>
      <c r="E134" s="420"/>
      <c r="F134" s="420"/>
      <c r="G134" s="420"/>
      <c r="H134" s="420"/>
      <c r="I134" s="420"/>
      <c r="J134" s="420"/>
      <c r="K134" s="420"/>
      <c r="L134" s="420"/>
      <c r="M134" s="420"/>
      <c r="N134" s="420"/>
      <c r="O134" s="420"/>
      <c r="P134" s="420"/>
      <c r="Q134" s="420"/>
      <c r="R134" s="420"/>
      <c r="S134" s="420"/>
      <c r="T134" s="510"/>
      <c r="U134" s="639"/>
      <c r="V134" s="416"/>
    </row>
    <row r="135" spans="1:23" x14ac:dyDescent="0.3">
      <c r="A135" s="418"/>
      <c r="B135" s="540" t="s">
        <v>43</v>
      </c>
      <c r="C135" s="420"/>
      <c r="D135" s="420"/>
      <c r="E135" s="420"/>
      <c r="F135" s="420"/>
      <c r="G135" s="420"/>
      <c r="H135" s="420"/>
      <c r="I135" s="420"/>
      <c r="J135" s="420"/>
      <c r="K135" s="420"/>
      <c r="L135" s="420"/>
      <c r="M135" s="420"/>
      <c r="N135" s="420"/>
      <c r="O135" s="420"/>
      <c r="P135" s="420"/>
      <c r="Q135" s="420"/>
      <c r="R135" s="420"/>
      <c r="S135" s="420"/>
      <c r="T135" s="510"/>
      <c r="U135" s="639"/>
      <c r="V135" s="416"/>
    </row>
    <row r="136" spans="1:23" s="431" customFormat="1" x14ac:dyDescent="0.3">
      <c r="A136" s="449"/>
      <c r="B136" s="450" t="s">
        <v>44</v>
      </c>
      <c r="C136" s="450"/>
      <c r="D136" s="450"/>
      <c r="E136" s="450"/>
      <c r="F136" s="450"/>
      <c r="G136" s="450"/>
      <c r="H136" s="450"/>
      <c r="I136" s="450"/>
      <c r="J136" s="450"/>
      <c r="K136" s="450"/>
      <c r="L136" s="450"/>
      <c r="M136" s="450"/>
      <c r="N136" s="450"/>
      <c r="O136" s="450"/>
      <c r="P136" s="450"/>
      <c r="Q136" s="450"/>
      <c r="R136" s="450"/>
      <c r="S136" s="450"/>
      <c r="T136" s="515">
        <f>+T34*0.019</f>
        <v>19000.95</v>
      </c>
      <c r="U136" s="452"/>
      <c r="V136" s="430"/>
    </row>
    <row r="137" spans="1:23" s="431" customFormat="1" x14ac:dyDescent="0.3">
      <c r="A137" s="449"/>
      <c r="B137" s="450" t="s">
        <v>45</v>
      </c>
      <c r="C137" s="450"/>
      <c r="D137" s="450"/>
      <c r="E137" s="450"/>
      <c r="F137" s="450"/>
      <c r="G137" s="450"/>
      <c r="H137" s="450"/>
      <c r="I137" s="450"/>
      <c r="J137" s="450"/>
      <c r="K137" s="450"/>
      <c r="L137" s="450"/>
      <c r="M137" s="450"/>
      <c r="N137" s="450"/>
      <c r="O137" s="450"/>
      <c r="P137" s="450"/>
      <c r="Q137" s="450"/>
      <c r="R137" s="450"/>
      <c r="S137" s="450"/>
      <c r="T137" s="515">
        <v>19001</v>
      </c>
      <c r="U137" s="452"/>
      <c r="V137" s="430"/>
    </row>
    <row r="138" spans="1:23" s="431" customFormat="1" x14ac:dyDescent="0.3">
      <c r="A138" s="449"/>
      <c r="B138" s="450" t="s">
        <v>142</v>
      </c>
      <c r="C138" s="450"/>
      <c r="D138" s="450"/>
      <c r="E138" s="450"/>
      <c r="F138" s="450"/>
      <c r="G138" s="450"/>
      <c r="H138" s="450"/>
      <c r="I138" s="450"/>
      <c r="J138" s="450"/>
      <c r="K138" s="450"/>
      <c r="L138" s="450"/>
      <c r="M138" s="450"/>
      <c r="N138" s="450"/>
      <c r="O138" s="450"/>
      <c r="P138" s="450"/>
      <c r="Q138" s="450"/>
      <c r="R138" s="450"/>
      <c r="S138" s="450"/>
      <c r="T138" s="515">
        <v>0</v>
      </c>
      <c r="U138" s="452"/>
      <c r="V138" s="430"/>
    </row>
    <row r="139" spans="1:23" s="431" customFormat="1" x14ac:dyDescent="0.3">
      <c r="A139" s="449"/>
      <c r="B139" s="450" t="s">
        <v>129</v>
      </c>
      <c r="C139" s="450"/>
      <c r="D139" s="450"/>
      <c r="E139" s="450"/>
      <c r="F139" s="450"/>
      <c r="G139" s="450"/>
      <c r="H139" s="450"/>
      <c r="I139" s="450"/>
      <c r="J139" s="450"/>
      <c r="K139" s="450"/>
      <c r="L139" s="450"/>
      <c r="M139" s="450"/>
      <c r="N139" s="450"/>
      <c r="O139" s="450"/>
      <c r="P139" s="450"/>
      <c r="Q139" s="450"/>
      <c r="R139" s="450"/>
      <c r="S139" s="450"/>
      <c r="T139" s="515">
        <v>0</v>
      </c>
      <c r="U139" s="452"/>
      <c r="V139" s="430"/>
    </row>
    <row r="140" spans="1:23" s="431" customFormat="1" x14ac:dyDescent="0.3">
      <c r="A140" s="449"/>
      <c r="B140" s="450" t="s">
        <v>130</v>
      </c>
      <c r="C140" s="450"/>
      <c r="D140" s="450"/>
      <c r="E140" s="450"/>
      <c r="F140" s="450"/>
      <c r="G140" s="450"/>
      <c r="H140" s="450"/>
      <c r="I140" s="450"/>
      <c r="J140" s="450"/>
      <c r="K140" s="450"/>
      <c r="L140" s="450"/>
      <c r="M140" s="450"/>
      <c r="N140" s="450"/>
      <c r="O140" s="450"/>
      <c r="P140" s="450"/>
      <c r="Q140" s="450"/>
      <c r="R140" s="450"/>
      <c r="S140" s="450"/>
      <c r="T140" s="515">
        <v>0</v>
      </c>
      <c r="U140" s="452"/>
      <c r="V140" s="430"/>
    </row>
    <row r="141" spans="1:23" s="431" customFormat="1" x14ac:dyDescent="0.3">
      <c r="A141" s="449"/>
      <c r="B141" s="450" t="s">
        <v>182</v>
      </c>
      <c r="C141" s="450"/>
      <c r="D141" s="450"/>
      <c r="E141" s="450"/>
      <c r="F141" s="450"/>
      <c r="G141" s="450"/>
      <c r="H141" s="450"/>
      <c r="I141" s="450"/>
      <c r="J141" s="450"/>
      <c r="K141" s="450"/>
      <c r="L141" s="450"/>
      <c r="M141" s="450"/>
      <c r="N141" s="450"/>
      <c r="O141" s="450"/>
      <c r="P141" s="450"/>
      <c r="Q141" s="450"/>
      <c r="R141" s="450"/>
      <c r="S141" s="450"/>
      <c r="T141" s="515">
        <v>0</v>
      </c>
      <c r="U141" s="452"/>
      <c r="V141" s="430"/>
    </row>
    <row r="142" spans="1:23" s="431" customFormat="1" x14ac:dyDescent="0.3">
      <c r="A142" s="449"/>
      <c r="B142" s="450" t="s">
        <v>46</v>
      </c>
      <c r="C142" s="450"/>
      <c r="D142" s="450"/>
      <c r="E142" s="450"/>
      <c r="F142" s="450"/>
      <c r="G142" s="450"/>
      <c r="H142" s="450"/>
      <c r="I142" s="450"/>
      <c r="J142" s="450"/>
      <c r="K142" s="450"/>
      <c r="L142" s="450"/>
      <c r="M142" s="450"/>
      <c r="N142" s="450"/>
      <c r="O142" s="450"/>
      <c r="P142" s="450"/>
      <c r="Q142" s="450"/>
      <c r="R142" s="450"/>
      <c r="S142" s="450"/>
      <c r="T142" s="515">
        <v>0</v>
      </c>
      <c r="U142" s="452"/>
      <c r="V142" s="430"/>
    </row>
    <row r="143" spans="1:23" s="431" customFormat="1" x14ac:dyDescent="0.3">
      <c r="A143" s="449"/>
      <c r="B143" s="450" t="s">
        <v>135</v>
      </c>
      <c r="C143" s="450"/>
      <c r="D143" s="450"/>
      <c r="E143" s="450"/>
      <c r="F143" s="450"/>
      <c r="G143" s="450"/>
      <c r="H143" s="450"/>
      <c r="I143" s="450"/>
      <c r="J143" s="450"/>
      <c r="K143" s="450"/>
      <c r="L143" s="450"/>
      <c r="M143" s="450"/>
      <c r="N143" s="450"/>
      <c r="O143" s="450"/>
      <c r="P143" s="450"/>
      <c r="Q143" s="450"/>
      <c r="R143" s="450"/>
      <c r="S143" s="450"/>
      <c r="T143" s="515">
        <v>0</v>
      </c>
      <c r="U143" s="452"/>
      <c r="V143" s="430"/>
    </row>
    <row r="144" spans="1:23" s="431" customFormat="1" x14ac:dyDescent="0.3">
      <c r="A144" s="449"/>
      <c r="B144" s="450" t="s">
        <v>251</v>
      </c>
      <c r="C144" s="450"/>
      <c r="D144" s="450"/>
      <c r="E144" s="450"/>
      <c r="F144" s="450"/>
      <c r="G144" s="450"/>
      <c r="H144" s="450"/>
      <c r="I144" s="450"/>
      <c r="J144" s="450"/>
      <c r="K144" s="450"/>
      <c r="L144" s="450"/>
      <c r="M144" s="450"/>
      <c r="N144" s="450"/>
      <c r="O144" s="450"/>
      <c r="P144" s="450"/>
      <c r="Q144" s="450"/>
      <c r="R144" s="450"/>
      <c r="S144" s="450"/>
      <c r="T144" s="515">
        <v>0</v>
      </c>
      <c r="U144" s="452"/>
      <c r="V144" s="430"/>
      <c r="W144" s="533"/>
    </row>
    <row r="145" spans="1:22" s="431" customFormat="1" x14ac:dyDescent="0.3">
      <c r="A145" s="449"/>
      <c r="B145" s="450" t="s">
        <v>47</v>
      </c>
      <c r="C145" s="450"/>
      <c r="D145" s="450"/>
      <c r="E145" s="450"/>
      <c r="F145" s="450"/>
      <c r="G145" s="450"/>
      <c r="H145" s="450"/>
      <c r="I145" s="450"/>
      <c r="J145" s="450"/>
      <c r="K145" s="450"/>
      <c r="L145" s="450"/>
      <c r="M145" s="450"/>
      <c r="N145" s="450"/>
      <c r="O145" s="450"/>
      <c r="P145" s="450"/>
      <c r="Q145" s="450"/>
      <c r="R145" s="450"/>
      <c r="S145" s="450"/>
      <c r="T145" s="515">
        <f>SUM(T137:T144)</f>
        <v>19001</v>
      </c>
      <c r="U145" s="452"/>
      <c r="V145" s="430"/>
    </row>
    <row r="146" spans="1:22" x14ac:dyDescent="0.3">
      <c r="A146" s="468"/>
      <c r="B146" s="470"/>
      <c r="C146" s="470"/>
      <c r="D146" s="470"/>
      <c r="E146" s="470"/>
      <c r="F146" s="470"/>
      <c r="G146" s="470"/>
      <c r="H146" s="470"/>
      <c r="I146" s="470"/>
      <c r="J146" s="470"/>
      <c r="K146" s="470"/>
      <c r="L146" s="470"/>
      <c r="M146" s="470"/>
      <c r="N146" s="470"/>
      <c r="O146" s="470"/>
      <c r="P146" s="470"/>
      <c r="Q146" s="470"/>
      <c r="R146" s="470"/>
      <c r="S146" s="470"/>
      <c r="T146" s="531"/>
      <c r="U146" s="476"/>
      <c r="V146" s="416"/>
    </row>
    <row r="147" spans="1:22" x14ac:dyDescent="0.3">
      <c r="A147" s="468"/>
      <c r="B147" s="529" t="s">
        <v>262</v>
      </c>
      <c r="C147" s="470"/>
      <c r="D147" s="470"/>
      <c r="E147" s="470"/>
      <c r="F147" s="470"/>
      <c r="G147" s="470"/>
      <c r="H147" s="470"/>
      <c r="I147" s="470"/>
      <c r="J147" s="470"/>
      <c r="K147" s="470"/>
      <c r="L147" s="470"/>
      <c r="M147" s="470"/>
      <c r="N147" s="470"/>
      <c r="O147" s="470"/>
      <c r="P147" s="470"/>
      <c r="Q147" s="470"/>
      <c r="R147" s="470"/>
      <c r="S147" s="470"/>
      <c r="T147" s="531"/>
      <c r="U147" s="476"/>
      <c r="V147" s="416"/>
    </row>
    <row r="148" spans="1:22" s="431" customFormat="1" x14ac:dyDescent="0.3">
      <c r="A148" s="449"/>
      <c r="B148" s="450" t="s">
        <v>263</v>
      </c>
      <c r="C148" s="450"/>
      <c r="D148" s="450"/>
      <c r="E148" s="450"/>
      <c r="F148" s="450"/>
      <c r="G148" s="450"/>
      <c r="H148" s="450"/>
      <c r="I148" s="450"/>
      <c r="J148" s="450"/>
      <c r="K148" s="450"/>
      <c r="L148" s="450"/>
      <c r="M148" s="450"/>
      <c r="N148" s="450"/>
      <c r="O148" s="450"/>
      <c r="P148" s="450"/>
      <c r="Q148" s="450"/>
      <c r="R148" s="450"/>
      <c r="S148" s="450"/>
      <c r="T148" s="515">
        <v>0</v>
      </c>
      <c r="U148" s="452"/>
      <c r="V148" s="430"/>
    </row>
    <row r="149" spans="1:22" s="431" customFormat="1" x14ac:dyDescent="0.3">
      <c r="A149" s="449"/>
      <c r="B149" s="450" t="s">
        <v>179</v>
      </c>
      <c r="C149" s="450"/>
      <c r="D149" s="450"/>
      <c r="E149" s="450"/>
      <c r="F149" s="450"/>
      <c r="G149" s="450"/>
      <c r="H149" s="450"/>
      <c r="I149" s="450"/>
      <c r="J149" s="450"/>
      <c r="K149" s="450"/>
      <c r="L149" s="450"/>
      <c r="M149" s="450"/>
      <c r="N149" s="450"/>
      <c r="O149" s="450"/>
      <c r="P149" s="450"/>
      <c r="Q149" s="450"/>
      <c r="R149" s="450"/>
      <c r="S149" s="450"/>
      <c r="T149" s="515">
        <v>0</v>
      </c>
      <c r="U149" s="452"/>
      <c r="V149" s="430"/>
    </row>
    <row r="150" spans="1:22" s="431" customFormat="1" x14ac:dyDescent="0.3">
      <c r="A150" s="449"/>
      <c r="B150" s="450" t="s">
        <v>264</v>
      </c>
      <c r="C150" s="450"/>
      <c r="D150" s="450"/>
      <c r="E150" s="450"/>
      <c r="F150" s="450"/>
      <c r="G150" s="450"/>
      <c r="H150" s="450"/>
      <c r="I150" s="450"/>
      <c r="J150" s="450"/>
      <c r="K150" s="450"/>
      <c r="L150" s="450"/>
      <c r="M150" s="450"/>
      <c r="N150" s="450"/>
      <c r="O150" s="450"/>
      <c r="P150" s="450"/>
      <c r="Q150" s="450"/>
      <c r="R150" s="450"/>
      <c r="S150" s="450"/>
      <c r="T150" s="515">
        <v>0</v>
      </c>
      <c r="U150" s="452"/>
      <c r="V150" s="430"/>
    </row>
    <row r="151" spans="1:22" x14ac:dyDescent="0.3">
      <c r="A151" s="468"/>
      <c r="B151" s="541"/>
      <c r="C151" s="541"/>
      <c r="D151" s="541"/>
      <c r="E151" s="541"/>
      <c r="F151" s="541"/>
      <c r="G151" s="541"/>
      <c r="H151" s="541"/>
      <c r="I151" s="541"/>
      <c r="J151" s="541"/>
      <c r="K151" s="541"/>
      <c r="L151" s="541"/>
      <c r="M151" s="541"/>
      <c r="N151" s="541"/>
      <c r="O151" s="541"/>
      <c r="P151" s="541"/>
      <c r="Q151" s="541"/>
      <c r="R151" s="541"/>
      <c r="S151" s="541"/>
      <c r="T151" s="542"/>
      <c r="U151" s="543"/>
      <c r="V151" s="416"/>
    </row>
    <row r="152" spans="1:22" x14ac:dyDescent="0.3">
      <c r="A152" s="418"/>
      <c r="B152" s="516"/>
      <c r="C152" s="516"/>
      <c r="D152" s="516"/>
      <c r="E152" s="516"/>
      <c r="F152" s="516"/>
      <c r="G152" s="516"/>
      <c r="H152" s="516"/>
      <c r="I152" s="516"/>
      <c r="J152" s="516"/>
      <c r="K152" s="516"/>
      <c r="L152" s="516"/>
      <c r="M152" s="516"/>
      <c r="N152" s="516"/>
      <c r="O152" s="516"/>
      <c r="P152" s="516"/>
      <c r="Q152" s="516"/>
      <c r="R152" s="516"/>
      <c r="S152" s="516"/>
      <c r="T152" s="544"/>
      <c r="U152" s="639"/>
      <c r="V152" s="416"/>
    </row>
    <row r="153" spans="1:22" x14ac:dyDescent="0.3">
      <c r="A153" s="418"/>
      <c r="B153" s="540" t="s">
        <v>24</v>
      </c>
      <c r="C153" s="420"/>
      <c r="D153" s="420"/>
      <c r="E153" s="420"/>
      <c r="F153" s="420"/>
      <c r="G153" s="420"/>
      <c r="H153" s="420"/>
      <c r="I153" s="420"/>
      <c r="J153" s="420"/>
      <c r="K153" s="420"/>
      <c r="L153" s="420"/>
      <c r="M153" s="420"/>
      <c r="N153" s="420"/>
      <c r="O153" s="420"/>
      <c r="P153" s="420"/>
      <c r="Q153" s="420"/>
      <c r="R153" s="420"/>
      <c r="S153" s="420"/>
      <c r="T153" s="510"/>
      <c r="U153" s="639"/>
      <c r="V153" s="416"/>
    </row>
    <row r="154" spans="1:22" s="431" customFormat="1" x14ac:dyDescent="0.3">
      <c r="A154" s="449"/>
      <c r="B154" s="450" t="s">
        <v>48</v>
      </c>
      <c r="C154" s="450"/>
      <c r="D154" s="450"/>
      <c r="E154" s="450"/>
      <c r="F154" s="450"/>
      <c r="G154" s="450"/>
      <c r="H154" s="450"/>
      <c r="I154" s="450"/>
      <c r="J154" s="450"/>
      <c r="K154" s="450"/>
      <c r="L154" s="450"/>
      <c r="M154" s="450"/>
      <c r="N154" s="450"/>
      <c r="O154" s="450"/>
      <c r="P154" s="450"/>
      <c r="Q154" s="450"/>
      <c r="R154" s="450"/>
      <c r="S154" s="450"/>
      <c r="T154" s="545" t="s">
        <v>124</v>
      </c>
      <c r="U154" s="452"/>
      <c r="V154" s="430"/>
    </row>
    <row r="155" spans="1:22" s="431" customFormat="1" x14ac:dyDescent="0.3">
      <c r="A155" s="449"/>
      <c r="B155" s="450" t="s">
        <v>49</v>
      </c>
      <c r="C155" s="450"/>
      <c r="D155" s="450"/>
      <c r="E155" s="450"/>
      <c r="F155" s="450"/>
      <c r="G155" s="450"/>
      <c r="H155" s="450"/>
      <c r="I155" s="450"/>
      <c r="J155" s="450"/>
      <c r="K155" s="450"/>
      <c r="L155" s="450"/>
      <c r="M155" s="450"/>
      <c r="N155" s="450"/>
      <c r="O155" s="450"/>
      <c r="P155" s="450"/>
      <c r="Q155" s="450"/>
      <c r="R155" s="450"/>
      <c r="S155" s="450"/>
      <c r="T155" s="545" t="s">
        <v>124</v>
      </c>
      <c r="U155" s="452"/>
      <c r="V155" s="430"/>
    </row>
    <row r="156" spans="1:22" s="431" customFormat="1" x14ac:dyDescent="0.3">
      <c r="A156" s="449"/>
      <c r="B156" s="450" t="s">
        <v>50</v>
      </c>
      <c r="C156" s="450"/>
      <c r="D156" s="450"/>
      <c r="E156" s="450"/>
      <c r="F156" s="450"/>
      <c r="G156" s="450"/>
      <c r="H156" s="450"/>
      <c r="I156" s="450"/>
      <c r="J156" s="450"/>
      <c r="K156" s="450"/>
      <c r="L156" s="450"/>
      <c r="M156" s="450"/>
      <c r="N156" s="450"/>
      <c r="O156" s="450"/>
      <c r="P156" s="450"/>
      <c r="Q156" s="450"/>
      <c r="R156" s="450"/>
      <c r="S156" s="450"/>
      <c r="T156" s="545" t="s">
        <v>124</v>
      </c>
      <c r="U156" s="452"/>
      <c r="V156" s="430"/>
    </row>
    <row r="157" spans="1:22" s="431" customFormat="1" x14ac:dyDescent="0.3">
      <c r="A157" s="449"/>
      <c r="B157" s="450" t="s">
        <v>51</v>
      </c>
      <c r="C157" s="450"/>
      <c r="D157" s="450"/>
      <c r="E157" s="450"/>
      <c r="F157" s="450"/>
      <c r="G157" s="450"/>
      <c r="H157" s="450"/>
      <c r="I157" s="450"/>
      <c r="J157" s="450"/>
      <c r="K157" s="450"/>
      <c r="L157" s="450"/>
      <c r="M157" s="450"/>
      <c r="N157" s="450"/>
      <c r="O157" s="450"/>
      <c r="P157" s="450"/>
      <c r="Q157" s="450"/>
      <c r="R157" s="450"/>
      <c r="S157" s="450"/>
      <c r="T157" s="545" t="s">
        <v>124</v>
      </c>
      <c r="U157" s="452"/>
      <c r="V157" s="430"/>
    </row>
    <row r="158" spans="1:22" x14ac:dyDescent="0.3">
      <c r="A158" s="418"/>
      <c r="B158" s="516"/>
      <c r="C158" s="516"/>
      <c r="D158" s="516"/>
      <c r="E158" s="516"/>
      <c r="F158" s="516"/>
      <c r="G158" s="516"/>
      <c r="H158" s="516"/>
      <c r="I158" s="516"/>
      <c r="J158" s="516"/>
      <c r="K158" s="516"/>
      <c r="L158" s="516"/>
      <c r="M158" s="516"/>
      <c r="N158" s="516"/>
      <c r="O158" s="516"/>
      <c r="P158" s="516"/>
      <c r="Q158" s="516"/>
      <c r="R158" s="516"/>
      <c r="S158" s="516"/>
      <c r="T158" s="544"/>
      <c r="U158" s="639"/>
      <c r="V158" s="416"/>
    </row>
    <row r="159" spans="1:22" x14ac:dyDescent="0.3">
      <c r="A159" s="418"/>
      <c r="B159" s="540" t="s">
        <v>52</v>
      </c>
      <c r="C159" s="420"/>
      <c r="D159" s="420"/>
      <c r="E159" s="420"/>
      <c r="F159" s="420"/>
      <c r="G159" s="420"/>
      <c r="H159" s="420"/>
      <c r="I159" s="420"/>
      <c r="J159" s="420"/>
      <c r="K159" s="420"/>
      <c r="L159" s="420"/>
      <c r="M159" s="420"/>
      <c r="N159" s="420"/>
      <c r="O159" s="420"/>
      <c r="P159" s="420"/>
      <c r="Q159" s="420"/>
      <c r="R159" s="420"/>
      <c r="S159" s="420"/>
      <c r="T159" s="546"/>
      <c r="U159" s="639"/>
      <c r="V159" s="416"/>
    </row>
    <row r="160" spans="1:22" s="431" customFormat="1" x14ac:dyDescent="0.3">
      <c r="A160" s="449"/>
      <c r="B160" s="450" t="s">
        <v>53</v>
      </c>
      <c r="C160" s="450"/>
      <c r="D160" s="450"/>
      <c r="E160" s="450"/>
      <c r="F160" s="450"/>
      <c r="G160" s="450"/>
      <c r="H160" s="450"/>
      <c r="I160" s="450"/>
      <c r="J160" s="450"/>
      <c r="K160" s="450"/>
      <c r="L160" s="450"/>
      <c r="M160" s="450"/>
      <c r="N160" s="450"/>
      <c r="O160" s="450"/>
      <c r="P160" s="450"/>
      <c r="Q160" s="450"/>
      <c r="R160" s="450"/>
      <c r="S160" s="450"/>
      <c r="T160" s="515">
        <v>0</v>
      </c>
      <c r="U160" s="452"/>
      <c r="V160" s="430"/>
    </row>
    <row r="161" spans="1:22" s="431" customFormat="1" x14ac:dyDescent="0.3">
      <c r="A161" s="449"/>
      <c r="B161" s="450" t="s">
        <v>54</v>
      </c>
      <c r="C161" s="450"/>
      <c r="D161" s="450"/>
      <c r="E161" s="450"/>
      <c r="F161" s="450"/>
      <c r="G161" s="450"/>
      <c r="H161" s="450"/>
      <c r="I161" s="450"/>
      <c r="J161" s="450"/>
      <c r="K161" s="450"/>
      <c r="L161" s="450"/>
      <c r="M161" s="450"/>
      <c r="N161" s="450"/>
      <c r="O161" s="450"/>
      <c r="P161" s="450"/>
      <c r="Q161" s="450"/>
      <c r="R161" s="450"/>
      <c r="S161" s="450"/>
      <c r="T161" s="515">
        <f>R112</f>
        <v>91</v>
      </c>
      <c r="U161" s="452"/>
      <c r="V161" s="430"/>
    </row>
    <row r="162" spans="1:22" s="431" customFormat="1" x14ac:dyDescent="0.3">
      <c r="A162" s="449"/>
      <c r="B162" s="450" t="s">
        <v>55</v>
      </c>
      <c r="C162" s="450"/>
      <c r="D162" s="450"/>
      <c r="E162" s="450"/>
      <c r="F162" s="450"/>
      <c r="G162" s="450"/>
      <c r="H162" s="450"/>
      <c r="I162" s="450"/>
      <c r="J162" s="450"/>
      <c r="K162" s="450"/>
      <c r="L162" s="450"/>
      <c r="M162" s="450"/>
      <c r="N162" s="450"/>
      <c r="O162" s="450"/>
      <c r="P162" s="450"/>
      <c r="Q162" s="450"/>
      <c r="R162" s="450"/>
      <c r="S162" s="450"/>
      <c r="T162" s="515">
        <f>T161+T160</f>
        <v>91</v>
      </c>
      <c r="U162" s="452"/>
      <c r="V162" s="430"/>
    </row>
    <row r="163" spans="1:22" s="431" customFormat="1" x14ac:dyDescent="0.3">
      <c r="A163" s="449"/>
      <c r="B163" s="450" t="s">
        <v>301</v>
      </c>
      <c r="C163" s="450"/>
      <c r="D163" s="450"/>
      <c r="E163" s="450"/>
      <c r="F163" s="450"/>
      <c r="G163" s="450"/>
      <c r="H163" s="450"/>
      <c r="I163" s="450"/>
      <c r="J163" s="450"/>
      <c r="K163" s="450"/>
      <c r="L163" s="450"/>
      <c r="M163" s="450"/>
      <c r="N163" s="450"/>
      <c r="O163" s="450"/>
      <c r="P163" s="450"/>
      <c r="Q163" s="450"/>
      <c r="R163" s="450"/>
      <c r="S163" s="450"/>
      <c r="T163" s="515">
        <f>T112</f>
        <v>-91</v>
      </c>
      <c r="U163" s="452"/>
      <c r="V163" s="430"/>
    </row>
    <row r="164" spans="1:22" s="431" customFormat="1" x14ac:dyDescent="0.3">
      <c r="A164" s="449"/>
      <c r="B164" s="450" t="s">
        <v>56</v>
      </c>
      <c r="C164" s="450"/>
      <c r="D164" s="450"/>
      <c r="E164" s="450"/>
      <c r="F164" s="450"/>
      <c r="G164" s="450"/>
      <c r="H164" s="450"/>
      <c r="I164" s="450"/>
      <c r="J164" s="450"/>
      <c r="K164" s="450"/>
      <c r="L164" s="450"/>
      <c r="M164" s="450"/>
      <c r="N164" s="450"/>
      <c r="O164" s="450"/>
      <c r="P164" s="450"/>
      <c r="Q164" s="450"/>
      <c r="R164" s="450"/>
      <c r="S164" s="450"/>
      <c r="T164" s="515">
        <f>T162+T163</f>
        <v>0</v>
      </c>
      <c r="U164" s="452"/>
      <c r="V164" s="430"/>
    </row>
    <row r="165" spans="1:22" s="431" customFormat="1" x14ac:dyDescent="0.3">
      <c r="A165" s="449"/>
      <c r="B165" s="450" t="s">
        <v>273</v>
      </c>
      <c r="C165" s="450"/>
      <c r="D165" s="450"/>
      <c r="E165" s="450"/>
      <c r="F165" s="450"/>
      <c r="G165" s="450"/>
      <c r="H165" s="450"/>
      <c r="I165" s="450"/>
      <c r="J165" s="450"/>
      <c r="K165" s="450"/>
      <c r="L165" s="450"/>
      <c r="M165" s="450"/>
      <c r="N165" s="450"/>
      <c r="O165" s="450"/>
      <c r="P165" s="450"/>
      <c r="Q165" s="450"/>
      <c r="R165" s="450"/>
      <c r="S165" s="450"/>
      <c r="T165" s="515">
        <v>0</v>
      </c>
      <c r="U165" s="452"/>
      <c r="V165" s="430"/>
    </row>
    <row r="166" spans="1:22" ht="16.2" thickBot="1" x14ac:dyDescent="0.35">
      <c r="A166" s="418"/>
      <c r="B166" s="516"/>
      <c r="C166" s="516"/>
      <c r="D166" s="516"/>
      <c r="E166" s="516"/>
      <c r="F166" s="516"/>
      <c r="G166" s="516"/>
      <c r="H166" s="516"/>
      <c r="I166" s="516"/>
      <c r="J166" s="516"/>
      <c r="K166" s="516"/>
      <c r="L166" s="516"/>
      <c r="M166" s="516"/>
      <c r="N166" s="516"/>
      <c r="O166" s="516"/>
      <c r="P166" s="516"/>
      <c r="Q166" s="516"/>
      <c r="R166" s="516"/>
      <c r="S166" s="516"/>
      <c r="T166" s="544"/>
      <c r="U166" s="639"/>
      <c r="V166" s="416"/>
    </row>
    <row r="167" spans="1:22" x14ac:dyDescent="0.3">
      <c r="A167" s="547"/>
      <c r="B167" s="415"/>
      <c r="C167" s="415"/>
      <c r="D167" s="415"/>
      <c r="E167" s="415"/>
      <c r="F167" s="415"/>
      <c r="G167" s="415"/>
      <c r="H167" s="415"/>
      <c r="I167" s="415"/>
      <c r="J167" s="415"/>
      <c r="K167" s="415"/>
      <c r="L167" s="415"/>
      <c r="M167" s="415"/>
      <c r="N167" s="415"/>
      <c r="O167" s="415"/>
      <c r="P167" s="415"/>
      <c r="Q167" s="415"/>
      <c r="R167" s="415"/>
      <c r="S167" s="415"/>
      <c r="T167" s="548"/>
      <c r="U167" s="638"/>
      <c r="V167" s="416"/>
    </row>
    <row r="168" spans="1:22" x14ac:dyDescent="0.3">
      <c r="A168" s="418"/>
      <c r="B168" s="540" t="s">
        <v>57</v>
      </c>
      <c r="C168" s="420"/>
      <c r="D168" s="420"/>
      <c r="E168" s="420"/>
      <c r="F168" s="420"/>
      <c r="G168" s="420"/>
      <c r="H168" s="420"/>
      <c r="I168" s="420"/>
      <c r="J168" s="420"/>
      <c r="K168" s="420"/>
      <c r="L168" s="420"/>
      <c r="M168" s="420"/>
      <c r="N168" s="420"/>
      <c r="O168" s="420"/>
      <c r="P168" s="420"/>
      <c r="Q168" s="420"/>
      <c r="R168" s="420"/>
      <c r="S168" s="420"/>
      <c r="T168" s="510"/>
      <c r="U168" s="639"/>
      <c r="V168" s="416"/>
    </row>
    <row r="169" spans="1:22" x14ac:dyDescent="0.3">
      <c r="A169" s="418"/>
      <c r="B169" s="540"/>
      <c r="C169" s="420"/>
      <c r="D169" s="420"/>
      <c r="E169" s="420"/>
      <c r="F169" s="420"/>
      <c r="G169" s="420"/>
      <c r="H169" s="420"/>
      <c r="I169" s="420"/>
      <c r="J169" s="420"/>
      <c r="K169" s="420"/>
      <c r="L169" s="420"/>
      <c r="M169" s="420"/>
      <c r="N169" s="420"/>
      <c r="O169" s="420"/>
      <c r="P169" s="420"/>
      <c r="Q169" s="420"/>
      <c r="R169" s="420"/>
      <c r="S169" s="420"/>
      <c r="T169" s="510"/>
      <c r="U169" s="639"/>
      <c r="V169" s="416"/>
    </row>
    <row r="170" spans="1:22" s="431" customFormat="1" x14ac:dyDescent="0.3">
      <c r="A170" s="449"/>
      <c r="B170" s="450" t="s">
        <v>58</v>
      </c>
      <c r="C170" s="450"/>
      <c r="D170" s="450"/>
      <c r="E170" s="450"/>
      <c r="F170" s="450"/>
      <c r="G170" s="450"/>
      <c r="H170" s="450"/>
      <c r="I170" s="450"/>
      <c r="J170" s="450"/>
      <c r="K170" s="450"/>
      <c r="L170" s="450"/>
      <c r="M170" s="450"/>
      <c r="N170" s="450"/>
      <c r="O170" s="450"/>
      <c r="P170" s="450"/>
      <c r="Q170" s="450"/>
      <c r="R170" s="450"/>
      <c r="S170" s="450"/>
      <c r="T170" s="515">
        <f>T70</f>
        <v>397365</v>
      </c>
      <c r="U170" s="452"/>
      <c r="V170" s="430"/>
    </row>
    <row r="171" spans="1:22" s="431" customFormat="1" x14ac:dyDescent="0.3">
      <c r="A171" s="449"/>
      <c r="B171" s="450" t="s">
        <v>59</v>
      </c>
      <c r="C171" s="450"/>
      <c r="D171" s="450"/>
      <c r="E171" s="450"/>
      <c r="F171" s="450"/>
      <c r="G171" s="450"/>
      <c r="H171" s="450"/>
      <c r="I171" s="450"/>
      <c r="J171" s="450"/>
      <c r="K171" s="450"/>
      <c r="L171" s="450"/>
      <c r="M171" s="450"/>
      <c r="N171" s="450"/>
      <c r="O171" s="450"/>
      <c r="P171" s="450"/>
      <c r="Q171" s="450"/>
      <c r="R171" s="450"/>
      <c r="S171" s="450"/>
      <c r="T171" s="515">
        <f>T83</f>
        <v>397365</v>
      </c>
      <c r="U171" s="452"/>
      <c r="V171" s="430"/>
    </row>
    <row r="172" spans="1:22" ht="16.2" thickBot="1" x14ac:dyDescent="0.35">
      <c r="A172" s="418"/>
      <c r="B172" s="516"/>
      <c r="C172" s="516"/>
      <c r="D172" s="516"/>
      <c r="E172" s="516"/>
      <c r="F172" s="516"/>
      <c r="G172" s="516"/>
      <c r="H172" s="516"/>
      <c r="I172" s="516"/>
      <c r="J172" s="516"/>
      <c r="K172" s="516"/>
      <c r="L172" s="516"/>
      <c r="M172" s="516"/>
      <c r="N172" s="516"/>
      <c r="O172" s="516"/>
      <c r="P172" s="516"/>
      <c r="Q172" s="516"/>
      <c r="R172" s="516"/>
      <c r="S172" s="516"/>
      <c r="T172" s="544"/>
      <c r="U172" s="639"/>
      <c r="V172" s="416"/>
    </row>
    <row r="173" spans="1:22" x14ac:dyDescent="0.3">
      <c r="A173" s="547"/>
      <c r="B173" s="415"/>
      <c r="C173" s="415"/>
      <c r="D173" s="415"/>
      <c r="E173" s="415"/>
      <c r="F173" s="415"/>
      <c r="G173" s="415"/>
      <c r="H173" s="415"/>
      <c r="I173" s="415"/>
      <c r="J173" s="415"/>
      <c r="K173" s="415"/>
      <c r="L173" s="415"/>
      <c r="M173" s="415"/>
      <c r="N173" s="415"/>
      <c r="O173" s="415"/>
      <c r="P173" s="415"/>
      <c r="Q173" s="415"/>
      <c r="R173" s="415"/>
      <c r="S173" s="415"/>
      <c r="T173" s="548"/>
      <c r="U173" s="638"/>
      <c r="V173" s="416"/>
    </row>
    <row r="174" spans="1:22" x14ac:dyDescent="0.3">
      <c r="A174" s="418"/>
      <c r="B174" s="540" t="s">
        <v>60</v>
      </c>
      <c r="C174" s="549"/>
      <c r="D174" s="549"/>
      <c r="E174" s="549"/>
      <c r="F174" s="549"/>
      <c r="G174" s="549"/>
      <c r="H174" s="550"/>
      <c r="I174" s="550"/>
      <c r="J174" s="550"/>
      <c r="K174" s="550"/>
      <c r="L174" s="550"/>
      <c r="M174" s="550"/>
      <c r="N174" s="550"/>
      <c r="O174" s="550"/>
      <c r="P174" s="550"/>
      <c r="Q174" s="550" t="s">
        <v>104</v>
      </c>
      <c r="R174" s="550" t="s">
        <v>183</v>
      </c>
      <c r="S174" s="422"/>
      <c r="T174" s="551" t="s">
        <v>120</v>
      </c>
      <c r="U174" s="643"/>
      <c r="V174" s="416"/>
    </row>
    <row r="175" spans="1:22" s="431" customFormat="1" x14ac:dyDescent="0.3">
      <c r="A175" s="449"/>
      <c r="B175" s="450" t="s">
        <v>61</v>
      </c>
      <c r="C175" s="450"/>
      <c r="D175" s="450"/>
      <c r="E175" s="450"/>
      <c r="F175" s="450"/>
      <c r="G175" s="450"/>
      <c r="H175" s="450"/>
      <c r="I175" s="450"/>
      <c r="J175" s="450"/>
      <c r="K175" s="450"/>
      <c r="L175" s="450"/>
      <c r="M175" s="450"/>
      <c r="N175" s="450"/>
      <c r="O175" s="450"/>
      <c r="P175" s="450"/>
      <c r="Q175" s="515">
        <v>160008</v>
      </c>
      <c r="R175" s="486"/>
      <c r="S175" s="450"/>
      <c r="T175" s="515"/>
      <c r="U175" s="452"/>
      <c r="V175" s="430"/>
    </row>
    <row r="176" spans="1:22" s="431" customFormat="1" x14ac:dyDescent="0.3">
      <c r="A176" s="449"/>
      <c r="B176" s="450" t="s">
        <v>62</v>
      </c>
      <c r="C176" s="450"/>
      <c r="D176" s="450"/>
      <c r="E176" s="450"/>
      <c r="F176" s="450"/>
      <c r="G176" s="450"/>
      <c r="H176" s="450"/>
      <c r="I176" s="450"/>
      <c r="J176" s="450"/>
      <c r="K176" s="450"/>
      <c r="L176" s="450"/>
      <c r="M176" s="450"/>
      <c r="N176" s="450"/>
      <c r="O176" s="450"/>
      <c r="P176" s="450"/>
      <c r="Q176" s="515">
        <f>+'June 18'!Q178</f>
        <v>40924</v>
      </c>
      <c r="R176" s="515">
        <f>+'June 18'!R178</f>
        <v>3447</v>
      </c>
      <c r="S176" s="450"/>
      <c r="T176" s="515">
        <f>Q176+R176</f>
        <v>44371</v>
      </c>
      <c r="U176" s="452"/>
      <c r="V176" s="430"/>
    </row>
    <row r="177" spans="1:22" s="431" customFormat="1" x14ac:dyDescent="0.3">
      <c r="A177" s="449"/>
      <c r="B177" s="450" t="s">
        <v>63</v>
      </c>
      <c r="C177" s="450"/>
      <c r="D177" s="450"/>
      <c r="E177" s="450"/>
      <c r="F177" s="450"/>
      <c r="G177" s="450"/>
      <c r="H177" s="450"/>
      <c r="I177" s="450"/>
      <c r="J177" s="450"/>
      <c r="K177" s="450"/>
      <c r="L177" s="450"/>
      <c r="M177" s="450"/>
      <c r="N177" s="450"/>
      <c r="O177" s="450"/>
      <c r="P177" s="450"/>
      <c r="Q177" s="514">
        <v>45</v>
      </c>
      <c r="R177" s="514">
        <v>0</v>
      </c>
      <c r="S177" s="450"/>
      <c r="T177" s="515">
        <f>Q177+R177</f>
        <v>45</v>
      </c>
      <c r="U177" s="452"/>
      <c r="V177" s="430"/>
    </row>
    <row r="178" spans="1:22" s="431" customFormat="1" x14ac:dyDescent="0.3">
      <c r="A178" s="449"/>
      <c r="B178" s="450" t="s">
        <v>64</v>
      </c>
      <c r="C178" s="450"/>
      <c r="D178" s="450"/>
      <c r="E178" s="450"/>
      <c r="F178" s="450"/>
      <c r="G178" s="450"/>
      <c r="H178" s="450"/>
      <c r="I178" s="450"/>
      <c r="J178" s="450"/>
      <c r="K178" s="450"/>
      <c r="L178" s="450"/>
      <c r="M178" s="450"/>
      <c r="N178" s="450"/>
      <c r="O178" s="450"/>
      <c r="P178" s="450"/>
      <c r="Q178" s="515">
        <f>Q176+Q177</f>
        <v>40969</v>
      </c>
      <c r="R178" s="515">
        <f>R177+R176</f>
        <v>3447</v>
      </c>
      <c r="S178" s="450"/>
      <c r="T178" s="515">
        <f>Q178+R178</f>
        <v>44416</v>
      </c>
      <c r="U178" s="452"/>
      <c r="V178" s="430"/>
    </row>
    <row r="179" spans="1:22" s="431" customFormat="1" x14ac:dyDescent="0.3">
      <c r="A179" s="449"/>
      <c r="B179" s="450" t="s">
        <v>65</v>
      </c>
      <c r="C179" s="450"/>
      <c r="D179" s="450"/>
      <c r="E179" s="450"/>
      <c r="F179" s="450"/>
      <c r="G179" s="450"/>
      <c r="H179" s="450"/>
      <c r="I179" s="450"/>
      <c r="J179" s="450"/>
      <c r="K179" s="450"/>
      <c r="L179" s="450"/>
      <c r="M179" s="450"/>
      <c r="N179" s="450"/>
      <c r="O179" s="450"/>
      <c r="P179" s="450"/>
      <c r="Q179" s="515">
        <f>Q175-Q178-R178</f>
        <v>115592</v>
      </c>
      <c r="R179" s="486"/>
      <c r="S179" s="450"/>
      <c r="T179" s="515"/>
      <c r="U179" s="452"/>
      <c r="V179" s="430"/>
    </row>
    <row r="180" spans="1:22" ht="16.2" thickBot="1" x14ac:dyDescent="0.35">
      <c r="A180" s="418"/>
      <c r="B180" s="516"/>
      <c r="C180" s="516"/>
      <c r="D180" s="516"/>
      <c r="E180" s="516"/>
      <c r="F180" s="516"/>
      <c r="G180" s="516"/>
      <c r="H180" s="516"/>
      <c r="I180" s="516"/>
      <c r="J180" s="516"/>
      <c r="K180" s="516"/>
      <c r="L180" s="516"/>
      <c r="M180" s="516"/>
      <c r="N180" s="516"/>
      <c r="O180" s="516"/>
      <c r="P180" s="516"/>
      <c r="Q180" s="516"/>
      <c r="R180" s="516"/>
      <c r="S180" s="516"/>
      <c r="T180" s="544"/>
      <c r="U180" s="639"/>
      <c r="V180" s="416"/>
    </row>
    <row r="181" spans="1:22" x14ac:dyDescent="0.3">
      <c r="A181" s="547"/>
      <c r="B181" s="415"/>
      <c r="C181" s="415"/>
      <c r="D181" s="415"/>
      <c r="E181" s="415"/>
      <c r="F181" s="415"/>
      <c r="G181" s="415"/>
      <c r="H181" s="415"/>
      <c r="I181" s="415"/>
      <c r="J181" s="415"/>
      <c r="K181" s="415"/>
      <c r="L181" s="415"/>
      <c r="M181" s="415"/>
      <c r="N181" s="415"/>
      <c r="O181" s="415"/>
      <c r="P181" s="415"/>
      <c r="Q181" s="415"/>
      <c r="R181" s="415"/>
      <c r="S181" s="415"/>
      <c r="T181" s="548"/>
      <c r="U181" s="638"/>
      <c r="V181" s="416"/>
    </row>
    <row r="182" spans="1:22" x14ac:dyDescent="0.3">
      <c r="A182" s="418"/>
      <c r="B182" s="540" t="s">
        <v>66</v>
      </c>
      <c r="C182" s="420"/>
      <c r="D182" s="420"/>
      <c r="E182" s="420"/>
      <c r="F182" s="420"/>
      <c r="G182" s="420"/>
      <c r="H182" s="420"/>
      <c r="I182" s="420"/>
      <c r="J182" s="420"/>
      <c r="K182" s="420"/>
      <c r="L182" s="420"/>
      <c r="M182" s="420"/>
      <c r="N182" s="420"/>
      <c r="O182" s="420"/>
      <c r="P182" s="420"/>
      <c r="Q182" s="420"/>
      <c r="R182" s="420"/>
      <c r="S182" s="420"/>
      <c r="T182" s="552"/>
      <c r="U182" s="639"/>
      <c r="V182" s="416"/>
    </row>
    <row r="183" spans="1:22" s="431" customFormat="1" x14ac:dyDescent="0.3">
      <c r="A183" s="449"/>
      <c r="B183" s="450" t="s">
        <v>67</v>
      </c>
      <c r="C183" s="450"/>
      <c r="D183" s="450"/>
      <c r="E183" s="450"/>
      <c r="F183" s="450"/>
      <c r="G183" s="450"/>
      <c r="H183" s="450"/>
      <c r="I183" s="450"/>
      <c r="J183" s="450"/>
      <c r="K183" s="450"/>
      <c r="L183" s="450"/>
      <c r="M183" s="450"/>
      <c r="N183" s="450"/>
      <c r="O183" s="450"/>
      <c r="P183" s="450"/>
      <c r="Q183" s="450"/>
      <c r="R183" s="450"/>
      <c r="S183" s="450"/>
      <c r="T183" s="545">
        <f>(T99+T101+T102+T103+T104)/-(T105+T106)</f>
        <v>3.8579970104633783</v>
      </c>
      <c r="U183" s="452" t="s">
        <v>121</v>
      </c>
      <c r="V183" s="430"/>
    </row>
    <row r="184" spans="1:22" s="431" customFormat="1" x14ac:dyDescent="0.3">
      <c r="A184" s="449"/>
      <c r="B184" s="450" t="s">
        <v>68</v>
      </c>
      <c r="C184" s="450"/>
      <c r="D184" s="450"/>
      <c r="E184" s="450"/>
      <c r="F184" s="450"/>
      <c r="G184" s="450"/>
      <c r="H184" s="450"/>
      <c r="I184" s="450"/>
      <c r="J184" s="450"/>
      <c r="K184" s="450"/>
      <c r="L184" s="450"/>
      <c r="M184" s="450"/>
      <c r="N184" s="450"/>
      <c r="O184" s="450"/>
      <c r="P184" s="450"/>
      <c r="Q184" s="450"/>
      <c r="R184" s="450"/>
      <c r="S184" s="450"/>
      <c r="T184" s="553">
        <v>1.94</v>
      </c>
      <c r="U184" s="452" t="s">
        <v>121</v>
      </c>
      <c r="V184" s="430"/>
    </row>
    <row r="185" spans="1:22" s="431" customFormat="1" x14ac:dyDescent="0.3">
      <c r="A185" s="449"/>
      <c r="B185" s="450" t="s">
        <v>69</v>
      </c>
      <c r="C185" s="450"/>
      <c r="D185" s="450"/>
      <c r="E185" s="450"/>
      <c r="F185" s="450"/>
      <c r="G185" s="450"/>
      <c r="H185" s="450"/>
      <c r="I185" s="450"/>
      <c r="J185" s="450"/>
      <c r="K185" s="450"/>
      <c r="L185" s="450"/>
      <c r="M185" s="450"/>
      <c r="N185" s="450"/>
      <c r="O185" s="450"/>
      <c r="P185" s="450"/>
      <c r="Q185" s="450"/>
      <c r="R185" s="450"/>
      <c r="S185" s="450"/>
      <c r="T185" s="545">
        <f>(T99+T101+T102+T103+T104+T105+T106)/-(T107+T108)</f>
        <v>10.335135135135134</v>
      </c>
      <c r="U185" s="452" t="s">
        <v>121</v>
      </c>
      <c r="V185" s="430"/>
    </row>
    <row r="186" spans="1:22" s="431" customFormat="1" x14ac:dyDescent="0.3">
      <c r="A186" s="449"/>
      <c r="B186" s="450" t="s">
        <v>70</v>
      </c>
      <c r="C186" s="450"/>
      <c r="D186" s="450"/>
      <c r="E186" s="450"/>
      <c r="F186" s="450"/>
      <c r="G186" s="450"/>
      <c r="H186" s="450"/>
      <c r="I186" s="450"/>
      <c r="J186" s="450"/>
      <c r="K186" s="450"/>
      <c r="L186" s="450"/>
      <c r="M186" s="450"/>
      <c r="N186" s="450"/>
      <c r="O186" s="450"/>
      <c r="P186" s="450"/>
      <c r="Q186" s="450"/>
      <c r="R186" s="450"/>
      <c r="S186" s="450"/>
      <c r="T186" s="553">
        <v>7.15</v>
      </c>
      <c r="U186" s="452" t="s">
        <v>121</v>
      </c>
      <c r="V186" s="430"/>
    </row>
    <row r="187" spans="1:22" s="431" customFormat="1" x14ac:dyDescent="0.3">
      <c r="A187" s="449"/>
      <c r="B187" s="450" t="s">
        <v>206</v>
      </c>
      <c r="C187" s="450"/>
      <c r="D187" s="450"/>
      <c r="E187" s="450"/>
      <c r="F187" s="450"/>
      <c r="G187" s="450"/>
      <c r="H187" s="450"/>
      <c r="I187" s="450"/>
      <c r="J187" s="450"/>
      <c r="K187" s="450"/>
      <c r="L187" s="450"/>
      <c r="M187" s="450"/>
      <c r="N187" s="450"/>
      <c r="O187" s="450"/>
      <c r="P187" s="450"/>
      <c r="Q187" s="450"/>
      <c r="R187" s="450"/>
      <c r="S187" s="450"/>
      <c r="T187" s="545">
        <f>(T99+T101+T102+T103+T104+T105+T106+T107+T108)/-(T109)</f>
        <v>8.1848341232227479</v>
      </c>
      <c r="U187" s="452" t="s">
        <v>121</v>
      </c>
      <c r="V187" s="430"/>
    </row>
    <row r="188" spans="1:22" s="431" customFormat="1" x14ac:dyDescent="0.3">
      <c r="A188" s="449"/>
      <c r="B188" s="450" t="s">
        <v>207</v>
      </c>
      <c r="C188" s="450"/>
      <c r="D188" s="450"/>
      <c r="E188" s="450"/>
      <c r="F188" s="450"/>
      <c r="G188" s="450"/>
      <c r="H188" s="450"/>
      <c r="I188" s="450"/>
      <c r="J188" s="450"/>
      <c r="K188" s="450"/>
      <c r="L188" s="450"/>
      <c r="M188" s="450"/>
      <c r="N188" s="450"/>
      <c r="O188" s="450"/>
      <c r="P188" s="450"/>
      <c r="Q188" s="450"/>
      <c r="R188" s="450"/>
      <c r="S188" s="450"/>
      <c r="T188" s="553">
        <v>6.34</v>
      </c>
      <c r="U188" s="452" t="s">
        <v>121</v>
      </c>
      <c r="V188" s="430"/>
    </row>
    <row r="189" spans="1:22" x14ac:dyDescent="0.3">
      <c r="A189" s="468"/>
      <c r="B189" s="470"/>
      <c r="C189" s="470"/>
      <c r="D189" s="470"/>
      <c r="E189" s="470"/>
      <c r="F189" s="470"/>
      <c r="G189" s="470"/>
      <c r="H189" s="470"/>
      <c r="I189" s="470"/>
      <c r="J189" s="470"/>
      <c r="K189" s="470"/>
      <c r="L189" s="470"/>
      <c r="M189" s="470"/>
      <c r="N189" s="470"/>
      <c r="O189" s="470"/>
      <c r="P189" s="470"/>
      <c r="Q189" s="470"/>
      <c r="R189" s="470"/>
      <c r="S189" s="470"/>
      <c r="T189" s="470"/>
      <c r="U189" s="476"/>
      <c r="V189" s="416"/>
    </row>
    <row r="190" spans="1:22" x14ac:dyDescent="0.3">
      <c r="A190" s="418"/>
      <c r="B190" s="516"/>
      <c r="C190" s="516"/>
      <c r="D190" s="516"/>
      <c r="E190" s="516"/>
      <c r="F190" s="516"/>
      <c r="G190" s="516"/>
      <c r="H190" s="516"/>
      <c r="I190" s="516"/>
      <c r="J190" s="516"/>
      <c r="K190" s="516"/>
      <c r="L190" s="516"/>
      <c r="M190" s="516"/>
      <c r="N190" s="516"/>
      <c r="O190" s="516"/>
      <c r="P190" s="516"/>
      <c r="Q190" s="516"/>
      <c r="R190" s="516"/>
      <c r="S190" s="516"/>
      <c r="T190" s="516"/>
      <c r="U190" s="639"/>
      <c r="V190" s="416"/>
    </row>
    <row r="191" spans="1:22" x14ac:dyDescent="0.3">
      <c r="A191" s="418"/>
      <c r="B191" s="420"/>
      <c r="C191" s="420"/>
      <c r="D191" s="420"/>
      <c r="E191" s="420"/>
      <c r="F191" s="420"/>
      <c r="G191" s="420"/>
      <c r="H191" s="420"/>
      <c r="I191" s="420"/>
      <c r="J191" s="420"/>
      <c r="K191" s="420"/>
      <c r="L191" s="420"/>
      <c r="M191" s="420"/>
      <c r="N191" s="420"/>
      <c r="O191" s="420"/>
      <c r="P191" s="420"/>
      <c r="Q191" s="420"/>
      <c r="R191" s="420"/>
      <c r="S191" s="420"/>
      <c r="T191" s="420"/>
      <c r="U191" s="639"/>
      <c r="V191" s="416"/>
    </row>
    <row r="192" spans="1:22" ht="18.600000000000001" thickBot="1" x14ac:dyDescent="0.4">
      <c r="A192" s="554"/>
      <c r="B192" s="501" t="str">
        <f>B132</f>
        <v>PM11 INVESTOR REPORT QUARTER ENDING SEPTEMBER 2018</v>
      </c>
      <c r="C192" s="555"/>
      <c r="D192" s="555"/>
      <c r="E192" s="555"/>
      <c r="F192" s="555"/>
      <c r="G192" s="555"/>
      <c r="H192" s="555"/>
      <c r="I192" s="555"/>
      <c r="J192" s="555"/>
      <c r="K192" s="555"/>
      <c r="L192" s="555"/>
      <c r="M192" s="555"/>
      <c r="N192" s="555"/>
      <c r="O192" s="555"/>
      <c r="P192" s="555"/>
      <c r="Q192" s="555"/>
      <c r="R192" s="555"/>
      <c r="S192" s="555"/>
      <c r="T192" s="555"/>
      <c r="U192" s="556"/>
      <c r="V192" s="416"/>
    </row>
    <row r="193" spans="1:22" x14ac:dyDescent="0.3">
      <c r="A193" s="505"/>
      <c r="B193" s="506" t="s">
        <v>71</v>
      </c>
      <c r="C193" s="627"/>
      <c r="D193" s="627"/>
      <c r="E193" s="627"/>
      <c r="F193" s="627"/>
      <c r="G193" s="628"/>
      <c r="H193" s="628"/>
      <c r="I193" s="628"/>
      <c r="J193" s="628"/>
      <c r="K193" s="628"/>
      <c r="L193" s="628"/>
      <c r="M193" s="628"/>
      <c r="N193" s="628"/>
      <c r="O193" s="628"/>
      <c r="P193" s="628"/>
      <c r="Q193" s="628"/>
      <c r="R193" s="629">
        <v>43371</v>
      </c>
      <c r="S193" s="507"/>
      <c r="T193" s="507"/>
      <c r="U193" s="509"/>
      <c r="V193" s="416"/>
    </row>
    <row r="194" spans="1:22" x14ac:dyDescent="0.3">
      <c r="A194" s="557"/>
      <c r="B194" s="558"/>
      <c r="C194" s="559"/>
      <c r="D194" s="559"/>
      <c r="E194" s="559"/>
      <c r="F194" s="559"/>
      <c r="G194" s="560"/>
      <c r="H194" s="560"/>
      <c r="I194" s="560"/>
      <c r="J194" s="560"/>
      <c r="K194" s="560"/>
      <c r="L194" s="560"/>
      <c r="M194" s="560"/>
      <c r="N194" s="560"/>
      <c r="O194" s="560"/>
      <c r="P194" s="560"/>
      <c r="Q194" s="560"/>
      <c r="R194" s="560"/>
      <c r="S194" s="420"/>
      <c r="T194" s="420"/>
      <c r="U194" s="639"/>
      <c r="V194" s="416"/>
    </row>
    <row r="195" spans="1:22" s="431" customFormat="1" x14ac:dyDescent="0.3">
      <c r="A195" s="449"/>
      <c r="B195" s="450" t="s">
        <v>72</v>
      </c>
      <c r="C195" s="561"/>
      <c r="D195" s="561"/>
      <c r="E195" s="561"/>
      <c r="F195" s="561"/>
      <c r="G195" s="490"/>
      <c r="H195" s="490"/>
      <c r="I195" s="490"/>
      <c r="J195" s="490"/>
      <c r="K195" s="490"/>
      <c r="L195" s="490"/>
      <c r="M195" s="490"/>
      <c r="N195" s="490"/>
      <c r="O195" s="490"/>
      <c r="P195" s="490"/>
      <c r="Q195" s="490"/>
      <c r="R195" s="483">
        <v>5.1569999999999998E-2</v>
      </c>
      <c r="S195" s="450"/>
      <c r="T195" s="450"/>
      <c r="U195" s="452"/>
      <c r="V195" s="430"/>
    </row>
    <row r="196" spans="1:22" s="431" customFormat="1" x14ac:dyDescent="0.3">
      <c r="A196" s="449"/>
      <c r="B196" s="450" t="s">
        <v>157</v>
      </c>
      <c r="C196" s="561"/>
      <c r="D196" s="561"/>
      <c r="E196" s="561"/>
      <c r="F196" s="561"/>
      <c r="G196" s="490"/>
      <c r="H196" s="490"/>
      <c r="I196" s="490"/>
      <c r="J196" s="490"/>
      <c r="K196" s="490"/>
      <c r="L196" s="490"/>
      <c r="M196" s="490"/>
      <c r="N196" s="490"/>
      <c r="O196" s="490"/>
      <c r="P196" s="490"/>
      <c r="Q196" s="490"/>
      <c r="R196" s="483">
        <v>4.6899999999999997E-2</v>
      </c>
      <c r="S196" s="450"/>
      <c r="T196" s="450"/>
      <c r="U196" s="452"/>
      <c r="V196" s="430"/>
    </row>
    <row r="197" spans="1:22" s="431" customFormat="1" x14ac:dyDescent="0.3">
      <c r="A197" s="449"/>
      <c r="B197" s="450" t="s">
        <v>73</v>
      </c>
      <c r="C197" s="561"/>
      <c r="D197" s="561"/>
      <c r="E197" s="561"/>
      <c r="F197" s="561"/>
      <c r="G197" s="490"/>
      <c r="H197" s="490"/>
      <c r="I197" s="490"/>
      <c r="J197" s="490"/>
      <c r="K197" s="490"/>
      <c r="L197" s="490"/>
      <c r="M197" s="490"/>
      <c r="N197" s="490"/>
      <c r="O197" s="490"/>
      <c r="P197" s="490"/>
      <c r="Q197" s="490"/>
      <c r="R197" s="483">
        <f>R195-R196</f>
        <v>4.6700000000000005E-3</v>
      </c>
      <c r="S197" s="450"/>
      <c r="T197" s="450"/>
      <c r="U197" s="452"/>
      <c r="V197" s="430"/>
    </row>
    <row r="198" spans="1:22" s="431" customFormat="1" x14ac:dyDescent="0.3">
      <c r="A198" s="449"/>
      <c r="B198" s="450" t="s">
        <v>74</v>
      </c>
      <c r="C198" s="561"/>
      <c r="D198" s="561"/>
      <c r="E198" s="561"/>
      <c r="F198" s="561"/>
      <c r="G198" s="490"/>
      <c r="H198" s="490"/>
      <c r="I198" s="490"/>
      <c r="J198" s="490"/>
      <c r="K198" s="490"/>
      <c r="L198" s="490"/>
      <c r="M198" s="490"/>
      <c r="N198" s="490"/>
      <c r="O198" s="490"/>
      <c r="P198" s="490"/>
      <c r="Q198" s="490"/>
      <c r="R198" s="483">
        <v>2.5309999999999999E-2</v>
      </c>
      <c r="S198" s="450"/>
      <c r="T198" s="450"/>
      <c r="U198" s="452"/>
      <c r="V198" s="430"/>
    </row>
    <row r="199" spans="1:22" s="431" customFormat="1" x14ac:dyDescent="0.3">
      <c r="A199" s="449"/>
      <c r="B199" s="450" t="s">
        <v>257</v>
      </c>
      <c r="C199" s="561"/>
      <c r="D199" s="561"/>
      <c r="E199" s="561"/>
      <c r="F199" s="561"/>
      <c r="G199" s="490"/>
      <c r="H199" s="490"/>
      <c r="I199" s="490"/>
      <c r="J199" s="490"/>
      <c r="K199" s="490"/>
      <c r="L199" s="490"/>
      <c r="M199" s="490"/>
      <c r="N199" s="490"/>
      <c r="O199" s="490"/>
      <c r="P199" s="490"/>
      <c r="Q199" s="490"/>
      <c r="R199" s="483">
        <f>T43</f>
        <v>1.0534675662388882E-2</v>
      </c>
      <c r="S199" s="450"/>
      <c r="T199" s="450"/>
      <c r="U199" s="452"/>
      <c r="V199" s="430"/>
    </row>
    <row r="200" spans="1:22" s="431" customFormat="1" x14ac:dyDescent="0.3">
      <c r="A200" s="449"/>
      <c r="B200" s="450" t="s">
        <v>75</v>
      </c>
      <c r="C200" s="561"/>
      <c r="D200" s="561"/>
      <c r="E200" s="561"/>
      <c r="F200" s="561"/>
      <c r="G200" s="490"/>
      <c r="H200" s="490"/>
      <c r="I200" s="490"/>
      <c r="J200" s="490"/>
      <c r="K200" s="490"/>
      <c r="L200" s="490"/>
      <c r="M200" s="490"/>
      <c r="N200" s="490"/>
      <c r="O200" s="490"/>
      <c r="P200" s="490"/>
      <c r="Q200" s="490"/>
      <c r="R200" s="483">
        <f>R198-R199</f>
        <v>1.4775324337611117E-2</v>
      </c>
      <c r="S200" s="450"/>
      <c r="T200" s="450"/>
      <c r="U200" s="452"/>
      <c r="V200" s="430"/>
    </row>
    <row r="201" spans="1:22" s="431" customFormat="1" x14ac:dyDescent="0.3">
      <c r="A201" s="449"/>
      <c r="B201" s="450" t="s">
        <v>260</v>
      </c>
      <c r="C201" s="561"/>
      <c r="D201" s="561"/>
      <c r="E201" s="561"/>
      <c r="F201" s="561"/>
      <c r="G201" s="490"/>
      <c r="H201" s="490"/>
      <c r="I201" s="490"/>
      <c r="J201" s="490"/>
      <c r="K201" s="490"/>
      <c r="L201" s="490"/>
      <c r="M201" s="490"/>
      <c r="N201" s="490"/>
      <c r="O201" s="490"/>
      <c r="P201" s="490"/>
      <c r="Q201" s="490"/>
      <c r="R201" s="483">
        <f>+T99/L70</f>
        <v>6.8658520043898049E-3</v>
      </c>
      <c r="S201" s="450"/>
      <c r="T201" s="450"/>
      <c r="U201" s="452"/>
      <c r="V201" s="430"/>
    </row>
    <row r="202" spans="1:22" s="431" customFormat="1" x14ac:dyDescent="0.3">
      <c r="A202" s="449"/>
      <c r="B202" s="450" t="s">
        <v>217</v>
      </c>
      <c r="C202" s="561"/>
      <c r="D202" s="561"/>
      <c r="E202" s="561"/>
      <c r="F202" s="561"/>
      <c r="G202" s="490"/>
      <c r="H202" s="490"/>
      <c r="I202" s="490"/>
      <c r="J202" s="490"/>
      <c r="K202" s="490"/>
      <c r="L202" s="490"/>
      <c r="M202" s="490"/>
      <c r="N202" s="490"/>
      <c r="O202" s="490"/>
      <c r="P202" s="490"/>
      <c r="Q202" s="490"/>
      <c r="R202" s="562">
        <v>15250</v>
      </c>
      <c r="S202" s="450"/>
      <c r="T202" s="450"/>
      <c r="U202" s="452"/>
      <c r="V202" s="430"/>
    </row>
    <row r="203" spans="1:22" s="431" customFormat="1" x14ac:dyDescent="0.3">
      <c r="A203" s="449"/>
      <c r="B203" s="450" t="s">
        <v>218</v>
      </c>
      <c r="C203" s="561"/>
      <c r="D203" s="561"/>
      <c r="E203" s="561"/>
      <c r="F203" s="561"/>
      <c r="G203" s="490"/>
      <c r="H203" s="490"/>
      <c r="I203" s="490"/>
      <c r="J203" s="490"/>
      <c r="K203" s="490"/>
      <c r="L203" s="490"/>
      <c r="M203" s="490"/>
      <c r="N203" s="490"/>
      <c r="O203" s="490"/>
      <c r="P203" s="490"/>
      <c r="Q203" s="490"/>
      <c r="R203" s="562">
        <v>15250</v>
      </c>
      <c r="S203" s="450"/>
      <c r="T203" s="450"/>
      <c r="U203" s="452"/>
      <c r="V203" s="430"/>
    </row>
    <row r="204" spans="1:22" s="431" customFormat="1" x14ac:dyDescent="0.3">
      <c r="A204" s="449"/>
      <c r="B204" s="450" t="s">
        <v>219</v>
      </c>
      <c r="C204" s="561"/>
      <c r="D204" s="561"/>
      <c r="E204" s="561"/>
      <c r="F204" s="561"/>
      <c r="G204" s="490"/>
      <c r="H204" s="490"/>
      <c r="I204" s="490"/>
      <c r="J204" s="490"/>
      <c r="K204" s="490"/>
      <c r="L204" s="490"/>
      <c r="M204" s="490"/>
      <c r="N204" s="490"/>
      <c r="O204" s="490"/>
      <c r="P204" s="490"/>
      <c r="Q204" s="490"/>
      <c r="R204" s="562">
        <v>15250</v>
      </c>
      <c r="S204" s="450"/>
      <c r="T204" s="450"/>
      <c r="U204" s="452"/>
      <c r="V204" s="430"/>
    </row>
    <row r="205" spans="1:22" s="431" customFormat="1" x14ac:dyDescent="0.3">
      <c r="A205" s="449"/>
      <c r="B205" s="450" t="s">
        <v>76</v>
      </c>
      <c r="C205" s="561"/>
      <c r="D205" s="561"/>
      <c r="E205" s="561"/>
      <c r="F205" s="561"/>
      <c r="G205" s="490"/>
      <c r="H205" s="490"/>
      <c r="I205" s="490"/>
      <c r="J205" s="490"/>
      <c r="K205" s="490"/>
      <c r="L205" s="490"/>
      <c r="M205" s="490"/>
      <c r="N205" s="490"/>
      <c r="O205" s="490"/>
      <c r="P205" s="490"/>
      <c r="Q205" s="490"/>
      <c r="R205" s="488">
        <v>21.18</v>
      </c>
      <c r="S205" s="450" t="s">
        <v>116</v>
      </c>
      <c r="T205" s="450"/>
      <c r="U205" s="452"/>
      <c r="V205" s="430"/>
    </row>
    <row r="206" spans="1:22" s="431" customFormat="1" x14ac:dyDescent="0.3">
      <c r="A206" s="449"/>
      <c r="B206" s="450" t="s">
        <v>77</v>
      </c>
      <c r="C206" s="561"/>
      <c r="D206" s="561"/>
      <c r="E206" s="561"/>
      <c r="F206" s="561"/>
      <c r="G206" s="490"/>
      <c r="H206" s="490"/>
      <c r="I206" s="490"/>
      <c r="J206" s="490"/>
      <c r="K206" s="490"/>
      <c r="L206" s="490"/>
      <c r="M206" s="490"/>
      <c r="N206" s="490"/>
      <c r="O206" s="490"/>
      <c r="P206" s="490"/>
      <c r="Q206" s="490"/>
      <c r="R206" s="488">
        <v>9.58</v>
      </c>
      <c r="S206" s="450" t="s">
        <v>116</v>
      </c>
      <c r="T206" s="450"/>
      <c r="U206" s="452"/>
      <c r="V206" s="430"/>
    </row>
    <row r="207" spans="1:22" s="431" customFormat="1" x14ac:dyDescent="0.3">
      <c r="A207" s="449"/>
      <c r="B207" s="450" t="s">
        <v>78</v>
      </c>
      <c r="C207" s="561"/>
      <c r="D207" s="561"/>
      <c r="E207" s="561"/>
      <c r="F207" s="561"/>
      <c r="G207" s="490"/>
      <c r="H207" s="490"/>
      <c r="I207" s="490"/>
      <c r="J207" s="490"/>
      <c r="K207" s="490"/>
      <c r="L207" s="490"/>
      <c r="M207" s="490"/>
      <c r="N207" s="490"/>
      <c r="O207" s="490"/>
      <c r="P207" s="490"/>
      <c r="Q207" s="490"/>
      <c r="R207" s="483">
        <f>N67/L67</f>
        <v>2.0136379890748117E-2</v>
      </c>
      <c r="S207" s="450"/>
      <c r="T207" s="450"/>
      <c r="U207" s="452"/>
      <c r="V207" s="430"/>
    </row>
    <row r="208" spans="1:22" s="431" customFormat="1" x14ac:dyDescent="0.3">
      <c r="A208" s="449"/>
      <c r="B208" s="450" t="s">
        <v>79</v>
      </c>
      <c r="C208" s="561"/>
      <c r="D208" s="561"/>
      <c r="E208" s="561"/>
      <c r="F208" s="561"/>
      <c r="G208" s="490"/>
      <c r="H208" s="490"/>
      <c r="I208" s="490"/>
      <c r="J208" s="490"/>
      <c r="K208" s="490"/>
      <c r="L208" s="490"/>
      <c r="M208" s="490"/>
      <c r="N208" s="490"/>
      <c r="O208" s="490"/>
      <c r="P208" s="490"/>
      <c r="Q208" s="490"/>
      <c r="R208" s="483">
        <v>7.5300000000000006E-2</v>
      </c>
      <c r="S208" s="450"/>
      <c r="T208" s="450"/>
      <c r="U208" s="452"/>
      <c r="V208" s="430"/>
    </row>
    <row r="209" spans="1:22" x14ac:dyDescent="0.3">
      <c r="A209" s="557"/>
      <c r="B209" s="563"/>
      <c r="C209" s="563"/>
      <c r="D209" s="563"/>
      <c r="E209" s="563"/>
      <c r="F209" s="563"/>
      <c r="G209" s="516"/>
      <c r="H209" s="516"/>
      <c r="I209" s="516"/>
      <c r="J209" s="516"/>
      <c r="K209" s="516"/>
      <c r="L209" s="516"/>
      <c r="M209" s="516"/>
      <c r="N209" s="516"/>
      <c r="O209" s="516"/>
      <c r="P209" s="516"/>
      <c r="Q209" s="516"/>
      <c r="R209" s="544"/>
      <c r="S209" s="516"/>
      <c r="T209" s="564"/>
      <c r="U209" s="639"/>
      <c r="V209" s="416"/>
    </row>
    <row r="210" spans="1:22" x14ac:dyDescent="0.3">
      <c r="A210" s="565"/>
      <c r="B210" s="521" t="s">
        <v>80</v>
      </c>
      <c r="C210" s="522"/>
      <c r="D210" s="522"/>
      <c r="E210" s="522"/>
      <c r="F210" s="566"/>
      <c r="G210" s="522"/>
      <c r="H210" s="522"/>
      <c r="I210" s="522"/>
      <c r="J210" s="522"/>
      <c r="K210" s="522"/>
      <c r="L210" s="522"/>
      <c r="M210" s="522"/>
      <c r="N210" s="522"/>
      <c r="O210" s="522"/>
      <c r="P210" s="522"/>
      <c r="Q210" s="522" t="s">
        <v>105</v>
      </c>
      <c r="R210" s="566" t="s">
        <v>112</v>
      </c>
      <c r="S210" s="443"/>
      <c r="T210" s="443"/>
      <c r="U210" s="446"/>
      <c r="V210" s="416"/>
    </row>
    <row r="211" spans="1:22" s="431" customFormat="1" x14ac:dyDescent="0.3">
      <c r="A211" s="567"/>
      <c r="B211" s="447" t="s">
        <v>81</v>
      </c>
      <c r="C211" s="525"/>
      <c r="D211" s="525"/>
      <c r="E211" s="525"/>
      <c r="F211" s="447"/>
      <c r="G211" s="447"/>
      <c r="H211" s="568"/>
      <c r="I211" s="568"/>
      <c r="J211" s="568"/>
      <c r="K211" s="568"/>
      <c r="L211" s="568"/>
      <c r="M211" s="568"/>
      <c r="N211" s="568"/>
      <c r="O211" s="568"/>
      <c r="P211" s="568"/>
      <c r="Q211" s="568">
        <v>0</v>
      </c>
      <c r="R211" s="569">
        <v>0</v>
      </c>
      <c r="S211" s="447"/>
      <c r="T211" s="570"/>
      <c r="U211" s="644"/>
      <c r="V211" s="430"/>
    </row>
    <row r="212" spans="1:22" s="431" customFormat="1" x14ac:dyDescent="0.3">
      <c r="A212" s="571"/>
      <c r="B212" s="450" t="s">
        <v>151</v>
      </c>
      <c r="C212" s="514"/>
      <c r="D212" s="514"/>
      <c r="E212" s="514"/>
      <c r="F212" s="450"/>
      <c r="G212" s="450"/>
      <c r="H212" s="456"/>
      <c r="I212" s="456"/>
      <c r="J212" s="456"/>
      <c r="K212" s="456"/>
      <c r="L212" s="456"/>
      <c r="M212" s="456"/>
      <c r="N212" s="456"/>
      <c r="O212" s="456"/>
      <c r="P212" s="456"/>
      <c r="Q212" s="572">
        <f>+P264</f>
        <v>27</v>
      </c>
      <c r="R212" s="573">
        <f>+R264</f>
        <v>4123</v>
      </c>
      <c r="S212" s="450"/>
      <c r="T212" s="574"/>
      <c r="U212" s="575"/>
      <c r="V212" s="430"/>
    </row>
    <row r="213" spans="1:22" s="431" customFormat="1" x14ac:dyDescent="0.3">
      <c r="A213" s="571"/>
      <c r="B213" s="450" t="s">
        <v>82</v>
      </c>
      <c r="C213" s="514"/>
      <c r="D213" s="514"/>
      <c r="E213" s="514"/>
      <c r="F213" s="450"/>
      <c r="G213" s="450"/>
      <c r="H213" s="456"/>
      <c r="I213" s="456"/>
      <c r="J213" s="456"/>
      <c r="K213" s="456"/>
      <c r="L213" s="456"/>
      <c r="M213" s="456"/>
      <c r="N213" s="456"/>
      <c r="O213" s="456"/>
      <c r="P213" s="456"/>
      <c r="Q213" s="572">
        <f>+P276</f>
        <v>0</v>
      </c>
      <c r="R213" s="573">
        <f>+R276</f>
        <v>0</v>
      </c>
      <c r="S213" s="450"/>
      <c r="T213" s="574"/>
      <c r="U213" s="575"/>
      <c r="V213" s="430"/>
    </row>
    <row r="214" spans="1:22" x14ac:dyDescent="0.3">
      <c r="A214" s="576"/>
      <c r="B214" s="577" t="s">
        <v>83</v>
      </c>
      <c r="C214" s="578"/>
      <c r="D214" s="578"/>
      <c r="E214" s="578"/>
      <c r="F214" s="470"/>
      <c r="G214" s="470"/>
      <c r="H214" s="470"/>
      <c r="I214" s="470"/>
      <c r="J214" s="470"/>
      <c r="K214" s="470"/>
      <c r="L214" s="470"/>
      <c r="M214" s="470"/>
      <c r="N214" s="470"/>
      <c r="O214" s="470"/>
      <c r="P214" s="470"/>
      <c r="Q214" s="541"/>
      <c r="R214" s="579">
        <v>0</v>
      </c>
      <c r="S214" s="470"/>
      <c r="T214" s="580"/>
      <c r="U214" s="581"/>
      <c r="V214" s="416"/>
    </row>
    <row r="215" spans="1:22" x14ac:dyDescent="0.3">
      <c r="A215" s="576"/>
      <c r="B215" s="577" t="s">
        <v>84</v>
      </c>
      <c r="C215" s="578"/>
      <c r="D215" s="578"/>
      <c r="E215" s="578"/>
      <c r="F215" s="470"/>
      <c r="G215" s="470"/>
      <c r="H215" s="470"/>
      <c r="I215" s="470"/>
      <c r="J215" s="470"/>
      <c r="K215" s="470"/>
      <c r="L215" s="470"/>
      <c r="M215" s="470"/>
      <c r="N215" s="470"/>
      <c r="O215" s="470"/>
      <c r="P215" s="470"/>
      <c r="Q215" s="450"/>
      <c r="R215" s="582" t="s">
        <v>113</v>
      </c>
      <c r="S215" s="470"/>
      <c r="T215" s="580"/>
      <c r="U215" s="581"/>
      <c r="V215" s="416"/>
    </row>
    <row r="216" spans="1:22" x14ac:dyDescent="0.3">
      <c r="A216" s="583"/>
      <c r="B216" s="577" t="s">
        <v>85</v>
      </c>
      <c r="C216" s="584"/>
      <c r="D216" s="584"/>
      <c r="E216" s="584"/>
      <c r="F216" s="584"/>
      <c r="G216" s="470"/>
      <c r="H216" s="470"/>
      <c r="I216" s="470"/>
      <c r="J216" s="470"/>
      <c r="K216" s="470"/>
      <c r="L216" s="470"/>
      <c r="M216" s="470"/>
      <c r="N216" s="470"/>
      <c r="O216" s="470"/>
      <c r="P216" s="470"/>
      <c r="Q216" s="450"/>
      <c r="R216" s="573"/>
      <c r="S216" s="470"/>
      <c r="T216" s="580"/>
      <c r="U216" s="585"/>
      <c r="V216" s="416"/>
    </row>
    <row r="217" spans="1:22" s="431" customFormat="1" x14ac:dyDescent="0.3">
      <c r="A217" s="586"/>
      <c r="B217" s="450" t="s">
        <v>86</v>
      </c>
      <c r="C217" s="450"/>
      <c r="D217" s="450"/>
      <c r="E217" s="450"/>
      <c r="F217" s="450"/>
      <c r="G217" s="450"/>
      <c r="H217" s="450"/>
      <c r="I217" s="450"/>
      <c r="J217" s="450"/>
      <c r="K217" s="450"/>
      <c r="L217" s="450"/>
      <c r="M217" s="450"/>
      <c r="N217" s="450"/>
      <c r="O217" s="450"/>
      <c r="P217" s="450"/>
      <c r="Q217" s="456"/>
      <c r="R217" s="573">
        <f>T161</f>
        <v>91</v>
      </c>
      <c r="S217" s="450"/>
      <c r="T217" s="574"/>
      <c r="U217" s="587"/>
      <c r="V217" s="430"/>
    </row>
    <row r="218" spans="1:22" s="431" customFormat="1" x14ac:dyDescent="0.3">
      <c r="A218" s="571"/>
      <c r="B218" s="450" t="s">
        <v>87</v>
      </c>
      <c r="C218" s="514"/>
      <c r="D218" s="514"/>
      <c r="E218" s="514"/>
      <c r="F218" s="514"/>
      <c r="G218" s="450"/>
      <c r="H218" s="450"/>
      <c r="I218" s="450"/>
      <c r="J218" s="450"/>
      <c r="K218" s="450"/>
      <c r="L218" s="450"/>
      <c r="M218" s="450"/>
      <c r="N218" s="450"/>
      <c r="O218" s="450"/>
      <c r="P218" s="450"/>
      <c r="Q218" s="456"/>
      <c r="R218" s="573">
        <f>'June 18'!R218+R217</f>
        <v>7473</v>
      </c>
      <c r="S218" s="450"/>
      <c r="T218" s="574"/>
      <c r="U218" s="587"/>
      <c r="V218" s="430"/>
    </row>
    <row r="219" spans="1:22" x14ac:dyDescent="0.3">
      <c r="A219" s="583"/>
      <c r="B219" s="577" t="s">
        <v>282</v>
      </c>
      <c r="C219" s="584"/>
      <c r="D219" s="584"/>
      <c r="E219" s="584"/>
      <c r="F219" s="584"/>
      <c r="G219" s="470"/>
      <c r="H219" s="470"/>
      <c r="I219" s="470"/>
      <c r="J219" s="470"/>
      <c r="K219" s="470"/>
      <c r="L219" s="470"/>
      <c r="M219" s="470"/>
      <c r="N219" s="470"/>
      <c r="O219" s="470"/>
      <c r="P219" s="470"/>
      <c r="Q219" s="456"/>
      <c r="R219" s="573"/>
      <c r="S219" s="470"/>
      <c r="T219" s="580"/>
      <c r="U219" s="585"/>
      <c r="V219" s="416"/>
    </row>
    <row r="220" spans="1:22" s="431" customFormat="1" x14ac:dyDescent="0.3">
      <c r="A220" s="586"/>
      <c r="B220" s="450" t="s">
        <v>280</v>
      </c>
      <c r="C220" s="450"/>
      <c r="D220" s="450"/>
      <c r="E220" s="450"/>
      <c r="F220" s="450"/>
      <c r="G220" s="450"/>
      <c r="H220" s="450"/>
      <c r="I220" s="450"/>
      <c r="J220" s="450"/>
      <c r="K220" s="450"/>
      <c r="L220" s="450"/>
      <c r="M220" s="450"/>
      <c r="N220" s="450"/>
      <c r="O220" s="450"/>
      <c r="P220" s="450"/>
      <c r="Q220" s="456">
        <v>0</v>
      </c>
      <c r="R220" s="573">
        <v>0</v>
      </c>
      <c r="S220" s="450"/>
      <c r="T220" s="574"/>
      <c r="U220" s="587"/>
      <c r="V220" s="430"/>
    </row>
    <row r="221" spans="1:22" s="431" customFormat="1" x14ac:dyDescent="0.3">
      <c r="A221" s="571"/>
      <c r="B221" s="450" t="s">
        <v>89</v>
      </c>
      <c r="C221" s="486"/>
      <c r="D221" s="486"/>
      <c r="E221" s="486"/>
      <c r="F221" s="588"/>
      <c r="G221" s="450"/>
      <c r="H221" s="450"/>
      <c r="I221" s="450"/>
      <c r="J221" s="450"/>
      <c r="K221" s="450"/>
      <c r="L221" s="450"/>
      <c r="M221" s="450"/>
      <c r="N221" s="450"/>
      <c r="O221" s="450"/>
      <c r="P221" s="450"/>
      <c r="Q221" s="450"/>
      <c r="R221" s="582">
        <v>0</v>
      </c>
      <c r="S221" s="450"/>
      <c r="T221" s="574"/>
      <c r="U221" s="587"/>
      <c r="V221" s="430"/>
    </row>
    <row r="222" spans="1:22" s="431" customFormat="1" x14ac:dyDescent="0.3">
      <c r="A222" s="571"/>
      <c r="B222" s="450" t="s">
        <v>90</v>
      </c>
      <c r="C222" s="486"/>
      <c r="D222" s="486"/>
      <c r="E222" s="486"/>
      <c r="F222" s="588"/>
      <c r="G222" s="450"/>
      <c r="H222" s="450"/>
      <c r="I222" s="450"/>
      <c r="J222" s="450"/>
      <c r="K222" s="450"/>
      <c r="L222" s="450"/>
      <c r="M222" s="450"/>
      <c r="N222" s="450"/>
      <c r="O222" s="450"/>
      <c r="P222" s="450"/>
      <c r="Q222" s="450"/>
      <c r="R222" s="582">
        <v>0</v>
      </c>
      <c r="S222" s="450"/>
      <c r="T222" s="574"/>
      <c r="U222" s="587"/>
      <c r="V222" s="430"/>
    </row>
    <row r="223" spans="1:22" x14ac:dyDescent="0.3">
      <c r="A223" s="576"/>
      <c r="B223" s="577" t="s">
        <v>226</v>
      </c>
      <c r="C223" s="589"/>
      <c r="D223" s="589"/>
      <c r="E223" s="589"/>
      <c r="F223" s="590"/>
      <c r="G223" s="470"/>
      <c r="H223" s="470"/>
      <c r="I223" s="470"/>
      <c r="J223" s="470"/>
      <c r="K223" s="470"/>
      <c r="L223" s="470"/>
      <c r="M223" s="470"/>
      <c r="N223" s="470"/>
      <c r="O223" s="470"/>
      <c r="P223" s="470"/>
      <c r="Q223" s="456"/>
      <c r="R223" s="591"/>
      <c r="S223" s="470"/>
      <c r="T223" s="580"/>
      <c r="U223" s="585"/>
      <c r="V223" s="416"/>
    </row>
    <row r="224" spans="1:22" s="431" customFormat="1" x14ac:dyDescent="0.3">
      <c r="A224" s="571"/>
      <c r="B224" s="450" t="s">
        <v>280</v>
      </c>
      <c r="C224" s="486"/>
      <c r="D224" s="486"/>
      <c r="E224" s="486"/>
      <c r="F224" s="588"/>
      <c r="G224" s="450"/>
      <c r="H224" s="450"/>
      <c r="I224" s="450"/>
      <c r="J224" s="450"/>
      <c r="K224" s="450"/>
      <c r="L224" s="450"/>
      <c r="M224" s="450"/>
      <c r="N224" s="450"/>
      <c r="O224" s="450"/>
      <c r="P224" s="450"/>
      <c r="Q224" s="456">
        <v>2</v>
      </c>
      <c r="R224" s="573">
        <v>317</v>
      </c>
      <c r="S224" s="450"/>
      <c r="T224" s="574"/>
      <c r="U224" s="587"/>
      <c r="V224" s="430"/>
    </row>
    <row r="225" spans="1:23" s="431" customFormat="1" x14ac:dyDescent="0.3">
      <c r="A225" s="571"/>
      <c r="B225" s="450" t="s">
        <v>227</v>
      </c>
      <c r="C225" s="486"/>
      <c r="D225" s="486"/>
      <c r="E225" s="486"/>
      <c r="F225" s="588"/>
      <c r="G225" s="450"/>
      <c r="H225" s="450"/>
      <c r="I225" s="450"/>
      <c r="J225" s="450"/>
      <c r="K225" s="450"/>
      <c r="L225" s="450"/>
      <c r="M225" s="450"/>
      <c r="N225" s="450"/>
      <c r="O225" s="450"/>
      <c r="P225" s="450"/>
      <c r="Q225" s="456"/>
      <c r="R225" s="582">
        <v>6.75</v>
      </c>
      <c r="S225" s="450"/>
      <c r="T225" s="574"/>
      <c r="U225" s="587"/>
      <c r="V225" s="430"/>
    </row>
    <row r="226" spans="1:23" x14ac:dyDescent="0.3">
      <c r="A226" s="576"/>
      <c r="B226" s="584"/>
      <c r="C226" s="589"/>
      <c r="D226" s="589"/>
      <c r="E226" s="589"/>
      <c r="F226" s="590"/>
      <c r="G226" s="470"/>
      <c r="H226" s="470"/>
      <c r="I226" s="470"/>
      <c r="J226" s="470"/>
      <c r="K226" s="470"/>
      <c r="L226" s="470"/>
      <c r="M226" s="470"/>
      <c r="N226" s="470"/>
      <c r="O226" s="470"/>
      <c r="P226" s="470"/>
      <c r="Q226" s="450"/>
      <c r="R226" s="591"/>
      <c r="S226" s="470"/>
      <c r="T226" s="580"/>
      <c r="U226" s="585"/>
      <c r="V226" s="416"/>
    </row>
    <row r="227" spans="1:23" x14ac:dyDescent="0.3">
      <c r="A227" s="576"/>
      <c r="B227" s="584"/>
      <c r="C227" s="589"/>
      <c r="D227" s="589"/>
      <c r="E227" s="589"/>
      <c r="F227" s="590"/>
      <c r="G227" s="470"/>
      <c r="H227" s="470"/>
      <c r="I227" s="470"/>
      <c r="J227" s="470"/>
      <c r="K227" s="470"/>
      <c r="L227" s="470"/>
      <c r="M227" s="470"/>
      <c r="N227" s="470"/>
      <c r="O227" s="470"/>
      <c r="P227" s="470"/>
      <c r="Q227" s="450"/>
      <c r="R227" s="591"/>
      <c r="S227" s="470"/>
      <c r="T227" s="580"/>
      <c r="U227" s="585"/>
      <c r="V227" s="416"/>
    </row>
    <row r="228" spans="1:23" ht="18" x14ac:dyDescent="0.35">
      <c r="A228" s="576"/>
      <c r="B228" s="592" t="s">
        <v>175</v>
      </c>
      <c r="C228" s="589"/>
      <c r="D228" s="589"/>
      <c r="E228" s="589"/>
      <c r="F228" s="590"/>
      <c r="G228" s="470"/>
      <c r="H228" s="470"/>
      <c r="I228" s="470"/>
      <c r="J228" s="470"/>
      <c r="K228" s="470"/>
      <c r="L228" s="470"/>
      <c r="M228" s="470"/>
      <c r="N228" s="647" t="s">
        <v>356</v>
      </c>
      <c r="O228" s="470"/>
      <c r="P228" s="470"/>
      <c r="Q228" s="470"/>
      <c r="R228" s="593"/>
      <c r="S228" s="470"/>
      <c r="T228" s="580"/>
      <c r="U228" s="585"/>
      <c r="V228" s="416"/>
    </row>
    <row r="229" spans="1:23" x14ac:dyDescent="0.3">
      <c r="A229" s="594"/>
      <c r="B229" s="563"/>
      <c r="C229" s="595"/>
      <c r="D229" s="595"/>
      <c r="E229" s="595"/>
      <c r="F229" s="596"/>
      <c r="G229" s="516"/>
      <c r="H229" s="516"/>
      <c r="I229" s="516"/>
      <c r="J229" s="516"/>
      <c r="K229" s="516"/>
      <c r="L229" s="516"/>
      <c r="M229" s="516"/>
      <c r="N229" s="516"/>
      <c r="O229" s="516"/>
      <c r="P229" s="516"/>
      <c r="Q229" s="516"/>
      <c r="R229" s="597"/>
      <c r="S229" s="516"/>
      <c r="T229" s="564"/>
      <c r="U229" s="645"/>
      <c r="V229" s="416"/>
    </row>
    <row r="230" spans="1:23" x14ac:dyDescent="0.3">
      <c r="A230" s="442"/>
      <c r="B230" s="598" t="s">
        <v>295</v>
      </c>
      <c r="C230" s="599"/>
      <c r="D230" s="599"/>
      <c r="E230" s="599"/>
      <c r="F230" s="600"/>
      <c r="G230" s="599"/>
      <c r="H230" s="599"/>
      <c r="I230" s="599"/>
      <c r="J230" s="599"/>
      <c r="K230" s="599"/>
      <c r="L230" s="599"/>
      <c r="M230" s="599"/>
      <c r="N230" s="599"/>
      <c r="O230" s="599"/>
      <c r="P230" s="600" t="s">
        <v>105</v>
      </c>
      <c r="Q230" s="599" t="s">
        <v>106</v>
      </c>
      <c r="R230" s="600" t="s">
        <v>114</v>
      </c>
      <c r="S230" s="599" t="s">
        <v>106</v>
      </c>
      <c r="T230" s="601"/>
      <c r="U230" s="605"/>
      <c r="V230" s="416"/>
    </row>
    <row r="231" spans="1:23" s="431" customFormat="1" x14ac:dyDescent="0.3">
      <c r="A231" s="632"/>
      <c r="B231" s="633" t="s">
        <v>91</v>
      </c>
      <c r="C231" s="634"/>
      <c r="D231" s="634"/>
      <c r="E231" s="634"/>
      <c r="F231" s="635"/>
      <c r="G231" s="634"/>
      <c r="H231" s="634"/>
      <c r="I231" s="634"/>
      <c r="J231" s="634"/>
      <c r="K231" s="634"/>
      <c r="L231" s="634"/>
      <c r="M231" s="634"/>
      <c r="N231" s="634"/>
      <c r="O231" s="634"/>
      <c r="P231" s="633">
        <f t="shared" ref="P231:P238" si="1">+P243+P255+P267</f>
        <v>3095</v>
      </c>
      <c r="Q231" s="636">
        <f t="shared" ref="Q231:Q238" si="2">P231/$P$240</f>
        <v>0.9967793880837359</v>
      </c>
      <c r="R231" s="637">
        <f t="shared" ref="R231:R238" si="3">+R243+R255+R267</f>
        <v>396346</v>
      </c>
      <c r="S231" s="636">
        <f t="shared" ref="S231:S238" si="4">R231/$R$240</f>
        <v>0.99743560706151779</v>
      </c>
      <c r="T231" s="630"/>
      <c r="U231" s="631"/>
      <c r="V231" s="430"/>
    </row>
    <row r="232" spans="1:23" s="431" customFormat="1" x14ac:dyDescent="0.3">
      <c r="A232" s="449"/>
      <c r="B232" s="514" t="s">
        <v>92</v>
      </c>
      <c r="C232" s="603"/>
      <c r="D232" s="603"/>
      <c r="E232" s="603"/>
      <c r="F232" s="450"/>
      <c r="G232" s="602"/>
      <c r="H232" s="603"/>
      <c r="I232" s="603"/>
      <c r="J232" s="603"/>
      <c r="K232" s="603"/>
      <c r="L232" s="603"/>
      <c r="M232" s="603"/>
      <c r="N232" s="603"/>
      <c r="O232" s="603"/>
      <c r="P232" s="514">
        <f t="shared" si="1"/>
        <v>6</v>
      </c>
      <c r="Q232" s="602">
        <f t="shared" si="2"/>
        <v>1.9323671497584541E-3</v>
      </c>
      <c r="R232" s="515">
        <f t="shared" si="3"/>
        <v>554</v>
      </c>
      <c r="S232" s="602">
        <f t="shared" si="4"/>
        <v>1.3941841883406943E-3</v>
      </c>
      <c r="T232" s="574"/>
      <c r="U232" s="587"/>
      <c r="V232" s="430"/>
      <c r="W232" s="533"/>
    </row>
    <row r="233" spans="1:23" s="431" customFormat="1" x14ac:dyDescent="0.3">
      <c r="A233" s="449"/>
      <c r="B233" s="514" t="s">
        <v>93</v>
      </c>
      <c r="C233" s="603"/>
      <c r="D233" s="603"/>
      <c r="E233" s="603"/>
      <c r="F233" s="450"/>
      <c r="G233" s="602"/>
      <c r="H233" s="603"/>
      <c r="I233" s="603"/>
      <c r="J233" s="603"/>
      <c r="K233" s="603"/>
      <c r="L233" s="603"/>
      <c r="M233" s="603"/>
      <c r="N233" s="603"/>
      <c r="O233" s="603"/>
      <c r="P233" s="514">
        <f t="shared" si="1"/>
        <v>1</v>
      </c>
      <c r="Q233" s="602">
        <f t="shared" si="2"/>
        <v>3.2206119162640903E-4</v>
      </c>
      <c r="R233" s="515">
        <f t="shared" si="3"/>
        <v>125</v>
      </c>
      <c r="S233" s="602">
        <f t="shared" si="4"/>
        <v>3.1457224466170902E-4</v>
      </c>
      <c r="T233" s="574"/>
      <c r="U233" s="587"/>
      <c r="V233" s="430"/>
    </row>
    <row r="234" spans="1:23" s="431" customFormat="1" x14ac:dyDescent="0.3">
      <c r="A234" s="449"/>
      <c r="B234" s="514" t="s">
        <v>163</v>
      </c>
      <c r="C234" s="603"/>
      <c r="D234" s="603"/>
      <c r="E234" s="603"/>
      <c r="F234" s="450"/>
      <c r="G234" s="602"/>
      <c r="H234" s="603"/>
      <c r="I234" s="603"/>
      <c r="J234" s="603"/>
      <c r="K234" s="603"/>
      <c r="L234" s="603"/>
      <c r="M234" s="603"/>
      <c r="N234" s="603"/>
      <c r="O234" s="603"/>
      <c r="P234" s="514">
        <f t="shared" si="1"/>
        <v>0</v>
      </c>
      <c r="Q234" s="602">
        <f t="shared" si="2"/>
        <v>0</v>
      </c>
      <c r="R234" s="515">
        <f t="shared" si="3"/>
        <v>0</v>
      </c>
      <c r="S234" s="602">
        <f t="shared" si="4"/>
        <v>0</v>
      </c>
      <c r="T234" s="574"/>
      <c r="U234" s="587"/>
      <c r="V234" s="430"/>
      <c r="W234" s="533"/>
    </row>
    <row r="235" spans="1:23" s="431" customFormat="1" x14ac:dyDescent="0.3">
      <c r="A235" s="449"/>
      <c r="B235" s="514" t="s">
        <v>164</v>
      </c>
      <c r="C235" s="603"/>
      <c r="D235" s="603"/>
      <c r="E235" s="603"/>
      <c r="F235" s="450"/>
      <c r="G235" s="602"/>
      <c r="H235" s="603"/>
      <c r="I235" s="603"/>
      <c r="J235" s="603"/>
      <c r="K235" s="603"/>
      <c r="L235" s="603"/>
      <c r="M235" s="603"/>
      <c r="N235" s="603"/>
      <c r="O235" s="603"/>
      <c r="P235" s="514">
        <f t="shared" si="1"/>
        <v>0</v>
      </c>
      <c r="Q235" s="602">
        <f t="shared" si="2"/>
        <v>0</v>
      </c>
      <c r="R235" s="515">
        <f t="shared" si="3"/>
        <v>0</v>
      </c>
      <c r="S235" s="602">
        <f t="shared" si="4"/>
        <v>0</v>
      </c>
      <c r="T235" s="574"/>
      <c r="U235" s="587"/>
      <c r="V235" s="430"/>
    </row>
    <row r="236" spans="1:23" s="431" customFormat="1" x14ac:dyDescent="0.3">
      <c r="A236" s="449"/>
      <c r="B236" s="514" t="s">
        <v>165</v>
      </c>
      <c r="C236" s="603"/>
      <c r="D236" s="603"/>
      <c r="E236" s="603"/>
      <c r="F236" s="450"/>
      <c r="G236" s="602"/>
      <c r="H236" s="603"/>
      <c r="I236" s="603"/>
      <c r="J236" s="603"/>
      <c r="K236" s="603"/>
      <c r="L236" s="603"/>
      <c r="M236" s="603"/>
      <c r="N236" s="603"/>
      <c r="O236" s="603"/>
      <c r="P236" s="514">
        <f t="shared" si="1"/>
        <v>1</v>
      </c>
      <c r="Q236" s="602">
        <f t="shared" si="2"/>
        <v>3.2206119162640903E-4</v>
      </c>
      <c r="R236" s="515">
        <f t="shared" si="3"/>
        <v>123</v>
      </c>
      <c r="S236" s="602">
        <f t="shared" si="4"/>
        <v>3.0953908874712169E-4</v>
      </c>
      <c r="T236" s="574"/>
      <c r="U236" s="587"/>
      <c r="V236" s="430"/>
      <c r="W236" s="533"/>
    </row>
    <row r="237" spans="1:23" s="431" customFormat="1" x14ac:dyDescent="0.3">
      <c r="A237" s="449"/>
      <c r="B237" s="514" t="s">
        <v>166</v>
      </c>
      <c r="C237" s="603"/>
      <c r="D237" s="603"/>
      <c r="E237" s="603"/>
      <c r="F237" s="450"/>
      <c r="G237" s="602"/>
      <c r="H237" s="603"/>
      <c r="I237" s="603"/>
      <c r="J237" s="603"/>
      <c r="K237" s="603"/>
      <c r="L237" s="603"/>
      <c r="M237" s="603"/>
      <c r="N237" s="603"/>
      <c r="O237" s="603"/>
      <c r="P237" s="514">
        <f t="shared" si="1"/>
        <v>2</v>
      </c>
      <c r="Q237" s="602">
        <f t="shared" si="2"/>
        <v>6.4412238325281806E-4</v>
      </c>
      <c r="R237" s="515">
        <f t="shared" si="3"/>
        <v>217</v>
      </c>
      <c r="S237" s="602">
        <f t="shared" si="4"/>
        <v>5.4609741673272683E-4</v>
      </c>
      <c r="T237" s="574"/>
      <c r="U237" s="587"/>
      <c r="V237" s="430"/>
    </row>
    <row r="238" spans="1:23" s="431" customFormat="1" x14ac:dyDescent="0.3">
      <c r="A238" s="449"/>
      <c r="B238" s="514" t="s">
        <v>167</v>
      </c>
      <c r="C238" s="603"/>
      <c r="D238" s="603"/>
      <c r="E238" s="603"/>
      <c r="F238" s="450"/>
      <c r="G238" s="602"/>
      <c r="H238" s="603"/>
      <c r="I238" s="603"/>
      <c r="J238" s="603"/>
      <c r="K238" s="603"/>
      <c r="L238" s="603"/>
      <c r="M238" s="603"/>
      <c r="N238" s="603"/>
      <c r="O238" s="603"/>
      <c r="P238" s="514">
        <f t="shared" si="1"/>
        <v>0</v>
      </c>
      <c r="Q238" s="602">
        <f t="shared" si="2"/>
        <v>0</v>
      </c>
      <c r="R238" s="515">
        <f t="shared" si="3"/>
        <v>0</v>
      </c>
      <c r="S238" s="602">
        <f t="shared" si="4"/>
        <v>0</v>
      </c>
      <c r="T238" s="574"/>
      <c r="U238" s="587"/>
      <c r="V238" s="430"/>
      <c r="W238" s="533"/>
    </row>
    <row r="239" spans="1:23" s="431" customFormat="1" x14ac:dyDescent="0.3">
      <c r="A239" s="449"/>
      <c r="B239" s="514"/>
      <c r="C239" s="603"/>
      <c r="D239" s="603"/>
      <c r="E239" s="603"/>
      <c r="F239" s="450"/>
      <c r="G239" s="602"/>
      <c r="H239" s="603"/>
      <c r="I239" s="603"/>
      <c r="J239" s="603"/>
      <c r="K239" s="603"/>
      <c r="L239" s="603"/>
      <c r="M239" s="603"/>
      <c r="N239" s="603"/>
      <c r="O239" s="603"/>
      <c r="P239" s="514"/>
      <c r="Q239" s="602"/>
      <c r="R239" s="515"/>
      <c r="S239" s="602"/>
      <c r="T239" s="574"/>
      <c r="U239" s="587"/>
      <c r="V239" s="430"/>
    </row>
    <row r="240" spans="1:23" s="431" customFormat="1" x14ac:dyDescent="0.3">
      <c r="A240" s="449"/>
      <c r="B240" s="450" t="s">
        <v>120</v>
      </c>
      <c r="C240" s="450"/>
      <c r="D240" s="450"/>
      <c r="E240" s="450"/>
      <c r="F240" s="450"/>
      <c r="G240" s="450"/>
      <c r="H240" s="604"/>
      <c r="I240" s="604"/>
      <c r="J240" s="604"/>
      <c r="K240" s="604"/>
      <c r="L240" s="604"/>
      <c r="M240" s="604"/>
      <c r="N240" s="604"/>
      <c r="O240" s="604"/>
      <c r="P240" s="514">
        <f>SUM(P231:P239)</f>
        <v>3105</v>
      </c>
      <c r="Q240" s="602">
        <f>SUM(Q231:Q239)</f>
        <v>0.99999999999999989</v>
      </c>
      <c r="R240" s="515">
        <f>SUM(R231:R239)</f>
        <v>397365</v>
      </c>
      <c r="S240" s="602">
        <f>SUM(S231:S239)</f>
        <v>1</v>
      </c>
      <c r="T240" s="450"/>
      <c r="U240" s="452"/>
      <c r="V240" s="430"/>
    </row>
    <row r="241" spans="1:23" x14ac:dyDescent="0.3">
      <c r="A241" s="594"/>
      <c r="B241" s="563"/>
      <c r="C241" s="595"/>
      <c r="D241" s="595"/>
      <c r="E241" s="595"/>
      <c r="F241" s="596"/>
      <c r="G241" s="516"/>
      <c r="H241" s="516"/>
      <c r="I241" s="516"/>
      <c r="J241" s="516"/>
      <c r="K241" s="516"/>
      <c r="L241" s="516"/>
      <c r="M241" s="516"/>
      <c r="N241" s="516"/>
      <c r="O241" s="516"/>
      <c r="P241" s="516"/>
      <c r="Q241" s="516"/>
      <c r="R241" s="597"/>
      <c r="S241" s="516"/>
      <c r="T241" s="564"/>
      <c r="U241" s="645"/>
      <c r="V241" s="416"/>
    </row>
    <row r="242" spans="1:23" x14ac:dyDescent="0.3">
      <c r="A242" s="442"/>
      <c r="B242" s="521" t="s">
        <v>169</v>
      </c>
      <c r="C242" s="522"/>
      <c r="D242" s="522"/>
      <c r="E242" s="522"/>
      <c r="F242" s="566"/>
      <c r="G242" s="522"/>
      <c r="H242" s="522"/>
      <c r="I242" s="522"/>
      <c r="J242" s="522"/>
      <c r="K242" s="522"/>
      <c r="L242" s="522"/>
      <c r="M242" s="522"/>
      <c r="N242" s="522"/>
      <c r="O242" s="522"/>
      <c r="P242" s="566" t="s">
        <v>105</v>
      </c>
      <c r="Q242" s="522" t="s">
        <v>106</v>
      </c>
      <c r="R242" s="566" t="s">
        <v>114</v>
      </c>
      <c r="S242" s="522" t="s">
        <v>106</v>
      </c>
      <c r="T242" s="443"/>
      <c r="U242" s="605"/>
      <c r="V242" s="416"/>
    </row>
    <row r="243" spans="1:23" s="431" customFormat="1" x14ac:dyDescent="0.3">
      <c r="A243" s="432"/>
      <c r="B243" s="525" t="s">
        <v>91</v>
      </c>
      <c r="C243" s="606"/>
      <c r="D243" s="606"/>
      <c r="E243" s="606"/>
      <c r="F243" s="447"/>
      <c r="G243" s="606"/>
      <c r="H243" s="606"/>
      <c r="I243" s="606"/>
      <c r="J243" s="606"/>
      <c r="K243" s="606"/>
      <c r="L243" s="606"/>
      <c r="M243" s="606"/>
      <c r="N243" s="606"/>
      <c r="O243" s="606"/>
      <c r="P243" s="525">
        <v>3071</v>
      </c>
      <c r="Q243" s="607">
        <f t="shared" ref="Q243:Q250" si="5">P243/$P$252</f>
        <v>0.99772579597140998</v>
      </c>
      <c r="R243" s="526">
        <v>392563</v>
      </c>
      <c r="S243" s="607">
        <f t="shared" ref="S243:S250" si="6">R243/$R$252</f>
        <v>0.99827332787443868</v>
      </c>
      <c r="T243" s="570"/>
      <c r="U243" s="646"/>
      <c r="V243" s="430"/>
    </row>
    <row r="244" spans="1:23" s="431" customFormat="1" x14ac:dyDescent="0.3">
      <c r="A244" s="449"/>
      <c r="B244" s="514" t="s">
        <v>92</v>
      </c>
      <c r="C244" s="603"/>
      <c r="D244" s="603"/>
      <c r="E244" s="603"/>
      <c r="F244" s="450"/>
      <c r="G244" s="602"/>
      <c r="H244" s="603"/>
      <c r="I244" s="603"/>
      <c r="J244" s="603"/>
      <c r="K244" s="603"/>
      <c r="L244" s="603"/>
      <c r="M244" s="603"/>
      <c r="N244" s="603"/>
      <c r="O244" s="603"/>
      <c r="P244" s="514">
        <v>6</v>
      </c>
      <c r="Q244" s="602">
        <f t="shared" si="5"/>
        <v>1.9493177387914229E-3</v>
      </c>
      <c r="R244" s="515">
        <v>554</v>
      </c>
      <c r="S244" s="602">
        <f t="shared" si="6"/>
        <v>1.4088017048026406E-3</v>
      </c>
      <c r="T244" s="574"/>
      <c r="U244" s="587"/>
      <c r="V244" s="430"/>
      <c r="W244" s="533"/>
    </row>
    <row r="245" spans="1:23" s="431" customFormat="1" x14ac:dyDescent="0.3">
      <c r="A245" s="449"/>
      <c r="B245" s="514" t="s">
        <v>93</v>
      </c>
      <c r="C245" s="603"/>
      <c r="D245" s="603"/>
      <c r="E245" s="603"/>
      <c r="F245" s="450"/>
      <c r="G245" s="602"/>
      <c r="H245" s="603"/>
      <c r="I245" s="603"/>
      <c r="J245" s="603"/>
      <c r="K245" s="603"/>
      <c r="L245" s="603"/>
      <c r="M245" s="603"/>
      <c r="N245" s="603"/>
      <c r="O245" s="603"/>
      <c r="P245" s="514">
        <v>1</v>
      </c>
      <c r="Q245" s="602">
        <f t="shared" si="5"/>
        <v>3.2488628979857048E-4</v>
      </c>
      <c r="R245" s="515">
        <v>125</v>
      </c>
      <c r="S245" s="602">
        <f t="shared" si="6"/>
        <v>3.1787042075871855E-4</v>
      </c>
      <c r="T245" s="574"/>
      <c r="U245" s="587"/>
      <c r="V245" s="430"/>
    </row>
    <row r="246" spans="1:23" s="431" customFormat="1" x14ac:dyDescent="0.3">
      <c r="A246" s="449"/>
      <c r="B246" s="514" t="s">
        <v>163</v>
      </c>
      <c r="C246" s="603"/>
      <c r="D246" s="603"/>
      <c r="E246" s="603"/>
      <c r="F246" s="450"/>
      <c r="G246" s="602"/>
      <c r="H246" s="603"/>
      <c r="I246" s="603"/>
      <c r="J246" s="603"/>
      <c r="K246" s="603"/>
      <c r="L246" s="603"/>
      <c r="M246" s="603"/>
      <c r="N246" s="603"/>
      <c r="O246" s="603"/>
      <c r="P246" s="514">
        <v>0</v>
      </c>
      <c r="Q246" s="602">
        <f t="shared" si="5"/>
        <v>0</v>
      </c>
      <c r="R246" s="515">
        <v>0</v>
      </c>
      <c r="S246" s="602">
        <f t="shared" si="6"/>
        <v>0</v>
      </c>
      <c r="T246" s="574"/>
      <c r="U246" s="587"/>
      <c r="V246" s="430"/>
      <c r="W246" s="533"/>
    </row>
    <row r="247" spans="1:23" s="431" customFormat="1" x14ac:dyDescent="0.3">
      <c r="A247" s="449"/>
      <c r="B247" s="514" t="s">
        <v>164</v>
      </c>
      <c r="C247" s="603"/>
      <c r="D247" s="603"/>
      <c r="E247" s="603"/>
      <c r="F247" s="450"/>
      <c r="G247" s="602"/>
      <c r="H247" s="603"/>
      <c r="I247" s="603"/>
      <c r="J247" s="603"/>
      <c r="K247" s="603"/>
      <c r="L247" s="603"/>
      <c r="M247" s="603"/>
      <c r="N247" s="603"/>
      <c r="O247" s="603"/>
      <c r="P247" s="514">
        <v>0</v>
      </c>
      <c r="Q247" s="602">
        <f t="shared" si="5"/>
        <v>0</v>
      </c>
      <c r="R247" s="515">
        <v>0</v>
      </c>
      <c r="S247" s="602">
        <f t="shared" si="6"/>
        <v>0</v>
      </c>
      <c r="T247" s="574"/>
      <c r="U247" s="587"/>
      <c r="V247" s="430"/>
    </row>
    <row r="248" spans="1:23" s="431" customFormat="1" x14ac:dyDescent="0.3">
      <c r="A248" s="449"/>
      <c r="B248" s="514" t="s">
        <v>165</v>
      </c>
      <c r="C248" s="603"/>
      <c r="D248" s="603"/>
      <c r="E248" s="603"/>
      <c r="F248" s="450"/>
      <c r="G248" s="602"/>
      <c r="H248" s="603"/>
      <c r="I248" s="603"/>
      <c r="J248" s="603"/>
      <c r="K248" s="603"/>
      <c r="L248" s="603"/>
      <c r="M248" s="603"/>
      <c r="N248" s="603"/>
      <c r="O248" s="603"/>
      <c r="P248" s="514">
        <v>0</v>
      </c>
      <c r="Q248" s="602">
        <f t="shared" si="5"/>
        <v>0</v>
      </c>
      <c r="R248" s="515">
        <v>0</v>
      </c>
      <c r="S248" s="602">
        <f t="shared" si="6"/>
        <v>0</v>
      </c>
      <c r="T248" s="574"/>
      <c r="U248" s="587"/>
      <c r="V248" s="430"/>
      <c r="W248" s="533"/>
    </row>
    <row r="249" spans="1:23" s="431" customFormat="1" x14ac:dyDescent="0.3">
      <c r="A249" s="449"/>
      <c r="B249" s="514" t="s">
        <v>166</v>
      </c>
      <c r="C249" s="603"/>
      <c r="D249" s="603"/>
      <c r="E249" s="603"/>
      <c r="F249" s="450"/>
      <c r="G249" s="602"/>
      <c r="H249" s="603"/>
      <c r="I249" s="603"/>
      <c r="J249" s="603"/>
      <c r="K249" s="603"/>
      <c r="L249" s="603"/>
      <c r="M249" s="603"/>
      <c r="N249" s="603"/>
      <c r="O249" s="603"/>
      <c r="P249" s="514">
        <v>0</v>
      </c>
      <c r="Q249" s="602">
        <f t="shared" si="5"/>
        <v>0</v>
      </c>
      <c r="R249" s="515">
        <v>0</v>
      </c>
      <c r="S249" s="602">
        <f t="shared" si="6"/>
        <v>0</v>
      </c>
      <c r="T249" s="574"/>
      <c r="U249" s="587"/>
      <c r="V249" s="430"/>
    </row>
    <row r="250" spans="1:23" s="431" customFormat="1" x14ac:dyDescent="0.3">
      <c r="A250" s="449"/>
      <c r="B250" s="514" t="s">
        <v>167</v>
      </c>
      <c r="C250" s="603"/>
      <c r="D250" s="603"/>
      <c r="E250" s="603"/>
      <c r="F250" s="450"/>
      <c r="G250" s="602"/>
      <c r="H250" s="603"/>
      <c r="I250" s="603"/>
      <c r="J250" s="603"/>
      <c r="K250" s="603"/>
      <c r="L250" s="603"/>
      <c r="M250" s="603"/>
      <c r="N250" s="603"/>
      <c r="O250" s="603"/>
      <c r="P250" s="514">
        <v>0</v>
      </c>
      <c r="Q250" s="602">
        <f t="shared" si="5"/>
        <v>0</v>
      </c>
      <c r="R250" s="515">
        <v>0</v>
      </c>
      <c r="S250" s="602">
        <f t="shared" si="6"/>
        <v>0</v>
      </c>
      <c r="T250" s="574"/>
      <c r="U250" s="587"/>
      <c r="V250" s="430"/>
      <c r="W250" s="533"/>
    </row>
    <row r="251" spans="1:23" s="431" customFormat="1" x14ac:dyDescent="0.3">
      <c r="A251" s="449"/>
      <c r="B251" s="514"/>
      <c r="C251" s="603"/>
      <c r="D251" s="603"/>
      <c r="E251" s="603"/>
      <c r="F251" s="450"/>
      <c r="G251" s="602"/>
      <c r="H251" s="603"/>
      <c r="I251" s="603"/>
      <c r="J251" s="603"/>
      <c r="K251" s="603"/>
      <c r="L251" s="603"/>
      <c r="M251" s="603"/>
      <c r="N251" s="603"/>
      <c r="O251" s="603"/>
      <c r="P251" s="514"/>
      <c r="Q251" s="602"/>
      <c r="R251" s="515"/>
      <c r="S251" s="602"/>
      <c r="T251" s="574"/>
      <c r="U251" s="587"/>
      <c r="V251" s="430"/>
    </row>
    <row r="252" spans="1:23" s="431" customFormat="1" x14ac:dyDescent="0.3">
      <c r="A252" s="449"/>
      <c r="B252" s="450" t="s">
        <v>120</v>
      </c>
      <c r="C252" s="450"/>
      <c r="D252" s="450"/>
      <c r="E252" s="450"/>
      <c r="F252" s="450"/>
      <c r="G252" s="450"/>
      <c r="H252" s="604"/>
      <c r="I252" s="604"/>
      <c r="J252" s="604"/>
      <c r="K252" s="604"/>
      <c r="L252" s="604"/>
      <c r="M252" s="604"/>
      <c r="N252" s="604"/>
      <c r="O252" s="604"/>
      <c r="P252" s="514">
        <f>SUM(P243:P251)</f>
        <v>3078</v>
      </c>
      <c r="Q252" s="602">
        <f>SUM(Q243:Q251)</f>
        <v>0.99999999999999989</v>
      </c>
      <c r="R252" s="515">
        <f>SUM(R243:R251)</f>
        <v>393242</v>
      </c>
      <c r="S252" s="602">
        <f>SUM(S243:S251)</f>
        <v>1</v>
      </c>
      <c r="T252" s="450"/>
      <c r="U252" s="452"/>
      <c r="V252" s="430"/>
    </row>
    <row r="253" spans="1:23" x14ac:dyDescent="0.3">
      <c r="A253" s="418"/>
      <c r="B253" s="516"/>
      <c r="C253" s="516"/>
      <c r="D253" s="516"/>
      <c r="E253" s="516"/>
      <c r="F253" s="516"/>
      <c r="G253" s="516"/>
      <c r="H253" s="608"/>
      <c r="I253" s="608"/>
      <c r="J253" s="608"/>
      <c r="K253" s="608"/>
      <c r="L253" s="608"/>
      <c r="M253" s="608"/>
      <c r="N253" s="608"/>
      <c r="O253" s="608"/>
      <c r="P253" s="517"/>
      <c r="Q253" s="609"/>
      <c r="R253" s="610"/>
      <c r="S253" s="609"/>
      <c r="T253" s="516"/>
      <c r="U253" s="639"/>
      <c r="V253" s="416"/>
    </row>
    <row r="254" spans="1:23" x14ac:dyDescent="0.3">
      <c r="A254" s="442"/>
      <c r="B254" s="521" t="s">
        <v>267</v>
      </c>
      <c r="C254" s="522"/>
      <c r="D254" s="522"/>
      <c r="E254" s="522"/>
      <c r="F254" s="566"/>
      <c r="G254" s="522"/>
      <c r="H254" s="522"/>
      <c r="I254" s="522"/>
      <c r="J254" s="522"/>
      <c r="K254" s="522"/>
      <c r="L254" s="522"/>
      <c r="M254" s="522"/>
      <c r="N254" s="522"/>
      <c r="O254" s="522"/>
      <c r="P254" s="566" t="s">
        <v>105</v>
      </c>
      <c r="Q254" s="522" t="s">
        <v>106</v>
      </c>
      <c r="R254" s="566" t="s">
        <v>114</v>
      </c>
      <c r="S254" s="522" t="s">
        <v>106</v>
      </c>
      <c r="T254" s="443"/>
      <c r="U254" s="446"/>
      <c r="V254" s="416"/>
    </row>
    <row r="255" spans="1:23" s="431" customFormat="1" x14ac:dyDescent="0.3">
      <c r="A255" s="432"/>
      <c r="B255" s="525" t="s">
        <v>91</v>
      </c>
      <c r="C255" s="606"/>
      <c r="D255" s="606"/>
      <c r="E255" s="606"/>
      <c r="F255" s="447"/>
      <c r="G255" s="606"/>
      <c r="H255" s="606"/>
      <c r="I255" s="606"/>
      <c r="J255" s="606"/>
      <c r="K255" s="606"/>
      <c r="L255" s="606"/>
      <c r="M255" s="606"/>
      <c r="N255" s="606"/>
      <c r="O255" s="606"/>
      <c r="P255" s="525">
        <v>24</v>
      </c>
      <c r="Q255" s="607">
        <f t="shared" ref="Q255:Q262" si="7">P255/$P$264</f>
        <v>0.88888888888888884</v>
      </c>
      <c r="R255" s="526">
        <v>3783</v>
      </c>
      <c r="S255" s="607">
        <f>R255/$R$264</f>
        <v>0.91753577492117389</v>
      </c>
      <c r="T255" s="447"/>
      <c r="U255" s="641"/>
      <c r="V255" s="430"/>
    </row>
    <row r="256" spans="1:23" s="431" customFormat="1" x14ac:dyDescent="0.3">
      <c r="A256" s="449"/>
      <c r="B256" s="514" t="s">
        <v>92</v>
      </c>
      <c r="C256" s="603"/>
      <c r="D256" s="603"/>
      <c r="E256" s="603"/>
      <c r="F256" s="450"/>
      <c r="G256" s="602"/>
      <c r="H256" s="603"/>
      <c r="I256" s="603"/>
      <c r="J256" s="603"/>
      <c r="K256" s="603"/>
      <c r="L256" s="603"/>
      <c r="M256" s="603"/>
      <c r="N256" s="603"/>
      <c r="O256" s="603"/>
      <c r="P256" s="514">
        <v>0</v>
      </c>
      <c r="Q256" s="602">
        <f t="shared" si="7"/>
        <v>0</v>
      </c>
      <c r="R256" s="515">
        <v>0</v>
      </c>
      <c r="S256" s="602">
        <f t="shared" ref="S256:S262" si="8">R256/$R$264</f>
        <v>0</v>
      </c>
      <c r="T256" s="450"/>
      <c r="U256" s="452"/>
      <c r="V256" s="430"/>
    </row>
    <row r="257" spans="1:22" s="431" customFormat="1" x14ac:dyDescent="0.3">
      <c r="A257" s="449"/>
      <c r="B257" s="514" t="s">
        <v>93</v>
      </c>
      <c r="C257" s="603"/>
      <c r="D257" s="603"/>
      <c r="E257" s="603"/>
      <c r="F257" s="450"/>
      <c r="G257" s="602"/>
      <c r="H257" s="603"/>
      <c r="I257" s="603"/>
      <c r="J257" s="603"/>
      <c r="K257" s="603"/>
      <c r="L257" s="603"/>
      <c r="M257" s="603"/>
      <c r="N257" s="603"/>
      <c r="O257" s="603"/>
      <c r="P257" s="514">
        <v>0</v>
      </c>
      <c r="Q257" s="602">
        <f t="shared" si="7"/>
        <v>0</v>
      </c>
      <c r="R257" s="515">
        <v>0</v>
      </c>
      <c r="S257" s="602">
        <f t="shared" si="8"/>
        <v>0</v>
      </c>
      <c r="T257" s="450"/>
      <c r="U257" s="452"/>
      <c r="V257" s="430"/>
    </row>
    <row r="258" spans="1:22" s="431" customFormat="1" x14ac:dyDescent="0.3">
      <c r="A258" s="449"/>
      <c r="B258" s="514" t="s">
        <v>163</v>
      </c>
      <c r="C258" s="603"/>
      <c r="D258" s="603"/>
      <c r="E258" s="603"/>
      <c r="F258" s="450"/>
      <c r="G258" s="602"/>
      <c r="H258" s="603"/>
      <c r="I258" s="603"/>
      <c r="J258" s="603"/>
      <c r="K258" s="603"/>
      <c r="L258" s="603"/>
      <c r="M258" s="603"/>
      <c r="N258" s="603"/>
      <c r="O258" s="603"/>
      <c r="P258" s="514">
        <v>0</v>
      </c>
      <c r="Q258" s="602">
        <f t="shared" si="7"/>
        <v>0</v>
      </c>
      <c r="R258" s="515">
        <v>0</v>
      </c>
      <c r="S258" s="602">
        <f t="shared" si="8"/>
        <v>0</v>
      </c>
      <c r="T258" s="450"/>
      <c r="U258" s="452"/>
      <c r="V258" s="430"/>
    </row>
    <row r="259" spans="1:22" s="431" customFormat="1" x14ac:dyDescent="0.3">
      <c r="A259" s="449"/>
      <c r="B259" s="514" t="s">
        <v>164</v>
      </c>
      <c r="C259" s="603"/>
      <c r="D259" s="603"/>
      <c r="E259" s="603"/>
      <c r="F259" s="450"/>
      <c r="G259" s="602"/>
      <c r="H259" s="603"/>
      <c r="I259" s="603"/>
      <c r="J259" s="603"/>
      <c r="K259" s="603"/>
      <c r="L259" s="603"/>
      <c r="M259" s="603"/>
      <c r="N259" s="603"/>
      <c r="O259" s="603"/>
      <c r="P259" s="514">
        <v>0</v>
      </c>
      <c r="Q259" s="602">
        <f t="shared" si="7"/>
        <v>0</v>
      </c>
      <c r="R259" s="515">
        <v>0</v>
      </c>
      <c r="S259" s="602">
        <f t="shared" si="8"/>
        <v>0</v>
      </c>
      <c r="T259" s="450"/>
      <c r="U259" s="452"/>
      <c r="V259" s="430"/>
    </row>
    <row r="260" spans="1:22" s="431" customFormat="1" x14ac:dyDescent="0.3">
      <c r="A260" s="449"/>
      <c r="B260" s="514" t="s">
        <v>165</v>
      </c>
      <c r="C260" s="603"/>
      <c r="D260" s="603"/>
      <c r="E260" s="603"/>
      <c r="F260" s="450"/>
      <c r="G260" s="602"/>
      <c r="H260" s="603"/>
      <c r="I260" s="603"/>
      <c r="J260" s="603"/>
      <c r="K260" s="603"/>
      <c r="L260" s="603"/>
      <c r="M260" s="603"/>
      <c r="N260" s="603"/>
      <c r="O260" s="603"/>
      <c r="P260" s="514">
        <v>1</v>
      </c>
      <c r="Q260" s="602">
        <f t="shared" si="7"/>
        <v>3.7037037037037035E-2</v>
      </c>
      <c r="R260" s="515">
        <v>123</v>
      </c>
      <c r="S260" s="602">
        <f t="shared" si="8"/>
        <v>2.9832646131457675E-2</v>
      </c>
      <c r="T260" s="450"/>
      <c r="U260" s="452"/>
      <c r="V260" s="430"/>
    </row>
    <row r="261" spans="1:22" s="431" customFormat="1" x14ac:dyDescent="0.3">
      <c r="A261" s="449"/>
      <c r="B261" s="514" t="s">
        <v>166</v>
      </c>
      <c r="C261" s="603"/>
      <c r="D261" s="603"/>
      <c r="E261" s="603"/>
      <c r="F261" s="450"/>
      <c r="G261" s="602"/>
      <c r="H261" s="603"/>
      <c r="I261" s="603"/>
      <c r="J261" s="603"/>
      <c r="K261" s="603"/>
      <c r="L261" s="603"/>
      <c r="M261" s="603"/>
      <c r="N261" s="603"/>
      <c r="O261" s="603"/>
      <c r="P261" s="514">
        <v>2</v>
      </c>
      <c r="Q261" s="602">
        <f t="shared" si="7"/>
        <v>7.407407407407407E-2</v>
      </c>
      <c r="R261" s="515">
        <v>217</v>
      </c>
      <c r="S261" s="602">
        <f t="shared" si="8"/>
        <v>5.2631578947368418E-2</v>
      </c>
      <c r="T261" s="450"/>
      <c r="U261" s="452"/>
      <c r="V261" s="430"/>
    </row>
    <row r="262" spans="1:22" s="431" customFormat="1" x14ac:dyDescent="0.3">
      <c r="A262" s="449"/>
      <c r="B262" s="514" t="s">
        <v>167</v>
      </c>
      <c r="C262" s="603"/>
      <c r="D262" s="603"/>
      <c r="E262" s="603"/>
      <c r="F262" s="450"/>
      <c r="G262" s="602"/>
      <c r="H262" s="603"/>
      <c r="I262" s="603"/>
      <c r="J262" s="603"/>
      <c r="K262" s="603"/>
      <c r="L262" s="603"/>
      <c r="M262" s="603"/>
      <c r="N262" s="603"/>
      <c r="O262" s="603"/>
      <c r="P262" s="514">
        <v>0</v>
      </c>
      <c r="Q262" s="602">
        <f t="shared" si="7"/>
        <v>0</v>
      </c>
      <c r="R262" s="515">
        <v>0</v>
      </c>
      <c r="S262" s="602">
        <f t="shared" si="8"/>
        <v>0</v>
      </c>
      <c r="T262" s="450"/>
      <c r="U262" s="452"/>
      <c r="V262" s="430"/>
    </row>
    <row r="263" spans="1:22" s="431" customFormat="1" x14ac:dyDescent="0.3">
      <c r="A263" s="449"/>
      <c r="B263" s="514"/>
      <c r="C263" s="603"/>
      <c r="D263" s="603"/>
      <c r="E263" s="603"/>
      <c r="F263" s="450"/>
      <c r="G263" s="602"/>
      <c r="H263" s="603"/>
      <c r="I263" s="603"/>
      <c r="J263" s="603"/>
      <c r="K263" s="603"/>
      <c r="L263" s="603"/>
      <c r="M263" s="603"/>
      <c r="N263" s="603"/>
      <c r="O263" s="603"/>
      <c r="P263" s="514"/>
      <c r="Q263" s="602"/>
      <c r="R263" s="515"/>
      <c r="S263" s="602"/>
      <c r="T263" s="450"/>
      <c r="U263" s="452"/>
      <c r="V263" s="430"/>
    </row>
    <row r="264" spans="1:22" s="431" customFormat="1" x14ac:dyDescent="0.3">
      <c r="A264" s="449"/>
      <c r="B264" s="450" t="s">
        <v>120</v>
      </c>
      <c r="C264" s="450"/>
      <c r="D264" s="450"/>
      <c r="E264" s="450"/>
      <c r="F264" s="450"/>
      <c r="G264" s="450"/>
      <c r="H264" s="604"/>
      <c r="I264" s="604"/>
      <c r="J264" s="604"/>
      <c r="K264" s="604"/>
      <c r="L264" s="604"/>
      <c r="M264" s="604"/>
      <c r="N264" s="604"/>
      <c r="O264" s="604"/>
      <c r="P264" s="514">
        <f>SUM(P255:P263)</f>
        <v>27</v>
      </c>
      <c r="Q264" s="602">
        <f>SUM(Q255:Q263)</f>
        <v>0.99999999999999989</v>
      </c>
      <c r="R264" s="515">
        <f>SUM(R255:R263)</f>
        <v>4123</v>
      </c>
      <c r="S264" s="602">
        <f>SUM(S255:S263)</f>
        <v>1</v>
      </c>
      <c r="T264" s="450"/>
      <c r="U264" s="452"/>
      <c r="V264" s="430"/>
    </row>
    <row r="265" spans="1:22" x14ac:dyDescent="0.3">
      <c r="A265" s="418"/>
      <c r="B265" s="516"/>
      <c r="C265" s="516"/>
      <c r="D265" s="516"/>
      <c r="E265" s="516"/>
      <c r="F265" s="516"/>
      <c r="G265" s="516"/>
      <c r="H265" s="608"/>
      <c r="I265" s="608"/>
      <c r="J265" s="608"/>
      <c r="K265" s="608"/>
      <c r="L265" s="608"/>
      <c r="M265" s="608"/>
      <c r="N265" s="608"/>
      <c r="O265" s="608"/>
      <c r="P265" s="517"/>
      <c r="Q265" s="609"/>
      <c r="R265" s="610"/>
      <c r="S265" s="609"/>
      <c r="T265" s="516"/>
      <c r="U265" s="639"/>
      <c r="V265" s="416"/>
    </row>
    <row r="266" spans="1:22" x14ac:dyDescent="0.3">
      <c r="A266" s="442"/>
      <c r="B266" s="521" t="s">
        <v>170</v>
      </c>
      <c r="C266" s="443"/>
      <c r="D266" s="443"/>
      <c r="E266" s="443"/>
      <c r="F266" s="443"/>
      <c r="G266" s="443"/>
      <c r="H266" s="611"/>
      <c r="I266" s="611"/>
      <c r="J266" s="611"/>
      <c r="K266" s="611"/>
      <c r="L266" s="611"/>
      <c r="M266" s="611"/>
      <c r="N266" s="611"/>
      <c r="O266" s="611"/>
      <c r="P266" s="566" t="s">
        <v>105</v>
      </c>
      <c r="Q266" s="522" t="s">
        <v>106</v>
      </c>
      <c r="R266" s="566" t="s">
        <v>114</v>
      </c>
      <c r="S266" s="522" t="s">
        <v>106</v>
      </c>
      <c r="T266" s="443"/>
      <c r="U266" s="446"/>
      <c r="V266" s="416"/>
    </row>
    <row r="267" spans="1:22" s="431" customFormat="1" x14ac:dyDescent="0.3">
      <c r="A267" s="432"/>
      <c r="B267" s="525" t="s">
        <v>91</v>
      </c>
      <c r="C267" s="447"/>
      <c r="D267" s="447"/>
      <c r="E267" s="447"/>
      <c r="F267" s="447"/>
      <c r="G267" s="447"/>
      <c r="H267" s="612"/>
      <c r="I267" s="612"/>
      <c r="J267" s="612"/>
      <c r="K267" s="612"/>
      <c r="L267" s="612"/>
      <c r="M267" s="612"/>
      <c r="N267" s="612"/>
      <c r="O267" s="612"/>
      <c r="P267" s="525">
        <v>0</v>
      </c>
      <c r="Q267" s="607">
        <v>0</v>
      </c>
      <c r="R267" s="526">
        <v>0</v>
      </c>
      <c r="S267" s="607">
        <v>0</v>
      </c>
      <c r="T267" s="447"/>
      <c r="U267" s="641"/>
      <c r="V267" s="430"/>
    </row>
    <row r="268" spans="1:22" s="431" customFormat="1" x14ac:dyDescent="0.3">
      <c r="A268" s="449"/>
      <c r="B268" s="514" t="s">
        <v>92</v>
      </c>
      <c r="C268" s="450"/>
      <c r="D268" s="450"/>
      <c r="E268" s="450"/>
      <c r="F268" s="450"/>
      <c r="G268" s="450"/>
      <c r="H268" s="604"/>
      <c r="I268" s="604"/>
      <c r="J268" s="604"/>
      <c r="K268" s="604"/>
      <c r="L268" s="604"/>
      <c r="M268" s="604"/>
      <c r="N268" s="604"/>
      <c r="O268" s="604"/>
      <c r="P268" s="514">
        <v>0</v>
      </c>
      <c r="Q268" s="602">
        <v>0</v>
      </c>
      <c r="R268" s="515">
        <v>0</v>
      </c>
      <c r="S268" s="602">
        <v>0</v>
      </c>
      <c r="T268" s="450"/>
      <c r="U268" s="452"/>
      <c r="V268" s="430"/>
    </row>
    <row r="269" spans="1:22" s="431" customFormat="1" x14ac:dyDescent="0.3">
      <c r="A269" s="449"/>
      <c r="B269" s="514" t="s">
        <v>93</v>
      </c>
      <c r="C269" s="450"/>
      <c r="D269" s="450"/>
      <c r="E269" s="450"/>
      <c r="F269" s="450"/>
      <c r="G269" s="450"/>
      <c r="H269" s="604"/>
      <c r="I269" s="604"/>
      <c r="J269" s="604"/>
      <c r="K269" s="604"/>
      <c r="L269" s="604"/>
      <c r="M269" s="604"/>
      <c r="N269" s="604"/>
      <c r="O269" s="604"/>
      <c r="P269" s="514">
        <v>0</v>
      </c>
      <c r="Q269" s="602">
        <v>0</v>
      </c>
      <c r="R269" s="515">
        <v>0</v>
      </c>
      <c r="S269" s="602">
        <v>0</v>
      </c>
      <c r="T269" s="450"/>
      <c r="U269" s="452"/>
      <c r="V269" s="430"/>
    </row>
    <row r="270" spans="1:22" s="431" customFormat="1" x14ac:dyDescent="0.3">
      <c r="A270" s="449"/>
      <c r="B270" s="514" t="s">
        <v>163</v>
      </c>
      <c r="C270" s="450"/>
      <c r="D270" s="450"/>
      <c r="E270" s="450"/>
      <c r="F270" s="450"/>
      <c r="G270" s="450"/>
      <c r="H270" s="604"/>
      <c r="I270" s="604"/>
      <c r="J270" s="604"/>
      <c r="K270" s="604"/>
      <c r="L270" s="604"/>
      <c r="M270" s="604"/>
      <c r="N270" s="604"/>
      <c r="O270" s="604"/>
      <c r="P270" s="514">
        <v>0</v>
      </c>
      <c r="Q270" s="602">
        <v>0</v>
      </c>
      <c r="R270" s="515">
        <v>0</v>
      </c>
      <c r="S270" s="602">
        <v>0</v>
      </c>
      <c r="T270" s="450"/>
      <c r="U270" s="452"/>
      <c r="V270" s="430"/>
    </row>
    <row r="271" spans="1:22" s="431" customFormat="1" x14ac:dyDescent="0.3">
      <c r="A271" s="449"/>
      <c r="B271" s="514" t="s">
        <v>164</v>
      </c>
      <c r="C271" s="450"/>
      <c r="D271" s="450"/>
      <c r="E271" s="450"/>
      <c r="F271" s="450"/>
      <c r="G271" s="450"/>
      <c r="H271" s="604"/>
      <c r="I271" s="604"/>
      <c r="J271" s="604"/>
      <c r="K271" s="604"/>
      <c r="L271" s="604"/>
      <c r="M271" s="604"/>
      <c r="N271" s="604"/>
      <c r="O271" s="604"/>
      <c r="P271" s="514">
        <v>0</v>
      </c>
      <c r="Q271" s="602">
        <v>0</v>
      </c>
      <c r="R271" s="515">
        <v>0</v>
      </c>
      <c r="S271" s="602">
        <v>0</v>
      </c>
      <c r="T271" s="450"/>
      <c r="U271" s="452"/>
      <c r="V271" s="430"/>
    </row>
    <row r="272" spans="1:22" s="431" customFormat="1" x14ac:dyDescent="0.3">
      <c r="A272" s="449"/>
      <c r="B272" s="514" t="s">
        <v>165</v>
      </c>
      <c r="C272" s="450"/>
      <c r="D272" s="450"/>
      <c r="E272" s="450"/>
      <c r="F272" s="450"/>
      <c r="G272" s="450"/>
      <c r="H272" s="604"/>
      <c r="I272" s="604"/>
      <c r="J272" s="604"/>
      <c r="K272" s="604"/>
      <c r="L272" s="604"/>
      <c r="M272" s="604"/>
      <c r="N272" s="604"/>
      <c r="O272" s="604"/>
      <c r="P272" s="514">
        <v>0</v>
      </c>
      <c r="Q272" s="602">
        <v>0</v>
      </c>
      <c r="R272" s="515">
        <v>0</v>
      </c>
      <c r="S272" s="602">
        <v>0</v>
      </c>
      <c r="T272" s="450"/>
      <c r="U272" s="452"/>
      <c r="V272" s="430"/>
    </row>
    <row r="273" spans="1:22" s="431" customFormat="1" x14ac:dyDescent="0.3">
      <c r="A273" s="449"/>
      <c r="B273" s="514" t="s">
        <v>166</v>
      </c>
      <c r="C273" s="450"/>
      <c r="D273" s="450"/>
      <c r="E273" s="450"/>
      <c r="F273" s="450"/>
      <c r="G273" s="450"/>
      <c r="H273" s="604"/>
      <c r="I273" s="604"/>
      <c r="J273" s="604"/>
      <c r="K273" s="604"/>
      <c r="L273" s="604"/>
      <c r="M273" s="604"/>
      <c r="N273" s="604"/>
      <c r="O273" s="604"/>
      <c r="P273" s="514">
        <v>0</v>
      </c>
      <c r="Q273" s="602">
        <v>0</v>
      </c>
      <c r="R273" s="515">
        <v>0</v>
      </c>
      <c r="S273" s="602">
        <v>0</v>
      </c>
      <c r="T273" s="450"/>
      <c r="U273" s="452"/>
      <c r="V273" s="430"/>
    </row>
    <row r="274" spans="1:22" s="431" customFormat="1" x14ac:dyDescent="0.3">
      <c r="A274" s="449"/>
      <c r="B274" s="514" t="s">
        <v>167</v>
      </c>
      <c r="C274" s="450"/>
      <c r="D274" s="450"/>
      <c r="E274" s="450"/>
      <c r="F274" s="450"/>
      <c r="G274" s="450"/>
      <c r="H274" s="604"/>
      <c r="I274" s="604"/>
      <c r="J274" s="604"/>
      <c r="K274" s="604"/>
      <c r="L274" s="604"/>
      <c r="M274" s="604"/>
      <c r="N274" s="604"/>
      <c r="O274" s="604"/>
      <c r="P274" s="514">
        <v>0</v>
      </c>
      <c r="Q274" s="602">
        <v>0</v>
      </c>
      <c r="R274" s="515">
        <v>0</v>
      </c>
      <c r="S274" s="602">
        <v>0</v>
      </c>
      <c r="T274" s="450"/>
      <c r="U274" s="452"/>
      <c r="V274" s="430"/>
    </row>
    <row r="275" spans="1:22" s="431" customFormat="1" x14ac:dyDescent="0.3">
      <c r="A275" s="449"/>
      <c r="B275" s="514"/>
      <c r="C275" s="450"/>
      <c r="D275" s="450"/>
      <c r="E275" s="450"/>
      <c r="F275" s="450"/>
      <c r="G275" s="450"/>
      <c r="H275" s="604"/>
      <c r="I275" s="604"/>
      <c r="J275" s="604"/>
      <c r="K275" s="604"/>
      <c r="L275" s="604"/>
      <c r="M275" s="604"/>
      <c r="N275" s="604"/>
      <c r="O275" s="604"/>
      <c r="P275" s="514"/>
      <c r="Q275" s="602"/>
      <c r="R275" s="515"/>
      <c r="S275" s="602"/>
      <c r="T275" s="450"/>
      <c r="U275" s="452"/>
      <c r="V275" s="430"/>
    </row>
    <row r="276" spans="1:22" s="431" customFormat="1" x14ac:dyDescent="0.3">
      <c r="A276" s="449"/>
      <c r="B276" s="450" t="s">
        <v>120</v>
      </c>
      <c r="C276" s="450"/>
      <c r="D276" s="450"/>
      <c r="E276" s="450"/>
      <c r="F276" s="450"/>
      <c r="G276" s="450"/>
      <c r="H276" s="604"/>
      <c r="I276" s="604"/>
      <c r="J276" s="604"/>
      <c r="K276" s="604"/>
      <c r="L276" s="604"/>
      <c r="M276" s="604"/>
      <c r="N276" s="604"/>
      <c r="O276" s="604"/>
      <c r="P276" s="514">
        <f>SUM(P267:P274)</f>
        <v>0</v>
      </c>
      <c r="Q276" s="602">
        <f>SUM(Q267:Q275)</f>
        <v>0</v>
      </c>
      <c r="R276" s="515">
        <f>SUM(R267:R274)</f>
        <v>0</v>
      </c>
      <c r="S276" s="602">
        <f>SUM(S267:S275)</f>
        <v>0</v>
      </c>
      <c r="T276" s="450"/>
      <c r="U276" s="452"/>
      <c r="V276" s="430"/>
    </row>
    <row r="277" spans="1:22" s="431" customFormat="1" x14ac:dyDescent="0.3">
      <c r="A277" s="449"/>
      <c r="B277" s="450"/>
      <c r="C277" s="450"/>
      <c r="D277" s="450"/>
      <c r="E277" s="450"/>
      <c r="F277" s="450"/>
      <c r="G277" s="450"/>
      <c r="H277" s="604"/>
      <c r="I277" s="604"/>
      <c r="J277" s="604"/>
      <c r="K277" s="604"/>
      <c r="L277" s="604"/>
      <c r="M277" s="604"/>
      <c r="N277" s="604"/>
      <c r="O277" s="604"/>
      <c r="P277" s="514"/>
      <c r="Q277" s="602"/>
      <c r="R277" s="515"/>
      <c r="S277" s="602"/>
      <c r="T277" s="450"/>
      <c r="U277" s="452"/>
      <c r="V277" s="430"/>
    </row>
    <row r="278" spans="1:22" s="431" customFormat="1" x14ac:dyDescent="0.3">
      <c r="A278" s="449"/>
      <c r="B278" s="455" t="s">
        <v>171</v>
      </c>
      <c r="C278" s="450"/>
      <c r="D278" s="450"/>
      <c r="E278" s="450"/>
      <c r="F278" s="450"/>
      <c r="G278" s="450"/>
      <c r="H278" s="604"/>
      <c r="I278" s="604"/>
      <c r="J278" s="604"/>
      <c r="K278" s="604"/>
      <c r="L278" s="604"/>
      <c r="M278" s="604"/>
      <c r="N278" s="604"/>
      <c r="O278" s="604"/>
      <c r="P278" s="613">
        <f>P276+P264+P252</f>
        <v>3105</v>
      </c>
      <c r="Q278" s="602"/>
      <c r="R278" s="614">
        <f>+R276+R264+R252</f>
        <v>397365</v>
      </c>
      <c r="S278" s="602"/>
      <c r="T278" s="450"/>
      <c r="U278" s="452"/>
      <c r="V278" s="430"/>
    </row>
    <row r="279" spans="1:22" s="431" customFormat="1" x14ac:dyDescent="0.3">
      <c r="A279" s="432"/>
      <c r="B279" s="447"/>
      <c r="C279" s="447"/>
      <c r="D279" s="447"/>
      <c r="E279" s="447"/>
      <c r="F279" s="447"/>
      <c r="G279" s="447"/>
      <c r="H279" s="612"/>
      <c r="I279" s="612"/>
      <c r="J279" s="612"/>
      <c r="K279" s="612"/>
      <c r="L279" s="612"/>
      <c r="M279" s="612"/>
      <c r="N279" s="612"/>
      <c r="O279" s="612"/>
      <c r="P279" s="612"/>
      <c r="Q279" s="612"/>
      <c r="R279" s="526"/>
      <c r="S279" s="612"/>
      <c r="T279" s="447"/>
      <c r="U279" s="641"/>
      <c r="V279" s="430"/>
    </row>
    <row r="280" spans="1:22" s="431" customFormat="1" x14ac:dyDescent="0.3">
      <c r="A280" s="432"/>
      <c r="B280" s="447"/>
      <c r="C280" s="433"/>
      <c r="D280" s="433"/>
      <c r="E280" s="433"/>
      <c r="F280" s="433"/>
      <c r="G280" s="433"/>
      <c r="H280" s="615"/>
      <c r="I280" s="615"/>
      <c r="J280" s="615"/>
      <c r="K280" s="615"/>
      <c r="L280" s="615"/>
      <c r="M280" s="615"/>
      <c r="N280" s="615"/>
      <c r="O280" s="615"/>
      <c r="P280" s="615"/>
      <c r="Q280" s="615"/>
      <c r="R280" s="616"/>
      <c r="S280" s="615"/>
      <c r="T280" s="433"/>
      <c r="U280" s="641"/>
      <c r="V280" s="430"/>
    </row>
    <row r="281" spans="1:22" s="431" customFormat="1" x14ac:dyDescent="0.3">
      <c r="A281" s="432"/>
      <c r="B281" s="428" t="s">
        <v>94</v>
      </c>
      <c r="C281" s="433"/>
      <c r="D281" s="433"/>
      <c r="E281" s="433"/>
      <c r="F281" s="437" t="s">
        <v>100</v>
      </c>
      <c r="G281" s="433"/>
      <c r="H281" s="428" t="s">
        <v>102</v>
      </c>
      <c r="I281" s="433"/>
      <c r="J281" s="433"/>
      <c r="K281" s="433"/>
      <c r="L281" s="433"/>
      <c r="M281" s="433"/>
      <c r="N281" s="433"/>
      <c r="O281" s="433"/>
      <c r="P281" s="433"/>
      <c r="Q281" s="433"/>
      <c r="R281" s="433"/>
      <c r="S281" s="433"/>
      <c r="T281" s="433"/>
      <c r="U281" s="641"/>
      <c r="V281" s="430"/>
    </row>
    <row r="282" spans="1:22" s="431" customFormat="1" x14ac:dyDescent="0.3">
      <c r="A282" s="432"/>
      <c r="B282" s="428" t="s">
        <v>317</v>
      </c>
      <c r="C282" s="428"/>
      <c r="D282" s="428"/>
      <c r="E282" s="428"/>
      <c r="F282" s="617" t="s">
        <v>269</v>
      </c>
      <c r="G282" s="428"/>
      <c r="H282" s="428" t="s">
        <v>357</v>
      </c>
      <c r="I282" s="433"/>
      <c r="J282" s="433"/>
      <c r="K282" s="433"/>
      <c r="L282" s="433"/>
      <c r="M282" s="433"/>
      <c r="N282" s="433"/>
      <c r="O282" s="433"/>
      <c r="P282" s="433"/>
      <c r="Q282" s="433"/>
      <c r="R282" s="433"/>
      <c r="S282" s="433"/>
      <c r="T282" s="433"/>
      <c r="U282" s="641"/>
      <c r="V282" s="430"/>
    </row>
    <row r="283" spans="1:22" s="431" customFormat="1" x14ac:dyDescent="0.3">
      <c r="A283" s="432"/>
      <c r="B283" s="428" t="s">
        <v>318</v>
      </c>
      <c r="C283" s="428"/>
      <c r="D283" s="428"/>
      <c r="E283" s="428"/>
      <c r="F283" s="617" t="s">
        <v>153</v>
      </c>
      <c r="G283" s="428"/>
      <c r="H283" s="428" t="s">
        <v>358</v>
      </c>
      <c r="I283" s="433"/>
      <c r="J283" s="433"/>
      <c r="K283" s="433"/>
      <c r="L283" s="433"/>
      <c r="M283" s="433"/>
      <c r="N283" s="433"/>
      <c r="O283" s="433"/>
      <c r="P283" s="433"/>
      <c r="Q283" s="433"/>
      <c r="R283" s="433"/>
      <c r="S283" s="433"/>
      <c r="T283" s="433"/>
      <c r="U283" s="641"/>
      <c r="V283" s="430"/>
    </row>
    <row r="284" spans="1:22" s="431" customFormat="1" x14ac:dyDescent="0.3">
      <c r="A284" s="432"/>
      <c r="B284" s="428"/>
      <c r="C284" s="428"/>
      <c r="D284" s="428"/>
      <c r="E284" s="428"/>
      <c r="F284" s="617"/>
      <c r="G284" s="428"/>
      <c r="H284" s="428"/>
      <c r="I284" s="433"/>
      <c r="J284" s="433"/>
      <c r="K284" s="433"/>
      <c r="L284" s="433"/>
      <c r="M284" s="433"/>
      <c r="N284" s="433"/>
      <c r="O284" s="433"/>
      <c r="P284" s="433"/>
      <c r="Q284" s="433"/>
      <c r="R284" s="433"/>
      <c r="S284" s="433"/>
      <c r="T284" s="433"/>
      <c r="U284" s="641"/>
      <c r="V284" s="430"/>
    </row>
    <row r="285" spans="1:22" s="431" customFormat="1" x14ac:dyDescent="0.3">
      <c r="A285" s="432"/>
      <c r="B285" s="447" t="s">
        <v>354</v>
      </c>
      <c r="C285" s="428"/>
      <c r="D285" s="428"/>
      <c r="E285" s="428"/>
      <c r="F285" s="617"/>
      <c r="G285" s="428"/>
      <c r="H285" s="428"/>
      <c r="I285" s="433"/>
      <c r="J285" s="433"/>
      <c r="K285" s="433"/>
      <c r="L285" s="433"/>
      <c r="M285" s="433"/>
      <c r="N285" s="433"/>
      <c r="O285" s="433"/>
      <c r="P285" s="433"/>
      <c r="Q285" s="433"/>
      <c r="R285" s="433"/>
      <c r="S285" s="433"/>
      <c r="T285" s="433"/>
      <c r="U285" s="641"/>
      <c r="V285" s="430"/>
    </row>
    <row r="286" spans="1:22" s="431" customFormat="1" x14ac:dyDescent="0.3">
      <c r="A286" s="432"/>
      <c r="B286" s="447" t="s">
        <v>359</v>
      </c>
      <c r="C286" s="428"/>
      <c r="D286" s="428"/>
      <c r="E286" s="428"/>
      <c r="F286" s="617"/>
      <c r="G286" s="428"/>
      <c r="H286" s="428"/>
      <c r="I286" s="433"/>
      <c r="J286" s="433"/>
      <c r="K286" s="433"/>
      <c r="L286" s="433"/>
      <c r="M286" s="433"/>
      <c r="N286" s="433"/>
      <c r="O286" s="433"/>
      <c r="P286" s="433"/>
      <c r="Q286" s="433"/>
      <c r="R286" s="433"/>
      <c r="S286" s="433"/>
      <c r="T286" s="433"/>
      <c r="U286" s="641"/>
      <c r="V286" s="430"/>
    </row>
    <row r="287" spans="1:22" s="431" customFormat="1" x14ac:dyDescent="0.3">
      <c r="A287" s="432"/>
      <c r="B287" s="447" t="s">
        <v>352</v>
      </c>
      <c r="C287" s="428"/>
      <c r="D287" s="428"/>
      <c r="E287" s="428"/>
      <c r="F287" s="617"/>
      <c r="G287" s="428"/>
      <c r="H287" s="428"/>
      <c r="I287" s="433"/>
      <c r="J287" s="433"/>
      <c r="K287" s="433"/>
      <c r="L287" s="433"/>
      <c r="M287" s="433"/>
      <c r="N287" s="433"/>
      <c r="O287" s="433"/>
      <c r="P287" s="433"/>
      <c r="Q287" s="433"/>
      <c r="R287" s="433"/>
      <c r="S287" s="433"/>
      <c r="T287" s="433"/>
      <c r="U287" s="641"/>
      <c r="V287" s="430"/>
    </row>
    <row r="288" spans="1:22" s="431" customFormat="1" x14ac:dyDescent="0.3">
      <c r="A288" s="432"/>
      <c r="B288" s="447" t="s">
        <v>351</v>
      </c>
      <c r="C288" s="428"/>
      <c r="D288" s="428"/>
      <c r="E288" s="428"/>
      <c r="F288" s="617"/>
      <c r="G288" s="428"/>
      <c r="H288" s="428"/>
      <c r="I288" s="433"/>
      <c r="J288" s="433"/>
      <c r="K288" s="433"/>
      <c r="L288" s="433"/>
      <c r="M288" s="433"/>
      <c r="N288" s="433"/>
      <c r="O288" s="433"/>
      <c r="P288" s="433"/>
      <c r="Q288" s="433"/>
      <c r="R288" s="433"/>
      <c r="S288" s="433"/>
      <c r="T288" s="433"/>
      <c r="U288" s="641"/>
      <c r="V288" s="430"/>
    </row>
    <row r="289" spans="1:22" x14ac:dyDescent="0.3">
      <c r="A289" s="418"/>
      <c r="B289" s="618"/>
      <c r="C289" s="619"/>
      <c r="D289" s="619"/>
      <c r="E289" s="619"/>
      <c r="F289" s="620"/>
      <c r="G289" s="619"/>
      <c r="H289" s="619"/>
      <c r="I289" s="621"/>
      <c r="J289" s="621"/>
      <c r="K289" s="621"/>
      <c r="L289" s="420"/>
      <c r="M289" s="420"/>
      <c r="N289" s="420"/>
      <c r="O289" s="420"/>
      <c r="P289" s="420"/>
      <c r="Q289" s="420"/>
      <c r="R289" s="420"/>
      <c r="S289" s="420"/>
      <c r="T289" s="420"/>
      <c r="U289" s="639"/>
      <c r="V289" s="416"/>
    </row>
    <row r="290" spans="1:22" ht="18" x14ac:dyDescent="0.35">
      <c r="A290" s="418"/>
      <c r="B290" s="622" t="s">
        <v>353</v>
      </c>
      <c r="C290" s="619"/>
      <c r="D290" s="619"/>
      <c r="E290" s="619"/>
      <c r="F290" s="619"/>
      <c r="G290" s="619"/>
      <c r="H290" s="621"/>
      <c r="I290" s="621"/>
      <c r="J290" s="621"/>
      <c r="K290" s="621"/>
      <c r="L290" s="420"/>
      <c r="M290" s="420"/>
      <c r="N290" s="623"/>
      <c r="O290" s="420"/>
      <c r="P290" s="624" t="s">
        <v>356</v>
      </c>
      <c r="Q290" s="420"/>
      <c r="R290" s="420"/>
      <c r="S290" s="420"/>
      <c r="T290" s="420"/>
      <c r="U290" s="639"/>
      <c r="V290" s="416"/>
    </row>
    <row r="291" spans="1:22" x14ac:dyDescent="0.3">
      <c r="A291" s="418"/>
      <c r="B291" s="619"/>
      <c r="C291" s="619"/>
      <c r="D291" s="619"/>
      <c r="E291" s="619"/>
      <c r="F291" s="619"/>
      <c r="G291" s="619"/>
      <c r="H291" s="621"/>
      <c r="I291" s="621"/>
      <c r="J291" s="621"/>
      <c r="K291" s="621"/>
      <c r="L291" s="420"/>
      <c r="M291" s="420"/>
      <c r="N291" s="420"/>
      <c r="O291" s="420"/>
      <c r="P291" s="420"/>
      <c r="Q291" s="420"/>
      <c r="R291" s="420"/>
      <c r="S291" s="420"/>
      <c r="T291" s="420"/>
      <c r="U291" s="639"/>
      <c r="V291" s="416"/>
    </row>
    <row r="292" spans="1:22" ht="18.600000000000001" thickBot="1" x14ac:dyDescent="0.4">
      <c r="A292" s="418"/>
      <c r="B292" s="625" t="str">
        <f>B192</f>
        <v>PM11 INVESTOR REPORT QUARTER ENDING SEPTEMBER 2018</v>
      </c>
      <c r="C292" s="619"/>
      <c r="D292" s="619"/>
      <c r="E292" s="619"/>
      <c r="F292" s="619"/>
      <c r="G292" s="619"/>
      <c r="H292" s="621"/>
      <c r="I292" s="621"/>
      <c r="J292" s="621"/>
      <c r="K292" s="621"/>
      <c r="L292" s="420"/>
      <c r="M292" s="420"/>
      <c r="N292" s="420"/>
      <c r="O292" s="420"/>
      <c r="P292" s="420"/>
      <c r="Q292" s="420"/>
      <c r="R292" s="420"/>
      <c r="S292" s="420"/>
      <c r="T292" s="420"/>
      <c r="U292" s="556"/>
      <c r="V292" s="416"/>
    </row>
    <row r="293" spans="1:22" x14ac:dyDescent="0.3">
      <c r="A293" s="626"/>
      <c r="B293" s="626"/>
      <c r="C293" s="626"/>
      <c r="D293" s="626"/>
      <c r="E293" s="626"/>
      <c r="F293" s="626"/>
      <c r="G293" s="626"/>
      <c r="H293" s="626"/>
      <c r="I293" s="626"/>
      <c r="J293" s="626"/>
      <c r="K293" s="626"/>
      <c r="L293" s="626"/>
      <c r="M293" s="626"/>
      <c r="N293" s="626"/>
      <c r="O293" s="626"/>
      <c r="P293" s="626"/>
      <c r="Q293" s="626"/>
      <c r="R293" s="626"/>
      <c r="S293" s="626"/>
      <c r="T293" s="626"/>
      <c r="U293" s="626"/>
    </row>
  </sheetData>
  <hyperlinks>
    <hyperlink ref="J9" r:id="rId1" display="http://www.paragon-group.co.uk" xr:uid="{00000000-0004-0000-3100-000000000000}"/>
    <hyperlink ref="P290" r:id="rId2" display="http://www.paragon-group.co.uk" xr:uid="{00000000-0004-0000-3100-000001000000}"/>
    <hyperlink ref="N228" r:id="rId3" display="http://www.paragon-group.co.uk" xr:uid="{00000000-0004-0000-3100-000002000000}"/>
  </hyperlinks>
  <printOptions horizontalCentered="1" verticalCentered="1"/>
  <pageMargins left="0.19685039370078741" right="0.19685039370078741" top="0.27559055118110237" bottom="0.27559055118110237" header="0" footer="0"/>
  <pageSetup scale="40" orientation="landscape" r:id="rId4"/>
  <headerFooter alignWithMargins="0"/>
  <rowBreaks count="3" manualBreakCount="3">
    <brk id="63" max="20" man="1"/>
    <brk id="132" max="20" man="1"/>
    <brk id="192" max="20" man="1"/>
  </rowBreaks>
  <drawing r:id="rId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89CB31"/>
  </sheetPr>
  <dimension ref="A1:X293"/>
  <sheetViews>
    <sheetView showGridLines="0" showOutlineSymbols="0" zoomScale="70" zoomScaleNormal="70" workbookViewId="0"/>
  </sheetViews>
  <sheetFormatPr defaultColWidth="9.81640625" defaultRowHeight="15.6" x14ac:dyDescent="0.3"/>
  <cols>
    <col min="1" max="1" width="4" style="417" customWidth="1"/>
    <col min="2" max="2" width="71.08984375" style="417" customWidth="1"/>
    <col min="3" max="3" width="2.08984375" style="417" customWidth="1"/>
    <col min="4" max="4" width="19.1796875" style="417" customWidth="1"/>
    <col min="5" max="5" width="2.08984375" style="417" customWidth="1"/>
    <col min="6" max="6" width="25.08984375" style="417" customWidth="1"/>
    <col min="7" max="7" width="2.08984375" style="417" customWidth="1"/>
    <col min="8" max="8" width="16.08984375" style="417" customWidth="1"/>
    <col min="9" max="9" width="2.08984375" style="417" customWidth="1"/>
    <col min="10" max="10" width="17.81640625" style="417" customWidth="1"/>
    <col min="11" max="11" width="2.1796875" style="417" customWidth="1"/>
    <col min="12" max="12" width="14.81640625" style="417" customWidth="1"/>
    <col min="13" max="13" width="2.1796875" style="417" customWidth="1"/>
    <col min="14" max="14" width="15.54296875" style="417" customWidth="1"/>
    <col min="15" max="15" width="2.08984375" style="417" customWidth="1"/>
    <col min="16" max="16" width="15.54296875" style="417" customWidth="1"/>
    <col min="17" max="18" width="12.81640625" style="417" customWidth="1"/>
    <col min="19" max="19" width="7.81640625" style="417" customWidth="1"/>
    <col min="20" max="20" width="14.81640625" style="417" customWidth="1"/>
    <col min="21" max="21" width="11.81640625" style="417" customWidth="1"/>
    <col min="22" max="16384" width="9.81640625" style="417"/>
  </cols>
  <sheetData>
    <row r="1" spans="1:22" ht="21" x14ac:dyDescent="0.4">
      <c r="A1" s="413"/>
      <c r="B1" s="414" t="s">
        <v>228</v>
      </c>
      <c r="C1" s="415"/>
      <c r="D1" s="415"/>
      <c r="E1" s="415"/>
      <c r="F1" s="415"/>
      <c r="G1" s="415"/>
      <c r="H1" s="415"/>
      <c r="I1" s="415"/>
      <c r="J1" s="415"/>
      <c r="K1" s="415"/>
      <c r="L1" s="415"/>
      <c r="M1" s="415"/>
      <c r="N1" s="415"/>
      <c r="O1" s="415"/>
      <c r="P1" s="415"/>
      <c r="Q1" s="415"/>
      <c r="R1" s="415"/>
      <c r="S1" s="415"/>
      <c r="T1" s="415"/>
      <c r="U1" s="638"/>
      <c r="V1" s="416"/>
    </row>
    <row r="2" spans="1:22" x14ac:dyDescent="0.3">
      <c r="A2" s="418"/>
      <c r="B2" s="419"/>
      <c r="C2" s="420"/>
      <c r="D2" s="420"/>
      <c r="E2" s="420"/>
      <c r="F2" s="420"/>
      <c r="G2" s="420"/>
      <c r="H2" s="420"/>
      <c r="I2" s="420"/>
      <c r="J2" s="420"/>
      <c r="K2" s="420"/>
      <c r="L2" s="420"/>
      <c r="M2" s="420"/>
      <c r="N2" s="420"/>
      <c r="O2" s="420"/>
      <c r="P2" s="420"/>
      <c r="Q2" s="420"/>
      <c r="R2" s="420"/>
      <c r="S2" s="420"/>
      <c r="T2" s="420"/>
      <c r="U2" s="639"/>
      <c r="V2" s="416"/>
    </row>
    <row r="3" spans="1:22" x14ac:dyDescent="0.3">
      <c r="A3" s="421"/>
      <c r="B3" s="422" t="s">
        <v>229</v>
      </c>
      <c r="C3" s="420"/>
      <c r="D3" s="420"/>
      <c r="E3" s="420"/>
      <c r="F3" s="420"/>
      <c r="G3" s="420"/>
      <c r="H3" s="420"/>
      <c r="I3" s="420"/>
      <c r="J3" s="420"/>
      <c r="K3" s="420"/>
      <c r="L3" s="420"/>
      <c r="M3" s="420"/>
      <c r="N3" s="420"/>
      <c r="O3" s="420"/>
      <c r="P3" s="420"/>
      <c r="Q3" s="420"/>
      <c r="R3" s="420"/>
      <c r="S3" s="420"/>
      <c r="T3" s="420"/>
      <c r="U3" s="639"/>
      <c r="V3" s="416"/>
    </row>
    <row r="4" spans="1:22" x14ac:dyDescent="0.3">
      <c r="A4" s="418"/>
      <c r="B4" s="419"/>
      <c r="C4" s="420"/>
      <c r="D4" s="420"/>
      <c r="E4" s="420"/>
      <c r="F4" s="420"/>
      <c r="G4" s="420"/>
      <c r="H4" s="420"/>
      <c r="I4" s="420"/>
      <c r="J4" s="420"/>
      <c r="K4" s="420"/>
      <c r="L4" s="420"/>
      <c r="M4" s="420"/>
      <c r="N4" s="420"/>
      <c r="O4" s="420"/>
      <c r="P4" s="420"/>
      <c r="Q4" s="420"/>
      <c r="R4" s="420"/>
      <c r="S4" s="420"/>
      <c r="T4" s="420"/>
      <c r="U4" s="639"/>
      <c r="V4" s="416"/>
    </row>
    <row r="5" spans="1:22" x14ac:dyDescent="0.3">
      <c r="A5" s="418"/>
      <c r="B5" s="423" t="s">
        <v>143</v>
      </c>
      <c r="C5" s="420"/>
      <c r="D5" s="420"/>
      <c r="E5" s="420"/>
      <c r="F5" s="420"/>
      <c r="G5" s="420"/>
      <c r="H5" s="420"/>
      <c r="I5" s="420"/>
      <c r="J5" s="420"/>
      <c r="K5" s="420"/>
      <c r="L5" s="420"/>
      <c r="M5" s="420"/>
      <c r="N5" s="420"/>
      <c r="O5" s="420"/>
      <c r="P5" s="420"/>
      <c r="Q5" s="420"/>
      <c r="R5" s="420"/>
      <c r="S5" s="420"/>
      <c r="T5" s="420"/>
      <c r="U5" s="639"/>
      <c r="V5" s="416"/>
    </row>
    <row r="6" spans="1:22" x14ac:dyDescent="0.3">
      <c r="A6" s="418"/>
      <c r="B6" s="423" t="s">
        <v>145</v>
      </c>
      <c r="C6" s="420"/>
      <c r="D6" s="420"/>
      <c r="E6" s="420"/>
      <c r="F6" s="420"/>
      <c r="G6" s="420"/>
      <c r="H6" s="420"/>
      <c r="I6" s="420"/>
      <c r="J6" s="420"/>
      <c r="K6" s="420"/>
      <c r="L6" s="420"/>
      <c r="M6" s="420"/>
      <c r="N6" s="420"/>
      <c r="O6" s="420"/>
      <c r="P6" s="420"/>
      <c r="Q6" s="420"/>
      <c r="R6" s="420"/>
      <c r="S6" s="420"/>
      <c r="T6" s="420"/>
      <c r="U6" s="639"/>
      <c r="V6" s="416"/>
    </row>
    <row r="7" spans="1:22" x14ac:dyDescent="0.3">
      <c r="A7" s="418"/>
      <c r="B7" s="423" t="s">
        <v>144</v>
      </c>
      <c r="C7" s="420"/>
      <c r="D7" s="420"/>
      <c r="E7" s="420"/>
      <c r="F7" s="420"/>
      <c r="G7" s="420"/>
      <c r="H7" s="420"/>
      <c r="I7" s="420"/>
      <c r="J7" s="420"/>
      <c r="K7" s="420"/>
      <c r="L7" s="420"/>
      <c r="M7" s="420"/>
      <c r="N7" s="420"/>
      <c r="O7" s="420"/>
      <c r="P7" s="420"/>
      <c r="Q7" s="420"/>
      <c r="R7" s="420"/>
      <c r="S7" s="420"/>
      <c r="T7" s="420"/>
      <c r="U7" s="639"/>
      <c r="V7" s="416"/>
    </row>
    <row r="8" spans="1:22" x14ac:dyDescent="0.3">
      <c r="A8" s="418"/>
      <c r="B8" s="424"/>
      <c r="C8" s="420"/>
      <c r="D8" s="420"/>
      <c r="E8" s="420"/>
      <c r="F8" s="420"/>
      <c r="G8" s="420"/>
      <c r="H8" s="420"/>
      <c r="I8" s="420"/>
      <c r="J8" s="420"/>
      <c r="K8" s="420"/>
      <c r="L8" s="420"/>
      <c r="M8" s="420"/>
      <c r="N8" s="420"/>
      <c r="O8" s="420"/>
      <c r="P8" s="420"/>
      <c r="Q8" s="420"/>
      <c r="R8" s="420"/>
      <c r="S8" s="420"/>
      <c r="T8" s="420"/>
      <c r="U8" s="639"/>
      <c r="V8" s="416"/>
    </row>
    <row r="9" spans="1:22" x14ac:dyDescent="0.3">
      <c r="A9" s="418"/>
      <c r="B9" s="422" t="s">
        <v>173</v>
      </c>
      <c r="C9" s="420"/>
      <c r="D9" s="420"/>
      <c r="E9" s="420"/>
      <c r="F9" s="420"/>
      <c r="G9" s="420"/>
      <c r="H9" s="420"/>
      <c r="I9" s="420"/>
      <c r="J9" s="425" t="s">
        <v>356</v>
      </c>
      <c r="K9" s="420"/>
      <c r="L9" s="426"/>
      <c r="M9" s="420"/>
      <c r="N9" s="420"/>
      <c r="O9" s="420"/>
      <c r="P9" s="420"/>
      <c r="Q9" s="420"/>
      <c r="R9" s="420"/>
      <c r="S9" s="420"/>
      <c r="T9" s="420"/>
      <c r="U9" s="639"/>
      <c r="V9" s="416"/>
    </row>
    <row r="10" spans="1:22" x14ac:dyDescent="0.3">
      <c r="A10" s="418"/>
      <c r="B10" s="424"/>
      <c r="C10" s="427"/>
      <c r="D10" s="427"/>
      <c r="E10" s="427"/>
      <c r="F10" s="420"/>
      <c r="G10" s="420"/>
      <c r="H10" s="420"/>
      <c r="I10" s="420"/>
      <c r="J10" s="420"/>
      <c r="K10" s="420"/>
      <c r="L10" s="420"/>
      <c r="M10" s="420"/>
      <c r="N10" s="420"/>
      <c r="O10" s="420"/>
      <c r="P10" s="420"/>
      <c r="Q10" s="420"/>
      <c r="R10" s="420"/>
      <c r="S10" s="420"/>
      <c r="T10" s="420"/>
      <c r="U10" s="639"/>
      <c r="V10" s="416"/>
    </row>
    <row r="11" spans="1:22" x14ac:dyDescent="0.3">
      <c r="A11" s="418"/>
      <c r="B11" s="428" t="s">
        <v>0</v>
      </c>
      <c r="C11" s="420"/>
      <c r="D11" s="420"/>
      <c r="E11" s="420"/>
      <c r="F11" s="420"/>
      <c r="G11" s="420"/>
      <c r="H11" s="420"/>
      <c r="I11" s="420"/>
      <c r="J11" s="420"/>
      <c r="K11" s="420"/>
      <c r="L11" s="420"/>
      <c r="M11" s="420"/>
      <c r="N11" s="420"/>
      <c r="O11" s="420"/>
      <c r="P11" s="420"/>
      <c r="Q11" s="420"/>
      <c r="R11" s="420"/>
      <c r="S11" s="420"/>
      <c r="T11" s="420"/>
      <c r="U11" s="639"/>
      <c r="V11" s="416"/>
    </row>
    <row r="12" spans="1:22" ht="16.2" thickBot="1" x14ac:dyDescent="0.35">
      <c r="A12" s="418"/>
      <c r="B12" s="427"/>
      <c r="C12" s="420"/>
      <c r="D12" s="420"/>
      <c r="E12" s="420"/>
      <c r="F12" s="420"/>
      <c r="G12" s="420"/>
      <c r="H12" s="420"/>
      <c r="I12" s="420"/>
      <c r="J12" s="420"/>
      <c r="K12" s="420"/>
      <c r="L12" s="420"/>
      <c r="M12" s="420"/>
      <c r="N12" s="420"/>
      <c r="O12" s="420"/>
      <c r="P12" s="420"/>
      <c r="Q12" s="420"/>
      <c r="R12" s="420"/>
      <c r="S12" s="420"/>
      <c r="T12" s="420"/>
      <c r="U12" s="639"/>
      <c r="V12" s="416"/>
    </row>
    <row r="13" spans="1:22" s="431" customFormat="1" x14ac:dyDescent="0.3">
      <c r="A13" s="413"/>
      <c r="B13" s="429"/>
      <c r="C13" s="429"/>
      <c r="D13" s="429"/>
      <c r="E13" s="429"/>
      <c r="F13" s="429"/>
      <c r="G13" s="429"/>
      <c r="H13" s="429"/>
      <c r="I13" s="429"/>
      <c r="J13" s="429"/>
      <c r="K13" s="429"/>
      <c r="L13" s="429"/>
      <c r="M13" s="429"/>
      <c r="N13" s="429"/>
      <c r="O13" s="429"/>
      <c r="P13" s="429"/>
      <c r="Q13" s="429"/>
      <c r="R13" s="429"/>
      <c r="S13" s="429"/>
      <c r="T13" s="429"/>
      <c r="U13" s="640"/>
      <c r="V13" s="430"/>
    </row>
    <row r="14" spans="1:22" s="431" customFormat="1" x14ac:dyDescent="0.3">
      <c r="A14" s="432"/>
      <c r="B14" s="428" t="s">
        <v>1</v>
      </c>
      <c r="C14" s="433"/>
      <c r="D14" s="433"/>
      <c r="E14" s="433"/>
      <c r="F14" s="433"/>
      <c r="G14" s="433"/>
      <c r="H14" s="433"/>
      <c r="I14" s="433"/>
      <c r="J14" s="433"/>
      <c r="K14" s="433"/>
      <c r="L14" s="433"/>
      <c r="M14" s="433"/>
      <c r="N14" s="433"/>
      <c r="O14" s="433"/>
      <c r="P14" s="433"/>
      <c r="Q14" s="433"/>
      <c r="R14" s="433"/>
      <c r="S14" s="433"/>
      <c r="T14" s="434" t="s">
        <v>230</v>
      </c>
      <c r="U14" s="641"/>
      <c r="V14" s="430"/>
    </row>
    <row r="15" spans="1:22" s="431" customFormat="1" x14ac:dyDescent="0.3">
      <c r="A15" s="432"/>
      <c r="B15" s="428" t="s">
        <v>2</v>
      </c>
      <c r="C15" s="433"/>
      <c r="D15" s="433"/>
      <c r="E15" s="433"/>
      <c r="F15" s="433"/>
      <c r="G15" s="433"/>
      <c r="H15" s="435"/>
      <c r="I15" s="435"/>
      <c r="J15" s="435"/>
      <c r="K15" s="435"/>
      <c r="L15" s="435"/>
      <c r="M15" s="435"/>
      <c r="N15" s="435"/>
      <c r="O15" s="435"/>
      <c r="P15" s="435" t="s">
        <v>107</v>
      </c>
      <c r="Q15" s="436">
        <v>0.40749999999999997</v>
      </c>
      <c r="R15" s="437" t="s">
        <v>146</v>
      </c>
      <c r="S15" s="436">
        <v>0.59250000000000003</v>
      </c>
      <c r="T15" s="434"/>
      <c r="U15" s="641"/>
      <c r="V15" s="430"/>
    </row>
    <row r="16" spans="1:22" s="431" customFormat="1" x14ac:dyDescent="0.3">
      <c r="A16" s="432"/>
      <c r="B16" s="428" t="s">
        <v>3</v>
      </c>
      <c r="C16" s="433"/>
      <c r="D16" s="433"/>
      <c r="E16" s="433"/>
      <c r="F16" s="433"/>
      <c r="G16" s="433"/>
      <c r="H16" s="435"/>
      <c r="I16" s="435"/>
      <c r="J16" s="435"/>
      <c r="K16" s="435"/>
      <c r="L16" s="435"/>
      <c r="M16" s="435"/>
      <c r="N16" s="435"/>
      <c r="O16" s="435"/>
      <c r="P16" s="435" t="s">
        <v>107</v>
      </c>
      <c r="Q16" s="436">
        <v>0.49311692508548327</v>
      </c>
      <c r="R16" s="437" t="s">
        <v>146</v>
      </c>
      <c r="S16" s="436">
        <v>0.50688307491451667</v>
      </c>
      <c r="T16" s="434"/>
      <c r="U16" s="641"/>
      <c r="V16" s="430"/>
    </row>
    <row r="17" spans="1:22" s="431" customFormat="1" x14ac:dyDescent="0.3">
      <c r="A17" s="432"/>
      <c r="B17" s="428" t="s">
        <v>4</v>
      </c>
      <c r="C17" s="433"/>
      <c r="D17" s="433"/>
      <c r="E17" s="433"/>
      <c r="F17" s="433"/>
      <c r="G17" s="433"/>
      <c r="H17" s="433"/>
      <c r="I17" s="433"/>
      <c r="J17" s="433"/>
      <c r="K17" s="433"/>
      <c r="L17" s="433"/>
      <c r="M17" s="433"/>
      <c r="N17" s="433"/>
      <c r="O17" s="433"/>
      <c r="P17" s="433"/>
      <c r="Q17" s="433"/>
      <c r="R17" s="433"/>
      <c r="S17" s="433"/>
      <c r="T17" s="438">
        <v>38799</v>
      </c>
      <c r="U17" s="641"/>
      <c r="V17" s="430"/>
    </row>
    <row r="18" spans="1:22" s="431" customFormat="1" x14ac:dyDescent="0.3">
      <c r="A18" s="432"/>
      <c r="B18" s="428" t="s">
        <v>5</v>
      </c>
      <c r="C18" s="433"/>
      <c r="D18" s="433"/>
      <c r="E18" s="433"/>
      <c r="F18" s="433"/>
      <c r="G18" s="433"/>
      <c r="H18" s="433"/>
      <c r="I18" s="433"/>
      <c r="J18" s="433"/>
      <c r="K18" s="433"/>
      <c r="L18" s="433"/>
      <c r="M18" s="433"/>
      <c r="N18" s="433"/>
      <c r="O18" s="433"/>
      <c r="P18" s="433"/>
      <c r="Q18" s="433"/>
      <c r="R18" s="433"/>
      <c r="S18" s="433"/>
      <c r="T18" s="438">
        <v>43486</v>
      </c>
      <c r="U18" s="641"/>
      <c r="V18" s="430"/>
    </row>
    <row r="19" spans="1:22" s="431" customFormat="1" x14ac:dyDescent="0.3">
      <c r="A19" s="432"/>
      <c r="B19" s="433"/>
      <c r="C19" s="433"/>
      <c r="D19" s="433"/>
      <c r="E19" s="433"/>
      <c r="F19" s="433"/>
      <c r="G19" s="433"/>
      <c r="H19" s="433"/>
      <c r="I19" s="433"/>
      <c r="J19" s="433"/>
      <c r="K19" s="433"/>
      <c r="L19" s="433"/>
      <c r="M19" s="433"/>
      <c r="N19" s="433"/>
      <c r="O19" s="433"/>
      <c r="P19" s="433"/>
      <c r="Q19" s="433"/>
      <c r="R19" s="433"/>
      <c r="S19" s="433"/>
      <c r="T19" s="439"/>
      <c r="U19" s="641"/>
      <c r="V19" s="430"/>
    </row>
    <row r="20" spans="1:22" s="431" customFormat="1" x14ac:dyDescent="0.3">
      <c r="A20" s="432"/>
      <c r="B20" s="440" t="s">
        <v>6</v>
      </c>
      <c r="C20" s="433"/>
      <c r="D20" s="433"/>
      <c r="E20" s="433"/>
      <c r="F20" s="433"/>
      <c r="G20" s="433"/>
      <c r="H20" s="433"/>
      <c r="I20" s="433"/>
      <c r="J20" s="433"/>
      <c r="K20" s="433"/>
      <c r="L20" s="433"/>
      <c r="M20" s="433"/>
      <c r="N20" s="433"/>
      <c r="O20" s="433"/>
      <c r="P20" s="433"/>
      <c r="Q20" s="433"/>
      <c r="R20" s="439" t="s">
        <v>108</v>
      </c>
      <c r="S20" s="433"/>
      <c r="T20" s="433"/>
      <c r="U20" s="641"/>
      <c r="V20" s="430"/>
    </row>
    <row r="21" spans="1:22" x14ac:dyDescent="0.3">
      <c r="A21" s="418"/>
      <c r="B21" s="420"/>
      <c r="C21" s="420"/>
      <c r="D21" s="420"/>
      <c r="E21" s="420"/>
      <c r="F21" s="420"/>
      <c r="G21" s="420"/>
      <c r="H21" s="420"/>
      <c r="I21" s="420"/>
      <c r="J21" s="420"/>
      <c r="K21" s="420"/>
      <c r="L21" s="420"/>
      <c r="M21" s="420"/>
      <c r="N21" s="420"/>
      <c r="O21" s="420"/>
      <c r="P21" s="420"/>
      <c r="Q21" s="420"/>
      <c r="R21" s="420"/>
      <c r="S21" s="420"/>
      <c r="T21" s="441"/>
      <c r="U21" s="639"/>
      <c r="V21" s="416"/>
    </row>
    <row r="22" spans="1:22" x14ac:dyDescent="0.3">
      <c r="A22" s="442"/>
      <c r="B22" s="443"/>
      <c r="C22" s="444"/>
      <c r="D22" s="444" t="s">
        <v>184</v>
      </c>
      <c r="E22" s="444"/>
      <c r="F22" s="444" t="s">
        <v>185</v>
      </c>
      <c r="G22" s="444"/>
      <c r="H22" s="444" t="s">
        <v>186</v>
      </c>
      <c r="I22" s="444"/>
      <c r="J22" s="444" t="s">
        <v>187</v>
      </c>
      <c r="K22" s="444"/>
      <c r="L22" s="444" t="s">
        <v>188</v>
      </c>
      <c r="M22" s="444"/>
      <c r="N22" s="444" t="s">
        <v>189</v>
      </c>
      <c r="O22" s="444"/>
      <c r="P22" s="444"/>
      <c r="Q22" s="445"/>
      <c r="R22" s="445"/>
      <c r="S22" s="443"/>
      <c r="T22" s="443"/>
      <c r="U22" s="446"/>
      <c r="V22" s="416"/>
    </row>
    <row r="23" spans="1:22" s="431" customFormat="1" x14ac:dyDescent="0.3">
      <c r="A23" s="432"/>
      <c r="B23" s="447" t="s">
        <v>7</v>
      </c>
      <c r="C23" s="448"/>
      <c r="D23" s="448" t="s">
        <v>222</v>
      </c>
      <c r="E23" s="448"/>
      <c r="F23" s="448" t="s">
        <v>147</v>
      </c>
      <c r="G23" s="448"/>
      <c r="H23" s="448" t="s">
        <v>147</v>
      </c>
      <c r="I23" s="448"/>
      <c r="J23" s="448" t="s">
        <v>190</v>
      </c>
      <c r="K23" s="448"/>
      <c r="L23" s="448" t="s">
        <v>190</v>
      </c>
      <c r="M23" s="448"/>
      <c r="N23" s="448" t="s">
        <v>148</v>
      </c>
      <c r="O23" s="448"/>
      <c r="P23" s="448"/>
      <c r="Q23" s="448"/>
      <c r="R23" s="448"/>
      <c r="S23" s="447"/>
      <c r="T23" s="447"/>
      <c r="U23" s="641"/>
      <c r="V23" s="430"/>
    </row>
    <row r="24" spans="1:22" s="431" customFormat="1" x14ac:dyDescent="0.3">
      <c r="A24" s="449"/>
      <c r="B24" s="450" t="s">
        <v>8</v>
      </c>
      <c r="C24" s="451"/>
      <c r="D24" s="451" t="s">
        <v>223</v>
      </c>
      <c r="E24" s="451"/>
      <c r="F24" s="451" t="s">
        <v>149</v>
      </c>
      <c r="G24" s="451"/>
      <c r="H24" s="451" t="s">
        <v>149</v>
      </c>
      <c r="I24" s="451"/>
      <c r="J24" s="451" t="s">
        <v>172</v>
      </c>
      <c r="K24" s="451"/>
      <c r="L24" s="451" t="s">
        <v>172</v>
      </c>
      <c r="M24" s="451"/>
      <c r="N24" s="451" t="s">
        <v>150</v>
      </c>
      <c r="O24" s="451"/>
      <c r="P24" s="451"/>
      <c r="Q24" s="451"/>
      <c r="R24" s="451"/>
      <c r="S24" s="450"/>
      <c r="T24" s="450"/>
      <c r="U24" s="452"/>
      <c r="V24" s="430"/>
    </row>
    <row r="25" spans="1:22" s="431" customFormat="1" x14ac:dyDescent="0.3">
      <c r="A25" s="453"/>
      <c r="B25" s="450" t="s">
        <v>198</v>
      </c>
      <c r="C25" s="454"/>
      <c r="D25" s="451" t="s">
        <v>224</v>
      </c>
      <c r="E25" s="451"/>
      <c r="F25" s="451" t="s">
        <v>149</v>
      </c>
      <c r="G25" s="451"/>
      <c r="H25" s="451" t="s">
        <v>149</v>
      </c>
      <c r="I25" s="451"/>
      <c r="J25" s="451" t="s">
        <v>172</v>
      </c>
      <c r="K25" s="451"/>
      <c r="L25" s="451" t="s">
        <v>172</v>
      </c>
      <c r="M25" s="451"/>
      <c r="N25" s="451" t="s">
        <v>150</v>
      </c>
      <c r="O25" s="451"/>
      <c r="P25" s="451"/>
      <c r="Q25" s="454"/>
      <c r="R25" s="451"/>
      <c r="S25" s="450"/>
      <c r="T25" s="450"/>
      <c r="U25" s="452"/>
      <c r="V25" s="430"/>
    </row>
    <row r="26" spans="1:22" s="431" customFormat="1" x14ac:dyDescent="0.3">
      <c r="A26" s="453"/>
      <c r="B26" s="455" t="s">
        <v>9</v>
      </c>
      <c r="C26" s="454"/>
      <c r="D26" s="454" t="s">
        <v>147</v>
      </c>
      <c r="E26" s="454"/>
      <c r="F26" s="454" t="s">
        <v>147</v>
      </c>
      <c r="G26" s="454"/>
      <c r="H26" s="454" t="s">
        <v>147</v>
      </c>
      <c r="I26" s="454"/>
      <c r="J26" s="454" t="s">
        <v>190</v>
      </c>
      <c r="K26" s="454"/>
      <c r="L26" s="454" t="s">
        <v>190</v>
      </c>
      <c r="M26" s="454"/>
      <c r="N26" s="454" t="s">
        <v>148</v>
      </c>
      <c r="O26" s="454"/>
      <c r="P26" s="454"/>
      <c r="Q26" s="454"/>
      <c r="R26" s="451"/>
      <c r="S26" s="450"/>
      <c r="T26" s="450"/>
      <c r="U26" s="452"/>
      <c r="V26" s="430"/>
    </row>
    <row r="27" spans="1:22" s="431" customFormat="1" x14ac:dyDescent="0.3">
      <c r="A27" s="449"/>
      <c r="B27" s="455" t="s">
        <v>199</v>
      </c>
      <c r="C27" s="451"/>
      <c r="D27" s="454" t="s">
        <v>149</v>
      </c>
      <c r="E27" s="454"/>
      <c r="F27" s="454" t="s">
        <v>149</v>
      </c>
      <c r="G27" s="454"/>
      <c r="H27" s="454" t="s">
        <v>149</v>
      </c>
      <c r="I27" s="454"/>
      <c r="J27" s="454" t="s">
        <v>345</v>
      </c>
      <c r="K27" s="454"/>
      <c r="L27" s="454" t="s">
        <v>345</v>
      </c>
      <c r="M27" s="454"/>
      <c r="N27" s="454" t="s">
        <v>346</v>
      </c>
      <c r="O27" s="454"/>
      <c r="P27" s="454"/>
      <c r="Q27" s="451"/>
      <c r="R27" s="456"/>
      <c r="S27" s="450"/>
      <c r="T27" s="450"/>
      <c r="U27" s="452"/>
      <c r="V27" s="430"/>
    </row>
    <row r="28" spans="1:22" s="431" customFormat="1" x14ac:dyDescent="0.3">
      <c r="A28" s="449"/>
      <c r="B28" s="455" t="s">
        <v>200</v>
      </c>
      <c r="C28" s="451"/>
      <c r="D28" s="454" t="s">
        <v>149</v>
      </c>
      <c r="E28" s="454"/>
      <c r="F28" s="454" t="s">
        <v>149</v>
      </c>
      <c r="G28" s="454"/>
      <c r="H28" s="454" t="s">
        <v>149</v>
      </c>
      <c r="I28" s="454"/>
      <c r="J28" s="454" t="s">
        <v>149</v>
      </c>
      <c r="K28" s="454"/>
      <c r="L28" s="454" t="s">
        <v>149</v>
      </c>
      <c r="M28" s="454"/>
      <c r="N28" s="454" t="s">
        <v>150</v>
      </c>
      <c r="O28" s="454"/>
      <c r="P28" s="454"/>
      <c r="Q28" s="451"/>
      <c r="R28" s="456"/>
      <c r="S28" s="450"/>
      <c r="T28" s="450"/>
      <c r="U28" s="452"/>
      <c r="V28" s="430"/>
    </row>
    <row r="29" spans="1:22" s="431" customFormat="1" x14ac:dyDescent="0.3">
      <c r="A29" s="449"/>
      <c r="B29" s="450" t="s">
        <v>10</v>
      </c>
      <c r="C29" s="457"/>
      <c r="D29" s="451" t="s">
        <v>237</v>
      </c>
      <c r="E29" s="451"/>
      <c r="F29" s="456" t="s">
        <v>238</v>
      </c>
      <c r="G29" s="451"/>
      <c r="H29" s="451" t="s">
        <v>239</v>
      </c>
      <c r="I29" s="451"/>
      <c r="J29" s="451" t="s">
        <v>240</v>
      </c>
      <c r="K29" s="451"/>
      <c r="L29" s="451" t="s">
        <v>241</v>
      </c>
      <c r="M29" s="451"/>
      <c r="N29" s="451" t="s">
        <v>242</v>
      </c>
      <c r="O29" s="451"/>
      <c r="P29" s="451"/>
      <c r="Q29" s="458"/>
      <c r="R29" s="458"/>
      <c r="S29" s="457"/>
      <c r="T29" s="458"/>
      <c r="U29" s="459"/>
      <c r="V29" s="430"/>
    </row>
    <row r="30" spans="1:22" s="431" customFormat="1" x14ac:dyDescent="0.3">
      <c r="A30" s="449"/>
      <c r="B30" s="450" t="s">
        <v>10</v>
      </c>
      <c r="C30" s="457"/>
      <c r="D30" s="451" t="s">
        <v>236</v>
      </c>
      <c r="E30" s="451"/>
      <c r="F30" s="456" t="s">
        <v>124</v>
      </c>
      <c r="G30" s="451"/>
      <c r="H30" s="451" t="s">
        <v>124</v>
      </c>
      <c r="I30" s="451"/>
      <c r="J30" s="451" t="s">
        <v>124</v>
      </c>
      <c r="K30" s="451"/>
      <c r="L30" s="451" t="s">
        <v>124</v>
      </c>
      <c r="M30" s="451"/>
      <c r="N30" s="451" t="s">
        <v>124</v>
      </c>
      <c r="O30" s="451"/>
      <c r="P30" s="451"/>
      <c r="Q30" s="458"/>
      <c r="R30" s="458"/>
      <c r="S30" s="457"/>
      <c r="T30" s="458"/>
      <c r="U30" s="459"/>
      <c r="V30" s="430"/>
    </row>
    <row r="31" spans="1:22" s="431" customFormat="1" x14ac:dyDescent="0.3">
      <c r="A31" s="453"/>
      <c r="B31" s="450" t="s">
        <v>139</v>
      </c>
      <c r="C31" s="460"/>
      <c r="D31" s="461">
        <v>985000</v>
      </c>
      <c r="E31" s="457"/>
      <c r="F31" s="458">
        <v>149500</v>
      </c>
      <c r="G31" s="458"/>
      <c r="H31" s="462">
        <v>219700</v>
      </c>
      <c r="I31" s="458"/>
      <c r="J31" s="458">
        <v>16000</v>
      </c>
      <c r="K31" s="458"/>
      <c r="L31" s="462">
        <v>82400</v>
      </c>
      <c r="M31" s="458"/>
      <c r="N31" s="462">
        <v>87500</v>
      </c>
      <c r="O31" s="458"/>
      <c r="P31" s="462"/>
      <c r="Q31" s="463"/>
      <c r="R31" s="463"/>
      <c r="S31" s="460"/>
      <c r="T31" s="463"/>
      <c r="U31" s="459"/>
      <c r="V31" s="430"/>
    </row>
    <row r="32" spans="1:22" s="431" customFormat="1" x14ac:dyDescent="0.3">
      <c r="A32" s="449"/>
      <c r="B32" s="450" t="s">
        <v>138</v>
      </c>
      <c r="C32" s="457"/>
      <c r="D32" s="464">
        <f>D38*D34</f>
        <v>190728.37726080001</v>
      </c>
      <c r="E32" s="457"/>
      <c r="F32" s="458">
        <f>F38*F31</f>
        <v>50264.411599999999</v>
      </c>
      <c r="G32" s="458"/>
      <c r="H32" s="462">
        <f>H38*H31</f>
        <v>73866.830959999992</v>
      </c>
      <c r="I32" s="458"/>
      <c r="J32" s="458">
        <f>J31*J38</f>
        <v>12758.5792</v>
      </c>
      <c r="K32" s="458"/>
      <c r="L32" s="462">
        <f>L31*L38</f>
        <v>65706.682879999993</v>
      </c>
      <c r="M32" s="458"/>
      <c r="N32" s="462">
        <f>N31*N38</f>
        <v>69773.48</v>
      </c>
      <c r="O32" s="458"/>
      <c r="P32" s="462"/>
      <c r="Q32" s="458"/>
      <c r="R32" s="458"/>
      <c r="S32" s="457"/>
      <c r="T32" s="458"/>
      <c r="U32" s="459"/>
      <c r="V32" s="430"/>
    </row>
    <row r="33" spans="1:23" s="431" customFormat="1" x14ac:dyDescent="0.3">
      <c r="A33" s="449"/>
      <c r="B33" s="455" t="s">
        <v>140</v>
      </c>
      <c r="C33" s="457"/>
      <c r="D33" s="465">
        <f>D37*D34</f>
        <v>186388.1026788</v>
      </c>
      <c r="E33" s="460"/>
      <c r="F33" s="463">
        <f>F37*F31</f>
        <v>49120.587100000004</v>
      </c>
      <c r="G33" s="463"/>
      <c r="H33" s="466">
        <f>H31*H37</f>
        <v>72185.906260000003</v>
      </c>
      <c r="I33" s="463"/>
      <c r="J33" s="463">
        <f>J31*J37</f>
        <v>12468.24</v>
      </c>
      <c r="K33" s="463"/>
      <c r="L33" s="466">
        <f>L31*L37</f>
        <v>64211.436000000002</v>
      </c>
      <c r="M33" s="463"/>
      <c r="N33" s="466">
        <f>N31*N37</f>
        <v>68185.6875</v>
      </c>
      <c r="O33" s="463"/>
      <c r="P33" s="466"/>
      <c r="Q33" s="458"/>
      <c r="R33" s="458"/>
      <c r="S33" s="457"/>
      <c r="T33" s="458"/>
      <c r="U33" s="459"/>
      <c r="V33" s="430"/>
    </row>
    <row r="34" spans="1:23" s="431" customFormat="1" x14ac:dyDescent="0.3">
      <c r="A34" s="453"/>
      <c r="B34" s="450" t="s">
        <v>283</v>
      </c>
      <c r="C34" s="460"/>
      <c r="D34" s="458">
        <v>567282</v>
      </c>
      <c r="E34" s="457"/>
      <c r="F34" s="458">
        <v>149500</v>
      </c>
      <c r="G34" s="458"/>
      <c r="H34" s="458">
        <v>150716</v>
      </c>
      <c r="I34" s="458"/>
      <c r="J34" s="458">
        <v>16000</v>
      </c>
      <c r="K34" s="458"/>
      <c r="L34" s="458">
        <v>56527</v>
      </c>
      <c r="M34" s="458"/>
      <c r="N34" s="458">
        <v>60025</v>
      </c>
      <c r="O34" s="458"/>
      <c r="P34" s="458"/>
      <c r="Q34" s="463"/>
      <c r="R34" s="463"/>
      <c r="S34" s="460"/>
      <c r="T34" s="458">
        <f>SUM(C34:P34)</f>
        <v>1000050</v>
      </c>
      <c r="U34" s="459"/>
      <c r="V34" s="430"/>
    </row>
    <row r="35" spans="1:23" s="431" customFormat="1" x14ac:dyDescent="0.3">
      <c r="A35" s="453"/>
      <c r="B35" s="450" t="s">
        <v>284</v>
      </c>
      <c r="C35" s="460"/>
      <c r="D35" s="458">
        <f>D38*D34</f>
        <v>190728.37726080001</v>
      </c>
      <c r="E35" s="457"/>
      <c r="F35" s="458">
        <f>F38*F34</f>
        <v>50264.411599999999</v>
      </c>
      <c r="G35" s="458"/>
      <c r="H35" s="458">
        <f>H38*H34</f>
        <v>50673.2512288</v>
      </c>
      <c r="I35" s="458"/>
      <c r="J35" s="458">
        <f>J34*J38</f>
        <v>12758.5792</v>
      </c>
      <c r="K35" s="458"/>
      <c r="L35" s="458">
        <f>L34*L38</f>
        <v>45075.262902399998</v>
      </c>
      <c r="M35" s="458"/>
      <c r="N35" s="458">
        <f>N34*N38</f>
        <v>47864.607279999997</v>
      </c>
      <c r="O35" s="458"/>
      <c r="P35" s="458"/>
      <c r="Q35" s="458"/>
      <c r="R35" s="458"/>
      <c r="S35" s="457"/>
      <c r="T35" s="458">
        <f>SUM(C35:P35)+1</f>
        <v>397365.48947199999</v>
      </c>
      <c r="U35" s="459"/>
      <c r="V35" s="430"/>
    </row>
    <row r="36" spans="1:23" s="431" customFormat="1" x14ac:dyDescent="0.3">
      <c r="A36" s="453"/>
      <c r="B36" s="455" t="s">
        <v>285</v>
      </c>
      <c r="C36" s="460"/>
      <c r="D36" s="463">
        <f>D37*D34</f>
        <v>186388.1026788</v>
      </c>
      <c r="E36" s="460"/>
      <c r="F36" s="463">
        <f>F37*F34</f>
        <v>49120.587100000004</v>
      </c>
      <c r="G36" s="463"/>
      <c r="H36" s="463">
        <f>H37*H34</f>
        <v>49520.1231128</v>
      </c>
      <c r="I36" s="463"/>
      <c r="J36" s="463">
        <f>J37*J34</f>
        <v>12468.24</v>
      </c>
      <c r="K36" s="463"/>
      <c r="L36" s="463">
        <f>L37*L34</f>
        <v>44049.512654999999</v>
      </c>
      <c r="M36" s="463"/>
      <c r="N36" s="463">
        <f>N37*N34</f>
        <v>46775.381625000002</v>
      </c>
      <c r="O36" s="463"/>
      <c r="P36" s="463"/>
      <c r="Q36" s="467"/>
      <c r="R36" s="467"/>
      <c r="S36" s="457"/>
      <c r="T36" s="463">
        <f>SUM(C36:P36)+1</f>
        <v>388322.94717160001</v>
      </c>
      <c r="U36" s="459"/>
      <c r="V36" s="430"/>
    </row>
    <row r="37" spans="1:23" x14ac:dyDescent="0.3">
      <c r="A37" s="468"/>
      <c r="B37" s="469" t="s">
        <v>136</v>
      </c>
      <c r="C37" s="470"/>
      <c r="D37" s="471">
        <v>0.32856340000000001</v>
      </c>
      <c r="E37" s="472"/>
      <c r="F37" s="471">
        <v>0.32856580000000002</v>
      </c>
      <c r="G37" s="473"/>
      <c r="H37" s="471">
        <v>0.32856580000000002</v>
      </c>
      <c r="I37" s="473"/>
      <c r="J37" s="471">
        <v>0.77926499999999999</v>
      </c>
      <c r="K37" s="473"/>
      <c r="L37" s="471">
        <v>0.77926499999999999</v>
      </c>
      <c r="M37" s="473"/>
      <c r="N37" s="471">
        <v>0.77926499999999999</v>
      </c>
      <c r="O37" s="474"/>
      <c r="P37" s="474"/>
      <c r="Q37" s="475"/>
      <c r="R37" s="475"/>
      <c r="S37" s="470"/>
      <c r="T37" s="470"/>
      <c r="U37" s="476"/>
      <c r="V37" s="416"/>
      <c r="W37" s="477"/>
    </row>
    <row r="38" spans="1:23" x14ac:dyDescent="0.3">
      <c r="A38" s="468"/>
      <c r="B38" s="470" t="s">
        <v>137</v>
      </c>
      <c r="C38" s="470"/>
      <c r="D38" s="478">
        <v>0.33621440000000002</v>
      </c>
      <c r="E38" s="479"/>
      <c r="F38" s="478">
        <v>0.33621679999999998</v>
      </c>
      <c r="G38" s="480"/>
      <c r="H38" s="478">
        <v>0.33621679999999998</v>
      </c>
      <c r="I38" s="480"/>
      <c r="J38" s="478">
        <v>0.79741119999999999</v>
      </c>
      <c r="K38" s="480"/>
      <c r="L38" s="478">
        <v>0.79741119999999999</v>
      </c>
      <c r="M38" s="480"/>
      <c r="N38" s="478">
        <v>0.79741119999999999</v>
      </c>
      <c r="O38" s="474"/>
      <c r="P38" s="474"/>
      <c r="Q38" s="481"/>
      <c r="R38" s="482"/>
      <c r="S38" s="470"/>
      <c r="T38" s="481"/>
      <c r="U38" s="476"/>
      <c r="V38" s="416"/>
    </row>
    <row r="39" spans="1:23" s="431" customFormat="1" x14ac:dyDescent="0.3">
      <c r="A39" s="449"/>
      <c r="B39" s="450" t="s">
        <v>11</v>
      </c>
      <c r="C39" s="450"/>
      <c r="D39" s="456" t="s">
        <v>275</v>
      </c>
      <c r="E39" s="450"/>
      <c r="F39" s="456" t="s">
        <v>232</v>
      </c>
      <c r="G39" s="456"/>
      <c r="H39" s="456" t="s">
        <v>232</v>
      </c>
      <c r="I39" s="456"/>
      <c r="J39" s="456" t="s">
        <v>234</v>
      </c>
      <c r="K39" s="456"/>
      <c r="L39" s="456" t="s">
        <v>234</v>
      </c>
      <c r="M39" s="456"/>
      <c r="N39" s="456" t="s">
        <v>235</v>
      </c>
      <c r="O39" s="456"/>
      <c r="P39" s="456"/>
      <c r="Q39" s="483"/>
      <c r="R39" s="484"/>
      <c r="S39" s="450"/>
      <c r="T39" s="450"/>
      <c r="U39" s="452"/>
      <c r="V39" s="430"/>
    </row>
    <row r="40" spans="1:23" s="431" customFormat="1" x14ac:dyDescent="0.3">
      <c r="A40" s="449"/>
      <c r="B40" s="450" t="s">
        <v>12</v>
      </c>
      <c r="C40" s="450"/>
      <c r="D40" s="484">
        <v>9.1287999999999994E-3</v>
      </c>
      <c r="E40" s="450"/>
      <c r="F40" s="484">
        <v>1.05288E-2</v>
      </c>
      <c r="G40" s="483"/>
      <c r="H40" s="484">
        <v>0</v>
      </c>
      <c r="I40" s="483"/>
      <c r="J40" s="484">
        <v>1.2928800000000001E-2</v>
      </c>
      <c r="K40" s="483"/>
      <c r="L40" s="484">
        <v>1.6199999999999999E-3</v>
      </c>
      <c r="M40" s="483"/>
      <c r="N40" s="484">
        <v>5.8199999999999997E-3</v>
      </c>
      <c r="O40" s="483"/>
      <c r="P40" s="484"/>
      <c r="Q40" s="483"/>
      <c r="R40" s="484"/>
      <c r="S40" s="450"/>
      <c r="T40" s="456"/>
      <c r="U40" s="452"/>
      <c r="V40" s="430"/>
    </row>
    <row r="41" spans="1:23" s="431" customFormat="1" x14ac:dyDescent="0.3">
      <c r="A41" s="449"/>
      <c r="B41" s="450" t="s">
        <v>13</v>
      </c>
      <c r="C41" s="450"/>
      <c r="D41" s="484">
        <v>8.5305999999999993E-3</v>
      </c>
      <c r="E41" s="450"/>
      <c r="F41" s="484">
        <v>9.9305999999999995E-3</v>
      </c>
      <c r="G41" s="483"/>
      <c r="H41" s="484">
        <v>0</v>
      </c>
      <c r="I41" s="483"/>
      <c r="J41" s="484">
        <v>1.2330600000000001E-2</v>
      </c>
      <c r="K41" s="483"/>
      <c r="L41" s="484">
        <v>1.5900000000000001E-3</v>
      </c>
      <c r="M41" s="483"/>
      <c r="N41" s="484">
        <v>5.79E-3</v>
      </c>
      <c r="O41" s="483"/>
      <c r="P41" s="484"/>
      <c r="Q41" s="483"/>
      <c r="R41" s="484"/>
      <c r="S41" s="450"/>
      <c r="T41" s="483" t="s">
        <v>201</v>
      </c>
      <c r="U41" s="452"/>
      <c r="V41" s="430"/>
    </row>
    <row r="42" spans="1:23" s="431" customFormat="1" x14ac:dyDescent="0.3">
      <c r="A42" s="449"/>
      <c r="B42" s="450" t="s">
        <v>286</v>
      </c>
      <c r="C42" s="450"/>
      <c r="D42" s="456" t="s">
        <v>275</v>
      </c>
      <c r="E42" s="450"/>
      <c r="F42" s="456" t="s">
        <v>232</v>
      </c>
      <c r="G42" s="456"/>
      <c r="H42" s="456" t="s">
        <v>232</v>
      </c>
      <c r="I42" s="456"/>
      <c r="J42" s="456" t="s">
        <v>234</v>
      </c>
      <c r="K42" s="456"/>
      <c r="L42" s="456" t="s">
        <v>245</v>
      </c>
      <c r="M42" s="456"/>
      <c r="N42" s="456" t="s">
        <v>247</v>
      </c>
      <c r="O42" s="456"/>
      <c r="P42" s="456"/>
      <c r="Q42" s="483"/>
      <c r="R42" s="484"/>
      <c r="S42" s="450"/>
      <c r="T42" s="450"/>
      <c r="U42" s="452"/>
      <c r="V42" s="430"/>
    </row>
    <row r="43" spans="1:23" s="431" customFormat="1" x14ac:dyDescent="0.3">
      <c r="A43" s="449"/>
      <c r="B43" s="450" t="s">
        <v>287</v>
      </c>
      <c r="C43" s="485"/>
      <c r="D43" s="484">
        <f>+D40</f>
        <v>9.1287999999999994E-3</v>
      </c>
      <c r="E43" s="484"/>
      <c r="F43" s="484">
        <f>+F40</f>
        <v>1.05288E-2</v>
      </c>
      <c r="G43" s="484"/>
      <c r="H43" s="484">
        <v>1.0524800000000001E-2</v>
      </c>
      <c r="I43" s="484"/>
      <c r="J43" s="484">
        <f>+J40</f>
        <v>1.2928800000000001E-2</v>
      </c>
      <c r="K43" s="484"/>
      <c r="L43" s="484">
        <v>1.32348E-2</v>
      </c>
      <c r="M43" s="484"/>
      <c r="N43" s="484">
        <v>1.7938800000000001E-2</v>
      </c>
      <c r="O43" s="483"/>
      <c r="P43" s="484"/>
      <c r="Q43" s="456"/>
      <c r="R43" s="456"/>
      <c r="S43" s="450"/>
      <c r="T43" s="483">
        <f>SUMPRODUCT(D43:N43,D35:N35)/T35</f>
        <v>1.1132873699977345E-2</v>
      </c>
      <c r="U43" s="452"/>
      <c r="V43" s="430"/>
    </row>
    <row r="44" spans="1:23" s="431" customFormat="1" x14ac:dyDescent="0.3">
      <c r="A44" s="449"/>
      <c r="B44" s="450" t="s">
        <v>288</v>
      </c>
      <c r="C44" s="485"/>
      <c r="D44" s="484">
        <f>+D41</f>
        <v>8.5305999999999993E-3</v>
      </c>
      <c r="E44" s="484"/>
      <c r="F44" s="484">
        <f>+F41</f>
        <v>9.9305999999999995E-3</v>
      </c>
      <c r="G44" s="484"/>
      <c r="H44" s="484">
        <v>9.9266000000000007E-3</v>
      </c>
      <c r="I44" s="484"/>
      <c r="J44" s="484">
        <f>+J41</f>
        <v>1.2330600000000001E-2</v>
      </c>
      <c r="K44" s="484"/>
      <c r="L44" s="484">
        <v>1.26366E-2</v>
      </c>
      <c r="M44" s="484"/>
      <c r="N44" s="484">
        <v>1.7340600000000001E-2</v>
      </c>
      <c r="O44" s="483"/>
      <c r="P44" s="484"/>
      <c r="Q44" s="456"/>
      <c r="R44" s="456"/>
      <c r="S44" s="450"/>
      <c r="T44" s="450"/>
      <c r="U44" s="452"/>
      <c r="V44" s="430"/>
    </row>
    <row r="45" spans="1:23" s="431" customFormat="1" x14ac:dyDescent="0.3">
      <c r="A45" s="449"/>
      <c r="B45" s="450" t="s">
        <v>14</v>
      </c>
      <c r="C45" s="450"/>
      <c r="D45" s="485">
        <v>40283</v>
      </c>
      <c r="E45" s="485"/>
      <c r="F45" s="485">
        <v>40283</v>
      </c>
      <c r="G45" s="485"/>
      <c r="H45" s="485">
        <v>40283</v>
      </c>
      <c r="I45" s="485"/>
      <c r="J45" s="485">
        <v>40283</v>
      </c>
      <c r="K45" s="485"/>
      <c r="L45" s="485">
        <v>40283</v>
      </c>
      <c r="M45" s="485"/>
      <c r="N45" s="485">
        <v>40283</v>
      </c>
      <c r="O45" s="485"/>
      <c r="P45" s="485"/>
      <c r="Q45" s="456"/>
      <c r="R45" s="456"/>
      <c r="S45" s="450"/>
      <c r="T45" s="450"/>
      <c r="U45" s="452"/>
      <c r="V45" s="430"/>
    </row>
    <row r="46" spans="1:23" s="431" customFormat="1" x14ac:dyDescent="0.3">
      <c r="A46" s="449"/>
      <c r="B46" s="450" t="s">
        <v>15</v>
      </c>
      <c r="C46" s="450"/>
      <c r="D46" s="485">
        <v>40648</v>
      </c>
      <c r="E46" s="485"/>
      <c r="F46" s="485">
        <v>40648</v>
      </c>
      <c r="G46" s="485"/>
      <c r="H46" s="485">
        <v>40648</v>
      </c>
      <c r="I46" s="456"/>
      <c r="J46" s="485">
        <v>40648</v>
      </c>
      <c r="K46" s="456"/>
      <c r="L46" s="485">
        <v>40648</v>
      </c>
      <c r="M46" s="456"/>
      <c r="N46" s="485">
        <v>40648</v>
      </c>
      <c r="O46" s="456"/>
      <c r="P46" s="485"/>
      <c r="Q46" s="456"/>
      <c r="R46" s="456"/>
      <c r="S46" s="450"/>
      <c r="T46" s="450"/>
      <c r="U46" s="452"/>
      <c r="V46" s="430"/>
    </row>
    <row r="47" spans="1:23" s="431" customFormat="1" x14ac:dyDescent="0.3">
      <c r="A47" s="449"/>
      <c r="B47" s="450" t="s">
        <v>125</v>
      </c>
      <c r="C47" s="450"/>
      <c r="D47" s="456" t="s">
        <v>124</v>
      </c>
      <c r="E47" s="450"/>
      <c r="F47" s="456" t="s">
        <v>232</v>
      </c>
      <c r="G47" s="456"/>
      <c r="H47" s="456" t="s">
        <v>232</v>
      </c>
      <c r="I47" s="456"/>
      <c r="J47" s="456" t="s">
        <v>234</v>
      </c>
      <c r="K47" s="456"/>
      <c r="L47" s="456" t="s">
        <v>234</v>
      </c>
      <c r="M47" s="456"/>
      <c r="N47" s="456" t="s">
        <v>235</v>
      </c>
      <c r="O47" s="456"/>
      <c r="P47" s="456"/>
      <c r="Q47" s="486"/>
      <c r="R47" s="486"/>
      <c r="S47" s="486"/>
      <c r="T47" s="486"/>
      <c r="U47" s="452"/>
      <c r="V47" s="430"/>
    </row>
    <row r="48" spans="1:23" s="431" customFormat="1" x14ac:dyDescent="0.3">
      <c r="A48" s="449"/>
      <c r="B48" s="450" t="s">
        <v>289</v>
      </c>
      <c r="C48" s="450"/>
      <c r="D48" s="456" t="s">
        <v>124</v>
      </c>
      <c r="E48" s="450"/>
      <c r="F48" s="456" t="s">
        <v>232</v>
      </c>
      <c r="G48" s="456"/>
      <c r="H48" s="456" t="s">
        <v>232</v>
      </c>
      <c r="I48" s="456"/>
      <c r="J48" s="456" t="s">
        <v>234</v>
      </c>
      <c r="K48" s="456"/>
      <c r="L48" s="456" t="s">
        <v>245</v>
      </c>
      <c r="M48" s="456"/>
      <c r="N48" s="456" t="s">
        <v>247</v>
      </c>
      <c r="O48" s="456"/>
      <c r="P48" s="456"/>
      <c r="Q48" s="450"/>
      <c r="R48" s="450"/>
      <c r="S48" s="450"/>
      <c r="T48" s="483"/>
      <c r="U48" s="452"/>
      <c r="V48" s="430"/>
    </row>
    <row r="49" spans="1:23" s="431" customFormat="1" x14ac:dyDescent="0.3">
      <c r="A49" s="449"/>
      <c r="B49" s="450"/>
      <c r="C49" s="450"/>
      <c r="D49" s="456"/>
      <c r="E49" s="450"/>
      <c r="F49" s="456"/>
      <c r="G49" s="456"/>
      <c r="H49" s="456"/>
      <c r="I49" s="456"/>
      <c r="J49" s="456"/>
      <c r="K49" s="456"/>
      <c r="L49" s="456"/>
      <c r="M49" s="456"/>
      <c r="N49" s="456"/>
      <c r="O49" s="456"/>
      <c r="P49" s="456"/>
      <c r="Q49" s="450"/>
      <c r="R49" s="450"/>
      <c r="S49" s="450"/>
      <c r="T49" s="483" t="s">
        <v>201</v>
      </c>
      <c r="U49" s="452"/>
      <c r="V49" s="430"/>
    </row>
    <row r="50" spans="1:23" s="431" customFormat="1" x14ac:dyDescent="0.3">
      <c r="A50" s="449"/>
      <c r="B50" s="450" t="s">
        <v>176</v>
      </c>
      <c r="C50" s="450"/>
      <c r="D50" s="456"/>
      <c r="E50" s="450"/>
      <c r="F50" s="456"/>
      <c r="G50" s="456"/>
      <c r="H50" s="456"/>
      <c r="I50" s="456"/>
      <c r="J50" s="456"/>
      <c r="K50" s="456"/>
      <c r="L50" s="456"/>
      <c r="M50" s="456"/>
      <c r="N50" s="456"/>
      <c r="O50" s="456"/>
      <c r="P50" s="456"/>
      <c r="Q50" s="450"/>
      <c r="R50" s="450"/>
      <c r="S50" s="450"/>
      <c r="T50" s="483">
        <f>SUM(J34:P34)/SUM(D34:H34)</f>
        <v>0.15279804679664968</v>
      </c>
      <c r="U50" s="452"/>
      <c r="V50" s="430"/>
    </row>
    <row r="51" spans="1:23" s="431" customFormat="1" x14ac:dyDescent="0.3">
      <c r="A51" s="449"/>
      <c r="B51" s="450" t="s">
        <v>177</v>
      </c>
      <c r="C51" s="450"/>
      <c r="D51" s="450"/>
      <c r="E51" s="450"/>
      <c r="F51" s="487"/>
      <c r="G51" s="450"/>
      <c r="H51" s="450"/>
      <c r="I51" s="450"/>
      <c r="J51" s="450"/>
      <c r="K51" s="450"/>
      <c r="L51" s="450"/>
      <c r="M51" s="450"/>
      <c r="N51" s="450"/>
      <c r="O51" s="450"/>
      <c r="P51" s="450"/>
      <c r="Q51" s="450"/>
      <c r="R51" s="450"/>
      <c r="S51" s="450"/>
      <c r="T51" s="483">
        <f>SUM(J36:P36)/SUM(D36:H36)</f>
        <v>0.36239541270265774</v>
      </c>
      <c r="U51" s="452"/>
      <c r="V51" s="430"/>
    </row>
    <row r="52" spans="1:23" s="431" customFormat="1" x14ac:dyDescent="0.3">
      <c r="A52" s="449"/>
      <c r="B52" s="450" t="s">
        <v>178</v>
      </c>
      <c r="C52" s="450"/>
      <c r="D52" s="450"/>
      <c r="E52" s="450"/>
      <c r="F52" s="450"/>
      <c r="G52" s="450"/>
      <c r="H52" s="450"/>
      <c r="I52" s="450"/>
      <c r="J52" s="450"/>
      <c r="K52" s="450"/>
      <c r="L52" s="450"/>
      <c r="M52" s="450"/>
      <c r="N52" s="450"/>
      <c r="O52" s="450"/>
      <c r="P52" s="450"/>
      <c r="Q52" s="450"/>
      <c r="R52" s="456" t="s">
        <v>109</v>
      </c>
      <c r="S52" s="456" t="s">
        <v>115</v>
      </c>
      <c r="T52" s="458">
        <f>+T34/2-SUM(J34:P34)</f>
        <v>367473</v>
      </c>
      <c r="U52" s="452"/>
      <c r="V52" s="430"/>
    </row>
    <row r="53" spans="1:23" s="431" customFormat="1" x14ac:dyDescent="0.3">
      <c r="A53" s="449"/>
      <c r="B53" s="450"/>
      <c r="C53" s="450"/>
      <c r="D53" s="450"/>
      <c r="E53" s="450"/>
      <c r="F53" s="450"/>
      <c r="G53" s="450"/>
      <c r="H53" s="450"/>
      <c r="I53" s="450"/>
      <c r="J53" s="450"/>
      <c r="K53" s="450"/>
      <c r="L53" s="450"/>
      <c r="M53" s="450"/>
      <c r="N53" s="450"/>
      <c r="O53" s="450"/>
      <c r="P53" s="450"/>
      <c r="Q53" s="450"/>
      <c r="R53" s="450"/>
      <c r="S53" s="450"/>
      <c r="T53" s="488"/>
      <c r="U53" s="452"/>
      <c r="V53" s="430"/>
    </row>
    <row r="54" spans="1:23" s="431" customFormat="1" x14ac:dyDescent="0.3">
      <c r="A54" s="449"/>
      <c r="B54" s="450" t="s">
        <v>342</v>
      </c>
      <c r="C54" s="450"/>
      <c r="D54" s="450"/>
      <c r="E54" s="450"/>
      <c r="F54" s="450"/>
      <c r="G54" s="450"/>
      <c r="H54" s="450"/>
      <c r="I54" s="450"/>
      <c r="J54" s="450"/>
      <c r="K54" s="450"/>
      <c r="L54" s="450"/>
      <c r="M54" s="450"/>
      <c r="N54" s="450"/>
      <c r="O54" s="450"/>
      <c r="P54" s="450"/>
      <c r="Q54" s="450"/>
      <c r="R54" s="456"/>
      <c r="S54" s="456"/>
      <c r="T54" s="489" t="s">
        <v>117</v>
      </c>
      <c r="U54" s="452"/>
      <c r="V54" s="430"/>
    </row>
    <row r="55" spans="1:23" s="431" customFormat="1" x14ac:dyDescent="0.3">
      <c r="A55" s="449"/>
      <c r="B55" s="455" t="s">
        <v>210</v>
      </c>
      <c r="C55" s="455"/>
      <c r="D55" s="455"/>
      <c r="E55" s="455"/>
      <c r="F55" s="455"/>
      <c r="G55" s="455"/>
      <c r="H55" s="455"/>
      <c r="I55" s="455"/>
      <c r="J55" s="455"/>
      <c r="K55" s="455"/>
      <c r="L55" s="455"/>
      <c r="M55" s="455"/>
      <c r="N55" s="455"/>
      <c r="O55" s="455"/>
      <c r="P55" s="455"/>
      <c r="Q55" s="455"/>
      <c r="R55" s="490"/>
      <c r="S55" s="490"/>
      <c r="T55" s="491">
        <v>43480</v>
      </c>
      <c r="U55" s="452"/>
      <c r="V55" s="430"/>
    </row>
    <row r="56" spans="1:23" s="431" customFormat="1" x14ac:dyDescent="0.3">
      <c r="A56" s="449"/>
      <c r="B56" s="450" t="s">
        <v>127</v>
      </c>
      <c r="C56" s="450"/>
      <c r="D56" s="450"/>
      <c r="E56" s="450"/>
      <c r="F56" s="450"/>
      <c r="G56" s="450"/>
      <c r="H56" s="492"/>
      <c r="I56" s="492"/>
      <c r="J56" s="492"/>
      <c r="K56" s="492"/>
      <c r="L56" s="492"/>
      <c r="M56" s="492"/>
      <c r="N56" s="492"/>
      <c r="O56" s="492"/>
      <c r="P56" s="450">
        <f>+T56-R56+1</f>
        <v>91</v>
      </c>
      <c r="Q56" s="492"/>
      <c r="R56" s="493">
        <v>43297</v>
      </c>
      <c r="S56" s="494"/>
      <c r="T56" s="493">
        <v>43387</v>
      </c>
      <c r="U56" s="452"/>
      <c r="V56" s="430"/>
    </row>
    <row r="57" spans="1:23" s="431" customFormat="1" x14ac:dyDescent="0.3">
      <c r="A57" s="449"/>
      <c r="B57" s="450" t="s">
        <v>128</v>
      </c>
      <c r="C57" s="450"/>
      <c r="D57" s="450"/>
      <c r="E57" s="450"/>
      <c r="F57" s="450"/>
      <c r="G57" s="450"/>
      <c r="H57" s="450"/>
      <c r="I57" s="450"/>
      <c r="J57" s="450"/>
      <c r="K57" s="450"/>
      <c r="L57" s="450"/>
      <c r="M57" s="450"/>
      <c r="N57" s="450"/>
      <c r="O57" s="450"/>
      <c r="P57" s="450">
        <f>+T57-R57+1</f>
        <v>92</v>
      </c>
      <c r="Q57" s="450"/>
      <c r="R57" s="493">
        <v>43388</v>
      </c>
      <c r="S57" s="494"/>
      <c r="T57" s="493">
        <v>43479</v>
      </c>
      <c r="U57" s="452"/>
      <c r="V57" s="430"/>
    </row>
    <row r="58" spans="1:23" s="431" customFormat="1" x14ac:dyDescent="0.3">
      <c r="A58" s="449"/>
      <c r="B58" s="450" t="s">
        <v>344</v>
      </c>
      <c r="C58" s="450"/>
      <c r="D58" s="450"/>
      <c r="E58" s="450"/>
      <c r="F58" s="450"/>
      <c r="G58" s="450"/>
      <c r="H58" s="450"/>
      <c r="I58" s="450"/>
      <c r="J58" s="450"/>
      <c r="K58" s="450"/>
      <c r="L58" s="450"/>
      <c r="M58" s="450"/>
      <c r="N58" s="450"/>
      <c r="O58" s="450"/>
      <c r="P58" s="450"/>
      <c r="Q58" s="450"/>
      <c r="R58" s="493"/>
      <c r="S58" s="494"/>
      <c r="T58" s="493" t="s">
        <v>126</v>
      </c>
      <c r="U58" s="452"/>
      <c r="V58" s="430"/>
    </row>
    <row r="59" spans="1:23" s="431" customFormat="1" x14ac:dyDescent="0.3">
      <c r="A59" s="449"/>
      <c r="B59" s="450" t="s">
        <v>343</v>
      </c>
      <c r="C59" s="450"/>
      <c r="D59" s="450"/>
      <c r="E59" s="450"/>
      <c r="F59" s="450"/>
      <c r="G59" s="450"/>
      <c r="H59" s="450"/>
      <c r="I59" s="450"/>
      <c r="J59" s="450"/>
      <c r="K59" s="450"/>
      <c r="L59" s="450"/>
      <c r="M59" s="450"/>
      <c r="N59" s="450"/>
      <c r="O59" s="450"/>
      <c r="P59" s="450"/>
      <c r="Q59" s="450"/>
      <c r="R59" s="493"/>
      <c r="S59" s="494"/>
      <c r="T59" s="493" t="s">
        <v>160</v>
      </c>
      <c r="U59" s="452"/>
      <c r="V59" s="430"/>
      <c r="W59" s="495"/>
    </row>
    <row r="60" spans="1:23" s="431" customFormat="1" x14ac:dyDescent="0.3">
      <c r="A60" s="449"/>
      <c r="B60" s="450" t="s">
        <v>16</v>
      </c>
      <c r="C60" s="450"/>
      <c r="D60" s="450"/>
      <c r="E60" s="450"/>
      <c r="F60" s="450"/>
      <c r="G60" s="450"/>
      <c r="H60" s="450"/>
      <c r="I60" s="450"/>
      <c r="J60" s="450"/>
      <c r="K60" s="450"/>
      <c r="L60" s="450"/>
      <c r="M60" s="450"/>
      <c r="N60" s="450"/>
      <c r="O60" s="450"/>
      <c r="P60" s="450"/>
      <c r="Q60" s="450"/>
      <c r="R60" s="493"/>
      <c r="S60" s="494"/>
      <c r="T60" s="493">
        <v>43467</v>
      </c>
      <c r="U60" s="452"/>
      <c r="V60" s="430"/>
    </row>
    <row r="61" spans="1:23" s="431" customFormat="1" x14ac:dyDescent="0.3">
      <c r="A61" s="432"/>
      <c r="B61" s="447"/>
      <c r="C61" s="447"/>
      <c r="D61" s="447"/>
      <c r="E61" s="447"/>
      <c r="F61" s="447"/>
      <c r="G61" s="447"/>
      <c r="H61" s="447"/>
      <c r="I61" s="447"/>
      <c r="J61" s="447"/>
      <c r="K61" s="447"/>
      <c r="L61" s="447"/>
      <c r="M61" s="447"/>
      <c r="N61" s="447"/>
      <c r="O61" s="447"/>
      <c r="P61" s="447"/>
      <c r="Q61" s="447"/>
      <c r="R61" s="496"/>
      <c r="S61" s="497"/>
      <c r="T61" s="496"/>
      <c r="U61" s="641"/>
      <c r="V61" s="430"/>
    </row>
    <row r="62" spans="1:23" s="431" customFormat="1" x14ac:dyDescent="0.3">
      <c r="A62" s="432"/>
      <c r="B62" s="433"/>
      <c r="C62" s="433"/>
      <c r="D62" s="433"/>
      <c r="E62" s="433"/>
      <c r="F62" s="433"/>
      <c r="G62" s="433"/>
      <c r="H62" s="433"/>
      <c r="I62" s="433"/>
      <c r="J62" s="433"/>
      <c r="K62" s="433"/>
      <c r="L62" s="433"/>
      <c r="M62" s="433"/>
      <c r="N62" s="433"/>
      <c r="O62" s="433"/>
      <c r="P62" s="433"/>
      <c r="Q62" s="433"/>
      <c r="R62" s="498"/>
      <c r="S62" s="499"/>
      <c r="T62" s="498"/>
      <c r="U62" s="641"/>
      <c r="V62" s="430"/>
    </row>
    <row r="63" spans="1:23" s="431" customFormat="1" ht="18.600000000000001" thickBot="1" x14ac:dyDescent="0.4">
      <c r="A63" s="500"/>
      <c r="B63" s="501" t="s">
        <v>364</v>
      </c>
      <c r="C63" s="502"/>
      <c r="D63" s="502"/>
      <c r="E63" s="502"/>
      <c r="F63" s="502"/>
      <c r="G63" s="502"/>
      <c r="H63" s="502"/>
      <c r="I63" s="502"/>
      <c r="J63" s="502"/>
      <c r="K63" s="502"/>
      <c r="L63" s="502"/>
      <c r="M63" s="502"/>
      <c r="N63" s="502"/>
      <c r="O63" s="502"/>
      <c r="P63" s="502"/>
      <c r="Q63" s="502"/>
      <c r="R63" s="502"/>
      <c r="S63" s="502"/>
      <c r="T63" s="503"/>
      <c r="U63" s="504"/>
      <c r="V63" s="430"/>
    </row>
    <row r="64" spans="1:23" x14ac:dyDescent="0.3">
      <c r="A64" s="505"/>
      <c r="B64" s="506" t="s">
        <v>17</v>
      </c>
      <c r="C64" s="507"/>
      <c r="D64" s="507"/>
      <c r="E64" s="507"/>
      <c r="F64" s="507"/>
      <c r="G64" s="507"/>
      <c r="H64" s="507"/>
      <c r="I64" s="507"/>
      <c r="J64" s="507"/>
      <c r="K64" s="507"/>
      <c r="L64" s="507"/>
      <c r="M64" s="507"/>
      <c r="N64" s="507"/>
      <c r="O64" s="507"/>
      <c r="P64" s="507"/>
      <c r="Q64" s="507"/>
      <c r="R64" s="507"/>
      <c r="S64" s="507"/>
      <c r="T64" s="508"/>
      <c r="U64" s="509"/>
      <c r="V64" s="416"/>
    </row>
    <row r="65" spans="1:22" x14ac:dyDescent="0.3">
      <c r="A65" s="418"/>
      <c r="B65" s="427"/>
      <c r="C65" s="420"/>
      <c r="D65" s="420"/>
      <c r="E65" s="420"/>
      <c r="F65" s="420"/>
      <c r="G65" s="420"/>
      <c r="H65" s="420"/>
      <c r="I65" s="420"/>
      <c r="J65" s="420"/>
      <c r="K65" s="420"/>
      <c r="L65" s="420"/>
      <c r="M65" s="420"/>
      <c r="N65" s="420"/>
      <c r="O65" s="420"/>
      <c r="P65" s="420"/>
      <c r="Q65" s="420"/>
      <c r="R65" s="420"/>
      <c r="S65" s="420"/>
      <c r="T65" s="510"/>
      <c r="U65" s="639"/>
      <c r="V65" s="416"/>
    </row>
    <row r="66" spans="1:22" ht="46.8" x14ac:dyDescent="0.3">
      <c r="A66" s="418"/>
      <c r="B66" s="511" t="s">
        <v>18</v>
      </c>
      <c r="C66" s="512"/>
      <c r="D66" s="512"/>
      <c r="E66" s="512"/>
      <c r="F66" s="512"/>
      <c r="G66" s="512"/>
      <c r="H66" s="512"/>
      <c r="I66" s="512"/>
      <c r="J66" s="512" t="s">
        <v>97</v>
      </c>
      <c r="K66" s="512"/>
      <c r="L66" s="512" t="s">
        <v>99</v>
      </c>
      <c r="M66" s="512"/>
      <c r="N66" s="512" t="s">
        <v>101</v>
      </c>
      <c r="O66" s="512"/>
      <c r="P66" s="512" t="s">
        <v>103</v>
      </c>
      <c r="Q66" s="512"/>
      <c r="R66" s="512" t="s">
        <v>110</v>
      </c>
      <c r="S66" s="512"/>
      <c r="T66" s="513" t="s">
        <v>118</v>
      </c>
      <c r="U66" s="642"/>
      <c r="V66" s="416"/>
    </row>
    <row r="67" spans="1:22" s="431" customFormat="1" x14ac:dyDescent="0.3">
      <c r="A67" s="449"/>
      <c r="B67" s="450" t="s">
        <v>19</v>
      </c>
      <c r="C67" s="514"/>
      <c r="D67" s="514"/>
      <c r="E67" s="514"/>
      <c r="F67" s="514"/>
      <c r="G67" s="514"/>
      <c r="H67" s="514"/>
      <c r="I67" s="514"/>
      <c r="J67" s="514">
        <v>1000039</v>
      </c>
      <c r="K67" s="514"/>
      <c r="L67" s="515">
        <v>397365</v>
      </c>
      <c r="M67" s="514"/>
      <c r="N67" s="514">
        <f>9043+65-1</f>
        <v>9107</v>
      </c>
      <c r="O67" s="514"/>
      <c r="P67" s="514">
        <v>65</v>
      </c>
      <c r="Q67" s="514"/>
      <c r="R67" s="514">
        <v>0</v>
      </c>
      <c r="S67" s="514"/>
      <c r="T67" s="515">
        <f>+L67-N67+P67-R67</f>
        <v>388323</v>
      </c>
      <c r="U67" s="452"/>
      <c r="V67" s="430"/>
    </row>
    <row r="68" spans="1:22" s="431" customFormat="1" x14ac:dyDescent="0.3">
      <c r="A68" s="449"/>
      <c r="B68" s="450" t="s">
        <v>20</v>
      </c>
      <c r="C68" s="514"/>
      <c r="D68" s="514"/>
      <c r="E68" s="514"/>
      <c r="F68" s="514"/>
      <c r="G68" s="514"/>
      <c r="H68" s="514"/>
      <c r="I68" s="514"/>
      <c r="J68" s="514">
        <v>10</v>
      </c>
      <c r="K68" s="514"/>
      <c r="L68" s="515">
        <v>0</v>
      </c>
      <c r="M68" s="514"/>
      <c r="N68" s="514">
        <v>0</v>
      </c>
      <c r="O68" s="514"/>
      <c r="P68" s="514">
        <v>0</v>
      </c>
      <c r="Q68" s="514"/>
      <c r="R68" s="514">
        <v>0</v>
      </c>
      <c r="S68" s="514"/>
      <c r="T68" s="515">
        <v>0</v>
      </c>
      <c r="U68" s="452"/>
      <c r="V68" s="430"/>
    </row>
    <row r="69" spans="1:22" s="431" customFormat="1" x14ac:dyDescent="0.3">
      <c r="A69" s="449"/>
      <c r="B69" s="450"/>
      <c r="C69" s="514"/>
      <c r="D69" s="514"/>
      <c r="E69" s="514"/>
      <c r="F69" s="514"/>
      <c r="G69" s="514"/>
      <c r="H69" s="514"/>
      <c r="I69" s="514"/>
      <c r="J69" s="514"/>
      <c r="K69" s="514"/>
      <c r="L69" s="515"/>
      <c r="M69" s="514"/>
      <c r="N69" s="514"/>
      <c r="O69" s="514"/>
      <c r="P69" s="514"/>
      <c r="Q69" s="514"/>
      <c r="R69" s="514"/>
      <c r="S69" s="514"/>
      <c r="T69" s="515"/>
      <c r="U69" s="452"/>
      <c r="V69" s="430"/>
    </row>
    <row r="70" spans="1:22" s="431" customFormat="1" x14ac:dyDescent="0.3">
      <c r="A70" s="449"/>
      <c r="B70" s="450" t="s">
        <v>21</v>
      </c>
      <c r="C70" s="514"/>
      <c r="D70" s="514"/>
      <c r="E70" s="514"/>
      <c r="F70" s="514"/>
      <c r="G70" s="514"/>
      <c r="H70" s="514"/>
      <c r="I70" s="514"/>
      <c r="J70" s="514">
        <f>SUM(J67:J69)</f>
        <v>1000049</v>
      </c>
      <c r="K70" s="514"/>
      <c r="L70" s="514">
        <f>L67+L68</f>
        <v>397365</v>
      </c>
      <c r="M70" s="514"/>
      <c r="N70" s="514">
        <f>SUM(N67:N69)</f>
        <v>9107</v>
      </c>
      <c r="O70" s="514"/>
      <c r="P70" s="514">
        <f>SUM(P67:P69)</f>
        <v>65</v>
      </c>
      <c r="Q70" s="514"/>
      <c r="R70" s="514">
        <f>SUM(R67:R69)</f>
        <v>0</v>
      </c>
      <c r="S70" s="514"/>
      <c r="T70" s="514">
        <f>SUM(T67:T69)</f>
        <v>388323</v>
      </c>
      <c r="U70" s="452"/>
      <c r="V70" s="430"/>
    </row>
    <row r="71" spans="1:22" x14ac:dyDescent="0.3">
      <c r="A71" s="418"/>
      <c r="B71" s="516"/>
      <c r="C71" s="517"/>
      <c r="D71" s="517"/>
      <c r="E71" s="517"/>
      <c r="F71" s="517"/>
      <c r="G71" s="517"/>
      <c r="H71" s="517"/>
      <c r="I71" s="517"/>
      <c r="J71" s="517"/>
      <c r="K71" s="517"/>
      <c r="L71" s="517"/>
      <c r="M71" s="517"/>
      <c r="N71" s="517"/>
      <c r="O71" s="517"/>
      <c r="P71" s="517"/>
      <c r="Q71" s="517"/>
      <c r="R71" s="517"/>
      <c r="S71" s="517"/>
      <c r="T71" s="518"/>
      <c r="U71" s="639"/>
      <c r="V71" s="416"/>
    </row>
    <row r="72" spans="1:22" x14ac:dyDescent="0.3">
      <c r="A72" s="418"/>
      <c r="B72" s="422" t="s">
        <v>22</v>
      </c>
      <c r="C72" s="519"/>
      <c r="D72" s="519"/>
      <c r="E72" s="519"/>
      <c r="F72" s="519"/>
      <c r="G72" s="519"/>
      <c r="H72" s="519"/>
      <c r="I72" s="519"/>
      <c r="J72" s="519"/>
      <c r="K72" s="519"/>
      <c r="L72" s="519"/>
      <c r="M72" s="519"/>
      <c r="N72" s="519"/>
      <c r="O72" s="519"/>
      <c r="P72" s="519"/>
      <c r="Q72" s="519"/>
      <c r="R72" s="519"/>
      <c r="S72" s="519"/>
      <c r="T72" s="520"/>
      <c r="U72" s="639"/>
      <c r="V72" s="416"/>
    </row>
    <row r="73" spans="1:22" x14ac:dyDescent="0.3">
      <c r="A73" s="418"/>
      <c r="B73" s="420"/>
      <c r="C73" s="519"/>
      <c r="D73" s="519"/>
      <c r="E73" s="519"/>
      <c r="F73" s="519"/>
      <c r="G73" s="519"/>
      <c r="H73" s="519"/>
      <c r="I73" s="519"/>
      <c r="J73" s="519"/>
      <c r="K73" s="519"/>
      <c r="L73" s="519"/>
      <c r="M73" s="519"/>
      <c r="N73" s="519"/>
      <c r="O73" s="519"/>
      <c r="P73" s="519"/>
      <c r="Q73" s="519"/>
      <c r="R73" s="519"/>
      <c r="S73" s="519"/>
      <c r="T73" s="520"/>
      <c r="U73" s="639"/>
      <c r="V73" s="416"/>
    </row>
    <row r="74" spans="1:22" s="431" customFormat="1" x14ac:dyDescent="0.3">
      <c r="A74" s="449"/>
      <c r="B74" s="450" t="s">
        <v>19</v>
      </c>
      <c r="C74" s="514"/>
      <c r="D74" s="514"/>
      <c r="E74" s="514"/>
      <c r="F74" s="514"/>
      <c r="G74" s="514"/>
      <c r="H74" s="514"/>
      <c r="I74" s="514"/>
      <c r="J74" s="514"/>
      <c r="K74" s="514"/>
      <c r="L74" s="514"/>
      <c r="M74" s="514"/>
      <c r="N74" s="514"/>
      <c r="O74" s="514"/>
      <c r="P74" s="514"/>
      <c r="Q74" s="514"/>
      <c r="R74" s="514"/>
      <c r="S74" s="514"/>
      <c r="T74" s="514"/>
      <c r="U74" s="452"/>
      <c r="V74" s="430"/>
    </row>
    <row r="75" spans="1:22" s="431" customFormat="1" x14ac:dyDescent="0.3">
      <c r="A75" s="449"/>
      <c r="B75" s="450" t="s">
        <v>20</v>
      </c>
      <c r="C75" s="514"/>
      <c r="D75" s="514"/>
      <c r="E75" s="514"/>
      <c r="F75" s="514"/>
      <c r="G75" s="514"/>
      <c r="H75" s="514"/>
      <c r="I75" s="514"/>
      <c r="J75" s="514"/>
      <c r="K75" s="514"/>
      <c r="L75" s="514"/>
      <c r="M75" s="514"/>
      <c r="N75" s="514"/>
      <c r="O75" s="514"/>
      <c r="P75" s="514"/>
      <c r="Q75" s="514"/>
      <c r="R75" s="514"/>
      <c r="S75" s="514"/>
      <c r="T75" s="514"/>
      <c r="U75" s="452"/>
      <c r="V75" s="430"/>
    </row>
    <row r="76" spans="1:22" s="431" customFormat="1" x14ac:dyDescent="0.3">
      <c r="A76" s="449"/>
      <c r="B76" s="450"/>
      <c r="C76" s="514"/>
      <c r="D76" s="514"/>
      <c r="E76" s="514"/>
      <c r="F76" s="514"/>
      <c r="G76" s="514"/>
      <c r="H76" s="514"/>
      <c r="I76" s="514"/>
      <c r="J76" s="514"/>
      <c r="K76" s="514"/>
      <c r="L76" s="514"/>
      <c r="M76" s="514"/>
      <c r="N76" s="514"/>
      <c r="O76" s="514"/>
      <c r="P76" s="514"/>
      <c r="Q76" s="514"/>
      <c r="R76" s="514"/>
      <c r="S76" s="514"/>
      <c r="T76" s="514"/>
      <c r="U76" s="452"/>
      <c r="V76" s="430"/>
    </row>
    <row r="77" spans="1:22" s="431" customFormat="1" x14ac:dyDescent="0.3">
      <c r="A77" s="449"/>
      <c r="B77" s="450" t="s">
        <v>21</v>
      </c>
      <c r="C77" s="514"/>
      <c r="D77" s="514"/>
      <c r="E77" s="514"/>
      <c r="F77" s="514"/>
      <c r="G77" s="514"/>
      <c r="H77" s="514"/>
      <c r="I77" s="514"/>
      <c r="J77" s="514"/>
      <c r="K77" s="514"/>
      <c r="L77" s="514"/>
      <c r="M77" s="514"/>
      <c r="N77" s="514"/>
      <c r="O77" s="514"/>
      <c r="P77" s="514"/>
      <c r="Q77" s="514"/>
      <c r="R77" s="514"/>
      <c r="S77" s="514"/>
      <c r="T77" s="514"/>
      <c r="U77" s="452"/>
      <c r="V77" s="430"/>
    </row>
    <row r="78" spans="1:22" s="431" customFormat="1" x14ac:dyDescent="0.3">
      <c r="A78" s="449"/>
      <c r="B78" s="450"/>
      <c r="C78" s="514"/>
      <c r="D78" s="514"/>
      <c r="E78" s="514"/>
      <c r="F78" s="514"/>
      <c r="G78" s="514"/>
      <c r="H78" s="514"/>
      <c r="I78" s="514"/>
      <c r="J78" s="514"/>
      <c r="K78" s="514"/>
      <c r="L78" s="514"/>
      <c r="M78" s="514"/>
      <c r="N78" s="514"/>
      <c r="O78" s="514"/>
      <c r="P78" s="514"/>
      <c r="Q78" s="514"/>
      <c r="R78" s="514"/>
      <c r="S78" s="514"/>
      <c r="T78" s="514"/>
      <c r="U78" s="452"/>
      <c r="V78" s="430"/>
    </row>
    <row r="79" spans="1:22" s="431" customFormat="1" x14ac:dyDescent="0.3">
      <c r="A79" s="449"/>
      <c r="B79" s="450" t="s">
        <v>23</v>
      </c>
      <c r="C79" s="514"/>
      <c r="D79" s="514"/>
      <c r="E79" s="514"/>
      <c r="F79" s="514"/>
      <c r="G79" s="514"/>
      <c r="H79" s="514"/>
      <c r="I79" s="514"/>
      <c r="J79" s="514">
        <v>0</v>
      </c>
      <c r="K79" s="514"/>
      <c r="L79" s="514">
        <v>0</v>
      </c>
      <c r="M79" s="514"/>
      <c r="N79" s="514"/>
      <c r="O79" s="514"/>
      <c r="P79" s="514"/>
      <c r="Q79" s="514"/>
      <c r="R79" s="514"/>
      <c r="S79" s="514"/>
      <c r="T79" s="515">
        <v>0</v>
      </c>
      <c r="U79" s="452"/>
      <c r="V79" s="430"/>
    </row>
    <row r="80" spans="1:22" s="431" customFormat="1" x14ac:dyDescent="0.3">
      <c r="A80" s="449"/>
      <c r="B80" s="450" t="s">
        <v>123</v>
      </c>
      <c r="C80" s="514"/>
      <c r="D80" s="514"/>
      <c r="E80" s="514"/>
      <c r="F80" s="514"/>
      <c r="G80" s="514"/>
      <c r="H80" s="514"/>
      <c r="I80" s="514"/>
      <c r="J80" s="514">
        <v>0</v>
      </c>
      <c r="K80" s="514"/>
      <c r="L80" s="514">
        <v>0</v>
      </c>
      <c r="M80" s="514"/>
      <c r="N80" s="514"/>
      <c r="O80" s="514"/>
      <c r="P80" s="514"/>
      <c r="Q80" s="514"/>
      <c r="R80" s="514"/>
      <c r="S80" s="514"/>
      <c r="T80" s="514">
        <f>SUM(J80:P80)</f>
        <v>0</v>
      </c>
      <c r="U80" s="452"/>
      <c r="V80" s="430"/>
    </row>
    <row r="81" spans="1:22" s="431" customFormat="1" x14ac:dyDescent="0.3">
      <c r="A81" s="449"/>
      <c r="B81" s="450" t="s">
        <v>152</v>
      </c>
      <c r="C81" s="514"/>
      <c r="D81" s="514"/>
      <c r="E81" s="514"/>
      <c r="F81" s="514"/>
      <c r="G81" s="514"/>
      <c r="H81" s="514"/>
      <c r="I81" s="514"/>
      <c r="J81" s="514">
        <v>1</v>
      </c>
      <c r="K81" s="514"/>
      <c r="L81" s="514">
        <v>0</v>
      </c>
      <c r="M81" s="514"/>
      <c r="N81" s="514">
        <v>0</v>
      </c>
      <c r="O81" s="514"/>
      <c r="P81" s="514"/>
      <c r="Q81" s="514"/>
      <c r="R81" s="514"/>
      <c r="S81" s="514"/>
      <c r="T81" s="514">
        <f>+L81+N81</f>
        <v>0</v>
      </c>
      <c r="U81" s="452"/>
      <c r="V81" s="430"/>
    </row>
    <row r="82" spans="1:22" s="431" customFormat="1" x14ac:dyDescent="0.3">
      <c r="A82" s="449"/>
      <c r="B82" s="450" t="s">
        <v>25</v>
      </c>
      <c r="C82" s="514"/>
      <c r="D82" s="514"/>
      <c r="E82" s="514"/>
      <c r="F82" s="514"/>
      <c r="G82" s="514"/>
      <c r="H82" s="514"/>
      <c r="I82" s="514"/>
      <c r="J82" s="514">
        <v>0</v>
      </c>
      <c r="K82" s="514"/>
      <c r="L82" s="514">
        <v>0</v>
      </c>
      <c r="M82" s="514"/>
      <c r="N82" s="514"/>
      <c r="O82" s="514"/>
      <c r="P82" s="514"/>
      <c r="Q82" s="514"/>
      <c r="R82" s="514"/>
      <c r="S82" s="514"/>
      <c r="T82" s="514">
        <v>0</v>
      </c>
      <c r="U82" s="452"/>
      <c r="V82" s="430"/>
    </row>
    <row r="83" spans="1:22" s="431" customFormat="1" x14ac:dyDescent="0.3">
      <c r="A83" s="449"/>
      <c r="B83" s="450" t="s">
        <v>26</v>
      </c>
      <c r="C83" s="514"/>
      <c r="D83" s="514"/>
      <c r="E83" s="514"/>
      <c r="F83" s="514"/>
      <c r="G83" s="514"/>
      <c r="H83" s="514"/>
      <c r="I83" s="514"/>
      <c r="J83" s="514">
        <f>SUM(J70:J82)</f>
        <v>1000050</v>
      </c>
      <c r="K83" s="514"/>
      <c r="L83" s="514">
        <f>SUM(L70:L82)</f>
        <v>397365</v>
      </c>
      <c r="M83" s="514"/>
      <c r="N83" s="514"/>
      <c r="O83" s="514"/>
      <c r="P83" s="514"/>
      <c r="Q83" s="514"/>
      <c r="R83" s="514"/>
      <c r="S83" s="514"/>
      <c r="T83" s="514">
        <f>SUM(T70:T82)</f>
        <v>388323</v>
      </c>
      <c r="U83" s="452"/>
      <c r="V83" s="430"/>
    </row>
    <row r="84" spans="1:22" x14ac:dyDescent="0.3">
      <c r="A84" s="418"/>
      <c r="B84" s="516"/>
      <c r="C84" s="517"/>
      <c r="D84" s="517"/>
      <c r="E84" s="517"/>
      <c r="F84" s="517"/>
      <c r="G84" s="517"/>
      <c r="H84" s="517"/>
      <c r="I84" s="517"/>
      <c r="J84" s="517"/>
      <c r="K84" s="517"/>
      <c r="L84" s="517"/>
      <c r="M84" s="517"/>
      <c r="N84" s="517"/>
      <c r="O84" s="517"/>
      <c r="P84" s="517"/>
      <c r="Q84" s="517"/>
      <c r="R84" s="517"/>
      <c r="S84" s="517"/>
      <c r="T84" s="518"/>
      <c r="U84" s="639"/>
      <c r="V84" s="416"/>
    </row>
    <row r="85" spans="1:22" x14ac:dyDescent="0.3">
      <c r="A85" s="418"/>
      <c r="B85" s="420"/>
      <c r="C85" s="420"/>
      <c r="D85" s="420"/>
      <c r="E85" s="420"/>
      <c r="F85" s="420"/>
      <c r="G85" s="420"/>
      <c r="H85" s="420"/>
      <c r="I85" s="420"/>
      <c r="J85" s="420"/>
      <c r="K85" s="420"/>
      <c r="L85" s="420"/>
      <c r="M85" s="420"/>
      <c r="N85" s="420"/>
      <c r="O85" s="420"/>
      <c r="P85" s="420"/>
      <c r="Q85" s="420"/>
      <c r="R85" s="420"/>
      <c r="S85" s="420"/>
      <c r="T85" s="420"/>
      <c r="U85" s="639"/>
      <c r="V85" s="416"/>
    </row>
    <row r="86" spans="1:22" x14ac:dyDescent="0.3">
      <c r="A86" s="442"/>
      <c r="B86" s="521" t="s">
        <v>27</v>
      </c>
      <c r="C86" s="521"/>
      <c r="D86" s="521"/>
      <c r="E86" s="521"/>
      <c r="F86" s="521"/>
      <c r="G86" s="521"/>
      <c r="H86" s="522"/>
      <c r="I86" s="522"/>
      <c r="J86" s="523" t="s">
        <v>98</v>
      </c>
      <c r="K86" s="522"/>
      <c r="L86" s="524">
        <f>+R193</f>
        <v>43465</v>
      </c>
      <c r="M86" s="522"/>
      <c r="N86" s="522"/>
      <c r="O86" s="522"/>
      <c r="P86" s="522"/>
      <c r="Q86" s="522"/>
      <c r="R86" s="522" t="s">
        <v>111</v>
      </c>
      <c r="S86" s="522"/>
      <c r="T86" s="522" t="s">
        <v>119</v>
      </c>
      <c r="U86" s="446"/>
      <c r="V86" s="416"/>
    </row>
    <row r="87" spans="1:22" s="431" customFormat="1" x14ac:dyDescent="0.3">
      <c r="A87" s="432"/>
      <c r="B87" s="447" t="s">
        <v>28</v>
      </c>
      <c r="C87" s="447"/>
      <c r="D87" s="447"/>
      <c r="E87" s="447"/>
      <c r="F87" s="447"/>
      <c r="G87" s="447"/>
      <c r="H87" s="447"/>
      <c r="I87" s="447"/>
      <c r="J87" s="447"/>
      <c r="K87" s="447"/>
      <c r="L87" s="447"/>
      <c r="M87" s="447"/>
      <c r="N87" s="447"/>
      <c r="O87" s="447"/>
      <c r="P87" s="447"/>
      <c r="Q87" s="447"/>
      <c r="R87" s="525">
        <v>0</v>
      </c>
      <c r="S87" s="447"/>
      <c r="T87" s="526">
        <v>0</v>
      </c>
      <c r="U87" s="641"/>
      <c r="V87" s="430"/>
    </row>
    <row r="88" spans="1:22" s="431" customFormat="1" x14ac:dyDescent="0.3">
      <c r="A88" s="449"/>
      <c r="B88" s="450" t="s">
        <v>29</v>
      </c>
      <c r="C88" s="450"/>
      <c r="D88" s="450"/>
      <c r="E88" s="450"/>
      <c r="F88" s="450"/>
      <c r="G88" s="450"/>
      <c r="H88" s="486"/>
      <c r="I88" s="527"/>
      <c r="J88" s="486"/>
      <c r="K88" s="450"/>
      <c r="L88" s="528"/>
      <c r="M88" s="450"/>
      <c r="N88" s="450"/>
      <c r="O88" s="450"/>
      <c r="P88" s="450"/>
      <c r="Q88" s="450"/>
      <c r="R88" s="514">
        <f>9107-69</f>
        <v>9038</v>
      </c>
      <c r="S88" s="450"/>
      <c r="T88" s="515"/>
      <c r="U88" s="452"/>
      <c r="V88" s="430"/>
    </row>
    <row r="89" spans="1:22" s="431" customFormat="1" x14ac:dyDescent="0.3">
      <c r="A89" s="449"/>
      <c r="B89" s="450" t="s">
        <v>225</v>
      </c>
      <c r="C89" s="450"/>
      <c r="D89" s="450"/>
      <c r="E89" s="450"/>
      <c r="F89" s="450"/>
      <c r="G89" s="450"/>
      <c r="H89" s="486"/>
      <c r="I89" s="527"/>
      <c r="J89" s="486"/>
      <c r="K89" s="450"/>
      <c r="L89" s="528"/>
      <c r="M89" s="450"/>
      <c r="N89" s="450"/>
      <c r="O89" s="450"/>
      <c r="P89" s="450"/>
      <c r="Q89" s="450"/>
      <c r="R89" s="514"/>
      <c r="S89" s="450"/>
      <c r="T89" s="515">
        <f>1837+1708-565-365</f>
        <v>2615</v>
      </c>
      <c r="U89" s="452"/>
      <c r="V89" s="430"/>
    </row>
    <row r="90" spans="1:22" s="431" customFormat="1" x14ac:dyDescent="0.3">
      <c r="A90" s="449"/>
      <c r="B90" s="450" t="s">
        <v>220</v>
      </c>
      <c r="C90" s="450"/>
      <c r="D90" s="450"/>
      <c r="E90" s="450"/>
      <c r="F90" s="450"/>
      <c r="G90" s="450"/>
      <c r="H90" s="486"/>
      <c r="I90" s="527"/>
      <c r="J90" s="486"/>
      <c r="K90" s="450"/>
      <c r="L90" s="528"/>
      <c r="M90" s="450"/>
      <c r="N90" s="450"/>
      <c r="O90" s="450"/>
      <c r="P90" s="450"/>
      <c r="Q90" s="450"/>
      <c r="R90" s="514"/>
      <c r="S90" s="450"/>
      <c r="T90" s="515">
        <f>56+67</f>
        <v>123</v>
      </c>
      <c r="U90" s="452"/>
      <c r="V90" s="430"/>
    </row>
    <row r="91" spans="1:22" s="431" customFormat="1" x14ac:dyDescent="0.3">
      <c r="A91" s="449"/>
      <c r="B91" s="450" t="s">
        <v>221</v>
      </c>
      <c r="C91" s="450"/>
      <c r="D91" s="450"/>
      <c r="E91" s="450"/>
      <c r="F91" s="450"/>
      <c r="G91" s="450"/>
      <c r="H91" s="486"/>
      <c r="I91" s="527"/>
      <c r="J91" s="486"/>
      <c r="K91" s="450"/>
      <c r="L91" s="528"/>
      <c r="M91" s="450"/>
      <c r="N91" s="450"/>
      <c r="O91" s="450"/>
      <c r="P91" s="450"/>
      <c r="Q91" s="450"/>
      <c r="R91" s="514"/>
      <c r="S91" s="450"/>
      <c r="T91" s="515">
        <v>46</v>
      </c>
      <c r="U91" s="452"/>
      <c r="V91" s="430"/>
    </row>
    <row r="92" spans="1:22" s="431" customFormat="1" x14ac:dyDescent="0.3">
      <c r="A92" s="449"/>
      <c r="B92" s="450" t="s">
        <v>261</v>
      </c>
      <c r="C92" s="450"/>
      <c r="D92" s="450"/>
      <c r="E92" s="450"/>
      <c r="F92" s="450"/>
      <c r="G92" s="450"/>
      <c r="H92" s="486"/>
      <c r="I92" s="527"/>
      <c r="J92" s="486"/>
      <c r="K92" s="450"/>
      <c r="L92" s="528"/>
      <c r="M92" s="450"/>
      <c r="N92" s="450"/>
      <c r="O92" s="450"/>
      <c r="P92" s="450"/>
      <c r="Q92" s="450"/>
      <c r="R92" s="514"/>
      <c r="S92" s="450"/>
      <c r="T92" s="515">
        <v>0</v>
      </c>
      <c r="U92" s="452"/>
      <c r="V92" s="430"/>
    </row>
    <row r="93" spans="1:22" s="431" customFormat="1" x14ac:dyDescent="0.3">
      <c r="A93" s="449"/>
      <c r="B93" s="450" t="s">
        <v>141</v>
      </c>
      <c r="C93" s="450"/>
      <c r="D93" s="450"/>
      <c r="E93" s="450"/>
      <c r="F93" s="450"/>
      <c r="G93" s="450"/>
      <c r="H93" s="450"/>
      <c r="I93" s="450"/>
      <c r="J93" s="450"/>
      <c r="K93" s="450"/>
      <c r="L93" s="450"/>
      <c r="M93" s="450"/>
      <c r="N93" s="450"/>
      <c r="O93" s="450"/>
      <c r="P93" s="450"/>
      <c r="Q93" s="450"/>
      <c r="R93" s="514"/>
      <c r="S93" s="450"/>
      <c r="T93" s="515">
        <v>0</v>
      </c>
      <c r="U93" s="452"/>
      <c r="V93" s="430"/>
    </row>
    <row r="94" spans="1:22" s="431" customFormat="1" x14ac:dyDescent="0.3">
      <c r="A94" s="449"/>
      <c r="B94" s="450" t="s">
        <v>250</v>
      </c>
      <c r="C94" s="450"/>
      <c r="D94" s="450"/>
      <c r="E94" s="450"/>
      <c r="F94" s="450"/>
      <c r="G94" s="450"/>
      <c r="H94" s="450"/>
      <c r="I94" s="450"/>
      <c r="J94" s="450"/>
      <c r="K94" s="450"/>
      <c r="L94" s="450"/>
      <c r="M94" s="450"/>
      <c r="N94" s="450"/>
      <c r="O94" s="450"/>
      <c r="P94" s="450"/>
      <c r="Q94" s="450"/>
      <c r="R94" s="514"/>
      <c r="S94" s="450"/>
      <c r="T94" s="515">
        <v>6</v>
      </c>
      <c r="U94" s="452"/>
      <c r="V94" s="430"/>
    </row>
    <row r="95" spans="1:22" s="431" customFormat="1" x14ac:dyDescent="0.3">
      <c r="A95" s="449"/>
      <c r="B95" s="450" t="s">
        <v>30</v>
      </c>
      <c r="C95" s="450"/>
      <c r="D95" s="450"/>
      <c r="E95" s="450"/>
      <c r="F95" s="450"/>
      <c r="G95" s="450"/>
      <c r="H95" s="450"/>
      <c r="I95" s="450"/>
      <c r="J95" s="450"/>
      <c r="K95" s="450"/>
      <c r="L95" s="450"/>
      <c r="M95" s="450"/>
      <c r="N95" s="450"/>
      <c r="O95" s="450"/>
      <c r="P95" s="450"/>
      <c r="Q95" s="450"/>
      <c r="R95" s="514">
        <f>SUM(R87:R94)</f>
        <v>9038</v>
      </c>
      <c r="S95" s="450"/>
      <c r="T95" s="514">
        <f>SUM(T87:T94)</f>
        <v>2790</v>
      </c>
      <c r="U95" s="452"/>
      <c r="V95" s="430"/>
    </row>
    <row r="96" spans="1:22" s="431" customFormat="1" x14ac:dyDescent="0.3">
      <c r="A96" s="449"/>
      <c r="B96" s="450" t="s">
        <v>168</v>
      </c>
      <c r="C96" s="450"/>
      <c r="D96" s="450"/>
      <c r="E96" s="450"/>
      <c r="F96" s="450"/>
      <c r="G96" s="450"/>
      <c r="H96" s="450"/>
      <c r="I96" s="450"/>
      <c r="J96" s="450"/>
      <c r="K96" s="450"/>
      <c r="L96" s="450"/>
      <c r="M96" s="450"/>
      <c r="N96" s="450"/>
      <c r="O96" s="450"/>
      <c r="P96" s="450"/>
      <c r="Q96" s="450"/>
      <c r="R96" s="514">
        <v>0</v>
      </c>
      <c r="S96" s="450"/>
      <c r="T96" s="514">
        <f>-R96</f>
        <v>0</v>
      </c>
      <c r="U96" s="452"/>
      <c r="V96" s="430"/>
    </row>
    <row r="97" spans="1:24" s="431" customFormat="1" x14ac:dyDescent="0.3">
      <c r="A97" s="449"/>
      <c r="B97" s="450" t="s">
        <v>31</v>
      </c>
      <c r="C97" s="450"/>
      <c r="D97" s="450"/>
      <c r="E97" s="450"/>
      <c r="F97" s="450"/>
      <c r="G97" s="450"/>
      <c r="H97" s="450"/>
      <c r="I97" s="450"/>
      <c r="J97" s="450"/>
      <c r="K97" s="450"/>
      <c r="L97" s="450"/>
      <c r="M97" s="450"/>
      <c r="N97" s="450"/>
      <c r="O97" s="450"/>
      <c r="P97" s="450"/>
      <c r="Q97" s="450"/>
      <c r="R97" s="514">
        <f>-T97</f>
        <v>0</v>
      </c>
      <c r="S97" s="450"/>
      <c r="T97" s="515">
        <v>0</v>
      </c>
      <c r="U97" s="452"/>
      <c r="V97" s="430"/>
    </row>
    <row r="98" spans="1:24" s="431" customFormat="1" x14ac:dyDescent="0.3">
      <c r="A98" s="449"/>
      <c r="B98" s="450" t="s">
        <v>273</v>
      </c>
      <c r="C98" s="450"/>
      <c r="D98" s="450"/>
      <c r="E98" s="450"/>
      <c r="F98" s="450"/>
      <c r="G98" s="450"/>
      <c r="H98" s="450"/>
      <c r="I98" s="450"/>
      <c r="J98" s="450"/>
      <c r="K98" s="450"/>
      <c r="L98" s="450"/>
      <c r="M98" s="450"/>
      <c r="N98" s="450"/>
      <c r="O98" s="450"/>
      <c r="P98" s="450"/>
      <c r="Q98" s="450"/>
      <c r="R98" s="514"/>
      <c r="S98" s="450"/>
      <c r="T98" s="515">
        <v>30</v>
      </c>
      <c r="U98" s="452"/>
      <c r="V98" s="430"/>
    </row>
    <row r="99" spans="1:24" s="431" customFormat="1" x14ac:dyDescent="0.3">
      <c r="A99" s="449"/>
      <c r="B99" s="450" t="s">
        <v>32</v>
      </c>
      <c r="C99" s="450"/>
      <c r="D99" s="450"/>
      <c r="E99" s="450"/>
      <c r="F99" s="450"/>
      <c r="G99" s="450"/>
      <c r="H99" s="450"/>
      <c r="I99" s="450"/>
      <c r="J99" s="450"/>
      <c r="K99" s="450"/>
      <c r="L99" s="450"/>
      <c r="M99" s="450"/>
      <c r="N99" s="450"/>
      <c r="O99" s="450"/>
      <c r="P99" s="450"/>
      <c r="Q99" s="450"/>
      <c r="R99" s="514">
        <f>R95+R97+R96</f>
        <v>9038</v>
      </c>
      <c r="S99" s="450"/>
      <c r="T99" s="514">
        <f>T95+T97+T96+T98</f>
        <v>2820</v>
      </c>
      <c r="U99" s="452"/>
      <c r="V99" s="430"/>
    </row>
    <row r="100" spans="1:24" x14ac:dyDescent="0.3">
      <c r="A100" s="468"/>
      <c r="B100" s="529" t="s">
        <v>33</v>
      </c>
      <c r="C100" s="470"/>
      <c r="D100" s="470"/>
      <c r="E100" s="470"/>
      <c r="F100" s="470"/>
      <c r="G100" s="470"/>
      <c r="H100" s="470"/>
      <c r="I100" s="470"/>
      <c r="J100" s="470"/>
      <c r="K100" s="470"/>
      <c r="L100" s="470"/>
      <c r="M100" s="470"/>
      <c r="N100" s="470"/>
      <c r="O100" s="470"/>
      <c r="P100" s="470"/>
      <c r="Q100" s="470"/>
      <c r="R100" s="530"/>
      <c r="S100" s="470"/>
      <c r="T100" s="531"/>
      <c r="U100" s="476"/>
      <c r="V100" s="416"/>
    </row>
    <row r="101" spans="1:24" s="431" customFormat="1" x14ac:dyDescent="0.3">
      <c r="A101" s="449">
        <v>1</v>
      </c>
      <c r="B101" s="450" t="s">
        <v>34</v>
      </c>
      <c r="C101" s="450"/>
      <c r="D101" s="450"/>
      <c r="E101" s="450"/>
      <c r="F101" s="450"/>
      <c r="G101" s="450"/>
      <c r="H101" s="450"/>
      <c r="I101" s="450"/>
      <c r="J101" s="450"/>
      <c r="K101" s="450"/>
      <c r="L101" s="450"/>
      <c r="M101" s="450"/>
      <c r="N101" s="450"/>
      <c r="O101" s="450"/>
      <c r="P101" s="450"/>
      <c r="Q101" s="450"/>
      <c r="R101" s="450"/>
      <c r="S101" s="450"/>
      <c r="T101" s="515">
        <v>0</v>
      </c>
      <c r="U101" s="452"/>
      <c r="V101" s="430"/>
    </row>
    <row r="102" spans="1:24" s="431" customFormat="1" x14ac:dyDescent="0.3">
      <c r="A102" s="449">
        <f>+A101+1</f>
        <v>2</v>
      </c>
      <c r="B102" s="450" t="s">
        <v>312</v>
      </c>
      <c r="C102" s="450"/>
      <c r="D102" s="450"/>
      <c r="E102" s="450"/>
      <c r="F102" s="450"/>
      <c r="G102" s="450"/>
      <c r="H102" s="450"/>
      <c r="I102" s="450"/>
      <c r="J102" s="450"/>
      <c r="K102" s="450"/>
      <c r="L102" s="450"/>
      <c r="M102" s="450"/>
      <c r="N102" s="450"/>
      <c r="O102" s="450"/>
      <c r="P102" s="450"/>
      <c r="Q102" s="450"/>
      <c r="R102" s="450"/>
      <c r="S102" s="450"/>
      <c r="T102" s="515">
        <v>-2</v>
      </c>
      <c r="U102" s="452"/>
      <c r="V102" s="430"/>
    </row>
    <row r="103" spans="1:24" s="431" customFormat="1" x14ac:dyDescent="0.3">
      <c r="A103" s="449">
        <f>+A102+1</f>
        <v>3</v>
      </c>
      <c r="B103" s="532" t="s">
        <v>314</v>
      </c>
      <c r="C103" s="450"/>
      <c r="D103" s="450"/>
      <c r="E103" s="450"/>
      <c r="F103" s="450"/>
      <c r="G103" s="450"/>
      <c r="H103" s="450"/>
      <c r="I103" s="450"/>
      <c r="J103" s="450"/>
      <c r="K103" s="450"/>
      <c r="L103" s="450"/>
      <c r="M103" s="450"/>
      <c r="N103" s="450"/>
      <c r="O103" s="450"/>
      <c r="P103" s="450"/>
      <c r="Q103" s="450"/>
      <c r="R103" s="450"/>
      <c r="S103" s="450"/>
      <c r="T103" s="515">
        <f>-153-34-6</f>
        <v>-193</v>
      </c>
      <c r="U103" s="452"/>
      <c r="V103" s="430"/>
    </row>
    <row r="104" spans="1:24" s="431" customFormat="1" x14ac:dyDescent="0.3">
      <c r="A104" s="449" t="s">
        <v>133</v>
      </c>
      <c r="B104" s="450" t="s">
        <v>122</v>
      </c>
      <c r="C104" s="450"/>
      <c r="D104" s="450"/>
      <c r="E104" s="450"/>
      <c r="F104" s="450"/>
      <c r="G104" s="450"/>
      <c r="H104" s="450"/>
      <c r="I104" s="450"/>
      <c r="J104" s="450"/>
      <c r="K104" s="450"/>
      <c r="L104" s="450"/>
      <c r="M104" s="450"/>
      <c r="N104" s="450"/>
      <c r="O104" s="450"/>
      <c r="P104" s="450"/>
      <c r="Q104" s="450"/>
      <c r="R104" s="450"/>
      <c r="S104" s="450"/>
      <c r="T104" s="515">
        <v>0</v>
      </c>
      <c r="U104" s="452"/>
      <c r="V104" s="430"/>
    </row>
    <row r="105" spans="1:24" s="431" customFormat="1" x14ac:dyDescent="0.3">
      <c r="A105" s="449" t="s">
        <v>134</v>
      </c>
      <c r="B105" s="450" t="s">
        <v>348</v>
      </c>
      <c r="C105" s="450"/>
      <c r="D105" s="450"/>
      <c r="E105" s="450"/>
      <c r="F105" s="450"/>
      <c r="G105" s="450"/>
      <c r="H105" s="450"/>
      <c r="I105" s="450"/>
      <c r="J105" s="450"/>
      <c r="K105" s="450"/>
      <c r="L105" s="450"/>
      <c r="M105" s="450"/>
      <c r="N105" s="450"/>
      <c r="O105" s="450"/>
      <c r="P105" s="450"/>
      <c r="Q105" s="450"/>
      <c r="R105" s="450"/>
      <c r="S105" s="450"/>
      <c r="T105" s="515">
        <f>-439-133</f>
        <v>-572</v>
      </c>
      <c r="U105" s="452"/>
      <c r="V105" s="430"/>
      <c r="W105" s="533"/>
    </row>
    <row r="106" spans="1:24" s="431" customFormat="1" x14ac:dyDescent="0.3">
      <c r="A106" s="449" t="s">
        <v>156</v>
      </c>
      <c r="B106" s="450" t="s">
        <v>349</v>
      </c>
      <c r="C106" s="450"/>
      <c r="D106" s="450"/>
      <c r="E106" s="450"/>
      <c r="F106" s="450"/>
      <c r="G106" s="450"/>
      <c r="H106" s="450"/>
      <c r="I106" s="450"/>
      <c r="J106" s="450"/>
      <c r="K106" s="450"/>
      <c r="L106" s="450"/>
      <c r="M106" s="450"/>
      <c r="N106" s="450"/>
      <c r="O106" s="450"/>
      <c r="P106" s="450"/>
      <c r="Q106" s="450"/>
      <c r="R106" s="450"/>
      <c r="S106" s="450"/>
      <c r="T106" s="515">
        <v>-134</v>
      </c>
      <c r="U106" s="452"/>
      <c r="V106" s="430"/>
      <c r="W106" s="533"/>
    </row>
    <row r="107" spans="1:24" s="431" customFormat="1" x14ac:dyDescent="0.3">
      <c r="A107" s="449" t="s">
        <v>214</v>
      </c>
      <c r="B107" s="450" t="s">
        <v>192</v>
      </c>
      <c r="C107" s="450"/>
      <c r="D107" s="450"/>
      <c r="E107" s="450"/>
      <c r="F107" s="450"/>
      <c r="G107" s="450"/>
      <c r="H107" s="450"/>
      <c r="I107" s="450"/>
      <c r="J107" s="450"/>
      <c r="K107" s="450"/>
      <c r="L107" s="450"/>
      <c r="M107" s="450"/>
      <c r="N107" s="450"/>
      <c r="O107" s="450"/>
      <c r="P107" s="450"/>
      <c r="Q107" s="450"/>
      <c r="R107" s="450"/>
      <c r="S107" s="450"/>
      <c r="T107" s="515">
        <v>-150</v>
      </c>
      <c r="U107" s="452"/>
      <c r="V107" s="430"/>
      <c r="W107" s="533"/>
      <c r="X107" s="533"/>
    </row>
    <row r="108" spans="1:24" s="431" customFormat="1" x14ac:dyDescent="0.3">
      <c r="A108" s="449" t="s">
        <v>215</v>
      </c>
      <c r="B108" s="450" t="s">
        <v>193</v>
      </c>
      <c r="C108" s="450"/>
      <c r="D108" s="450"/>
      <c r="E108" s="450"/>
      <c r="F108" s="450"/>
      <c r="G108" s="450"/>
      <c r="H108" s="450"/>
      <c r="I108" s="450"/>
      <c r="J108" s="450"/>
      <c r="K108" s="450"/>
      <c r="L108" s="450"/>
      <c r="M108" s="450"/>
      <c r="N108" s="450"/>
      <c r="O108" s="450"/>
      <c r="P108" s="450"/>
      <c r="Q108" s="450"/>
      <c r="R108" s="450"/>
      <c r="S108" s="450"/>
      <c r="T108" s="515">
        <v>-42</v>
      </c>
      <c r="U108" s="452"/>
      <c r="V108" s="534"/>
      <c r="W108" s="533"/>
    </row>
    <row r="109" spans="1:24" s="431" customFormat="1" x14ac:dyDescent="0.3">
      <c r="A109" s="449" t="s">
        <v>216</v>
      </c>
      <c r="B109" s="450" t="s">
        <v>204</v>
      </c>
      <c r="C109" s="450"/>
      <c r="D109" s="450"/>
      <c r="E109" s="450"/>
      <c r="F109" s="450"/>
      <c r="G109" s="450"/>
      <c r="H109" s="450"/>
      <c r="I109" s="450"/>
      <c r="J109" s="450"/>
      <c r="K109" s="450"/>
      <c r="L109" s="450"/>
      <c r="M109" s="450"/>
      <c r="N109" s="450"/>
      <c r="O109" s="450"/>
      <c r="P109" s="450"/>
      <c r="Q109" s="450"/>
      <c r="R109" s="450"/>
      <c r="S109" s="450"/>
      <c r="T109" s="515">
        <v>-216</v>
      </c>
      <c r="U109" s="452"/>
      <c r="V109" s="430"/>
      <c r="W109" s="533"/>
    </row>
    <row r="110" spans="1:24" s="431" customFormat="1" x14ac:dyDescent="0.3">
      <c r="A110" s="535">
        <v>7</v>
      </c>
      <c r="B110" s="532" t="s">
        <v>313</v>
      </c>
      <c r="C110" s="532"/>
      <c r="D110" s="532"/>
      <c r="E110" s="532"/>
      <c r="F110" s="532"/>
      <c r="G110" s="450"/>
      <c r="H110" s="450"/>
      <c r="I110" s="450"/>
      <c r="J110" s="450"/>
      <c r="K110" s="450"/>
      <c r="L110" s="450"/>
      <c r="M110" s="450"/>
      <c r="N110" s="450"/>
      <c r="O110" s="450"/>
      <c r="P110" s="450"/>
      <c r="Q110" s="450"/>
      <c r="R110" s="450"/>
      <c r="S110" s="450"/>
      <c r="T110" s="515">
        <v>0</v>
      </c>
      <c r="U110" s="452"/>
      <c r="V110" s="430"/>
      <c r="W110" s="533"/>
    </row>
    <row r="111" spans="1:24" s="431" customFormat="1" x14ac:dyDescent="0.3">
      <c r="A111" s="449">
        <f t="shared" ref="A111:A117" si="0">+A110+1</f>
        <v>8</v>
      </c>
      <c r="B111" s="450" t="s">
        <v>35</v>
      </c>
      <c r="C111" s="450"/>
      <c r="D111" s="450"/>
      <c r="E111" s="450"/>
      <c r="F111" s="450"/>
      <c r="G111" s="450"/>
      <c r="H111" s="450"/>
      <c r="I111" s="450"/>
      <c r="J111" s="450"/>
      <c r="K111" s="450"/>
      <c r="L111" s="450"/>
      <c r="M111" s="450"/>
      <c r="N111" s="450"/>
      <c r="O111" s="450"/>
      <c r="P111" s="450"/>
      <c r="Q111" s="450"/>
      <c r="R111" s="450"/>
      <c r="S111" s="450"/>
      <c r="T111" s="515">
        <v>-23</v>
      </c>
      <c r="U111" s="452"/>
      <c r="V111" s="430"/>
    </row>
    <row r="112" spans="1:24" s="431" customFormat="1" x14ac:dyDescent="0.3">
      <c r="A112" s="449">
        <f t="shared" si="0"/>
        <v>9</v>
      </c>
      <c r="B112" s="450" t="s">
        <v>46</v>
      </c>
      <c r="C112" s="450"/>
      <c r="D112" s="450"/>
      <c r="E112" s="450"/>
      <c r="F112" s="450"/>
      <c r="G112" s="450"/>
      <c r="H112" s="450"/>
      <c r="I112" s="450"/>
      <c r="J112" s="450"/>
      <c r="K112" s="450"/>
      <c r="L112" s="450"/>
      <c r="M112" s="450"/>
      <c r="N112" s="450"/>
      <c r="O112" s="450"/>
      <c r="P112" s="450"/>
      <c r="Q112" s="450"/>
      <c r="R112" s="514">
        <f>-T112</f>
        <v>69</v>
      </c>
      <c r="S112" s="450"/>
      <c r="T112" s="515">
        <v>-69</v>
      </c>
      <c r="U112" s="452"/>
      <c r="V112" s="430"/>
    </row>
    <row r="113" spans="1:22" s="431" customFormat="1" x14ac:dyDescent="0.3">
      <c r="A113" s="449">
        <f t="shared" si="0"/>
        <v>10</v>
      </c>
      <c r="B113" s="450" t="s">
        <v>131</v>
      </c>
      <c r="C113" s="450"/>
      <c r="D113" s="450"/>
      <c r="E113" s="450"/>
      <c r="F113" s="450"/>
      <c r="G113" s="450"/>
      <c r="H113" s="450"/>
      <c r="I113" s="450"/>
      <c r="J113" s="450"/>
      <c r="K113" s="450"/>
      <c r="L113" s="450"/>
      <c r="M113" s="450"/>
      <c r="N113" s="450"/>
      <c r="O113" s="450"/>
      <c r="P113" s="450"/>
      <c r="Q113" s="450"/>
      <c r="R113" s="450"/>
      <c r="S113" s="450"/>
      <c r="T113" s="515">
        <v>0</v>
      </c>
      <c r="U113" s="452"/>
      <c r="V113" s="430"/>
    </row>
    <row r="114" spans="1:22" s="431" customFormat="1" x14ac:dyDescent="0.3">
      <c r="A114" s="449">
        <f t="shared" si="0"/>
        <v>11</v>
      </c>
      <c r="B114" s="450" t="s">
        <v>36</v>
      </c>
      <c r="C114" s="450"/>
      <c r="D114" s="450"/>
      <c r="E114" s="450"/>
      <c r="F114" s="450"/>
      <c r="G114" s="450"/>
      <c r="H114" s="450"/>
      <c r="I114" s="450"/>
      <c r="J114" s="450"/>
      <c r="K114" s="450"/>
      <c r="L114" s="450"/>
      <c r="M114" s="450"/>
      <c r="N114" s="450"/>
      <c r="O114" s="450"/>
      <c r="P114" s="450"/>
      <c r="Q114" s="450"/>
      <c r="R114" s="450"/>
      <c r="S114" s="450"/>
      <c r="T114" s="515">
        <v>0</v>
      </c>
      <c r="U114" s="452"/>
      <c r="V114" s="430"/>
    </row>
    <row r="115" spans="1:22" s="431" customFormat="1" x14ac:dyDescent="0.3">
      <c r="A115" s="449">
        <f t="shared" si="0"/>
        <v>12</v>
      </c>
      <c r="B115" s="450" t="s">
        <v>37</v>
      </c>
      <c r="C115" s="450"/>
      <c r="D115" s="450"/>
      <c r="E115" s="450"/>
      <c r="F115" s="450"/>
      <c r="G115" s="450"/>
      <c r="H115" s="450"/>
      <c r="I115" s="450"/>
      <c r="J115" s="450"/>
      <c r="K115" s="450"/>
      <c r="L115" s="450"/>
      <c r="M115" s="450"/>
      <c r="N115" s="450"/>
      <c r="O115" s="450"/>
      <c r="P115" s="450"/>
      <c r="Q115" s="450"/>
      <c r="R115" s="450"/>
      <c r="S115" s="450"/>
      <c r="T115" s="515">
        <v>0</v>
      </c>
      <c r="U115" s="452"/>
      <c r="V115" s="430"/>
    </row>
    <row r="116" spans="1:22" s="431" customFormat="1" x14ac:dyDescent="0.3">
      <c r="A116" s="449">
        <f t="shared" si="0"/>
        <v>13</v>
      </c>
      <c r="B116" s="450" t="s">
        <v>155</v>
      </c>
      <c r="C116" s="450"/>
      <c r="D116" s="450"/>
      <c r="E116" s="450"/>
      <c r="F116" s="450"/>
      <c r="G116" s="450"/>
      <c r="H116" s="450"/>
      <c r="I116" s="450"/>
      <c r="J116" s="450"/>
      <c r="K116" s="450"/>
      <c r="L116" s="450"/>
      <c r="M116" s="450"/>
      <c r="N116" s="450"/>
      <c r="O116" s="450"/>
      <c r="P116" s="450"/>
      <c r="Q116" s="450"/>
      <c r="R116" s="450"/>
      <c r="S116" s="450"/>
      <c r="T116" s="515">
        <v>-153</v>
      </c>
      <c r="U116" s="452"/>
      <c r="V116" s="430"/>
    </row>
    <row r="117" spans="1:22" s="431" customFormat="1" x14ac:dyDescent="0.3">
      <c r="A117" s="449">
        <f t="shared" si="0"/>
        <v>14</v>
      </c>
      <c r="B117" s="450" t="s">
        <v>132</v>
      </c>
      <c r="C117" s="450"/>
      <c r="D117" s="450"/>
      <c r="E117" s="450"/>
      <c r="F117" s="450"/>
      <c r="G117" s="450"/>
      <c r="H117" s="450"/>
      <c r="I117" s="450"/>
      <c r="J117" s="450"/>
      <c r="K117" s="450"/>
      <c r="L117" s="450"/>
      <c r="M117" s="450"/>
      <c r="N117" s="450"/>
      <c r="O117" s="450"/>
      <c r="P117" s="450"/>
      <c r="Q117" s="450"/>
      <c r="R117" s="450"/>
      <c r="S117" s="450"/>
      <c r="T117" s="515">
        <f>-T99-SUM(T101:T116)</f>
        <v>-1266</v>
      </c>
      <c r="U117" s="452"/>
      <c r="V117" s="430"/>
    </row>
    <row r="118" spans="1:22" x14ac:dyDescent="0.3">
      <c r="A118" s="468"/>
      <c r="B118" s="529" t="s">
        <v>38</v>
      </c>
      <c r="C118" s="470"/>
      <c r="D118" s="470"/>
      <c r="E118" s="470"/>
      <c r="F118" s="470"/>
      <c r="G118" s="470"/>
      <c r="H118" s="470"/>
      <c r="I118" s="470"/>
      <c r="J118" s="470"/>
      <c r="K118" s="470"/>
      <c r="L118" s="470"/>
      <c r="M118" s="470"/>
      <c r="N118" s="470"/>
      <c r="O118" s="470"/>
      <c r="P118" s="470"/>
      <c r="Q118" s="470"/>
      <c r="R118" s="470"/>
      <c r="S118" s="470"/>
      <c r="T118" s="536"/>
      <c r="U118" s="476"/>
      <c r="V118" s="416"/>
    </row>
    <row r="119" spans="1:22" s="431" customFormat="1" x14ac:dyDescent="0.3">
      <c r="A119" s="449"/>
      <c r="B119" s="450" t="s">
        <v>180</v>
      </c>
      <c r="C119" s="450"/>
      <c r="D119" s="450"/>
      <c r="E119" s="450"/>
      <c r="F119" s="450"/>
      <c r="G119" s="450"/>
      <c r="H119" s="450"/>
      <c r="I119" s="450"/>
      <c r="J119" s="450"/>
      <c r="K119" s="450"/>
      <c r="L119" s="450"/>
      <c r="M119" s="450"/>
      <c r="N119" s="450"/>
      <c r="O119" s="450"/>
      <c r="P119" s="450"/>
      <c r="Q119" s="450"/>
      <c r="R119" s="514">
        <f>-R177</f>
        <v>0</v>
      </c>
      <c r="S119" s="514"/>
      <c r="T119" s="515"/>
      <c r="U119" s="452"/>
      <c r="V119" s="430"/>
    </row>
    <row r="120" spans="1:22" s="431" customFormat="1" x14ac:dyDescent="0.3">
      <c r="A120" s="449"/>
      <c r="B120" s="450" t="s">
        <v>181</v>
      </c>
      <c r="C120" s="450"/>
      <c r="D120" s="450"/>
      <c r="E120" s="450"/>
      <c r="F120" s="450"/>
      <c r="G120" s="450"/>
      <c r="H120" s="450"/>
      <c r="I120" s="450"/>
      <c r="J120" s="450"/>
      <c r="K120" s="450"/>
      <c r="L120" s="450"/>
      <c r="M120" s="450"/>
      <c r="N120" s="450"/>
      <c r="O120" s="450"/>
      <c r="P120" s="450"/>
      <c r="Q120" s="450"/>
      <c r="R120" s="514">
        <v>0</v>
      </c>
      <c r="S120" s="514"/>
      <c r="T120" s="515"/>
      <c r="U120" s="452"/>
      <c r="V120" s="430"/>
    </row>
    <row r="121" spans="1:22" s="431" customFormat="1" x14ac:dyDescent="0.3">
      <c r="A121" s="449"/>
      <c r="B121" s="450" t="s">
        <v>39</v>
      </c>
      <c r="C121" s="450"/>
      <c r="D121" s="450"/>
      <c r="E121" s="450"/>
      <c r="F121" s="450"/>
      <c r="G121" s="450"/>
      <c r="H121" s="450"/>
      <c r="I121" s="450"/>
      <c r="J121" s="450"/>
      <c r="K121" s="450"/>
      <c r="L121" s="450"/>
      <c r="M121" s="450"/>
      <c r="N121" s="450"/>
      <c r="O121" s="450"/>
      <c r="P121" s="450"/>
      <c r="Q121" s="450"/>
      <c r="R121" s="514">
        <f>-Q177</f>
        <v>-65</v>
      </c>
      <c r="S121" s="514"/>
      <c r="T121" s="515"/>
      <c r="U121" s="452"/>
      <c r="V121" s="430"/>
    </row>
    <row r="122" spans="1:22" s="431" customFormat="1" x14ac:dyDescent="0.3">
      <c r="A122" s="449"/>
      <c r="B122" s="450" t="s">
        <v>372</v>
      </c>
      <c r="C122" s="450"/>
      <c r="D122" s="450"/>
      <c r="E122" s="450"/>
      <c r="F122" s="450"/>
      <c r="G122" s="450"/>
      <c r="H122" s="450"/>
      <c r="I122" s="450"/>
      <c r="J122" s="450"/>
      <c r="K122" s="450"/>
      <c r="L122" s="450"/>
      <c r="M122" s="450"/>
      <c r="N122" s="450"/>
      <c r="O122" s="450"/>
      <c r="P122" s="450"/>
      <c r="Q122" s="450"/>
      <c r="R122" s="514">
        <v>-4340</v>
      </c>
      <c r="S122" s="514"/>
      <c r="T122" s="515"/>
      <c r="U122" s="452"/>
      <c r="V122" s="430"/>
    </row>
    <row r="123" spans="1:22" s="431" customFormat="1" x14ac:dyDescent="0.3">
      <c r="A123" s="449"/>
      <c r="B123" s="450" t="s">
        <v>203</v>
      </c>
      <c r="C123" s="450"/>
      <c r="D123" s="450"/>
      <c r="E123" s="450"/>
      <c r="F123" s="450"/>
      <c r="G123" s="450"/>
      <c r="H123" s="450"/>
      <c r="I123" s="450"/>
      <c r="J123" s="450"/>
      <c r="K123" s="450"/>
      <c r="L123" s="450"/>
      <c r="M123" s="450"/>
      <c r="N123" s="450"/>
      <c r="O123" s="450"/>
      <c r="P123" s="450"/>
      <c r="Q123" s="450"/>
      <c r="R123" s="514">
        <v>-1144</v>
      </c>
      <c r="S123" s="514"/>
      <c r="T123" s="515"/>
      <c r="U123" s="452"/>
      <c r="V123" s="430"/>
    </row>
    <row r="124" spans="1:22" s="431" customFormat="1" x14ac:dyDescent="0.3">
      <c r="A124" s="449"/>
      <c r="B124" s="450" t="s">
        <v>202</v>
      </c>
      <c r="C124" s="450"/>
      <c r="D124" s="450"/>
      <c r="E124" s="450"/>
      <c r="F124" s="450"/>
      <c r="G124" s="450"/>
      <c r="H124" s="450"/>
      <c r="I124" s="450"/>
      <c r="J124" s="450"/>
      <c r="K124" s="450"/>
      <c r="L124" s="450"/>
      <c r="M124" s="450"/>
      <c r="N124" s="450"/>
      <c r="O124" s="450"/>
      <c r="P124" s="450"/>
      <c r="Q124" s="450"/>
      <c r="R124" s="514">
        <v>-1153</v>
      </c>
      <c r="S124" s="514"/>
      <c r="T124" s="515"/>
      <c r="U124" s="452"/>
      <c r="V124" s="430"/>
    </row>
    <row r="125" spans="1:22" s="431" customFormat="1" x14ac:dyDescent="0.3">
      <c r="A125" s="449"/>
      <c r="B125" s="450" t="s">
        <v>197</v>
      </c>
      <c r="C125" s="450"/>
      <c r="D125" s="450"/>
      <c r="E125" s="450"/>
      <c r="F125" s="450"/>
      <c r="G125" s="450"/>
      <c r="H125" s="450"/>
      <c r="I125" s="450"/>
      <c r="J125" s="450"/>
      <c r="K125" s="450"/>
      <c r="L125" s="450"/>
      <c r="M125" s="450"/>
      <c r="N125" s="450"/>
      <c r="O125" s="450"/>
      <c r="P125" s="450"/>
      <c r="Q125" s="450"/>
      <c r="R125" s="514">
        <v>-290</v>
      </c>
      <c r="S125" s="514"/>
      <c r="T125" s="515"/>
      <c r="U125" s="452"/>
      <c r="V125" s="430"/>
    </row>
    <row r="126" spans="1:22" s="431" customFormat="1" x14ac:dyDescent="0.3">
      <c r="A126" s="449"/>
      <c r="B126" s="450" t="s">
        <v>196</v>
      </c>
      <c r="C126" s="450"/>
      <c r="D126" s="450"/>
      <c r="E126" s="450"/>
      <c r="F126" s="450"/>
      <c r="G126" s="450"/>
      <c r="H126" s="450"/>
      <c r="I126" s="450"/>
      <c r="J126" s="450"/>
      <c r="K126" s="450"/>
      <c r="L126" s="450"/>
      <c r="M126" s="450"/>
      <c r="N126" s="450"/>
      <c r="O126" s="450"/>
      <c r="P126" s="450"/>
      <c r="Q126" s="450"/>
      <c r="R126" s="514">
        <v>-1026</v>
      </c>
      <c r="S126" s="514"/>
      <c r="T126" s="515"/>
      <c r="U126" s="452"/>
      <c r="V126" s="430"/>
    </row>
    <row r="127" spans="1:22" s="431" customFormat="1" x14ac:dyDescent="0.3">
      <c r="A127" s="449"/>
      <c r="B127" s="450" t="s">
        <v>195</v>
      </c>
      <c r="C127" s="450"/>
      <c r="D127" s="450"/>
      <c r="E127" s="450"/>
      <c r="F127" s="450"/>
      <c r="G127" s="450"/>
      <c r="H127" s="450"/>
      <c r="I127" s="450"/>
      <c r="J127" s="450"/>
      <c r="K127" s="450"/>
      <c r="L127" s="450"/>
      <c r="M127" s="450"/>
      <c r="N127" s="450"/>
      <c r="O127" s="450"/>
      <c r="P127" s="450"/>
      <c r="Q127" s="450"/>
      <c r="R127" s="514">
        <v>-1089</v>
      </c>
      <c r="S127" s="514"/>
      <c r="T127" s="515"/>
      <c r="U127" s="452"/>
      <c r="V127" s="430"/>
    </row>
    <row r="128" spans="1:22" s="431" customFormat="1" x14ac:dyDescent="0.3">
      <c r="A128" s="449"/>
      <c r="B128" s="450" t="s">
        <v>40</v>
      </c>
      <c r="C128" s="450"/>
      <c r="D128" s="450"/>
      <c r="E128" s="450"/>
      <c r="F128" s="450"/>
      <c r="G128" s="450"/>
      <c r="H128" s="450"/>
      <c r="I128" s="450"/>
      <c r="J128" s="450"/>
      <c r="K128" s="450"/>
      <c r="L128" s="450"/>
      <c r="M128" s="450"/>
      <c r="N128" s="450"/>
      <c r="O128" s="450"/>
      <c r="P128" s="450"/>
      <c r="Q128" s="450"/>
      <c r="R128" s="514">
        <f>SUM(R119:R127)</f>
        <v>-9107</v>
      </c>
      <c r="S128" s="514"/>
      <c r="T128" s="514">
        <f>SUM(T100:T126)</f>
        <v>-2820</v>
      </c>
      <c r="U128" s="452"/>
      <c r="V128" s="430"/>
    </row>
    <row r="129" spans="1:23" s="431" customFormat="1" x14ac:dyDescent="0.3">
      <c r="A129" s="449"/>
      <c r="B129" s="450" t="s">
        <v>41</v>
      </c>
      <c r="C129" s="450"/>
      <c r="D129" s="450"/>
      <c r="E129" s="450"/>
      <c r="F129" s="450"/>
      <c r="G129" s="450"/>
      <c r="H129" s="450"/>
      <c r="I129" s="450"/>
      <c r="J129" s="450"/>
      <c r="K129" s="450"/>
      <c r="L129" s="450"/>
      <c r="M129" s="450"/>
      <c r="N129" s="450"/>
      <c r="O129" s="450"/>
      <c r="P129" s="450"/>
      <c r="Q129" s="450"/>
      <c r="R129" s="514">
        <f>R99+R128+R112</f>
        <v>0</v>
      </c>
      <c r="S129" s="514"/>
      <c r="T129" s="514">
        <f>T99+T128</f>
        <v>0</v>
      </c>
      <c r="U129" s="452"/>
      <c r="V129" s="430"/>
    </row>
    <row r="130" spans="1:23" s="431" customFormat="1" x14ac:dyDescent="0.3">
      <c r="A130" s="432"/>
      <c r="B130" s="447"/>
      <c r="C130" s="447"/>
      <c r="D130" s="447"/>
      <c r="E130" s="447"/>
      <c r="F130" s="447"/>
      <c r="G130" s="447"/>
      <c r="H130" s="447"/>
      <c r="I130" s="447"/>
      <c r="J130" s="447"/>
      <c r="K130" s="447"/>
      <c r="L130" s="447"/>
      <c r="M130" s="447"/>
      <c r="N130" s="447"/>
      <c r="O130" s="447"/>
      <c r="P130" s="447"/>
      <c r="Q130" s="447"/>
      <c r="R130" s="525"/>
      <c r="S130" s="525"/>
      <c r="T130" s="525"/>
      <c r="U130" s="641"/>
      <c r="V130" s="430"/>
    </row>
    <row r="131" spans="1:23" s="431" customFormat="1" x14ac:dyDescent="0.3">
      <c r="A131" s="432"/>
      <c r="B131" s="433"/>
      <c r="C131" s="433"/>
      <c r="D131" s="433"/>
      <c r="E131" s="433"/>
      <c r="F131" s="433"/>
      <c r="G131" s="433"/>
      <c r="H131" s="433"/>
      <c r="I131" s="433"/>
      <c r="J131" s="433"/>
      <c r="K131" s="433"/>
      <c r="L131" s="433"/>
      <c r="M131" s="433"/>
      <c r="N131" s="433"/>
      <c r="O131" s="433"/>
      <c r="P131" s="433"/>
      <c r="Q131" s="433"/>
      <c r="R131" s="433"/>
      <c r="S131" s="433"/>
      <c r="T131" s="537"/>
      <c r="U131" s="641"/>
      <c r="V131" s="430"/>
    </row>
    <row r="132" spans="1:23" s="431" customFormat="1" ht="18.600000000000001" thickBot="1" x14ac:dyDescent="0.4">
      <c r="A132" s="500"/>
      <c r="B132" s="501" t="str">
        <f>B63</f>
        <v>PM11 INVESTOR REPORT QUARTER ENDING DECEMBER 2018</v>
      </c>
      <c r="C132" s="502"/>
      <c r="D132" s="502"/>
      <c r="E132" s="502"/>
      <c r="F132" s="502"/>
      <c r="G132" s="502"/>
      <c r="H132" s="502"/>
      <c r="I132" s="502"/>
      <c r="J132" s="502"/>
      <c r="K132" s="502"/>
      <c r="L132" s="502"/>
      <c r="M132" s="502"/>
      <c r="N132" s="502"/>
      <c r="O132" s="502"/>
      <c r="P132" s="502"/>
      <c r="Q132" s="502"/>
      <c r="R132" s="502"/>
      <c r="S132" s="502"/>
      <c r="T132" s="538"/>
      <c r="U132" s="504"/>
      <c r="V132" s="430"/>
    </row>
    <row r="133" spans="1:23" x14ac:dyDescent="0.3">
      <c r="A133" s="505"/>
      <c r="B133" s="506" t="s">
        <v>42</v>
      </c>
      <c r="C133" s="507"/>
      <c r="D133" s="507"/>
      <c r="E133" s="507"/>
      <c r="F133" s="507"/>
      <c r="G133" s="507"/>
      <c r="H133" s="507"/>
      <c r="I133" s="507"/>
      <c r="J133" s="507"/>
      <c r="K133" s="507"/>
      <c r="L133" s="507"/>
      <c r="M133" s="507"/>
      <c r="N133" s="507"/>
      <c r="O133" s="507"/>
      <c r="P133" s="507"/>
      <c r="Q133" s="507"/>
      <c r="R133" s="507"/>
      <c r="S133" s="507"/>
      <c r="T133" s="508"/>
      <c r="U133" s="509"/>
      <c r="V133" s="416"/>
    </row>
    <row r="134" spans="1:23" x14ac:dyDescent="0.3">
      <c r="A134" s="418"/>
      <c r="B134" s="539"/>
      <c r="C134" s="420"/>
      <c r="D134" s="420"/>
      <c r="E134" s="420"/>
      <c r="F134" s="420"/>
      <c r="G134" s="420"/>
      <c r="H134" s="420"/>
      <c r="I134" s="420"/>
      <c r="J134" s="420"/>
      <c r="K134" s="420"/>
      <c r="L134" s="420"/>
      <c r="M134" s="420"/>
      <c r="N134" s="420"/>
      <c r="O134" s="420"/>
      <c r="P134" s="420"/>
      <c r="Q134" s="420"/>
      <c r="R134" s="420"/>
      <c r="S134" s="420"/>
      <c r="T134" s="510"/>
      <c r="U134" s="639"/>
      <c r="V134" s="416"/>
    </row>
    <row r="135" spans="1:23" x14ac:dyDescent="0.3">
      <c r="A135" s="418"/>
      <c r="B135" s="540" t="s">
        <v>43</v>
      </c>
      <c r="C135" s="420"/>
      <c r="D135" s="420"/>
      <c r="E135" s="420"/>
      <c r="F135" s="420"/>
      <c r="G135" s="420"/>
      <c r="H135" s="420"/>
      <c r="I135" s="420"/>
      <c r="J135" s="420"/>
      <c r="K135" s="420"/>
      <c r="L135" s="420"/>
      <c r="M135" s="420"/>
      <c r="N135" s="420"/>
      <c r="O135" s="420"/>
      <c r="P135" s="420"/>
      <c r="Q135" s="420"/>
      <c r="R135" s="420"/>
      <c r="S135" s="420"/>
      <c r="T135" s="510"/>
      <c r="U135" s="639"/>
      <c r="V135" s="416"/>
    </row>
    <row r="136" spans="1:23" s="431" customFormat="1" x14ac:dyDescent="0.3">
      <c r="A136" s="449"/>
      <c r="B136" s="450" t="s">
        <v>44</v>
      </c>
      <c r="C136" s="450"/>
      <c r="D136" s="450"/>
      <c r="E136" s="450"/>
      <c r="F136" s="450"/>
      <c r="G136" s="450"/>
      <c r="H136" s="450"/>
      <c r="I136" s="450"/>
      <c r="J136" s="450"/>
      <c r="K136" s="450"/>
      <c r="L136" s="450"/>
      <c r="M136" s="450"/>
      <c r="N136" s="450"/>
      <c r="O136" s="450"/>
      <c r="P136" s="450"/>
      <c r="Q136" s="450"/>
      <c r="R136" s="450"/>
      <c r="S136" s="450"/>
      <c r="T136" s="515">
        <f>+T34*0.019</f>
        <v>19000.95</v>
      </c>
      <c r="U136" s="452"/>
      <c r="V136" s="430"/>
    </row>
    <row r="137" spans="1:23" s="431" customFormat="1" x14ac:dyDescent="0.3">
      <c r="A137" s="449"/>
      <c r="B137" s="450" t="s">
        <v>45</v>
      </c>
      <c r="C137" s="450"/>
      <c r="D137" s="450"/>
      <c r="E137" s="450"/>
      <c r="F137" s="450"/>
      <c r="G137" s="450"/>
      <c r="H137" s="450"/>
      <c r="I137" s="450"/>
      <c r="J137" s="450"/>
      <c r="K137" s="450"/>
      <c r="L137" s="450"/>
      <c r="M137" s="450"/>
      <c r="N137" s="450"/>
      <c r="O137" s="450"/>
      <c r="P137" s="450"/>
      <c r="Q137" s="450"/>
      <c r="R137" s="450"/>
      <c r="S137" s="450"/>
      <c r="T137" s="515">
        <v>19001</v>
      </c>
      <c r="U137" s="452"/>
      <c r="V137" s="430"/>
    </row>
    <row r="138" spans="1:23" s="431" customFormat="1" x14ac:dyDescent="0.3">
      <c r="A138" s="449"/>
      <c r="B138" s="450" t="s">
        <v>142</v>
      </c>
      <c r="C138" s="450"/>
      <c r="D138" s="450"/>
      <c r="E138" s="450"/>
      <c r="F138" s="450"/>
      <c r="G138" s="450"/>
      <c r="H138" s="450"/>
      <c r="I138" s="450"/>
      <c r="J138" s="450"/>
      <c r="K138" s="450"/>
      <c r="L138" s="450"/>
      <c r="M138" s="450"/>
      <c r="N138" s="450"/>
      <c r="O138" s="450"/>
      <c r="P138" s="450"/>
      <c r="Q138" s="450"/>
      <c r="R138" s="450"/>
      <c r="S138" s="450"/>
      <c r="T138" s="515">
        <v>0</v>
      </c>
      <c r="U138" s="452"/>
      <c r="V138" s="430"/>
    </row>
    <row r="139" spans="1:23" s="431" customFormat="1" x14ac:dyDescent="0.3">
      <c r="A139" s="449"/>
      <c r="B139" s="450" t="s">
        <v>129</v>
      </c>
      <c r="C139" s="450"/>
      <c r="D139" s="450"/>
      <c r="E139" s="450"/>
      <c r="F139" s="450"/>
      <c r="G139" s="450"/>
      <c r="H139" s="450"/>
      <c r="I139" s="450"/>
      <c r="J139" s="450"/>
      <c r="K139" s="450"/>
      <c r="L139" s="450"/>
      <c r="M139" s="450"/>
      <c r="N139" s="450"/>
      <c r="O139" s="450"/>
      <c r="P139" s="450"/>
      <c r="Q139" s="450"/>
      <c r="R139" s="450"/>
      <c r="S139" s="450"/>
      <c r="T139" s="515">
        <v>0</v>
      </c>
      <c r="U139" s="452"/>
      <c r="V139" s="430"/>
    </row>
    <row r="140" spans="1:23" s="431" customFormat="1" x14ac:dyDescent="0.3">
      <c r="A140" s="449"/>
      <c r="B140" s="450" t="s">
        <v>130</v>
      </c>
      <c r="C140" s="450"/>
      <c r="D140" s="450"/>
      <c r="E140" s="450"/>
      <c r="F140" s="450"/>
      <c r="G140" s="450"/>
      <c r="H140" s="450"/>
      <c r="I140" s="450"/>
      <c r="J140" s="450"/>
      <c r="K140" s="450"/>
      <c r="L140" s="450"/>
      <c r="M140" s="450"/>
      <c r="N140" s="450"/>
      <c r="O140" s="450"/>
      <c r="P140" s="450"/>
      <c r="Q140" s="450"/>
      <c r="R140" s="450"/>
      <c r="S140" s="450"/>
      <c r="T140" s="515">
        <v>0</v>
      </c>
      <c r="U140" s="452"/>
      <c r="V140" s="430"/>
    </row>
    <row r="141" spans="1:23" s="431" customFormat="1" x14ac:dyDescent="0.3">
      <c r="A141" s="449"/>
      <c r="B141" s="450" t="s">
        <v>182</v>
      </c>
      <c r="C141" s="450"/>
      <c r="D141" s="450"/>
      <c r="E141" s="450"/>
      <c r="F141" s="450"/>
      <c r="G141" s="450"/>
      <c r="H141" s="450"/>
      <c r="I141" s="450"/>
      <c r="J141" s="450"/>
      <c r="K141" s="450"/>
      <c r="L141" s="450"/>
      <c r="M141" s="450"/>
      <c r="N141" s="450"/>
      <c r="O141" s="450"/>
      <c r="P141" s="450"/>
      <c r="Q141" s="450"/>
      <c r="R141" s="450"/>
      <c r="S141" s="450"/>
      <c r="T141" s="515">
        <v>0</v>
      </c>
      <c r="U141" s="452"/>
      <c r="V141" s="430"/>
    </row>
    <row r="142" spans="1:23" s="431" customFormat="1" x14ac:dyDescent="0.3">
      <c r="A142" s="449"/>
      <c r="B142" s="450" t="s">
        <v>46</v>
      </c>
      <c r="C142" s="450"/>
      <c r="D142" s="450"/>
      <c r="E142" s="450"/>
      <c r="F142" s="450"/>
      <c r="G142" s="450"/>
      <c r="H142" s="450"/>
      <c r="I142" s="450"/>
      <c r="J142" s="450"/>
      <c r="K142" s="450"/>
      <c r="L142" s="450"/>
      <c r="M142" s="450"/>
      <c r="N142" s="450"/>
      <c r="O142" s="450"/>
      <c r="P142" s="450"/>
      <c r="Q142" s="450"/>
      <c r="R142" s="450"/>
      <c r="S142" s="450"/>
      <c r="T142" s="515">
        <v>0</v>
      </c>
      <c r="U142" s="452"/>
      <c r="V142" s="430"/>
    </row>
    <row r="143" spans="1:23" s="431" customFormat="1" x14ac:dyDescent="0.3">
      <c r="A143" s="449"/>
      <c r="B143" s="450" t="s">
        <v>135</v>
      </c>
      <c r="C143" s="450"/>
      <c r="D143" s="450"/>
      <c r="E143" s="450"/>
      <c r="F143" s="450"/>
      <c r="G143" s="450"/>
      <c r="H143" s="450"/>
      <c r="I143" s="450"/>
      <c r="J143" s="450"/>
      <c r="K143" s="450"/>
      <c r="L143" s="450"/>
      <c r="M143" s="450"/>
      <c r="N143" s="450"/>
      <c r="O143" s="450"/>
      <c r="P143" s="450"/>
      <c r="Q143" s="450"/>
      <c r="R143" s="450"/>
      <c r="S143" s="450"/>
      <c r="T143" s="515">
        <v>0</v>
      </c>
      <c r="U143" s="452"/>
      <c r="V143" s="430"/>
    </row>
    <row r="144" spans="1:23" s="431" customFormat="1" x14ac:dyDescent="0.3">
      <c r="A144" s="449"/>
      <c r="B144" s="450" t="s">
        <v>251</v>
      </c>
      <c r="C144" s="450"/>
      <c r="D144" s="450"/>
      <c r="E144" s="450"/>
      <c r="F144" s="450"/>
      <c r="G144" s="450"/>
      <c r="H144" s="450"/>
      <c r="I144" s="450"/>
      <c r="J144" s="450"/>
      <c r="K144" s="450"/>
      <c r="L144" s="450"/>
      <c r="M144" s="450"/>
      <c r="N144" s="450"/>
      <c r="O144" s="450"/>
      <c r="P144" s="450"/>
      <c r="Q144" s="450"/>
      <c r="R144" s="450"/>
      <c r="S144" s="450"/>
      <c r="T144" s="515">
        <v>0</v>
      </c>
      <c r="U144" s="452"/>
      <c r="V144" s="430"/>
      <c r="W144" s="533"/>
    </row>
    <row r="145" spans="1:22" s="431" customFormat="1" x14ac:dyDescent="0.3">
      <c r="A145" s="449"/>
      <c r="B145" s="450" t="s">
        <v>47</v>
      </c>
      <c r="C145" s="450"/>
      <c r="D145" s="450"/>
      <c r="E145" s="450"/>
      <c r="F145" s="450"/>
      <c r="G145" s="450"/>
      <c r="H145" s="450"/>
      <c r="I145" s="450"/>
      <c r="J145" s="450"/>
      <c r="K145" s="450"/>
      <c r="L145" s="450"/>
      <c r="M145" s="450"/>
      <c r="N145" s="450"/>
      <c r="O145" s="450"/>
      <c r="P145" s="450"/>
      <c r="Q145" s="450"/>
      <c r="R145" s="450"/>
      <c r="S145" s="450"/>
      <c r="T145" s="515">
        <f>SUM(T137:T144)</f>
        <v>19001</v>
      </c>
      <c r="U145" s="452"/>
      <c r="V145" s="430"/>
    </row>
    <row r="146" spans="1:22" x14ac:dyDescent="0.3">
      <c r="A146" s="468"/>
      <c r="B146" s="470"/>
      <c r="C146" s="470"/>
      <c r="D146" s="470"/>
      <c r="E146" s="470"/>
      <c r="F146" s="470"/>
      <c r="G146" s="470"/>
      <c r="H146" s="470"/>
      <c r="I146" s="470"/>
      <c r="J146" s="470"/>
      <c r="K146" s="470"/>
      <c r="L146" s="470"/>
      <c r="M146" s="470"/>
      <c r="N146" s="470"/>
      <c r="O146" s="470"/>
      <c r="P146" s="470"/>
      <c r="Q146" s="470"/>
      <c r="R146" s="470"/>
      <c r="S146" s="470"/>
      <c r="T146" s="531"/>
      <c r="U146" s="476"/>
      <c r="V146" s="416"/>
    </row>
    <row r="147" spans="1:22" x14ac:dyDescent="0.3">
      <c r="A147" s="468"/>
      <c r="B147" s="529" t="s">
        <v>262</v>
      </c>
      <c r="C147" s="470"/>
      <c r="D147" s="470"/>
      <c r="E147" s="470"/>
      <c r="F147" s="470"/>
      <c r="G147" s="470"/>
      <c r="H147" s="470"/>
      <c r="I147" s="470"/>
      <c r="J147" s="470"/>
      <c r="K147" s="470"/>
      <c r="L147" s="470"/>
      <c r="M147" s="470"/>
      <c r="N147" s="470"/>
      <c r="O147" s="470"/>
      <c r="P147" s="470"/>
      <c r="Q147" s="470"/>
      <c r="R147" s="470"/>
      <c r="S147" s="470"/>
      <c r="T147" s="531"/>
      <c r="U147" s="476"/>
      <c r="V147" s="416"/>
    </row>
    <row r="148" spans="1:22" s="431" customFormat="1" x14ac:dyDescent="0.3">
      <c r="A148" s="449"/>
      <c r="B148" s="450" t="s">
        <v>263</v>
      </c>
      <c r="C148" s="450"/>
      <c r="D148" s="450"/>
      <c r="E148" s="450"/>
      <c r="F148" s="450"/>
      <c r="G148" s="450"/>
      <c r="H148" s="450"/>
      <c r="I148" s="450"/>
      <c r="J148" s="450"/>
      <c r="K148" s="450"/>
      <c r="L148" s="450"/>
      <c r="M148" s="450"/>
      <c r="N148" s="450"/>
      <c r="O148" s="450"/>
      <c r="P148" s="450"/>
      <c r="Q148" s="450"/>
      <c r="R148" s="450"/>
      <c r="S148" s="450"/>
      <c r="T148" s="515">
        <v>0</v>
      </c>
      <c r="U148" s="452"/>
      <c r="V148" s="430"/>
    </row>
    <row r="149" spans="1:22" s="431" customFormat="1" x14ac:dyDescent="0.3">
      <c r="A149" s="449"/>
      <c r="B149" s="450" t="s">
        <v>179</v>
      </c>
      <c r="C149" s="450"/>
      <c r="D149" s="450"/>
      <c r="E149" s="450"/>
      <c r="F149" s="450"/>
      <c r="G149" s="450"/>
      <c r="H149" s="450"/>
      <c r="I149" s="450"/>
      <c r="J149" s="450"/>
      <c r="K149" s="450"/>
      <c r="L149" s="450"/>
      <c r="M149" s="450"/>
      <c r="N149" s="450"/>
      <c r="O149" s="450"/>
      <c r="P149" s="450"/>
      <c r="Q149" s="450"/>
      <c r="R149" s="450"/>
      <c r="S149" s="450"/>
      <c r="T149" s="515">
        <v>0</v>
      </c>
      <c r="U149" s="452"/>
      <c r="V149" s="430"/>
    </row>
    <row r="150" spans="1:22" s="431" customFormat="1" x14ac:dyDescent="0.3">
      <c r="A150" s="449"/>
      <c r="B150" s="450" t="s">
        <v>264</v>
      </c>
      <c r="C150" s="450"/>
      <c r="D150" s="450"/>
      <c r="E150" s="450"/>
      <c r="F150" s="450"/>
      <c r="G150" s="450"/>
      <c r="H150" s="450"/>
      <c r="I150" s="450"/>
      <c r="J150" s="450"/>
      <c r="K150" s="450"/>
      <c r="L150" s="450"/>
      <c r="M150" s="450"/>
      <c r="N150" s="450"/>
      <c r="O150" s="450"/>
      <c r="P150" s="450"/>
      <c r="Q150" s="450"/>
      <c r="R150" s="450"/>
      <c r="S150" s="450"/>
      <c r="T150" s="515">
        <v>0</v>
      </c>
      <c r="U150" s="452"/>
      <c r="V150" s="430"/>
    </row>
    <row r="151" spans="1:22" x14ac:dyDescent="0.3">
      <c r="A151" s="468"/>
      <c r="B151" s="541"/>
      <c r="C151" s="541"/>
      <c r="D151" s="541"/>
      <c r="E151" s="541"/>
      <c r="F151" s="541"/>
      <c r="G151" s="541"/>
      <c r="H151" s="541"/>
      <c r="I151" s="541"/>
      <c r="J151" s="541"/>
      <c r="K151" s="541"/>
      <c r="L151" s="541"/>
      <c r="M151" s="541"/>
      <c r="N151" s="541"/>
      <c r="O151" s="541"/>
      <c r="P151" s="541"/>
      <c r="Q151" s="541"/>
      <c r="R151" s="541"/>
      <c r="S151" s="541"/>
      <c r="T151" s="542"/>
      <c r="U151" s="543"/>
      <c r="V151" s="416"/>
    </row>
    <row r="152" spans="1:22" x14ac:dyDescent="0.3">
      <c r="A152" s="418"/>
      <c r="B152" s="516"/>
      <c r="C152" s="516"/>
      <c r="D152" s="516"/>
      <c r="E152" s="516"/>
      <c r="F152" s="516"/>
      <c r="G152" s="516"/>
      <c r="H152" s="516"/>
      <c r="I152" s="516"/>
      <c r="J152" s="516"/>
      <c r="K152" s="516"/>
      <c r="L152" s="516"/>
      <c r="M152" s="516"/>
      <c r="N152" s="516"/>
      <c r="O152" s="516"/>
      <c r="P152" s="516"/>
      <c r="Q152" s="516"/>
      <c r="R152" s="516"/>
      <c r="S152" s="516"/>
      <c r="T152" s="544"/>
      <c r="U152" s="639"/>
      <c r="V152" s="416"/>
    </row>
    <row r="153" spans="1:22" x14ac:dyDescent="0.3">
      <c r="A153" s="418"/>
      <c r="B153" s="540" t="s">
        <v>24</v>
      </c>
      <c r="C153" s="420"/>
      <c r="D153" s="420"/>
      <c r="E153" s="420"/>
      <c r="F153" s="420"/>
      <c r="G153" s="420"/>
      <c r="H153" s="420"/>
      <c r="I153" s="420"/>
      <c r="J153" s="420"/>
      <c r="K153" s="420"/>
      <c r="L153" s="420"/>
      <c r="M153" s="420"/>
      <c r="N153" s="420"/>
      <c r="O153" s="420"/>
      <c r="P153" s="420"/>
      <c r="Q153" s="420"/>
      <c r="R153" s="420"/>
      <c r="S153" s="420"/>
      <c r="T153" s="510"/>
      <c r="U153" s="639"/>
      <c r="V153" s="416"/>
    </row>
    <row r="154" spans="1:22" s="431" customFormat="1" x14ac:dyDescent="0.3">
      <c r="A154" s="449"/>
      <c r="B154" s="450" t="s">
        <v>48</v>
      </c>
      <c r="C154" s="450"/>
      <c r="D154" s="450"/>
      <c r="E154" s="450"/>
      <c r="F154" s="450"/>
      <c r="G154" s="450"/>
      <c r="H154" s="450"/>
      <c r="I154" s="450"/>
      <c r="J154" s="450"/>
      <c r="K154" s="450"/>
      <c r="L154" s="450"/>
      <c r="M154" s="450"/>
      <c r="N154" s="450"/>
      <c r="O154" s="450"/>
      <c r="P154" s="450"/>
      <c r="Q154" s="450"/>
      <c r="R154" s="450"/>
      <c r="S154" s="450"/>
      <c r="T154" s="545" t="s">
        <v>124</v>
      </c>
      <c r="U154" s="452"/>
      <c r="V154" s="430"/>
    </row>
    <row r="155" spans="1:22" s="431" customFormat="1" x14ac:dyDescent="0.3">
      <c r="A155" s="449"/>
      <c r="B155" s="450" t="s">
        <v>49</v>
      </c>
      <c r="C155" s="450"/>
      <c r="D155" s="450"/>
      <c r="E155" s="450"/>
      <c r="F155" s="450"/>
      <c r="G155" s="450"/>
      <c r="H155" s="450"/>
      <c r="I155" s="450"/>
      <c r="J155" s="450"/>
      <c r="K155" s="450"/>
      <c r="L155" s="450"/>
      <c r="M155" s="450"/>
      <c r="N155" s="450"/>
      <c r="O155" s="450"/>
      <c r="P155" s="450"/>
      <c r="Q155" s="450"/>
      <c r="R155" s="450"/>
      <c r="S155" s="450"/>
      <c r="T155" s="545" t="s">
        <v>124</v>
      </c>
      <c r="U155" s="452"/>
      <c r="V155" s="430"/>
    </row>
    <row r="156" spans="1:22" s="431" customFormat="1" x14ac:dyDescent="0.3">
      <c r="A156" s="449"/>
      <c r="B156" s="450" t="s">
        <v>50</v>
      </c>
      <c r="C156" s="450"/>
      <c r="D156" s="450"/>
      <c r="E156" s="450"/>
      <c r="F156" s="450"/>
      <c r="G156" s="450"/>
      <c r="H156" s="450"/>
      <c r="I156" s="450"/>
      <c r="J156" s="450"/>
      <c r="K156" s="450"/>
      <c r="L156" s="450"/>
      <c r="M156" s="450"/>
      <c r="N156" s="450"/>
      <c r="O156" s="450"/>
      <c r="P156" s="450"/>
      <c r="Q156" s="450"/>
      <c r="R156" s="450"/>
      <c r="S156" s="450"/>
      <c r="T156" s="545" t="s">
        <v>124</v>
      </c>
      <c r="U156" s="452"/>
      <c r="V156" s="430"/>
    </row>
    <row r="157" spans="1:22" s="431" customFormat="1" x14ac:dyDescent="0.3">
      <c r="A157" s="449"/>
      <c r="B157" s="450" t="s">
        <v>51</v>
      </c>
      <c r="C157" s="450"/>
      <c r="D157" s="450"/>
      <c r="E157" s="450"/>
      <c r="F157" s="450"/>
      <c r="G157" s="450"/>
      <c r="H157" s="450"/>
      <c r="I157" s="450"/>
      <c r="J157" s="450"/>
      <c r="K157" s="450"/>
      <c r="L157" s="450"/>
      <c r="M157" s="450"/>
      <c r="N157" s="450"/>
      <c r="O157" s="450"/>
      <c r="P157" s="450"/>
      <c r="Q157" s="450"/>
      <c r="R157" s="450"/>
      <c r="S157" s="450"/>
      <c r="T157" s="545" t="s">
        <v>124</v>
      </c>
      <c r="U157" s="452"/>
      <c r="V157" s="430"/>
    </row>
    <row r="158" spans="1:22" x14ac:dyDescent="0.3">
      <c r="A158" s="418"/>
      <c r="B158" s="516"/>
      <c r="C158" s="516"/>
      <c r="D158" s="516"/>
      <c r="E158" s="516"/>
      <c r="F158" s="516"/>
      <c r="G158" s="516"/>
      <c r="H158" s="516"/>
      <c r="I158" s="516"/>
      <c r="J158" s="516"/>
      <c r="K158" s="516"/>
      <c r="L158" s="516"/>
      <c r="M158" s="516"/>
      <c r="N158" s="516"/>
      <c r="O158" s="516"/>
      <c r="P158" s="516"/>
      <c r="Q158" s="516"/>
      <c r="R158" s="516"/>
      <c r="S158" s="516"/>
      <c r="T158" s="544"/>
      <c r="U158" s="639"/>
      <c r="V158" s="416"/>
    </row>
    <row r="159" spans="1:22" x14ac:dyDescent="0.3">
      <c r="A159" s="418"/>
      <c r="B159" s="540" t="s">
        <v>52</v>
      </c>
      <c r="C159" s="420"/>
      <c r="D159" s="420"/>
      <c r="E159" s="420"/>
      <c r="F159" s="420"/>
      <c r="G159" s="420"/>
      <c r="H159" s="420"/>
      <c r="I159" s="420"/>
      <c r="J159" s="420"/>
      <c r="K159" s="420"/>
      <c r="L159" s="420"/>
      <c r="M159" s="420"/>
      <c r="N159" s="420"/>
      <c r="O159" s="420"/>
      <c r="P159" s="420"/>
      <c r="Q159" s="420"/>
      <c r="R159" s="420"/>
      <c r="S159" s="420"/>
      <c r="T159" s="546"/>
      <c r="U159" s="639"/>
      <c r="V159" s="416"/>
    </row>
    <row r="160" spans="1:22" s="431" customFormat="1" x14ac:dyDescent="0.3">
      <c r="A160" s="449"/>
      <c r="B160" s="450" t="s">
        <v>53</v>
      </c>
      <c r="C160" s="450"/>
      <c r="D160" s="450"/>
      <c r="E160" s="450"/>
      <c r="F160" s="450"/>
      <c r="G160" s="450"/>
      <c r="H160" s="450"/>
      <c r="I160" s="450"/>
      <c r="J160" s="450"/>
      <c r="K160" s="450"/>
      <c r="L160" s="450"/>
      <c r="M160" s="450"/>
      <c r="N160" s="450"/>
      <c r="O160" s="450"/>
      <c r="P160" s="450"/>
      <c r="Q160" s="450"/>
      <c r="R160" s="450"/>
      <c r="S160" s="450"/>
      <c r="T160" s="515">
        <v>0</v>
      </c>
      <c r="U160" s="452"/>
      <c r="V160" s="430"/>
    </row>
    <row r="161" spans="1:22" s="431" customFormat="1" x14ac:dyDescent="0.3">
      <c r="A161" s="449"/>
      <c r="B161" s="450" t="s">
        <v>54</v>
      </c>
      <c r="C161" s="450"/>
      <c r="D161" s="450"/>
      <c r="E161" s="450"/>
      <c r="F161" s="450"/>
      <c r="G161" s="450"/>
      <c r="H161" s="450"/>
      <c r="I161" s="450"/>
      <c r="J161" s="450"/>
      <c r="K161" s="450"/>
      <c r="L161" s="450"/>
      <c r="M161" s="450"/>
      <c r="N161" s="450"/>
      <c r="O161" s="450"/>
      <c r="P161" s="450"/>
      <c r="Q161" s="450"/>
      <c r="R161" s="450"/>
      <c r="S161" s="450"/>
      <c r="T161" s="515">
        <f>R112</f>
        <v>69</v>
      </c>
      <c r="U161" s="452"/>
      <c r="V161" s="430"/>
    </row>
    <row r="162" spans="1:22" s="431" customFormat="1" x14ac:dyDescent="0.3">
      <c r="A162" s="449"/>
      <c r="B162" s="450" t="s">
        <v>55</v>
      </c>
      <c r="C162" s="450"/>
      <c r="D162" s="450"/>
      <c r="E162" s="450"/>
      <c r="F162" s="450"/>
      <c r="G162" s="450"/>
      <c r="H162" s="450"/>
      <c r="I162" s="450"/>
      <c r="J162" s="450"/>
      <c r="K162" s="450"/>
      <c r="L162" s="450"/>
      <c r="M162" s="450"/>
      <c r="N162" s="450"/>
      <c r="O162" s="450"/>
      <c r="P162" s="450"/>
      <c r="Q162" s="450"/>
      <c r="R162" s="450"/>
      <c r="S162" s="450"/>
      <c r="T162" s="515">
        <f>T161+T160</f>
        <v>69</v>
      </c>
      <c r="U162" s="452"/>
      <c r="V162" s="430"/>
    </row>
    <row r="163" spans="1:22" s="431" customFormat="1" x14ac:dyDescent="0.3">
      <c r="A163" s="449"/>
      <c r="B163" s="450" t="s">
        <v>301</v>
      </c>
      <c r="C163" s="450"/>
      <c r="D163" s="450"/>
      <c r="E163" s="450"/>
      <c r="F163" s="450"/>
      <c r="G163" s="450"/>
      <c r="H163" s="450"/>
      <c r="I163" s="450"/>
      <c r="J163" s="450"/>
      <c r="K163" s="450"/>
      <c r="L163" s="450"/>
      <c r="M163" s="450"/>
      <c r="N163" s="450"/>
      <c r="O163" s="450"/>
      <c r="P163" s="450"/>
      <c r="Q163" s="450"/>
      <c r="R163" s="450"/>
      <c r="S163" s="450"/>
      <c r="T163" s="515">
        <f>T112</f>
        <v>-69</v>
      </c>
      <c r="U163" s="452"/>
      <c r="V163" s="430"/>
    </row>
    <row r="164" spans="1:22" s="431" customFormat="1" x14ac:dyDescent="0.3">
      <c r="A164" s="449"/>
      <c r="B164" s="450" t="s">
        <v>56</v>
      </c>
      <c r="C164" s="450"/>
      <c r="D164" s="450"/>
      <c r="E164" s="450"/>
      <c r="F164" s="450"/>
      <c r="G164" s="450"/>
      <c r="H164" s="450"/>
      <c r="I164" s="450"/>
      <c r="J164" s="450"/>
      <c r="K164" s="450"/>
      <c r="L164" s="450"/>
      <c r="M164" s="450"/>
      <c r="N164" s="450"/>
      <c r="O164" s="450"/>
      <c r="P164" s="450"/>
      <c r="Q164" s="450"/>
      <c r="R164" s="450"/>
      <c r="S164" s="450"/>
      <c r="T164" s="515">
        <f>T162+T163</f>
        <v>0</v>
      </c>
      <c r="U164" s="452"/>
      <c r="V164" s="430"/>
    </row>
    <row r="165" spans="1:22" s="431" customFormat="1" x14ac:dyDescent="0.3">
      <c r="A165" s="449"/>
      <c r="B165" s="450" t="s">
        <v>273</v>
      </c>
      <c r="C165" s="450"/>
      <c r="D165" s="450"/>
      <c r="E165" s="450"/>
      <c r="F165" s="450"/>
      <c r="G165" s="450"/>
      <c r="H165" s="450"/>
      <c r="I165" s="450"/>
      <c r="J165" s="450"/>
      <c r="K165" s="450"/>
      <c r="L165" s="450"/>
      <c r="M165" s="450"/>
      <c r="N165" s="450"/>
      <c r="O165" s="450"/>
      <c r="P165" s="450"/>
      <c r="Q165" s="450"/>
      <c r="R165" s="450"/>
      <c r="S165" s="450"/>
      <c r="T165" s="515">
        <v>0</v>
      </c>
      <c r="U165" s="452"/>
      <c r="V165" s="430"/>
    </row>
    <row r="166" spans="1:22" ht="16.2" thickBot="1" x14ac:dyDescent="0.35">
      <c r="A166" s="418"/>
      <c r="B166" s="516"/>
      <c r="C166" s="516"/>
      <c r="D166" s="516"/>
      <c r="E166" s="516"/>
      <c r="F166" s="516"/>
      <c r="G166" s="516"/>
      <c r="H166" s="516"/>
      <c r="I166" s="516"/>
      <c r="J166" s="516"/>
      <c r="K166" s="516"/>
      <c r="L166" s="516"/>
      <c r="M166" s="516"/>
      <c r="N166" s="516"/>
      <c r="O166" s="516"/>
      <c r="P166" s="516"/>
      <c r="Q166" s="516"/>
      <c r="R166" s="516"/>
      <c r="S166" s="516"/>
      <c r="T166" s="544"/>
      <c r="U166" s="639"/>
      <c r="V166" s="416"/>
    </row>
    <row r="167" spans="1:22" x14ac:dyDescent="0.3">
      <c r="A167" s="547"/>
      <c r="B167" s="415"/>
      <c r="C167" s="415"/>
      <c r="D167" s="415"/>
      <c r="E167" s="415"/>
      <c r="F167" s="415"/>
      <c r="G167" s="415"/>
      <c r="H167" s="415"/>
      <c r="I167" s="415"/>
      <c r="J167" s="415"/>
      <c r="K167" s="415"/>
      <c r="L167" s="415"/>
      <c r="M167" s="415"/>
      <c r="N167" s="415"/>
      <c r="O167" s="415"/>
      <c r="P167" s="415"/>
      <c r="Q167" s="415"/>
      <c r="R167" s="415"/>
      <c r="S167" s="415"/>
      <c r="T167" s="548"/>
      <c r="U167" s="638"/>
      <c r="V167" s="416"/>
    </row>
    <row r="168" spans="1:22" x14ac:dyDescent="0.3">
      <c r="A168" s="418"/>
      <c r="B168" s="540" t="s">
        <v>57</v>
      </c>
      <c r="C168" s="420"/>
      <c r="D168" s="420"/>
      <c r="E168" s="420"/>
      <c r="F168" s="420"/>
      <c r="G168" s="420"/>
      <c r="H168" s="420"/>
      <c r="I168" s="420"/>
      <c r="J168" s="420"/>
      <c r="K168" s="420"/>
      <c r="L168" s="420"/>
      <c r="M168" s="420"/>
      <c r="N168" s="420"/>
      <c r="O168" s="420"/>
      <c r="P168" s="420"/>
      <c r="Q168" s="420"/>
      <c r="R168" s="420"/>
      <c r="S168" s="420"/>
      <c r="T168" s="510"/>
      <c r="U168" s="639"/>
      <c r="V168" s="416"/>
    </row>
    <row r="169" spans="1:22" x14ac:dyDescent="0.3">
      <c r="A169" s="418"/>
      <c r="B169" s="540"/>
      <c r="C169" s="420"/>
      <c r="D169" s="420"/>
      <c r="E169" s="420"/>
      <c r="F169" s="420"/>
      <c r="G169" s="420"/>
      <c r="H169" s="420"/>
      <c r="I169" s="420"/>
      <c r="J169" s="420"/>
      <c r="K169" s="420"/>
      <c r="L169" s="420"/>
      <c r="M169" s="420"/>
      <c r="N169" s="420"/>
      <c r="O169" s="420"/>
      <c r="P169" s="420"/>
      <c r="Q169" s="420"/>
      <c r="R169" s="420"/>
      <c r="S169" s="420"/>
      <c r="T169" s="510"/>
      <c r="U169" s="639"/>
      <c r="V169" s="416"/>
    </row>
    <row r="170" spans="1:22" s="431" customFormat="1" x14ac:dyDescent="0.3">
      <c r="A170" s="449"/>
      <c r="B170" s="450" t="s">
        <v>58</v>
      </c>
      <c r="C170" s="450"/>
      <c r="D170" s="450"/>
      <c r="E170" s="450"/>
      <c r="F170" s="450"/>
      <c r="G170" s="450"/>
      <c r="H170" s="450"/>
      <c r="I170" s="450"/>
      <c r="J170" s="450"/>
      <c r="K170" s="450"/>
      <c r="L170" s="450"/>
      <c r="M170" s="450"/>
      <c r="N170" s="450"/>
      <c r="O170" s="450"/>
      <c r="P170" s="450"/>
      <c r="Q170" s="450"/>
      <c r="R170" s="450"/>
      <c r="S170" s="450"/>
      <c r="T170" s="515">
        <f>T70</f>
        <v>388323</v>
      </c>
      <c r="U170" s="452"/>
      <c r="V170" s="430"/>
    </row>
    <row r="171" spans="1:22" s="431" customFormat="1" x14ac:dyDescent="0.3">
      <c r="A171" s="449"/>
      <c r="B171" s="450" t="s">
        <v>59</v>
      </c>
      <c r="C171" s="450"/>
      <c r="D171" s="450"/>
      <c r="E171" s="450"/>
      <c r="F171" s="450"/>
      <c r="G171" s="450"/>
      <c r="H171" s="450"/>
      <c r="I171" s="450"/>
      <c r="J171" s="450"/>
      <c r="K171" s="450"/>
      <c r="L171" s="450"/>
      <c r="M171" s="450"/>
      <c r="N171" s="450"/>
      <c r="O171" s="450"/>
      <c r="P171" s="450"/>
      <c r="Q171" s="450"/>
      <c r="R171" s="450"/>
      <c r="S171" s="450"/>
      <c r="T171" s="515">
        <f>T83</f>
        <v>388323</v>
      </c>
      <c r="U171" s="452"/>
      <c r="V171" s="430"/>
    </row>
    <row r="172" spans="1:22" ht="16.2" thickBot="1" x14ac:dyDescent="0.35">
      <c r="A172" s="418"/>
      <c r="B172" s="516"/>
      <c r="C172" s="516"/>
      <c r="D172" s="516"/>
      <c r="E172" s="516"/>
      <c r="F172" s="516"/>
      <c r="G172" s="516"/>
      <c r="H172" s="516"/>
      <c r="I172" s="516"/>
      <c r="J172" s="516"/>
      <c r="K172" s="516"/>
      <c r="L172" s="516"/>
      <c r="M172" s="516"/>
      <c r="N172" s="516"/>
      <c r="O172" s="516"/>
      <c r="P172" s="516"/>
      <c r="Q172" s="516"/>
      <c r="R172" s="516"/>
      <c r="S172" s="516"/>
      <c r="T172" s="544"/>
      <c r="U172" s="639"/>
      <c r="V172" s="416"/>
    </row>
    <row r="173" spans="1:22" x14ac:dyDescent="0.3">
      <c r="A173" s="547"/>
      <c r="B173" s="415"/>
      <c r="C173" s="415"/>
      <c r="D173" s="415"/>
      <c r="E173" s="415"/>
      <c r="F173" s="415"/>
      <c r="G173" s="415"/>
      <c r="H173" s="415"/>
      <c r="I173" s="415"/>
      <c r="J173" s="415"/>
      <c r="K173" s="415"/>
      <c r="L173" s="415"/>
      <c r="M173" s="415"/>
      <c r="N173" s="415"/>
      <c r="O173" s="415"/>
      <c r="P173" s="415"/>
      <c r="Q173" s="415"/>
      <c r="R173" s="415"/>
      <c r="S173" s="415"/>
      <c r="T173" s="548"/>
      <c r="U173" s="638"/>
      <c r="V173" s="416"/>
    </row>
    <row r="174" spans="1:22" x14ac:dyDescent="0.3">
      <c r="A174" s="418"/>
      <c r="B174" s="540" t="s">
        <v>60</v>
      </c>
      <c r="C174" s="549"/>
      <c r="D174" s="549"/>
      <c r="E174" s="549"/>
      <c r="F174" s="549"/>
      <c r="G174" s="549"/>
      <c r="H174" s="550"/>
      <c r="I174" s="550"/>
      <c r="J174" s="550"/>
      <c r="K174" s="550"/>
      <c r="L174" s="550"/>
      <c r="M174" s="550"/>
      <c r="N174" s="550"/>
      <c r="O174" s="550"/>
      <c r="P174" s="550"/>
      <c r="Q174" s="550" t="s">
        <v>104</v>
      </c>
      <c r="R174" s="550" t="s">
        <v>183</v>
      </c>
      <c r="S174" s="422"/>
      <c r="T174" s="551" t="s">
        <v>120</v>
      </c>
      <c r="U174" s="643"/>
      <c r="V174" s="416"/>
    </row>
    <row r="175" spans="1:22" s="431" customFormat="1" x14ac:dyDescent="0.3">
      <c r="A175" s="449"/>
      <c r="B175" s="450" t="s">
        <v>61</v>
      </c>
      <c r="C175" s="450"/>
      <c r="D175" s="450"/>
      <c r="E175" s="450"/>
      <c r="F175" s="450"/>
      <c r="G175" s="450"/>
      <c r="H175" s="450"/>
      <c r="I175" s="450"/>
      <c r="J175" s="450"/>
      <c r="K175" s="450"/>
      <c r="L175" s="450"/>
      <c r="M175" s="450"/>
      <c r="N175" s="450"/>
      <c r="O175" s="450"/>
      <c r="P175" s="450"/>
      <c r="Q175" s="515">
        <v>160008</v>
      </c>
      <c r="R175" s="486"/>
      <c r="S175" s="450"/>
      <c r="T175" s="515"/>
      <c r="U175" s="452"/>
      <c r="V175" s="430"/>
    </row>
    <row r="176" spans="1:22" s="431" customFormat="1" x14ac:dyDescent="0.3">
      <c r="A176" s="449"/>
      <c r="B176" s="450" t="s">
        <v>62</v>
      </c>
      <c r="C176" s="450"/>
      <c r="D176" s="450"/>
      <c r="E176" s="450"/>
      <c r="F176" s="450"/>
      <c r="G176" s="450"/>
      <c r="H176" s="450"/>
      <c r="I176" s="450"/>
      <c r="J176" s="450"/>
      <c r="K176" s="450"/>
      <c r="L176" s="450"/>
      <c r="M176" s="450"/>
      <c r="N176" s="450"/>
      <c r="O176" s="450"/>
      <c r="P176" s="450"/>
      <c r="Q176" s="515">
        <f>+'Sept 18'!Q178</f>
        <v>40969</v>
      </c>
      <c r="R176" s="515">
        <f>+'Sept 18'!R178</f>
        <v>3447</v>
      </c>
      <c r="S176" s="450"/>
      <c r="T176" s="515">
        <f>Q176+R176</f>
        <v>44416</v>
      </c>
      <c r="U176" s="452"/>
      <c r="V176" s="430"/>
    </row>
    <row r="177" spans="1:22" s="431" customFormat="1" x14ac:dyDescent="0.3">
      <c r="A177" s="449"/>
      <c r="B177" s="450" t="s">
        <v>63</v>
      </c>
      <c r="C177" s="450"/>
      <c r="D177" s="450"/>
      <c r="E177" s="450"/>
      <c r="F177" s="450"/>
      <c r="G177" s="450"/>
      <c r="H177" s="450"/>
      <c r="I177" s="450"/>
      <c r="J177" s="450"/>
      <c r="K177" s="450"/>
      <c r="L177" s="450"/>
      <c r="M177" s="450"/>
      <c r="N177" s="450"/>
      <c r="O177" s="450"/>
      <c r="P177" s="450"/>
      <c r="Q177" s="514">
        <v>65</v>
      </c>
      <c r="R177" s="514">
        <v>0</v>
      </c>
      <c r="S177" s="450"/>
      <c r="T177" s="515">
        <f>Q177+R177</f>
        <v>65</v>
      </c>
      <c r="U177" s="452"/>
      <c r="V177" s="430"/>
    </row>
    <row r="178" spans="1:22" s="431" customFormat="1" x14ac:dyDescent="0.3">
      <c r="A178" s="449"/>
      <c r="B178" s="450" t="s">
        <v>64</v>
      </c>
      <c r="C178" s="450"/>
      <c r="D178" s="450"/>
      <c r="E178" s="450"/>
      <c r="F178" s="450"/>
      <c r="G178" s="450"/>
      <c r="H178" s="450"/>
      <c r="I178" s="450"/>
      <c r="J178" s="450"/>
      <c r="K178" s="450"/>
      <c r="L178" s="450"/>
      <c r="M178" s="450"/>
      <c r="N178" s="450"/>
      <c r="O178" s="450"/>
      <c r="P178" s="450"/>
      <c r="Q178" s="515">
        <f>Q176+Q177</f>
        <v>41034</v>
      </c>
      <c r="R178" s="515">
        <f>R177+R176</f>
        <v>3447</v>
      </c>
      <c r="S178" s="450"/>
      <c r="T178" s="515">
        <f>Q178+R178</f>
        <v>44481</v>
      </c>
      <c r="U178" s="452"/>
      <c r="V178" s="430"/>
    </row>
    <row r="179" spans="1:22" s="431" customFormat="1" x14ac:dyDescent="0.3">
      <c r="A179" s="449"/>
      <c r="B179" s="450" t="s">
        <v>65</v>
      </c>
      <c r="C179" s="450"/>
      <c r="D179" s="450"/>
      <c r="E179" s="450"/>
      <c r="F179" s="450"/>
      <c r="G179" s="450"/>
      <c r="H179" s="450"/>
      <c r="I179" s="450"/>
      <c r="J179" s="450"/>
      <c r="K179" s="450"/>
      <c r="L179" s="450"/>
      <c r="M179" s="450"/>
      <c r="N179" s="450"/>
      <c r="O179" s="450"/>
      <c r="P179" s="450"/>
      <c r="Q179" s="515">
        <f>Q175-Q178-R178</f>
        <v>115527</v>
      </c>
      <c r="R179" s="486"/>
      <c r="S179" s="450"/>
      <c r="T179" s="515"/>
      <c r="U179" s="452"/>
      <c r="V179" s="430"/>
    </row>
    <row r="180" spans="1:22" ht="16.2" thickBot="1" x14ac:dyDescent="0.35">
      <c r="A180" s="418"/>
      <c r="B180" s="516"/>
      <c r="C180" s="516"/>
      <c r="D180" s="516"/>
      <c r="E180" s="516"/>
      <c r="F180" s="516"/>
      <c r="G180" s="516"/>
      <c r="H180" s="516"/>
      <c r="I180" s="516"/>
      <c r="J180" s="516"/>
      <c r="K180" s="516"/>
      <c r="L180" s="516"/>
      <c r="M180" s="516"/>
      <c r="N180" s="516"/>
      <c r="O180" s="516"/>
      <c r="P180" s="516"/>
      <c r="Q180" s="516"/>
      <c r="R180" s="516"/>
      <c r="S180" s="516"/>
      <c r="T180" s="544"/>
      <c r="U180" s="639"/>
      <c r="V180" s="416"/>
    </row>
    <row r="181" spans="1:22" x14ac:dyDescent="0.3">
      <c r="A181" s="547"/>
      <c r="B181" s="415"/>
      <c r="C181" s="415"/>
      <c r="D181" s="415"/>
      <c r="E181" s="415"/>
      <c r="F181" s="415"/>
      <c r="G181" s="415"/>
      <c r="H181" s="415"/>
      <c r="I181" s="415"/>
      <c r="J181" s="415"/>
      <c r="K181" s="415"/>
      <c r="L181" s="415"/>
      <c r="M181" s="415"/>
      <c r="N181" s="415"/>
      <c r="O181" s="415"/>
      <c r="P181" s="415"/>
      <c r="Q181" s="415"/>
      <c r="R181" s="415"/>
      <c r="S181" s="415"/>
      <c r="T181" s="548"/>
      <c r="U181" s="638"/>
      <c r="V181" s="416"/>
    </row>
    <row r="182" spans="1:22" x14ac:dyDescent="0.3">
      <c r="A182" s="418"/>
      <c r="B182" s="540" t="s">
        <v>66</v>
      </c>
      <c r="C182" s="420"/>
      <c r="D182" s="420"/>
      <c r="E182" s="420"/>
      <c r="F182" s="420"/>
      <c r="G182" s="420"/>
      <c r="H182" s="420"/>
      <c r="I182" s="420"/>
      <c r="J182" s="420"/>
      <c r="K182" s="420"/>
      <c r="L182" s="420"/>
      <c r="M182" s="420"/>
      <c r="N182" s="420"/>
      <c r="O182" s="420"/>
      <c r="P182" s="420"/>
      <c r="Q182" s="420"/>
      <c r="R182" s="420"/>
      <c r="S182" s="420"/>
      <c r="T182" s="552"/>
      <c r="U182" s="639"/>
      <c r="V182" s="416"/>
    </row>
    <row r="183" spans="1:22" s="431" customFormat="1" x14ac:dyDescent="0.3">
      <c r="A183" s="449"/>
      <c r="B183" s="450" t="s">
        <v>67</v>
      </c>
      <c r="C183" s="450"/>
      <c r="D183" s="450"/>
      <c r="E183" s="450"/>
      <c r="F183" s="450"/>
      <c r="G183" s="450"/>
      <c r="H183" s="450"/>
      <c r="I183" s="450"/>
      <c r="J183" s="450"/>
      <c r="K183" s="450"/>
      <c r="L183" s="450"/>
      <c r="M183" s="450"/>
      <c r="N183" s="450"/>
      <c r="O183" s="450"/>
      <c r="P183" s="450"/>
      <c r="Q183" s="450"/>
      <c r="R183" s="450"/>
      <c r="S183" s="450"/>
      <c r="T183" s="545">
        <f>(T99+T101+T102+T103+T104)/-(T105+T106)</f>
        <v>3.7181303116147308</v>
      </c>
      <c r="U183" s="452" t="s">
        <v>121</v>
      </c>
      <c r="V183" s="430"/>
    </row>
    <row r="184" spans="1:22" s="431" customFormat="1" x14ac:dyDescent="0.3">
      <c r="A184" s="449"/>
      <c r="B184" s="450" t="s">
        <v>68</v>
      </c>
      <c r="C184" s="450"/>
      <c r="D184" s="450"/>
      <c r="E184" s="450"/>
      <c r="F184" s="450"/>
      <c r="G184" s="450"/>
      <c r="H184" s="450"/>
      <c r="I184" s="450"/>
      <c r="J184" s="450"/>
      <c r="K184" s="450"/>
      <c r="L184" s="450"/>
      <c r="M184" s="450"/>
      <c r="N184" s="450"/>
      <c r="O184" s="450"/>
      <c r="P184" s="450"/>
      <c r="Q184" s="450"/>
      <c r="R184" s="450"/>
      <c r="S184" s="450"/>
      <c r="T184" s="553">
        <v>1.95</v>
      </c>
      <c r="U184" s="452" t="s">
        <v>121</v>
      </c>
      <c r="V184" s="430"/>
    </row>
    <row r="185" spans="1:22" s="431" customFormat="1" x14ac:dyDescent="0.3">
      <c r="A185" s="449"/>
      <c r="B185" s="450" t="s">
        <v>69</v>
      </c>
      <c r="C185" s="450"/>
      <c r="D185" s="450"/>
      <c r="E185" s="450"/>
      <c r="F185" s="450"/>
      <c r="G185" s="450"/>
      <c r="H185" s="450"/>
      <c r="I185" s="450"/>
      <c r="J185" s="450"/>
      <c r="K185" s="450"/>
      <c r="L185" s="450"/>
      <c r="M185" s="450"/>
      <c r="N185" s="450"/>
      <c r="O185" s="450"/>
      <c r="P185" s="450"/>
      <c r="Q185" s="450"/>
      <c r="R185" s="450"/>
      <c r="S185" s="450"/>
      <c r="T185" s="545">
        <f>(T99+T101+T102+T103+T104+T105+T106)/-(T107+T108)</f>
        <v>9.9947916666666661</v>
      </c>
      <c r="U185" s="452" t="s">
        <v>121</v>
      </c>
      <c r="V185" s="430"/>
    </row>
    <row r="186" spans="1:22" s="431" customFormat="1" x14ac:dyDescent="0.3">
      <c r="A186" s="449"/>
      <c r="B186" s="450" t="s">
        <v>70</v>
      </c>
      <c r="C186" s="450"/>
      <c r="D186" s="450"/>
      <c r="E186" s="450"/>
      <c r="F186" s="450"/>
      <c r="G186" s="450"/>
      <c r="H186" s="450"/>
      <c r="I186" s="450"/>
      <c r="J186" s="450"/>
      <c r="K186" s="450"/>
      <c r="L186" s="450"/>
      <c r="M186" s="450"/>
      <c r="N186" s="450"/>
      <c r="O186" s="450"/>
      <c r="P186" s="450"/>
      <c r="Q186" s="450"/>
      <c r="R186" s="450"/>
      <c r="S186" s="450"/>
      <c r="T186" s="553">
        <v>7.18</v>
      </c>
      <c r="U186" s="452" t="s">
        <v>121</v>
      </c>
      <c r="V186" s="430"/>
    </row>
    <row r="187" spans="1:22" s="431" customFormat="1" x14ac:dyDescent="0.3">
      <c r="A187" s="449"/>
      <c r="B187" s="450" t="s">
        <v>206</v>
      </c>
      <c r="C187" s="450"/>
      <c r="D187" s="450"/>
      <c r="E187" s="450"/>
      <c r="F187" s="450"/>
      <c r="G187" s="450"/>
      <c r="H187" s="450"/>
      <c r="I187" s="450"/>
      <c r="J187" s="450"/>
      <c r="K187" s="450"/>
      <c r="L187" s="450"/>
      <c r="M187" s="450"/>
      <c r="N187" s="450"/>
      <c r="O187" s="450"/>
      <c r="P187" s="450"/>
      <c r="Q187" s="450"/>
      <c r="R187" s="450"/>
      <c r="S187" s="450"/>
      <c r="T187" s="545">
        <f>(T99+T101+T102+T103+T104+T105+T106+T107+T108)/-(T109)</f>
        <v>7.9953703703703702</v>
      </c>
      <c r="U187" s="452" t="s">
        <v>121</v>
      </c>
      <c r="V187" s="430"/>
    </row>
    <row r="188" spans="1:22" s="431" customFormat="1" x14ac:dyDescent="0.3">
      <c r="A188" s="449"/>
      <c r="B188" s="450" t="s">
        <v>207</v>
      </c>
      <c r="C188" s="450"/>
      <c r="D188" s="450"/>
      <c r="E188" s="450"/>
      <c r="F188" s="450"/>
      <c r="G188" s="450"/>
      <c r="H188" s="450"/>
      <c r="I188" s="450"/>
      <c r="J188" s="450"/>
      <c r="K188" s="450"/>
      <c r="L188" s="450"/>
      <c r="M188" s="450"/>
      <c r="N188" s="450"/>
      <c r="O188" s="450"/>
      <c r="P188" s="450"/>
      <c r="Q188" s="450"/>
      <c r="R188" s="450"/>
      <c r="S188" s="450"/>
      <c r="T188" s="553">
        <v>6.36</v>
      </c>
      <c r="U188" s="452" t="s">
        <v>121</v>
      </c>
      <c r="V188" s="430"/>
    </row>
    <row r="189" spans="1:22" x14ac:dyDescent="0.3">
      <c r="A189" s="468"/>
      <c r="B189" s="470"/>
      <c r="C189" s="470"/>
      <c r="D189" s="470"/>
      <c r="E189" s="470"/>
      <c r="F189" s="470"/>
      <c r="G189" s="470"/>
      <c r="H189" s="470"/>
      <c r="I189" s="470"/>
      <c r="J189" s="470"/>
      <c r="K189" s="470"/>
      <c r="L189" s="470"/>
      <c r="M189" s="470"/>
      <c r="N189" s="470"/>
      <c r="O189" s="470"/>
      <c r="P189" s="470"/>
      <c r="Q189" s="470"/>
      <c r="R189" s="470"/>
      <c r="S189" s="470"/>
      <c r="T189" s="470"/>
      <c r="U189" s="476"/>
      <c r="V189" s="416"/>
    </row>
    <row r="190" spans="1:22" x14ac:dyDescent="0.3">
      <c r="A190" s="418"/>
      <c r="B190" s="516"/>
      <c r="C190" s="516"/>
      <c r="D190" s="516"/>
      <c r="E190" s="516"/>
      <c r="F190" s="516"/>
      <c r="G190" s="516"/>
      <c r="H190" s="516"/>
      <c r="I190" s="516"/>
      <c r="J190" s="516"/>
      <c r="K190" s="516"/>
      <c r="L190" s="516"/>
      <c r="M190" s="516"/>
      <c r="N190" s="516"/>
      <c r="O190" s="516"/>
      <c r="P190" s="516"/>
      <c r="Q190" s="516"/>
      <c r="R190" s="516"/>
      <c r="S190" s="516"/>
      <c r="T190" s="516"/>
      <c r="U190" s="639"/>
      <c r="V190" s="416"/>
    </row>
    <row r="191" spans="1:22" x14ac:dyDescent="0.3">
      <c r="A191" s="418"/>
      <c r="B191" s="420"/>
      <c r="C191" s="420"/>
      <c r="D191" s="420"/>
      <c r="E191" s="420"/>
      <c r="F191" s="420"/>
      <c r="G191" s="420"/>
      <c r="H191" s="420"/>
      <c r="I191" s="420"/>
      <c r="J191" s="420"/>
      <c r="K191" s="420"/>
      <c r="L191" s="420"/>
      <c r="M191" s="420"/>
      <c r="N191" s="420"/>
      <c r="O191" s="420"/>
      <c r="P191" s="420"/>
      <c r="Q191" s="420"/>
      <c r="R191" s="420"/>
      <c r="S191" s="420"/>
      <c r="T191" s="420"/>
      <c r="U191" s="639"/>
      <c r="V191" s="416"/>
    </row>
    <row r="192" spans="1:22" ht="18.600000000000001" thickBot="1" x14ac:dyDescent="0.4">
      <c r="A192" s="554"/>
      <c r="B192" s="501" t="str">
        <f>B132</f>
        <v>PM11 INVESTOR REPORT QUARTER ENDING DECEMBER 2018</v>
      </c>
      <c r="C192" s="555"/>
      <c r="D192" s="555"/>
      <c r="E192" s="555"/>
      <c r="F192" s="555"/>
      <c r="G192" s="555"/>
      <c r="H192" s="555"/>
      <c r="I192" s="555"/>
      <c r="J192" s="555"/>
      <c r="K192" s="555"/>
      <c r="L192" s="555"/>
      <c r="M192" s="555"/>
      <c r="N192" s="555"/>
      <c r="O192" s="555"/>
      <c r="P192" s="555"/>
      <c r="Q192" s="555"/>
      <c r="R192" s="555"/>
      <c r="S192" s="555"/>
      <c r="T192" s="555"/>
      <c r="U192" s="556"/>
      <c r="V192" s="416"/>
    </row>
    <row r="193" spans="1:22" x14ac:dyDescent="0.3">
      <c r="A193" s="505"/>
      <c r="B193" s="506" t="s">
        <v>71</v>
      </c>
      <c r="C193" s="627"/>
      <c r="D193" s="627"/>
      <c r="E193" s="627"/>
      <c r="F193" s="627"/>
      <c r="G193" s="628"/>
      <c r="H193" s="628"/>
      <c r="I193" s="628"/>
      <c r="J193" s="628"/>
      <c r="K193" s="628"/>
      <c r="L193" s="628"/>
      <c r="M193" s="628"/>
      <c r="N193" s="628"/>
      <c r="O193" s="628"/>
      <c r="P193" s="628"/>
      <c r="Q193" s="628"/>
      <c r="R193" s="629">
        <v>43465</v>
      </c>
      <c r="S193" s="507"/>
      <c r="T193" s="507"/>
      <c r="U193" s="509"/>
      <c r="V193" s="416"/>
    </row>
    <row r="194" spans="1:22" x14ac:dyDescent="0.3">
      <c r="A194" s="557"/>
      <c r="B194" s="558"/>
      <c r="C194" s="559"/>
      <c r="D194" s="559"/>
      <c r="E194" s="559"/>
      <c r="F194" s="559"/>
      <c r="G194" s="560"/>
      <c r="H194" s="560"/>
      <c r="I194" s="560"/>
      <c r="J194" s="560"/>
      <c r="K194" s="560"/>
      <c r="L194" s="560"/>
      <c r="M194" s="560"/>
      <c r="N194" s="560"/>
      <c r="O194" s="560"/>
      <c r="P194" s="560"/>
      <c r="Q194" s="560"/>
      <c r="R194" s="560"/>
      <c r="S194" s="420"/>
      <c r="T194" s="420"/>
      <c r="U194" s="639"/>
      <c r="V194" s="416"/>
    </row>
    <row r="195" spans="1:22" s="431" customFormat="1" x14ac:dyDescent="0.3">
      <c r="A195" s="449"/>
      <c r="B195" s="450" t="s">
        <v>72</v>
      </c>
      <c r="C195" s="561"/>
      <c r="D195" s="561"/>
      <c r="E195" s="561"/>
      <c r="F195" s="561"/>
      <c r="G195" s="490"/>
      <c r="H195" s="490"/>
      <c r="I195" s="490"/>
      <c r="J195" s="490"/>
      <c r="K195" s="490"/>
      <c r="L195" s="490"/>
      <c r="M195" s="490"/>
      <c r="N195" s="490"/>
      <c r="O195" s="490"/>
      <c r="P195" s="490"/>
      <c r="Q195" s="490"/>
      <c r="R195" s="483">
        <v>5.1569999999999998E-2</v>
      </c>
      <c r="S195" s="450"/>
      <c r="T195" s="450"/>
      <c r="U195" s="452"/>
      <c r="V195" s="430"/>
    </row>
    <row r="196" spans="1:22" s="431" customFormat="1" x14ac:dyDescent="0.3">
      <c r="A196" s="449"/>
      <c r="B196" s="450" t="s">
        <v>157</v>
      </c>
      <c r="C196" s="561"/>
      <c r="D196" s="561"/>
      <c r="E196" s="561"/>
      <c r="F196" s="561"/>
      <c r="G196" s="490"/>
      <c r="H196" s="490"/>
      <c r="I196" s="490"/>
      <c r="J196" s="490"/>
      <c r="K196" s="490"/>
      <c r="L196" s="490"/>
      <c r="M196" s="490"/>
      <c r="N196" s="490"/>
      <c r="O196" s="490"/>
      <c r="P196" s="490"/>
      <c r="Q196" s="490"/>
      <c r="R196" s="483">
        <v>4.6899999999999997E-2</v>
      </c>
      <c r="S196" s="450"/>
      <c r="T196" s="450"/>
      <c r="U196" s="452"/>
      <c r="V196" s="430"/>
    </row>
    <row r="197" spans="1:22" s="431" customFormat="1" x14ac:dyDescent="0.3">
      <c r="A197" s="449"/>
      <c r="B197" s="450" t="s">
        <v>73</v>
      </c>
      <c r="C197" s="561"/>
      <c r="D197" s="561"/>
      <c r="E197" s="561"/>
      <c r="F197" s="561"/>
      <c r="G197" s="490"/>
      <c r="H197" s="490"/>
      <c r="I197" s="490"/>
      <c r="J197" s="490"/>
      <c r="K197" s="490"/>
      <c r="L197" s="490"/>
      <c r="M197" s="490"/>
      <c r="N197" s="490"/>
      <c r="O197" s="490"/>
      <c r="P197" s="490"/>
      <c r="Q197" s="490"/>
      <c r="R197" s="483">
        <f>R195-R196</f>
        <v>4.6700000000000005E-3</v>
      </c>
      <c r="S197" s="450"/>
      <c r="T197" s="450"/>
      <c r="U197" s="452"/>
      <c r="V197" s="430"/>
    </row>
    <row r="198" spans="1:22" s="431" customFormat="1" x14ac:dyDescent="0.3">
      <c r="A198" s="449"/>
      <c r="B198" s="450" t="s">
        <v>74</v>
      </c>
      <c r="C198" s="561"/>
      <c r="D198" s="561"/>
      <c r="E198" s="561"/>
      <c r="F198" s="561"/>
      <c r="G198" s="490"/>
      <c r="H198" s="490"/>
      <c r="I198" s="490"/>
      <c r="J198" s="490"/>
      <c r="K198" s="490"/>
      <c r="L198" s="490"/>
      <c r="M198" s="490"/>
      <c r="N198" s="490"/>
      <c r="O198" s="490"/>
      <c r="P198" s="490"/>
      <c r="Q198" s="490"/>
      <c r="R198" s="483">
        <v>2.665E-2</v>
      </c>
      <c r="S198" s="450"/>
      <c r="T198" s="450"/>
      <c r="U198" s="452"/>
      <c r="V198" s="430"/>
    </row>
    <row r="199" spans="1:22" s="431" customFormat="1" x14ac:dyDescent="0.3">
      <c r="A199" s="449"/>
      <c r="B199" s="450" t="s">
        <v>257</v>
      </c>
      <c r="C199" s="561"/>
      <c r="D199" s="561"/>
      <c r="E199" s="561"/>
      <c r="F199" s="561"/>
      <c r="G199" s="490"/>
      <c r="H199" s="490"/>
      <c r="I199" s="490"/>
      <c r="J199" s="490"/>
      <c r="K199" s="490"/>
      <c r="L199" s="490"/>
      <c r="M199" s="490"/>
      <c r="N199" s="490"/>
      <c r="O199" s="490"/>
      <c r="P199" s="490"/>
      <c r="Q199" s="490"/>
      <c r="R199" s="483">
        <f>T43</f>
        <v>1.1132873699977345E-2</v>
      </c>
      <c r="S199" s="450"/>
      <c r="T199" s="450"/>
      <c r="U199" s="452"/>
      <c r="V199" s="430"/>
    </row>
    <row r="200" spans="1:22" s="431" customFormat="1" x14ac:dyDescent="0.3">
      <c r="A200" s="449"/>
      <c r="B200" s="450" t="s">
        <v>75</v>
      </c>
      <c r="C200" s="561"/>
      <c r="D200" s="561"/>
      <c r="E200" s="561"/>
      <c r="F200" s="561"/>
      <c r="G200" s="490"/>
      <c r="H200" s="490"/>
      <c r="I200" s="490"/>
      <c r="J200" s="490"/>
      <c r="K200" s="490"/>
      <c r="L200" s="490"/>
      <c r="M200" s="490"/>
      <c r="N200" s="490"/>
      <c r="O200" s="490"/>
      <c r="P200" s="490"/>
      <c r="Q200" s="490"/>
      <c r="R200" s="483">
        <f>R198-R199</f>
        <v>1.5517126300022655E-2</v>
      </c>
      <c r="S200" s="450"/>
      <c r="T200" s="450"/>
      <c r="U200" s="452"/>
      <c r="V200" s="430"/>
    </row>
    <row r="201" spans="1:22" s="431" customFormat="1" x14ac:dyDescent="0.3">
      <c r="A201" s="449"/>
      <c r="B201" s="450" t="s">
        <v>260</v>
      </c>
      <c r="C201" s="561"/>
      <c r="D201" s="561"/>
      <c r="E201" s="561"/>
      <c r="F201" s="561"/>
      <c r="G201" s="490"/>
      <c r="H201" s="490"/>
      <c r="I201" s="490"/>
      <c r="J201" s="490"/>
      <c r="K201" s="490"/>
      <c r="L201" s="490"/>
      <c r="M201" s="490"/>
      <c r="N201" s="490"/>
      <c r="O201" s="490"/>
      <c r="P201" s="490"/>
      <c r="Q201" s="490"/>
      <c r="R201" s="483">
        <f>+T99/L70</f>
        <v>7.0967498395681549E-3</v>
      </c>
      <c r="S201" s="450"/>
      <c r="T201" s="450"/>
      <c r="U201" s="452"/>
      <c r="V201" s="430"/>
    </row>
    <row r="202" spans="1:22" s="431" customFormat="1" x14ac:dyDescent="0.3">
      <c r="A202" s="449"/>
      <c r="B202" s="450" t="s">
        <v>217</v>
      </c>
      <c r="C202" s="561"/>
      <c r="D202" s="561"/>
      <c r="E202" s="561"/>
      <c r="F202" s="561"/>
      <c r="G202" s="490"/>
      <c r="H202" s="490"/>
      <c r="I202" s="490"/>
      <c r="J202" s="490"/>
      <c r="K202" s="490"/>
      <c r="L202" s="490"/>
      <c r="M202" s="490"/>
      <c r="N202" s="490"/>
      <c r="O202" s="490"/>
      <c r="P202" s="490"/>
      <c r="Q202" s="490"/>
      <c r="R202" s="562">
        <v>15250</v>
      </c>
      <c r="S202" s="450"/>
      <c r="T202" s="450"/>
      <c r="U202" s="452"/>
      <c r="V202" s="430"/>
    </row>
    <row r="203" spans="1:22" s="431" customFormat="1" x14ac:dyDescent="0.3">
      <c r="A203" s="449"/>
      <c r="B203" s="450" t="s">
        <v>218</v>
      </c>
      <c r="C203" s="561"/>
      <c r="D203" s="561"/>
      <c r="E203" s="561"/>
      <c r="F203" s="561"/>
      <c r="G203" s="490"/>
      <c r="H203" s="490"/>
      <c r="I203" s="490"/>
      <c r="J203" s="490"/>
      <c r="K203" s="490"/>
      <c r="L203" s="490"/>
      <c r="M203" s="490"/>
      <c r="N203" s="490"/>
      <c r="O203" s="490"/>
      <c r="P203" s="490"/>
      <c r="Q203" s="490"/>
      <c r="R203" s="562">
        <v>15250</v>
      </c>
      <c r="S203" s="450"/>
      <c r="T203" s="450"/>
      <c r="U203" s="452"/>
      <c r="V203" s="430"/>
    </row>
    <row r="204" spans="1:22" s="431" customFormat="1" x14ac:dyDescent="0.3">
      <c r="A204" s="449"/>
      <c r="B204" s="450" t="s">
        <v>219</v>
      </c>
      <c r="C204" s="561"/>
      <c r="D204" s="561"/>
      <c r="E204" s="561"/>
      <c r="F204" s="561"/>
      <c r="G204" s="490"/>
      <c r="H204" s="490"/>
      <c r="I204" s="490"/>
      <c r="J204" s="490"/>
      <c r="K204" s="490"/>
      <c r="L204" s="490"/>
      <c r="M204" s="490"/>
      <c r="N204" s="490"/>
      <c r="O204" s="490"/>
      <c r="P204" s="490"/>
      <c r="Q204" s="490"/>
      <c r="R204" s="562">
        <v>15250</v>
      </c>
      <c r="S204" s="450"/>
      <c r="T204" s="450"/>
      <c r="U204" s="452"/>
      <c r="V204" s="430"/>
    </row>
    <row r="205" spans="1:22" s="431" customFormat="1" x14ac:dyDescent="0.3">
      <c r="A205" s="449"/>
      <c r="B205" s="450" t="s">
        <v>76</v>
      </c>
      <c r="C205" s="561"/>
      <c r="D205" s="561"/>
      <c r="E205" s="561"/>
      <c r="F205" s="561"/>
      <c r="G205" s="490"/>
      <c r="H205" s="490"/>
      <c r="I205" s="490"/>
      <c r="J205" s="490"/>
      <c r="K205" s="490"/>
      <c r="L205" s="490"/>
      <c r="M205" s="490"/>
      <c r="N205" s="490"/>
      <c r="O205" s="490"/>
      <c r="P205" s="490"/>
      <c r="Q205" s="490"/>
      <c r="R205" s="488">
        <v>21.18</v>
      </c>
      <c r="S205" s="450" t="s">
        <v>116</v>
      </c>
      <c r="T205" s="450"/>
      <c r="U205" s="452"/>
      <c r="V205" s="430"/>
    </row>
    <row r="206" spans="1:22" s="431" customFormat="1" x14ac:dyDescent="0.3">
      <c r="A206" s="449"/>
      <c r="B206" s="450" t="s">
        <v>77</v>
      </c>
      <c r="C206" s="561"/>
      <c r="D206" s="561"/>
      <c r="E206" s="561"/>
      <c r="F206" s="561"/>
      <c r="G206" s="490"/>
      <c r="H206" s="490"/>
      <c r="I206" s="490"/>
      <c r="J206" s="490"/>
      <c r="K206" s="490"/>
      <c r="L206" s="490"/>
      <c r="M206" s="490"/>
      <c r="N206" s="490"/>
      <c r="O206" s="490"/>
      <c r="P206" s="490"/>
      <c r="Q206" s="490"/>
      <c r="R206" s="488">
        <v>9.3699999999999992</v>
      </c>
      <c r="S206" s="450" t="s">
        <v>116</v>
      </c>
      <c r="T206" s="450"/>
      <c r="U206" s="452"/>
      <c r="V206" s="430"/>
    </row>
    <row r="207" spans="1:22" s="431" customFormat="1" x14ac:dyDescent="0.3">
      <c r="A207" s="449"/>
      <c r="B207" s="450" t="s">
        <v>78</v>
      </c>
      <c r="C207" s="561"/>
      <c r="D207" s="561"/>
      <c r="E207" s="561"/>
      <c r="F207" s="561"/>
      <c r="G207" s="490"/>
      <c r="H207" s="490"/>
      <c r="I207" s="490"/>
      <c r="J207" s="490"/>
      <c r="K207" s="490"/>
      <c r="L207" s="490"/>
      <c r="M207" s="490"/>
      <c r="N207" s="490"/>
      <c r="O207" s="490"/>
      <c r="P207" s="490"/>
      <c r="Q207" s="490"/>
      <c r="R207" s="483">
        <f>N67/L67</f>
        <v>2.291847545707347E-2</v>
      </c>
      <c r="S207" s="450"/>
      <c r="T207" s="450"/>
      <c r="U207" s="452"/>
      <c r="V207" s="430"/>
    </row>
    <row r="208" spans="1:22" s="431" customFormat="1" x14ac:dyDescent="0.3">
      <c r="A208" s="449"/>
      <c r="B208" s="450" t="s">
        <v>79</v>
      </c>
      <c r="C208" s="561"/>
      <c r="D208" s="561"/>
      <c r="E208" s="561"/>
      <c r="F208" s="561"/>
      <c r="G208" s="490"/>
      <c r="H208" s="490"/>
      <c r="I208" s="490"/>
      <c r="J208" s="490"/>
      <c r="K208" s="490"/>
      <c r="L208" s="490"/>
      <c r="M208" s="490"/>
      <c r="N208" s="490"/>
      <c r="O208" s="490"/>
      <c r="P208" s="490"/>
      <c r="Q208" s="490"/>
      <c r="R208" s="483">
        <v>7.5499999999999998E-2</v>
      </c>
      <c r="S208" s="450"/>
      <c r="T208" s="450"/>
      <c r="U208" s="452"/>
      <c r="V208" s="430"/>
    </row>
    <row r="209" spans="1:22" x14ac:dyDescent="0.3">
      <c r="A209" s="557"/>
      <c r="B209" s="563"/>
      <c r="C209" s="563"/>
      <c r="D209" s="563"/>
      <c r="E209" s="563"/>
      <c r="F209" s="563"/>
      <c r="G209" s="516"/>
      <c r="H209" s="516"/>
      <c r="I209" s="516"/>
      <c r="J209" s="516"/>
      <c r="K209" s="516"/>
      <c r="L209" s="516"/>
      <c r="M209" s="516"/>
      <c r="N209" s="516"/>
      <c r="O209" s="516"/>
      <c r="P209" s="516"/>
      <c r="Q209" s="516"/>
      <c r="R209" s="544"/>
      <c r="S209" s="516"/>
      <c r="T209" s="564"/>
      <c r="U209" s="639"/>
      <c r="V209" s="416"/>
    </row>
    <row r="210" spans="1:22" x14ac:dyDescent="0.3">
      <c r="A210" s="565"/>
      <c r="B210" s="521" t="s">
        <v>80</v>
      </c>
      <c r="C210" s="522"/>
      <c r="D210" s="522"/>
      <c r="E210" s="522"/>
      <c r="F210" s="566"/>
      <c r="G210" s="522"/>
      <c r="H210" s="522"/>
      <c r="I210" s="522"/>
      <c r="J210" s="522"/>
      <c r="K210" s="522"/>
      <c r="L210" s="522"/>
      <c r="M210" s="522"/>
      <c r="N210" s="522"/>
      <c r="O210" s="522"/>
      <c r="P210" s="522"/>
      <c r="Q210" s="522" t="s">
        <v>105</v>
      </c>
      <c r="R210" s="566" t="s">
        <v>112</v>
      </c>
      <c r="S210" s="443"/>
      <c r="T210" s="443"/>
      <c r="U210" s="446"/>
      <c r="V210" s="416"/>
    </row>
    <row r="211" spans="1:22" s="431" customFormat="1" x14ac:dyDescent="0.3">
      <c r="A211" s="567"/>
      <c r="B211" s="447" t="s">
        <v>81</v>
      </c>
      <c r="C211" s="525"/>
      <c r="D211" s="525"/>
      <c r="E211" s="525"/>
      <c r="F211" s="447"/>
      <c r="G211" s="447"/>
      <c r="H211" s="568"/>
      <c r="I211" s="568"/>
      <c r="J211" s="568"/>
      <c r="K211" s="568"/>
      <c r="L211" s="568"/>
      <c r="M211" s="568"/>
      <c r="N211" s="568"/>
      <c r="O211" s="568"/>
      <c r="P211" s="568"/>
      <c r="Q211" s="568">
        <v>1</v>
      </c>
      <c r="R211" s="569">
        <v>111</v>
      </c>
      <c r="S211" s="447"/>
      <c r="T211" s="570"/>
      <c r="U211" s="644"/>
      <c r="V211" s="430"/>
    </row>
    <row r="212" spans="1:22" s="431" customFormat="1" x14ac:dyDescent="0.3">
      <c r="A212" s="571"/>
      <c r="B212" s="450" t="s">
        <v>151</v>
      </c>
      <c r="C212" s="514"/>
      <c r="D212" s="514"/>
      <c r="E212" s="514"/>
      <c r="F212" s="450"/>
      <c r="G212" s="450"/>
      <c r="H212" s="456"/>
      <c r="I212" s="456"/>
      <c r="J212" s="456"/>
      <c r="K212" s="456"/>
      <c r="L212" s="456"/>
      <c r="M212" s="456"/>
      <c r="N212" s="456"/>
      <c r="O212" s="456"/>
      <c r="P212" s="456"/>
      <c r="Q212" s="572">
        <f>+P264</f>
        <v>26</v>
      </c>
      <c r="R212" s="573">
        <f>+R264</f>
        <v>3983</v>
      </c>
      <c r="S212" s="450"/>
      <c r="T212" s="574"/>
      <c r="U212" s="575"/>
      <c r="V212" s="430"/>
    </row>
    <row r="213" spans="1:22" s="431" customFormat="1" x14ac:dyDescent="0.3">
      <c r="A213" s="571"/>
      <c r="B213" s="450" t="s">
        <v>82</v>
      </c>
      <c r="C213" s="514"/>
      <c r="D213" s="514"/>
      <c r="E213" s="514"/>
      <c r="F213" s="450"/>
      <c r="G213" s="450"/>
      <c r="H213" s="456"/>
      <c r="I213" s="456"/>
      <c r="J213" s="456"/>
      <c r="K213" s="456"/>
      <c r="L213" s="456"/>
      <c r="M213" s="456"/>
      <c r="N213" s="456"/>
      <c r="O213" s="456"/>
      <c r="P213" s="456"/>
      <c r="Q213" s="572">
        <f>+P276</f>
        <v>0</v>
      </c>
      <c r="R213" s="573">
        <f>+R276</f>
        <v>0</v>
      </c>
      <c r="S213" s="450"/>
      <c r="T213" s="574"/>
      <c r="U213" s="575"/>
      <c r="V213" s="430"/>
    </row>
    <row r="214" spans="1:22" x14ac:dyDescent="0.3">
      <c r="A214" s="576"/>
      <c r="B214" s="577" t="s">
        <v>83</v>
      </c>
      <c r="C214" s="578"/>
      <c r="D214" s="578"/>
      <c r="E214" s="578"/>
      <c r="F214" s="470"/>
      <c r="G214" s="470"/>
      <c r="H214" s="470"/>
      <c r="I214" s="470"/>
      <c r="J214" s="470"/>
      <c r="K214" s="470"/>
      <c r="L214" s="470"/>
      <c r="M214" s="470"/>
      <c r="N214" s="470"/>
      <c r="O214" s="470"/>
      <c r="P214" s="470"/>
      <c r="Q214" s="541"/>
      <c r="R214" s="579">
        <v>0</v>
      </c>
      <c r="S214" s="470"/>
      <c r="T214" s="580"/>
      <c r="U214" s="581"/>
      <c r="V214" s="416"/>
    </row>
    <row r="215" spans="1:22" x14ac:dyDescent="0.3">
      <c r="A215" s="576"/>
      <c r="B215" s="577" t="s">
        <v>84</v>
      </c>
      <c r="C215" s="578"/>
      <c r="D215" s="578"/>
      <c r="E215" s="578"/>
      <c r="F215" s="470"/>
      <c r="G215" s="470"/>
      <c r="H215" s="470"/>
      <c r="I215" s="470"/>
      <c r="J215" s="470"/>
      <c r="K215" s="470"/>
      <c r="L215" s="470"/>
      <c r="M215" s="470"/>
      <c r="N215" s="470"/>
      <c r="O215" s="470"/>
      <c r="P215" s="470"/>
      <c r="Q215" s="450"/>
      <c r="R215" s="582" t="s">
        <v>113</v>
      </c>
      <c r="S215" s="470"/>
      <c r="T215" s="580"/>
      <c r="U215" s="581"/>
      <c r="V215" s="416"/>
    </row>
    <row r="216" spans="1:22" x14ac:dyDescent="0.3">
      <c r="A216" s="583"/>
      <c r="B216" s="577" t="s">
        <v>85</v>
      </c>
      <c r="C216" s="584"/>
      <c r="D216" s="584"/>
      <c r="E216" s="584"/>
      <c r="F216" s="584"/>
      <c r="G216" s="470"/>
      <c r="H216" s="470"/>
      <c r="I216" s="470"/>
      <c r="J216" s="470"/>
      <c r="K216" s="470"/>
      <c r="L216" s="470"/>
      <c r="M216" s="470"/>
      <c r="N216" s="470"/>
      <c r="O216" s="470"/>
      <c r="P216" s="470"/>
      <c r="Q216" s="450"/>
      <c r="R216" s="573"/>
      <c r="S216" s="470"/>
      <c r="T216" s="580"/>
      <c r="U216" s="585"/>
      <c r="V216" s="416"/>
    </row>
    <row r="217" spans="1:22" s="431" customFormat="1" x14ac:dyDescent="0.3">
      <c r="A217" s="586"/>
      <c r="B217" s="450" t="s">
        <v>86</v>
      </c>
      <c r="C217" s="450"/>
      <c r="D217" s="450"/>
      <c r="E217" s="450"/>
      <c r="F217" s="450"/>
      <c r="G217" s="450"/>
      <c r="H217" s="450"/>
      <c r="I217" s="450"/>
      <c r="J217" s="450"/>
      <c r="K217" s="450"/>
      <c r="L217" s="450"/>
      <c r="M217" s="450"/>
      <c r="N217" s="450"/>
      <c r="O217" s="450"/>
      <c r="P217" s="450"/>
      <c r="Q217" s="456"/>
      <c r="R217" s="573">
        <f>T161</f>
        <v>69</v>
      </c>
      <c r="S217" s="450"/>
      <c r="T217" s="574"/>
      <c r="U217" s="587"/>
      <c r="V217" s="430"/>
    </row>
    <row r="218" spans="1:22" s="431" customFormat="1" x14ac:dyDescent="0.3">
      <c r="A218" s="571"/>
      <c r="B218" s="450" t="s">
        <v>87</v>
      </c>
      <c r="C218" s="514"/>
      <c r="D218" s="514"/>
      <c r="E218" s="514"/>
      <c r="F218" s="514"/>
      <c r="G218" s="450"/>
      <c r="H218" s="450"/>
      <c r="I218" s="450"/>
      <c r="J218" s="450"/>
      <c r="K218" s="450"/>
      <c r="L218" s="450"/>
      <c r="M218" s="450"/>
      <c r="N218" s="450"/>
      <c r="O218" s="450"/>
      <c r="P218" s="450"/>
      <c r="Q218" s="456"/>
      <c r="R218" s="573">
        <f>'Sept 18'!R218+R217</f>
        <v>7542</v>
      </c>
      <c r="S218" s="450"/>
      <c r="T218" s="574"/>
      <c r="U218" s="587"/>
      <c r="V218" s="430"/>
    </row>
    <row r="219" spans="1:22" x14ac:dyDescent="0.3">
      <c r="A219" s="583"/>
      <c r="B219" s="577" t="s">
        <v>282</v>
      </c>
      <c r="C219" s="584"/>
      <c r="D219" s="584"/>
      <c r="E219" s="584"/>
      <c r="F219" s="584"/>
      <c r="G219" s="470"/>
      <c r="H219" s="470"/>
      <c r="I219" s="470"/>
      <c r="J219" s="470"/>
      <c r="K219" s="470"/>
      <c r="L219" s="470"/>
      <c r="M219" s="470"/>
      <c r="N219" s="470"/>
      <c r="O219" s="470"/>
      <c r="P219" s="470"/>
      <c r="Q219" s="456"/>
      <c r="R219" s="573"/>
      <c r="S219" s="470"/>
      <c r="T219" s="580"/>
      <c r="U219" s="585"/>
      <c r="V219" s="416"/>
    </row>
    <row r="220" spans="1:22" s="431" customFormat="1" x14ac:dyDescent="0.3">
      <c r="A220" s="586"/>
      <c r="B220" s="450" t="s">
        <v>280</v>
      </c>
      <c r="C220" s="450"/>
      <c r="D220" s="450"/>
      <c r="E220" s="450"/>
      <c r="F220" s="450"/>
      <c r="G220" s="450"/>
      <c r="H220" s="450"/>
      <c r="I220" s="450"/>
      <c r="J220" s="450"/>
      <c r="K220" s="450"/>
      <c r="L220" s="450"/>
      <c r="M220" s="450"/>
      <c r="N220" s="450"/>
      <c r="O220" s="450"/>
      <c r="P220" s="450"/>
      <c r="Q220" s="456">
        <v>0</v>
      </c>
      <c r="R220" s="573">
        <v>0</v>
      </c>
      <c r="S220" s="450"/>
      <c r="T220" s="574"/>
      <c r="U220" s="587"/>
      <c r="V220" s="430"/>
    </row>
    <row r="221" spans="1:22" s="431" customFormat="1" x14ac:dyDescent="0.3">
      <c r="A221" s="571"/>
      <c r="B221" s="450" t="s">
        <v>89</v>
      </c>
      <c r="C221" s="486"/>
      <c r="D221" s="486"/>
      <c r="E221" s="486"/>
      <c r="F221" s="588"/>
      <c r="G221" s="450"/>
      <c r="H221" s="450"/>
      <c r="I221" s="450"/>
      <c r="J221" s="450"/>
      <c r="K221" s="450"/>
      <c r="L221" s="450"/>
      <c r="M221" s="450"/>
      <c r="N221" s="450"/>
      <c r="O221" s="450"/>
      <c r="P221" s="450"/>
      <c r="Q221" s="450"/>
      <c r="R221" s="582">
        <v>0</v>
      </c>
      <c r="S221" s="450"/>
      <c r="T221" s="574"/>
      <c r="U221" s="587"/>
      <c r="V221" s="430"/>
    </row>
    <row r="222" spans="1:22" s="431" customFormat="1" x14ac:dyDescent="0.3">
      <c r="A222" s="571"/>
      <c r="B222" s="450" t="s">
        <v>90</v>
      </c>
      <c r="C222" s="486"/>
      <c r="D222" s="486"/>
      <c r="E222" s="486"/>
      <c r="F222" s="588"/>
      <c r="G222" s="450"/>
      <c r="H222" s="450"/>
      <c r="I222" s="450"/>
      <c r="J222" s="450"/>
      <c r="K222" s="450"/>
      <c r="L222" s="450"/>
      <c r="M222" s="450"/>
      <c r="N222" s="450"/>
      <c r="O222" s="450"/>
      <c r="P222" s="450"/>
      <c r="Q222" s="450"/>
      <c r="R222" s="582">
        <v>0</v>
      </c>
      <c r="S222" s="450"/>
      <c r="T222" s="574"/>
      <c r="U222" s="587"/>
      <c r="V222" s="430"/>
    </row>
    <row r="223" spans="1:22" x14ac:dyDescent="0.3">
      <c r="A223" s="576"/>
      <c r="B223" s="577" t="s">
        <v>226</v>
      </c>
      <c r="C223" s="589"/>
      <c r="D223" s="589"/>
      <c r="E223" s="589"/>
      <c r="F223" s="590"/>
      <c r="G223" s="470"/>
      <c r="H223" s="470"/>
      <c r="I223" s="470"/>
      <c r="J223" s="470"/>
      <c r="K223" s="470"/>
      <c r="L223" s="470"/>
      <c r="M223" s="470"/>
      <c r="N223" s="470"/>
      <c r="O223" s="470"/>
      <c r="P223" s="470"/>
      <c r="Q223" s="456"/>
      <c r="R223" s="591"/>
      <c r="S223" s="470"/>
      <c r="T223" s="580"/>
      <c r="U223" s="585"/>
      <c r="V223" s="416"/>
    </row>
    <row r="224" spans="1:22" s="431" customFormat="1" x14ac:dyDescent="0.3">
      <c r="A224" s="571"/>
      <c r="B224" s="450" t="s">
        <v>280</v>
      </c>
      <c r="C224" s="486"/>
      <c r="D224" s="486"/>
      <c r="E224" s="486"/>
      <c r="F224" s="588"/>
      <c r="G224" s="450"/>
      <c r="H224" s="450"/>
      <c r="I224" s="450"/>
      <c r="J224" s="450"/>
      <c r="K224" s="450"/>
      <c r="L224" s="450"/>
      <c r="M224" s="450"/>
      <c r="N224" s="450"/>
      <c r="O224" s="450"/>
      <c r="P224" s="450"/>
      <c r="Q224" s="456">
        <v>1</v>
      </c>
      <c r="R224" s="573">
        <v>140</v>
      </c>
      <c r="S224" s="450"/>
      <c r="T224" s="574"/>
      <c r="U224" s="587"/>
      <c r="V224" s="430"/>
    </row>
    <row r="225" spans="1:23" s="431" customFormat="1" x14ac:dyDescent="0.3">
      <c r="A225" s="571"/>
      <c r="B225" s="450" t="s">
        <v>227</v>
      </c>
      <c r="C225" s="486"/>
      <c r="D225" s="486"/>
      <c r="E225" s="486"/>
      <c r="F225" s="588"/>
      <c r="G225" s="450"/>
      <c r="H225" s="450"/>
      <c r="I225" s="450"/>
      <c r="J225" s="450"/>
      <c r="K225" s="450"/>
      <c r="L225" s="450"/>
      <c r="M225" s="450"/>
      <c r="N225" s="450"/>
      <c r="O225" s="450"/>
      <c r="P225" s="450"/>
      <c r="Q225" s="456"/>
      <c r="R225" s="582">
        <v>0</v>
      </c>
      <c r="S225" s="450"/>
      <c r="T225" s="574"/>
      <c r="U225" s="587"/>
      <c r="V225" s="430"/>
    </row>
    <row r="226" spans="1:23" x14ac:dyDescent="0.3">
      <c r="A226" s="576"/>
      <c r="B226" s="584"/>
      <c r="C226" s="589"/>
      <c r="D226" s="589"/>
      <c r="E226" s="589"/>
      <c r="F226" s="590"/>
      <c r="G226" s="470"/>
      <c r="H226" s="470"/>
      <c r="I226" s="470"/>
      <c r="J226" s="470"/>
      <c r="K226" s="470"/>
      <c r="L226" s="470"/>
      <c r="M226" s="470"/>
      <c r="N226" s="470"/>
      <c r="O226" s="470"/>
      <c r="P226" s="470"/>
      <c r="Q226" s="450"/>
      <c r="R226" s="591"/>
      <c r="S226" s="470"/>
      <c r="T226" s="580"/>
      <c r="U226" s="585"/>
      <c r="V226" s="416"/>
    </row>
    <row r="227" spans="1:23" x14ac:dyDescent="0.3">
      <c r="A227" s="576"/>
      <c r="B227" s="584"/>
      <c r="C227" s="589"/>
      <c r="D227" s="589"/>
      <c r="E227" s="589"/>
      <c r="F227" s="590"/>
      <c r="G227" s="470"/>
      <c r="H227" s="470"/>
      <c r="I227" s="470"/>
      <c r="J227" s="470"/>
      <c r="K227" s="470"/>
      <c r="L227" s="470"/>
      <c r="M227" s="470"/>
      <c r="N227" s="470"/>
      <c r="O227" s="470"/>
      <c r="P227" s="470"/>
      <c r="Q227" s="450"/>
      <c r="R227" s="591"/>
      <c r="S227" s="470"/>
      <c r="T227" s="580"/>
      <c r="U227" s="585"/>
      <c r="V227" s="416"/>
    </row>
    <row r="228" spans="1:23" ht="18" x14ac:dyDescent="0.35">
      <c r="A228" s="576"/>
      <c r="B228" s="592" t="s">
        <v>175</v>
      </c>
      <c r="C228" s="589"/>
      <c r="D228" s="589"/>
      <c r="E228" s="589"/>
      <c r="F228" s="590"/>
      <c r="G228" s="470"/>
      <c r="H228" s="470"/>
      <c r="I228" s="470"/>
      <c r="J228" s="470"/>
      <c r="K228" s="470"/>
      <c r="L228" s="470"/>
      <c r="M228" s="470"/>
      <c r="N228" s="647" t="s">
        <v>356</v>
      </c>
      <c r="O228" s="470"/>
      <c r="P228" s="470"/>
      <c r="Q228" s="470"/>
      <c r="R228" s="593"/>
      <c r="S228" s="470"/>
      <c r="T228" s="580"/>
      <c r="U228" s="585"/>
      <c r="V228" s="416"/>
    </row>
    <row r="229" spans="1:23" x14ac:dyDescent="0.3">
      <c r="A229" s="594"/>
      <c r="B229" s="563"/>
      <c r="C229" s="595"/>
      <c r="D229" s="595"/>
      <c r="E229" s="595"/>
      <c r="F229" s="596"/>
      <c r="G229" s="516"/>
      <c r="H229" s="516"/>
      <c r="I229" s="516"/>
      <c r="J229" s="516"/>
      <c r="K229" s="516"/>
      <c r="L229" s="516"/>
      <c r="M229" s="516"/>
      <c r="N229" s="516"/>
      <c r="O229" s="516"/>
      <c r="P229" s="516"/>
      <c r="Q229" s="516"/>
      <c r="R229" s="597"/>
      <c r="S229" s="516"/>
      <c r="T229" s="564"/>
      <c r="U229" s="645"/>
      <c r="V229" s="416"/>
    </row>
    <row r="230" spans="1:23" x14ac:dyDescent="0.3">
      <c r="A230" s="442"/>
      <c r="B230" s="598" t="s">
        <v>295</v>
      </c>
      <c r="C230" s="599"/>
      <c r="D230" s="599"/>
      <c r="E230" s="599"/>
      <c r="F230" s="600"/>
      <c r="G230" s="599"/>
      <c r="H230" s="599"/>
      <c r="I230" s="599"/>
      <c r="J230" s="599"/>
      <c r="K230" s="599"/>
      <c r="L230" s="599"/>
      <c r="M230" s="599"/>
      <c r="N230" s="599"/>
      <c r="O230" s="599"/>
      <c r="P230" s="600" t="s">
        <v>105</v>
      </c>
      <c r="Q230" s="599" t="s">
        <v>106</v>
      </c>
      <c r="R230" s="600" t="s">
        <v>114</v>
      </c>
      <c r="S230" s="599" t="s">
        <v>106</v>
      </c>
      <c r="T230" s="601"/>
      <c r="U230" s="605"/>
      <c r="V230" s="416"/>
    </row>
    <row r="231" spans="1:23" s="431" customFormat="1" x14ac:dyDescent="0.3">
      <c r="A231" s="632"/>
      <c r="B231" s="633" t="s">
        <v>91</v>
      </c>
      <c r="C231" s="634"/>
      <c r="D231" s="634"/>
      <c r="E231" s="634"/>
      <c r="F231" s="635"/>
      <c r="G231" s="634"/>
      <c r="H231" s="634"/>
      <c r="I231" s="634"/>
      <c r="J231" s="634"/>
      <c r="K231" s="634"/>
      <c r="L231" s="634"/>
      <c r="M231" s="634"/>
      <c r="N231" s="634"/>
      <c r="O231" s="634"/>
      <c r="P231" s="633">
        <f t="shared" ref="P231:P238" si="1">+P243+P255+P267</f>
        <v>3021</v>
      </c>
      <c r="Q231" s="636">
        <f t="shared" ref="Q231:Q238" si="2">P231/$P$240</f>
        <v>0.99505928853754944</v>
      </c>
      <c r="R231" s="637">
        <f t="shared" ref="R231:R238" si="3">+R243+R255+R267</f>
        <v>386602</v>
      </c>
      <c r="S231" s="636">
        <f t="shared" ref="S231:S238" si="4">R231/$R$240</f>
        <v>0.99556812241355774</v>
      </c>
      <c r="T231" s="630"/>
      <c r="U231" s="631"/>
      <c r="V231" s="430"/>
    </row>
    <row r="232" spans="1:23" s="431" customFormat="1" x14ac:dyDescent="0.3">
      <c r="A232" s="449"/>
      <c r="B232" s="514" t="s">
        <v>92</v>
      </c>
      <c r="C232" s="603"/>
      <c r="D232" s="603"/>
      <c r="E232" s="603"/>
      <c r="F232" s="450"/>
      <c r="G232" s="602"/>
      <c r="H232" s="603"/>
      <c r="I232" s="603"/>
      <c r="J232" s="603"/>
      <c r="K232" s="603"/>
      <c r="L232" s="603"/>
      <c r="M232" s="603"/>
      <c r="N232" s="603"/>
      <c r="O232" s="603"/>
      <c r="P232" s="514">
        <f t="shared" si="1"/>
        <v>10</v>
      </c>
      <c r="Q232" s="602">
        <f t="shared" si="2"/>
        <v>3.2938076416337285E-3</v>
      </c>
      <c r="R232" s="515">
        <f t="shared" si="3"/>
        <v>1240</v>
      </c>
      <c r="S232" s="602">
        <f t="shared" si="4"/>
        <v>3.1932180169601081E-3</v>
      </c>
      <c r="T232" s="574"/>
      <c r="U232" s="587"/>
      <c r="V232" s="430"/>
      <c r="W232" s="533"/>
    </row>
    <row r="233" spans="1:23" s="431" customFormat="1" x14ac:dyDescent="0.3">
      <c r="A233" s="449"/>
      <c r="B233" s="514" t="s">
        <v>93</v>
      </c>
      <c r="C233" s="603"/>
      <c r="D233" s="603"/>
      <c r="E233" s="603"/>
      <c r="F233" s="450"/>
      <c r="G233" s="602"/>
      <c r="H233" s="603"/>
      <c r="I233" s="603"/>
      <c r="J233" s="603"/>
      <c r="K233" s="603"/>
      <c r="L233" s="603"/>
      <c r="M233" s="603"/>
      <c r="N233" s="603"/>
      <c r="O233" s="603"/>
      <c r="P233" s="514">
        <f t="shared" si="1"/>
        <v>0</v>
      </c>
      <c r="Q233" s="602">
        <f t="shared" si="2"/>
        <v>0</v>
      </c>
      <c r="R233" s="515">
        <f t="shared" si="3"/>
        <v>0</v>
      </c>
      <c r="S233" s="602">
        <f t="shared" si="4"/>
        <v>0</v>
      </c>
      <c r="T233" s="574"/>
      <c r="U233" s="587"/>
      <c r="V233" s="430"/>
    </row>
    <row r="234" spans="1:23" s="431" customFormat="1" x14ac:dyDescent="0.3">
      <c r="A234" s="449"/>
      <c r="B234" s="514" t="s">
        <v>163</v>
      </c>
      <c r="C234" s="603"/>
      <c r="D234" s="603"/>
      <c r="E234" s="603"/>
      <c r="F234" s="450"/>
      <c r="G234" s="602"/>
      <c r="H234" s="603"/>
      <c r="I234" s="603"/>
      <c r="J234" s="603"/>
      <c r="K234" s="603"/>
      <c r="L234" s="603"/>
      <c r="M234" s="603"/>
      <c r="N234" s="603"/>
      <c r="O234" s="603"/>
      <c r="P234" s="514">
        <f t="shared" si="1"/>
        <v>0</v>
      </c>
      <c r="Q234" s="602">
        <f t="shared" si="2"/>
        <v>0</v>
      </c>
      <c r="R234" s="515">
        <f t="shared" si="3"/>
        <v>0</v>
      </c>
      <c r="S234" s="602">
        <f t="shared" si="4"/>
        <v>0</v>
      </c>
      <c r="T234" s="574"/>
      <c r="U234" s="587"/>
      <c r="V234" s="430"/>
      <c r="W234" s="533"/>
    </row>
    <row r="235" spans="1:23" s="431" customFormat="1" x14ac:dyDescent="0.3">
      <c r="A235" s="449"/>
      <c r="B235" s="514" t="s">
        <v>164</v>
      </c>
      <c r="C235" s="603"/>
      <c r="D235" s="603"/>
      <c r="E235" s="603"/>
      <c r="F235" s="450"/>
      <c r="G235" s="602"/>
      <c r="H235" s="603"/>
      <c r="I235" s="603"/>
      <c r="J235" s="603"/>
      <c r="K235" s="603"/>
      <c r="L235" s="603"/>
      <c r="M235" s="603"/>
      <c r="N235" s="603"/>
      <c r="O235" s="603"/>
      <c r="P235" s="514">
        <f t="shared" si="1"/>
        <v>2</v>
      </c>
      <c r="Q235" s="602">
        <f t="shared" si="2"/>
        <v>6.5876152832674575E-4</v>
      </c>
      <c r="R235" s="515">
        <f t="shared" si="3"/>
        <v>141</v>
      </c>
      <c r="S235" s="602">
        <f t="shared" si="4"/>
        <v>3.6309979063820581E-4</v>
      </c>
      <c r="T235" s="574"/>
      <c r="U235" s="587"/>
      <c r="V235" s="430"/>
    </row>
    <row r="236" spans="1:23" s="431" customFormat="1" x14ac:dyDescent="0.3">
      <c r="A236" s="449"/>
      <c r="B236" s="514" t="s">
        <v>165</v>
      </c>
      <c r="C236" s="603"/>
      <c r="D236" s="603"/>
      <c r="E236" s="603"/>
      <c r="F236" s="450"/>
      <c r="G236" s="602"/>
      <c r="H236" s="603"/>
      <c r="I236" s="603"/>
      <c r="J236" s="603"/>
      <c r="K236" s="603"/>
      <c r="L236" s="603"/>
      <c r="M236" s="603"/>
      <c r="N236" s="603"/>
      <c r="O236" s="603"/>
      <c r="P236" s="514">
        <f t="shared" si="1"/>
        <v>0</v>
      </c>
      <c r="Q236" s="602">
        <f t="shared" si="2"/>
        <v>0</v>
      </c>
      <c r="R236" s="515">
        <f t="shared" si="3"/>
        <v>0</v>
      </c>
      <c r="S236" s="602">
        <f t="shared" si="4"/>
        <v>0</v>
      </c>
      <c r="T236" s="574"/>
      <c r="U236" s="587"/>
      <c r="V236" s="430"/>
      <c r="W236" s="533"/>
    </row>
    <row r="237" spans="1:23" s="431" customFormat="1" x14ac:dyDescent="0.3">
      <c r="A237" s="449"/>
      <c r="B237" s="514" t="s">
        <v>166</v>
      </c>
      <c r="C237" s="603"/>
      <c r="D237" s="603"/>
      <c r="E237" s="603"/>
      <c r="F237" s="450"/>
      <c r="G237" s="602"/>
      <c r="H237" s="603"/>
      <c r="I237" s="603"/>
      <c r="J237" s="603"/>
      <c r="K237" s="603"/>
      <c r="L237" s="603"/>
      <c r="M237" s="603"/>
      <c r="N237" s="603"/>
      <c r="O237" s="603"/>
      <c r="P237" s="514">
        <f t="shared" si="1"/>
        <v>3</v>
      </c>
      <c r="Q237" s="602">
        <f t="shared" si="2"/>
        <v>9.8814229249011851E-4</v>
      </c>
      <c r="R237" s="515">
        <f t="shared" si="3"/>
        <v>340</v>
      </c>
      <c r="S237" s="602">
        <f t="shared" si="4"/>
        <v>8.7555977884390054E-4</v>
      </c>
      <c r="T237" s="574"/>
      <c r="U237" s="587"/>
      <c r="V237" s="430"/>
    </row>
    <row r="238" spans="1:23" s="431" customFormat="1" x14ac:dyDescent="0.3">
      <c r="A238" s="449"/>
      <c r="B238" s="514" t="s">
        <v>167</v>
      </c>
      <c r="C238" s="603"/>
      <c r="D238" s="603"/>
      <c r="E238" s="603"/>
      <c r="F238" s="450"/>
      <c r="G238" s="602"/>
      <c r="H238" s="603"/>
      <c r="I238" s="603"/>
      <c r="J238" s="603"/>
      <c r="K238" s="603"/>
      <c r="L238" s="603"/>
      <c r="M238" s="603"/>
      <c r="N238" s="603"/>
      <c r="O238" s="603"/>
      <c r="P238" s="514">
        <f t="shared" si="1"/>
        <v>0</v>
      </c>
      <c r="Q238" s="602">
        <f t="shared" si="2"/>
        <v>0</v>
      </c>
      <c r="R238" s="515">
        <f t="shared" si="3"/>
        <v>0</v>
      </c>
      <c r="S238" s="602">
        <f t="shared" si="4"/>
        <v>0</v>
      </c>
      <c r="T238" s="574"/>
      <c r="U238" s="587"/>
      <c r="V238" s="430"/>
      <c r="W238" s="533"/>
    </row>
    <row r="239" spans="1:23" s="431" customFormat="1" x14ac:dyDescent="0.3">
      <c r="A239" s="449"/>
      <c r="B239" s="514"/>
      <c r="C239" s="603"/>
      <c r="D239" s="603"/>
      <c r="E239" s="603"/>
      <c r="F239" s="450"/>
      <c r="G239" s="602"/>
      <c r="H239" s="603"/>
      <c r="I239" s="603"/>
      <c r="J239" s="603"/>
      <c r="K239" s="603"/>
      <c r="L239" s="603"/>
      <c r="M239" s="603"/>
      <c r="N239" s="603"/>
      <c r="O239" s="603"/>
      <c r="P239" s="514"/>
      <c r="Q239" s="602"/>
      <c r="R239" s="515"/>
      <c r="S239" s="602"/>
      <c r="T239" s="574"/>
      <c r="U239" s="587"/>
      <c r="V239" s="430"/>
    </row>
    <row r="240" spans="1:23" s="431" customFormat="1" x14ac:dyDescent="0.3">
      <c r="A240" s="449"/>
      <c r="B240" s="450" t="s">
        <v>120</v>
      </c>
      <c r="C240" s="450"/>
      <c r="D240" s="450"/>
      <c r="E240" s="450"/>
      <c r="F240" s="450"/>
      <c r="G240" s="450"/>
      <c r="H240" s="604"/>
      <c r="I240" s="604"/>
      <c r="J240" s="604"/>
      <c r="K240" s="604"/>
      <c r="L240" s="604"/>
      <c r="M240" s="604"/>
      <c r="N240" s="604"/>
      <c r="O240" s="604"/>
      <c r="P240" s="514">
        <f>SUM(P231:P239)</f>
        <v>3036</v>
      </c>
      <c r="Q240" s="602">
        <f>SUM(Q231:Q239)</f>
        <v>1.0000000000000002</v>
      </c>
      <c r="R240" s="515">
        <f>SUM(R231:R239)</f>
        <v>388323</v>
      </c>
      <c r="S240" s="602">
        <f>SUM(S231:S239)</f>
        <v>1</v>
      </c>
      <c r="T240" s="450"/>
      <c r="U240" s="452"/>
      <c r="V240" s="430"/>
    </row>
    <row r="241" spans="1:23" x14ac:dyDescent="0.3">
      <c r="A241" s="594"/>
      <c r="B241" s="563"/>
      <c r="C241" s="595"/>
      <c r="D241" s="595"/>
      <c r="E241" s="595"/>
      <c r="F241" s="596"/>
      <c r="G241" s="516"/>
      <c r="H241" s="516"/>
      <c r="I241" s="516"/>
      <c r="J241" s="516"/>
      <c r="K241" s="516"/>
      <c r="L241" s="516"/>
      <c r="M241" s="516"/>
      <c r="N241" s="516"/>
      <c r="O241" s="516"/>
      <c r="P241" s="516"/>
      <c r="Q241" s="516"/>
      <c r="R241" s="597"/>
      <c r="S241" s="516"/>
      <c r="T241" s="564"/>
      <c r="U241" s="645"/>
      <c r="V241" s="416"/>
    </row>
    <row r="242" spans="1:23" x14ac:dyDescent="0.3">
      <c r="A242" s="442"/>
      <c r="B242" s="521" t="s">
        <v>169</v>
      </c>
      <c r="C242" s="522"/>
      <c r="D242" s="522"/>
      <c r="E242" s="522"/>
      <c r="F242" s="566"/>
      <c r="G242" s="522"/>
      <c r="H242" s="522"/>
      <c r="I242" s="522"/>
      <c r="J242" s="522"/>
      <c r="K242" s="522"/>
      <c r="L242" s="522"/>
      <c r="M242" s="522"/>
      <c r="N242" s="522"/>
      <c r="O242" s="522"/>
      <c r="P242" s="566" t="s">
        <v>105</v>
      </c>
      <c r="Q242" s="522" t="s">
        <v>106</v>
      </c>
      <c r="R242" s="566" t="s">
        <v>114</v>
      </c>
      <c r="S242" s="522" t="s">
        <v>106</v>
      </c>
      <c r="T242" s="443"/>
      <c r="U242" s="605"/>
      <c r="V242" s="416"/>
    </row>
    <row r="243" spans="1:23" s="431" customFormat="1" x14ac:dyDescent="0.3">
      <c r="A243" s="432"/>
      <c r="B243" s="525" t="s">
        <v>91</v>
      </c>
      <c r="C243" s="606"/>
      <c r="D243" s="606"/>
      <c r="E243" s="606"/>
      <c r="F243" s="447"/>
      <c r="G243" s="606"/>
      <c r="H243" s="606"/>
      <c r="I243" s="606"/>
      <c r="J243" s="606"/>
      <c r="K243" s="606"/>
      <c r="L243" s="606"/>
      <c r="M243" s="606"/>
      <c r="N243" s="606"/>
      <c r="O243" s="606"/>
      <c r="P243" s="525">
        <v>2998</v>
      </c>
      <c r="Q243" s="607">
        <f t="shared" ref="Q243:Q250" si="5">P243/$P$252</f>
        <v>0.99601328903654485</v>
      </c>
      <c r="R243" s="526">
        <v>382959</v>
      </c>
      <c r="S243" s="607">
        <f t="shared" ref="S243:S250" si="6">R243/$R$252</f>
        <v>0.9964068272883384</v>
      </c>
      <c r="T243" s="570"/>
      <c r="U243" s="646"/>
      <c r="V243" s="430"/>
    </row>
    <row r="244" spans="1:23" s="431" customFormat="1" x14ac:dyDescent="0.3">
      <c r="A244" s="449"/>
      <c r="B244" s="514" t="s">
        <v>92</v>
      </c>
      <c r="C244" s="603"/>
      <c r="D244" s="603"/>
      <c r="E244" s="603"/>
      <c r="F244" s="450"/>
      <c r="G244" s="602"/>
      <c r="H244" s="603"/>
      <c r="I244" s="603"/>
      <c r="J244" s="603"/>
      <c r="K244" s="603"/>
      <c r="L244" s="603"/>
      <c r="M244" s="603"/>
      <c r="N244" s="603"/>
      <c r="O244" s="603"/>
      <c r="P244" s="514">
        <v>10</v>
      </c>
      <c r="Q244" s="602">
        <f t="shared" si="5"/>
        <v>3.3222591362126247E-3</v>
      </c>
      <c r="R244" s="515">
        <v>1240</v>
      </c>
      <c r="S244" s="602">
        <f t="shared" si="6"/>
        <v>3.2263100379871989E-3</v>
      </c>
      <c r="T244" s="574"/>
      <c r="U244" s="587"/>
      <c r="V244" s="430"/>
      <c r="W244" s="533"/>
    </row>
    <row r="245" spans="1:23" s="431" customFormat="1" x14ac:dyDescent="0.3">
      <c r="A245" s="449"/>
      <c r="B245" s="514" t="s">
        <v>93</v>
      </c>
      <c r="C245" s="603"/>
      <c r="D245" s="603"/>
      <c r="E245" s="603"/>
      <c r="F245" s="450"/>
      <c r="G245" s="602"/>
      <c r="H245" s="603"/>
      <c r="I245" s="603"/>
      <c r="J245" s="603"/>
      <c r="K245" s="603"/>
      <c r="L245" s="603"/>
      <c r="M245" s="603"/>
      <c r="N245" s="603"/>
      <c r="O245" s="603"/>
      <c r="P245" s="514">
        <v>0</v>
      </c>
      <c r="Q245" s="602">
        <f t="shared" si="5"/>
        <v>0</v>
      </c>
      <c r="R245" s="515">
        <v>0</v>
      </c>
      <c r="S245" s="602">
        <f t="shared" si="6"/>
        <v>0</v>
      </c>
      <c r="T245" s="574"/>
      <c r="U245" s="587"/>
      <c r="V245" s="430"/>
    </row>
    <row r="246" spans="1:23" s="431" customFormat="1" x14ac:dyDescent="0.3">
      <c r="A246" s="449"/>
      <c r="B246" s="514" t="s">
        <v>163</v>
      </c>
      <c r="C246" s="603"/>
      <c r="D246" s="603"/>
      <c r="E246" s="603"/>
      <c r="F246" s="450"/>
      <c r="G246" s="602"/>
      <c r="H246" s="603"/>
      <c r="I246" s="603"/>
      <c r="J246" s="603"/>
      <c r="K246" s="603"/>
      <c r="L246" s="603"/>
      <c r="M246" s="603"/>
      <c r="N246" s="603"/>
      <c r="O246" s="603"/>
      <c r="P246" s="514">
        <v>0</v>
      </c>
      <c r="Q246" s="602">
        <f t="shared" si="5"/>
        <v>0</v>
      </c>
      <c r="R246" s="515">
        <v>0</v>
      </c>
      <c r="S246" s="602">
        <f t="shared" si="6"/>
        <v>0</v>
      </c>
      <c r="T246" s="574"/>
      <c r="U246" s="587"/>
      <c r="V246" s="430"/>
      <c r="W246" s="533"/>
    </row>
    <row r="247" spans="1:23" s="431" customFormat="1" x14ac:dyDescent="0.3">
      <c r="A247" s="449"/>
      <c r="B247" s="514" t="s">
        <v>164</v>
      </c>
      <c r="C247" s="603"/>
      <c r="D247" s="603"/>
      <c r="E247" s="603"/>
      <c r="F247" s="450"/>
      <c r="G247" s="602"/>
      <c r="H247" s="603"/>
      <c r="I247" s="603"/>
      <c r="J247" s="603"/>
      <c r="K247" s="603"/>
      <c r="L247" s="603"/>
      <c r="M247" s="603"/>
      <c r="N247" s="603"/>
      <c r="O247" s="603"/>
      <c r="P247" s="514">
        <v>2</v>
      </c>
      <c r="Q247" s="602">
        <f t="shared" si="5"/>
        <v>6.6445182724252495E-4</v>
      </c>
      <c r="R247" s="515">
        <v>141</v>
      </c>
      <c r="S247" s="602">
        <f t="shared" si="6"/>
        <v>3.6686267367435081E-4</v>
      </c>
      <c r="T247" s="574"/>
      <c r="U247" s="587"/>
      <c r="V247" s="430"/>
    </row>
    <row r="248" spans="1:23" s="431" customFormat="1" x14ac:dyDescent="0.3">
      <c r="A248" s="449"/>
      <c r="B248" s="514" t="s">
        <v>165</v>
      </c>
      <c r="C248" s="603"/>
      <c r="D248" s="603"/>
      <c r="E248" s="603"/>
      <c r="F248" s="450"/>
      <c r="G248" s="602"/>
      <c r="H248" s="603"/>
      <c r="I248" s="603"/>
      <c r="J248" s="603"/>
      <c r="K248" s="603"/>
      <c r="L248" s="603"/>
      <c r="M248" s="603"/>
      <c r="N248" s="603"/>
      <c r="O248" s="603"/>
      <c r="P248" s="514">
        <v>0</v>
      </c>
      <c r="Q248" s="602">
        <f t="shared" si="5"/>
        <v>0</v>
      </c>
      <c r="R248" s="515">
        <v>0</v>
      </c>
      <c r="S248" s="602">
        <f t="shared" si="6"/>
        <v>0</v>
      </c>
      <c r="T248" s="574"/>
      <c r="U248" s="587"/>
      <c r="V248" s="430"/>
      <c r="W248" s="533"/>
    </row>
    <row r="249" spans="1:23" s="431" customFormat="1" x14ac:dyDescent="0.3">
      <c r="A249" s="449"/>
      <c r="B249" s="514" t="s">
        <v>166</v>
      </c>
      <c r="C249" s="603"/>
      <c r="D249" s="603"/>
      <c r="E249" s="603"/>
      <c r="F249" s="450"/>
      <c r="G249" s="602"/>
      <c r="H249" s="603"/>
      <c r="I249" s="603"/>
      <c r="J249" s="603"/>
      <c r="K249" s="603"/>
      <c r="L249" s="603"/>
      <c r="M249" s="603"/>
      <c r="N249" s="603"/>
      <c r="O249" s="603"/>
      <c r="P249" s="514">
        <v>0</v>
      </c>
      <c r="Q249" s="602">
        <f t="shared" si="5"/>
        <v>0</v>
      </c>
      <c r="R249" s="515">
        <v>0</v>
      </c>
      <c r="S249" s="602">
        <f t="shared" si="6"/>
        <v>0</v>
      </c>
      <c r="T249" s="574"/>
      <c r="U249" s="587"/>
      <c r="V249" s="430"/>
    </row>
    <row r="250" spans="1:23" s="431" customFormat="1" x14ac:dyDescent="0.3">
      <c r="A250" s="449"/>
      <c r="B250" s="514" t="s">
        <v>167</v>
      </c>
      <c r="C250" s="603"/>
      <c r="D250" s="603"/>
      <c r="E250" s="603"/>
      <c r="F250" s="450"/>
      <c r="G250" s="602"/>
      <c r="H250" s="603"/>
      <c r="I250" s="603"/>
      <c r="J250" s="603"/>
      <c r="K250" s="603"/>
      <c r="L250" s="603"/>
      <c r="M250" s="603"/>
      <c r="N250" s="603"/>
      <c r="O250" s="603"/>
      <c r="P250" s="514">
        <v>0</v>
      </c>
      <c r="Q250" s="602">
        <f t="shared" si="5"/>
        <v>0</v>
      </c>
      <c r="R250" s="515">
        <v>0</v>
      </c>
      <c r="S250" s="602">
        <f t="shared" si="6"/>
        <v>0</v>
      </c>
      <c r="T250" s="574"/>
      <c r="U250" s="587"/>
      <c r="V250" s="430"/>
      <c r="W250" s="533"/>
    </row>
    <row r="251" spans="1:23" s="431" customFormat="1" x14ac:dyDescent="0.3">
      <c r="A251" s="449"/>
      <c r="B251" s="514"/>
      <c r="C251" s="603"/>
      <c r="D251" s="603"/>
      <c r="E251" s="603"/>
      <c r="F251" s="450"/>
      <c r="G251" s="602"/>
      <c r="H251" s="603"/>
      <c r="I251" s="603"/>
      <c r="J251" s="603"/>
      <c r="K251" s="603"/>
      <c r="L251" s="603"/>
      <c r="M251" s="603"/>
      <c r="N251" s="603"/>
      <c r="O251" s="603"/>
      <c r="P251" s="514"/>
      <c r="Q251" s="602"/>
      <c r="R251" s="515"/>
      <c r="S251" s="602"/>
      <c r="T251" s="574"/>
      <c r="U251" s="587"/>
      <c r="V251" s="430"/>
    </row>
    <row r="252" spans="1:23" s="431" customFormat="1" x14ac:dyDescent="0.3">
      <c r="A252" s="449"/>
      <c r="B252" s="450" t="s">
        <v>120</v>
      </c>
      <c r="C252" s="450"/>
      <c r="D252" s="450"/>
      <c r="E252" s="450"/>
      <c r="F252" s="450"/>
      <c r="G252" s="450"/>
      <c r="H252" s="604"/>
      <c r="I252" s="604"/>
      <c r="J252" s="604"/>
      <c r="K252" s="604"/>
      <c r="L252" s="604"/>
      <c r="M252" s="604"/>
      <c r="N252" s="604"/>
      <c r="O252" s="604"/>
      <c r="P252" s="514">
        <f>SUM(P243:P251)</f>
        <v>3010</v>
      </c>
      <c r="Q252" s="602">
        <f>SUM(Q243:Q251)</f>
        <v>1</v>
      </c>
      <c r="R252" s="515">
        <f>SUM(R243:R251)</f>
        <v>384340</v>
      </c>
      <c r="S252" s="602">
        <f>SUM(S243:S251)</f>
        <v>1</v>
      </c>
      <c r="T252" s="450"/>
      <c r="U252" s="452"/>
      <c r="V252" s="430"/>
    </row>
    <row r="253" spans="1:23" x14ac:dyDescent="0.3">
      <c r="A253" s="418"/>
      <c r="B253" s="516"/>
      <c r="C253" s="516"/>
      <c r="D253" s="516"/>
      <c r="E253" s="516"/>
      <c r="F253" s="516"/>
      <c r="G253" s="516"/>
      <c r="H253" s="608"/>
      <c r="I253" s="608"/>
      <c r="J253" s="608"/>
      <c r="K253" s="608"/>
      <c r="L253" s="608"/>
      <c r="M253" s="608"/>
      <c r="N253" s="608"/>
      <c r="O253" s="608"/>
      <c r="P253" s="517"/>
      <c r="Q253" s="609"/>
      <c r="R253" s="610"/>
      <c r="S253" s="609"/>
      <c r="T253" s="516"/>
      <c r="U253" s="639"/>
      <c r="V253" s="416"/>
    </row>
    <row r="254" spans="1:23" x14ac:dyDescent="0.3">
      <c r="A254" s="442"/>
      <c r="B254" s="521" t="s">
        <v>267</v>
      </c>
      <c r="C254" s="522"/>
      <c r="D254" s="522"/>
      <c r="E254" s="522"/>
      <c r="F254" s="566"/>
      <c r="G254" s="522"/>
      <c r="H254" s="522"/>
      <c r="I254" s="522"/>
      <c r="J254" s="522"/>
      <c r="K254" s="522"/>
      <c r="L254" s="522"/>
      <c r="M254" s="522"/>
      <c r="N254" s="522"/>
      <c r="O254" s="522"/>
      <c r="P254" s="566" t="s">
        <v>105</v>
      </c>
      <c r="Q254" s="522" t="s">
        <v>106</v>
      </c>
      <c r="R254" s="566" t="s">
        <v>114</v>
      </c>
      <c r="S254" s="522" t="s">
        <v>106</v>
      </c>
      <c r="T254" s="443"/>
      <c r="U254" s="446"/>
      <c r="V254" s="416"/>
    </row>
    <row r="255" spans="1:23" s="431" customFormat="1" x14ac:dyDescent="0.3">
      <c r="A255" s="432"/>
      <c r="B255" s="525" t="s">
        <v>91</v>
      </c>
      <c r="C255" s="606"/>
      <c r="D255" s="606"/>
      <c r="E255" s="606"/>
      <c r="F255" s="447"/>
      <c r="G255" s="606"/>
      <c r="H255" s="606"/>
      <c r="I255" s="606"/>
      <c r="J255" s="606"/>
      <c r="K255" s="606"/>
      <c r="L255" s="606"/>
      <c r="M255" s="606"/>
      <c r="N255" s="606"/>
      <c r="O255" s="606"/>
      <c r="P255" s="525">
        <v>23</v>
      </c>
      <c r="Q255" s="607">
        <f t="shared" ref="Q255:Q262" si="7">P255/$P$264</f>
        <v>0.88461538461538458</v>
      </c>
      <c r="R255" s="526">
        <v>3643</v>
      </c>
      <c r="S255" s="607">
        <f>R255/$R$264</f>
        <v>0.91463720813457194</v>
      </c>
      <c r="T255" s="447"/>
      <c r="U255" s="641"/>
      <c r="V255" s="430"/>
    </row>
    <row r="256" spans="1:23" s="431" customFormat="1" x14ac:dyDescent="0.3">
      <c r="A256" s="449"/>
      <c r="B256" s="514" t="s">
        <v>92</v>
      </c>
      <c r="C256" s="603"/>
      <c r="D256" s="603"/>
      <c r="E256" s="603"/>
      <c r="F256" s="450"/>
      <c r="G256" s="602"/>
      <c r="H256" s="603"/>
      <c r="I256" s="603"/>
      <c r="J256" s="603"/>
      <c r="K256" s="603"/>
      <c r="L256" s="603"/>
      <c r="M256" s="603"/>
      <c r="N256" s="603"/>
      <c r="O256" s="603"/>
      <c r="P256" s="514">
        <v>0</v>
      </c>
      <c r="Q256" s="602">
        <f t="shared" si="7"/>
        <v>0</v>
      </c>
      <c r="R256" s="515">
        <v>0</v>
      </c>
      <c r="S256" s="602">
        <f t="shared" ref="S256:S262" si="8">R256/$R$264</f>
        <v>0</v>
      </c>
      <c r="T256" s="450"/>
      <c r="U256" s="452"/>
      <c r="V256" s="430"/>
    </row>
    <row r="257" spans="1:22" s="431" customFormat="1" x14ac:dyDescent="0.3">
      <c r="A257" s="449"/>
      <c r="B257" s="514" t="s">
        <v>93</v>
      </c>
      <c r="C257" s="603"/>
      <c r="D257" s="603"/>
      <c r="E257" s="603"/>
      <c r="F257" s="450"/>
      <c r="G257" s="602"/>
      <c r="H257" s="603"/>
      <c r="I257" s="603"/>
      <c r="J257" s="603"/>
      <c r="K257" s="603"/>
      <c r="L257" s="603"/>
      <c r="M257" s="603"/>
      <c r="N257" s="603"/>
      <c r="O257" s="603"/>
      <c r="P257" s="514">
        <v>0</v>
      </c>
      <c r="Q257" s="602">
        <f t="shared" si="7"/>
        <v>0</v>
      </c>
      <c r="R257" s="515">
        <v>0</v>
      </c>
      <c r="S257" s="602">
        <f t="shared" si="8"/>
        <v>0</v>
      </c>
      <c r="T257" s="450"/>
      <c r="U257" s="452"/>
      <c r="V257" s="430"/>
    </row>
    <row r="258" spans="1:22" s="431" customFormat="1" x14ac:dyDescent="0.3">
      <c r="A258" s="449"/>
      <c r="B258" s="514" t="s">
        <v>163</v>
      </c>
      <c r="C258" s="603"/>
      <c r="D258" s="603"/>
      <c r="E258" s="603"/>
      <c r="F258" s="450"/>
      <c r="G258" s="602"/>
      <c r="H258" s="603"/>
      <c r="I258" s="603"/>
      <c r="J258" s="603"/>
      <c r="K258" s="603"/>
      <c r="L258" s="603"/>
      <c r="M258" s="603"/>
      <c r="N258" s="603"/>
      <c r="O258" s="603"/>
      <c r="P258" s="514">
        <v>0</v>
      </c>
      <c r="Q258" s="602">
        <f t="shared" si="7"/>
        <v>0</v>
      </c>
      <c r="R258" s="515">
        <v>0</v>
      </c>
      <c r="S258" s="602">
        <f t="shared" si="8"/>
        <v>0</v>
      </c>
      <c r="T258" s="450"/>
      <c r="U258" s="452"/>
      <c r="V258" s="430"/>
    </row>
    <row r="259" spans="1:22" s="431" customFormat="1" x14ac:dyDescent="0.3">
      <c r="A259" s="449"/>
      <c r="B259" s="514" t="s">
        <v>164</v>
      </c>
      <c r="C259" s="603"/>
      <c r="D259" s="603"/>
      <c r="E259" s="603"/>
      <c r="F259" s="450"/>
      <c r="G259" s="602"/>
      <c r="H259" s="603"/>
      <c r="I259" s="603"/>
      <c r="J259" s="603"/>
      <c r="K259" s="603"/>
      <c r="L259" s="603"/>
      <c r="M259" s="603"/>
      <c r="N259" s="603"/>
      <c r="O259" s="603"/>
      <c r="P259" s="514">
        <v>0</v>
      </c>
      <c r="Q259" s="602">
        <f t="shared" si="7"/>
        <v>0</v>
      </c>
      <c r="R259" s="515">
        <v>0</v>
      </c>
      <c r="S259" s="602">
        <f t="shared" si="8"/>
        <v>0</v>
      </c>
      <c r="T259" s="450"/>
      <c r="U259" s="452"/>
      <c r="V259" s="430"/>
    </row>
    <row r="260" spans="1:22" s="431" customFormat="1" x14ac:dyDescent="0.3">
      <c r="A260" s="449"/>
      <c r="B260" s="514" t="s">
        <v>165</v>
      </c>
      <c r="C260" s="603"/>
      <c r="D260" s="603"/>
      <c r="E260" s="603"/>
      <c r="F260" s="450"/>
      <c r="G260" s="602"/>
      <c r="H260" s="603"/>
      <c r="I260" s="603"/>
      <c r="J260" s="603"/>
      <c r="K260" s="603"/>
      <c r="L260" s="603"/>
      <c r="M260" s="603"/>
      <c r="N260" s="603"/>
      <c r="O260" s="603"/>
      <c r="P260" s="514">
        <v>0</v>
      </c>
      <c r="Q260" s="602">
        <f t="shared" si="7"/>
        <v>0</v>
      </c>
      <c r="R260" s="515">
        <v>0</v>
      </c>
      <c r="S260" s="602">
        <f t="shared" si="8"/>
        <v>0</v>
      </c>
      <c r="T260" s="450"/>
      <c r="U260" s="452"/>
      <c r="V260" s="430"/>
    </row>
    <row r="261" spans="1:22" s="431" customFormat="1" x14ac:dyDescent="0.3">
      <c r="A261" s="449"/>
      <c r="B261" s="514" t="s">
        <v>166</v>
      </c>
      <c r="C261" s="603"/>
      <c r="D261" s="603"/>
      <c r="E261" s="603"/>
      <c r="F261" s="450"/>
      <c r="G261" s="602"/>
      <c r="H261" s="603"/>
      <c r="I261" s="603"/>
      <c r="J261" s="603"/>
      <c r="K261" s="603"/>
      <c r="L261" s="603"/>
      <c r="M261" s="603"/>
      <c r="N261" s="603"/>
      <c r="O261" s="603"/>
      <c r="P261" s="514">
        <v>3</v>
      </c>
      <c r="Q261" s="602">
        <f t="shared" si="7"/>
        <v>0.11538461538461539</v>
      </c>
      <c r="R261" s="515">
        <v>340</v>
      </c>
      <c r="S261" s="602">
        <f t="shared" si="8"/>
        <v>8.536279186542807E-2</v>
      </c>
      <c r="T261" s="450"/>
      <c r="U261" s="452"/>
      <c r="V261" s="430"/>
    </row>
    <row r="262" spans="1:22" s="431" customFormat="1" x14ac:dyDescent="0.3">
      <c r="A262" s="449"/>
      <c r="B262" s="514" t="s">
        <v>167</v>
      </c>
      <c r="C262" s="603"/>
      <c r="D262" s="603"/>
      <c r="E262" s="603"/>
      <c r="F262" s="450"/>
      <c r="G262" s="602"/>
      <c r="H262" s="603"/>
      <c r="I262" s="603"/>
      <c r="J262" s="603"/>
      <c r="K262" s="603"/>
      <c r="L262" s="603"/>
      <c r="M262" s="603"/>
      <c r="N262" s="603"/>
      <c r="O262" s="603"/>
      <c r="P262" s="514">
        <v>0</v>
      </c>
      <c r="Q262" s="602">
        <f t="shared" si="7"/>
        <v>0</v>
      </c>
      <c r="R262" s="515">
        <v>0</v>
      </c>
      <c r="S262" s="602">
        <f t="shared" si="8"/>
        <v>0</v>
      </c>
      <c r="T262" s="450"/>
      <c r="U262" s="452"/>
      <c r="V262" s="430"/>
    </row>
    <row r="263" spans="1:22" s="431" customFormat="1" x14ac:dyDescent="0.3">
      <c r="A263" s="449"/>
      <c r="B263" s="514"/>
      <c r="C263" s="603"/>
      <c r="D263" s="603"/>
      <c r="E263" s="603"/>
      <c r="F263" s="450"/>
      <c r="G263" s="602"/>
      <c r="H263" s="603"/>
      <c r="I263" s="603"/>
      <c r="J263" s="603"/>
      <c r="K263" s="603"/>
      <c r="L263" s="603"/>
      <c r="M263" s="603"/>
      <c r="N263" s="603"/>
      <c r="O263" s="603"/>
      <c r="P263" s="514"/>
      <c r="Q263" s="602"/>
      <c r="R263" s="515"/>
      <c r="S263" s="602"/>
      <c r="T263" s="450"/>
      <c r="U263" s="452"/>
      <c r="V263" s="430"/>
    </row>
    <row r="264" spans="1:22" s="431" customFormat="1" x14ac:dyDescent="0.3">
      <c r="A264" s="449"/>
      <c r="B264" s="450" t="s">
        <v>120</v>
      </c>
      <c r="C264" s="450"/>
      <c r="D264" s="450"/>
      <c r="E264" s="450"/>
      <c r="F264" s="450"/>
      <c r="G264" s="450"/>
      <c r="H264" s="604"/>
      <c r="I264" s="604"/>
      <c r="J264" s="604"/>
      <c r="K264" s="604"/>
      <c r="L264" s="604"/>
      <c r="M264" s="604"/>
      <c r="N264" s="604"/>
      <c r="O264" s="604"/>
      <c r="P264" s="514">
        <f>SUM(P255:P263)</f>
        <v>26</v>
      </c>
      <c r="Q264" s="602">
        <f>SUM(Q255:Q263)</f>
        <v>1</v>
      </c>
      <c r="R264" s="515">
        <f>SUM(R255:R263)</f>
        <v>3983</v>
      </c>
      <c r="S264" s="602">
        <f>SUM(S255:S263)</f>
        <v>1</v>
      </c>
      <c r="T264" s="450"/>
      <c r="U264" s="452"/>
      <c r="V264" s="430"/>
    </row>
    <row r="265" spans="1:22" x14ac:dyDescent="0.3">
      <c r="A265" s="418"/>
      <c r="B265" s="516"/>
      <c r="C265" s="516"/>
      <c r="D265" s="516"/>
      <c r="E265" s="516"/>
      <c r="F265" s="516"/>
      <c r="G265" s="516"/>
      <c r="H265" s="608"/>
      <c r="I265" s="608"/>
      <c r="J265" s="608"/>
      <c r="K265" s="608"/>
      <c r="L265" s="608"/>
      <c r="M265" s="608"/>
      <c r="N265" s="608"/>
      <c r="O265" s="608"/>
      <c r="P265" s="517"/>
      <c r="Q265" s="609"/>
      <c r="R265" s="610"/>
      <c r="S265" s="609"/>
      <c r="T265" s="516"/>
      <c r="U265" s="639"/>
      <c r="V265" s="416"/>
    </row>
    <row r="266" spans="1:22" x14ac:dyDescent="0.3">
      <c r="A266" s="442"/>
      <c r="B266" s="521" t="s">
        <v>170</v>
      </c>
      <c r="C266" s="443"/>
      <c r="D266" s="443"/>
      <c r="E266" s="443"/>
      <c r="F266" s="443"/>
      <c r="G266" s="443"/>
      <c r="H266" s="611"/>
      <c r="I266" s="611"/>
      <c r="J266" s="611"/>
      <c r="K266" s="611"/>
      <c r="L266" s="611"/>
      <c r="M266" s="611"/>
      <c r="N266" s="611"/>
      <c r="O266" s="611"/>
      <c r="P266" s="566" t="s">
        <v>105</v>
      </c>
      <c r="Q266" s="522" t="s">
        <v>106</v>
      </c>
      <c r="R266" s="566" t="s">
        <v>114</v>
      </c>
      <c r="S266" s="522" t="s">
        <v>106</v>
      </c>
      <c r="T266" s="443"/>
      <c r="U266" s="446"/>
      <c r="V266" s="416"/>
    </row>
    <row r="267" spans="1:22" s="431" customFormat="1" x14ac:dyDescent="0.3">
      <c r="A267" s="432"/>
      <c r="B267" s="525" t="s">
        <v>91</v>
      </c>
      <c r="C267" s="447"/>
      <c r="D267" s="447"/>
      <c r="E267" s="447"/>
      <c r="F267" s="447"/>
      <c r="G267" s="447"/>
      <c r="H267" s="612"/>
      <c r="I267" s="612"/>
      <c r="J267" s="612"/>
      <c r="K267" s="612"/>
      <c r="L267" s="612"/>
      <c r="M267" s="612"/>
      <c r="N267" s="612"/>
      <c r="O267" s="612"/>
      <c r="P267" s="525">
        <v>0</v>
      </c>
      <c r="Q267" s="607">
        <v>0</v>
      </c>
      <c r="R267" s="526">
        <v>0</v>
      </c>
      <c r="S267" s="607">
        <v>0</v>
      </c>
      <c r="T267" s="447"/>
      <c r="U267" s="641"/>
      <c r="V267" s="430"/>
    </row>
    <row r="268" spans="1:22" s="431" customFormat="1" x14ac:dyDescent="0.3">
      <c r="A268" s="449"/>
      <c r="B268" s="514" t="s">
        <v>92</v>
      </c>
      <c r="C268" s="450"/>
      <c r="D268" s="450"/>
      <c r="E268" s="450"/>
      <c r="F268" s="450"/>
      <c r="G268" s="450"/>
      <c r="H268" s="604"/>
      <c r="I268" s="604"/>
      <c r="J268" s="604"/>
      <c r="K268" s="604"/>
      <c r="L268" s="604"/>
      <c r="M268" s="604"/>
      <c r="N268" s="604"/>
      <c r="O268" s="604"/>
      <c r="P268" s="514">
        <v>0</v>
      </c>
      <c r="Q268" s="602">
        <v>0</v>
      </c>
      <c r="R268" s="515">
        <v>0</v>
      </c>
      <c r="S268" s="602">
        <v>0</v>
      </c>
      <c r="T268" s="450"/>
      <c r="U268" s="452"/>
      <c r="V268" s="430"/>
    </row>
    <row r="269" spans="1:22" s="431" customFormat="1" x14ac:dyDescent="0.3">
      <c r="A269" s="449"/>
      <c r="B269" s="514" t="s">
        <v>93</v>
      </c>
      <c r="C269" s="450"/>
      <c r="D269" s="450"/>
      <c r="E269" s="450"/>
      <c r="F269" s="450"/>
      <c r="G269" s="450"/>
      <c r="H269" s="604"/>
      <c r="I269" s="604"/>
      <c r="J269" s="604"/>
      <c r="K269" s="604"/>
      <c r="L269" s="604"/>
      <c r="M269" s="604"/>
      <c r="N269" s="604"/>
      <c r="O269" s="604"/>
      <c r="P269" s="514">
        <v>0</v>
      </c>
      <c r="Q269" s="602">
        <v>0</v>
      </c>
      <c r="R269" s="515">
        <v>0</v>
      </c>
      <c r="S269" s="602">
        <v>0</v>
      </c>
      <c r="T269" s="450"/>
      <c r="U269" s="452"/>
      <c r="V269" s="430"/>
    </row>
    <row r="270" spans="1:22" s="431" customFormat="1" x14ac:dyDescent="0.3">
      <c r="A270" s="449"/>
      <c r="B270" s="514" t="s">
        <v>163</v>
      </c>
      <c r="C270" s="450"/>
      <c r="D270" s="450"/>
      <c r="E270" s="450"/>
      <c r="F270" s="450"/>
      <c r="G270" s="450"/>
      <c r="H270" s="604"/>
      <c r="I270" s="604"/>
      <c r="J270" s="604"/>
      <c r="K270" s="604"/>
      <c r="L270" s="604"/>
      <c r="M270" s="604"/>
      <c r="N270" s="604"/>
      <c r="O270" s="604"/>
      <c r="P270" s="514">
        <v>0</v>
      </c>
      <c r="Q270" s="602">
        <v>0</v>
      </c>
      <c r="R270" s="515">
        <v>0</v>
      </c>
      <c r="S270" s="602">
        <v>0</v>
      </c>
      <c r="T270" s="450"/>
      <c r="U270" s="452"/>
      <c r="V270" s="430"/>
    </row>
    <row r="271" spans="1:22" s="431" customFormat="1" x14ac:dyDescent="0.3">
      <c r="A271" s="449"/>
      <c r="B271" s="514" t="s">
        <v>164</v>
      </c>
      <c r="C271" s="450"/>
      <c r="D271" s="450"/>
      <c r="E271" s="450"/>
      <c r="F271" s="450"/>
      <c r="G271" s="450"/>
      <c r="H271" s="604"/>
      <c r="I271" s="604"/>
      <c r="J271" s="604"/>
      <c r="K271" s="604"/>
      <c r="L271" s="604"/>
      <c r="M271" s="604"/>
      <c r="N271" s="604"/>
      <c r="O271" s="604"/>
      <c r="P271" s="514">
        <v>0</v>
      </c>
      <c r="Q271" s="602">
        <v>0</v>
      </c>
      <c r="R271" s="515">
        <v>0</v>
      </c>
      <c r="S271" s="602">
        <v>0</v>
      </c>
      <c r="T271" s="450"/>
      <c r="U271" s="452"/>
      <c r="V271" s="430"/>
    </row>
    <row r="272" spans="1:22" s="431" customFormat="1" x14ac:dyDescent="0.3">
      <c r="A272" s="449"/>
      <c r="B272" s="514" t="s">
        <v>165</v>
      </c>
      <c r="C272" s="450"/>
      <c r="D272" s="450"/>
      <c r="E272" s="450"/>
      <c r="F272" s="450"/>
      <c r="G272" s="450"/>
      <c r="H272" s="604"/>
      <c r="I272" s="604"/>
      <c r="J272" s="604"/>
      <c r="K272" s="604"/>
      <c r="L272" s="604"/>
      <c r="M272" s="604"/>
      <c r="N272" s="604"/>
      <c r="O272" s="604"/>
      <c r="P272" s="514">
        <v>0</v>
      </c>
      <c r="Q272" s="602">
        <v>0</v>
      </c>
      <c r="R272" s="515">
        <v>0</v>
      </c>
      <c r="S272" s="602">
        <v>0</v>
      </c>
      <c r="T272" s="450"/>
      <c r="U272" s="452"/>
      <c r="V272" s="430"/>
    </row>
    <row r="273" spans="1:22" s="431" customFormat="1" x14ac:dyDescent="0.3">
      <c r="A273" s="449"/>
      <c r="B273" s="514" t="s">
        <v>166</v>
      </c>
      <c r="C273" s="450"/>
      <c r="D273" s="450"/>
      <c r="E273" s="450"/>
      <c r="F273" s="450"/>
      <c r="G273" s="450"/>
      <c r="H273" s="604"/>
      <c r="I273" s="604"/>
      <c r="J273" s="604"/>
      <c r="K273" s="604"/>
      <c r="L273" s="604"/>
      <c r="M273" s="604"/>
      <c r="N273" s="604"/>
      <c r="O273" s="604"/>
      <c r="P273" s="514">
        <v>0</v>
      </c>
      <c r="Q273" s="602">
        <v>0</v>
      </c>
      <c r="R273" s="515">
        <v>0</v>
      </c>
      <c r="S273" s="602">
        <v>0</v>
      </c>
      <c r="T273" s="450"/>
      <c r="U273" s="452"/>
      <c r="V273" s="430"/>
    </row>
    <row r="274" spans="1:22" s="431" customFormat="1" x14ac:dyDescent="0.3">
      <c r="A274" s="449"/>
      <c r="B274" s="514" t="s">
        <v>167</v>
      </c>
      <c r="C274" s="450"/>
      <c r="D274" s="450"/>
      <c r="E274" s="450"/>
      <c r="F274" s="450"/>
      <c r="G274" s="450"/>
      <c r="H274" s="604"/>
      <c r="I274" s="604"/>
      <c r="J274" s="604"/>
      <c r="K274" s="604"/>
      <c r="L274" s="604"/>
      <c r="M274" s="604"/>
      <c r="N274" s="604"/>
      <c r="O274" s="604"/>
      <c r="P274" s="514">
        <v>0</v>
      </c>
      <c r="Q274" s="602">
        <v>0</v>
      </c>
      <c r="R274" s="515">
        <v>0</v>
      </c>
      <c r="S274" s="602">
        <v>0</v>
      </c>
      <c r="T274" s="450"/>
      <c r="U274" s="452"/>
      <c r="V274" s="430"/>
    </row>
    <row r="275" spans="1:22" s="431" customFormat="1" x14ac:dyDescent="0.3">
      <c r="A275" s="449"/>
      <c r="B275" s="514"/>
      <c r="C275" s="450"/>
      <c r="D275" s="450"/>
      <c r="E275" s="450"/>
      <c r="F275" s="450"/>
      <c r="G275" s="450"/>
      <c r="H275" s="604"/>
      <c r="I275" s="604"/>
      <c r="J275" s="604"/>
      <c r="K275" s="604"/>
      <c r="L275" s="604"/>
      <c r="M275" s="604"/>
      <c r="N275" s="604"/>
      <c r="O275" s="604"/>
      <c r="P275" s="514"/>
      <c r="Q275" s="602"/>
      <c r="R275" s="515"/>
      <c r="S275" s="602"/>
      <c r="T275" s="450"/>
      <c r="U275" s="452"/>
      <c r="V275" s="430"/>
    </row>
    <row r="276" spans="1:22" s="431" customFormat="1" x14ac:dyDescent="0.3">
      <c r="A276" s="449"/>
      <c r="B276" s="450" t="s">
        <v>120</v>
      </c>
      <c r="C276" s="450"/>
      <c r="D276" s="450"/>
      <c r="E276" s="450"/>
      <c r="F276" s="450"/>
      <c r="G276" s="450"/>
      <c r="H276" s="604"/>
      <c r="I276" s="604"/>
      <c r="J276" s="604"/>
      <c r="K276" s="604"/>
      <c r="L276" s="604"/>
      <c r="M276" s="604"/>
      <c r="N276" s="604"/>
      <c r="O276" s="604"/>
      <c r="P276" s="514">
        <f>SUM(P267:P274)</f>
        <v>0</v>
      </c>
      <c r="Q276" s="602">
        <f>SUM(Q267:Q275)</f>
        <v>0</v>
      </c>
      <c r="R276" s="515">
        <f>SUM(R267:R274)</f>
        <v>0</v>
      </c>
      <c r="S276" s="602">
        <f>SUM(S267:S275)</f>
        <v>0</v>
      </c>
      <c r="T276" s="450"/>
      <c r="U276" s="452"/>
      <c r="V276" s="430"/>
    </row>
    <row r="277" spans="1:22" s="431" customFormat="1" x14ac:dyDescent="0.3">
      <c r="A277" s="449"/>
      <c r="B277" s="450"/>
      <c r="C277" s="450"/>
      <c r="D277" s="450"/>
      <c r="E277" s="450"/>
      <c r="F277" s="450"/>
      <c r="G277" s="450"/>
      <c r="H277" s="604"/>
      <c r="I277" s="604"/>
      <c r="J277" s="604"/>
      <c r="K277" s="604"/>
      <c r="L277" s="604"/>
      <c r="M277" s="604"/>
      <c r="N277" s="604"/>
      <c r="O277" s="604"/>
      <c r="P277" s="514"/>
      <c r="Q277" s="602"/>
      <c r="R277" s="515"/>
      <c r="S277" s="602"/>
      <c r="T277" s="450"/>
      <c r="U277" s="452"/>
      <c r="V277" s="430"/>
    </row>
    <row r="278" spans="1:22" s="431" customFormat="1" x14ac:dyDescent="0.3">
      <c r="A278" s="449"/>
      <c r="B278" s="455" t="s">
        <v>171</v>
      </c>
      <c r="C278" s="450"/>
      <c r="D278" s="450"/>
      <c r="E278" s="450"/>
      <c r="F278" s="450"/>
      <c r="G278" s="450"/>
      <c r="H278" s="604"/>
      <c r="I278" s="604"/>
      <c r="J278" s="604"/>
      <c r="K278" s="604"/>
      <c r="L278" s="604"/>
      <c r="M278" s="604"/>
      <c r="N278" s="604"/>
      <c r="O278" s="604"/>
      <c r="P278" s="613">
        <f>P276+P264+P252</f>
        <v>3036</v>
      </c>
      <c r="Q278" s="602"/>
      <c r="R278" s="614">
        <f>+R276+R264+R252</f>
        <v>388323</v>
      </c>
      <c r="S278" s="602"/>
      <c r="T278" s="450"/>
      <c r="U278" s="452"/>
      <c r="V278" s="430"/>
    </row>
    <row r="279" spans="1:22" s="431" customFormat="1" x14ac:dyDescent="0.3">
      <c r="A279" s="432"/>
      <c r="B279" s="447"/>
      <c r="C279" s="447"/>
      <c r="D279" s="447"/>
      <c r="E279" s="447"/>
      <c r="F279" s="447"/>
      <c r="G279" s="447"/>
      <c r="H279" s="612"/>
      <c r="I279" s="612"/>
      <c r="J279" s="612"/>
      <c r="K279" s="612"/>
      <c r="L279" s="612"/>
      <c r="M279" s="612"/>
      <c r="N279" s="612"/>
      <c r="O279" s="612"/>
      <c r="P279" s="612"/>
      <c r="Q279" s="612"/>
      <c r="R279" s="526"/>
      <c r="S279" s="612"/>
      <c r="T279" s="447"/>
      <c r="U279" s="641"/>
      <c r="V279" s="430"/>
    </row>
    <row r="280" spans="1:22" s="431" customFormat="1" x14ac:dyDescent="0.3">
      <c r="A280" s="432"/>
      <c r="B280" s="447"/>
      <c r="C280" s="433"/>
      <c r="D280" s="433"/>
      <c r="E280" s="433"/>
      <c r="F280" s="433"/>
      <c r="G280" s="433"/>
      <c r="H280" s="615"/>
      <c r="I280" s="615"/>
      <c r="J280" s="615"/>
      <c r="K280" s="615"/>
      <c r="L280" s="615"/>
      <c r="M280" s="615"/>
      <c r="N280" s="615"/>
      <c r="O280" s="615"/>
      <c r="P280" s="615"/>
      <c r="Q280" s="615"/>
      <c r="R280" s="616"/>
      <c r="S280" s="615"/>
      <c r="T280" s="433"/>
      <c r="U280" s="641"/>
      <c r="V280" s="430"/>
    </row>
    <row r="281" spans="1:22" s="431" customFormat="1" x14ac:dyDescent="0.3">
      <c r="A281" s="432"/>
      <c r="B281" s="428" t="s">
        <v>94</v>
      </c>
      <c r="C281" s="433"/>
      <c r="D281" s="433"/>
      <c r="E281" s="433"/>
      <c r="F281" s="437" t="s">
        <v>100</v>
      </c>
      <c r="G281" s="433"/>
      <c r="H281" s="428" t="s">
        <v>102</v>
      </c>
      <c r="I281" s="433"/>
      <c r="J281" s="433"/>
      <c r="K281" s="433"/>
      <c r="L281" s="433"/>
      <c r="M281" s="433"/>
      <c r="N281" s="433"/>
      <c r="O281" s="433"/>
      <c r="P281" s="433"/>
      <c r="Q281" s="433"/>
      <c r="R281" s="433"/>
      <c r="S281" s="433"/>
      <c r="T281" s="433"/>
      <c r="U281" s="641"/>
      <c r="V281" s="430"/>
    </row>
    <row r="282" spans="1:22" s="431" customFormat="1" x14ac:dyDescent="0.3">
      <c r="A282" s="432"/>
      <c r="B282" s="428" t="s">
        <v>317</v>
      </c>
      <c r="C282" s="428"/>
      <c r="D282" s="428"/>
      <c r="E282" s="428"/>
      <c r="F282" s="617" t="s">
        <v>269</v>
      </c>
      <c r="G282" s="428"/>
      <c r="H282" s="428" t="s">
        <v>357</v>
      </c>
      <c r="I282" s="433"/>
      <c r="J282" s="433"/>
      <c r="K282" s="433"/>
      <c r="L282" s="433"/>
      <c r="M282" s="433"/>
      <c r="N282" s="433"/>
      <c r="O282" s="433"/>
      <c r="P282" s="433"/>
      <c r="Q282" s="433"/>
      <c r="R282" s="433"/>
      <c r="S282" s="433"/>
      <c r="T282" s="433"/>
      <c r="U282" s="641"/>
      <c r="V282" s="430"/>
    </row>
    <row r="283" spans="1:22" s="431" customFormat="1" x14ac:dyDescent="0.3">
      <c r="A283" s="432"/>
      <c r="B283" s="428" t="s">
        <v>318</v>
      </c>
      <c r="C283" s="428"/>
      <c r="D283" s="428"/>
      <c r="E283" s="428"/>
      <c r="F283" s="617" t="s">
        <v>153</v>
      </c>
      <c r="G283" s="428"/>
      <c r="H283" s="428" t="s">
        <v>358</v>
      </c>
      <c r="I283" s="433"/>
      <c r="J283" s="433"/>
      <c r="K283" s="433"/>
      <c r="L283" s="433"/>
      <c r="M283" s="433"/>
      <c r="N283" s="433"/>
      <c r="O283" s="433"/>
      <c r="P283" s="433"/>
      <c r="Q283" s="433"/>
      <c r="R283" s="433"/>
      <c r="S283" s="433"/>
      <c r="T283" s="433"/>
      <c r="U283" s="641"/>
      <c r="V283" s="430"/>
    </row>
    <row r="284" spans="1:22" s="431" customFormat="1" x14ac:dyDescent="0.3">
      <c r="A284" s="432"/>
      <c r="B284" s="428"/>
      <c r="C284" s="428"/>
      <c r="D284" s="428"/>
      <c r="E284" s="428"/>
      <c r="F284" s="617"/>
      <c r="G284" s="428"/>
      <c r="H284" s="428"/>
      <c r="I284" s="433"/>
      <c r="J284" s="433"/>
      <c r="K284" s="433"/>
      <c r="L284" s="433"/>
      <c r="M284" s="433"/>
      <c r="N284" s="433"/>
      <c r="O284" s="433"/>
      <c r="P284" s="433"/>
      <c r="Q284" s="433"/>
      <c r="R284" s="433"/>
      <c r="S284" s="433"/>
      <c r="T284" s="433"/>
      <c r="U284" s="641"/>
      <c r="V284" s="430"/>
    </row>
    <row r="285" spans="1:22" s="431" customFormat="1" x14ac:dyDescent="0.3">
      <c r="A285" s="432"/>
      <c r="B285" s="447" t="s">
        <v>354</v>
      </c>
      <c r="C285" s="428"/>
      <c r="D285" s="428"/>
      <c r="E285" s="428"/>
      <c r="F285" s="617"/>
      <c r="G285" s="428"/>
      <c r="H285" s="428"/>
      <c r="I285" s="433"/>
      <c r="J285" s="433"/>
      <c r="K285" s="433"/>
      <c r="L285" s="433"/>
      <c r="M285" s="433"/>
      <c r="N285" s="433"/>
      <c r="O285" s="433"/>
      <c r="P285" s="433"/>
      <c r="Q285" s="433"/>
      <c r="R285" s="433"/>
      <c r="S285" s="433"/>
      <c r="T285" s="433"/>
      <c r="U285" s="641"/>
      <c r="V285" s="430"/>
    </row>
    <row r="286" spans="1:22" s="431" customFormat="1" x14ac:dyDescent="0.3">
      <c r="A286" s="432"/>
      <c r="B286" s="447" t="s">
        <v>359</v>
      </c>
      <c r="C286" s="428"/>
      <c r="D286" s="428"/>
      <c r="E286" s="428"/>
      <c r="F286" s="617"/>
      <c r="G286" s="428"/>
      <c r="H286" s="428"/>
      <c r="I286" s="433"/>
      <c r="J286" s="433"/>
      <c r="K286" s="433"/>
      <c r="L286" s="433"/>
      <c r="M286" s="433"/>
      <c r="N286" s="433"/>
      <c r="O286" s="433"/>
      <c r="P286" s="433"/>
      <c r="Q286" s="433"/>
      <c r="R286" s="433"/>
      <c r="S286" s="433"/>
      <c r="T286" s="433"/>
      <c r="U286" s="641"/>
      <c r="V286" s="430"/>
    </row>
    <row r="287" spans="1:22" s="431" customFormat="1" x14ac:dyDescent="0.3">
      <c r="A287" s="432"/>
      <c r="B287" s="447" t="s">
        <v>352</v>
      </c>
      <c r="C287" s="428"/>
      <c r="D287" s="428"/>
      <c r="E287" s="428"/>
      <c r="F287" s="617"/>
      <c r="G287" s="428"/>
      <c r="H287" s="428"/>
      <c r="I287" s="433"/>
      <c r="J287" s="433"/>
      <c r="K287" s="433"/>
      <c r="L287" s="433"/>
      <c r="M287" s="433"/>
      <c r="N287" s="433"/>
      <c r="O287" s="433"/>
      <c r="P287" s="433"/>
      <c r="Q287" s="433"/>
      <c r="R287" s="433"/>
      <c r="S287" s="433"/>
      <c r="T287" s="433"/>
      <c r="U287" s="641"/>
      <c r="V287" s="430"/>
    </row>
    <row r="288" spans="1:22" s="431" customFormat="1" x14ac:dyDescent="0.3">
      <c r="A288" s="432"/>
      <c r="B288" s="447" t="s">
        <v>351</v>
      </c>
      <c r="C288" s="428"/>
      <c r="D288" s="428"/>
      <c r="E288" s="428"/>
      <c r="F288" s="617"/>
      <c r="G288" s="428"/>
      <c r="H288" s="428"/>
      <c r="I288" s="433"/>
      <c r="J288" s="433"/>
      <c r="K288" s="433"/>
      <c r="L288" s="433"/>
      <c r="M288" s="433"/>
      <c r="N288" s="433"/>
      <c r="O288" s="433"/>
      <c r="P288" s="433"/>
      <c r="Q288" s="433"/>
      <c r="R288" s="433"/>
      <c r="S288" s="433"/>
      <c r="T288" s="433"/>
      <c r="U288" s="641"/>
      <c r="V288" s="430"/>
    </row>
    <row r="289" spans="1:22" x14ac:dyDescent="0.3">
      <c r="A289" s="418"/>
      <c r="B289" s="618"/>
      <c r="C289" s="619"/>
      <c r="D289" s="619"/>
      <c r="E289" s="619"/>
      <c r="F289" s="620"/>
      <c r="G289" s="619"/>
      <c r="H289" s="619"/>
      <c r="I289" s="621"/>
      <c r="J289" s="621"/>
      <c r="K289" s="621"/>
      <c r="L289" s="420"/>
      <c r="M289" s="420"/>
      <c r="N289" s="420"/>
      <c r="O289" s="420"/>
      <c r="P289" s="420"/>
      <c r="Q289" s="420"/>
      <c r="R289" s="420"/>
      <c r="S289" s="420"/>
      <c r="T289" s="420"/>
      <c r="U289" s="639"/>
      <c r="V289" s="416"/>
    </row>
    <row r="290" spans="1:22" ht="18" x14ac:dyDescent="0.35">
      <c r="A290" s="418"/>
      <c r="B290" s="622" t="s">
        <v>353</v>
      </c>
      <c r="C290" s="619"/>
      <c r="D290" s="619"/>
      <c r="E290" s="619"/>
      <c r="F290" s="619"/>
      <c r="G290" s="619"/>
      <c r="H290" s="621"/>
      <c r="I290" s="621"/>
      <c r="J290" s="621"/>
      <c r="K290" s="621"/>
      <c r="L290" s="420"/>
      <c r="M290" s="420"/>
      <c r="N290" s="623"/>
      <c r="O290" s="420"/>
      <c r="P290" s="624" t="s">
        <v>356</v>
      </c>
      <c r="Q290" s="420"/>
      <c r="R290" s="420"/>
      <c r="S290" s="420"/>
      <c r="T290" s="420"/>
      <c r="U290" s="639"/>
      <c r="V290" s="416"/>
    </row>
    <row r="291" spans="1:22" x14ac:dyDescent="0.3">
      <c r="A291" s="418"/>
      <c r="B291" s="619"/>
      <c r="C291" s="619"/>
      <c r="D291" s="619"/>
      <c r="E291" s="619"/>
      <c r="F291" s="619"/>
      <c r="G291" s="619"/>
      <c r="H291" s="621"/>
      <c r="I291" s="621"/>
      <c r="J291" s="621"/>
      <c r="K291" s="621"/>
      <c r="L291" s="420"/>
      <c r="M291" s="420"/>
      <c r="N291" s="420"/>
      <c r="O291" s="420"/>
      <c r="P291" s="420"/>
      <c r="Q291" s="420"/>
      <c r="R291" s="420"/>
      <c r="S291" s="420"/>
      <c r="T291" s="420"/>
      <c r="U291" s="639"/>
      <c r="V291" s="416"/>
    </row>
    <row r="292" spans="1:22" ht="18.600000000000001" thickBot="1" x14ac:dyDescent="0.4">
      <c r="A292" s="418"/>
      <c r="B292" s="625" t="str">
        <f>B192</f>
        <v>PM11 INVESTOR REPORT QUARTER ENDING DECEMBER 2018</v>
      </c>
      <c r="C292" s="619"/>
      <c r="D292" s="619"/>
      <c r="E292" s="619"/>
      <c r="F292" s="619"/>
      <c r="G292" s="619"/>
      <c r="H292" s="621"/>
      <c r="I292" s="621"/>
      <c r="J292" s="621"/>
      <c r="K292" s="621"/>
      <c r="L292" s="420"/>
      <c r="M292" s="420"/>
      <c r="N292" s="420"/>
      <c r="O292" s="420"/>
      <c r="P292" s="420"/>
      <c r="Q292" s="420"/>
      <c r="R292" s="420"/>
      <c r="S292" s="420"/>
      <c r="T292" s="420"/>
      <c r="U292" s="556"/>
      <c r="V292" s="416"/>
    </row>
    <row r="293" spans="1:22" x14ac:dyDescent="0.3">
      <c r="A293" s="626"/>
      <c r="B293" s="626"/>
      <c r="C293" s="626"/>
      <c r="D293" s="626"/>
      <c r="E293" s="626"/>
      <c r="F293" s="626"/>
      <c r="G293" s="626"/>
      <c r="H293" s="626"/>
      <c r="I293" s="626"/>
      <c r="J293" s="626"/>
      <c r="K293" s="626"/>
      <c r="L293" s="626"/>
      <c r="M293" s="626"/>
      <c r="N293" s="626"/>
      <c r="O293" s="626"/>
      <c r="P293" s="626"/>
      <c r="Q293" s="626"/>
      <c r="R293" s="626"/>
      <c r="S293" s="626"/>
      <c r="T293" s="626"/>
      <c r="U293" s="626"/>
    </row>
  </sheetData>
  <hyperlinks>
    <hyperlink ref="J9" r:id="rId1" display="http://www.paragon-group.co.uk" xr:uid="{00000000-0004-0000-3200-000000000000}"/>
    <hyperlink ref="P290" r:id="rId2" display="http://www.paragon-group.co.uk" xr:uid="{00000000-0004-0000-3200-000001000000}"/>
    <hyperlink ref="N228" r:id="rId3" display="http://www.paragon-group.co.uk" xr:uid="{00000000-0004-0000-3200-000002000000}"/>
  </hyperlinks>
  <printOptions horizontalCentered="1" verticalCentered="1"/>
  <pageMargins left="0.19685039370078741" right="0.19685039370078741" top="0.27559055118110237" bottom="0.27559055118110237" header="0" footer="0"/>
  <pageSetup scale="40" orientation="landscape" r:id="rId4"/>
  <headerFooter alignWithMargins="0"/>
  <rowBreaks count="3" manualBreakCount="3">
    <brk id="63" max="20" man="1"/>
    <brk id="132" max="20" man="1"/>
    <brk id="192" max="20" man="1"/>
  </rowBreaks>
  <drawing r:id="rId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2D2926"/>
  </sheetPr>
  <dimension ref="A1:X293"/>
  <sheetViews>
    <sheetView showGridLines="0" showOutlineSymbols="0" zoomScale="70" zoomScaleNormal="70" workbookViewId="0"/>
  </sheetViews>
  <sheetFormatPr defaultColWidth="9.81640625" defaultRowHeight="15.6" x14ac:dyDescent="0.3"/>
  <cols>
    <col min="1" max="1" width="4" style="417" customWidth="1"/>
    <col min="2" max="2" width="71.08984375" style="417" customWidth="1"/>
    <col min="3" max="3" width="2.08984375" style="417" customWidth="1"/>
    <col min="4" max="4" width="19.1796875" style="417" customWidth="1"/>
    <col min="5" max="5" width="2.08984375" style="417" customWidth="1"/>
    <col min="6" max="6" width="25.08984375" style="417" customWidth="1"/>
    <col min="7" max="7" width="2.08984375" style="417" customWidth="1"/>
    <col min="8" max="8" width="16.08984375" style="417" customWidth="1"/>
    <col min="9" max="9" width="2.08984375" style="417" customWidth="1"/>
    <col min="10" max="10" width="17.81640625" style="417" customWidth="1"/>
    <col min="11" max="11" width="2.1796875" style="417" customWidth="1"/>
    <col min="12" max="12" width="14.81640625" style="417" customWidth="1"/>
    <col min="13" max="13" width="2.1796875" style="417" customWidth="1"/>
    <col min="14" max="14" width="15.54296875" style="417" customWidth="1"/>
    <col min="15" max="15" width="2.08984375" style="417" customWidth="1"/>
    <col min="16" max="16" width="15.54296875" style="417" customWidth="1"/>
    <col min="17" max="18" width="12.81640625" style="417" customWidth="1"/>
    <col min="19" max="19" width="7.81640625" style="417" customWidth="1"/>
    <col min="20" max="20" width="14.81640625" style="417" customWidth="1"/>
    <col min="21" max="21" width="11.81640625" style="417" customWidth="1"/>
    <col min="22" max="16384" width="9.81640625" style="417"/>
  </cols>
  <sheetData>
    <row r="1" spans="1:22" ht="21" x14ac:dyDescent="0.4">
      <c r="A1" s="413"/>
      <c r="B1" s="414" t="s">
        <v>228</v>
      </c>
      <c r="C1" s="415"/>
      <c r="D1" s="415"/>
      <c r="E1" s="415"/>
      <c r="F1" s="415"/>
      <c r="G1" s="415"/>
      <c r="H1" s="415"/>
      <c r="I1" s="415"/>
      <c r="J1" s="415"/>
      <c r="K1" s="415"/>
      <c r="L1" s="415"/>
      <c r="M1" s="415"/>
      <c r="N1" s="415"/>
      <c r="O1" s="415"/>
      <c r="P1" s="415"/>
      <c r="Q1" s="415"/>
      <c r="R1" s="415"/>
      <c r="S1" s="415"/>
      <c r="T1" s="415"/>
      <c r="U1" s="638"/>
      <c r="V1" s="416"/>
    </row>
    <row r="2" spans="1:22" x14ac:dyDescent="0.3">
      <c r="A2" s="418"/>
      <c r="B2" s="419"/>
      <c r="C2" s="420"/>
      <c r="D2" s="420"/>
      <c r="E2" s="420"/>
      <c r="F2" s="420"/>
      <c r="G2" s="420"/>
      <c r="H2" s="420"/>
      <c r="I2" s="420"/>
      <c r="J2" s="420"/>
      <c r="K2" s="420"/>
      <c r="L2" s="420"/>
      <c r="M2" s="420"/>
      <c r="N2" s="420"/>
      <c r="O2" s="420"/>
      <c r="P2" s="420"/>
      <c r="Q2" s="420"/>
      <c r="R2" s="420"/>
      <c r="S2" s="420"/>
      <c r="T2" s="420"/>
      <c r="U2" s="639"/>
      <c r="V2" s="416"/>
    </row>
    <row r="3" spans="1:22" x14ac:dyDescent="0.3">
      <c r="A3" s="421"/>
      <c r="B3" s="422" t="s">
        <v>229</v>
      </c>
      <c r="C3" s="420"/>
      <c r="D3" s="420"/>
      <c r="E3" s="420"/>
      <c r="F3" s="420"/>
      <c r="G3" s="420"/>
      <c r="H3" s="420"/>
      <c r="I3" s="420"/>
      <c r="J3" s="420"/>
      <c r="K3" s="420"/>
      <c r="L3" s="420"/>
      <c r="M3" s="420"/>
      <c r="N3" s="420"/>
      <c r="O3" s="420"/>
      <c r="P3" s="420"/>
      <c r="Q3" s="420"/>
      <c r="R3" s="420"/>
      <c r="S3" s="420"/>
      <c r="T3" s="420"/>
      <c r="U3" s="639"/>
      <c r="V3" s="416"/>
    </row>
    <row r="4" spans="1:22" x14ac:dyDescent="0.3">
      <c r="A4" s="418"/>
      <c r="B4" s="419"/>
      <c r="C4" s="420"/>
      <c r="D4" s="420"/>
      <c r="E4" s="420"/>
      <c r="F4" s="420"/>
      <c r="G4" s="420"/>
      <c r="H4" s="420"/>
      <c r="I4" s="420"/>
      <c r="J4" s="420"/>
      <c r="K4" s="420"/>
      <c r="L4" s="420"/>
      <c r="M4" s="420"/>
      <c r="N4" s="420"/>
      <c r="O4" s="420"/>
      <c r="P4" s="420"/>
      <c r="Q4" s="420"/>
      <c r="R4" s="420"/>
      <c r="S4" s="420"/>
      <c r="T4" s="420"/>
      <c r="U4" s="639"/>
      <c r="V4" s="416"/>
    </row>
    <row r="5" spans="1:22" x14ac:dyDescent="0.3">
      <c r="A5" s="418"/>
      <c r="B5" s="423" t="s">
        <v>143</v>
      </c>
      <c r="C5" s="420"/>
      <c r="D5" s="420"/>
      <c r="E5" s="420"/>
      <c r="F5" s="420"/>
      <c r="G5" s="420"/>
      <c r="H5" s="420"/>
      <c r="I5" s="420"/>
      <c r="J5" s="420"/>
      <c r="K5" s="420"/>
      <c r="L5" s="420"/>
      <c r="M5" s="420"/>
      <c r="N5" s="420"/>
      <c r="O5" s="420"/>
      <c r="P5" s="420"/>
      <c r="Q5" s="420"/>
      <c r="R5" s="420"/>
      <c r="S5" s="420"/>
      <c r="T5" s="420"/>
      <c r="U5" s="639"/>
      <c r="V5" s="416"/>
    </row>
    <row r="6" spans="1:22" x14ac:dyDescent="0.3">
      <c r="A6" s="418"/>
      <c r="B6" s="423" t="s">
        <v>145</v>
      </c>
      <c r="C6" s="420"/>
      <c r="D6" s="420"/>
      <c r="E6" s="420"/>
      <c r="F6" s="420"/>
      <c r="G6" s="420"/>
      <c r="H6" s="420"/>
      <c r="I6" s="420"/>
      <c r="J6" s="420"/>
      <c r="K6" s="420"/>
      <c r="L6" s="420"/>
      <c r="M6" s="420"/>
      <c r="N6" s="420"/>
      <c r="O6" s="420"/>
      <c r="P6" s="420"/>
      <c r="Q6" s="420"/>
      <c r="R6" s="420"/>
      <c r="S6" s="420"/>
      <c r="T6" s="420"/>
      <c r="U6" s="639"/>
      <c r="V6" s="416"/>
    </row>
    <row r="7" spans="1:22" x14ac:dyDescent="0.3">
      <c r="A7" s="418"/>
      <c r="B7" s="423" t="s">
        <v>144</v>
      </c>
      <c r="C7" s="420"/>
      <c r="D7" s="420"/>
      <c r="E7" s="420"/>
      <c r="F7" s="420"/>
      <c r="G7" s="420"/>
      <c r="H7" s="420"/>
      <c r="I7" s="420"/>
      <c r="J7" s="420"/>
      <c r="K7" s="420"/>
      <c r="L7" s="420"/>
      <c r="M7" s="420"/>
      <c r="N7" s="420"/>
      <c r="O7" s="420"/>
      <c r="P7" s="420"/>
      <c r="Q7" s="420"/>
      <c r="R7" s="420"/>
      <c r="S7" s="420"/>
      <c r="T7" s="420"/>
      <c r="U7" s="639"/>
      <c r="V7" s="416"/>
    </row>
    <row r="8" spans="1:22" x14ac:dyDescent="0.3">
      <c r="A8" s="418"/>
      <c r="B8" s="424"/>
      <c r="C8" s="420"/>
      <c r="D8" s="420"/>
      <c r="E8" s="420"/>
      <c r="F8" s="420"/>
      <c r="G8" s="420"/>
      <c r="H8" s="420"/>
      <c r="I8" s="420"/>
      <c r="J8" s="420"/>
      <c r="K8" s="420"/>
      <c r="L8" s="420"/>
      <c r="M8" s="420"/>
      <c r="N8" s="420"/>
      <c r="O8" s="420"/>
      <c r="P8" s="420"/>
      <c r="Q8" s="420"/>
      <c r="R8" s="420"/>
      <c r="S8" s="420"/>
      <c r="T8" s="420"/>
      <c r="U8" s="639"/>
      <c r="V8" s="416"/>
    </row>
    <row r="9" spans="1:22" x14ac:dyDescent="0.3">
      <c r="A9" s="418"/>
      <c r="B9" s="422" t="s">
        <v>173</v>
      </c>
      <c r="C9" s="420"/>
      <c r="D9" s="420"/>
      <c r="E9" s="420"/>
      <c r="F9" s="420"/>
      <c r="G9" s="420"/>
      <c r="H9" s="420"/>
      <c r="I9" s="420"/>
      <c r="J9" s="425" t="s">
        <v>356</v>
      </c>
      <c r="K9" s="420"/>
      <c r="L9" s="426"/>
      <c r="M9" s="420"/>
      <c r="N9" s="420"/>
      <c r="O9" s="420"/>
      <c r="P9" s="420"/>
      <c r="Q9" s="420"/>
      <c r="R9" s="420"/>
      <c r="S9" s="420"/>
      <c r="T9" s="420"/>
      <c r="U9" s="639"/>
      <c r="V9" s="416"/>
    </row>
    <row r="10" spans="1:22" x14ac:dyDescent="0.3">
      <c r="A10" s="418"/>
      <c r="B10" s="424"/>
      <c r="C10" s="427"/>
      <c r="D10" s="427"/>
      <c r="E10" s="427"/>
      <c r="F10" s="420"/>
      <c r="G10" s="420"/>
      <c r="H10" s="420"/>
      <c r="I10" s="420"/>
      <c r="J10" s="420"/>
      <c r="K10" s="420"/>
      <c r="L10" s="420"/>
      <c r="M10" s="420"/>
      <c r="N10" s="420"/>
      <c r="O10" s="420"/>
      <c r="P10" s="420"/>
      <c r="Q10" s="420"/>
      <c r="R10" s="420"/>
      <c r="S10" s="420"/>
      <c r="T10" s="420"/>
      <c r="U10" s="639"/>
      <c r="V10" s="416"/>
    </row>
    <row r="11" spans="1:22" x14ac:dyDescent="0.3">
      <c r="A11" s="418"/>
      <c r="B11" s="428" t="s">
        <v>0</v>
      </c>
      <c r="C11" s="420"/>
      <c r="D11" s="420"/>
      <c r="E11" s="420"/>
      <c r="F11" s="420"/>
      <c r="G11" s="420"/>
      <c r="H11" s="420"/>
      <c r="I11" s="420"/>
      <c r="J11" s="420"/>
      <c r="K11" s="420"/>
      <c r="L11" s="420"/>
      <c r="M11" s="420"/>
      <c r="N11" s="420"/>
      <c r="O11" s="420"/>
      <c r="P11" s="420"/>
      <c r="Q11" s="420"/>
      <c r="R11" s="420"/>
      <c r="S11" s="420"/>
      <c r="T11" s="420"/>
      <c r="U11" s="639"/>
      <c r="V11" s="416"/>
    </row>
    <row r="12" spans="1:22" ht="16.2" thickBot="1" x14ac:dyDescent="0.35">
      <c r="A12" s="418"/>
      <c r="B12" s="427"/>
      <c r="C12" s="420"/>
      <c r="D12" s="420"/>
      <c r="E12" s="420"/>
      <c r="F12" s="420"/>
      <c r="G12" s="420"/>
      <c r="H12" s="420"/>
      <c r="I12" s="420"/>
      <c r="J12" s="420"/>
      <c r="K12" s="420"/>
      <c r="L12" s="420"/>
      <c r="M12" s="420"/>
      <c r="N12" s="420"/>
      <c r="O12" s="420"/>
      <c r="P12" s="420"/>
      <c r="Q12" s="420"/>
      <c r="R12" s="420"/>
      <c r="S12" s="420"/>
      <c r="T12" s="420"/>
      <c r="U12" s="639"/>
      <c r="V12" s="416"/>
    </row>
    <row r="13" spans="1:22" s="431" customFormat="1" x14ac:dyDescent="0.3">
      <c r="A13" s="413"/>
      <c r="B13" s="429"/>
      <c r="C13" s="429"/>
      <c r="D13" s="429"/>
      <c r="E13" s="429"/>
      <c r="F13" s="429"/>
      <c r="G13" s="429"/>
      <c r="H13" s="429"/>
      <c r="I13" s="429"/>
      <c r="J13" s="429"/>
      <c r="K13" s="429"/>
      <c r="L13" s="429"/>
      <c r="M13" s="429"/>
      <c r="N13" s="429"/>
      <c r="O13" s="429"/>
      <c r="P13" s="429"/>
      <c r="Q13" s="429"/>
      <c r="R13" s="429"/>
      <c r="S13" s="429"/>
      <c r="T13" s="429"/>
      <c r="U13" s="640"/>
      <c r="V13" s="430"/>
    </row>
    <row r="14" spans="1:22" s="431" customFormat="1" x14ac:dyDescent="0.3">
      <c r="A14" s="432"/>
      <c r="B14" s="428" t="s">
        <v>1</v>
      </c>
      <c r="C14" s="433"/>
      <c r="D14" s="433"/>
      <c r="E14" s="433"/>
      <c r="F14" s="433"/>
      <c r="G14" s="433"/>
      <c r="H14" s="433"/>
      <c r="I14" s="433"/>
      <c r="J14" s="433"/>
      <c r="K14" s="433"/>
      <c r="L14" s="433"/>
      <c r="M14" s="433"/>
      <c r="N14" s="433"/>
      <c r="O14" s="433"/>
      <c r="P14" s="433"/>
      <c r="Q14" s="433"/>
      <c r="R14" s="433"/>
      <c r="S14" s="433"/>
      <c r="T14" s="434" t="s">
        <v>230</v>
      </c>
      <c r="U14" s="641"/>
      <c r="V14" s="430"/>
    </row>
    <row r="15" spans="1:22" s="431" customFormat="1" x14ac:dyDescent="0.3">
      <c r="A15" s="432"/>
      <c r="B15" s="428" t="s">
        <v>2</v>
      </c>
      <c r="C15" s="433"/>
      <c r="D15" s="433"/>
      <c r="E15" s="433"/>
      <c r="F15" s="433"/>
      <c r="G15" s="433"/>
      <c r="H15" s="435"/>
      <c r="I15" s="435"/>
      <c r="J15" s="435"/>
      <c r="K15" s="435"/>
      <c r="L15" s="435"/>
      <c r="M15" s="435"/>
      <c r="N15" s="435"/>
      <c r="O15" s="435"/>
      <c r="P15" s="435" t="s">
        <v>107</v>
      </c>
      <c r="Q15" s="436">
        <v>0.40749999999999997</v>
      </c>
      <c r="R15" s="437" t="s">
        <v>146</v>
      </c>
      <c r="S15" s="436">
        <v>0.59250000000000003</v>
      </c>
      <c r="T15" s="434"/>
      <c r="U15" s="641"/>
      <c r="V15" s="430"/>
    </row>
    <row r="16" spans="1:22" s="431" customFormat="1" x14ac:dyDescent="0.3">
      <c r="A16" s="432"/>
      <c r="B16" s="428" t="s">
        <v>3</v>
      </c>
      <c r="C16" s="433"/>
      <c r="D16" s="433"/>
      <c r="E16" s="433"/>
      <c r="F16" s="433"/>
      <c r="G16" s="433"/>
      <c r="H16" s="435"/>
      <c r="I16" s="435"/>
      <c r="J16" s="435"/>
      <c r="K16" s="435"/>
      <c r="L16" s="435"/>
      <c r="M16" s="435"/>
      <c r="N16" s="435"/>
      <c r="O16" s="435"/>
      <c r="P16" s="435" t="s">
        <v>107</v>
      </c>
      <c r="Q16" s="436">
        <v>0.49419999999999997</v>
      </c>
      <c r="R16" s="437" t="s">
        <v>146</v>
      </c>
      <c r="S16" s="436">
        <v>0.50580000000000003</v>
      </c>
      <c r="T16" s="434"/>
      <c r="U16" s="641"/>
      <c r="V16" s="430"/>
    </row>
    <row r="17" spans="1:22" s="431" customFormat="1" x14ac:dyDescent="0.3">
      <c r="A17" s="432"/>
      <c r="B17" s="428" t="s">
        <v>4</v>
      </c>
      <c r="C17" s="433"/>
      <c r="D17" s="433"/>
      <c r="E17" s="433"/>
      <c r="F17" s="433"/>
      <c r="G17" s="433"/>
      <c r="H17" s="433"/>
      <c r="I17" s="433"/>
      <c r="J17" s="433"/>
      <c r="K17" s="433"/>
      <c r="L17" s="433"/>
      <c r="M17" s="433"/>
      <c r="N17" s="433"/>
      <c r="O17" s="433"/>
      <c r="P17" s="433"/>
      <c r="Q17" s="433"/>
      <c r="R17" s="433"/>
      <c r="S17" s="433"/>
      <c r="T17" s="438">
        <v>38799</v>
      </c>
      <c r="U17" s="641"/>
      <c r="V17" s="430"/>
    </row>
    <row r="18" spans="1:22" s="431" customFormat="1" x14ac:dyDescent="0.3">
      <c r="A18" s="432"/>
      <c r="B18" s="428" t="s">
        <v>5</v>
      </c>
      <c r="C18" s="433"/>
      <c r="D18" s="433"/>
      <c r="E18" s="433"/>
      <c r="F18" s="433"/>
      <c r="G18" s="433"/>
      <c r="H18" s="433"/>
      <c r="I18" s="433"/>
      <c r="J18" s="433"/>
      <c r="K18" s="433"/>
      <c r="L18" s="433"/>
      <c r="M18" s="433"/>
      <c r="N18" s="433"/>
      <c r="O18" s="433"/>
      <c r="P18" s="433"/>
      <c r="Q18" s="433"/>
      <c r="R18" s="433"/>
      <c r="S18" s="433"/>
      <c r="T18" s="438">
        <v>43573</v>
      </c>
      <c r="U18" s="641"/>
      <c r="V18" s="430"/>
    </row>
    <row r="19" spans="1:22" s="431" customFormat="1" x14ac:dyDescent="0.3">
      <c r="A19" s="432"/>
      <c r="B19" s="433"/>
      <c r="C19" s="433"/>
      <c r="D19" s="433"/>
      <c r="E19" s="433"/>
      <c r="F19" s="433"/>
      <c r="G19" s="433"/>
      <c r="H19" s="433"/>
      <c r="I19" s="433"/>
      <c r="J19" s="433"/>
      <c r="K19" s="433"/>
      <c r="L19" s="433"/>
      <c r="M19" s="433"/>
      <c r="N19" s="433"/>
      <c r="O19" s="433"/>
      <c r="P19" s="433"/>
      <c r="Q19" s="433"/>
      <c r="R19" s="433"/>
      <c r="S19" s="433"/>
      <c r="T19" s="439"/>
      <c r="U19" s="641"/>
      <c r="V19" s="430"/>
    </row>
    <row r="20" spans="1:22" s="431" customFormat="1" x14ac:dyDescent="0.3">
      <c r="A20" s="432"/>
      <c r="B20" s="440" t="s">
        <v>6</v>
      </c>
      <c r="C20" s="433"/>
      <c r="D20" s="433"/>
      <c r="E20" s="433"/>
      <c r="F20" s="433"/>
      <c r="G20" s="433"/>
      <c r="H20" s="433"/>
      <c r="I20" s="433"/>
      <c r="J20" s="433"/>
      <c r="K20" s="433"/>
      <c r="L20" s="433"/>
      <c r="M20" s="433"/>
      <c r="N20" s="433"/>
      <c r="O20" s="433"/>
      <c r="P20" s="433"/>
      <c r="Q20" s="433"/>
      <c r="R20" s="439" t="s">
        <v>108</v>
      </c>
      <c r="S20" s="433"/>
      <c r="T20" s="433"/>
      <c r="U20" s="641"/>
      <c r="V20" s="430"/>
    </row>
    <row r="21" spans="1:22" x14ac:dyDescent="0.3">
      <c r="A21" s="418"/>
      <c r="B21" s="420"/>
      <c r="C21" s="420"/>
      <c r="D21" s="420"/>
      <c r="E21" s="420"/>
      <c r="F21" s="420"/>
      <c r="G21" s="420"/>
      <c r="H21" s="420"/>
      <c r="I21" s="420"/>
      <c r="J21" s="420"/>
      <c r="K21" s="420"/>
      <c r="L21" s="420"/>
      <c r="M21" s="420"/>
      <c r="N21" s="420"/>
      <c r="O21" s="420"/>
      <c r="P21" s="420"/>
      <c r="Q21" s="420"/>
      <c r="R21" s="420"/>
      <c r="S21" s="420"/>
      <c r="T21" s="441"/>
      <c r="U21" s="639"/>
      <c r="V21" s="416"/>
    </row>
    <row r="22" spans="1:22" x14ac:dyDescent="0.3">
      <c r="A22" s="442"/>
      <c r="B22" s="443"/>
      <c r="C22" s="444"/>
      <c r="D22" s="444" t="s">
        <v>184</v>
      </c>
      <c r="E22" s="444"/>
      <c r="F22" s="444" t="s">
        <v>185</v>
      </c>
      <c r="G22" s="444"/>
      <c r="H22" s="444" t="s">
        <v>186</v>
      </c>
      <c r="I22" s="444"/>
      <c r="J22" s="444" t="s">
        <v>187</v>
      </c>
      <c r="K22" s="444"/>
      <c r="L22" s="444" t="s">
        <v>188</v>
      </c>
      <c r="M22" s="444"/>
      <c r="N22" s="444" t="s">
        <v>189</v>
      </c>
      <c r="O22" s="444"/>
      <c r="P22" s="444"/>
      <c r="Q22" s="445"/>
      <c r="R22" s="445"/>
      <c r="S22" s="443"/>
      <c r="T22" s="443"/>
      <c r="U22" s="446"/>
      <c r="V22" s="416"/>
    </row>
    <row r="23" spans="1:22" s="431" customFormat="1" x14ac:dyDescent="0.3">
      <c r="A23" s="432"/>
      <c r="B23" s="447" t="s">
        <v>7</v>
      </c>
      <c r="C23" s="448"/>
      <c r="D23" s="448" t="s">
        <v>222</v>
      </c>
      <c r="E23" s="448"/>
      <c r="F23" s="448" t="s">
        <v>147</v>
      </c>
      <c r="G23" s="448"/>
      <c r="H23" s="448" t="s">
        <v>147</v>
      </c>
      <c r="I23" s="448"/>
      <c r="J23" s="448" t="s">
        <v>190</v>
      </c>
      <c r="K23" s="448"/>
      <c r="L23" s="448" t="s">
        <v>190</v>
      </c>
      <c r="M23" s="448"/>
      <c r="N23" s="448" t="s">
        <v>148</v>
      </c>
      <c r="O23" s="448"/>
      <c r="P23" s="448"/>
      <c r="Q23" s="448"/>
      <c r="R23" s="448"/>
      <c r="S23" s="447"/>
      <c r="T23" s="447"/>
      <c r="U23" s="641"/>
      <c r="V23" s="430"/>
    </row>
    <row r="24" spans="1:22" s="431" customFormat="1" x14ac:dyDescent="0.3">
      <c r="A24" s="449"/>
      <c r="B24" s="450" t="s">
        <v>8</v>
      </c>
      <c r="C24" s="451"/>
      <c r="D24" s="451" t="s">
        <v>223</v>
      </c>
      <c r="E24" s="451"/>
      <c r="F24" s="451" t="s">
        <v>149</v>
      </c>
      <c r="G24" s="451"/>
      <c r="H24" s="451" t="s">
        <v>149</v>
      </c>
      <c r="I24" s="451"/>
      <c r="J24" s="451" t="s">
        <v>172</v>
      </c>
      <c r="K24" s="451"/>
      <c r="L24" s="451" t="s">
        <v>172</v>
      </c>
      <c r="M24" s="451"/>
      <c r="N24" s="451" t="s">
        <v>150</v>
      </c>
      <c r="O24" s="451"/>
      <c r="P24" s="451"/>
      <c r="Q24" s="451"/>
      <c r="R24" s="451"/>
      <c r="S24" s="450"/>
      <c r="T24" s="450"/>
      <c r="U24" s="452"/>
      <c r="V24" s="430"/>
    </row>
    <row r="25" spans="1:22" s="431" customFormat="1" x14ac:dyDescent="0.3">
      <c r="A25" s="453"/>
      <c r="B25" s="450" t="s">
        <v>198</v>
      </c>
      <c r="C25" s="454"/>
      <c r="D25" s="451" t="s">
        <v>224</v>
      </c>
      <c r="E25" s="451"/>
      <c r="F25" s="451" t="s">
        <v>149</v>
      </c>
      <c r="G25" s="451"/>
      <c r="H25" s="451" t="s">
        <v>149</v>
      </c>
      <c r="I25" s="451"/>
      <c r="J25" s="451" t="s">
        <v>172</v>
      </c>
      <c r="K25" s="451"/>
      <c r="L25" s="451" t="s">
        <v>172</v>
      </c>
      <c r="M25" s="451"/>
      <c r="N25" s="451" t="s">
        <v>150</v>
      </c>
      <c r="O25" s="451"/>
      <c r="P25" s="451"/>
      <c r="Q25" s="454"/>
      <c r="R25" s="451"/>
      <c r="S25" s="450"/>
      <c r="T25" s="450"/>
      <c r="U25" s="452"/>
      <c r="V25" s="430"/>
    </row>
    <row r="26" spans="1:22" s="431" customFormat="1" x14ac:dyDescent="0.3">
      <c r="A26" s="453"/>
      <c r="B26" s="455" t="s">
        <v>9</v>
      </c>
      <c r="C26" s="454"/>
      <c r="D26" s="454" t="s">
        <v>147</v>
      </c>
      <c r="E26" s="454"/>
      <c r="F26" s="454" t="s">
        <v>147</v>
      </c>
      <c r="G26" s="454"/>
      <c r="H26" s="454" t="s">
        <v>147</v>
      </c>
      <c r="I26" s="454"/>
      <c r="J26" s="454" t="s">
        <v>190</v>
      </c>
      <c r="K26" s="454"/>
      <c r="L26" s="454" t="s">
        <v>190</v>
      </c>
      <c r="M26" s="454"/>
      <c r="N26" s="454" t="s">
        <v>148</v>
      </c>
      <c r="O26" s="454"/>
      <c r="P26" s="454"/>
      <c r="Q26" s="454"/>
      <c r="R26" s="451"/>
      <c r="S26" s="450"/>
      <c r="T26" s="450"/>
      <c r="U26" s="452"/>
      <c r="V26" s="430"/>
    </row>
    <row r="27" spans="1:22" s="431" customFormat="1" x14ac:dyDescent="0.3">
      <c r="A27" s="449"/>
      <c r="B27" s="455" t="s">
        <v>199</v>
      </c>
      <c r="C27" s="451"/>
      <c r="D27" s="454" t="s">
        <v>149</v>
      </c>
      <c r="E27" s="454"/>
      <c r="F27" s="454" t="s">
        <v>149</v>
      </c>
      <c r="G27" s="454"/>
      <c r="H27" s="454" t="s">
        <v>149</v>
      </c>
      <c r="I27" s="454"/>
      <c r="J27" s="454" t="s">
        <v>345</v>
      </c>
      <c r="K27" s="454"/>
      <c r="L27" s="454" t="s">
        <v>345</v>
      </c>
      <c r="M27" s="454"/>
      <c r="N27" s="454" t="s">
        <v>346</v>
      </c>
      <c r="O27" s="454"/>
      <c r="P27" s="454"/>
      <c r="Q27" s="451"/>
      <c r="R27" s="456"/>
      <c r="S27" s="450"/>
      <c r="T27" s="450"/>
      <c r="U27" s="452"/>
      <c r="V27" s="430"/>
    </row>
    <row r="28" spans="1:22" s="431" customFormat="1" x14ac:dyDescent="0.3">
      <c r="A28" s="449"/>
      <c r="B28" s="455" t="s">
        <v>200</v>
      </c>
      <c r="C28" s="451"/>
      <c r="D28" s="454" t="s">
        <v>149</v>
      </c>
      <c r="E28" s="454"/>
      <c r="F28" s="454" t="s">
        <v>149</v>
      </c>
      <c r="G28" s="454"/>
      <c r="H28" s="454" t="s">
        <v>149</v>
      </c>
      <c r="I28" s="454"/>
      <c r="J28" s="454" t="s">
        <v>149</v>
      </c>
      <c r="K28" s="454"/>
      <c r="L28" s="454" t="s">
        <v>149</v>
      </c>
      <c r="M28" s="454"/>
      <c r="N28" s="454" t="s">
        <v>346</v>
      </c>
      <c r="O28" s="454"/>
      <c r="P28" s="454"/>
      <c r="Q28" s="451"/>
      <c r="R28" s="456"/>
      <c r="S28" s="450"/>
      <c r="T28" s="450"/>
      <c r="U28" s="452"/>
      <c r="V28" s="430"/>
    </row>
    <row r="29" spans="1:22" s="431" customFormat="1" x14ac:dyDescent="0.3">
      <c r="A29" s="449"/>
      <c r="B29" s="450" t="s">
        <v>10</v>
      </c>
      <c r="C29" s="457"/>
      <c r="D29" s="451" t="s">
        <v>237</v>
      </c>
      <c r="E29" s="451"/>
      <c r="F29" s="456" t="s">
        <v>238</v>
      </c>
      <c r="G29" s="451"/>
      <c r="H29" s="451" t="s">
        <v>239</v>
      </c>
      <c r="I29" s="451"/>
      <c r="J29" s="451" t="s">
        <v>240</v>
      </c>
      <c r="K29" s="451"/>
      <c r="L29" s="451" t="s">
        <v>241</v>
      </c>
      <c r="M29" s="451"/>
      <c r="N29" s="451" t="s">
        <v>242</v>
      </c>
      <c r="O29" s="451"/>
      <c r="P29" s="451"/>
      <c r="Q29" s="458"/>
      <c r="R29" s="458"/>
      <c r="S29" s="457"/>
      <c r="T29" s="458"/>
      <c r="U29" s="459"/>
      <c r="V29" s="430"/>
    </row>
    <row r="30" spans="1:22" s="431" customFormat="1" x14ac:dyDescent="0.3">
      <c r="A30" s="449"/>
      <c r="B30" s="450" t="s">
        <v>10</v>
      </c>
      <c r="C30" s="457"/>
      <c r="D30" s="451" t="s">
        <v>236</v>
      </c>
      <c r="E30" s="451"/>
      <c r="F30" s="456" t="s">
        <v>124</v>
      </c>
      <c r="G30" s="451"/>
      <c r="H30" s="451" t="s">
        <v>124</v>
      </c>
      <c r="I30" s="451"/>
      <c r="J30" s="451" t="s">
        <v>124</v>
      </c>
      <c r="K30" s="451"/>
      <c r="L30" s="451" t="s">
        <v>124</v>
      </c>
      <c r="M30" s="451"/>
      <c r="N30" s="451" t="s">
        <v>124</v>
      </c>
      <c r="O30" s="451"/>
      <c r="P30" s="451"/>
      <c r="Q30" s="458"/>
      <c r="R30" s="458"/>
      <c r="S30" s="457"/>
      <c r="T30" s="458"/>
      <c r="U30" s="459"/>
      <c r="V30" s="430"/>
    </row>
    <row r="31" spans="1:22" s="431" customFormat="1" x14ac:dyDescent="0.3">
      <c r="A31" s="453"/>
      <c r="B31" s="450" t="s">
        <v>139</v>
      </c>
      <c r="C31" s="460"/>
      <c r="D31" s="461">
        <v>985000</v>
      </c>
      <c r="E31" s="457"/>
      <c r="F31" s="458">
        <v>149500</v>
      </c>
      <c r="G31" s="458"/>
      <c r="H31" s="462">
        <v>219700</v>
      </c>
      <c r="I31" s="458"/>
      <c r="J31" s="458">
        <v>16000</v>
      </c>
      <c r="K31" s="458"/>
      <c r="L31" s="462">
        <v>82400</v>
      </c>
      <c r="M31" s="458"/>
      <c r="N31" s="462">
        <v>87500</v>
      </c>
      <c r="O31" s="458"/>
      <c r="P31" s="462"/>
      <c r="Q31" s="463"/>
      <c r="R31" s="463"/>
      <c r="S31" s="460"/>
      <c r="T31" s="463"/>
      <c r="U31" s="459"/>
      <c r="V31" s="430"/>
    </row>
    <row r="32" spans="1:22" s="431" customFormat="1" x14ac:dyDescent="0.3">
      <c r="A32" s="449"/>
      <c r="B32" s="450" t="s">
        <v>138</v>
      </c>
      <c r="C32" s="457"/>
      <c r="D32" s="464">
        <f>D38*D34</f>
        <v>186388.1026788</v>
      </c>
      <c r="E32" s="457"/>
      <c r="F32" s="458">
        <f>F38*F31</f>
        <v>49120.587100000004</v>
      </c>
      <c r="G32" s="458"/>
      <c r="H32" s="462">
        <f>H38*H31</f>
        <v>72185.906260000003</v>
      </c>
      <c r="I32" s="458"/>
      <c r="J32" s="458">
        <f>J31*J38</f>
        <v>12468.24</v>
      </c>
      <c r="K32" s="458"/>
      <c r="L32" s="462">
        <f>L31*L38</f>
        <v>64211.436000000002</v>
      </c>
      <c r="M32" s="458"/>
      <c r="N32" s="462">
        <f>N31*N38</f>
        <v>68185.6875</v>
      </c>
      <c r="O32" s="458"/>
      <c r="P32" s="462"/>
      <c r="Q32" s="458"/>
      <c r="R32" s="458"/>
      <c r="S32" s="457"/>
      <c r="T32" s="458"/>
      <c r="U32" s="459"/>
      <c r="V32" s="430"/>
    </row>
    <row r="33" spans="1:23" s="431" customFormat="1" x14ac:dyDescent="0.3">
      <c r="A33" s="449"/>
      <c r="B33" s="455" t="s">
        <v>140</v>
      </c>
      <c r="C33" s="457"/>
      <c r="D33" s="465">
        <f>D37*D34</f>
        <v>182495.41359480002</v>
      </c>
      <c r="E33" s="460"/>
      <c r="F33" s="463">
        <f>F37*F31</f>
        <v>48094.718099999998</v>
      </c>
      <c r="G33" s="463"/>
      <c r="H33" s="466">
        <f>H31*H37</f>
        <v>70678.324859999993</v>
      </c>
      <c r="I33" s="463"/>
      <c r="J33" s="463">
        <f>J31*J37</f>
        <v>12207.843199999999</v>
      </c>
      <c r="K33" s="463"/>
      <c r="L33" s="466">
        <f>L31*L37</f>
        <v>62870.392479999995</v>
      </c>
      <c r="M33" s="463"/>
      <c r="N33" s="466">
        <f>N31*N37</f>
        <v>66761.642500000002</v>
      </c>
      <c r="O33" s="463"/>
      <c r="P33" s="466"/>
      <c r="Q33" s="458"/>
      <c r="R33" s="458"/>
      <c r="S33" s="457"/>
      <c r="T33" s="458"/>
      <c r="U33" s="459"/>
      <c r="V33" s="430"/>
    </row>
    <row r="34" spans="1:23" s="431" customFormat="1" x14ac:dyDescent="0.3">
      <c r="A34" s="453"/>
      <c r="B34" s="450" t="s">
        <v>283</v>
      </c>
      <c r="C34" s="460"/>
      <c r="D34" s="458">
        <v>567282</v>
      </c>
      <c r="E34" s="457"/>
      <c r="F34" s="458">
        <v>149500</v>
      </c>
      <c r="G34" s="458"/>
      <c r="H34" s="458">
        <v>150716</v>
      </c>
      <c r="I34" s="458"/>
      <c r="J34" s="458">
        <v>16000</v>
      </c>
      <c r="K34" s="458"/>
      <c r="L34" s="458">
        <v>56527</v>
      </c>
      <c r="M34" s="458"/>
      <c r="N34" s="458">
        <v>60025</v>
      </c>
      <c r="O34" s="458"/>
      <c r="P34" s="458"/>
      <c r="Q34" s="463"/>
      <c r="R34" s="463"/>
      <c r="S34" s="460"/>
      <c r="T34" s="458">
        <f>SUM(C34:P34)</f>
        <v>1000050</v>
      </c>
      <c r="U34" s="459"/>
      <c r="V34" s="430"/>
    </row>
    <row r="35" spans="1:23" s="431" customFormat="1" x14ac:dyDescent="0.3">
      <c r="A35" s="453"/>
      <c r="B35" s="450" t="s">
        <v>284</v>
      </c>
      <c r="C35" s="460"/>
      <c r="D35" s="458">
        <f>D38*D34</f>
        <v>186388.1026788</v>
      </c>
      <c r="E35" s="457"/>
      <c r="F35" s="458">
        <f>F38*F34</f>
        <v>49120.587100000004</v>
      </c>
      <c r="G35" s="458"/>
      <c r="H35" s="458">
        <f>H38*H34</f>
        <v>49520.1231128</v>
      </c>
      <c r="I35" s="458"/>
      <c r="J35" s="458">
        <f>J34*J38</f>
        <v>12468.24</v>
      </c>
      <c r="K35" s="458"/>
      <c r="L35" s="458">
        <f>L34*L38</f>
        <v>44049.512654999999</v>
      </c>
      <c r="M35" s="458"/>
      <c r="N35" s="458">
        <f>N34*N38</f>
        <v>46775.381625000002</v>
      </c>
      <c r="O35" s="458"/>
      <c r="P35" s="458"/>
      <c r="Q35" s="458"/>
      <c r="R35" s="458"/>
      <c r="S35" s="457"/>
      <c r="T35" s="458">
        <f>SUM(C35:P35)+1</f>
        <v>388322.94717160001</v>
      </c>
      <c r="U35" s="459"/>
      <c r="V35" s="430"/>
    </row>
    <row r="36" spans="1:23" s="431" customFormat="1" x14ac:dyDescent="0.3">
      <c r="A36" s="453"/>
      <c r="B36" s="455" t="s">
        <v>285</v>
      </c>
      <c r="C36" s="460"/>
      <c r="D36" s="463">
        <f>D37*D34</f>
        <v>182495.41359480002</v>
      </c>
      <c r="E36" s="460"/>
      <c r="F36" s="463">
        <f>F37*F34</f>
        <v>48094.718099999998</v>
      </c>
      <c r="G36" s="463"/>
      <c r="H36" s="463">
        <f>H37*H34</f>
        <v>48485.909920799997</v>
      </c>
      <c r="I36" s="463"/>
      <c r="J36" s="463">
        <f>J37*J34</f>
        <v>12207.843199999999</v>
      </c>
      <c r="K36" s="463"/>
      <c r="L36" s="463">
        <f>L37*L34</f>
        <v>43129.547035399999</v>
      </c>
      <c r="M36" s="463"/>
      <c r="N36" s="463">
        <f>N37*N34</f>
        <v>45798.486754999998</v>
      </c>
      <c r="O36" s="463"/>
      <c r="P36" s="463"/>
      <c r="Q36" s="467"/>
      <c r="R36" s="467"/>
      <c r="S36" s="457"/>
      <c r="T36" s="463">
        <f>SUM(C36:P36)+1</f>
        <v>380212.91860600002</v>
      </c>
      <c r="U36" s="459"/>
      <c r="V36" s="430"/>
    </row>
    <row r="37" spans="1:23" x14ac:dyDescent="0.3">
      <c r="A37" s="468"/>
      <c r="B37" s="469" t="s">
        <v>136</v>
      </c>
      <c r="C37" s="470"/>
      <c r="D37" s="471">
        <v>0.32170140000000003</v>
      </c>
      <c r="E37" s="472"/>
      <c r="F37" s="471">
        <v>0.32170379999999998</v>
      </c>
      <c r="G37" s="473"/>
      <c r="H37" s="471">
        <v>0.32170379999999998</v>
      </c>
      <c r="I37" s="473"/>
      <c r="J37" s="471">
        <v>0.76299019999999995</v>
      </c>
      <c r="K37" s="473"/>
      <c r="L37" s="471">
        <v>0.76299019999999995</v>
      </c>
      <c r="M37" s="473"/>
      <c r="N37" s="471">
        <v>0.76299019999999995</v>
      </c>
      <c r="O37" s="474"/>
      <c r="P37" s="474"/>
      <c r="Q37" s="475"/>
      <c r="R37" s="475"/>
      <c r="S37" s="470"/>
      <c r="T37" s="470"/>
      <c r="U37" s="476"/>
      <c r="V37" s="416"/>
      <c r="W37" s="477"/>
    </row>
    <row r="38" spans="1:23" x14ac:dyDescent="0.3">
      <c r="A38" s="468"/>
      <c r="B38" s="470" t="s">
        <v>137</v>
      </c>
      <c r="C38" s="470"/>
      <c r="D38" s="478">
        <v>0.32856340000000001</v>
      </c>
      <c r="E38" s="479"/>
      <c r="F38" s="478">
        <v>0.32856580000000002</v>
      </c>
      <c r="G38" s="480"/>
      <c r="H38" s="478">
        <v>0.32856580000000002</v>
      </c>
      <c r="I38" s="480"/>
      <c r="J38" s="478">
        <v>0.77926499999999999</v>
      </c>
      <c r="K38" s="480"/>
      <c r="L38" s="478">
        <v>0.77926499999999999</v>
      </c>
      <c r="M38" s="480"/>
      <c r="N38" s="478">
        <v>0.77926499999999999</v>
      </c>
      <c r="O38" s="474"/>
      <c r="P38" s="474"/>
      <c r="Q38" s="481"/>
      <c r="R38" s="482"/>
      <c r="S38" s="470"/>
      <c r="T38" s="481"/>
      <c r="U38" s="476"/>
      <c r="V38" s="416"/>
    </row>
    <row r="39" spans="1:23" s="431" customFormat="1" x14ac:dyDescent="0.3">
      <c r="A39" s="449"/>
      <c r="B39" s="450" t="s">
        <v>11</v>
      </c>
      <c r="C39" s="450"/>
      <c r="D39" s="456" t="s">
        <v>275</v>
      </c>
      <c r="E39" s="450"/>
      <c r="F39" s="456" t="s">
        <v>232</v>
      </c>
      <c r="G39" s="456"/>
      <c r="H39" s="456" t="s">
        <v>232</v>
      </c>
      <c r="I39" s="456"/>
      <c r="J39" s="456" t="s">
        <v>234</v>
      </c>
      <c r="K39" s="456"/>
      <c r="L39" s="456" t="s">
        <v>234</v>
      </c>
      <c r="M39" s="456"/>
      <c r="N39" s="456" t="s">
        <v>235</v>
      </c>
      <c r="O39" s="456"/>
      <c r="P39" s="456"/>
      <c r="Q39" s="483"/>
      <c r="R39" s="484"/>
      <c r="S39" s="450"/>
      <c r="T39" s="450"/>
      <c r="U39" s="452"/>
      <c r="V39" s="430"/>
    </row>
    <row r="40" spans="1:23" s="431" customFormat="1" x14ac:dyDescent="0.3">
      <c r="A40" s="449"/>
      <c r="B40" s="450" t="s">
        <v>12</v>
      </c>
      <c r="C40" s="450"/>
      <c r="D40" s="484">
        <v>1.0279399999999999E-2</v>
      </c>
      <c r="E40" s="450"/>
      <c r="F40" s="484">
        <v>1.16794E-2</v>
      </c>
      <c r="G40" s="483"/>
      <c r="H40" s="484">
        <v>0</v>
      </c>
      <c r="I40" s="483"/>
      <c r="J40" s="484">
        <v>1.4079400000000001E-2</v>
      </c>
      <c r="K40" s="483"/>
      <c r="L40" s="484">
        <v>1.72E-3</v>
      </c>
      <c r="M40" s="483"/>
      <c r="N40" s="484">
        <v>5.9199999999999999E-3</v>
      </c>
      <c r="O40" s="483"/>
      <c r="P40" s="484"/>
      <c r="Q40" s="483"/>
      <c r="R40" s="484"/>
      <c r="S40" s="450"/>
      <c r="T40" s="456"/>
      <c r="U40" s="452"/>
      <c r="V40" s="430"/>
    </row>
    <row r="41" spans="1:23" s="431" customFormat="1" x14ac:dyDescent="0.3">
      <c r="A41" s="449"/>
      <c r="B41" s="450" t="s">
        <v>13</v>
      </c>
      <c r="C41" s="450"/>
      <c r="D41" s="484">
        <v>9.1287999999999994E-3</v>
      </c>
      <c r="E41" s="450"/>
      <c r="F41" s="484">
        <v>1.05288E-2</v>
      </c>
      <c r="G41" s="483"/>
      <c r="H41" s="484">
        <v>0</v>
      </c>
      <c r="I41" s="483"/>
      <c r="J41" s="484">
        <v>1.2928800000000001E-2</v>
      </c>
      <c r="K41" s="483"/>
      <c r="L41" s="484">
        <v>1.6199999999999999E-3</v>
      </c>
      <c r="M41" s="483"/>
      <c r="N41" s="484">
        <v>5.8199999999999997E-3</v>
      </c>
      <c r="O41" s="483"/>
      <c r="P41" s="484"/>
      <c r="Q41" s="483"/>
      <c r="R41" s="484"/>
      <c r="S41" s="450"/>
      <c r="T41" s="483" t="s">
        <v>201</v>
      </c>
      <c r="U41" s="452"/>
      <c r="V41" s="430"/>
    </row>
    <row r="42" spans="1:23" s="431" customFormat="1" x14ac:dyDescent="0.3">
      <c r="A42" s="449"/>
      <c r="B42" s="450" t="s">
        <v>286</v>
      </c>
      <c r="C42" s="450"/>
      <c r="D42" s="456" t="s">
        <v>275</v>
      </c>
      <c r="E42" s="450"/>
      <c r="F42" s="456" t="s">
        <v>232</v>
      </c>
      <c r="G42" s="456"/>
      <c r="H42" s="456" t="s">
        <v>232</v>
      </c>
      <c r="I42" s="456"/>
      <c r="J42" s="456" t="s">
        <v>234</v>
      </c>
      <c r="K42" s="456"/>
      <c r="L42" s="456" t="s">
        <v>245</v>
      </c>
      <c r="M42" s="456"/>
      <c r="N42" s="456" t="s">
        <v>247</v>
      </c>
      <c r="O42" s="456"/>
      <c r="P42" s="456"/>
      <c r="Q42" s="483"/>
      <c r="R42" s="484"/>
      <c r="S42" s="450"/>
      <c r="T42" s="450"/>
      <c r="U42" s="452"/>
      <c r="V42" s="430"/>
    </row>
    <row r="43" spans="1:23" s="431" customFormat="1" x14ac:dyDescent="0.3">
      <c r="A43" s="449"/>
      <c r="B43" s="450" t="s">
        <v>287</v>
      </c>
      <c r="C43" s="485"/>
      <c r="D43" s="484">
        <f>+D40</f>
        <v>1.0279399999999999E-2</v>
      </c>
      <c r="E43" s="484"/>
      <c r="F43" s="484">
        <f>+F40</f>
        <v>1.16794E-2</v>
      </c>
      <c r="G43" s="484"/>
      <c r="H43" s="484">
        <v>1.1675400000000001E-2</v>
      </c>
      <c r="I43" s="484"/>
      <c r="J43" s="484">
        <f>+J40</f>
        <v>1.4079400000000001E-2</v>
      </c>
      <c r="K43" s="484"/>
      <c r="L43" s="484">
        <v>1.43854E-2</v>
      </c>
      <c r="M43" s="484"/>
      <c r="N43" s="484">
        <v>1.9089399999999999E-2</v>
      </c>
      <c r="O43" s="483"/>
      <c r="P43" s="484"/>
      <c r="Q43" s="456"/>
      <c r="R43" s="456"/>
      <c r="S43" s="450"/>
      <c r="T43" s="483">
        <f>SUMPRODUCT(D43:N43,D35:N35)/T35</f>
        <v>1.228346997101629E-2</v>
      </c>
      <c r="U43" s="452"/>
      <c r="V43" s="430"/>
    </row>
    <row r="44" spans="1:23" s="431" customFormat="1" x14ac:dyDescent="0.3">
      <c r="A44" s="449"/>
      <c r="B44" s="450" t="s">
        <v>288</v>
      </c>
      <c r="C44" s="485"/>
      <c r="D44" s="484">
        <v>9.1287999999999994E-3</v>
      </c>
      <c r="E44" s="484"/>
      <c r="F44" s="484">
        <v>1.05288E-2</v>
      </c>
      <c r="G44" s="484"/>
      <c r="H44" s="484">
        <v>1.0524800000000001E-2</v>
      </c>
      <c r="I44" s="484"/>
      <c r="J44" s="484">
        <v>1.2928800000000001E-2</v>
      </c>
      <c r="K44" s="484"/>
      <c r="L44" s="484">
        <v>1.32348E-2</v>
      </c>
      <c r="M44" s="484"/>
      <c r="N44" s="484">
        <v>1.7938800000000001E-2</v>
      </c>
      <c r="O44" s="483"/>
      <c r="P44" s="484"/>
      <c r="Q44" s="456"/>
      <c r="R44" s="456"/>
      <c r="S44" s="450"/>
      <c r="T44" s="450"/>
      <c r="U44" s="452"/>
      <c r="V44" s="430"/>
    </row>
    <row r="45" spans="1:23" s="431" customFormat="1" x14ac:dyDescent="0.3">
      <c r="A45" s="449"/>
      <c r="B45" s="450" t="s">
        <v>14</v>
      </c>
      <c r="C45" s="450"/>
      <c r="D45" s="485">
        <v>40283</v>
      </c>
      <c r="E45" s="485"/>
      <c r="F45" s="485">
        <v>40283</v>
      </c>
      <c r="G45" s="485"/>
      <c r="H45" s="485">
        <v>40283</v>
      </c>
      <c r="I45" s="485"/>
      <c r="J45" s="485">
        <v>40283</v>
      </c>
      <c r="K45" s="485"/>
      <c r="L45" s="485">
        <v>40283</v>
      </c>
      <c r="M45" s="485"/>
      <c r="N45" s="485">
        <v>40283</v>
      </c>
      <c r="O45" s="485"/>
      <c r="P45" s="485"/>
      <c r="Q45" s="456"/>
      <c r="R45" s="456"/>
      <c r="S45" s="450"/>
      <c r="T45" s="450"/>
      <c r="U45" s="452"/>
      <c r="V45" s="430"/>
    </row>
    <row r="46" spans="1:23" s="431" customFormat="1" x14ac:dyDescent="0.3">
      <c r="A46" s="449"/>
      <c r="B46" s="450" t="s">
        <v>15</v>
      </c>
      <c r="C46" s="450"/>
      <c r="D46" s="485">
        <v>40648</v>
      </c>
      <c r="E46" s="485"/>
      <c r="F46" s="485">
        <v>40648</v>
      </c>
      <c r="G46" s="485"/>
      <c r="H46" s="485">
        <v>40648</v>
      </c>
      <c r="I46" s="456"/>
      <c r="J46" s="485">
        <v>40648</v>
      </c>
      <c r="K46" s="456"/>
      <c r="L46" s="485">
        <v>40648</v>
      </c>
      <c r="M46" s="456"/>
      <c r="N46" s="485">
        <v>40648</v>
      </c>
      <c r="O46" s="456"/>
      <c r="P46" s="485"/>
      <c r="Q46" s="456"/>
      <c r="R46" s="456"/>
      <c r="S46" s="450"/>
      <c r="T46" s="450"/>
      <c r="U46" s="452"/>
      <c r="V46" s="430"/>
    </row>
    <row r="47" spans="1:23" s="431" customFormat="1" x14ac:dyDescent="0.3">
      <c r="A47" s="449"/>
      <c r="B47" s="450" t="s">
        <v>125</v>
      </c>
      <c r="C47" s="450"/>
      <c r="D47" s="456" t="s">
        <v>124</v>
      </c>
      <c r="E47" s="450"/>
      <c r="F47" s="456" t="s">
        <v>232</v>
      </c>
      <c r="G47" s="456"/>
      <c r="H47" s="456" t="s">
        <v>232</v>
      </c>
      <c r="I47" s="456"/>
      <c r="J47" s="456" t="s">
        <v>234</v>
      </c>
      <c r="K47" s="456"/>
      <c r="L47" s="456" t="s">
        <v>234</v>
      </c>
      <c r="M47" s="456"/>
      <c r="N47" s="456" t="s">
        <v>235</v>
      </c>
      <c r="O47" s="456"/>
      <c r="P47" s="456"/>
      <c r="Q47" s="486"/>
      <c r="R47" s="486"/>
      <c r="S47" s="486"/>
      <c r="T47" s="486"/>
      <c r="U47" s="452"/>
      <c r="V47" s="430"/>
    </row>
    <row r="48" spans="1:23" s="431" customFormat="1" x14ac:dyDescent="0.3">
      <c r="A48" s="449"/>
      <c r="B48" s="450" t="s">
        <v>289</v>
      </c>
      <c r="C48" s="450"/>
      <c r="D48" s="456" t="s">
        <v>124</v>
      </c>
      <c r="E48" s="450"/>
      <c r="F48" s="456" t="s">
        <v>232</v>
      </c>
      <c r="G48" s="456"/>
      <c r="H48" s="456" t="s">
        <v>232</v>
      </c>
      <c r="I48" s="456"/>
      <c r="J48" s="456" t="s">
        <v>234</v>
      </c>
      <c r="K48" s="456"/>
      <c r="L48" s="456" t="s">
        <v>245</v>
      </c>
      <c r="M48" s="456"/>
      <c r="N48" s="456" t="s">
        <v>247</v>
      </c>
      <c r="O48" s="456"/>
      <c r="P48" s="456"/>
      <c r="Q48" s="450"/>
      <c r="R48" s="450"/>
      <c r="S48" s="450"/>
      <c r="T48" s="483"/>
      <c r="U48" s="452"/>
      <c r="V48" s="430"/>
    </row>
    <row r="49" spans="1:23" s="431" customFormat="1" x14ac:dyDescent="0.3">
      <c r="A49" s="449"/>
      <c r="B49" s="450"/>
      <c r="C49" s="450"/>
      <c r="D49" s="456"/>
      <c r="E49" s="450"/>
      <c r="F49" s="456"/>
      <c r="G49" s="456"/>
      <c r="H49" s="456"/>
      <c r="I49" s="456"/>
      <c r="J49" s="456"/>
      <c r="K49" s="456"/>
      <c r="L49" s="456"/>
      <c r="M49" s="456"/>
      <c r="N49" s="456"/>
      <c r="O49" s="456"/>
      <c r="P49" s="456"/>
      <c r="Q49" s="450"/>
      <c r="R49" s="450"/>
      <c r="S49" s="450"/>
      <c r="T49" s="483" t="s">
        <v>201</v>
      </c>
      <c r="U49" s="452"/>
      <c r="V49" s="430"/>
    </row>
    <row r="50" spans="1:23" s="431" customFormat="1" x14ac:dyDescent="0.3">
      <c r="A50" s="449"/>
      <c r="B50" s="450" t="s">
        <v>176</v>
      </c>
      <c r="C50" s="450"/>
      <c r="D50" s="456"/>
      <c r="E50" s="450"/>
      <c r="F50" s="456"/>
      <c r="G50" s="456"/>
      <c r="H50" s="456"/>
      <c r="I50" s="456"/>
      <c r="J50" s="456"/>
      <c r="K50" s="456"/>
      <c r="L50" s="456"/>
      <c r="M50" s="456"/>
      <c r="N50" s="456"/>
      <c r="O50" s="456"/>
      <c r="P50" s="456"/>
      <c r="Q50" s="450"/>
      <c r="R50" s="450"/>
      <c r="S50" s="450"/>
      <c r="T50" s="483">
        <f>SUM(J34:P34)/SUM(D34:H34)</f>
        <v>0.15279804679664968</v>
      </c>
      <c r="U50" s="452"/>
      <c r="V50" s="430"/>
    </row>
    <row r="51" spans="1:23" s="431" customFormat="1" x14ac:dyDescent="0.3">
      <c r="A51" s="449"/>
      <c r="B51" s="450" t="s">
        <v>177</v>
      </c>
      <c r="C51" s="450"/>
      <c r="D51" s="450"/>
      <c r="E51" s="450"/>
      <c r="F51" s="487"/>
      <c r="G51" s="450"/>
      <c r="H51" s="450"/>
      <c r="I51" s="450"/>
      <c r="J51" s="450"/>
      <c r="K51" s="450"/>
      <c r="L51" s="450"/>
      <c r="M51" s="450"/>
      <c r="N51" s="450"/>
      <c r="O51" s="450"/>
      <c r="P51" s="450"/>
      <c r="Q51" s="450"/>
      <c r="R51" s="450"/>
      <c r="S51" s="450"/>
      <c r="T51" s="483">
        <f>SUM(J36:P36)/SUM(D36:H36)</f>
        <v>0.36239541167673861</v>
      </c>
      <c r="U51" s="452"/>
      <c r="V51" s="430"/>
    </row>
    <row r="52" spans="1:23" s="431" customFormat="1" x14ac:dyDescent="0.3">
      <c r="A52" s="449"/>
      <c r="B52" s="450" t="s">
        <v>178</v>
      </c>
      <c r="C52" s="450"/>
      <c r="D52" s="450"/>
      <c r="E52" s="450"/>
      <c r="F52" s="450"/>
      <c r="G52" s="450"/>
      <c r="H52" s="450"/>
      <c r="I52" s="450"/>
      <c r="J52" s="450"/>
      <c r="K52" s="450"/>
      <c r="L52" s="450"/>
      <c r="M52" s="450"/>
      <c r="N52" s="450"/>
      <c r="O52" s="450"/>
      <c r="P52" s="450"/>
      <c r="Q52" s="450"/>
      <c r="R52" s="456" t="s">
        <v>109</v>
      </c>
      <c r="S52" s="456" t="s">
        <v>115</v>
      </c>
      <c r="T52" s="458">
        <f>+T34/2-SUM(J34:P34)</f>
        <v>367473</v>
      </c>
      <c r="U52" s="452"/>
      <c r="V52" s="430"/>
    </row>
    <row r="53" spans="1:23" s="431" customFormat="1" x14ac:dyDescent="0.3">
      <c r="A53" s="449"/>
      <c r="B53" s="450"/>
      <c r="C53" s="450"/>
      <c r="D53" s="450"/>
      <c r="E53" s="450"/>
      <c r="F53" s="450"/>
      <c r="G53" s="450"/>
      <c r="H53" s="450"/>
      <c r="I53" s="450"/>
      <c r="J53" s="450"/>
      <c r="K53" s="450"/>
      <c r="L53" s="450"/>
      <c r="M53" s="450"/>
      <c r="N53" s="450"/>
      <c r="O53" s="450"/>
      <c r="P53" s="450"/>
      <c r="Q53" s="450"/>
      <c r="R53" s="450"/>
      <c r="S53" s="450"/>
      <c r="T53" s="488"/>
      <c r="U53" s="452"/>
      <c r="V53" s="430"/>
    </row>
    <row r="54" spans="1:23" s="431" customFormat="1" x14ac:dyDescent="0.3">
      <c r="A54" s="449"/>
      <c r="B54" s="450" t="s">
        <v>342</v>
      </c>
      <c r="C54" s="450"/>
      <c r="D54" s="450"/>
      <c r="E54" s="450"/>
      <c r="F54" s="450"/>
      <c r="G54" s="450"/>
      <c r="H54" s="450"/>
      <c r="I54" s="450"/>
      <c r="J54" s="450"/>
      <c r="K54" s="450"/>
      <c r="L54" s="450"/>
      <c r="M54" s="450"/>
      <c r="N54" s="450"/>
      <c r="O54" s="450"/>
      <c r="P54" s="450"/>
      <c r="Q54" s="450"/>
      <c r="R54" s="456"/>
      <c r="S54" s="456"/>
      <c r="T54" s="489" t="s">
        <v>117</v>
      </c>
      <c r="U54" s="452"/>
      <c r="V54" s="430"/>
    </row>
    <row r="55" spans="1:23" s="431" customFormat="1" x14ac:dyDescent="0.3">
      <c r="A55" s="449"/>
      <c r="B55" s="455" t="s">
        <v>210</v>
      </c>
      <c r="C55" s="455"/>
      <c r="D55" s="455"/>
      <c r="E55" s="455"/>
      <c r="F55" s="455"/>
      <c r="G55" s="455"/>
      <c r="H55" s="455"/>
      <c r="I55" s="455"/>
      <c r="J55" s="455"/>
      <c r="K55" s="455"/>
      <c r="L55" s="455"/>
      <c r="M55" s="455"/>
      <c r="N55" s="455"/>
      <c r="O55" s="455"/>
      <c r="P55" s="455"/>
      <c r="Q55" s="455"/>
      <c r="R55" s="490"/>
      <c r="S55" s="490"/>
      <c r="T55" s="491">
        <v>43570</v>
      </c>
      <c r="U55" s="452"/>
      <c r="V55" s="430"/>
    </row>
    <row r="56" spans="1:23" s="431" customFormat="1" x14ac:dyDescent="0.3">
      <c r="A56" s="449"/>
      <c r="B56" s="450" t="s">
        <v>127</v>
      </c>
      <c r="C56" s="450"/>
      <c r="D56" s="450"/>
      <c r="E56" s="450"/>
      <c r="F56" s="450"/>
      <c r="G56" s="450"/>
      <c r="H56" s="492"/>
      <c r="I56" s="492"/>
      <c r="J56" s="492"/>
      <c r="K56" s="492"/>
      <c r="L56" s="492"/>
      <c r="M56" s="492"/>
      <c r="N56" s="492"/>
      <c r="O56" s="492"/>
      <c r="P56" s="450">
        <f>+T56-R56+1</f>
        <v>92</v>
      </c>
      <c r="Q56" s="492"/>
      <c r="R56" s="493">
        <v>43388</v>
      </c>
      <c r="S56" s="494"/>
      <c r="T56" s="493">
        <v>43479</v>
      </c>
      <c r="U56" s="452"/>
      <c r="V56" s="430"/>
    </row>
    <row r="57" spans="1:23" s="431" customFormat="1" x14ac:dyDescent="0.3">
      <c r="A57" s="449"/>
      <c r="B57" s="450" t="s">
        <v>128</v>
      </c>
      <c r="C57" s="450"/>
      <c r="D57" s="450"/>
      <c r="E57" s="450"/>
      <c r="F57" s="450"/>
      <c r="G57" s="450"/>
      <c r="H57" s="450"/>
      <c r="I57" s="450"/>
      <c r="J57" s="450"/>
      <c r="K57" s="450"/>
      <c r="L57" s="450"/>
      <c r="M57" s="450"/>
      <c r="N57" s="450"/>
      <c r="O57" s="450"/>
      <c r="P57" s="450">
        <f>+T57-R57+1</f>
        <v>90</v>
      </c>
      <c r="Q57" s="450"/>
      <c r="R57" s="493">
        <v>43480</v>
      </c>
      <c r="S57" s="494"/>
      <c r="T57" s="493">
        <v>43569</v>
      </c>
      <c r="U57" s="452"/>
      <c r="V57" s="430"/>
    </row>
    <row r="58" spans="1:23" s="431" customFormat="1" x14ac:dyDescent="0.3">
      <c r="A58" s="449"/>
      <c r="B58" s="450" t="s">
        <v>344</v>
      </c>
      <c r="C58" s="450"/>
      <c r="D58" s="450"/>
      <c r="E58" s="450"/>
      <c r="F58" s="450"/>
      <c r="G58" s="450"/>
      <c r="H58" s="450"/>
      <c r="I58" s="450"/>
      <c r="J58" s="450"/>
      <c r="K58" s="450"/>
      <c r="L58" s="450"/>
      <c r="M58" s="450"/>
      <c r="N58" s="450"/>
      <c r="O58" s="450"/>
      <c r="P58" s="450"/>
      <c r="Q58" s="450"/>
      <c r="R58" s="493"/>
      <c r="S58" s="494"/>
      <c r="T58" s="493" t="s">
        <v>126</v>
      </c>
      <c r="U58" s="452"/>
      <c r="V58" s="430"/>
    </row>
    <row r="59" spans="1:23" s="431" customFormat="1" x14ac:dyDescent="0.3">
      <c r="A59" s="449"/>
      <c r="B59" s="450" t="s">
        <v>343</v>
      </c>
      <c r="C59" s="450"/>
      <c r="D59" s="450"/>
      <c r="E59" s="450"/>
      <c r="F59" s="450"/>
      <c r="G59" s="450"/>
      <c r="H59" s="450"/>
      <c r="I59" s="450"/>
      <c r="J59" s="450"/>
      <c r="K59" s="450"/>
      <c r="L59" s="450"/>
      <c r="M59" s="450"/>
      <c r="N59" s="450"/>
      <c r="O59" s="450"/>
      <c r="P59" s="450"/>
      <c r="Q59" s="450"/>
      <c r="R59" s="493"/>
      <c r="S59" s="494"/>
      <c r="T59" s="493" t="s">
        <v>160</v>
      </c>
      <c r="U59" s="452"/>
      <c r="V59" s="430"/>
      <c r="W59" s="495"/>
    </row>
    <row r="60" spans="1:23" s="431" customFormat="1" x14ac:dyDescent="0.3">
      <c r="A60" s="449"/>
      <c r="B60" s="450" t="s">
        <v>16</v>
      </c>
      <c r="C60" s="450"/>
      <c r="D60" s="450"/>
      <c r="E60" s="450"/>
      <c r="F60" s="450"/>
      <c r="G60" s="450"/>
      <c r="H60" s="450"/>
      <c r="I60" s="450"/>
      <c r="J60" s="450"/>
      <c r="K60" s="450"/>
      <c r="L60" s="450"/>
      <c r="M60" s="450"/>
      <c r="N60" s="450"/>
      <c r="O60" s="450"/>
      <c r="P60" s="450"/>
      <c r="Q60" s="450"/>
      <c r="R60" s="493"/>
      <c r="S60" s="494"/>
      <c r="T60" s="493">
        <v>43556</v>
      </c>
      <c r="U60" s="452"/>
      <c r="V60" s="430"/>
    </row>
    <row r="61" spans="1:23" s="431" customFormat="1" x14ac:dyDescent="0.3">
      <c r="A61" s="432"/>
      <c r="B61" s="447"/>
      <c r="C61" s="447"/>
      <c r="D61" s="447"/>
      <c r="E61" s="447"/>
      <c r="F61" s="447"/>
      <c r="G61" s="447"/>
      <c r="H61" s="447"/>
      <c r="I61" s="447"/>
      <c r="J61" s="447"/>
      <c r="K61" s="447"/>
      <c r="L61" s="447"/>
      <c r="M61" s="447"/>
      <c r="N61" s="447"/>
      <c r="O61" s="447"/>
      <c r="P61" s="447"/>
      <c r="Q61" s="447"/>
      <c r="R61" s="496"/>
      <c r="S61" s="497"/>
      <c r="T61" s="496"/>
      <c r="U61" s="641"/>
      <c r="V61" s="430"/>
    </row>
    <row r="62" spans="1:23" s="431" customFormat="1" x14ac:dyDescent="0.3">
      <c r="A62" s="432"/>
      <c r="B62" s="433"/>
      <c r="C62" s="433"/>
      <c r="D62" s="433"/>
      <c r="E62" s="433"/>
      <c r="F62" s="433"/>
      <c r="G62" s="433"/>
      <c r="H62" s="433"/>
      <c r="I62" s="433"/>
      <c r="J62" s="433"/>
      <c r="K62" s="433"/>
      <c r="L62" s="433"/>
      <c r="M62" s="433"/>
      <c r="N62" s="433"/>
      <c r="O62" s="433"/>
      <c r="P62" s="433"/>
      <c r="Q62" s="433"/>
      <c r="R62" s="498"/>
      <c r="S62" s="499"/>
      <c r="T62" s="498"/>
      <c r="U62" s="641"/>
      <c r="V62" s="430"/>
    </row>
    <row r="63" spans="1:23" s="431" customFormat="1" ht="18.600000000000001" thickBot="1" x14ac:dyDescent="0.4">
      <c r="A63" s="500"/>
      <c r="B63" s="501" t="s">
        <v>365</v>
      </c>
      <c r="C63" s="502"/>
      <c r="D63" s="502"/>
      <c r="E63" s="502"/>
      <c r="F63" s="502"/>
      <c r="G63" s="502"/>
      <c r="H63" s="502"/>
      <c r="I63" s="502"/>
      <c r="J63" s="502"/>
      <c r="K63" s="502"/>
      <c r="L63" s="502"/>
      <c r="M63" s="502"/>
      <c r="N63" s="502"/>
      <c r="O63" s="502"/>
      <c r="P63" s="502"/>
      <c r="Q63" s="502"/>
      <c r="R63" s="502"/>
      <c r="S63" s="502"/>
      <c r="T63" s="503"/>
      <c r="U63" s="504"/>
      <c r="V63" s="430"/>
    </row>
    <row r="64" spans="1:23" x14ac:dyDescent="0.3">
      <c r="A64" s="505"/>
      <c r="B64" s="506" t="s">
        <v>17</v>
      </c>
      <c r="C64" s="507"/>
      <c r="D64" s="507"/>
      <c r="E64" s="507"/>
      <c r="F64" s="507"/>
      <c r="G64" s="507"/>
      <c r="H64" s="507"/>
      <c r="I64" s="507"/>
      <c r="J64" s="507"/>
      <c r="K64" s="507"/>
      <c r="L64" s="507"/>
      <c r="M64" s="507"/>
      <c r="N64" s="507"/>
      <c r="O64" s="507"/>
      <c r="P64" s="507"/>
      <c r="Q64" s="507"/>
      <c r="R64" s="507"/>
      <c r="S64" s="507"/>
      <c r="T64" s="508"/>
      <c r="U64" s="509"/>
      <c r="V64" s="416"/>
    </row>
    <row r="65" spans="1:22" x14ac:dyDescent="0.3">
      <c r="A65" s="418"/>
      <c r="B65" s="427"/>
      <c r="C65" s="420"/>
      <c r="D65" s="420"/>
      <c r="E65" s="420"/>
      <c r="F65" s="420"/>
      <c r="G65" s="420"/>
      <c r="H65" s="420"/>
      <c r="I65" s="420"/>
      <c r="J65" s="420"/>
      <c r="K65" s="420"/>
      <c r="L65" s="420"/>
      <c r="M65" s="420"/>
      <c r="N65" s="420"/>
      <c r="O65" s="420"/>
      <c r="P65" s="420"/>
      <c r="Q65" s="420"/>
      <c r="R65" s="420"/>
      <c r="S65" s="420"/>
      <c r="T65" s="510"/>
      <c r="U65" s="639"/>
      <c r="V65" s="416"/>
    </row>
    <row r="66" spans="1:22" ht="46.8" x14ac:dyDescent="0.3">
      <c r="A66" s="418"/>
      <c r="B66" s="511" t="s">
        <v>18</v>
      </c>
      <c r="C66" s="512"/>
      <c r="D66" s="512"/>
      <c r="E66" s="512"/>
      <c r="F66" s="512"/>
      <c r="G66" s="512"/>
      <c r="H66" s="512"/>
      <c r="I66" s="512"/>
      <c r="J66" s="512" t="s">
        <v>97</v>
      </c>
      <c r="K66" s="512"/>
      <c r="L66" s="512" t="s">
        <v>99</v>
      </c>
      <c r="M66" s="512"/>
      <c r="N66" s="512" t="s">
        <v>101</v>
      </c>
      <c r="O66" s="512"/>
      <c r="P66" s="512" t="s">
        <v>103</v>
      </c>
      <c r="Q66" s="512"/>
      <c r="R66" s="512" t="s">
        <v>110</v>
      </c>
      <c r="S66" s="512"/>
      <c r="T66" s="513" t="s">
        <v>118</v>
      </c>
      <c r="U66" s="642"/>
      <c r="V66" s="416"/>
    </row>
    <row r="67" spans="1:22" s="431" customFormat="1" x14ac:dyDescent="0.3">
      <c r="A67" s="449"/>
      <c r="B67" s="450" t="s">
        <v>19</v>
      </c>
      <c r="C67" s="514"/>
      <c r="D67" s="514"/>
      <c r="E67" s="514"/>
      <c r="F67" s="514"/>
      <c r="G67" s="514"/>
      <c r="H67" s="514"/>
      <c r="I67" s="514"/>
      <c r="J67" s="514">
        <v>1000039</v>
      </c>
      <c r="K67" s="514"/>
      <c r="L67" s="515">
        <v>388323</v>
      </c>
      <c r="M67" s="514"/>
      <c r="N67" s="514">
        <f>8110+5</f>
        <v>8115</v>
      </c>
      <c r="O67" s="514"/>
      <c r="P67" s="514">
        <v>5</v>
      </c>
      <c r="Q67" s="514"/>
      <c r="R67" s="514">
        <v>0</v>
      </c>
      <c r="S67" s="514"/>
      <c r="T67" s="515">
        <f>+L67-N67+P67-R67</f>
        <v>380213</v>
      </c>
      <c r="U67" s="452"/>
      <c r="V67" s="430"/>
    </row>
    <row r="68" spans="1:22" s="431" customFormat="1" x14ac:dyDescent="0.3">
      <c r="A68" s="449"/>
      <c r="B68" s="450" t="s">
        <v>20</v>
      </c>
      <c r="C68" s="514"/>
      <c r="D68" s="514"/>
      <c r="E68" s="514"/>
      <c r="F68" s="514"/>
      <c r="G68" s="514"/>
      <c r="H68" s="514"/>
      <c r="I68" s="514"/>
      <c r="J68" s="514">
        <v>10</v>
      </c>
      <c r="K68" s="514"/>
      <c r="L68" s="515">
        <v>0</v>
      </c>
      <c r="M68" s="514"/>
      <c r="N68" s="514">
        <v>0</v>
      </c>
      <c r="O68" s="514"/>
      <c r="P68" s="514">
        <v>0</v>
      </c>
      <c r="Q68" s="514"/>
      <c r="R68" s="514">
        <v>0</v>
      </c>
      <c r="S68" s="514"/>
      <c r="T68" s="515">
        <v>0</v>
      </c>
      <c r="U68" s="452"/>
      <c r="V68" s="430"/>
    </row>
    <row r="69" spans="1:22" s="431" customFormat="1" x14ac:dyDescent="0.3">
      <c r="A69" s="449"/>
      <c r="B69" s="450"/>
      <c r="C69" s="514"/>
      <c r="D69" s="514"/>
      <c r="E69" s="514"/>
      <c r="F69" s="514"/>
      <c r="G69" s="514"/>
      <c r="H69" s="514"/>
      <c r="I69" s="514"/>
      <c r="J69" s="514"/>
      <c r="K69" s="514"/>
      <c r="L69" s="515"/>
      <c r="M69" s="514"/>
      <c r="N69" s="514"/>
      <c r="O69" s="514"/>
      <c r="P69" s="514"/>
      <c r="Q69" s="514"/>
      <c r="R69" s="514"/>
      <c r="S69" s="514"/>
      <c r="T69" s="515"/>
      <c r="U69" s="452"/>
      <c r="V69" s="430"/>
    </row>
    <row r="70" spans="1:22" s="431" customFormat="1" x14ac:dyDescent="0.3">
      <c r="A70" s="449"/>
      <c r="B70" s="450" t="s">
        <v>21</v>
      </c>
      <c r="C70" s="514"/>
      <c r="D70" s="514"/>
      <c r="E70" s="514"/>
      <c r="F70" s="514"/>
      <c r="G70" s="514"/>
      <c r="H70" s="514"/>
      <c r="I70" s="514"/>
      <c r="J70" s="514">
        <f>SUM(J67:J69)</f>
        <v>1000049</v>
      </c>
      <c r="K70" s="514"/>
      <c r="L70" s="514">
        <f>L67+L68</f>
        <v>388323</v>
      </c>
      <c r="M70" s="514"/>
      <c r="N70" s="514">
        <f>SUM(N67:N69)</f>
        <v>8115</v>
      </c>
      <c r="O70" s="514"/>
      <c r="P70" s="514">
        <f>SUM(P67:P69)</f>
        <v>5</v>
      </c>
      <c r="Q70" s="514"/>
      <c r="R70" s="514">
        <f>SUM(R67:R69)</f>
        <v>0</v>
      </c>
      <c r="S70" s="514"/>
      <c r="T70" s="514">
        <f>SUM(T67:T69)</f>
        <v>380213</v>
      </c>
      <c r="U70" s="452"/>
      <c r="V70" s="430"/>
    </row>
    <row r="71" spans="1:22" x14ac:dyDescent="0.3">
      <c r="A71" s="418"/>
      <c r="B71" s="516"/>
      <c r="C71" s="517"/>
      <c r="D71" s="517"/>
      <c r="E71" s="517"/>
      <c r="F71" s="517"/>
      <c r="G71" s="517"/>
      <c r="H71" s="517"/>
      <c r="I71" s="517"/>
      <c r="J71" s="517"/>
      <c r="K71" s="517"/>
      <c r="L71" s="517"/>
      <c r="M71" s="517"/>
      <c r="N71" s="517"/>
      <c r="O71" s="517"/>
      <c r="P71" s="517"/>
      <c r="Q71" s="517"/>
      <c r="R71" s="517"/>
      <c r="S71" s="517"/>
      <c r="T71" s="518"/>
      <c r="U71" s="639"/>
      <c r="V71" s="416"/>
    </row>
    <row r="72" spans="1:22" x14ac:dyDescent="0.3">
      <c r="A72" s="418"/>
      <c r="B72" s="422" t="s">
        <v>22</v>
      </c>
      <c r="C72" s="519"/>
      <c r="D72" s="519"/>
      <c r="E72" s="519"/>
      <c r="F72" s="519"/>
      <c r="G72" s="519"/>
      <c r="H72" s="519"/>
      <c r="I72" s="519"/>
      <c r="J72" s="519"/>
      <c r="K72" s="519"/>
      <c r="L72" s="519"/>
      <c r="M72" s="519"/>
      <c r="N72" s="519"/>
      <c r="O72" s="519"/>
      <c r="P72" s="519"/>
      <c r="Q72" s="519"/>
      <c r="R72" s="519"/>
      <c r="S72" s="519"/>
      <c r="T72" s="520"/>
      <c r="U72" s="639"/>
      <c r="V72" s="416"/>
    </row>
    <row r="73" spans="1:22" x14ac:dyDescent="0.3">
      <c r="A73" s="418"/>
      <c r="B73" s="420"/>
      <c r="C73" s="519"/>
      <c r="D73" s="519"/>
      <c r="E73" s="519"/>
      <c r="F73" s="519"/>
      <c r="G73" s="519"/>
      <c r="H73" s="519"/>
      <c r="I73" s="519"/>
      <c r="J73" s="519"/>
      <c r="K73" s="519"/>
      <c r="L73" s="519"/>
      <c r="M73" s="519"/>
      <c r="N73" s="519"/>
      <c r="O73" s="519"/>
      <c r="P73" s="519"/>
      <c r="Q73" s="519"/>
      <c r="R73" s="519"/>
      <c r="S73" s="519"/>
      <c r="T73" s="520"/>
      <c r="U73" s="639"/>
      <c r="V73" s="416"/>
    </row>
    <row r="74" spans="1:22" s="431" customFormat="1" x14ac:dyDescent="0.3">
      <c r="A74" s="449"/>
      <c r="B74" s="450" t="s">
        <v>19</v>
      </c>
      <c r="C74" s="514"/>
      <c r="D74" s="514"/>
      <c r="E74" s="514"/>
      <c r="F74" s="514"/>
      <c r="G74" s="514"/>
      <c r="H74" s="514"/>
      <c r="I74" s="514"/>
      <c r="J74" s="514"/>
      <c r="K74" s="514"/>
      <c r="L74" s="514"/>
      <c r="M74" s="514"/>
      <c r="N74" s="514"/>
      <c r="O74" s="514"/>
      <c r="P74" s="514"/>
      <c r="Q74" s="514"/>
      <c r="R74" s="514"/>
      <c r="S74" s="514"/>
      <c r="T74" s="514"/>
      <c r="U74" s="452"/>
      <c r="V74" s="430"/>
    </row>
    <row r="75" spans="1:22" s="431" customFormat="1" x14ac:dyDescent="0.3">
      <c r="A75" s="449"/>
      <c r="B75" s="450" t="s">
        <v>20</v>
      </c>
      <c r="C75" s="514"/>
      <c r="D75" s="514"/>
      <c r="E75" s="514"/>
      <c r="F75" s="514"/>
      <c r="G75" s="514"/>
      <c r="H75" s="514"/>
      <c r="I75" s="514"/>
      <c r="J75" s="514"/>
      <c r="K75" s="514"/>
      <c r="L75" s="514"/>
      <c r="M75" s="514"/>
      <c r="N75" s="514"/>
      <c r="O75" s="514"/>
      <c r="P75" s="514"/>
      <c r="Q75" s="514"/>
      <c r="R75" s="514"/>
      <c r="S75" s="514"/>
      <c r="T75" s="514"/>
      <c r="U75" s="452"/>
      <c r="V75" s="430"/>
    </row>
    <row r="76" spans="1:22" s="431" customFormat="1" x14ac:dyDescent="0.3">
      <c r="A76" s="449"/>
      <c r="B76" s="450"/>
      <c r="C76" s="514"/>
      <c r="D76" s="514"/>
      <c r="E76" s="514"/>
      <c r="F76" s="514"/>
      <c r="G76" s="514"/>
      <c r="H76" s="514"/>
      <c r="I76" s="514"/>
      <c r="J76" s="514"/>
      <c r="K76" s="514"/>
      <c r="L76" s="514"/>
      <c r="M76" s="514"/>
      <c r="N76" s="514"/>
      <c r="O76" s="514"/>
      <c r="P76" s="514"/>
      <c r="Q76" s="514"/>
      <c r="R76" s="514"/>
      <c r="S76" s="514"/>
      <c r="T76" s="514"/>
      <c r="U76" s="452"/>
      <c r="V76" s="430"/>
    </row>
    <row r="77" spans="1:22" s="431" customFormat="1" x14ac:dyDescent="0.3">
      <c r="A77" s="449"/>
      <c r="B77" s="450" t="s">
        <v>21</v>
      </c>
      <c r="C77" s="514"/>
      <c r="D77" s="514"/>
      <c r="E77" s="514"/>
      <c r="F77" s="514"/>
      <c r="G77" s="514"/>
      <c r="H77" s="514"/>
      <c r="I77" s="514"/>
      <c r="J77" s="514"/>
      <c r="K77" s="514"/>
      <c r="L77" s="514"/>
      <c r="M77" s="514"/>
      <c r="N77" s="514"/>
      <c r="O77" s="514"/>
      <c r="P77" s="514"/>
      <c r="Q77" s="514"/>
      <c r="R77" s="514"/>
      <c r="S77" s="514"/>
      <c r="T77" s="514"/>
      <c r="U77" s="452"/>
      <c r="V77" s="430"/>
    </row>
    <row r="78" spans="1:22" s="431" customFormat="1" x14ac:dyDescent="0.3">
      <c r="A78" s="449"/>
      <c r="B78" s="450"/>
      <c r="C78" s="514"/>
      <c r="D78" s="514"/>
      <c r="E78" s="514"/>
      <c r="F78" s="514"/>
      <c r="G78" s="514"/>
      <c r="H78" s="514"/>
      <c r="I78" s="514"/>
      <c r="J78" s="514"/>
      <c r="K78" s="514"/>
      <c r="L78" s="514"/>
      <c r="M78" s="514"/>
      <c r="N78" s="514"/>
      <c r="O78" s="514"/>
      <c r="P78" s="514"/>
      <c r="Q78" s="514"/>
      <c r="R78" s="514"/>
      <c r="S78" s="514"/>
      <c r="T78" s="514"/>
      <c r="U78" s="452"/>
      <c r="V78" s="430"/>
    </row>
    <row r="79" spans="1:22" s="431" customFormat="1" x14ac:dyDescent="0.3">
      <c r="A79" s="449"/>
      <c r="B79" s="450" t="s">
        <v>23</v>
      </c>
      <c r="C79" s="514"/>
      <c r="D79" s="514"/>
      <c r="E79" s="514"/>
      <c r="F79" s="514"/>
      <c r="G79" s="514"/>
      <c r="H79" s="514"/>
      <c r="I79" s="514"/>
      <c r="J79" s="514">
        <v>0</v>
      </c>
      <c r="K79" s="514"/>
      <c r="L79" s="514">
        <v>0</v>
      </c>
      <c r="M79" s="514"/>
      <c r="N79" s="514"/>
      <c r="O79" s="514"/>
      <c r="P79" s="514"/>
      <c r="Q79" s="514"/>
      <c r="R79" s="514"/>
      <c r="S79" s="514"/>
      <c r="T79" s="515">
        <v>0</v>
      </c>
      <c r="U79" s="452"/>
      <c r="V79" s="430"/>
    </row>
    <row r="80" spans="1:22" s="431" customFormat="1" x14ac:dyDescent="0.3">
      <c r="A80" s="449"/>
      <c r="B80" s="450" t="s">
        <v>123</v>
      </c>
      <c r="C80" s="514"/>
      <c r="D80" s="514"/>
      <c r="E80" s="514"/>
      <c r="F80" s="514"/>
      <c r="G80" s="514"/>
      <c r="H80" s="514"/>
      <c r="I80" s="514"/>
      <c r="J80" s="514">
        <v>0</v>
      </c>
      <c r="K80" s="514"/>
      <c r="L80" s="514">
        <v>0</v>
      </c>
      <c r="M80" s="514"/>
      <c r="N80" s="514"/>
      <c r="O80" s="514"/>
      <c r="P80" s="514"/>
      <c r="Q80" s="514"/>
      <c r="R80" s="514"/>
      <c r="S80" s="514"/>
      <c r="T80" s="514">
        <f>SUM(J80:P80)</f>
        <v>0</v>
      </c>
      <c r="U80" s="452"/>
      <c r="V80" s="430"/>
    </row>
    <row r="81" spans="1:22" s="431" customFormat="1" x14ac:dyDescent="0.3">
      <c r="A81" s="449"/>
      <c r="B81" s="450" t="s">
        <v>152</v>
      </c>
      <c r="C81" s="514"/>
      <c r="D81" s="514"/>
      <c r="E81" s="514"/>
      <c r="F81" s="514"/>
      <c r="G81" s="514"/>
      <c r="H81" s="514"/>
      <c r="I81" s="514"/>
      <c r="J81" s="514">
        <v>1</v>
      </c>
      <c r="K81" s="514"/>
      <c r="L81" s="514">
        <v>0</v>
      </c>
      <c r="M81" s="514"/>
      <c r="N81" s="514">
        <v>0</v>
      </c>
      <c r="O81" s="514"/>
      <c r="P81" s="514"/>
      <c r="Q81" s="514"/>
      <c r="R81" s="514"/>
      <c r="S81" s="514"/>
      <c r="T81" s="514">
        <f>+L81+N81</f>
        <v>0</v>
      </c>
      <c r="U81" s="452"/>
      <c r="V81" s="430"/>
    </row>
    <row r="82" spans="1:22" s="431" customFormat="1" x14ac:dyDescent="0.3">
      <c r="A82" s="449"/>
      <c r="B82" s="450" t="s">
        <v>25</v>
      </c>
      <c r="C82" s="514"/>
      <c r="D82" s="514"/>
      <c r="E82" s="514"/>
      <c r="F82" s="514"/>
      <c r="G82" s="514"/>
      <c r="H82" s="514"/>
      <c r="I82" s="514"/>
      <c r="J82" s="514">
        <v>0</v>
      </c>
      <c r="K82" s="514"/>
      <c r="L82" s="514">
        <v>0</v>
      </c>
      <c r="M82" s="514"/>
      <c r="N82" s="514"/>
      <c r="O82" s="514"/>
      <c r="P82" s="514"/>
      <c r="Q82" s="514"/>
      <c r="R82" s="514"/>
      <c r="S82" s="514"/>
      <c r="T82" s="514">
        <v>0</v>
      </c>
      <c r="U82" s="452"/>
      <c r="V82" s="430"/>
    </row>
    <row r="83" spans="1:22" s="431" customFormat="1" x14ac:dyDescent="0.3">
      <c r="A83" s="449"/>
      <c r="B83" s="450" t="s">
        <v>26</v>
      </c>
      <c r="C83" s="514"/>
      <c r="D83" s="514"/>
      <c r="E83" s="514"/>
      <c r="F83" s="514"/>
      <c r="G83" s="514"/>
      <c r="H83" s="514"/>
      <c r="I83" s="514"/>
      <c r="J83" s="514">
        <f>SUM(J70:J82)</f>
        <v>1000050</v>
      </c>
      <c r="K83" s="514"/>
      <c r="L83" s="514">
        <f>SUM(L70:L82)</f>
        <v>388323</v>
      </c>
      <c r="M83" s="514"/>
      <c r="N83" s="514"/>
      <c r="O83" s="514"/>
      <c r="P83" s="514"/>
      <c r="Q83" s="514"/>
      <c r="R83" s="514"/>
      <c r="S83" s="514"/>
      <c r="T83" s="514">
        <f>SUM(T70:T82)</f>
        <v>380213</v>
      </c>
      <c r="U83" s="452"/>
      <c r="V83" s="430"/>
    </row>
    <row r="84" spans="1:22" x14ac:dyDescent="0.3">
      <c r="A84" s="418"/>
      <c r="B84" s="516"/>
      <c r="C84" s="517"/>
      <c r="D84" s="517"/>
      <c r="E84" s="517"/>
      <c r="F84" s="517"/>
      <c r="G84" s="517"/>
      <c r="H84" s="517"/>
      <c r="I84" s="517"/>
      <c r="J84" s="517"/>
      <c r="K84" s="517"/>
      <c r="L84" s="517"/>
      <c r="M84" s="517"/>
      <c r="N84" s="517"/>
      <c r="O84" s="517"/>
      <c r="P84" s="517"/>
      <c r="Q84" s="517"/>
      <c r="R84" s="517"/>
      <c r="S84" s="517"/>
      <c r="T84" s="518"/>
      <c r="U84" s="639"/>
      <c r="V84" s="416"/>
    </row>
    <row r="85" spans="1:22" x14ac:dyDescent="0.3">
      <c r="A85" s="418"/>
      <c r="B85" s="420"/>
      <c r="C85" s="420"/>
      <c r="D85" s="420"/>
      <c r="E85" s="420"/>
      <c r="F85" s="420"/>
      <c r="G85" s="420"/>
      <c r="H85" s="420"/>
      <c r="I85" s="420"/>
      <c r="J85" s="420"/>
      <c r="K85" s="420"/>
      <c r="L85" s="420"/>
      <c r="M85" s="420"/>
      <c r="N85" s="420"/>
      <c r="O85" s="420"/>
      <c r="P85" s="420"/>
      <c r="Q85" s="420"/>
      <c r="R85" s="420"/>
      <c r="S85" s="420"/>
      <c r="T85" s="420"/>
      <c r="U85" s="639"/>
      <c r="V85" s="416"/>
    </row>
    <row r="86" spans="1:22" x14ac:dyDescent="0.3">
      <c r="A86" s="442"/>
      <c r="B86" s="521" t="s">
        <v>27</v>
      </c>
      <c r="C86" s="521"/>
      <c r="D86" s="521"/>
      <c r="E86" s="521"/>
      <c r="F86" s="521"/>
      <c r="G86" s="521"/>
      <c r="H86" s="522"/>
      <c r="I86" s="522"/>
      <c r="J86" s="523" t="s">
        <v>98</v>
      </c>
      <c r="K86" s="522"/>
      <c r="L86" s="524">
        <f>+R193</f>
        <v>43553</v>
      </c>
      <c r="M86" s="522"/>
      <c r="N86" s="522"/>
      <c r="O86" s="522"/>
      <c r="P86" s="522"/>
      <c r="Q86" s="522"/>
      <c r="R86" s="522" t="s">
        <v>111</v>
      </c>
      <c r="S86" s="522"/>
      <c r="T86" s="522" t="s">
        <v>119</v>
      </c>
      <c r="U86" s="446"/>
      <c r="V86" s="416"/>
    </row>
    <row r="87" spans="1:22" s="431" customFormat="1" x14ac:dyDescent="0.3">
      <c r="A87" s="432"/>
      <c r="B87" s="447" t="s">
        <v>28</v>
      </c>
      <c r="C87" s="447"/>
      <c r="D87" s="447"/>
      <c r="E87" s="447"/>
      <c r="F87" s="447"/>
      <c r="G87" s="447"/>
      <c r="H87" s="447"/>
      <c r="I87" s="447"/>
      <c r="J87" s="447"/>
      <c r="K87" s="447"/>
      <c r="L87" s="447"/>
      <c r="M87" s="447"/>
      <c r="N87" s="447"/>
      <c r="O87" s="447"/>
      <c r="P87" s="447"/>
      <c r="Q87" s="447"/>
      <c r="R87" s="525">
        <v>0</v>
      </c>
      <c r="S87" s="447"/>
      <c r="T87" s="526">
        <v>0</v>
      </c>
      <c r="U87" s="641"/>
      <c r="V87" s="430"/>
    </row>
    <row r="88" spans="1:22" s="431" customFormat="1" x14ac:dyDescent="0.3">
      <c r="A88" s="449"/>
      <c r="B88" s="450" t="s">
        <v>29</v>
      </c>
      <c r="C88" s="450"/>
      <c r="D88" s="450"/>
      <c r="E88" s="450"/>
      <c r="F88" s="450"/>
      <c r="G88" s="450"/>
      <c r="H88" s="486"/>
      <c r="I88" s="527"/>
      <c r="J88" s="486"/>
      <c r="K88" s="450"/>
      <c r="L88" s="528"/>
      <c r="M88" s="450"/>
      <c r="N88" s="450"/>
      <c r="O88" s="450"/>
      <c r="P88" s="450"/>
      <c r="Q88" s="450"/>
      <c r="R88" s="514">
        <f>8115+38</f>
        <v>8153</v>
      </c>
      <c r="S88" s="450"/>
      <c r="T88" s="515"/>
      <c r="U88" s="452"/>
      <c r="V88" s="430"/>
    </row>
    <row r="89" spans="1:22" s="431" customFormat="1" x14ac:dyDescent="0.3">
      <c r="A89" s="449"/>
      <c r="B89" s="450" t="s">
        <v>225</v>
      </c>
      <c r="C89" s="450"/>
      <c r="D89" s="450"/>
      <c r="E89" s="450"/>
      <c r="F89" s="450"/>
      <c r="G89" s="450"/>
      <c r="H89" s="486"/>
      <c r="I89" s="527"/>
      <c r="J89" s="486"/>
      <c r="K89" s="450"/>
      <c r="L89" s="528"/>
      <c r="M89" s="450"/>
      <c r="N89" s="450"/>
      <c r="O89" s="450"/>
      <c r="P89" s="450"/>
      <c r="Q89" s="450"/>
      <c r="R89" s="514"/>
      <c r="S89" s="450"/>
      <c r="T89" s="515">
        <f>1709+1755-441-416</f>
        <v>2607</v>
      </c>
      <c r="U89" s="452"/>
      <c r="V89" s="430"/>
    </row>
    <row r="90" spans="1:22" s="431" customFormat="1" x14ac:dyDescent="0.3">
      <c r="A90" s="449"/>
      <c r="B90" s="450" t="s">
        <v>220</v>
      </c>
      <c r="C90" s="450"/>
      <c r="D90" s="450"/>
      <c r="E90" s="450"/>
      <c r="F90" s="450"/>
      <c r="G90" s="450"/>
      <c r="H90" s="486"/>
      <c r="I90" s="527"/>
      <c r="J90" s="486"/>
      <c r="K90" s="450"/>
      <c r="L90" s="528"/>
      <c r="M90" s="450"/>
      <c r="N90" s="450"/>
      <c r="O90" s="450"/>
      <c r="P90" s="450"/>
      <c r="Q90" s="450"/>
      <c r="R90" s="514"/>
      <c r="S90" s="450"/>
      <c r="T90" s="515">
        <f>14+21</f>
        <v>35</v>
      </c>
      <c r="U90" s="452"/>
      <c r="V90" s="430"/>
    </row>
    <row r="91" spans="1:22" s="431" customFormat="1" x14ac:dyDescent="0.3">
      <c r="A91" s="449"/>
      <c r="B91" s="450" t="s">
        <v>221</v>
      </c>
      <c r="C91" s="450"/>
      <c r="D91" s="450"/>
      <c r="E91" s="450"/>
      <c r="F91" s="450"/>
      <c r="G91" s="450"/>
      <c r="H91" s="486"/>
      <c r="I91" s="527"/>
      <c r="J91" s="486"/>
      <c r="K91" s="450"/>
      <c r="L91" s="528"/>
      <c r="M91" s="450"/>
      <c r="N91" s="450"/>
      <c r="O91" s="450"/>
      <c r="P91" s="450"/>
      <c r="Q91" s="450"/>
      <c r="R91" s="514"/>
      <c r="S91" s="450"/>
      <c r="T91" s="515">
        <v>50</v>
      </c>
      <c r="U91" s="452"/>
      <c r="V91" s="430"/>
    </row>
    <row r="92" spans="1:22" s="431" customFormat="1" x14ac:dyDescent="0.3">
      <c r="A92" s="449"/>
      <c r="B92" s="450" t="s">
        <v>261</v>
      </c>
      <c r="C92" s="450"/>
      <c r="D92" s="450"/>
      <c r="E92" s="450"/>
      <c r="F92" s="450"/>
      <c r="G92" s="450"/>
      <c r="H92" s="486"/>
      <c r="I92" s="527"/>
      <c r="J92" s="486"/>
      <c r="K92" s="450"/>
      <c r="L92" s="528"/>
      <c r="M92" s="450"/>
      <c r="N92" s="450"/>
      <c r="O92" s="450"/>
      <c r="P92" s="450"/>
      <c r="Q92" s="450"/>
      <c r="R92" s="514"/>
      <c r="S92" s="450"/>
      <c r="T92" s="515">
        <v>0</v>
      </c>
      <c r="U92" s="452"/>
      <c r="V92" s="430"/>
    </row>
    <row r="93" spans="1:22" s="431" customFormat="1" x14ac:dyDescent="0.3">
      <c r="A93" s="449"/>
      <c r="B93" s="450" t="s">
        <v>141</v>
      </c>
      <c r="C93" s="450"/>
      <c r="D93" s="450"/>
      <c r="E93" s="450"/>
      <c r="F93" s="450"/>
      <c r="G93" s="450"/>
      <c r="H93" s="450"/>
      <c r="I93" s="450"/>
      <c r="J93" s="450"/>
      <c r="K93" s="450"/>
      <c r="L93" s="450"/>
      <c r="M93" s="450"/>
      <c r="N93" s="450"/>
      <c r="O93" s="450"/>
      <c r="P93" s="450"/>
      <c r="Q93" s="450"/>
      <c r="R93" s="514"/>
      <c r="S93" s="450"/>
      <c r="T93" s="515">
        <v>0</v>
      </c>
      <c r="U93" s="452"/>
      <c r="V93" s="430"/>
    </row>
    <row r="94" spans="1:22" s="431" customFormat="1" x14ac:dyDescent="0.3">
      <c r="A94" s="449"/>
      <c r="B94" s="450" t="s">
        <v>250</v>
      </c>
      <c r="C94" s="450"/>
      <c r="D94" s="450"/>
      <c r="E94" s="450"/>
      <c r="F94" s="450"/>
      <c r="G94" s="450"/>
      <c r="H94" s="450"/>
      <c r="I94" s="450"/>
      <c r="J94" s="450"/>
      <c r="K94" s="450"/>
      <c r="L94" s="450"/>
      <c r="M94" s="450"/>
      <c r="N94" s="450"/>
      <c r="O94" s="450"/>
      <c r="P94" s="450"/>
      <c r="Q94" s="450"/>
      <c r="R94" s="514"/>
      <c r="S94" s="450"/>
      <c r="T94" s="515">
        <v>125</v>
      </c>
      <c r="U94" s="452"/>
      <c r="V94" s="430"/>
    </row>
    <row r="95" spans="1:22" s="431" customFormat="1" x14ac:dyDescent="0.3">
      <c r="A95" s="449"/>
      <c r="B95" s="450" t="s">
        <v>30</v>
      </c>
      <c r="C95" s="450"/>
      <c r="D95" s="450"/>
      <c r="E95" s="450"/>
      <c r="F95" s="450"/>
      <c r="G95" s="450"/>
      <c r="H95" s="450"/>
      <c r="I95" s="450"/>
      <c r="J95" s="450"/>
      <c r="K95" s="450"/>
      <c r="L95" s="450"/>
      <c r="M95" s="450"/>
      <c r="N95" s="450"/>
      <c r="O95" s="450"/>
      <c r="P95" s="450"/>
      <c r="Q95" s="450"/>
      <c r="R95" s="514">
        <f>SUM(R87:R94)</f>
        <v>8153</v>
      </c>
      <c r="S95" s="450"/>
      <c r="T95" s="514">
        <f>SUM(T87:T94)</f>
        <v>2817</v>
      </c>
      <c r="U95" s="452"/>
      <c r="V95" s="430"/>
    </row>
    <row r="96" spans="1:22" s="431" customFormat="1" x14ac:dyDescent="0.3">
      <c r="A96" s="449"/>
      <c r="B96" s="450" t="s">
        <v>168</v>
      </c>
      <c r="C96" s="450"/>
      <c r="D96" s="450"/>
      <c r="E96" s="450"/>
      <c r="F96" s="450"/>
      <c r="G96" s="450"/>
      <c r="H96" s="450"/>
      <c r="I96" s="450"/>
      <c r="J96" s="450"/>
      <c r="K96" s="450"/>
      <c r="L96" s="450"/>
      <c r="M96" s="450"/>
      <c r="N96" s="450"/>
      <c r="O96" s="450"/>
      <c r="P96" s="450"/>
      <c r="Q96" s="450"/>
      <c r="R96" s="514">
        <v>0</v>
      </c>
      <c r="S96" s="450"/>
      <c r="T96" s="514">
        <f>-R96</f>
        <v>0</v>
      </c>
      <c r="U96" s="452"/>
      <c r="V96" s="430"/>
    </row>
    <row r="97" spans="1:24" s="431" customFormat="1" x14ac:dyDescent="0.3">
      <c r="A97" s="449"/>
      <c r="B97" s="450" t="s">
        <v>31</v>
      </c>
      <c r="C97" s="450"/>
      <c r="D97" s="450"/>
      <c r="E97" s="450"/>
      <c r="F97" s="450"/>
      <c r="G97" s="450"/>
      <c r="H97" s="450"/>
      <c r="I97" s="450"/>
      <c r="J97" s="450"/>
      <c r="K97" s="450"/>
      <c r="L97" s="450"/>
      <c r="M97" s="450"/>
      <c r="N97" s="450"/>
      <c r="O97" s="450"/>
      <c r="P97" s="450"/>
      <c r="Q97" s="450"/>
      <c r="R97" s="514">
        <f>-T97</f>
        <v>0</v>
      </c>
      <c r="S97" s="450"/>
      <c r="T97" s="515">
        <v>0</v>
      </c>
      <c r="U97" s="452"/>
      <c r="V97" s="430"/>
    </row>
    <row r="98" spans="1:24" s="431" customFormat="1" x14ac:dyDescent="0.3">
      <c r="A98" s="449"/>
      <c r="B98" s="450" t="s">
        <v>273</v>
      </c>
      <c r="C98" s="450"/>
      <c r="D98" s="450"/>
      <c r="E98" s="450"/>
      <c r="F98" s="450"/>
      <c r="G98" s="450"/>
      <c r="H98" s="450"/>
      <c r="I98" s="450"/>
      <c r="J98" s="450"/>
      <c r="K98" s="450"/>
      <c r="L98" s="450"/>
      <c r="M98" s="450"/>
      <c r="N98" s="450"/>
      <c r="O98" s="450"/>
      <c r="P98" s="450"/>
      <c r="Q98" s="450"/>
      <c r="R98" s="514"/>
      <c r="S98" s="450"/>
      <c r="T98" s="515">
        <v>-200</v>
      </c>
      <c r="U98" s="452"/>
      <c r="V98" s="430"/>
    </row>
    <row r="99" spans="1:24" s="431" customFormat="1" x14ac:dyDescent="0.3">
      <c r="A99" s="449"/>
      <c r="B99" s="450" t="s">
        <v>32</v>
      </c>
      <c r="C99" s="450"/>
      <c r="D99" s="450"/>
      <c r="E99" s="450"/>
      <c r="F99" s="450"/>
      <c r="G99" s="450"/>
      <c r="H99" s="450"/>
      <c r="I99" s="450"/>
      <c r="J99" s="450"/>
      <c r="K99" s="450"/>
      <c r="L99" s="450"/>
      <c r="M99" s="450"/>
      <c r="N99" s="450"/>
      <c r="O99" s="450"/>
      <c r="P99" s="450"/>
      <c r="Q99" s="450"/>
      <c r="R99" s="514">
        <f>R95+R97+R96</f>
        <v>8153</v>
      </c>
      <c r="S99" s="450"/>
      <c r="T99" s="514">
        <f>T95+T97+T96+T98</f>
        <v>2617</v>
      </c>
      <c r="U99" s="452"/>
      <c r="V99" s="430"/>
    </row>
    <row r="100" spans="1:24" x14ac:dyDescent="0.3">
      <c r="A100" s="468"/>
      <c r="B100" s="529" t="s">
        <v>33</v>
      </c>
      <c r="C100" s="470"/>
      <c r="D100" s="470"/>
      <c r="E100" s="470"/>
      <c r="F100" s="470"/>
      <c r="G100" s="470"/>
      <c r="H100" s="470"/>
      <c r="I100" s="470"/>
      <c r="J100" s="470"/>
      <c r="K100" s="470"/>
      <c r="L100" s="470"/>
      <c r="M100" s="470"/>
      <c r="N100" s="470"/>
      <c r="O100" s="470"/>
      <c r="P100" s="470"/>
      <c r="Q100" s="470"/>
      <c r="R100" s="530"/>
      <c r="S100" s="470"/>
      <c r="T100" s="531"/>
      <c r="U100" s="476"/>
      <c r="V100" s="416"/>
    </row>
    <row r="101" spans="1:24" s="431" customFormat="1" x14ac:dyDescent="0.3">
      <c r="A101" s="449">
        <v>1</v>
      </c>
      <c r="B101" s="450" t="s">
        <v>34</v>
      </c>
      <c r="C101" s="450"/>
      <c r="D101" s="450"/>
      <c r="E101" s="450"/>
      <c r="F101" s="450"/>
      <c r="G101" s="450"/>
      <c r="H101" s="450"/>
      <c r="I101" s="450"/>
      <c r="J101" s="450"/>
      <c r="K101" s="450"/>
      <c r="L101" s="450"/>
      <c r="M101" s="450"/>
      <c r="N101" s="450"/>
      <c r="O101" s="450"/>
      <c r="P101" s="450"/>
      <c r="Q101" s="450"/>
      <c r="R101" s="450"/>
      <c r="S101" s="450"/>
      <c r="T101" s="515">
        <v>0</v>
      </c>
      <c r="U101" s="452"/>
      <c r="V101" s="430"/>
    </row>
    <row r="102" spans="1:24" s="431" customFormat="1" x14ac:dyDescent="0.3">
      <c r="A102" s="449">
        <f>+A101+1</f>
        <v>2</v>
      </c>
      <c r="B102" s="450" t="s">
        <v>312</v>
      </c>
      <c r="C102" s="450"/>
      <c r="D102" s="450"/>
      <c r="E102" s="450"/>
      <c r="F102" s="450"/>
      <c r="G102" s="450"/>
      <c r="H102" s="450"/>
      <c r="I102" s="450"/>
      <c r="J102" s="450"/>
      <c r="K102" s="450"/>
      <c r="L102" s="450"/>
      <c r="M102" s="450"/>
      <c r="N102" s="450"/>
      <c r="O102" s="450"/>
      <c r="P102" s="450"/>
      <c r="Q102" s="450"/>
      <c r="R102" s="450"/>
      <c r="S102" s="450"/>
      <c r="T102" s="515">
        <v>-2</v>
      </c>
      <c r="U102" s="452"/>
      <c r="V102" s="430"/>
    </row>
    <row r="103" spans="1:24" s="431" customFormat="1" x14ac:dyDescent="0.3">
      <c r="A103" s="449">
        <f>+A102+1</f>
        <v>3</v>
      </c>
      <c r="B103" s="532" t="s">
        <v>314</v>
      </c>
      <c r="C103" s="450"/>
      <c r="D103" s="450"/>
      <c r="E103" s="450"/>
      <c r="F103" s="450"/>
      <c r="G103" s="450"/>
      <c r="H103" s="450"/>
      <c r="I103" s="450"/>
      <c r="J103" s="450"/>
      <c r="K103" s="450"/>
      <c r="L103" s="450"/>
      <c r="M103" s="450"/>
      <c r="N103" s="450"/>
      <c r="O103" s="450"/>
      <c r="P103" s="450"/>
      <c r="Q103" s="450"/>
      <c r="R103" s="450"/>
      <c r="S103" s="450"/>
      <c r="T103" s="515">
        <f>-146-55-6</f>
        <v>-207</v>
      </c>
      <c r="U103" s="452"/>
      <c r="V103" s="430"/>
    </row>
    <row r="104" spans="1:24" s="431" customFormat="1" x14ac:dyDescent="0.3">
      <c r="A104" s="449" t="s">
        <v>133</v>
      </c>
      <c r="B104" s="450" t="s">
        <v>122</v>
      </c>
      <c r="C104" s="450"/>
      <c r="D104" s="450"/>
      <c r="E104" s="450"/>
      <c r="F104" s="450"/>
      <c r="G104" s="450"/>
      <c r="H104" s="450"/>
      <c r="I104" s="450"/>
      <c r="J104" s="450"/>
      <c r="K104" s="450"/>
      <c r="L104" s="450"/>
      <c r="M104" s="450"/>
      <c r="N104" s="450"/>
      <c r="O104" s="450"/>
      <c r="P104" s="450"/>
      <c r="Q104" s="450"/>
      <c r="R104" s="450"/>
      <c r="S104" s="450"/>
      <c r="T104" s="515">
        <v>0</v>
      </c>
      <c r="U104" s="452"/>
      <c r="V104" s="430"/>
    </row>
    <row r="105" spans="1:24" s="431" customFormat="1" x14ac:dyDescent="0.3">
      <c r="A105" s="449" t="s">
        <v>134</v>
      </c>
      <c r="B105" s="450" t="s">
        <v>348</v>
      </c>
      <c r="C105" s="450"/>
      <c r="D105" s="450"/>
      <c r="E105" s="450"/>
      <c r="F105" s="450"/>
      <c r="G105" s="450"/>
      <c r="H105" s="450"/>
      <c r="I105" s="450"/>
      <c r="J105" s="450"/>
      <c r="K105" s="450"/>
      <c r="L105" s="450"/>
      <c r="M105" s="450"/>
      <c r="N105" s="450"/>
      <c r="O105" s="450"/>
      <c r="P105" s="450"/>
      <c r="Q105" s="450"/>
      <c r="R105" s="450"/>
      <c r="S105" s="450"/>
      <c r="T105" s="515">
        <f>-472-142</f>
        <v>-614</v>
      </c>
      <c r="U105" s="452"/>
      <c r="V105" s="430"/>
      <c r="W105" s="533"/>
    </row>
    <row r="106" spans="1:24" s="431" customFormat="1" x14ac:dyDescent="0.3">
      <c r="A106" s="449" t="s">
        <v>156</v>
      </c>
      <c r="B106" s="450" t="s">
        <v>349</v>
      </c>
      <c r="C106" s="450"/>
      <c r="D106" s="450"/>
      <c r="E106" s="450"/>
      <c r="F106" s="450"/>
      <c r="G106" s="450"/>
      <c r="H106" s="450"/>
      <c r="I106" s="450"/>
      <c r="J106" s="450"/>
      <c r="K106" s="450"/>
      <c r="L106" s="450"/>
      <c r="M106" s="450"/>
      <c r="N106" s="450"/>
      <c r="O106" s="450"/>
      <c r="P106" s="450"/>
      <c r="Q106" s="450"/>
      <c r="R106" s="450"/>
      <c r="S106" s="450"/>
      <c r="T106" s="515">
        <v>-142</v>
      </c>
      <c r="U106" s="452"/>
      <c r="V106" s="430"/>
      <c r="W106" s="533"/>
    </row>
    <row r="107" spans="1:24" s="431" customFormat="1" x14ac:dyDescent="0.3">
      <c r="A107" s="449" t="s">
        <v>214</v>
      </c>
      <c r="B107" s="450" t="s">
        <v>192</v>
      </c>
      <c r="C107" s="450"/>
      <c r="D107" s="450"/>
      <c r="E107" s="450"/>
      <c r="F107" s="450"/>
      <c r="G107" s="450"/>
      <c r="H107" s="450"/>
      <c r="I107" s="450"/>
      <c r="J107" s="450"/>
      <c r="K107" s="450"/>
      <c r="L107" s="450"/>
      <c r="M107" s="450"/>
      <c r="N107" s="450"/>
      <c r="O107" s="450"/>
      <c r="P107" s="450"/>
      <c r="Q107" s="450"/>
      <c r="R107" s="450"/>
      <c r="S107" s="450"/>
      <c r="T107" s="515">
        <v>-156</v>
      </c>
      <c r="U107" s="452"/>
      <c r="V107" s="430"/>
      <c r="W107" s="533"/>
      <c r="X107" s="533"/>
    </row>
    <row r="108" spans="1:24" s="431" customFormat="1" x14ac:dyDescent="0.3">
      <c r="A108" s="449" t="s">
        <v>215</v>
      </c>
      <c r="B108" s="450" t="s">
        <v>193</v>
      </c>
      <c r="C108" s="450"/>
      <c r="D108" s="450"/>
      <c r="E108" s="450"/>
      <c r="F108" s="450"/>
      <c r="G108" s="450"/>
      <c r="H108" s="450"/>
      <c r="I108" s="450"/>
      <c r="J108" s="450"/>
      <c r="K108" s="450"/>
      <c r="L108" s="450"/>
      <c r="M108" s="450"/>
      <c r="N108" s="450"/>
      <c r="O108" s="450"/>
      <c r="P108" s="450"/>
      <c r="Q108" s="450"/>
      <c r="R108" s="450"/>
      <c r="S108" s="450"/>
      <c r="T108" s="515">
        <v>-44</v>
      </c>
      <c r="U108" s="452"/>
      <c r="V108" s="534"/>
      <c r="W108" s="533"/>
    </row>
    <row r="109" spans="1:24" s="431" customFormat="1" x14ac:dyDescent="0.3">
      <c r="A109" s="449" t="s">
        <v>216</v>
      </c>
      <c r="B109" s="450" t="s">
        <v>204</v>
      </c>
      <c r="C109" s="450"/>
      <c r="D109" s="450"/>
      <c r="E109" s="450"/>
      <c r="F109" s="450"/>
      <c r="G109" s="450"/>
      <c r="H109" s="450"/>
      <c r="I109" s="450"/>
      <c r="J109" s="450"/>
      <c r="K109" s="450"/>
      <c r="L109" s="450"/>
      <c r="M109" s="450"/>
      <c r="N109" s="450"/>
      <c r="O109" s="450"/>
      <c r="P109" s="450"/>
      <c r="Q109" s="450"/>
      <c r="R109" s="450"/>
      <c r="S109" s="450"/>
      <c r="T109" s="515">
        <v>-220</v>
      </c>
      <c r="U109" s="452"/>
      <c r="V109" s="430"/>
      <c r="W109" s="533"/>
    </row>
    <row r="110" spans="1:24" s="431" customFormat="1" x14ac:dyDescent="0.3">
      <c r="A110" s="535">
        <v>7</v>
      </c>
      <c r="B110" s="532" t="s">
        <v>313</v>
      </c>
      <c r="C110" s="532"/>
      <c r="D110" s="532"/>
      <c r="E110" s="532"/>
      <c r="F110" s="532"/>
      <c r="G110" s="450"/>
      <c r="H110" s="450"/>
      <c r="I110" s="450"/>
      <c r="J110" s="450"/>
      <c r="K110" s="450"/>
      <c r="L110" s="450"/>
      <c r="M110" s="450"/>
      <c r="N110" s="450"/>
      <c r="O110" s="450"/>
      <c r="P110" s="450"/>
      <c r="Q110" s="450"/>
      <c r="R110" s="450"/>
      <c r="S110" s="450"/>
      <c r="T110" s="515">
        <v>0</v>
      </c>
      <c r="U110" s="452"/>
      <c r="V110" s="430"/>
      <c r="W110" s="533"/>
    </row>
    <row r="111" spans="1:24" s="431" customFormat="1" x14ac:dyDescent="0.3">
      <c r="A111" s="449">
        <f t="shared" ref="A111:A117" si="0">+A110+1</f>
        <v>8</v>
      </c>
      <c r="B111" s="450" t="s">
        <v>35</v>
      </c>
      <c r="C111" s="450"/>
      <c r="D111" s="450"/>
      <c r="E111" s="450"/>
      <c r="F111" s="450"/>
      <c r="G111" s="450"/>
      <c r="H111" s="450"/>
      <c r="I111" s="450"/>
      <c r="J111" s="450"/>
      <c r="K111" s="450"/>
      <c r="L111" s="450"/>
      <c r="M111" s="450"/>
      <c r="N111" s="450"/>
      <c r="O111" s="450"/>
      <c r="P111" s="450"/>
      <c r="Q111" s="450"/>
      <c r="R111" s="450"/>
      <c r="S111" s="450"/>
      <c r="T111" s="515">
        <v>-10</v>
      </c>
      <c r="U111" s="452"/>
      <c r="V111" s="430"/>
    </row>
    <row r="112" spans="1:24" s="431" customFormat="1" x14ac:dyDescent="0.3">
      <c r="A112" s="449">
        <f t="shared" si="0"/>
        <v>9</v>
      </c>
      <c r="B112" s="450" t="s">
        <v>46</v>
      </c>
      <c r="C112" s="450"/>
      <c r="D112" s="450"/>
      <c r="E112" s="450"/>
      <c r="F112" s="450"/>
      <c r="G112" s="450"/>
      <c r="H112" s="450"/>
      <c r="I112" s="450"/>
      <c r="J112" s="450"/>
      <c r="K112" s="450"/>
      <c r="L112" s="450"/>
      <c r="M112" s="450"/>
      <c r="N112" s="450"/>
      <c r="O112" s="450"/>
      <c r="P112" s="450"/>
      <c r="Q112" s="450"/>
      <c r="R112" s="514">
        <f>-T112</f>
        <v>-38</v>
      </c>
      <c r="S112" s="450"/>
      <c r="T112" s="515">
        <v>38</v>
      </c>
      <c r="U112" s="452"/>
      <c r="V112" s="430"/>
    </row>
    <row r="113" spans="1:22" s="431" customFormat="1" x14ac:dyDescent="0.3">
      <c r="A113" s="449">
        <f t="shared" si="0"/>
        <v>10</v>
      </c>
      <c r="B113" s="450" t="s">
        <v>131</v>
      </c>
      <c r="C113" s="450"/>
      <c r="D113" s="450"/>
      <c r="E113" s="450"/>
      <c r="F113" s="450"/>
      <c r="G113" s="450"/>
      <c r="H113" s="450"/>
      <c r="I113" s="450"/>
      <c r="J113" s="450"/>
      <c r="K113" s="450"/>
      <c r="L113" s="450"/>
      <c r="M113" s="450"/>
      <c r="N113" s="450"/>
      <c r="O113" s="450"/>
      <c r="P113" s="450"/>
      <c r="Q113" s="450"/>
      <c r="R113" s="450"/>
      <c r="S113" s="450"/>
      <c r="T113" s="515">
        <v>0</v>
      </c>
      <c r="U113" s="452"/>
      <c r="V113" s="430"/>
    </row>
    <row r="114" spans="1:22" s="431" customFormat="1" x14ac:dyDescent="0.3">
      <c r="A114" s="449">
        <f t="shared" si="0"/>
        <v>11</v>
      </c>
      <c r="B114" s="450" t="s">
        <v>36</v>
      </c>
      <c r="C114" s="450"/>
      <c r="D114" s="450"/>
      <c r="E114" s="450"/>
      <c r="F114" s="450"/>
      <c r="G114" s="450"/>
      <c r="H114" s="450"/>
      <c r="I114" s="450"/>
      <c r="J114" s="450"/>
      <c r="K114" s="450"/>
      <c r="L114" s="450"/>
      <c r="M114" s="450"/>
      <c r="N114" s="450"/>
      <c r="O114" s="450"/>
      <c r="P114" s="450"/>
      <c r="Q114" s="450"/>
      <c r="R114" s="450"/>
      <c r="S114" s="450"/>
      <c r="T114" s="515">
        <v>0</v>
      </c>
      <c r="U114" s="452"/>
      <c r="V114" s="430"/>
    </row>
    <row r="115" spans="1:22" s="431" customFormat="1" x14ac:dyDescent="0.3">
      <c r="A115" s="449">
        <f t="shared" si="0"/>
        <v>12</v>
      </c>
      <c r="B115" s="450" t="s">
        <v>37</v>
      </c>
      <c r="C115" s="450"/>
      <c r="D115" s="450"/>
      <c r="E115" s="450"/>
      <c r="F115" s="450"/>
      <c r="G115" s="450"/>
      <c r="H115" s="450"/>
      <c r="I115" s="450"/>
      <c r="J115" s="450"/>
      <c r="K115" s="450"/>
      <c r="L115" s="450"/>
      <c r="M115" s="450"/>
      <c r="N115" s="450"/>
      <c r="O115" s="450"/>
      <c r="P115" s="450"/>
      <c r="Q115" s="450"/>
      <c r="R115" s="450"/>
      <c r="S115" s="450"/>
      <c r="T115" s="515">
        <v>0</v>
      </c>
      <c r="U115" s="452"/>
      <c r="V115" s="430"/>
    </row>
    <row r="116" spans="1:22" s="431" customFormat="1" x14ac:dyDescent="0.3">
      <c r="A116" s="449">
        <f t="shared" si="0"/>
        <v>13</v>
      </c>
      <c r="B116" s="450" t="s">
        <v>155</v>
      </c>
      <c r="C116" s="450"/>
      <c r="D116" s="450"/>
      <c r="E116" s="450"/>
      <c r="F116" s="450"/>
      <c r="G116" s="450"/>
      <c r="H116" s="450"/>
      <c r="I116" s="450"/>
      <c r="J116" s="450"/>
      <c r="K116" s="450"/>
      <c r="L116" s="450"/>
      <c r="M116" s="450"/>
      <c r="N116" s="450"/>
      <c r="O116" s="450"/>
      <c r="P116" s="450"/>
      <c r="Q116" s="450"/>
      <c r="R116" s="450"/>
      <c r="S116" s="450"/>
      <c r="T116" s="515">
        <v>-146</v>
      </c>
      <c r="U116" s="452"/>
      <c r="V116" s="430"/>
    </row>
    <row r="117" spans="1:22" s="431" customFormat="1" x14ac:dyDescent="0.3">
      <c r="A117" s="449">
        <f t="shared" si="0"/>
        <v>14</v>
      </c>
      <c r="B117" s="450" t="s">
        <v>132</v>
      </c>
      <c r="C117" s="450"/>
      <c r="D117" s="450"/>
      <c r="E117" s="450"/>
      <c r="F117" s="450"/>
      <c r="G117" s="450"/>
      <c r="H117" s="450"/>
      <c r="I117" s="450"/>
      <c r="J117" s="450"/>
      <c r="K117" s="450"/>
      <c r="L117" s="450"/>
      <c r="M117" s="450"/>
      <c r="N117" s="450"/>
      <c r="O117" s="450"/>
      <c r="P117" s="450"/>
      <c r="Q117" s="450"/>
      <c r="R117" s="450"/>
      <c r="S117" s="450"/>
      <c r="T117" s="515">
        <f>-T99-SUM(T101:T116)</f>
        <v>-1114</v>
      </c>
      <c r="U117" s="452"/>
      <c r="V117" s="430"/>
    </row>
    <row r="118" spans="1:22" x14ac:dyDescent="0.3">
      <c r="A118" s="468"/>
      <c r="B118" s="529" t="s">
        <v>38</v>
      </c>
      <c r="C118" s="470"/>
      <c r="D118" s="470"/>
      <c r="E118" s="470"/>
      <c r="F118" s="470"/>
      <c r="G118" s="470"/>
      <c r="H118" s="470"/>
      <c r="I118" s="470"/>
      <c r="J118" s="470"/>
      <c r="K118" s="470"/>
      <c r="L118" s="470"/>
      <c r="M118" s="470"/>
      <c r="N118" s="470"/>
      <c r="O118" s="470"/>
      <c r="P118" s="470"/>
      <c r="Q118" s="470"/>
      <c r="R118" s="470"/>
      <c r="S118" s="470"/>
      <c r="T118" s="536"/>
      <c r="U118" s="476"/>
      <c r="V118" s="416"/>
    </row>
    <row r="119" spans="1:22" s="431" customFormat="1" x14ac:dyDescent="0.3">
      <c r="A119" s="449"/>
      <c r="B119" s="450" t="s">
        <v>180</v>
      </c>
      <c r="C119" s="450"/>
      <c r="D119" s="450"/>
      <c r="E119" s="450"/>
      <c r="F119" s="450"/>
      <c r="G119" s="450"/>
      <c r="H119" s="450"/>
      <c r="I119" s="450"/>
      <c r="J119" s="450"/>
      <c r="K119" s="450"/>
      <c r="L119" s="450"/>
      <c r="M119" s="450"/>
      <c r="N119" s="450"/>
      <c r="O119" s="450"/>
      <c r="P119" s="450"/>
      <c r="Q119" s="450"/>
      <c r="R119" s="514">
        <f>-R177</f>
        <v>-5</v>
      </c>
      <c r="S119" s="514"/>
      <c r="T119" s="515"/>
      <c r="U119" s="452"/>
      <c r="V119" s="430"/>
    </row>
    <row r="120" spans="1:22" s="431" customFormat="1" x14ac:dyDescent="0.3">
      <c r="A120" s="449"/>
      <c r="B120" s="450" t="s">
        <v>181</v>
      </c>
      <c r="C120" s="450"/>
      <c r="D120" s="450"/>
      <c r="E120" s="450"/>
      <c r="F120" s="450"/>
      <c r="G120" s="450"/>
      <c r="H120" s="450"/>
      <c r="I120" s="450"/>
      <c r="J120" s="450"/>
      <c r="K120" s="450"/>
      <c r="L120" s="450"/>
      <c r="M120" s="450"/>
      <c r="N120" s="450"/>
      <c r="O120" s="450"/>
      <c r="P120" s="450"/>
      <c r="Q120" s="450"/>
      <c r="R120" s="514">
        <v>0</v>
      </c>
      <c r="S120" s="514"/>
      <c r="T120" s="515"/>
      <c r="U120" s="452"/>
      <c r="V120" s="430"/>
    </row>
    <row r="121" spans="1:22" s="431" customFormat="1" x14ac:dyDescent="0.3">
      <c r="A121" s="449"/>
      <c r="B121" s="450" t="s">
        <v>39</v>
      </c>
      <c r="C121" s="450"/>
      <c r="D121" s="450"/>
      <c r="E121" s="450"/>
      <c r="F121" s="450"/>
      <c r="G121" s="450"/>
      <c r="H121" s="450"/>
      <c r="I121" s="450"/>
      <c r="J121" s="450"/>
      <c r="K121" s="450"/>
      <c r="L121" s="450"/>
      <c r="M121" s="450"/>
      <c r="N121" s="450"/>
      <c r="O121" s="450"/>
      <c r="P121" s="450"/>
      <c r="Q121" s="450"/>
      <c r="R121" s="514">
        <f>-Q177</f>
        <v>0</v>
      </c>
      <c r="S121" s="514"/>
      <c r="T121" s="515"/>
      <c r="U121" s="452"/>
      <c r="V121" s="430"/>
    </row>
    <row r="122" spans="1:22" s="431" customFormat="1" x14ac:dyDescent="0.3">
      <c r="A122" s="449"/>
      <c r="B122" s="450" t="s">
        <v>372</v>
      </c>
      <c r="C122" s="450"/>
      <c r="D122" s="450"/>
      <c r="E122" s="450"/>
      <c r="F122" s="450"/>
      <c r="G122" s="450"/>
      <c r="H122" s="450"/>
      <c r="I122" s="450"/>
      <c r="J122" s="450"/>
      <c r="K122" s="450"/>
      <c r="L122" s="450"/>
      <c r="M122" s="450"/>
      <c r="N122" s="450"/>
      <c r="O122" s="450"/>
      <c r="P122" s="450"/>
      <c r="Q122" s="450"/>
      <c r="R122" s="514">
        <v>-3893</v>
      </c>
      <c r="S122" s="514"/>
      <c r="T122" s="515"/>
      <c r="U122" s="452"/>
      <c r="V122" s="430"/>
    </row>
    <row r="123" spans="1:22" s="431" customFormat="1" x14ac:dyDescent="0.3">
      <c r="A123" s="449"/>
      <c r="B123" s="450" t="s">
        <v>203</v>
      </c>
      <c r="C123" s="450"/>
      <c r="D123" s="450"/>
      <c r="E123" s="450"/>
      <c r="F123" s="450"/>
      <c r="G123" s="450"/>
      <c r="H123" s="450"/>
      <c r="I123" s="450"/>
      <c r="J123" s="450"/>
      <c r="K123" s="450"/>
      <c r="L123" s="450"/>
      <c r="M123" s="450"/>
      <c r="N123" s="450"/>
      <c r="O123" s="450"/>
      <c r="P123" s="450"/>
      <c r="Q123" s="450"/>
      <c r="R123" s="514">
        <v>-1026</v>
      </c>
      <c r="S123" s="514"/>
      <c r="T123" s="515"/>
      <c r="U123" s="452"/>
      <c r="V123" s="430"/>
    </row>
    <row r="124" spans="1:22" s="431" customFormat="1" x14ac:dyDescent="0.3">
      <c r="A124" s="449"/>
      <c r="B124" s="450" t="s">
        <v>202</v>
      </c>
      <c r="C124" s="450"/>
      <c r="D124" s="450"/>
      <c r="E124" s="450"/>
      <c r="F124" s="450"/>
      <c r="G124" s="450"/>
      <c r="H124" s="450"/>
      <c r="I124" s="450"/>
      <c r="J124" s="450"/>
      <c r="K124" s="450"/>
      <c r="L124" s="450"/>
      <c r="M124" s="450"/>
      <c r="N124" s="450"/>
      <c r="O124" s="450"/>
      <c r="P124" s="450"/>
      <c r="Q124" s="450"/>
      <c r="R124" s="514">
        <v>-1034</v>
      </c>
      <c r="S124" s="514"/>
      <c r="T124" s="515"/>
      <c r="U124" s="452"/>
      <c r="V124" s="430"/>
    </row>
    <row r="125" spans="1:22" s="431" customFormat="1" x14ac:dyDescent="0.3">
      <c r="A125" s="449"/>
      <c r="B125" s="450" t="s">
        <v>197</v>
      </c>
      <c r="C125" s="450"/>
      <c r="D125" s="450"/>
      <c r="E125" s="450"/>
      <c r="F125" s="450"/>
      <c r="G125" s="450"/>
      <c r="H125" s="450"/>
      <c r="I125" s="450"/>
      <c r="J125" s="450"/>
      <c r="K125" s="450"/>
      <c r="L125" s="450"/>
      <c r="M125" s="450"/>
      <c r="N125" s="450"/>
      <c r="O125" s="450"/>
      <c r="P125" s="450"/>
      <c r="Q125" s="450"/>
      <c r="R125" s="514">
        <v>-260</v>
      </c>
      <c r="S125" s="514"/>
      <c r="T125" s="515"/>
      <c r="U125" s="452"/>
      <c r="V125" s="430"/>
    </row>
    <row r="126" spans="1:22" s="431" customFormat="1" x14ac:dyDescent="0.3">
      <c r="A126" s="449"/>
      <c r="B126" s="450" t="s">
        <v>196</v>
      </c>
      <c r="C126" s="450"/>
      <c r="D126" s="450"/>
      <c r="E126" s="450"/>
      <c r="F126" s="450"/>
      <c r="G126" s="450"/>
      <c r="H126" s="450"/>
      <c r="I126" s="450"/>
      <c r="J126" s="450"/>
      <c r="K126" s="450"/>
      <c r="L126" s="450"/>
      <c r="M126" s="450"/>
      <c r="N126" s="450"/>
      <c r="O126" s="450"/>
      <c r="P126" s="450"/>
      <c r="Q126" s="450"/>
      <c r="R126" s="514">
        <v>-919</v>
      </c>
      <c r="S126" s="514"/>
      <c r="T126" s="515"/>
      <c r="U126" s="452"/>
      <c r="V126" s="430"/>
    </row>
    <row r="127" spans="1:22" s="431" customFormat="1" x14ac:dyDescent="0.3">
      <c r="A127" s="449"/>
      <c r="B127" s="450" t="s">
        <v>195</v>
      </c>
      <c r="C127" s="450"/>
      <c r="D127" s="450"/>
      <c r="E127" s="450"/>
      <c r="F127" s="450"/>
      <c r="G127" s="450"/>
      <c r="H127" s="450"/>
      <c r="I127" s="450"/>
      <c r="J127" s="450"/>
      <c r="K127" s="450"/>
      <c r="L127" s="450"/>
      <c r="M127" s="450"/>
      <c r="N127" s="450"/>
      <c r="O127" s="450"/>
      <c r="P127" s="450"/>
      <c r="Q127" s="450"/>
      <c r="R127" s="514">
        <v>-978</v>
      </c>
      <c r="S127" s="514"/>
      <c r="T127" s="515"/>
      <c r="U127" s="452"/>
      <c r="V127" s="430"/>
    </row>
    <row r="128" spans="1:22" s="431" customFormat="1" x14ac:dyDescent="0.3">
      <c r="A128" s="449"/>
      <c r="B128" s="450" t="s">
        <v>40</v>
      </c>
      <c r="C128" s="450"/>
      <c r="D128" s="450"/>
      <c r="E128" s="450"/>
      <c r="F128" s="450"/>
      <c r="G128" s="450"/>
      <c r="H128" s="450"/>
      <c r="I128" s="450"/>
      <c r="J128" s="450"/>
      <c r="K128" s="450"/>
      <c r="L128" s="450"/>
      <c r="M128" s="450"/>
      <c r="N128" s="450"/>
      <c r="O128" s="450"/>
      <c r="P128" s="450"/>
      <c r="Q128" s="450"/>
      <c r="R128" s="514">
        <f>SUM(R119:R127)</f>
        <v>-8115</v>
      </c>
      <c r="S128" s="514"/>
      <c r="T128" s="514">
        <f>SUM(T100:T126)</f>
        <v>-2617</v>
      </c>
      <c r="U128" s="452"/>
      <c r="V128" s="430"/>
    </row>
    <row r="129" spans="1:23" s="431" customFormat="1" x14ac:dyDescent="0.3">
      <c r="A129" s="449"/>
      <c r="B129" s="450" t="s">
        <v>41</v>
      </c>
      <c r="C129" s="450"/>
      <c r="D129" s="450"/>
      <c r="E129" s="450"/>
      <c r="F129" s="450"/>
      <c r="G129" s="450"/>
      <c r="H129" s="450"/>
      <c r="I129" s="450"/>
      <c r="J129" s="450"/>
      <c r="K129" s="450"/>
      <c r="L129" s="450"/>
      <c r="M129" s="450"/>
      <c r="N129" s="450"/>
      <c r="O129" s="450"/>
      <c r="P129" s="450"/>
      <c r="Q129" s="450"/>
      <c r="R129" s="514">
        <f>R99+R128+R112</f>
        <v>0</v>
      </c>
      <c r="S129" s="514"/>
      <c r="T129" s="514">
        <f>T99+T128</f>
        <v>0</v>
      </c>
      <c r="U129" s="452"/>
      <c r="V129" s="430"/>
    </row>
    <row r="130" spans="1:23" s="431" customFormat="1" x14ac:dyDescent="0.3">
      <c r="A130" s="432"/>
      <c r="B130" s="447"/>
      <c r="C130" s="447"/>
      <c r="D130" s="447"/>
      <c r="E130" s="447"/>
      <c r="F130" s="447"/>
      <c r="G130" s="447"/>
      <c r="H130" s="447"/>
      <c r="I130" s="447"/>
      <c r="J130" s="447"/>
      <c r="K130" s="447"/>
      <c r="L130" s="447"/>
      <c r="M130" s="447"/>
      <c r="N130" s="447"/>
      <c r="O130" s="447"/>
      <c r="P130" s="447"/>
      <c r="Q130" s="447"/>
      <c r="R130" s="525"/>
      <c r="S130" s="525"/>
      <c r="T130" s="525"/>
      <c r="U130" s="641"/>
      <c r="V130" s="430"/>
    </row>
    <row r="131" spans="1:23" s="431" customFormat="1" x14ac:dyDescent="0.3">
      <c r="A131" s="432"/>
      <c r="B131" s="433"/>
      <c r="C131" s="433"/>
      <c r="D131" s="433"/>
      <c r="E131" s="433"/>
      <c r="F131" s="433"/>
      <c r="G131" s="433"/>
      <c r="H131" s="433"/>
      <c r="I131" s="433"/>
      <c r="J131" s="433"/>
      <c r="K131" s="433"/>
      <c r="L131" s="433"/>
      <c r="M131" s="433"/>
      <c r="N131" s="433"/>
      <c r="O131" s="433"/>
      <c r="P131" s="433"/>
      <c r="Q131" s="433"/>
      <c r="R131" s="433"/>
      <c r="S131" s="433"/>
      <c r="T131" s="537"/>
      <c r="U131" s="641"/>
      <c r="V131" s="430"/>
    </row>
    <row r="132" spans="1:23" s="431" customFormat="1" ht="18.600000000000001" thickBot="1" x14ac:dyDescent="0.4">
      <c r="A132" s="500"/>
      <c r="B132" s="501" t="str">
        <f>B63</f>
        <v>PM11 INVESTOR REPORT QUARTER ENDING MARCH 2019</v>
      </c>
      <c r="C132" s="502"/>
      <c r="D132" s="502"/>
      <c r="E132" s="502"/>
      <c r="F132" s="502"/>
      <c r="G132" s="502"/>
      <c r="H132" s="502"/>
      <c r="I132" s="502"/>
      <c r="J132" s="502"/>
      <c r="K132" s="502"/>
      <c r="L132" s="502"/>
      <c r="M132" s="502"/>
      <c r="N132" s="502"/>
      <c r="O132" s="502"/>
      <c r="P132" s="502"/>
      <c r="Q132" s="502"/>
      <c r="R132" s="502"/>
      <c r="S132" s="502"/>
      <c r="T132" s="538"/>
      <c r="U132" s="504"/>
      <c r="V132" s="430"/>
    </row>
    <row r="133" spans="1:23" x14ac:dyDescent="0.3">
      <c r="A133" s="505"/>
      <c r="B133" s="506" t="s">
        <v>42</v>
      </c>
      <c r="C133" s="507"/>
      <c r="D133" s="507"/>
      <c r="E133" s="507"/>
      <c r="F133" s="507"/>
      <c r="G133" s="507"/>
      <c r="H133" s="507"/>
      <c r="I133" s="507"/>
      <c r="J133" s="507"/>
      <c r="K133" s="507"/>
      <c r="L133" s="507"/>
      <c r="M133" s="507"/>
      <c r="N133" s="507"/>
      <c r="O133" s="507"/>
      <c r="P133" s="507"/>
      <c r="Q133" s="507"/>
      <c r="R133" s="507"/>
      <c r="S133" s="507"/>
      <c r="T133" s="508"/>
      <c r="U133" s="509"/>
      <c r="V133" s="416"/>
    </row>
    <row r="134" spans="1:23" x14ac:dyDescent="0.3">
      <c r="A134" s="418"/>
      <c r="B134" s="539"/>
      <c r="C134" s="420"/>
      <c r="D134" s="420"/>
      <c r="E134" s="420"/>
      <c r="F134" s="420"/>
      <c r="G134" s="420"/>
      <c r="H134" s="420"/>
      <c r="I134" s="420"/>
      <c r="J134" s="420"/>
      <c r="K134" s="420"/>
      <c r="L134" s="420"/>
      <c r="M134" s="420"/>
      <c r="N134" s="420"/>
      <c r="O134" s="420"/>
      <c r="P134" s="420"/>
      <c r="Q134" s="420"/>
      <c r="R134" s="420"/>
      <c r="S134" s="420"/>
      <c r="T134" s="510"/>
      <c r="U134" s="639"/>
      <c r="V134" s="416"/>
    </row>
    <row r="135" spans="1:23" x14ac:dyDescent="0.3">
      <c r="A135" s="418"/>
      <c r="B135" s="540" t="s">
        <v>43</v>
      </c>
      <c r="C135" s="420"/>
      <c r="D135" s="420"/>
      <c r="E135" s="420"/>
      <c r="F135" s="420"/>
      <c r="G135" s="420"/>
      <c r="H135" s="420"/>
      <c r="I135" s="420"/>
      <c r="J135" s="420"/>
      <c r="K135" s="420"/>
      <c r="L135" s="420"/>
      <c r="M135" s="420"/>
      <c r="N135" s="420"/>
      <c r="O135" s="420"/>
      <c r="P135" s="420"/>
      <c r="Q135" s="420"/>
      <c r="R135" s="420"/>
      <c r="S135" s="420"/>
      <c r="T135" s="510"/>
      <c r="U135" s="639"/>
      <c r="V135" s="416"/>
    </row>
    <row r="136" spans="1:23" s="431" customFormat="1" x14ac:dyDescent="0.3">
      <c r="A136" s="449"/>
      <c r="B136" s="450" t="s">
        <v>44</v>
      </c>
      <c r="C136" s="450"/>
      <c r="D136" s="450"/>
      <c r="E136" s="450"/>
      <c r="F136" s="450"/>
      <c r="G136" s="450"/>
      <c r="H136" s="450"/>
      <c r="I136" s="450"/>
      <c r="J136" s="450"/>
      <c r="K136" s="450"/>
      <c r="L136" s="450"/>
      <c r="M136" s="450"/>
      <c r="N136" s="450"/>
      <c r="O136" s="450"/>
      <c r="P136" s="450"/>
      <c r="Q136" s="450"/>
      <c r="R136" s="450"/>
      <c r="S136" s="450"/>
      <c r="T136" s="515">
        <f>+T34*0.019</f>
        <v>19000.95</v>
      </c>
      <c r="U136" s="452"/>
      <c r="V136" s="430"/>
    </row>
    <row r="137" spans="1:23" s="431" customFormat="1" x14ac:dyDescent="0.3">
      <c r="A137" s="449"/>
      <c r="B137" s="450" t="s">
        <v>45</v>
      </c>
      <c r="C137" s="450"/>
      <c r="D137" s="450"/>
      <c r="E137" s="450"/>
      <c r="F137" s="450"/>
      <c r="G137" s="450"/>
      <c r="H137" s="450"/>
      <c r="I137" s="450"/>
      <c r="J137" s="450"/>
      <c r="K137" s="450"/>
      <c r="L137" s="450"/>
      <c r="M137" s="450"/>
      <c r="N137" s="450"/>
      <c r="O137" s="450"/>
      <c r="P137" s="450"/>
      <c r="Q137" s="450"/>
      <c r="R137" s="450"/>
      <c r="S137" s="450"/>
      <c r="T137" s="515">
        <v>19001</v>
      </c>
      <c r="U137" s="452"/>
      <c r="V137" s="430"/>
    </row>
    <row r="138" spans="1:23" s="431" customFormat="1" x14ac:dyDescent="0.3">
      <c r="A138" s="449"/>
      <c r="B138" s="450" t="s">
        <v>142</v>
      </c>
      <c r="C138" s="450"/>
      <c r="D138" s="450"/>
      <c r="E138" s="450"/>
      <c r="F138" s="450"/>
      <c r="G138" s="450"/>
      <c r="H138" s="450"/>
      <c r="I138" s="450"/>
      <c r="J138" s="450"/>
      <c r="K138" s="450"/>
      <c r="L138" s="450"/>
      <c r="M138" s="450"/>
      <c r="N138" s="450"/>
      <c r="O138" s="450"/>
      <c r="P138" s="450"/>
      <c r="Q138" s="450"/>
      <c r="R138" s="450"/>
      <c r="S138" s="450"/>
      <c r="T138" s="515">
        <v>0</v>
      </c>
      <c r="U138" s="452"/>
      <c r="V138" s="430"/>
    </row>
    <row r="139" spans="1:23" s="431" customFormat="1" x14ac:dyDescent="0.3">
      <c r="A139" s="449"/>
      <c r="B139" s="450" t="s">
        <v>129</v>
      </c>
      <c r="C139" s="450"/>
      <c r="D139" s="450"/>
      <c r="E139" s="450"/>
      <c r="F139" s="450"/>
      <c r="G139" s="450"/>
      <c r="H139" s="450"/>
      <c r="I139" s="450"/>
      <c r="J139" s="450"/>
      <c r="K139" s="450"/>
      <c r="L139" s="450"/>
      <c r="M139" s="450"/>
      <c r="N139" s="450"/>
      <c r="O139" s="450"/>
      <c r="P139" s="450"/>
      <c r="Q139" s="450"/>
      <c r="R139" s="450"/>
      <c r="S139" s="450"/>
      <c r="T139" s="515">
        <v>0</v>
      </c>
      <c r="U139" s="452"/>
      <c r="V139" s="430"/>
    </row>
    <row r="140" spans="1:23" s="431" customFormat="1" x14ac:dyDescent="0.3">
      <c r="A140" s="449"/>
      <c r="B140" s="450" t="s">
        <v>130</v>
      </c>
      <c r="C140" s="450"/>
      <c r="D140" s="450"/>
      <c r="E140" s="450"/>
      <c r="F140" s="450"/>
      <c r="G140" s="450"/>
      <c r="H140" s="450"/>
      <c r="I140" s="450"/>
      <c r="J140" s="450"/>
      <c r="K140" s="450"/>
      <c r="L140" s="450"/>
      <c r="M140" s="450"/>
      <c r="N140" s="450"/>
      <c r="O140" s="450"/>
      <c r="P140" s="450"/>
      <c r="Q140" s="450"/>
      <c r="R140" s="450"/>
      <c r="S140" s="450"/>
      <c r="T140" s="515">
        <v>0</v>
      </c>
      <c r="U140" s="452"/>
      <c r="V140" s="430"/>
    </row>
    <row r="141" spans="1:23" s="431" customFormat="1" x14ac:dyDescent="0.3">
      <c r="A141" s="449"/>
      <c r="B141" s="450" t="s">
        <v>182</v>
      </c>
      <c r="C141" s="450"/>
      <c r="D141" s="450"/>
      <c r="E141" s="450"/>
      <c r="F141" s="450"/>
      <c r="G141" s="450"/>
      <c r="H141" s="450"/>
      <c r="I141" s="450"/>
      <c r="J141" s="450"/>
      <c r="K141" s="450"/>
      <c r="L141" s="450"/>
      <c r="M141" s="450"/>
      <c r="N141" s="450"/>
      <c r="O141" s="450"/>
      <c r="P141" s="450"/>
      <c r="Q141" s="450"/>
      <c r="R141" s="450"/>
      <c r="S141" s="450"/>
      <c r="T141" s="515">
        <v>0</v>
      </c>
      <c r="U141" s="452"/>
      <c r="V141" s="430"/>
    </row>
    <row r="142" spans="1:23" s="431" customFormat="1" x14ac:dyDescent="0.3">
      <c r="A142" s="449"/>
      <c r="B142" s="450" t="s">
        <v>46</v>
      </c>
      <c r="C142" s="450"/>
      <c r="D142" s="450"/>
      <c r="E142" s="450"/>
      <c r="F142" s="450"/>
      <c r="G142" s="450"/>
      <c r="H142" s="450"/>
      <c r="I142" s="450"/>
      <c r="J142" s="450"/>
      <c r="K142" s="450"/>
      <c r="L142" s="450"/>
      <c r="M142" s="450"/>
      <c r="N142" s="450"/>
      <c r="O142" s="450"/>
      <c r="P142" s="450"/>
      <c r="Q142" s="450"/>
      <c r="R142" s="450"/>
      <c r="S142" s="450"/>
      <c r="T142" s="515">
        <v>0</v>
      </c>
      <c r="U142" s="452"/>
      <c r="V142" s="430"/>
    </row>
    <row r="143" spans="1:23" s="431" customFormat="1" x14ac:dyDescent="0.3">
      <c r="A143" s="449"/>
      <c r="B143" s="450" t="s">
        <v>135</v>
      </c>
      <c r="C143" s="450"/>
      <c r="D143" s="450"/>
      <c r="E143" s="450"/>
      <c r="F143" s="450"/>
      <c r="G143" s="450"/>
      <c r="H143" s="450"/>
      <c r="I143" s="450"/>
      <c r="J143" s="450"/>
      <c r="K143" s="450"/>
      <c r="L143" s="450"/>
      <c r="M143" s="450"/>
      <c r="N143" s="450"/>
      <c r="O143" s="450"/>
      <c r="P143" s="450"/>
      <c r="Q143" s="450"/>
      <c r="R143" s="450"/>
      <c r="S143" s="450"/>
      <c r="T143" s="515">
        <v>0</v>
      </c>
      <c r="U143" s="452"/>
      <c r="V143" s="430"/>
    </row>
    <row r="144" spans="1:23" s="431" customFormat="1" x14ac:dyDescent="0.3">
      <c r="A144" s="449"/>
      <c r="B144" s="450" t="s">
        <v>251</v>
      </c>
      <c r="C144" s="450"/>
      <c r="D144" s="450"/>
      <c r="E144" s="450"/>
      <c r="F144" s="450"/>
      <c r="G144" s="450"/>
      <c r="H144" s="450"/>
      <c r="I144" s="450"/>
      <c r="J144" s="450"/>
      <c r="K144" s="450"/>
      <c r="L144" s="450"/>
      <c r="M144" s="450"/>
      <c r="N144" s="450"/>
      <c r="O144" s="450"/>
      <c r="P144" s="450"/>
      <c r="Q144" s="450"/>
      <c r="R144" s="450"/>
      <c r="S144" s="450"/>
      <c r="T144" s="515">
        <v>0</v>
      </c>
      <c r="U144" s="452"/>
      <c r="V144" s="430"/>
      <c r="W144" s="533"/>
    </row>
    <row r="145" spans="1:22" s="431" customFormat="1" x14ac:dyDescent="0.3">
      <c r="A145" s="449"/>
      <c r="B145" s="450" t="s">
        <v>47</v>
      </c>
      <c r="C145" s="450"/>
      <c r="D145" s="450"/>
      <c r="E145" s="450"/>
      <c r="F145" s="450"/>
      <c r="G145" s="450"/>
      <c r="H145" s="450"/>
      <c r="I145" s="450"/>
      <c r="J145" s="450"/>
      <c r="K145" s="450"/>
      <c r="L145" s="450"/>
      <c r="M145" s="450"/>
      <c r="N145" s="450"/>
      <c r="O145" s="450"/>
      <c r="P145" s="450"/>
      <c r="Q145" s="450"/>
      <c r="R145" s="450"/>
      <c r="S145" s="450"/>
      <c r="T145" s="515">
        <f>SUM(T137:T144)</f>
        <v>19001</v>
      </c>
      <c r="U145" s="452"/>
      <c r="V145" s="430"/>
    </row>
    <row r="146" spans="1:22" x14ac:dyDescent="0.3">
      <c r="A146" s="468"/>
      <c r="B146" s="470"/>
      <c r="C146" s="470"/>
      <c r="D146" s="470"/>
      <c r="E146" s="470"/>
      <c r="F146" s="470"/>
      <c r="G146" s="470"/>
      <c r="H146" s="470"/>
      <c r="I146" s="470"/>
      <c r="J146" s="470"/>
      <c r="K146" s="470"/>
      <c r="L146" s="470"/>
      <c r="M146" s="470"/>
      <c r="N146" s="470"/>
      <c r="O146" s="470"/>
      <c r="P146" s="470"/>
      <c r="Q146" s="470"/>
      <c r="R146" s="470"/>
      <c r="S146" s="470"/>
      <c r="T146" s="531"/>
      <c r="U146" s="476"/>
      <c r="V146" s="416"/>
    </row>
    <row r="147" spans="1:22" x14ac:dyDescent="0.3">
      <c r="A147" s="468"/>
      <c r="B147" s="529" t="s">
        <v>262</v>
      </c>
      <c r="C147" s="470"/>
      <c r="D147" s="470"/>
      <c r="E147" s="470"/>
      <c r="F147" s="470"/>
      <c r="G147" s="470"/>
      <c r="H147" s="470"/>
      <c r="I147" s="470"/>
      <c r="J147" s="470"/>
      <c r="K147" s="470"/>
      <c r="L147" s="470"/>
      <c r="M147" s="470"/>
      <c r="N147" s="470"/>
      <c r="O147" s="470"/>
      <c r="P147" s="470"/>
      <c r="Q147" s="470"/>
      <c r="R147" s="470"/>
      <c r="S147" s="470"/>
      <c r="T147" s="531"/>
      <c r="U147" s="476"/>
      <c r="V147" s="416"/>
    </row>
    <row r="148" spans="1:22" s="431" customFormat="1" x14ac:dyDescent="0.3">
      <c r="A148" s="449"/>
      <c r="B148" s="450" t="s">
        <v>263</v>
      </c>
      <c r="C148" s="450"/>
      <c r="D148" s="450"/>
      <c r="E148" s="450"/>
      <c r="F148" s="450"/>
      <c r="G148" s="450"/>
      <c r="H148" s="450"/>
      <c r="I148" s="450"/>
      <c r="J148" s="450"/>
      <c r="K148" s="450"/>
      <c r="L148" s="450"/>
      <c r="M148" s="450"/>
      <c r="N148" s="450"/>
      <c r="O148" s="450"/>
      <c r="P148" s="450"/>
      <c r="Q148" s="450"/>
      <c r="R148" s="450"/>
      <c r="S148" s="450"/>
      <c r="T148" s="515">
        <v>0</v>
      </c>
      <c r="U148" s="452"/>
      <c r="V148" s="430"/>
    </row>
    <row r="149" spans="1:22" s="431" customFormat="1" x14ac:dyDescent="0.3">
      <c r="A149" s="449"/>
      <c r="B149" s="450" t="s">
        <v>179</v>
      </c>
      <c r="C149" s="450"/>
      <c r="D149" s="450"/>
      <c r="E149" s="450"/>
      <c r="F149" s="450"/>
      <c r="G149" s="450"/>
      <c r="H149" s="450"/>
      <c r="I149" s="450"/>
      <c r="J149" s="450"/>
      <c r="K149" s="450"/>
      <c r="L149" s="450"/>
      <c r="M149" s="450"/>
      <c r="N149" s="450"/>
      <c r="O149" s="450"/>
      <c r="P149" s="450"/>
      <c r="Q149" s="450"/>
      <c r="R149" s="450"/>
      <c r="S149" s="450"/>
      <c r="T149" s="515">
        <v>0</v>
      </c>
      <c r="U149" s="452"/>
      <c r="V149" s="430"/>
    </row>
    <row r="150" spans="1:22" s="431" customFormat="1" x14ac:dyDescent="0.3">
      <c r="A150" s="449"/>
      <c r="B150" s="450" t="s">
        <v>264</v>
      </c>
      <c r="C150" s="450"/>
      <c r="D150" s="450"/>
      <c r="E150" s="450"/>
      <c r="F150" s="450"/>
      <c r="G150" s="450"/>
      <c r="H150" s="450"/>
      <c r="I150" s="450"/>
      <c r="J150" s="450"/>
      <c r="K150" s="450"/>
      <c r="L150" s="450"/>
      <c r="M150" s="450"/>
      <c r="N150" s="450"/>
      <c r="O150" s="450"/>
      <c r="P150" s="450"/>
      <c r="Q150" s="450"/>
      <c r="R150" s="450"/>
      <c r="S150" s="450"/>
      <c r="T150" s="515">
        <v>0</v>
      </c>
      <c r="U150" s="452"/>
      <c r="V150" s="430"/>
    </row>
    <row r="151" spans="1:22" x14ac:dyDescent="0.3">
      <c r="A151" s="468"/>
      <c r="B151" s="541"/>
      <c r="C151" s="541"/>
      <c r="D151" s="541"/>
      <c r="E151" s="541"/>
      <c r="F151" s="541"/>
      <c r="G151" s="541"/>
      <c r="H151" s="541"/>
      <c r="I151" s="541"/>
      <c r="J151" s="541"/>
      <c r="K151" s="541"/>
      <c r="L151" s="541"/>
      <c r="M151" s="541"/>
      <c r="N151" s="541"/>
      <c r="O151" s="541"/>
      <c r="P151" s="541"/>
      <c r="Q151" s="541"/>
      <c r="R151" s="541"/>
      <c r="S151" s="541"/>
      <c r="T151" s="542"/>
      <c r="U151" s="543"/>
      <c r="V151" s="416"/>
    </row>
    <row r="152" spans="1:22" x14ac:dyDescent="0.3">
      <c r="A152" s="418"/>
      <c r="B152" s="516"/>
      <c r="C152" s="516"/>
      <c r="D152" s="516"/>
      <c r="E152" s="516"/>
      <c r="F152" s="516"/>
      <c r="G152" s="516"/>
      <c r="H152" s="516"/>
      <c r="I152" s="516"/>
      <c r="J152" s="516"/>
      <c r="K152" s="516"/>
      <c r="L152" s="516"/>
      <c r="M152" s="516"/>
      <c r="N152" s="516"/>
      <c r="O152" s="516"/>
      <c r="P152" s="516"/>
      <c r="Q152" s="516"/>
      <c r="R152" s="516"/>
      <c r="S152" s="516"/>
      <c r="T152" s="544"/>
      <c r="U152" s="639"/>
      <c r="V152" s="416"/>
    </row>
    <row r="153" spans="1:22" x14ac:dyDescent="0.3">
      <c r="A153" s="418"/>
      <c r="B153" s="540" t="s">
        <v>24</v>
      </c>
      <c r="C153" s="420"/>
      <c r="D153" s="420"/>
      <c r="E153" s="420"/>
      <c r="F153" s="420"/>
      <c r="G153" s="420"/>
      <c r="H153" s="420"/>
      <c r="I153" s="420"/>
      <c r="J153" s="420"/>
      <c r="K153" s="420"/>
      <c r="L153" s="420"/>
      <c r="M153" s="420"/>
      <c r="N153" s="420"/>
      <c r="O153" s="420"/>
      <c r="P153" s="420"/>
      <c r="Q153" s="420"/>
      <c r="R153" s="420"/>
      <c r="S153" s="420"/>
      <c r="T153" s="510"/>
      <c r="U153" s="639"/>
      <c r="V153" s="416"/>
    </row>
    <row r="154" spans="1:22" s="431" customFormat="1" x14ac:dyDescent="0.3">
      <c r="A154" s="449"/>
      <c r="B154" s="450" t="s">
        <v>48</v>
      </c>
      <c r="C154" s="450"/>
      <c r="D154" s="450"/>
      <c r="E154" s="450"/>
      <c r="F154" s="450"/>
      <c r="G154" s="450"/>
      <c r="H154" s="450"/>
      <c r="I154" s="450"/>
      <c r="J154" s="450"/>
      <c r="K154" s="450"/>
      <c r="L154" s="450"/>
      <c r="M154" s="450"/>
      <c r="N154" s="450"/>
      <c r="O154" s="450"/>
      <c r="P154" s="450"/>
      <c r="Q154" s="450"/>
      <c r="R154" s="450"/>
      <c r="S154" s="450"/>
      <c r="T154" s="545" t="s">
        <v>124</v>
      </c>
      <c r="U154" s="452"/>
      <c r="V154" s="430"/>
    </row>
    <row r="155" spans="1:22" s="431" customFormat="1" x14ac:dyDescent="0.3">
      <c r="A155" s="449"/>
      <c r="B155" s="450" t="s">
        <v>49</v>
      </c>
      <c r="C155" s="450"/>
      <c r="D155" s="450"/>
      <c r="E155" s="450"/>
      <c r="F155" s="450"/>
      <c r="G155" s="450"/>
      <c r="H155" s="450"/>
      <c r="I155" s="450"/>
      <c r="J155" s="450"/>
      <c r="K155" s="450"/>
      <c r="L155" s="450"/>
      <c r="M155" s="450"/>
      <c r="N155" s="450"/>
      <c r="O155" s="450"/>
      <c r="P155" s="450"/>
      <c r="Q155" s="450"/>
      <c r="R155" s="450"/>
      <c r="S155" s="450"/>
      <c r="T155" s="545" t="s">
        <v>124</v>
      </c>
      <c r="U155" s="452"/>
      <c r="V155" s="430"/>
    </row>
    <row r="156" spans="1:22" s="431" customFormat="1" x14ac:dyDescent="0.3">
      <c r="A156" s="449"/>
      <c r="B156" s="450" t="s">
        <v>50</v>
      </c>
      <c r="C156" s="450"/>
      <c r="D156" s="450"/>
      <c r="E156" s="450"/>
      <c r="F156" s="450"/>
      <c r="G156" s="450"/>
      <c r="H156" s="450"/>
      <c r="I156" s="450"/>
      <c r="J156" s="450"/>
      <c r="K156" s="450"/>
      <c r="L156" s="450"/>
      <c r="M156" s="450"/>
      <c r="N156" s="450"/>
      <c r="O156" s="450"/>
      <c r="P156" s="450"/>
      <c r="Q156" s="450"/>
      <c r="R156" s="450"/>
      <c r="S156" s="450"/>
      <c r="T156" s="545" t="s">
        <v>124</v>
      </c>
      <c r="U156" s="452"/>
      <c r="V156" s="430"/>
    </row>
    <row r="157" spans="1:22" s="431" customFormat="1" x14ac:dyDescent="0.3">
      <c r="A157" s="449"/>
      <c r="B157" s="450" t="s">
        <v>51</v>
      </c>
      <c r="C157" s="450"/>
      <c r="D157" s="450"/>
      <c r="E157" s="450"/>
      <c r="F157" s="450"/>
      <c r="G157" s="450"/>
      <c r="H157" s="450"/>
      <c r="I157" s="450"/>
      <c r="J157" s="450"/>
      <c r="K157" s="450"/>
      <c r="L157" s="450"/>
      <c r="M157" s="450"/>
      <c r="N157" s="450"/>
      <c r="O157" s="450"/>
      <c r="P157" s="450"/>
      <c r="Q157" s="450"/>
      <c r="R157" s="450"/>
      <c r="S157" s="450"/>
      <c r="T157" s="545" t="s">
        <v>124</v>
      </c>
      <c r="U157" s="452"/>
      <c r="V157" s="430"/>
    </row>
    <row r="158" spans="1:22" x14ac:dyDescent="0.3">
      <c r="A158" s="418"/>
      <c r="B158" s="516"/>
      <c r="C158" s="516"/>
      <c r="D158" s="516"/>
      <c r="E158" s="516"/>
      <c r="F158" s="516"/>
      <c r="G158" s="516"/>
      <c r="H158" s="516"/>
      <c r="I158" s="516"/>
      <c r="J158" s="516"/>
      <c r="K158" s="516"/>
      <c r="L158" s="516"/>
      <c r="M158" s="516"/>
      <c r="N158" s="516"/>
      <c r="O158" s="516"/>
      <c r="P158" s="516"/>
      <c r="Q158" s="516"/>
      <c r="R158" s="516"/>
      <c r="S158" s="516"/>
      <c r="T158" s="544"/>
      <c r="U158" s="639"/>
      <c r="V158" s="416"/>
    </row>
    <row r="159" spans="1:22" x14ac:dyDescent="0.3">
      <c r="A159" s="418"/>
      <c r="B159" s="540" t="s">
        <v>52</v>
      </c>
      <c r="C159" s="420"/>
      <c r="D159" s="420"/>
      <c r="E159" s="420"/>
      <c r="F159" s="420"/>
      <c r="G159" s="420"/>
      <c r="H159" s="420"/>
      <c r="I159" s="420"/>
      <c r="J159" s="420"/>
      <c r="K159" s="420"/>
      <c r="L159" s="420"/>
      <c r="M159" s="420"/>
      <c r="N159" s="420"/>
      <c r="O159" s="420"/>
      <c r="P159" s="420"/>
      <c r="Q159" s="420"/>
      <c r="R159" s="420"/>
      <c r="S159" s="420"/>
      <c r="T159" s="546"/>
      <c r="U159" s="639"/>
      <c r="V159" s="416"/>
    </row>
    <row r="160" spans="1:22" s="431" customFormat="1" x14ac:dyDescent="0.3">
      <c r="A160" s="449"/>
      <c r="B160" s="450" t="s">
        <v>53</v>
      </c>
      <c r="C160" s="450"/>
      <c r="D160" s="450"/>
      <c r="E160" s="450"/>
      <c r="F160" s="450"/>
      <c r="G160" s="450"/>
      <c r="H160" s="450"/>
      <c r="I160" s="450"/>
      <c r="J160" s="450"/>
      <c r="K160" s="450"/>
      <c r="L160" s="450"/>
      <c r="M160" s="450"/>
      <c r="N160" s="450"/>
      <c r="O160" s="450"/>
      <c r="P160" s="450"/>
      <c r="Q160" s="450"/>
      <c r="R160" s="450"/>
      <c r="S160" s="450"/>
      <c r="T160" s="515">
        <v>0</v>
      </c>
      <c r="U160" s="452"/>
      <c r="V160" s="430"/>
    </row>
    <row r="161" spans="1:22" s="431" customFormat="1" x14ac:dyDescent="0.3">
      <c r="A161" s="449"/>
      <c r="B161" s="450" t="s">
        <v>54</v>
      </c>
      <c r="C161" s="450"/>
      <c r="D161" s="450"/>
      <c r="E161" s="450"/>
      <c r="F161" s="450"/>
      <c r="G161" s="450"/>
      <c r="H161" s="450"/>
      <c r="I161" s="450"/>
      <c r="J161" s="450"/>
      <c r="K161" s="450"/>
      <c r="L161" s="450"/>
      <c r="M161" s="450"/>
      <c r="N161" s="450"/>
      <c r="O161" s="450"/>
      <c r="P161" s="450"/>
      <c r="Q161" s="450"/>
      <c r="R161" s="450"/>
      <c r="S161" s="450"/>
      <c r="T161" s="515">
        <f>R112</f>
        <v>-38</v>
      </c>
      <c r="U161" s="452"/>
      <c r="V161" s="430"/>
    </row>
    <row r="162" spans="1:22" s="431" customFormat="1" x14ac:dyDescent="0.3">
      <c r="A162" s="449"/>
      <c r="B162" s="450" t="s">
        <v>55</v>
      </c>
      <c r="C162" s="450"/>
      <c r="D162" s="450"/>
      <c r="E162" s="450"/>
      <c r="F162" s="450"/>
      <c r="G162" s="450"/>
      <c r="H162" s="450"/>
      <c r="I162" s="450"/>
      <c r="J162" s="450"/>
      <c r="K162" s="450"/>
      <c r="L162" s="450"/>
      <c r="M162" s="450"/>
      <c r="N162" s="450"/>
      <c r="O162" s="450"/>
      <c r="P162" s="450"/>
      <c r="Q162" s="450"/>
      <c r="R162" s="450"/>
      <c r="S162" s="450"/>
      <c r="T162" s="515">
        <f>T161+T160</f>
        <v>-38</v>
      </c>
      <c r="U162" s="452"/>
      <c r="V162" s="430"/>
    </row>
    <row r="163" spans="1:22" s="431" customFormat="1" x14ac:dyDescent="0.3">
      <c r="A163" s="449"/>
      <c r="B163" s="450" t="s">
        <v>301</v>
      </c>
      <c r="C163" s="450"/>
      <c r="D163" s="450"/>
      <c r="E163" s="450"/>
      <c r="F163" s="450"/>
      <c r="G163" s="450"/>
      <c r="H163" s="450"/>
      <c r="I163" s="450"/>
      <c r="J163" s="450"/>
      <c r="K163" s="450"/>
      <c r="L163" s="450"/>
      <c r="M163" s="450"/>
      <c r="N163" s="450"/>
      <c r="O163" s="450"/>
      <c r="P163" s="450"/>
      <c r="Q163" s="450"/>
      <c r="R163" s="450"/>
      <c r="S163" s="450"/>
      <c r="T163" s="515">
        <f>T112</f>
        <v>38</v>
      </c>
      <c r="U163" s="452"/>
      <c r="V163" s="430"/>
    </row>
    <row r="164" spans="1:22" s="431" customFormat="1" x14ac:dyDescent="0.3">
      <c r="A164" s="449"/>
      <c r="B164" s="450" t="s">
        <v>56</v>
      </c>
      <c r="C164" s="450"/>
      <c r="D164" s="450"/>
      <c r="E164" s="450"/>
      <c r="F164" s="450"/>
      <c r="G164" s="450"/>
      <c r="H164" s="450"/>
      <c r="I164" s="450"/>
      <c r="J164" s="450"/>
      <c r="K164" s="450"/>
      <c r="L164" s="450"/>
      <c r="M164" s="450"/>
      <c r="N164" s="450"/>
      <c r="O164" s="450"/>
      <c r="P164" s="450"/>
      <c r="Q164" s="450"/>
      <c r="R164" s="450"/>
      <c r="S164" s="450"/>
      <c r="T164" s="515">
        <f>T162+T163</f>
        <v>0</v>
      </c>
      <c r="U164" s="452"/>
      <c r="V164" s="430"/>
    </row>
    <row r="165" spans="1:22" s="431" customFormat="1" x14ac:dyDescent="0.3">
      <c r="A165" s="449"/>
      <c r="B165" s="450" t="s">
        <v>273</v>
      </c>
      <c r="C165" s="450"/>
      <c r="D165" s="450"/>
      <c r="E165" s="450"/>
      <c r="F165" s="450"/>
      <c r="G165" s="450"/>
      <c r="H165" s="450"/>
      <c r="I165" s="450"/>
      <c r="J165" s="450"/>
      <c r="K165" s="450"/>
      <c r="L165" s="450"/>
      <c r="M165" s="450"/>
      <c r="N165" s="450"/>
      <c r="O165" s="450"/>
      <c r="P165" s="450"/>
      <c r="Q165" s="450"/>
      <c r="R165" s="450"/>
      <c r="S165" s="450"/>
      <c r="T165" s="515">
        <f>-T98</f>
        <v>200</v>
      </c>
      <c r="U165" s="452"/>
      <c r="V165" s="430"/>
    </row>
    <row r="166" spans="1:22" ht="16.2" thickBot="1" x14ac:dyDescent="0.35">
      <c r="A166" s="418"/>
      <c r="B166" s="516"/>
      <c r="C166" s="516"/>
      <c r="D166" s="516"/>
      <c r="E166" s="516"/>
      <c r="F166" s="516"/>
      <c r="G166" s="516"/>
      <c r="H166" s="516"/>
      <c r="I166" s="516"/>
      <c r="J166" s="516"/>
      <c r="K166" s="516"/>
      <c r="L166" s="516"/>
      <c r="M166" s="516"/>
      <c r="N166" s="516"/>
      <c r="O166" s="516"/>
      <c r="P166" s="516"/>
      <c r="Q166" s="516"/>
      <c r="R166" s="516"/>
      <c r="S166" s="516"/>
      <c r="T166" s="544"/>
      <c r="U166" s="639"/>
      <c r="V166" s="416"/>
    </row>
    <row r="167" spans="1:22" x14ac:dyDescent="0.3">
      <c r="A167" s="547"/>
      <c r="B167" s="415"/>
      <c r="C167" s="415"/>
      <c r="D167" s="415"/>
      <c r="E167" s="415"/>
      <c r="F167" s="415"/>
      <c r="G167" s="415"/>
      <c r="H167" s="415"/>
      <c r="I167" s="415"/>
      <c r="J167" s="415"/>
      <c r="K167" s="415"/>
      <c r="L167" s="415"/>
      <c r="M167" s="415"/>
      <c r="N167" s="415"/>
      <c r="O167" s="415"/>
      <c r="P167" s="415"/>
      <c r="Q167" s="415"/>
      <c r="R167" s="415"/>
      <c r="S167" s="415"/>
      <c r="T167" s="548"/>
      <c r="U167" s="638"/>
      <c r="V167" s="416"/>
    </row>
    <row r="168" spans="1:22" x14ac:dyDescent="0.3">
      <c r="A168" s="418"/>
      <c r="B168" s="540" t="s">
        <v>57</v>
      </c>
      <c r="C168" s="420"/>
      <c r="D168" s="420"/>
      <c r="E168" s="420"/>
      <c r="F168" s="420"/>
      <c r="G168" s="420"/>
      <c r="H168" s="420"/>
      <c r="I168" s="420"/>
      <c r="J168" s="420"/>
      <c r="K168" s="420"/>
      <c r="L168" s="420"/>
      <c r="M168" s="420"/>
      <c r="N168" s="420"/>
      <c r="O168" s="420"/>
      <c r="P168" s="420"/>
      <c r="Q168" s="420"/>
      <c r="R168" s="420"/>
      <c r="S168" s="420"/>
      <c r="T168" s="510"/>
      <c r="U168" s="639"/>
      <c r="V168" s="416"/>
    </row>
    <row r="169" spans="1:22" x14ac:dyDescent="0.3">
      <c r="A169" s="418"/>
      <c r="B169" s="540"/>
      <c r="C169" s="420"/>
      <c r="D169" s="420"/>
      <c r="E169" s="420"/>
      <c r="F169" s="420"/>
      <c r="G169" s="420"/>
      <c r="H169" s="420"/>
      <c r="I169" s="420"/>
      <c r="J169" s="420"/>
      <c r="K169" s="420"/>
      <c r="L169" s="420"/>
      <c r="M169" s="420"/>
      <c r="N169" s="420"/>
      <c r="O169" s="420"/>
      <c r="P169" s="420"/>
      <c r="Q169" s="420"/>
      <c r="R169" s="420"/>
      <c r="S169" s="420"/>
      <c r="T169" s="510"/>
      <c r="U169" s="639"/>
      <c r="V169" s="416"/>
    </row>
    <row r="170" spans="1:22" s="431" customFormat="1" x14ac:dyDescent="0.3">
      <c r="A170" s="449"/>
      <c r="B170" s="450" t="s">
        <v>58</v>
      </c>
      <c r="C170" s="450"/>
      <c r="D170" s="450"/>
      <c r="E170" s="450"/>
      <c r="F170" s="450"/>
      <c r="G170" s="450"/>
      <c r="H170" s="450"/>
      <c r="I170" s="450"/>
      <c r="J170" s="450"/>
      <c r="K170" s="450"/>
      <c r="L170" s="450"/>
      <c r="M170" s="450"/>
      <c r="N170" s="450"/>
      <c r="O170" s="450"/>
      <c r="P170" s="450"/>
      <c r="Q170" s="450"/>
      <c r="R170" s="450"/>
      <c r="S170" s="450"/>
      <c r="T170" s="515">
        <f>T70</f>
        <v>380213</v>
      </c>
      <c r="U170" s="452"/>
      <c r="V170" s="430"/>
    </row>
    <row r="171" spans="1:22" s="431" customFormat="1" x14ac:dyDescent="0.3">
      <c r="A171" s="449"/>
      <c r="B171" s="450" t="s">
        <v>59</v>
      </c>
      <c r="C171" s="450"/>
      <c r="D171" s="450"/>
      <c r="E171" s="450"/>
      <c r="F171" s="450"/>
      <c r="G171" s="450"/>
      <c r="H171" s="450"/>
      <c r="I171" s="450"/>
      <c r="J171" s="450"/>
      <c r="K171" s="450"/>
      <c r="L171" s="450"/>
      <c r="M171" s="450"/>
      <c r="N171" s="450"/>
      <c r="O171" s="450"/>
      <c r="P171" s="450"/>
      <c r="Q171" s="450"/>
      <c r="R171" s="450"/>
      <c r="S171" s="450"/>
      <c r="T171" s="515">
        <f>T83</f>
        <v>380213</v>
      </c>
      <c r="U171" s="452"/>
      <c r="V171" s="430"/>
    </row>
    <row r="172" spans="1:22" ht="16.2" thickBot="1" x14ac:dyDescent="0.35">
      <c r="A172" s="418"/>
      <c r="B172" s="516"/>
      <c r="C172" s="516"/>
      <c r="D172" s="516"/>
      <c r="E172" s="516"/>
      <c r="F172" s="516"/>
      <c r="G172" s="516"/>
      <c r="H172" s="516"/>
      <c r="I172" s="516"/>
      <c r="J172" s="516"/>
      <c r="K172" s="516"/>
      <c r="L172" s="516"/>
      <c r="M172" s="516"/>
      <c r="N172" s="516"/>
      <c r="O172" s="516"/>
      <c r="P172" s="516"/>
      <c r="Q172" s="516"/>
      <c r="R172" s="516"/>
      <c r="S172" s="516"/>
      <c r="T172" s="544"/>
      <c r="U172" s="639"/>
      <c r="V172" s="416"/>
    </row>
    <row r="173" spans="1:22" x14ac:dyDescent="0.3">
      <c r="A173" s="547"/>
      <c r="B173" s="415"/>
      <c r="C173" s="415"/>
      <c r="D173" s="415"/>
      <c r="E173" s="415"/>
      <c r="F173" s="415"/>
      <c r="G173" s="415"/>
      <c r="H173" s="415"/>
      <c r="I173" s="415"/>
      <c r="J173" s="415"/>
      <c r="K173" s="415"/>
      <c r="L173" s="415"/>
      <c r="M173" s="415"/>
      <c r="N173" s="415"/>
      <c r="O173" s="415"/>
      <c r="P173" s="415"/>
      <c r="Q173" s="415"/>
      <c r="R173" s="415"/>
      <c r="S173" s="415"/>
      <c r="T173" s="548"/>
      <c r="U173" s="638"/>
      <c r="V173" s="416"/>
    </row>
    <row r="174" spans="1:22" x14ac:dyDescent="0.3">
      <c r="A174" s="418"/>
      <c r="B174" s="540" t="s">
        <v>60</v>
      </c>
      <c r="C174" s="549"/>
      <c r="D174" s="549"/>
      <c r="E174" s="549"/>
      <c r="F174" s="549"/>
      <c r="G174" s="549"/>
      <c r="H174" s="550"/>
      <c r="I174" s="550"/>
      <c r="J174" s="550"/>
      <c r="K174" s="550"/>
      <c r="L174" s="550"/>
      <c r="M174" s="550"/>
      <c r="N174" s="550"/>
      <c r="O174" s="550"/>
      <c r="P174" s="550"/>
      <c r="Q174" s="550" t="s">
        <v>104</v>
      </c>
      <c r="R174" s="550" t="s">
        <v>183</v>
      </c>
      <c r="S174" s="422"/>
      <c r="T174" s="551" t="s">
        <v>120</v>
      </c>
      <c r="U174" s="643"/>
      <c r="V174" s="416"/>
    </row>
    <row r="175" spans="1:22" s="431" customFormat="1" x14ac:dyDescent="0.3">
      <c r="A175" s="449"/>
      <c r="B175" s="450" t="s">
        <v>61</v>
      </c>
      <c r="C175" s="450"/>
      <c r="D175" s="450"/>
      <c r="E175" s="450"/>
      <c r="F175" s="450"/>
      <c r="G175" s="450"/>
      <c r="H175" s="450"/>
      <c r="I175" s="450"/>
      <c r="J175" s="450"/>
      <c r="K175" s="450"/>
      <c r="L175" s="450"/>
      <c r="M175" s="450"/>
      <c r="N175" s="450"/>
      <c r="O175" s="450"/>
      <c r="P175" s="450"/>
      <c r="Q175" s="515">
        <v>160008</v>
      </c>
      <c r="R175" s="486"/>
      <c r="S175" s="450"/>
      <c r="T175" s="515"/>
      <c r="U175" s="452"/>
      <c r="V175" s="430"/>
    </row>
    <row r="176" spans="1:22" s="431" customFormat="1" x14ac:dyDescent="0.3">
      <c r="A176" s="449"/>
      <c r="B176" s="450" t="s">
        <v>62</v>
      </c>
      <c r="C176" s="450"/>
      <c r="D176" s="450"/>
      <c r="E176" s="450"/>
      <c r="F176" s="450"/>
      <c r="G176" s="450"/>
      <c r="H176" s="450"/>
      <c r="I176" s="450"/>
      <c r="J176" s="450"/>
      <c r="K176" s="450"/>
      <c r="L176" s="450"/>
      <c r="M176" s="450"/>
      <c r="N176" s="450"/>
      <c r="O176" s="450"/>
      <c r="P176" s="450"/>
      <c r="Q176" s="515">
        <f>+'Dec 18'!Q178</f>
        <v>41034</v>
      </c>
      <c r="R176" s="515">
        <f>+'Dec 18'!R178</f>
        <v>3447</v>
      </c>
      <c r="S176" s="450"/>
      <c r="T176" s="515">
        <f>Q176+R176</f>
        <v>44481</v>
      </c>
      <c r="U176" s="452"/>
      <c r="V176" s="430"/>
    </row>
    <row r="177" spans="1:22" s="431" customFormat="1" x14ac:dyDescent="0.3">
      <c r="A177" s="449"/>
      <c r="B177" s="450" t="s">
        <v>63</v>
      </c>
      <c r="C177" s="450"/>
      <c r="D177" s="450"/>
      <c r="E177" s="450"/>
      <c r="F177" s="450"/>
      <c r="G177" s="450"/>
      <c r="H177" s="450"/>
      <c r="I177" s="450"/>
      <c r="J177" s="450"/>
      <c r="K177" s="450"/>
      <c r="L177" s="450"/>
      <c r="M177" s="450"/>
      <c r="N177" s="450"/>
      <c r="O177" s="450"/>
      <c r="P177" s="450"/>
      <c r="Q177" s="514">
        <v>0</v>
      </c>
      <c r="R177" s="514">
        <v>5</v>
      </c>
      <c r="S177" s="450"/>
      <c r="T177" s="515">
        <f>Q177+R177</f>
        <v>5</v>
      </c>
      <c r="U177" s="452"/>
      <c r="V177" s="430"/>
    </row>
    <row r="178" spans="1:22" s="431" customFormat="1" x14ac:dyDescent="0.3">
      <c r="A178" s="449"/>
      <c r="B178" s="450" t="s">
        <v>64</v>
      </c>
      <c r="C178" s="450"/>
      <c r="D178" s="450"/>
      <c r="E178" s="450"/>
      <c r="F178" s="450"/>
      <c r="G178" s="450"/>
      <c r="H178" s="450"/>
      <c r="I178" s="450"/>
      <c r="J178" s="450"/>
      <c r="K178" s="450"/>
      <c r="L178" s="450"/>
      <c r="M178" s="450"/>
      <c r="N178" s="450"/>
      <c r="O178" s="450"/>
      <c r="P178" s="450"/>
      <c r="Q178" s="515">
        <f>Q176+Q177</f>
        <v>41034</v>
      </c>
      <c r="R178" s="515">
        <f>R177+R176</f>
        <v>3452</v>
      </c>
      <c r="S178" s="450"/>
      <c r="T178" s="515">
        <f>Q178+R178</f>
        <v>44486</v>
      </c>
      <c r="U178" s="452"/>
      <c r="V178" s="430"/>
    </row>
    <row r="179" spans="1:22" s="431" customFormat="1" x14ac:dyDescent="0.3">
      <c r="A179" s="449"/>
      <c r="B179" s="450" t="s">
        <v>65</v>
      </c>
      <c r="C179" s="450"/>
      <c r="D179" s="450"/>
      <c r="E179" s="450"/>
      <c r="F179" s="450"/>
      <c r="G179" s="450"/>
      <c r="H179" s="450"/>
      <c r="I179" s="450"/>
      <c r="J179" s="450"/>
      <c r="K179" s="450"/>
      <c r="L179" s="450"/>
      <c r="M179" s="450"/>
      <c r="N179" s="450"/>
      <c r="O179" s="450"/>
      <c r="P179" s="450"/>
      <c r="Q179" s="515">
        <f>Q175-Q178-R178</f>
        <v>115522</v>
      </c>
      <c r="R179" s="486"/>
      <c r="S179" s="450"/>
      <c r="T179" s="515"/>
      <c r="U179" s="452"/>
      <c r="V179" s="430"/>
    </row>
    <row r="180" spans="1:22" ht="16.2" thickBot="1" x14ac:dyDescent="0.35">
      <c r="A180" s="418"/>
      <c r="B180" s="516"/>
      <c r="C180" s="516"/>
      <c r="D180" s="516"/>
      <c r="E180" s="516"/>
      <c r="F180" s="516"/>
      <c r="G180" s="516"/>
      <c r="H180" s="516"/>
      <c r="I180" s="516"/>
      <c r="J180" s="516"/>
      <c r="K180" s="516"/>
      <c r="L180" s="516"/>
      <c r="M180" s="516"/>
      <c r="N180" s="516"/>
      <c r="O180" s="516"/>
      <c r="P180" s="516"/>
      <c r="Q180" s="516"/>
      <c r="R180" s="516"/>
      <c r="S180" s="516"/>
      <c r="T180" s="544"/>
      <c r="U180" s="639"/>
      <c r="V180" s="416"/>
    </row>
    <row r="181" spans="1:22" x14ac:dyDescent="0.3">
      <c r="A181" s="547"/>
      <c r="B181" s="415"/>
      <c r="C181" s="415"/>
      <c r="D181" s="415"/>
      <c r="E181" s="415"/>
      <c r="F181" s="415"/>
      <c r="G181" s="415"/>
      <c r="H181" s="415"/>
      <c r="I181" s="415"/>
      <c r="J181" s="415"/>
      <c r="K181" s="415"/>
      <c r="L181" s="415"/>
      <c r="M181" s="415"/>
      <c r="N181" s="415"/>
      <c r="O181" s="415"/>
      <c r="P181" s="415"/>
      <c r="Q181" s="415"/>
      <c r="R181" s="415"/>
      <c r="S181" s="415"/>
      <c r="T181" s="548"/>
      <c r="U181" s="638"/>
      <c r="V181" s="416"/>
    </row>
    <row r="182" spans="1:22" x14ac:dyDescent="0.3">
      <c r="A182" s="418"/>
      <c r="B182" s="540" t="s">
        <v>66</v>
      </c>
      <c r="C182" s="420"/>
      <c r="D182" s="420"/>
      <c r="E182" s="420"/>
      <c r="F182" s="420"/>
      <c r="G182" s="420"/>
      <c r="H182" s="420"/>
      <c r="I182" s="420"/>
      <c r="J182" s="420"/>
      <c r="K182" s="420"/>
      <c r="L182" s="420"/>
      <c r="M182" s="420"/>
      <c r="N182" s="420"/>
      <c r="O182" s="420"/>
      <c r="P182" s="420"/>
      <c r="Q182" s="420"/>
      <c r="R182" s="420"/>
      <c r="S182" s="420"/>
      <c r="T182" s="552"/>
      <c r="U182" s="639"/>
      <c r="V182" s="416"/>
    </row>
    <row r="183" spans="1:22" s="431" customFormat="1" x14ac:dyDescent="0.3">
      <c r="A183" s="449"/>
      <c r="B183" s="450" t="s">
        <v>67</v>
      </c>
      <c r="C183" s="450"/>
      <c r="D183" s="450"/>
      <c r="E183" s="450"/>
      <c r="F183" s="450"/>
      <c r="G183" s="450"/>
      <c r="H183" s="450"/>
      <c r="I183" s="450"/>
      <c r="J183" s="450"/>
      <c r="K183" s="450"/>
      <c r="L183" s="450"/>
      <c r="M183" s="450"/>
      <c r="N183" s="450"/>
      <c r="O183" s="450"/>
      <c r="P183" s="450"/>
      <c r="Q183" s="450"/>
      <c r="R183" s="450"/>
      <c r="S183" s="450"/>
      <c r="T183" s="545">
        <f>(T99+T101+T102+T103+T104)/-(T105+T106)</f>
        <v>3.1851851851851851</v>
      </c>
      <c r="U183" s="452" t="s">
        <v>121</v>
      </c>
      <c r="V183" s="430"/>
    </row>
    <row r="184" spans="1:22" s="431" customFormat="1" x14ac:dyDescent="0.3">
      <c r="A184" s="449"/>
      <c r="B184" s="450" t="s">
        <v>68</v>
      </c>
      <c r="C184" s="450"/>
      <c r="D184" s="450"/>
      <c r="E184" s="450"/>
      <c r="F184" s="450"/>
      <c r="G184" s="450"/>
      <c r="H184" s="450"/>
      <c r="I184" s="450"/>
      <c r="J184" s="450"/>
      <c r="K184" s="450"/>
      <c r="L184" s="450"/>
      <c r="M184" s="450"/>
      <c r="N184" s="450"/>
      <c r="O184" s="450"/>
      <c r="P184" s="450"/>
      <c r="Q184" s="450"/>
      <c r="R184" s="450"/>
      <c r="S184" s="450"/>
      <c r="T184" s="553">
        <v>1.96</v>
      </c>
      <c r="U184" s="452" t="s">
        <v>121</v>
      </c>
      <c r="V184" s="430"/>
    </row>
    <row r="185" spans="1:22" s="431" customFormat="1" x14ac:dyDescent="0.3">
      <c r="A185" s="449"/>
      <c r="B185" s="450" t="s">
        <v>69</v>
      </c>
      <c r="C185" s="450"/>
      <c r="D185" s="450"/>
      <c r="E185" s="450"/>
      <c r="F185" s="450"/>
      <c r="G185" s="450"/>
      <c r="H185" s="450"/>
      <c r="I185" s="450"/>
      <c r="J185" s="450"/>
      <c r="K185" s="450"/>
      <c r="L185" s="450"/>
      <c r="M185" s="450"/>
      <c r="N185" s="450"/>
      <c r="O185" s="450"/>
      <c r="P185" s="450"/>
      <c r="Q185" s="450"/>
      <c r="R185" s="450"/>
      <c r="S185" s="450"/>
      <c r="T185" s="545">
        <f>(T99+T101+T102+T103+T104+T105+T106)/-(T107+T108)</f>
        <v>8.26</v>
      </c>
      <c r="U185" s="452" t="s">
        <v>121</v>
      </c>
      <c r="V185" s="430"/>
    </row>
    <row r="186" spans="1:22" s="431" customFormat="1" x14ac:dyDescent="0.3">
      <c r="A186" s="449"/>
      <c r="B186" s="450" t="s">
        <v>70</v>
      </c>
      <c r="C186" s="450"/>
      <c r="D186" s="450"/>
      <c r="E186" s="450"/>
      <c r="F186" s="450"/>
      <c r="G186" s="450"/>
      <c r="H186" s="450"/>
      <c r="I186" s="450"/>
      <c r="J186" s="450"/>
      <c r="K186" s="450"/>
      <c r="L186" s="450"/>
      <c r="M186" s="450"/>
      <c r="N186" s="450"/>
      <c r="O186" s="450"/>
      <c r="P186" s="450"/>
      <c r="Q186" s="450"/>
      <c r="R186" s="450"/>
      <c r="S186" s="450"/>
      <c r="T186" s="553">
        <v>7.19</v>
      </c>
      <c r="U186" s="452" t="s">
        <v>121</v>
      </c>
      <c r="V186" s="430"/>
    </row>
    <row r="187" spans="1:22" s="431" customFormat="1" x14ac:dyDescent="0.3">
      <c r="A187" s="449"/>
      <c r="B187" s="450" t="s">
        <v>206</v>
      </c>
      <c r="C187" s="450"/>
      <c r="D187" s="450"/>
      <c r="E187" s="450"/>
      <c r="F187" s="450"/>
      <c r="G187" s="450"/>
      <c r="H187" s="450"/>
      <c r="I187" s="450"/>
      <c r="J187" s="450"/>
      <c r="K187" s="450"/>
      <c r="L187" s="450"/>
      <c r="M187" s="450"/>
      <c r="N187" s="450"/>
      <c r="O187" s="450"/>
      <c r="P187" s="450"/>
      <c r="Q187" s="450"/>
      <c r="R187" s="450"/>
      <c r="S187" s="450"/>
      <c r="T187" s="545">
        <f>(T99+T101+T102+T103+T104+T105+T106+T107+T108)/-(T109)</f>
        <v>6.6</v>
      </c>
      <c r="U187" s="452" t="s">
        <v>121</v>
      </c>
      <c r="V187" s="430"/>
    </row>
    <row r="188" spans="1:22" s="431" customFormat="1" x14ac:dyDescent="0.3">
      <c r="A188" s="449"/>
      <c r="B188" s="450" t="s">
        <v>207</v>
      </c>
      <c r="C188" s="450"/>
      <c r="D188" s="450"/>
      <c r="E188" s="450"/>
      <c r="F188" s="450"/>
      <c r="G188" s="450"/>
      <c r="H188" s="450"/>
      <c r="I188" s="450"/>
      <c r="J188" s="450"/>
      <c r="K188" s="450"/>
      <c r="L188" s="450"/>
      <c r="M188" s="450"/>
      <c r="N188" s="450"/>
      <c r="O188" s="450"/>
      <c r="P188" s="450"/>
      <c r="Q188" s="450"/>
      <c r="R188" s="450"/>
      <c r="S188" s="450"/>
      <c r="T188" s="553">
        <v>6.37</v>
      </c>
      <c r="U188" s="452" t="s">
        <v>121</v>
      </c>
      <c r="V188" s="430"/>
    </row>
    <row r="189" spans="1:22" x14ac:dyDescent="0.3">
      <c r="A189" s="468"/>
      <c r="B189" s="470"/>
      <c r="C189" s="470"/>
      <c r="D189" s="470"/>
      <c r="E189" s="470"/>
      <c r="F189" s="470"/>
      <c r="G189" s="470"/>
      <c r="H189" s="470"/>
      <c r="I189" s="470"/>
      <c r="J189" s="470"/>
      <c r="K189" s="470"/>
      <c r="L189" s="470"/>
      <c r="M189" s="470"/>
      <c r="N189" s="470"/>
      <c r="O189" s="470"/>
      <c r="P189" s="470"/>
      <c r="Q189" s="470"/>
      <c r="R189" s="470"/>
      <c r="S189" s="470"/>
      <c r="T189" s="470"/>
      <c r="U189" s="476"/>
      <c r="V189" s="416"/>
    </row>
    <row r="190" spans="1:22" x14ac:dyDescent="0.3">
      <c r="A190" s="418"/>
      <c r="B190" s="516"/>
      <c r="C190" s="516"/>
      <c r="D190" s="516"/>
      <c r="E190" s="516"/>
      <c r="F190" s="516"/>
      <c r="G190" s="516"/>
      <c r="H190" s="516"/>
      <c r="I190" s="516"/>
      <c r="J190" s="516"/>
      <c r="K190" s="516"/>
      <c r="L190" s="516"/>
      <c r="M190" s="516"/>
      <c r="N190" s="516"/>
      <c r="O190" s="516"/>
      <c r="P190" s="516"/>
      <c r="Q190" s="516"/>
      <c r="R190" s="516"/>
      <c r="S190" s="516"/>
      <c r="T190" s="516"/>
      <c r="U190" s="639"/>
      <c r="V190" s="416"/>
    </row>
    <row r="191" spans="1:22" x14ac:dyDescent="0.3">
      <c r="A191" s="418"/>
      <c r="B191" s="420"/>
      <c r="C191" s="420"/>
      <c r="D191" s="420"/>
      <c r="E191" s="420"/>
      <c r="F191" s="420"/>
      <c r="G191" s="420"/>
      <c r="H191" s="420"/>
      <c r="I191" s="420"/>
      <c r="J191" s="420"/>
      <c r="K191" s="420"/>
      <c r="L191" s="420"/>
      <c r="M191" s="420"/>
      <c r="N191" s="420"/>
      <c r="O191" s="420"/>
      <c r="P191" s="420"/>
      <c r="Q191" s="420"/>
      <c r="R191" s="420"/>
      <c r="S191" s="420"/>
      <c r="T191" s="420"/>
      <c r="U191" s="639"/>
      <c r="V191" s="416"/>
    </row>
    <row r="192" spans="1:22" ht="18.600000000000001" thickBot="1" x14ac:dyDescent="0.4">
      <c r="A192" s="554"/>
      <c r="B192" s="501" t="str">
        <f>B132</f>
        <v>PM11 INVESTOR REPORT QUARTER ENDING MARCH 2019</v>
      </c>
      <c r="C192" s="555"/>
      <c r="D192" s="555"/>
      <c r="E192" s="555"/>
      <c r="F192" s="555"/>
      <c r="G192" s="555"/>
      <c r="H192" s="555"/>
      <c r="I192" s="555"/>
      <c r="J192" s="555"/>
      <c r="K192" s="555"/>
      <c r="L192" s="555"/>
      <c r="M192" s="555"/>
      <c r="N192" s="555"/>
      <c r="O192" s="555"/>
      <c r="P192" s="555"/>
      <c r="Q192" s="555"/>
      <c r="R192" s="555"/>
      <c r="S192" s="555"/>
      <c r="T192" s="555"/>
      <c r="U192" s="556"/>
      <c r="V192" s="416"/>
    </row>
    <row r="193" spans="1:22" x14ac:dyDescent="0.3">
      <c r="A193" s="505"/>
      <c r="B193" s="506" t="s">
        <v>71</v>
      </c>
      <c r="C193" s="627"/>
      <c r="D193" s="627"/>
      <c r="E193" s="627"/>
      <c r="F193" s="627"/>
      <c r="G193" s="628"/>
      <c r="H193" s="628"/>
      <c r="I193" s="628"/>
      <c r="J193" s="628"/>
      <c r="K193" s="628"/>
      <c r="L193" s="628"/>
      <c r="M193" s="628"/>
      <c r="N193" s="628"/>
      <c r="O193" s="628"/>
      <c r="P193" s="628"/>
      <c r="Q193" s="628"/>
      <c r="R193" s="629">
        <v>43553</v>
      </c>
      <c r="S193" s="507"/>
      <c r="T193" s="507"/>
      <c r="U193" s="509"/>
      <c r="V193" s="416"/>
    </row>
    <row r="194" spans="1:22" x14ac:dyDescent="0.3">
      <c r="A194" s="557"/>
      <c r="B194" s="558"/>
      <c r="C194" s="559"/>
      <c r="D194" s="559"/>
      <c r="E194" s="559"/>
      <c r="F194" s="559"/>
      <c r="G194" s="560"/>
      <c r="H194" s="560"/>
      <c r="I194" s="560"/>
      <c r="J194" s="560"/>
      <c r="K194" s="560"/>
      <c r="L194" s="560"/>
      <c r="M194" s="560"/>
      <c r="N194" s="560"/>
      <c r="O194" s="560"/>
      <c r="P194" s="560"/>
      <c r="Q194" s="560"/>
      <c r="R194" s="560"/>
      <c r="S194" s="420"/>
      <c r="T194" s="420"/>
      <c r="U194" s="639"/>
      <c r="V194" s="416"/>
    </row>
    <row r="195" spans="1:22" s="431" customFormat="1" x14ac:dyDescent="0.3">
      <c r="A195" s="449"/>
      <c r="B195" s="450" t="s">
        <v>72</v>
      </c>
      <c r="C195" s="561"/>
      <c r="D195" s="561"/>
      <c r="E195" s="561"/>
      <c r="F195" s="561"/>
      <c r="G195" s="490"/>
      <c r="H195" s="490"/>
      <c r="I195" s="490"/>
      <c r="J195" s="490"/>
      <c r="K195" s="490"/>
      <c r="L195" s="490"/>
      <c r="M195" s="490"/>
      <c r="N195" s="490"/>
      <c r="O195" s="490"/>
      <c r="P195" s="490"/>
      <c r="Q195" s="490"/>
      <c r="R195" s="483">
        <v>5.1569999999999998E-2</v>
      </c>
      <c r="S195" s="450"/>
      <c r="T195" s="450"/>
      <c r="U195" s="452"/>
      <c r="V195" s="430"/>
    </row>
    <row r="196" spans="1:22" s="431" customFormat="1" x14ac:dyDescent="0.3">
      <c r="A196" s="449"/>
      <c r="B196" s="450" t="s">
        <v>157</v>
      </c>
      <c r="C196" s="561"/>
      <c r="D196" s="561"/>
      <c r="E196" s="561"/>
      <c r="F196" s="561"/>
      <c r="G196" s="490"/>
      <c r="H196" s="490"/>
      <c r="I196" s="490"/>
      <c r="J196" s="490"/>
      <c r="K196" s="490"/>
      <c r="L196" s="490"/>
      <c r="M196" s="490"/>
      <c r="N196" s="490"/>
      <c r="O196" s="490"/>
      <c r="P196" s="490"/>
      <c r="Q196" s="490"/>
      <c r="R196" s="483">
        <v>4.6899999999999997E-2</v>
      </c>
      <c r="S196" s="450"/>
      <c r="T196" s="450"/>
      <c r="U196" s="452"/>
      <c r="V196" s="430"/>
    </row>
    <row r="197" spans="1:22" s="431" customFormat="1" x14ac:dyDescent="0.3">
      <c r="A197" s="449"/>
      <c r="B197" s="450" t="s">
        <v>73</v>
      </c>
      <c r="C197" s="561"/>
      <c r="D197" s="561"/>
      <c r="E197" s="561"/>
      <c r="F197" s="561"/>
      <c r="G197" s="490"/>
      <c r="H197" s="490"/>
      <c r="I197" s="490"/>
      <c r="J197" s="490"/>
      <c r="K197" s="490"/>
      <c r="L197" s="490"/>
      <c r="M197" s="490"/>
      <c r="N197" s="490"/>
      <c r="O197" s="490"/>
      <c r="P197" s="490"/>
      <c r="Q197" s="490"/>
      <c r="R197" s="483">
        <f>R195-R196</f>
        <v>4.6700000000000005E-3</v>
      </c>
      <c r="S197" s="450"/>
      <c r="T197" s="450"/>
      <c r="U197" s="452"/>
      <c r="V197" s="430"/>
    </row>
    <row r="198" spans="1:22" s="431" customFormat="1" x14ac:dyDescent="0.3">
      <c r="A198" s="449"/>
      <c r="B198" s="450" t="s">
        <v>74</v>
      </c>
      <c r="C198" s="561"/>
      <c r="D198" s="561"/>
      <c r="E198" s="561"/>
      <c r="F198" s="561"/>
      <c r="G198" s="490"/>
      <c r="H198" s="490"/>
      <c r="I198" s="490"/>
      <c r="J198" s="490"/>
      <c r="K198" s="490"/>
      <c r="L198" s="490"/>
      <c r="M198" s="490"/>
      <c r="N198" s="490"/>
      <c r="O198" s="490"/>
      <c r="P198" s="490"/>
      <c r="Q198" s="490"/>
      <c r="R198" s="483">
        <v>2.6950000000000002E-2</v>
      </c>
      <c r="S198" s="450"/>
      <c r="T198" s="450"/>
      <c r="U198" s="452"/>
      <c r="V198" s="430"/>
    </row>
    <row r="199" spans="1:22" s="431" customFormat="1" x14ac:dyDescent="0.3">
      <c r="A199" s="449"/>
      <c r="B199" s="450" t="s">
        <v>257</v>
      </c>
      <c r="C199" s="561"/>
      <c r="D199" s="561"/>
      <c r="E199" s="561"/>
      <c r="F199" s="561"/>
      <c r="G199" s="490"/>
      <c r="H199" s="490"/>
      <c r="I199" s="490"/>
      <c r="J199" s="490"/>
      <c r="K199" s="490"/>
      <c r="L199" s="490"/>
      <c r="M199" s="490"/>
      <c r="N199" s="490"/>
      <c r="O199" s="490"/>
      <c r="P199" s="490"/>
      <c r="Q199" s="490"/>
      <c r="R199" s="483">
        <f>T43</f>
        <v>1.228346997101629E-2</v>
      </c>
      <c r="S199" s="450"/>
      <c r="T199" s="450"/>
      <c r="U199" s="452"/>
      <c r="V199" s="430"/>
    </row>
    <row r="200" spans="1:22" s="431" customFormat="1" x14ac:dyDescent="0.3">
      <c r="A200" s="449"/>
      <c r="B200" s="450" t="s">
        <v>75</v>
      </c>
      <c r="C200" s="561"/>
      <c r="D200" s="561"/>
      <c r="E200" s="561"/>
      <c r="F200" s="561"/>
      <c r="G200" s="490"/>
      <c r="H200" s="490"/>
      <c r="I200" s="490"/>
      <c r="J200" s="490"/>
      <c r="K200" s="490"/>
      <c r="L200" s="490"/>
      <c r="M200" s="490"/>
      <c r="N200" s="490"/>
      <c r="O200" s="490"/>
      <c r="P200" s="490"/>
      <c r="Q200" s="490"/>
      <c r="R200" s="483">
        <f>R198-R199</f>
        <v>1.4666530028983712E-2</v>
      </c>
      <c r="S200" s="450"/>
      <c r="T200" s="450"/>
      <c r="U200" s="452"/>
      <c r="V200" s="430"/>
    </row>
    <row r="201" spans="1:22" s="431" customFormat="1" x14ac:dyDescent="0.3">
      <c r="A201" s="449"/>
      <c r="B201" s="450" t="s">
        <v>260</v>
      </c>
      <c r="C201" s="561"/>
      <c r="D201" s="561"/>
      <c r="E201" s="561"/>
      <c r="F201" s="561"/>
      <c r="G201" s="490"/>
      <c r="H201" s="490"/>
      <c r="I201" s="490"/>
      <c r="J201" s="490"/>
      <c r="K201" s="490"/>
      <c r="L201" s="490"/>
      <c r="M201" s="490"/>
      <c r="N201" s="490"/>
      <c r="O201" s="490"/>
      <c r="P201" s="490"/>
      <c r="Q201" s="490"/>
      <c r="R201" s="483">
        <f>+T99/L70</f>
        <v>6.7392351212779049E-3</v>
      </c>
      <c r="S201" s="450"/>
      <c r="T201" s="450"/>
      <c r="U201" s="452"/>
      <c r="V201" s="430"/>
    </row>
    <row r="202" spans="1:22" s="431" customFormat="1" x14ac:dyDescent="0.3">
      <c r="A202" s="449"/>
      <c r="B202" s="450" t="s">
        <v>217</v>
      </c>
      <c r="C202" s="561"/>
      <c r="D202" s="561"/>
      <c r="E202" s="561"/>
      <c r="F202" s="561"/>
      <c r="G202" s="490"/>
      <c r="H202" s="490"/>
      <c r="I202" s="490"/>
      <c r="J202" s="490"/>
      <c r="K202" s="490"/>
      <c r="L202" s="490"/>
      <c r="M202" s="490"/>
      <c r="N202" s="490"/>
      <c r="O202" s="490"/>
      <c r="P202" s="490"/>
      <c r="Q202" s="490"/>
      <c r="R202" s="562">
        <v>15250</v>
      </c>
      <c r="S202" s="450"/>
      <c r="T202" s="450"/>
      <c r="U202" s="452"/>
      <c r="V202" s="430"/>
    </row>
    <row r="203" spans="1:22" s="431" customFormat="1" x14ac:dyDescent="0.3">
      <c r="A203" s="449"/>
      <c r="B203" s="450" t="s">
        <v>218</v>
      </c>
      <c r="C203" s="561"/>
      <c r="D203" s="561"/>
      <c r="E203" s="561"/>
      <c r="F203" s="561"/>
      <c r="G203" s="490"/>
      <c r="H203" s="490"/>
      <c r="I203" s="490"/>
      <c r="J203" s="490"/>
      <c r="K203" s="490"/>
      <c r="L203" s="490"/>
      <c r="M203" s="490"/>
      <c r="N203" s="490"/>
      <c r="O203" s="490"/>
      <c r="P203" s="490"/>
      <c r="Q203" s="490"/>
      <c r="R203" s="562">
        <v>15250</v>
      </c>
      <c r="S203" s="450"/>
      <c r="T203" s="450"/>
      <c r="U203" s="452"/>
      <c r="V203" s="430"/>
    </row>
    <row r="204" spans="1:22" s="431" customFormat="1" x14ac:dyDescent="0.3">
      <c r="A204" s="449"/>
      <c r="B204" s="450" t="s">
        <v>219</v>
      </c>
      <c r="C204" s="561"/>
      <c r="D204" s="561"/>
      <c r="E204" s="561"/>
      <c r="F204" s="561"/>
      <c r="G204" s="490"/>
      <c r="H204" s="490"/>
      <c r="I204" s="490"/>
      <c r="J204" s="490"/>
      <c r="K204" s="490"/>
      <c r="L204" s="490"/>
      <c r="M204" s="490"/>
      <c r="N204" s="490"/>
      <c r="O204" s="490"/>
      <c r="P204" s="490"/>
      <c r="Q204" s="490"/>
      <c r="R204" s="562">
        <v>15250</v>
      </c>
      <c r="S204" s="450"/>
      <c r="T204" s="450"/>
      <c r="U204" s="452"/>
      <c r="V204" s="430"/>
    </row>
    <row r="205" spans="1:22" s="431" customFormat="1" x14ac:dyDescent="0.3">
      <c r="A205" s="449"/>
      <c r="B205" s="450" t="s">
        <v>76</v>
      </c>
      <c r="C205" s="561"/>
      <c r="D205" s="561"/>
      <c r="E205" s="561"/>
      <c r="F205" s="561"/>
      <c r="G205" s="490"/>
      <c r="H205" s="490"/>
      <c r="I205" s="490"/>
      <c r="J205" s="490"/>
      <c r="K205" s="490"/>
      <c r="L205" s="490"/>
      <c r="M205" s="490"/>
      <c r="N205" s="490"/>
      <c r="O205" s="490"/>
      <c r="P205" s="490"/>
      <c r="Q205" s="490"/>
      <c r="R205" s="488">
        <v>21.18</v>
      </c>
      <c r="S205" s="450" t="s">
        <v>116</v>
      </c>
      <c r="T205" s="450"/>
      <c r="U205" s="452"/>
      <c r="V205" s="430"/>
    </row>
    <row r="206" spans="1:22" s="431" customFormat="1" x14ac:dyDescent="0.3">
      <c r="A206" s="449"/>
      <c r="B206" s="450" t="s">
        <v>77</v>
      </c>
      <c r="C206" s="561"/>
      <c r="D206" s="561"/>
      <c r="E206" s="561"/>
      <c r="F206" s="561"/>
      <c r="G206" s="490"/>
      <c r="H206" s="490"/>
      <c r="I206" s="490"/>
      <c r="J206" s="490"/>
      <c r="K206" s="490"/>
      <c r="L206" s="490"/>
      <c r="M206" s="490"/>
      <c r="N206" s="490"/>
      <c r="O206" s="490"/>
      <c r="P206" s="490"/>
      <c r="Q206" s="490"/>
      <c r="R206" s="488">
        <v>9.1300000000000008</v>
      </c>
      <c r="S206" s="450" t="s">
        <v>116</v>
      </c>
      <c r="T206" s="450"/>
      <c r="U206" s="452"/>
      <c r="V206" s="430"/>
    </row>
    <row r="207" spans="1:22" s="431" customFormat="1" x14ac:dyDescent="0.3">
      <c r="A207" s="449"/>
      <c r="B207" s="450" t="s">
        <v>78</v>
      </c>
      <c r="C207" s="561"/>
      <c r="D207" s="561"/>
      <c r="E207" s="561"/>
      <c r="F207" s="561"/>
      <c r="G207" s="490"/>
      <c r="H207" s="490"/>
      <c r="I207" s="490"/>
      <c r="J207" s="490"/>
      <c r="K207" s="490"/>
      <c r="L207" s="490"/>
      <c r="M207" s="490"/>
      <c r="N207" s="490"/>
      <c r="O207" s="490"/>
      <c r="P207" s="490"/>
      <c r="Q207" s="490"/>
      <c r="R207" s="483">
        <f>N67/L67</f>
        <v>2.0897551780347804E-2</v>
      </c>
      <c r="S207" s="450"/>
      <c r="T207" s="450"/>
      <c r="U207" s="452"/>
      <c r="V207" s="430"/>
    </row>
    <row r="208" spans="1:22" s="431" customFormat="1" x14ac:dyDescent="0.3">
      <c r="A208" s="449"/>
      <c r="B208" s="450" t="s">
        <v>79</v>
      </c>
      <c r="C208" s="561"/>
      <c r="D208" s="561"/>
      <c r="E208" s="561"/>
      <c r="F208" s="561"/>
      <c r="G208" s="490"/>
      <c r="H208" s="490"/>
      <c r="I208" s="490"/>
      <c r="J208" s="490"/>
      <c r="K208" s="490"/>
      <c r="L208" s="490"/>
      <c r="M208" s="490"/>
      <c r="N208" s="490"/>
      <c r="O208" s="490"/>
      <c r="P208" s="490"/>
      <c r="Q208" s="490"/>
      <c r="R208" s="483">
        <v>7.5600000000000001E-2</v>
      </c>
      <c r="S208" s="450"/>
      <c r="T208" s="450"/>
      <c r="U208" s="452"/>
      <c r="V208" s="430"/>
    </row>
    <row r="209" spans="1:22" x14ac:dyDescent="0.3">
      <c r="A209" s="557"/>
      <c r="B209" s="563"/>
      <c r="C209" s="563"/>
      <c r="D209" s="563"/>
      <c r="E209" s="563"/>
      <c r="F209" s="563"/>
      <c r="G209" s="516"/>
      <c r="H209" s="516"/>
      <c r="I209" s="516"/>
      <c r="J209" s="516"/>
      <c r="K209" s="516"/>
      <c r="L209" s="516"/>
      <c r="M209" s="516"/>
      <c r="N209" s="516"/>
      <c r="O209" s="516"/>
      <c r="P209" s="516"/>
      <c r="Q209" s="516"/>
      <c r="R209" s="544"/>
      <c r="S209" s="516"/>
      <c r="T209" s="564"/>
      <c r="U209" s="639"/>
      <c r="V209" s="416"/>
    </row>
    <row r="210" spans="1:22" x14ac:dyDescent="0.3">
      <c r="A210" s="565"/>
      <c r="B210" s="521" t="s">
        <v>80</v>
      </c>
      <c r="C210" s="522"/>
      <c r="D210" s="522"/>
      <c r="E210" s="522"/>
      <c r="F210" s="566"/>
      <c r="G210" s="522"/>
      <c r="H210" s="522"/>
      <c r="I210" s="522"/>
      <c r="J210" s="522"/>
      <c r="K210" s="522"/>
      <c r="L210" s="522"/>
      <c r="M210" s="522"/>
      <c r="N210" s="522"/>
      <c r="O210" s="522"/>
      <c r="P210" s="522"/>
      <c r="Q210" s="522" t="s">
        <v>105</v>
      </c>
      <c r="R210" s="566" t="s">
        <v>112</v>
      </c>
      <c r="S210" s="443"/>
      <c r="T210" s="443"/>
      <c r="U210" s="446"/>
      <c r="V210" s="416"/>
    </row>
    <row r="211" spans="1:22" s="431" customFormat="1" x14ac:dyDescent="0.3">
      <c r="A211" s="567"/>
      <c r="B211" s="447" t="s">
        <v>81</v>
      </c>
      <c r="C211" s="525"/>
      <c r="D211" s="525"/>
      <c r="E211" s="525"/>
      <c r="F211" s="447"/>
      <c r="G211" s="447"/>
      <c r="H211" s="568"/>
      <c r="I211" s="568"/>
      <c r="J211" s="568"/>
      <c r="K211" s="568"/>
      <c r="L211" s="568"/>
      <c r="M211" s="568"/>
      <c r="N211" s="568"/>
      <c r="O211" s="568"/>
      <c r="P211" s="568"/>
      <c r="Q211" s="568">
        <v>0</v>
      </c>
      <c r="R211" s="569">
        <v>0</v>
      </c>
      <c r="S211" s="447"/>
      <c r="T211" s="570"/>
      <c r="U211" s="644"/>
      <c r="V211" s="430"/>
    </row>
    <row r="212" spans="1:22" s="431" customFormat="1" x14ac:dyDescent="0.3">
      <c r="A212" s="571"/>
      <c r="B212" s="450" t="s">
        <v>151</v>
      </c>
      <c r="C212" s="514"/>
      <c r="D212" s="514"/>
      <c r="E212" s="514"/>
      <c r="F212" s="450"/>
      <c r="G212" s="450"/>
      <c r="H212" s="456"/>
      <c r="I212" s="456"/>
      <c r="J212" s="456"/>
      <c r="K212" s="456"/>
      <c r="L212" s="456"/>
      <c r="M212" s="456"/>
      <c r="N212" s="456"/>
      <c r="O212" s="456"/>
      <c r="P212" s="456"/>
      <c r="Q212" s="572">
        <f>+P264</f>
        <v>29</v>
      </c>
      <c r="R212" s="573">
        <f>+R264</f>
        <v>4239</v>
      </c>
      <c r="S212" s="450"/>
      <c r="T212" s="574"/>
      <c r="U212" s="575"/>
      <c r="V212" s="430"/>
    </row>
    <row r="213" spans="1:22" s="431" customFormat="1" x14ac:dyDescent="0.3">
      <c r="A213" s="571"/>
      <c r="B213" s="450" t="s">
        <v>82</v>
      </c>
      <c r="C213" s="514"/>
      <c r="D213" s="514"/>
      <c r="E213" s="514"/>
      <c r="F213" s="450"/>
      <c r="G213" s="450"/>
      <c r="H213" s="456"/>
      <c r="I213" s="456"/>
      <c r="J213" s="456"/>
      <c r="K213" s="456"/>
      <c r="L213" s="456"/>
      <c r="M213" s="456"/>
      <c r="N213" s="456"/>
      <c r="O213" s="456"/>
      <c r="P213" s="456"/>
      <c r="Q213" s="572">
        <f>+P276</f>
        <v>0</v>
      </c>
      <c r="R213" s="573">
        <f>+R276</f>
        <v>0</v>
      </c>
      <c r="S213" s="450"/>
      <c r="T213" s="574"/>
      <c r="U213" s="575"/>
      <c r="V213" s="430"/>
    </row>
    <row r="214" spans="1:22" x14ac:dyDescent="0.3">
      <c r="A214" s="576"/>
      <c r="B214" s="577" t="s">
        <v>83</v>
      </c>
      <c r="C214" s="578"/>
      <c r="D214" s="578"/>
      <c r="E214" s="578"/>
      <c r="F214" s="470"/>
      <c r="G214" s="470"/>
      <c r="H214" s="470"/>
      <c r="I214" s="470"/>
      <c r="J214" s="470"/>
      <c r="K214" s="470"/>
      <c r="L214" s="470"/>
      <c r="M214" s="470"/>
      <c r="N214" s="470"/>
      <c r="O214" s="470"/>
      <c r="P214" s="470"/>
      <c r="Q214" s="541"/>
      <c r="R214" s="579">
        <v>0</v>
      </c>
      <c r="S214" s="470"/>
      <c r="T214" s="580"/>
      <c r="U214" s="581"/>
      <c r="V214" s="416"/>
    </row>
    <row r="215" spans="1:22" x14ac:dyDescent="0.3">
      <c r="A215" s="576"/>
      <c r="B215" s="577" t="s">
        <v>84</v>
      </c>
      <c r="C215" s="578"/>
      <c r="D215" s="578"/>
      <c r="E215" s="578"/>
      <c r="F215" s="470"/>
      <c r="G215" s="470"/>
      <c r="H215" s="470"/>
      <c r="I215" s="470"/>
      <c r="J215" s="470"/>
      <c r="K215" s="470"/>
      <c r="L215" s="470"/>
      <c r="M215" s="470"/>
      <c r="N215" s="470"/>
      <c r="O215" s="470"/>
      <c r="P215" s="470"/>
      <c r="Q215" s="450"/>
      <c r="R215" s="582" t="s">
        <v>113</v>
      </c>
      <c r="S215" s="470"/>
      <c r="T215" s="580"/>
      <c r="U215" s="581"/>
      <c r="V215" s="416"/>
    </row>
    <row r="216" spans="1:22" x14ac:dyDescent="0.3">
      <c r="A216" s="583"/>
      <c r="B216" s="577" t="s">
        <v>85</v>
      </c>
      <c r="C216" s="584"/>
      <c r="D216" s="584"/>
      <c r="E216" s="584"/>
      <c r="F216" s="584"/>
      <c r="G216" s="470"/>
      <c r="H216" s="470"/>
      <c r="I216" s="470"/>
      <c r="J216" s="470"/>
      <c r="K216" s="470"/>
      <c r="L216" s="470"/>
      <c r="M216" s="470"/>
      <c r="N216" s="470"/>
      <c r="O216" s="470"/>
      <c r="P216" s="470"/>
      <c r="Q216" s="450"/>
      <c r="R216" s="573"/>
      <c r="S216" s="470"/>
      <c r="T216" s="580"/>
      <c r="U216" s="585"/>
      <c r="V216" s="416"/>
    </row>
    <row r="217" spans="1:22" s="431" customFormat="1" x14ac:dyDescent="0.3">
      <c r="A217" s="586"/>
      <c r="B217" s="450" t="s">
        <v>86</v>
      </c>
      <c r="C217" s="450"/>
      <c r="D217" s="450"/>
      <c r="E217" s="450"/>
      <c r="F217" s="450"/>
      <c r="G217" s="450"/>
      <c r="H217" s="450"/>
      <c r="I217" s="450"/>
      <c r="J217" s="450"/>
      <c r="K217" s="450"/>
      <c r="L217" s="450"/>
      <c r="M217" s="450"/>
      <c r="N217" s="450"/>
      <c r="O217" s="450"/>
      <c r="P217" s="450"/>
      <c r="Q217" s="456"/>
      <c r="R217" s="573">
        <f>T161</f>
        <v>-38</v>
      </c>
      <c r="S217" s="450"/>
      <c r="T217" s="574"/>
      <c r="U217" s="587"/>
      <c r="V217" s="430"/>
    </row>
    <row r="218" spans="1:22" s="431" customFormat="1" x14ac:dyDescent="0.3">
      <c r="A218" s="571"/>
      <c r="B218" s="450" t="s">
        <v>87</v>
      </c>
      <c r="C218" s="514"/>
      <c r="D218" s="514"/>
      <c r="E218" s="514"/>
      <c r="F218" s="514"/>
      <c r="G218" s="450"/>
      <c r="H218" s="450"/>
      <c r="I218" s="450"/>
      <c r="J218" s="450"/>
      <c r="K218" s="450"/>
      <c r="L218" s="450"/>
      <c r="M218" s="450"/>
      <c r="N218" s="450"/>
      <c r="O218" s="450"/>
      <c r="P218" s="450"/>
      <c r="Q218" s="456"/>
      <c r="R218" s="573">
        <f>'Dec 18'!R218+R217</f>
        <v>7504</v>
      </c>
      <c r="S218" s="450"/>
      <c r="T218" s="574"/>
      <c r="U218" s="587"/>
      <c r="V218" s="430"/>
    </row>
    <row r="219" spans="1:22" x14ac:dyDescent="0.3">
      <c r="A219" s="583"/>
      <c r="B219" s="577" t="s">
        <v>282</v>
      </c>
      <c r="C219" s="584"/>
      <c r="D219" s="584"/>
      <c r="E219" s="584"/>
      <c r="F219" s="584"/>
      <c r="G219" s="470"/>
      <c r="H219" s="470"/>
      <c r="I219" s="470"/>
      <c r="J219" s="470"/>
      <c r="K219" s="470"/>
      <c r="L219" s="470"/>
      <c r="M219" s="470"/>
      <c r="N219" s="470"/>
      <c r="O219" s="470"/>
      <c r="P219" s="470"/>
      <c r="Q219" s="456"/>
      <c r="R219" s="573"/>
      <c r="S219" s="470"/>
      <c r="T219" s="580"/>
      <c r="U219" s="585"/>
      <c r="V219" s="416"/>
    </row>
    <row r="220" spans="1:22" s="431" customFormat="1" x14ac:dyDescent="0.3">
      <c r="A220" s="586"/>
      <c r="B220" s="450" t="s">
        <v>280</v>
      </c>
      <c r="C220" s="450"/>
      <c r="D220" s="450"/>
      <c r="E220" s="450"/>
      <c r="F220" s="450"/>
      <c r="G220" s="450"/>
      <c r="H220" s="450"/>
      <c r="I220" s="450"/>
      <c r="J220" s="450"/>
      <c r="K220" s="450"/>
      <c r="L220" s="450"/>
      <c r="M220" s="450"/>
      <c r="N220" s="450"/>
      <c r="O220" s="450"/>
      <c r="P220" s="450"/>
      <c r="Q220" s="456">
        <v>0</v>
      </c>
      <c r="R220" s="573">
        <v>0</v>
      </c>
      <c r="S220" s="450"/>
      <c r="T220" s="574"/>
      <c r="U220" s="587"/>
      <c r="V220" s="430"/>
    </row>
    <row r="221" spans="1:22" s="431" customFormat="1" x14ac:dyDescent="0.3">
      <c r="A221" s="571"/>
      <c r="B221" s="450" t="s">
        <v>89</v>
      </c>
      <c r="C221" s="486"/>
      <c r="D221" s="486"/>
      <c r="E221" s="486"/>
      <c r="F221" s="588"/>
      <c r="G221" s="450"/>
      <c r="H221" s="450"/>
      <c r="I221" s="450"/>
      <c r="J221" s="450"/>
      <c r="K221" s="450"/>
      <c r="L221" s="450"/>
      <c r="M221" s="450"/>
      <c r="N221" s="450"/>
      <c r="O221" s="450"/>
      <c r="P221" s="450"/>
      <c r="Q221" s="450"/>
      <c r="R221" s="582">
        <v>0</v>
      </c>
      <c r="S221" s="450"/>
      <c r="T221" s="574"/>
      <c r="U221" s="587"/>
      <c r="V221" s="430"/>
    </row>
    <row r="222" spans="1:22" s="431" customFormat="1" x14ac:dyDescent="0.3">
      <c r="A222" s="571"/>
      <c r="B222" s="450" t="s">
        <v>90</v>
      </c>
      <c r="C222" s="486"/>
      <c r="D222" s="486"/>
      <c r="E222" s="486"/>
      <c r="F222" s="588"/>
      <c r="G222" s="450"/>
      <c r="H222" s="450"/>
      <c r="I222" s="450"/>
      <c r="J222" s="450"/>
      <c r="K222" s="450"/>
      <c r="L222" s="450"/>
      <c r="M222" s="450"/>
      <c r="N222" s="450"/>
      <c r="O222" s="450"/>
      <c r="P222" s="450"/>
      <c r="Q222" s="450"/>
      <c r="R222" s="582">
        <v>0</v>
      </c>
      <c r="S222" s="450"/>
      <c r="T222" s="574"/>
      <c r="U222" s="587"/>
      <c r="V222" s="430"/>
    </row>
    <row r="223" spans="1:22" x14ac:dyDescent="0.3">
      <c r="A223" s="576"/>
      <c r="B223" s="577" t="s">
        <v>226</v>
      </c>
      <c r="C223" s="589"/>
      <c r="D223" s="589"/>
      <c r="E223" s="589"/>
      <c r="F223" s="590"/>
      <c r="G223" s="470"/>
      <c r="H223" s="470"/>
      <c r="I223" s="470"/>
      <c r="J223" s="470"/>
      <c r="K223" s="470"/>
      <c r="L223" s="470"/>
      <c r="M223" s="470"/>
      <c r="N223" s="470"/>
      <c r="O223" s="470"/>
      <c r="P223" s="470"/>
      <c r="Q223" s="456"/>
      <c r="R223" s="591"/>
      <c r="S223" s="470"/>
      <c r="T223" s="580"/>
      <c r="U223" s="585"/>
      <c r="V223" s="416"/>
    </row>
    <row r="224" spans="1:22" s="431" customFormat="1" x14ac:dyDescent="0.3">
      <c r="A224" s="571"/>
      <c r="B224" s="450" t="s">
        <v>280</v>
      </c>
      <c r="C224" s="486"/>
      <c r="D224" s="486"/>
      <c r="E224" s="486"/>
      <c r="F224" s="588"/>
      <c r="G224" s="450"/>
      <c r="H224" s="450"/>
      <c r="I224" s="450"/>
      <c r="J224" s="450"/>
      <c r="K224" s="450"/>
      <c r="L224" s="450"/>
      <c r="M224" s="450"/>
      <c r="N224" s="450"/>
      <c r="O224" s="450"/>
      <c r="P224" s="450"/>
      <c r="Q224" s="456">
        <v>0</v>
      </c>
      <c r="R224" s="573">
        <v>0</v>
      </c>
      <c r="S224" s="450"/>
      <c r="T224" s="574"/>
      <c r="U224" s="587"/>
      <c r="V224" s="430"/>
    </row>
    <row r="225" spans="1:23" s="431" customFormat="1" x14ac:dyDescent="0.3">
      <c r="A225" s="571"/>
      <c r="B225" s="450" t="s">
        <v>227</v>
      </c>
      <c r="C225" s="486"/>
      <c r="D225" s="486"/>
      <c r="E225" s="486"/>
      <c r="F225" s="588"/>
      <c r="G225" s="450"/>
      <c r="H225" s="450"/>
      <c r="I225" s="450"/>
      <c r="J225" s="450"/>
      <c r="K225" s="450"/>
      <c r="L225" s="450"/>
      <c r="M225" s="450"/>
      <c r="N225" s="450"/>
      <c r="O225" s="450"/>
      <c r="P225" s="450"/>
      <c r="Q225" s="456"/>
      <c r="R225" s="582">
        <v>0</v>
      </c>
      <c r="S225" s="450"/>
      <c r="T225" s="574"/>
      <c r="U225" s="587"/>
      <c r="V225" s="430"/>
    </row>
    <row r="226" spans="1:23" x14ac:dyDescent="0.3">
      <c r="A226" s="576"/>
      <c r="B226" s="584"/>
      <c r="C226" s="589"/>
      <c r="D226" s="589"/>
      <c r="E226" s="589"/>
      <c r="F226" s="590"/>
      <c r="G226" s="470"/>
      <c r="H226" s="470"/>
      <c r="I226" s="470"/>
      <c r="J226" s="470"/>
      <c r="K226" s="470"/>
      <c r="L226" s="470"/>
      <c r="M226" s="470"/>
      <c r="N226" s="470"/>
      <c r="O226" s="470"/>
      <c r="P226" s="470"/>
      <c r="Q226" s="450"/>
      <c r="R226" s="591"/>
      <c r="S226" s="470"/>
      <c r="T226" s="580"/>
      <c r="U226" s="585"/>
      <c r="V226" s="416"/>
    </row>
    <row r="227" spans="1:23" x14ac:dyDescent="0.3">
      <c r="A227" s="576"/>
      <c r="B227" s="584"/>
      <c r="C227" s="589"/>
      <c r="D227" s="589"/>
      <c r="E227" s="589"/>
      <c r="F227" s="590"/>
      <c r="G227" s="470"/>
      <c r="H227" s="470"/>
      <c r="I227" s="470"/>
      <c r="J227" s="470"/>
      <c r="K227" s="470"/>
      <c r="L227" s="470"/>
      <c r="M227" s="470"/>
      <c r="N227" s="470"/>
      <c r="O227" s="470"/>
      <c r="P227" s="470"/>
      <c r="Q227" s="450"/>
      <c r="R227" s="591"/>
      <c r="S227" s="470"/>
      <c r="T227" s="580"/>
      <c r="U227" s="585"/>
      <c r="V227" s="416"/>
    </row>
    <row r="228" spans="1:23" ht="18" x14ac:dyDescent="0.35">
      <c r="A228" s="576"/>
      <c r="B228" s="592" t="s">
        <v>175</v>
      </c>
      <c r="C228" s="589"/>
      <c r="D228" s="589"/>
      <c r="E228" s="589"/>
      <c r="F228" s="590"/>
      <c r="G228" s="470"/>
      <c r="H228" s="470"/>
      <c r="I228" s="470"/>
      <c r="J228" s="470"/>
      <c r="K228" s="470"/>
      <c r="L228" s="470"/>
      <c r="M228" s="470"/>
      <c r="N228" s="647" t="s">
        <v>356</v>
      </c>
      <c r="O228" s="470"/>
      <c r="P228" s="470"/>
      <c r="Q228" s="470"/>
      <c r="R228" s="593"/>
      <c r="S228" s="470"/>
      <c r="T228" s="580"/>
      <c r="U228" s="585"/>
      <c r="V228" s="416"/>
    </row>
    <row r="229" spans="1:23" x14ac:dyDescent="0.3">
      <c r="A229" s="594"/>
      <c r="B229" s="563"/>
      <c r="C229" s="595"/>
      <c r="D229" s="595"/>
      <c r="E229" s="595"/>
      <c r="F229" s="596"/>
      <c r="G229" s="516"/>
      <c r="H229" s="516"/>
      <c r="I229" s="516"/>
      <c r="J229" s="516"/>
      <c r="K229" s="516"/>
      <c r="L229" s="516"/>
      <c r="M229" s="516"/>
      <c r="N229" s="516"/>
      <c r="O229" s="516"/>
      <c r="P229" s="516"/>
      <c r="Q229" s="516"/>
      <c r="R229" s="597"/>
      <c r="S229" s="516"/>
      <c r="T229" s="564"/>
      <c r="U229" s="645"/>
      <c r="V229" s="416"/>
    </row>
    <row r="230" spans="1:23" x14ac:dyDescent="0.3">
      <c r="A230" s="442"/>
      <c r="B230" s="598" t="s">
        <v>295</v>
      </c>
      <c r="C230" s="599"/>
      <c r="D230" s="599"/>
      <c r="E230" s="599"/>
      <c r="F230" s="600"/>
      <c r="G230" s="599"/>
      <c r="H230" s="599"/>
      <c r="I230" s="599"/>
      <c r="J230" s="599"/>
      <c r="K230" s="599"/>
      <c r="L230" s="599"/>
      <c r="M230" s="599"/>
      <c r="N230" s="599"/>
      <c r="O230" s="599"/>
      <c r="P230" s="600" t="s">
        <v>105</v>
      </c>
      <c r="Q230" s="599" t="s">
        <v>106</v>
      </c>
      <c r="R230" s="600" t="s">
        <v>114</v>
      </c>
      <c r="S230" s="599" t="s">
        <v>106</v>
      </c>
      <c r="T230" s="601"/>
      <c r="U230" s="605"/>
      <c r="V230" s="416"/>
    </row>
    <row r="231" spans="1:23" s="431" customFormat="1" x14ac:dyDescent="0.3">
      <c r="A231" s="632"/>
      <c r="B231" s="633" t="s">
        <v>91</v>
      </c>
      <c r="C231" s="634"/>
      <c r="D231" s="634"/>
      <c r="E231" s="634"/>
      <c r="F231" s="635"/>
      <c r="G231" s="634"/>
      <c r="H231" s="634"/>
      <c r="I231" s="634"/>
      <c r="J231" s="634"/>
      <c r="K231" s="634"/>
      <c r="L231" s="634"/>
      <c r="M231" s="634"/>
      <c r="N231" s="634"/>
      <c r="O231" s="634"/>
      <c r="P231" s="633">
        <f t="shared" ref="P231:P238" si="1">+P243+P255+P267</f>
        <v>2954</v>
      </c>
      <c r="Q231" s="636">
        <f t="shared" ref="Q231:Q238" si="2">P231/$P$240</f>
        <v>0.99227410144440709</v>
      </c>
      <c r="R231" s="637">
        <f t="shared" ref="R231:R238" si="3">+R243+R255+R267</f>
        <v>377052</v>
      </c>
      <c r="S231" s="636">
        <f t="shared" ref="S231:S238" si="4">R231/$R$240</f>
        <v>0.99168623902917574</v>
      </c>
      <c r="T231" s="630"/>
      <c r="U231" s="631"/>
      <c r="V231" s="430"/>
    </row>
    <row r="232" spans="1:23" s="431" customFormat="1" x14ac:dyDescent="0.3">
      <c r="A232" s="449"/>
      <c r="B232" s="514" t="s">
        <v>92</v>
      </c>
      <c r="C232" s="603"/>
      <c r="D232" s="603"/>
      <c r="E232" s="603"/>
      <c r="F232" s="450"/>
      <c r="G232" s="602"/>
      <c r="H232" s="603"/>
      <c r="I232" s="603"/>
      <c r="J232" s="603"/>
      <c r="K232" s="603"/>
      <c r="L232" s="603"/>
      <c r="M232" s="603"/>
      <c r="N232" s="603"/>
      <c r="O232" s="603"/>
      <c r="P232" s="514">
        <f t="shared" si="1"/>
        <v>14</v>
      </c>
      <c r="Q232" s="602">
        <f t="shared" si="2"/>
        <v>4.7027208599261005E-3</v>
      </c>
      <c r="R232" s="515">
        <f t="shared" si="3"/>
        <v>2370</v>
      </c>
      <c r="S232" s="602">
        <f t="shared" si="4"/>
        <v>6.233348149589835E-3</v>
      </c>
      <c r="T232" s="574"/>
      <c r="U232" s="587"/>
      <c r="V232" s="430"/>
      <c r="W232" s="533"/>
    </row>
    <row r="233" spans="1:23" s="431" customFormat="1" x14ac:dyDescent="0.3">
      <c r="A233" s="449"/>
      <c r="B233" s="514" t="s">
        <v>93</v>
      </c>
      <c r="C233" s="603"/>
      <c r="D233" s="603"/>
      <c r="E233" s="603"/>
      <c r="F233" s="450"/>
      <c r="G233" s="602"/>
      <c r="H233" s="603"/>
      <c r="I233" s="603"/>
      <c r="J233" s="603"/>
      <c r="K233" s="603"/>
      <c r="L233" s="603"/>
      <c r="M233" s="603"/>
      <c r="N233" s="603"/>
      <c r="O233" s="603"/>
      <c r="P233" s="514">
        <f t="shared" si="1"/>
        <v>4</v>
      </c>
      <c r="Q233" s="602">
        <f t="shared" si="2"/>
        <v>1.3436345314074571E-3</v>
      </c>
      <c r="R233" s="515">
        <f t="shared" si="3"/>
        <v>310</v>
      </c>
      <c r="S233" s="602">
        <f t="shared" si="4"/>
        <v>8.1533245838516836E-4</v>
      </c>
      <c r="T233" s="574"/>
      <c r="U233" s="587"/>
      <c r="V233" s="430"/>
    </row>
    <row r="234" spans="1:23" s="431" customFormat="1" x14ac:dyDescent="0.3">
      <c r="A234" s="449"/>
      <c r="B234" s="514" t="s">
        <v>163</v>
      </c>
      <c r="C234" s="603"/>
      <c r="D234" s="603"/>
      <c r="E234" s="603"/>
      <c r="F234" s="450"/>
      <c r="G234" s="602"/>
      <c r="H234" s="603"/>
      <c r="I234" s="603"/>
      <c r="J234" s="603"/>
      <c r="K234" s="603"/>
      <c r="L234" s="603"/>
      <c r="M234" s="603"/>
      <c r="N234" s="603"/>
      <c r="O234" s="603"/>
      <c r="P234" s="514">
        <f t="shared" si="1"/>
        <v>0</v>
      </c>
      <c r="Q234" s="602">
        <f t="shared" si="2"/>
        <v>0</v>
      </c>
      <c r="R234" s="515">
        <f t="shared" si="3"/>
        <v>0</v>
      </c>
      <c r="S234" s="602">
        <f t="shared" si="4"/>
        <v>0</v>
      </c>
      <c r="T234" s="574"/>
      <c r="U234" s="587"/>
      <c r="V234" s="430"/>
      <c r="W234" s="533"/>
    </row>
    <row r="235" spans="1:23" s="431" customFormat="1" x14ac:dyDescent="0.3">
      <c r="A235" s="449"/>
      <c r="B235" s="514" t="s">
        <v>164</v>
      </c>
      <c r="C235" s="603"/>
      <c r="D235" s="603"/>
      <c r="E235" s="603"/>
      <c r="F235" s="450"/>
      <c r="G235" s="602"/>
      <c r="H235" s="603"/>
      <c r="I235" s="603"/>
      <c r="J235" s="603"/>
      <c r="K235" s="603"/>
      <c r="L235" s="603"/>
      <c r="M235" s="603"/>
      <c r="N235" s="603"/>
      <c r="O235" s="603"/>
      <c r="P235" s="514">
        <f t="shared" si="1"/>
        <v>0</v>
      </c>
      <c r="Q235" s="602">
        <f t="shared" si="2"/>
        <v>0</v>
      </c>
      <c r="R235" s="515">
        <f t="shared" si="3"/>
        <v>0</v>
      </c>
      <c r="S235" s="602">
        <f t="shared" si="4"/>
        <v>0</v>
      </c>
      <c r="T235" s="574"/>
      <c r="U235" s="587"/>
      <c r="V235" s="430"/>
    </row>
    <row r="236" spans="1:23" s="431" customFormat="1" x14ac:dyDescent="0.3">
      <c r="A236" s="449"/>
      <c r="B236" s="514" t="s">
        <v>165</v>
      </c>
      <c r="C236" s="603"/>
      <c r="D236" s="603"/>
      <c r="E236" s="603"/>
      <c r="F236" s="450"/>
      <c r="G236" s="602"/>
      <c r="H236" s="603"/>
      <c r="I236" s="603"/>
      <c r="J236" s="603"/>
      <c r="K236" s="603"/>
      <c r="L236" s="603"/>
      <c r="M236" s="603"/>
      <c r="N236" s="603"/>
      <c r="O236" s="603"/>
      <c r="P236" s="514">
        <f t="shared" si="1"/>
        <v>0</v>
      </c>
      <c r="Q236" s="602">
        <f t="shared" si="2"/>
        <v>0</v>
      </c>
      <c r="R236" s="515">
        <f t="shared" si="3"/>
        <v>0</v>
      </c>
      <c r="S236" s="602">
        <f t="shared" si="4"/>
        <v>0</v>
      </c>
      <c r="T236" s="574"/>
      <c r="U236" s="587"/>
      <c r="V236" s="430"/>
      <c r="W236" s="533"/>
    </row>
    <row r="237" spans="1:23" s="431" customFormat="1" x14ac:dyDescent="0.3">
      <c r="A237" s="449"/>
      <c r="B237" s="514" t="s">
        <v>166</v>
      </c>
      <c r="C237" s="603"/>
      <c r="D237" s="603"/>
      <c r="E237" s="603"/>
      <c r="F237" s="450"/>
      <c r="G237" s="602"/>
      <c r="H237" s="603"/>
      <c r="I237" s="603"/>
      <c r="J237" s="603"/>
      <c r="K237" s="603"/>
      <c r="L237" s="603"/>
      <c r="M237" s="603"/>
      <c r="N237" s="603"/>
      <c r="O237" s="603"/>
      <c r="P237" s="514">
        <f t="shared" si="1"/>
        <v>5</v>
      </c>
      <c r="Q237" s="602">
        <f t="shared" si="2"/>
        <v>1.6795431642593216E-3</v>
      </c>
      <c r="R237" s="515">
        <f t="shared" si="3"/>
        <v>481</v>
      </c>
      <c r="S237" s="602">
        <f t="shared" si="4"/>
        <v>1.265080362849245E-3</v>
      </c>
      <c r="T237" s="574"/>
      <c r="U237" s="587"/>
      <c r="V237" s="430"/>
    </row>
    <row r="238" spans="1:23" s="431" customFormat="1" x14ac:dyDescent="0.3">
      <c r="A238" s="449"/>
      <c r="B238" s="514" t="s">
        <v>167</v>
      </c>
      <c r="C238" s="603"/>
      <c r="D238" s="603"/>
      <c r="E238" s="603"/>
      <c r="F238" s="450"/>
      <c r="G238" s="602"/>
      <c r="H238" s="603"/>
      <c r="I238" s="603"/>
      <c r="J238" s="603"/>
      <c r="K238" s="603"/>
      <c r="L238" s="603"/>
      <c r="M238" s="603"/>
      <c r="N238" s="603"/>
      <c r="O238" s="603"/>
      <c r="P238" s="514">
        <f t="shared" si="1"/>
        <v>0</v>
      </c>
      <c r="Q238" s="602">
        <f t="shared" si="2"/>
        <v>0</v>
      </c>
      <c r="R238" s="515">
        <f t="shared" si="3"/>
        <v>0</v>
      </c>
      <c r="S238" s="602">
        <f t="shared" si="4"/>
        <v>0</v>
      </c>
      <c r="T238" s="574"/>
      <c r="U238" s="587"/>
      <c r="V238" s="430"/>
      <c r="W238" s="533"/>
    </row>
    <row r="239" spans="1:23" s="431" customFormat="1" x14ac:dyDescent="0.3">
      <c r="A239" s="449"/>
      <c r="B239" s="514"/>
      <c r="C239" s="603"/>
      <c r="D239" s="603"/>
      <c r="E239" s="603"/>
      <c r="F239" s="450"/>
      <c r="G239" s="602"/>
      <c r="H239" s="603"/>
      <c r="I239" s="603"/>
      <c r="J239" s="603"/>
      <c r="K239" s="603"/>
      <c r="L239" s="603"/>
      <c r="M239" s="603"/>
      <c r="N239" s="603"/>
      <c r="O239" s="603"/>
      <c r="P239" s="514"/>
      <c r="Q239" s="602"/>
      <c r="R239" s="515"/>
      <c r="S239" s="602"/>
      <c r="T239" s="574"/>
      <c r="U239" s="587"/>
      <c r="V239" s="430"/>
    </row>
    <row r="240" spans="1:23" s="431" customFormat="1" x14ac:dyDescent="0.3">
      <c r="A240" s="449"/>
      <c r="B240" s="450" t="s">
        <v>120</v>
      </c>
      <c r="C240" s="450"/>
      <c r="D240" s="450"/>
      <c r="E240" s="450"/>
      <c r="F240" s="450"/>
      <c r="G240" s="450"/>
      <c r="H240" s="604"/>
      <c r="I240" s="604"/>
      <c r="J240" s="604"/>
      <c r="K240" s="604"/>
      <c r="L240" s="604"/>
      <c r="M240" s="604"/>
      <c r="N240" s="604"/>
      <c r="O240" s="604"/>
      <c r="P240" s="514">
        <f>SUM(P231:P239)</f>
        <v>2977</v>
      </c>
      <c r="Q240" s="602">
        <f>SUM(Q231:Q239)</f>
        <v>1</v>
      </c>
      <c r="R240" s="515">
        <f>SUM(R231:R239)</f>
        <v>380213</v>
      </c>
      <c r="S240" s="602">
        <f>SUM(S231:S239)</f>
        <v>1</v>
      </c>
      <c r="T240" s="450"/>
      <c r="U240" s="452"/>
      <c r="V240" s="430"/>
    </row>
    <row r="241" spans="1:23" x14ac:dyDescent="0.3">
      <c r="A241" s="594"/>
      <c r="B241" s="563"/>
      <c r="C241" s="595"/>
      <c r="D241" s="595"/>
      <c r="E241" s="595"/>
      <c r="F241" s="596"/>
      <c r="G241" s="516"/>
      <c r="H241" s="516"/>
      <c r="I241" s="516"/>
      <c r="J241" s="516"/>
      <c r="K241" s="516"/>
      <c r="L241" s="516"/>
      <c r="M241" s="516"/>
      <c r="N241" s="516"/>
      <c r="O241" s="516"/>
      <c r="P241" s="516"/>
      <c r="Q241" s="516"/>
      <c r="R241" s="597"/>
      <c r="S241" s="516"/>
      <c r="T241" s="564"/>
      <c r="U241" s="645"/>
      <c r="V241" s="416"/>
    </row>
    <row r="242" spans="1:23" x14ac:dyDescent="0.3">
      <c r="A242" s="442"/>
      <c r="B242" s="521" t="s">
        <v>169</v>
      </c>
      <c r="C242" s="522"/>
      <c r="D242" s="522"/>
      <c r="E242" s="522"/>
      <c r="F242" s="566"/>
      <c r="G242" s="522"/>
      <c r="H242" s="522"/>
      <c r="I242" s="522"/>
      <c r="J242" s="522"/>
      <c r="K242" s="522"/>
      <c r="L242" s="522"/>
      <c r="M242" s="522"/>
      <c r="N242" s="522"/>
      <c r="O242" s="522"/>
      <c r="P242" s="566" t="s">
        <v>105</v>
      </c>
      <c r="Q242" s="522" t="s">
        <v>106</v>
      </c>
      <c r="R242" s="566" t="s">
        <v>114</v>
      </c>
      <c r="S242" s="522" t="s">
        <v>106</v>
      </c>
      <c r="T242" s="443"/>
      <c r="U242" s="605"/>
      <c r="V242" s="416"/>
    </row>
    <row r="243" spans="1:23" s="431" customFormat="1" x14ac:dyDescent="0.3">
      <c r="A243" s="432"/>
      <c r="B243" s="525" t="s">
        <v>91</v>
      </c>
      <c r="C243" s="606"/>
      <c r="D243" s="606"/>
      <c r="E243" s="606"/>
      <c r="F243" s="447"/>
      <c r="G243" s="606"/>
      <c r="H243" s="606"/>
      <c r="I243" s="606"/>
      <c r="J243" s="606"/>
      <c r="K243" s="606"/>
      <c r="L243" s="606"/>
      <c r="M243" s="606"/>
      <c r="N243" s="606"/>
      <c r="O243" s="606"/>
      <c r="P243" s="525">
        <v>2930</v>
      </c>
      <c r="Q243" s="607">
        <f t="shared" ref="Q243:Q250" si="5">P243/$P$252</f>
        <v>0.99389416553595655</v>
      </c>
      <c r="R243" s="526">
        <v>373291</v>
      </c>
      <c r="S243" s="607">
        <f t="shared" ref="S243:S250" si="6">R243/$R$252</f>
        <v>0.99286386824620854</v>
      </c>
      <c r="T243" s="570"/>
      <c r="U243" s="646"/>
      <c r="V243" s="430"/>
    </row>
    <row r="244" spans="1:23" s="431" customFormat="1" x14ac:dyDescent="0.3">
      <c r="A244" s="449"/>
      <c r="B244" s="514" t="s">
        <v>92</v>
      </c>
      <c r="C244" s="603"/>
      <c r="D244" s="603"/>
      <c r="E244" s="603"/>
      <c r="F244" s="450"/>
      <c r="G244" s="602"/>
      <c r="H244" s="603"/>
      <c r="I244" s="603"/>
      <c r="J244" s="603"/>
      <c r="K244" s="603"/>
      <c r="L244" s="603"/>
      <c r="M244" s="603"/>
      <c r="N244" s="603"/>
      <c r="O244" s="603"/>
      <c r="P244" s="514">
        <v>14</v>
      </c>
      <c r="Q244" s="602">
        <f t="shared" si="5"/>
        <v>4.7489823609226595E-3</v>
      </c>
      <c r="R244" s="515">
        <v>2370</v>
      </c>
      <c r="S244" s="602">
        <f t="shared" si="6"/>
        <v>6.3036273784889381E-3</v>
      </c>
      <c r="T244" s="574"/>
      <c r="U244" s="587"/>
      <c r="V244" s="430"/>
      <c r="W244" s="533"/>
    </row>
    <row r="245" spans="1:23" s="431" customFormat="1" x14ac:dyDescent="0.3">
      <c r="A245" s="449"/>
      <c r="B245" s="514" t="s">
        <v>93</v>
      </c>
      <c r="C245" s="603"/>
      <c r="D245" s="603"/>
      <c r="E245" s="603"/>
      <c r="F245" s="450"/>
      <c r="G245" s="602"/>
      <c r="H245" s="603"/>
      <c r="I245" s="603"/>
      <c r="J245" s="603"/>
      <c r="K245" s="603"/>
      <c r="L245" s="603"/>
      <c r="M245" s="603"/>
      <c r="N245" s="603"/>
      <c r="O245" s="603"/>
      <c r="P245" s="514">
        <v>3</v>
      </c>
      <c r="Q245" s="602">
        <f t="shared" si="5"/>
        <v>1.0176390773405698E-3</v>
      </c>
      <c r="R245" s="515">
        <v>257</v>
      </c>
      <c r="S245" s="602">
        <f t="shared" si="6"/>
        <v>6.8355790559985531E-4</v>
      </c>
      <c r="T245" s="574"/>
      <c r="U245" s="587"/>
      <c r="V245" s="430"/>
    </row>
    <row r="246" spans="1:23" s="431" customFormat="1" x14ac:dyDescent="0.3">
      <c r="A246" s="449"/>
      <c r="B246" s="514" t="s">
        <v>163</v>
      </c>
      <c r="C246" s="603"/>
      <c r="D246" s="603"/>
      <c r="E246" s="603"/>
      <c r="F246" s="450"/>
      <c r="G246" s="602"/>
      <c r="H246" s="603"/>
      <c r="I246" s="603"/>
      <c r="J246" s="603"/>
      <c r="K246" s="603"/>
      <c r="L246" s="603"/>
      <c r="M246" s="603"/>
      <c r="N246" s="603"/>
      <c r="O246" s="603"/>
      <c r="P246" s="514">
        <v>0</v>
      </c>
      <c r="Q246" s="602">
        <f t="shared" si="5"/>
        <v>0</v>
      </c>
      <c r="R246" s="515">
        <v>0</v>
      </c>
      <c r="S246" s="602">
        <f t="shared" si="6"/>
        <v>0</v>
      </c>
      <c r="T246" s="574"/>
      <c r="U246" s="587"/>
      <c r="V246" s="430"/>
      <c r="W246" s="533"/>
    </row>
    <row r="247" spans="1:23" s="431" customFormat="1" x14ac:dyDescent="0.3">
      <c r="A247" s="449"/>
      <c r="B247" s="514" t="s">
        <v>164</v>
      </c>
      <c r="C247" s="603"/>
      <c r="D247" s="603"/>
      <c r="E247" s="603"/>
      <c r="F247" s="450"/>
      <c r="G247" s="602"/>
      <c r="H247" s="603"/>
      <c r="I247" s="603"/>
      <c r="J247" s="603"/>
      <c r="K247" s="603"/>
      <c r="L247" s="603"/>
      <c r="M247" s="603"/>
      <c r="N247" s="603"/>
      <c r="O247" s="603"/>
      <c r="P247" s="514">
        <v>0</v>
      </c>
      <c r="Q247" s="602">
        <f t="shared" si="5"/>
        <v>0</v>
      </c>
      <c r="R247" s="515">
        <v>0</v>
      </c>
      <c r="S247" s="602">
        <f t="shared" si="6"/>
        <v>0</v>
      </c>
      <c r="T247" s="574"/>
      <c r="U247" s="587"/>
      <c r="V247" s="430"/>
    </row>
    <row r="248" spans="1:23" s="431" customFormat="1" x14ac:dyDescent="0.3">
      <c r="A248" s="449"/>
      <c r="B248" s="514" t="s">
        <v>165</v>
      </c>
      <c r="C248" s="603"/>
      <c r="D248" s="603"/>
      <c r="E248" s="603"/>
      <c r="F248" s="450"/>
      <c r="G248" s="602"/>
      <c r="H248" s="603"/>
      <c r="I248" s="603"/>
      <c r="J248" s="603"/>
      <c r="K248" s="603"/>
      <c r="L248" s="603"/>
      <c r="M248" s="603"/>
      <c r="N248" s="603"/>
      <c r="O248" s="603"/>
      <c r="P248" s="514">
        <v>0</v>
      </c>
      <c r="Q248" s="602">
        <f t="shared" si="5"/>
        <v>0</v>
      </c>
      <c r="R248" s="515">
        <v>0</v>
      </c>
      <c r="S248" s="602">
        <f t="shared" si="6"/>
        <v>0</v>
      </c>
      <c r="T248" s="574"/>
      <c r="U248" s="587"/>
      <c r="V248" s="430"/>
      <c r="W248" s="533"/>
    </row>
    <row r="249" spans="1:23" s="431" customFormat="1" x14ac:dyDescent="0.3">
      <c r="A249" s="449"/>
      <c r="B249" s="514" t="s">
        <v>166</v>
      </c>
      <c r="C249" s="603"/>
      <c r="D249" s="603"/>
      <c r="E249" s="603"/>
      <c r="F249" s="450"/>
      <c r="G249" s="602"/>
      <c r="H249" s="603"/>
      <c r="I249" s="603"/>
      <c r="J249" s="603"/>
      <c r="K249" s="603"/>
      <c r="L249" s="603"/>
      <c r="M249" s="603"/>
      <c r="N249" s="603"/>
      <c r="O249" s="603"/>
      <c r="P249" s="514">
        <v>1</v>
      </c>
      <c r="Q249" s="602">
        <f t="shared" si="5"/>
        <v>3.3921302578018993E-4</v>
      </c>
      <c r="R249" s="515">
        <v>56</v>
      </c>
      <c r="S249" s="602">
        <f t="shared" si="6"/>
        <v>1.4894646970269222E-4</v>
      </c>
      <c r="T249" s="574"/>
      <c r="U249" s="587"/>
      <c r="V249" s="430"/>
    </row>
    <row r="250" spans="1:23" s="431" customFormat="1" x14ac:dyDescent="0.3">
      <c r="A250" s="449"/>
      <c r="B250" s="514" t="s">
        <v>167</v>
      </c>
      <c r="C250" s="603"/>
      <c r="D250" s="603"/>
      <c r="E250" s="603"/>
      <c r="F250" s="450"/>
      <c r="G250" s="602"/>
      <c r="H250" s="603"/>
      <c r="I250" s="603"/>
      <c r="J250" s="603"/>
      <c r="K250" s="603"/>
      <c r="L250" s="603"/>
      <c r="M250" s="603"/>
      <c r="N250" s="603"/>
      <c r="O250" s="603"/>
      <c r="P250" s="514">
        <v>0</v>
      </c>
      <c r="Q250" s="602">
        <f t="shared" si="5"/>
        <v>0</v>
      </c>
      <c r="R250" s="515">
        <v>0</v>
      </c>
      <c r="S250" s="602">
        <f t="shared" si="6"/>
        <v>0</v>
      </c>
      <c r="T250" s="574"/>
      <c r="U250" s="587"/>
      <c r="V250" s="430"/>
      <c r="W250" s="533"/>
    </row>
    <row r="251" spans="1:23" s="431" customFormat="1" x14ac:dyDescent="0.3">
      <c r="A251" s="449"/>
      <c r="B251" s="514"/>
      <c r="C251" s="603"/>
      <c r="D251" s="603"/>
      <c r="E251" s="603"/>
      <c r="F251" s="450"/>
      <c r="G251" s="602"/>
      <c r="H251" s="603"/>
      <c r="I251" s="603"/>
      <c r="J251" s="603"/>
      <c r="K251" s="603"/>
      <c r="L251" s="603"/>
      <c r="M251" s="603"/>
      <c r="N251" s="603"/>
      <c r="O251" s="603"/>
      <c r="P251" s="514"/>
      <c r="Q251" s="602"/>
      <c r="R251" s="515"/>
      <c r="S251" s="602"/>
      <c r="T251" s="574"/>
      <c r="U251" s="587"/>
      <c r="V251" s="430"/>
    </row>
    <row r="252" spans="1:23" s="431" customFormat="1" x14ac:dyDescent="0.3">
      <c r="A252" s="449"/>
      <c r="B252" s="450" t="s">
        <v>120</v>
      </c>
      <c r="C252" s="450"/>
      <c r="D252" s="450"/>
      <c r="E252" s="450"/>
      <c r="F252" s="450"/>
      <c r="G252" s="450"/>
      <c r="H252" s="604"/>
      <c r="I252" s="604"/>
      <c r="J252" s="604"/>
      <c r="K252" s="604"/>
      <c r="L252" s="604"/>
      <c r="M252" s="604"/>
      <c r="N252" s="604"/>
      <c r="O252" s="604"/>
      <c r="P252" s="514">
        <f>SUM(P243:P251)</f>
        <v>2948</v>
      </c>
      <c r="Q252" s="602">
        <f>SUM(Q243:Q251)</f>
        <v>1</v>
      </c>
      <c r="R252" s="515">
        <f>SUM(R243:R251)</f>
        <v>375974</v>
      </c>
      <c r="S252" s="602">
        <f>SUM(S243:S251)</f>
        <v>0.99999999999999989</v>
      </c>
      <c r="T252" s="450"/>
      <c r="U252" s="452"/>
      <c r="V252" s="430"/>
    </row>
    <row r="253" spans="1:23" x14ac:dyDescent="0.3">
      <c r="A253" s="418"/>
      <c r="B253" s="516"/>
      <c r="C253" s="516"/>
      <c r="D253" s="516"/>
      <c r="E253" s="516"/>
      <c r="F253" s="516"/>
      <c r="G253" s="516"/>
      <c r="H253" s="608"/>
      <c r="I253" s="608"/>
      <c r="J253" s="608"/>
      <c r="K253" s="608"/>
      <c r="L253" s="608"/>
      <c r="M253" s="608"/>
      <c r="N253" s="608"/>
      <c r="O253" s="608"/>
      <c r="P253" s="517"/>
      <c r="Q253" s="609"/>
      <c r="R253" s="610"/>
      <c r="S253" s="609"/>
      <c r="T253" s="516"/>
      <c r="U253" s="639"/>
      <c r="V253" s="416"/>
    </row>
    <row r="254" spans="1:23" x14ac:dyDescent="0.3">
      <c r="A254" s="442"/>
      <c r="B254" s="521" t="s">
        <v>267</v>
      </c>
      <c r="C254" s="522"/>
      <c r="D254" s="522"/>
      <c r="E254" s="522"/>
      <c r="F254" s="566"/>
      <c r="G254" s="522"/>
      <c r="H254" s="522"/>
      <c r="I254" s="522"/>
      <c r="J254" s="522"/>
      <c r="K254" s="522"/>
      <c r="L254" s="522"/>
      <c r="M254" s="522"/>
      <c r="N254" s="522"/>
      <c r="O254" s="522"/>
      <c r="P254" s="566" t="s">
        <v>105</v>
      </c>
      <c r="Q254" s="522" t="s">
        <v>106</v>
      </c>
      <c r="R254" s="566" t="s">
        <v>114</v>
      </c>
      <c r="S254" s="522" t="s">
        <v>106</v>
      </c>
      <c r="T254" s="443"/>
      <c r="U254" s="446"/>
      <c r="V254" s="416"/>
    </row>
    <row r="255" spans="1:23" s="431" customFormat="1" x14ac:dyDescent="0.3">
      <c r="A255" s="432"/>
      <c r="B255" s="525" t="s">
        <v>91</v>
      </c>
      <c r="C255" s="606"/>
      <c r="D255" s="606"/>
      <c r="E255" s="606"/>
      <c r="F255" s="447"/>
      <c r="G255" s="606"/>
      <c r="H255" s="606"/>
      <c r="I255" s="606"/>
      <c r="J255" s="606"/>
      <c r="K255" s="606"/>
      <c r="L255" s="606"/>
      <c r="M255" s="606"/>
      <c r="N255" s="606"/>
      <c r="O255" s="606"/>
      <c r="P255" s="525">
        <v>24</v>
      </c>
      <c r="Q255" s="607">
        <f t="shared" ref="Q255:Q262" si="7">P255/$P$264</f>
        <v>0.82758620689655171</v>
      </c>
      <c r="R255" s="526">
        <v>3761</v>
      </c>
      <c r="S255" s="607">
        <f>R255/$R$264</f>
        <v>0.88723755602736498</v>
      </c>
      <c r="T255" s="447"/>
      <c r="U255" s="641"/>
      <c r="V255" s="430"/>
    </row>
    <row r="256" spans="1:23" s="431" customFormat="1" x14ac:dyDescent="0.3">
      <c r="A256" s="449"/>
      <c r="B256" s="514" t="s">
        <v>92</v>
      </c>
      <c r="C256" s="603"/>
      <c r="D256" s="603"/>
      <c r="E256" s="603"/>
      <c r="F256" s="450"/>
      <c r="G256" s="602"/>
      <c r="H256" s="603"/>
      <c r="I256" s="603"/>
      <c r="J256" s="603"/>
      <c r="K256" s="603"/>
      <c r="L256" s="603"/>
      <c r="M256" s="603"/>
      <c r="N256" s="603"/>
      <c r="O256" s="603"/>
      <c r="P256" s="514">
        <v>0</v>
      </c>
      <c r="Q256" s="602">
        <f t="shared" si="7"/>
        <v>0</v>
      </c>
      <c r="R256" s="515">
        <v>0</v>
      </c>
      <c r="S256" s="602">
        <f t="shared" ref="S256:S262" si="8">R256/$R$264</f>
        <v>0</v>
      </c>
      <c r="T256" s="450"/>
      <c r="U256" s="452"/>
      <c r="V256" s="430"/>
    </row>
    <row r="257" spans="1:22" s="431" customFormat="1" x14ac:dyDescent="0.3">
      <c r="A257" s="449"/>
      <c r="B257" s="514" t="s">
        <v>93</v>
      </c>
      <c r="C257" s="603"/>
      <c r="D257" s="603"/>
      <c r="E257" s="603"/>
      <c r="F257" s="450"/>
      <c r="G257" s="602"/>
      <c r="H257" s="603"/>
      <c r="I257" s="603"/>
      <c r="J257" s="603"/>
      <c r="K257" s="603"/>
      <c r="L257" s="603"/>
      <c r="M257" s="603"/>
      <c r="N257" s="603"/>
      <c r="O257" s="603"/>
      <c r="P257" s="514">
        <v>1</v>
      </c>
      <c r="Q257" s="602">
        <f t="shared" si="7"/>
        <v>3.4482758620689655E-2</v>
      </c>
      <c r="R257" s="515">
        <v>53</v>
      </c>
      <c r="S257" s="602">
        <f t="shared" si="8"/>
        <v>1.2502948808681292E-2</v>
      </c>
      <c r="T257" s="450"/>
      <c r="U257" s="452"/>
      <c r="V257" s="430"/>
    </row>
    <row r="258" spans="1:22" s="431" customFormat="1" x14ac:dyDescent="0.3">
      <c r="A258" s="449"/>
      <c r="B258" s="514" t="s">
        <v>163</v>
      </c>
      <c r="C258" s="603"/>
      <c r="D258" s="603"/>
      <c r="E258" s="603"/>
      <c r="F258" s="450"/>
      <c r="G258" s="602"/>
      <c r="H258" s="603"/>
      <c r="I258" s="603"/>
      <c r="J258" s="603"/>
      <c r="K258" s="603"/>
      <c r="L258" s="603"/>
      <c r="M258" s="603"/>
      <c r="N258" s="603"/>
      <c r="O258" s="603"/>
      <c r="P258" s="514">
        <v>0</v>
      </c>
      <c r="Q258" s="602">
        <f t="shared" si="7"/>
        <v>0</v>
      </c>
      <c r="R258" s="515">
        <v>0</v>
      </c>
      <c r="S258" s="602">
        <f t="shared" si="8"/>
        <v>0</v>
      </c>
      <c r="T258" s="450"/>
      <c r="U258" s="452"/>
      <c r="V258" s="430"/>
    </row>
    <row r="259" spans="1:22" s="431" customFormat="1" x14ac:dyDescent="0.3">
      <c r="A259" s="449"/>
      <c r="B259" s="514" t="s">
        <v>164</v>
      </c>
      <c r="C259" s="603"/>
      <c r="D259" s="603"/>
      <c r="E259" s="603"/>
      <c r="F259" s="450"/>
      <c r="G259" s="602"/>
      <c r="H259" s="603"/>
      <c r="I259" s="603"/>
      <c r="J259" s="603"/>
      <c r="K259" s="603"/>
      <c r="L259" s="603"/>
      <c r="M259" s="603"/>
      <c r="N259" s="603"/>
      <c r="O259" s="603"/>
      <c r="P259" s="514">
        <v>0</v>
      </c>
      <c r="Q259" s="602">
        <f t="shared" si="7"/>
        <v>0</v>
      </c>
      <c r="R259" s="515">
        <v>0</v>
      </c>
      <c r="S259" s="602">
        <f t="shared" si="8"/>
        <v>0</v>
      </c>
      <c r="T259" s="450"/>
      <c r="U259" s="452"/>
      <c r="V259" s="430"/>
    </row>
    <row r="260" spans="1:22" s="431" customFormat="1" x14ac:dyDescent="0.3">
      <c r="A260" s="449"/>
      <c r="B260" s="514" t="s">
        <v>165</v>
      </c>
      <c r="C260" s="603"/>
      <c r="D260" s="603"/>
      <c r="E260" s="603"/>
      <c r="F260" s="450"/>
      <c r="G260" s="602"/>
      <c r="H260" s="603"/>
      <c r="I260" s="603"/>
      <c r="J260" s="603"/>
      <c r="K260" s="603"/>
      <c r="L260" s="603"/>
      <c r="M260" s="603"/>
      <c r="N260" s="603"/>
      <c r="O260" s="603"/>
      <c r="P260" s="514">
        <v>0</v>
      </c>
      <c r="Q260" s="602">
        <f t="shared" si="7"/>
        <v>0</v>
      </c>
      <c r="R260" s="515">
        <v>0</v>
      </c>
      <c r="S260" s="602">
        <f t="shared" si="8"/>
        <v>0</v>
      </c>
      <c r="T260" s="450"/>
      <c r="U260" s="452"/>
      <c r="V260" s="430"/>
    </row>
    <row r="261" spans="1:22" s="431" customFormat="1" x14ac:dyDescent="0.3">
      <c r="A261" s="449"/>
      <c r="B261" s="514" t="s">
        <v>166</v>
      </c>
      <c r="C261" s="603"/>
      <c r="D261" s="603"/>
      <c r="E261" s="603"/>
      <c r="F261" s="450"/>
      <c r="G261" s="602"/>
      <c r="H261" s="603"/>
      <c r="I261" s="603"/>
      <c r="J261" s="603"/>
      <c r="K261" s="603"/>
      <c r="L261" s="603"/>
      <c r="M261" s="603"/>
      <c r="N261" s="603"/>
      <c r="O261" s="603"/>
      <c r="P261" s="514">
        <v>4</v>
      </c>
      <c r="Q261" s="602">
        <f t="shared" si="7"/>
        <v>0.13793103448275862</v>
      </c>
      <c r="R261" s="515">
        <v>425</v>
      </c>
      <c r="S261" s="602">
        <f t="shared" si="8"/>
        <v>0.10025949516395376</v>
      </c>
      <c r="T261" s="450"/>
      <c r="U261" s="452"/>
      <c r="V261" s="430"/>
    </row>
    <row r="262" spans="1:22" s="431" customFormat="1" x14ac:dyDescent="0.3">
      <c r="A262" s="449"/>
      <c r="B262" s="514" t="s">
        <v>167</v>
      </c>
      <c r="C262" s="603"/>
      <c r="D262" s="603"/>
      <c r="E262" s="603"/>
      <c r="F262" s="450"/>
      <c r="G262" s="602"/>
      <c r="H262" s="603"/>
      <c r="I262" s="603"/>
      <c r="J262" s="603"/>
      <c r="K262" s="603"/>
      <c r="L262" s="603"/>
      <c r="M262" s="603"/>
      <c r="N262" s="603"/>
      <c r="O262" s="603"/>
      <c r="P262" s="514">
        <v>0</v>
      </c>
      <c r="Q262" s="602">
        <f t="shared" si="7"/>
        <v>0</v>
      </c>
      <c r="R262" s="515">
        <v>0</v>
      </c>
      <c r="S262" s="602">
        <f t="shared" si="8"/>
        <v>0</v>
      </c>
      <c r="T262" s="450"/>
      <c r="U262" s="452"/>
      <c r="V262" s="430"/>
    </row>
    <row r="263" spans="1:22" s="431" customFormat="1" x14ac:dyDescent="0.3">
      <c r="A263" s="449"/>
      <c r="B263" s="514"/>
      <c r="C263" s="603"/>
      <c r="D263" s="603"/>
      <c r="E263" s="603"/>
      <c r="F263" s="450"/>
      <c r="G263" s="602"/>
      <c r="H263" s="603"/>
      <c r="I263" s="603"/>
      <c r="J263" s="603"/>
      <c r="K263" s="603"/>
      <c r="L263" s="603"/>
      <c r="M263" s="603"/>
      <c r="N263" s="603"/>
      <c r="O263" s="603"/>
      <c r="P263" s="514"/>
      <c r="Q263" s="602"/>
      <c r="R263" s="515"/>
      <c r="S263" s="602"/>
      <c r="T263" s="450"/>
      <c r="U263" s="452"/>
      <c r="V263" s="430"/>
    </row>
    <row r="264" spans="1:22" s="431" customFormat="1" x14ac:dyDescent="0.3">
      <c r="A264" s="449"/>
      <c r="B264" s="450" t="s">
        <v>120</v>
      </c>
      <c r="C264" s="450"/>
      <c r="D264" s="450"/>
      <c r="E264" s="450"/>
      <c r="F264" s="450"/>
      <c r="G264" s="450"/>
      <c r="H264" s="604"/>
      <c r="I264" s="604"/>
      <c r="J264" s="604"/>
      <c r="K264" s="604"/>
      <c r="L264" s="604"/>
      <c r="M264" s="604"/>
      <c r="N264" s="604"/>
      <c r="O264" s="604"/>
      <c r="P264" s="514">
        <f>SUM(P255:P263)</f>
        <v>29</v>
      </c>
      <c r="Q264" s="602">
        <f>SUM(Q255:Q263)</f>
        <v>1</v>
      </c>
      <c r="R264" s="515">
        <f>SUM(R255:R263)</f>
        <v>4239</v>
      </c>
      <c r="S264" s="602">
        <f>SUM(S255:S263)</f>
        <v>1</v>
      </c>
      <c r="T264" s="450"/>
      <c r="U264" s="452"/>
      <c r="V264" s="430"/>
    </row>
    <row r="265" spans="1:22" x14ac:dyDescent="0.3">
      <c r="A265" s="418"/>
      <c r="B265" s="516"/>
      <c r="C265" s="516"/>
      <c r="D265" s="516"/>
      <c r="E265" s="516"/>
      <c r="F265" s="516"/>
      <c r="G265" s="516"/>
      <c r="H265" s="608"/>
      <c r="I265" s="608"/>
      <c r="J265" s="608"/>
      <c r="K265" s="608"/>
      <c r="L265" s="608"/>
      <c r="M265" s="608"/>
      <c r="N265" s="608"/>
      <c r="O265" s="608"/>
      <c r="P265" s="517"/>
      <c r="Q265" s="609"/>
      <c r="R265" s="610"/>
      <c r="S265" s="609"/>
      <c r="T265" s="516"/>
      <c r="U265" s="639"/>
      <c r="V265" s="416"/>
    </row>
    <row r="266" spans="1:22" x14ac:dyDescent="0.3">
      <c r="A266" s="442"/>
      <c r="B266" s="521" t="s">
        <v>170</v>
      </c>
      <c r="C266" s="443"/>
      <c r="D266" s="443"/>
      <c r="E266" s="443"/>
      <c r="F266" s="443"/>
      <c r="G266" s="443"/>
      <c r="H266" s="611"/>
      <c r="I266" s="611"/>
      <c r="J266" s="611"/>
      <c r="K266" s="611"/>
      <c r="L266" s="611"/>
      <c r="M266" s="611"/>
      <c r="N266" s="611"/>
      <c r="O266" s="611"/>
      <c r="P266" s="566" t="s">
        <v>105</v>
      </c>
      <c r="Q266" s="522" t="s">
        <v>106</v>
      </c>
      <c r="R266" s="566" t="s">
        <v>114</v>
      </c>
      <c r="S266" s="522" t="s">
        <v>106</v>
      </c>
      <c r="T266" s="443"/>
      <c r="U266" s="446"/>
      <c r="V266" s="416"/>
    </row>
    <row r="267" spans="1:22" s="431" customFormat="1" x14ac:dyDescent="0.3">
      <c r="A267" s="432"/>
      <c r="B267" s="525" t="s">
        <v>91</v>
      </c>
      <c r="C267" s="447"/>
      <c r="D267" s="447"/>
      <c r="E267" s="447"/>
      <c r="F267" s="447"/>
      <c r="G267" s="447"/>
      <c r="H267" s="612"/>
      <c r="I267" s="612"/>
      <c r="J267" s="612"/>
      <c r="K267" s="612"/>
      <c r="L267" s="612"/>
      <c r="M267" s="612"/>
      <c r="N267" s="612"/>
      <c r="O267" s="612"/>
      <c r="P267" s="525">
        <v>0</v>
      </c>
      <c r="Q267" s="607">
        <v>0</v>
      </c>
      <c r="R267" s="526">
        <v>0</v>
      </c>
      <c r="S267" s="607">
        <v>0</v>
      </c>
      <c r="T267" s="447"/>
      <c r="U267" s="641"/>
      <c r="V267" s="430"/>
    </row>
    <row r="268" spans="1:22" s="431" customFormat="1" x14ac:dyDescent="0.3">
      <c r="A268" s="449"/>
      <c r="B268" s="514" t="s">
        <v>92</v>
      </c>
      <c r="C268" s="450"/>
      <c r="D268" s="450"/>
      <c r="E268" s="450"/>
      <c r="F268" s="450"/>
      <c r="G268" s="450"/>
      <c r="H268" s="604"/>
      <c r="I268" s="604"/>
      <c r="J268" s="604"/>
      <c r="K268" s="604"/>
      <c r="L268" s="604"/>
      <c r="M268" s="604"/>
      <c r="N268" s="604"/>
      <c r="O268" s="604"/>
      <c r="P268" s="514">
        <v>0</v>
      </c>
      <c r="Q268" s="602">
        <v>0</v>
      </c>
      <c r="R268" s="515">
        <v>0</v>
      </c>
      <c r="S268" s="602">
        <v>0</v>
      </c>
      <c r="T268" s="450"/>
      <c r="U268" s="452"/>
      <c r="V268" s="430"/>
    </row>
    <row r="269" spans="1:22" s="431" customFormat="1" x14ac:dyDescent="0.3">
      <c r="A269" s="449"/>
      <c r="B269" s="514" t="s">
        <v>93</v>
      </c>
      <c r="C269" s="450"/>
      <c r="D269" s="450"/>
      <c r="E269" s="450"/>
      <c r="F269" s="450"/>
      <c r="G269" s="450"/>
      <c r="H269" s="604"/>
      <c r="I269" s="604"/>
      <c r="J269" s="604"/>
      <c r="K269" s="604"/>
      <c r="L269" s="604"/>
      <c r="M269" s="604"/>
      <c r="N269" s="604"/>
      <c r="O269" s="604"/>
      <c r="P269" s="514">
        <v>0</v>
      </c>
      <c r="Q269" s="602">
        <v>0</v>
      </c>
      <c r="R269" s="515">
        <v>0</v>
      </c>
      <c r="S269" s="602">
        <v>0</v>
      </c>
      <c r="T269" s="450"/>
      <c r="U269" s="452"/>
      <c r="V269" s="430"/>
    </row>
    <row r="270" spans="1:22" s="431" customFormat="1" x14ac:dyDescent="0.3">
      <c r="A270" s="449"/>
      <c r="B270" s="514" t="s">
        <v>163</v>
      </c>
      <c r="C270" s="450"/>
      <c r="D270" s="450"/>
      <c r="E270" s="450"/>
      <c r="F270" s="450"/>
      <c r="G270" s="450"/>
      <c r="H270" s="604"/>
      <c r="I270" s="604"/>
      <c r="J270" s="604"/>
      <c r="K270" s="604"/>
      <c r="L270" s="604"/>
      <c r="M270" s="604"/>
      <c r="N270" s="604"/>
      <c r="O270" s="604"/>
      <c r="P270" s="514">
        <v>0</v>
      </c>
      <c r="Q270" s="602">
        <v>0</v>
      </c>
      <c r="R270" s="515">
        <v>0</v>
      </c>
      <c r="S270" s="602">
        <v>0</v>
      </c>
      <c r="T270" s="450"/>
      <c r="U270" s="452"/>
      <c r="V270" s="430"/>
    </row>
    <row r="271" spans="1:22" s="431" customFormat="1" x14ac:dyDescent="0.3">
      <c r="A271" s="449"/>
      <c r="B271" s="514" t="s">
        <v>164</v>
      </c>
      <c r="C271" s="450"/>
      <c r="D271" s="450"/>
      <c r="E271" s="450"/>
      <c r="F271" s="450"/>
      <c r="G271" s="450"/>
      <c r="H271" s="604"/>
      <c r="I271" s="604"/>
      <c r="J271" s="604"/>
      <c r="K271" s="604"/>
      <c r="L271" s="604"/>
      <c r="M271" s="604"/>
      <c r="N271" s="604"/>
      <c r="O271" s="604"/>
      <c r="P271" s="514">
        <v>0</v>
      </c>
      <c r="Q271" s="602">
        <v>0</v>
      </c>
      <c r="R271" s="515">
        <v>0</v>
      </c>
      <c r="S271" s="602">
        <v>0</v>
      </c>
      <c r="T271" s="450"/>
      <c r="U271" s="452"/>
      <c r="V271" s="430"/>
    </row>
    <row r="272" spans="1:22" s="431" customFormat="1" x14ac:dyDescent="0.3">
      <c r="A272" s="449"/>
      <c r="B272" s="514" t="s">
        <v>165</v>
      </c>
      <c r="C272" s="450"/>
      <c r="D272" s="450"/>
      <c r="E272" s="450"/>
      <c r="F272" s="450"/>
      <c r="G272" s="450"/>
      <c r="H272" s="604"/>
      <c r="I272" s="604"/>
      <c r="J272" s="604"/>
      <c r="K272" s="604"/>
      <c r="L272" s="604"/>
      <c r="M272" s="604"/>
      <c r="N272" s="604"/>
      <c r="O272" s="604"/>
      <c r="P272" s="514">
        <v>0</v>
      </c>
      <c r="Q272" s="602">
        <v>0</v>
      </c>
      <c r="R272" s="515">
        <v>0</v>
      </c>
      <c r="S272" s="602">
        <v>0</v>
      </c>
      <c r="T272" s="450"/>
      <c r="U272" s="452"/>
      <c r="V272" s="430"/>
    </row>
    <row r="273" spans="1:22" s="431" customFormat="1" x14ac:dyDescent="0.3">
      <c r="A273" s="449"/>
      <c r="B273" s="514" t="s">
        <v>166</v>
      </c>
      <c r="C273" s="450"/>
      <c r="D273" s="450"/>
      <c r="E273" s="450"/>
      <c r="F273" s="450"/>
      <c r="G273" s="450"/>
      <c r="H273" s="604"/>
      <c r="I273" s="604"/>
      <c r="J273" s="604"/>
      <c r="K273" s="604"/>
      <c r="L273" s="604"/>
      <c r="M273" s="604"/>
      <c r="N273" s="604"/>
      <c r="O273" s="604"/>
      <c r="P273" s="514">
        <v>0</v>
      </c>
      <c r="Q273" s="602">
        <v>0</v>
      </c>
      <c r="R273" s="515">
        <v>0</v>
      </c>
      <c r="S273" s="602">
        <v>0</v>
      </c>
      <c r="T273" s="450"/>
      <c r="U273" s="452"/>
      <c r="V273" s="430"/>
    </row>
    <row r="274" spans="1:22" s="431" customFormat="1" x14ac:dyDescent="0.3">
      <c r="A274" s="449"/>
      <c r="B274" s="514" t="s">
        <v>167</v>
      </c>
      <c r="C274" s="450"/>
      <c r="D274" s="450"/>
      <c r="E274" s="450"/>
      <c r="F274" s="450"/>
      <c r="G274" s="450"/>
      <c r="H274" s="604"/>
      <c r="I274" s="604"/>
      <c r="J274" s="604"/>
      <c r="K274" s="604"/>
      <c r="L274" s="604"/>
      <c r="M274" s="604"/>
      <c r="N274" s="604"/>
      <c r="O274" s="604"/>
      <c r="P274" s="514">
        <v>0</v>
      </c>
      <c r="Q274" s="602">
        <v>0</v>
      </c>
      <c r="R274" s="515">
        <v>0</v>
      </c>
      <c r="S274" s="602">
        <v>0</v>
      </c>
      <c r="T274" s="450"/>
      <c r="U274" s="452"/>
      <c r="V274" s="430"/>
    </row>
    <row r="275" spans="1:22" s="431" customFormat="1" x14ac:dyDescent="0.3">
      <c r="A275" s="449"/>
      <c r="B275" s="514"/>
      <c r="C275" s="450"/>
      <c r="D275" s="450"/>
      <c r="E275" s="450"/>
      <c r="F275" s="450"/>
      <c r="G275" s="450"/>
      <c r="H275" s="604"/>
      <c r="I275" s="604"/>
      <c r="J275" s="604"/>
      <c r="K275" s="604"/>
      <c r="L275" s="604"/>
      <c r="M275" s="604"/>
      <c r="N275" s="604"/>
      <c r="O275" s="604"/>
      <c r="P275" s="514"/>
      <c r="Q275" s="602"/>
      <c r="R275" s="515"/>
      <c r="S275" s="602"/>
      <c r="T275" s="450"/>
      <c r="U275" s="452"/>
      <c r="V275" s="430"/>
    </row>
    <row r="276" spans="1:22" s="431" customFormat="1" x14ac:dyDescent="0.3">
      <c r="A276" s="449"/>
      <c r="B276" s="450" t="s">
        <v>120</v>
      </c>
      <c r="C276" s="450"/>
      <c r="D276" s="450"/>
      <c r="E276" s="450"/>
      <c r="F276" s="450"/>
      <c r="G276" s="450"/>
      <c r="H276" s="604"/>
      <c r="I276" s="604"/>
      <c r="J276" s="604"/>
      <c r="K276" s="604"/>
      <c r="L276" s="604"/>
      <c r="M276" s="604"/>
      <c r="N276" s="604"/>
      <c r="O276" s="604"/>
      <c r="P276" s="514">
        <f>SUM(P267:P274)</f>
        <v>0</v>
      </c>
      <c r="Q276" s="602">
        <f>SUM(Q267:Q275)</f>
        <v>0</v>
      </c>
      <c r="R276" s="515">
        <f>SUM(R267:R274)</f>
        <v>0</v>
      </c>
      <c r="S276" s="602">
        <f>SUM(S267:S275)</f>
        <v>0</v>
      </c>
      <c r="T276" s="450"/>
      <c r="U276" s="452"/>
      <c r="V276" s="430"/>
    </row>
    <row r="277" spans="1:22" s="431" customFormat="1" x14ac:dyDescent="0.3">
      <c r="A277" s="449"/>
      <c r="B277" s="450"/>
      <c r="C277" s="450"/>
      <c r="D277" s="450"/>
      <c r="E277" s="450"/>
      <c r="F277" s="450"/>
      <c r="G277" s="450"/>
      <c r="H277" s="604"/>
      <c r="I277" s="604"/>
      <c r="J277" s="604"/>
      <c r="K277" s="604"/>
      <c r="L277" s="604"/>
      <c r="M277" s="604"/>
      <c r="N277" s="604"/>
      <c r="O277" s="604"/>
      <c r="P277" s="514"/>
      <c r="Q277" s="602"/>
      <c r="R277" s="515"/>
      <c r="S277" s="602"/>
      <c r="T277" s="450"/>
      <c r="U277" s="452"/>
      <c r="V277" s="430"/>
    </row>
    <row r="278" spans="1:22" s="431" customFormat="1" x14ac:dyDescent="0.3">
      <c r="A278" s="449"/>
      <c r="B278" s="455" t="s">
        <v>171</v>
      </c>
      <c r="C278" s="450"/>
      <c r="D278" s="450"/>
      <c r="E278" s="450"/>
      <c r="F278" s="450"/>
      <c r="G278" s="450"/>
      <c r="H278" s="604"/>
      <c r="I278" s="604"/>
      <c r="J278" s="604"/>
      <c r="K278" s="604"/>
      <c r="L278" s="604"/>
      <c r="M278" s="604"/>
      <c r="N278" s="604"/>
      <c r="O278" s="604"/>
      <c r="P278" s="613">
        <f>P276+P264+P252</f>
        <v>2977</v>
      </c>
      <c r="Q278" s="602"/>
      <c r="R278" s="614">
        <f>+R276+R264+R252</f>
        <v>380213</v>
      </c>
      <c r="S278" s="602"/>
      <c r="T278" s="450"/>
      <c r="U278" s="452"/>
      <c r="V278" s="430"/>
    </row>
    <row r="279" spans="1:22" s="431" customFormat="1" x14ac:dyDescent="0.3">
      <c r="A279" s="432"/>
      <c r="B279" s="447"/>
      <c r="C279" s="447"/>
      <c r="D279" s="447"/>
      <c r="E279" s="447"/>
      <c r="F279" s="447"/>
      <c r="G279" s="447"/>
      <c r="H279" s="612"/>
      <c r="I279" s="612"/>
      <c r="J279" s="612"/>
      <c r="K279" s="612"/>
      <c r="L279" s="612"/>
      <c r="M279" s="612"/>
      <c r="N279" s="612"/>
      <c r="O279" s="612"/>
      <c r="P279" s="612"/>
      <c r="Q279" s="612"/>
      <c r="R279" s="526"/>
      <c r="S279" s="612"/>
      <c r="T279" s="447"/>
      <c r="U279" s="641"/>
      <c r="V279" s="430"/>
    </row>
    <row r="280" spans="1:22" s="431" customFormat="1" x14ac:dyDescent="0.3">
      <c r="A280" s="432"/>
      <c r="B280" s="447"/>
      <c r="C280" s="433"/>
      <c r="D280" s="433"/>
      <c r="E280" s="433"/>
      <c r="F280" s="433"/>
      <c r="G280" s="433"/>
      <c r="H280" s="615"/>
      <c r="I280" s="615"/>
      <c r="J280" s="615"/>
      <c r="K280" s="615"/>
      <c r="L280" s="615"/>
      <c r="M280" s="615"/>
      <c r="N280" s="615"/>
      <c r="O280" s="615"/>
      <c r="P280" s="615"/>
      <c r="Q280" s="615"/>
      <c r="R280" s="616"/>
      <c r="S280" s="615"/>
      <c r="T280" s="433"/>
      <c r="U280" s="641"/>
      <c r="V280" s="430"/>
    </row>
    <row r="281" spans="1:22" s="431" customFormat="1" x14ac:dyDescent="0.3">
      <c r="A281" s="432"/>
      <c r="B281" s="428" t="s">
        <v>94</v>
      </c>
      <c r="C281" s="433"/>
      <c r="D281" s="433"/>
      <c r="E281" s="433"/>
      <c r="F281" s="437" t="s">
        <v>100</v>
      </c>
      <c r="G281" s="433"/>
      <c r="H281" s="428" t="s">
        <v>102</v>
      </c>
      <c r="I281" s="433"/>
      <c r="J281" s="433"/>
      <c r="K281" s="433"/>
      <c r="L281" s="433"/>
      <c r="M281" s="433"/>
      <c r="N281" s="433"/>
      <c r="O281" s="433"/>
      <c r="P281" s="433"/>
      <c r="Q281" s="433"/>
      <c r="R281" s="433"/>
      <c r="S281" s="433"/>
      <c r="T281" s="433"/>
      <c r="U281" s="641"/>
      <c r="V281" s="430"/>
    </row>
    <row r="282" spans="1:22" s="431" customFormat="1" x14ac:dyDescent="0.3">
      <c r="A282" s="432"/>
      <c r="B282" s="428" t="s">
        <v>317</v>
      </c>
      <c r="C282" s="428"/>
      <c r="D282" s="428"/>
      <c r="E282" s="428"/>
      <c r="F282" s="617" t="s">
        <v>269</v>
      </c>
      <c r="G282" s="428"/>
      <c r="H282" s="428" t="s">
        <v>357</v>
      </c>
      <c r="I282" s="433"/>
      <c r="J282" s="433"/>
      <c r="K282" s="433"/>
      <c r="L282" s="433"/>
      <c r="M282" s="433"/>
      <c r="N282" s="433"/>
      <c r="O282" s="433"/>
      <c r="P282" s="433"/>
      <c r="Q282" s="433"/>
      <c r="R282" s="433"/>
      <c r="S282" s="433"/>
      <c r="T282" s="433"/>
      <c r="U282" s="641"/>
      <c r="V282" s="430"/>
    </row>
    <row r="283" spans="1:22" s="431" customFormat="1" x14ac:dyDescent="0.3">
      <c r="A283" s="432"/>
      <c r="B283" s="428" t="s">
        <v>318</v>
      </c>
      <c r="C283" s="428"/>
      <c r="D283" s="428"/>
      <c r="E283" s="428"/>
      <c r="F283" s="617" t="s">
        <v>153</v>
      </c>
      <c r="G283" s="428"/>
      <c r="H283" s="428" t="s">
        <v>358</v>
      </c>
      <c r="I283" s="433"/>
      <c r="J283" s="433"/>
      <c r="K283" s="433"/>
      <c r="L283" s="433"/>
      <c r="M283" s="433"/>
      <c r="N283" s="433"/>
      <c r="O283" s="433"/>
      <c r="P283" s="433"/>
      <c r="Q283" s="433"/>
      <c r="R283" s="433"/>
      <c r="S283" s="433"/>
      <c r="T283" s="433"/>
      <c r="U283" s="641"/>
      <c r="V283" s="430"/>
    </row>
    <row r="284" spans="1:22" s="431" customFormat="1" x14ac:dyDescent="0.3">
      <c r="A284" s="432"/>
      <c r="B284" s="428"/>
      <c r="C284" s="428"/>
      <c r="D284" s="428"/>
      <c r="E284" s="428"/>
      <c r="F284" s="617"/>
      <c r="G284" s="428"/>
      <c r="H284" s="428"/>
      <c r="I284" s="433"/>
      <c r="J284" s="433"/>
      <c r="K284" s="433"/>
      <c r="L284" s="433"/>
      <c r="M284" s="433"/>
      <c r="N284" s="433"/>
      <c r="O284" s="433"/>
      <c r="P284" s="433"/>
      <c r="Q284" s="433"/>
      <c r="R284" s="433"/>
      <c r="S284" s="433"/>
      <c r="T284" s="433"/>
      <c r="U284" s="641"/>
      <c r="V284" s="430"/>
    </row>
    <row r="285" spans="1:22" s="431" customFormat="1" x14ac:dyDescent="0.3">
      <c r="A285" s="432"/>
      <c r="B285" s="447" t="s">
        <v>354</v>
      </c>
      <c r="C285" s="428"/>
      <c r="D285" s="428"/>
      <c r="E285" s="428"/>
      <c r="F285" s="617"/>
      <c r="G285" s="428"/>
      <c r="H285" s="428"/>
      <c r="I285" s="433"/>
      <c r="J285" s="433"/>
      <c r="K285" s="433"/>
      <c r="L285" s="433"/>
      <c r="M285" s="433"/>
      <c r="N285" s="433"/>
      <c r="O285" s="433"/>
      <c r="P285" s="433"/>
      <c r="Q285" s="433"/>
      <c r="R285" s="433"/>
      <c r="S285" s="433"/>
      <c r="T285" s="433"/>
      <c r="U285" s="641"/>
      <c r="V285" s="430"/>
    </row>
    <row r="286" spans="1:22" s="431" customFormat="1" x14ac:dyDescent="0.3">
      <c r="A286" s="432"/>
      <c r="B286" s="447" t="s">
        <v>359</v>
      </c>
      <c r="C286" s="428"/>
      <c r="D286" s="428"/>
      <c r="E286" s="428"/>
      <c r="F286" s="617"/>
      <c r="G286" s="428"/>
      <c r="H286" s="428"/>
      <c r="I286" s="433"/>
      <c r="J286" s="433"/>
      <c r="K286" s="433"/>
      <c r="L286" s="433"/>
      <c r="M286" s="433"/>
      <c r="N286" s="433"/>
      <c r="O286" s="433"/>
      <c r="P286" s="433"/>
      <c r="Q286" s="433"/>
      <c r="R286" s="433"/>
      <c r="S286" s="433"/>
      <c r="T286" s="433"/>
      <c r="U286" s="641"/>
      <c r="V286" s="430"/>
    </row>
    <row r="287" spans="1:22" s="431" customFormat="1" x14ac:dyDescent="0.3">
      <c r="A287" s="432"/>
      <c r="B287" s="447" t="s">
        <v>352</v>
      </c>
      <c r="C287" s="428"/>
      <c r="D287" s="428"/>
      <c r="E287" s="428"/>
      <c r="F287" s="617"/>
      <c r="G287" s="428"/>
      <c r="H287" s="428"/>
      <c r="I287" s="433"/>
      <c r="J287" s="433"/>
      <c r="K287" s="433"/>
      <c r="L287" s="433"/>
      <c r="M287" s="433"/>
      <c r="N287" s="433"/>
      <c r="O287" s="433"/>
      <c r="P287" s="433"/>
      <c r="Q287" s="433"/>
      <c r="R287" s="433"/>
      <c r="S287" s="433"/>
      <c r="T287" s="433"/>
      <c r="U287" s="641"/>
      <c r="V287" s="430"/>
    </row>
    <row r="288" spans="1:22" s="431" customFormat="1" x14ac:dyDescent="0.3">
      <c r="A288" s="432"/>
      <c r="B288" s="447" t="s">
        <v>351</v>
      </c>
      <c r="C288" s="428"/>
      <c r="D288" s="428"/>
      <c r="E288" s="428"/>
      <c r="F288" s="617"/>
      <c r="G288" s="428"/>
      <c r="H288" s="428"/>
      <c r="I288" s="433"/>
      <c r="J288" s="433"/>
      <c r="K288" s="433"/>
      <c r="L288" s="433"/>
      <c r="M288" s="433"/>
      <c r="N288" s="433"/>
      <c r="O288" s="433"/>
      <c r="P288" s="433"/>
      <c r="Q288" s="433"/>
      <c r="R288" s="433"/>
      <c r="S288" s="433"/>
      <c r="T288" s="433"/>
      <c r="U288" s="641"/>
      <c r="V288" s="430"/>
    </row>
    <row r="289" spans="1:22" x14ac:dyDescent="0.3">
      <c r="A289" s="418"/>
      <c r="B289" s="618"/>
      <c r="C289" s="619"/>
      <c r="D289" s="619"/>
      <c r="E289" s="619"/>
      <c r="F289" s="620"/>
      <c r="G289" s="619"/>
      <c r="H289" s="619"/>
      <c r="I289" s="621"/>
      <c r="J289" s="621"/>
      <c r="K289" s="621"/>
      <c r="L289" s="420"/>
      <c r="M289" s="420"/>
      <c r="N289" s="420"/>
      <c r="O289" s="420"/>
      <c r="P289" s="420"/>
      <c r="Q289" s="420"/>
      <c r="R289" s="420"/>
      <c r="S289" s="420"/>
      <c r="T289" s="420"/>
      <c r="U289" s="639"/>
      <c r="V289" s="416"/>
    </row>
    <row r="290" spans="1:22" ht="18" x14ac:dyDescent="0.35">
      <c r="A290" s="418"/>
      <c r="B290" s="622" t="s">
        <v>353</v>
      </c>
      <c r="C290" s="619"/>
      <c r="D290" s="619"/>
      <c r="E290" s="619"/>
      <c r="F290" s="619"/>
      <c r="G290" s="619"/>
      <c r="H290" s="621"/>
      <c r="I290" s="621"/>
      <c r="J290" s="621"/>
      <c r="K290" s="621"/>
      <c r="L290" s="420"/>
      <c r="M290" s="420"/>
      <c r="N290" s="623"/>
      <c r="O290" s="420"/>
      <c r="P290" s="624" t="s">
        <v>356</v>
      </c>
      <c r="Q290" s="420"/>
      <c r="R290" s="420"/>
      <c r="S290" s="420"/>
      <c r="T290" s="420"/>
      <c r="U290" s="639"/>
      <c r="V290" s="416"/>
    </row>
    <row r="291" spans="1:22" x14ac:dyDescent="0.3">
      <c r="A291" s="418"/>
      <c r="B291" s="619"/>
      <c r="C291" s="619"/>
      <c r="D291" s="619"/>
      <c r="E291" s="619"/>
      <c r="F291" s="619"/>
      <c r="G291" s="619"/>
      <c r="H291" s="621"/>
      <c r="I291" s="621"/>
      <c r="J291" s="621"/>
      <c r="K291" s="621"/>
      <c r="L291" s="420"/>
      <c r="M291" s="420"/>
      <c r="N291" s="420"/>
      <c r="O291" s="420"/>
      <c r="P291" s="420"/>
      <c r="Q291" s="420"/>
      <c r="R291" s="420"/>
      <c r="S291" s="420"/>
      <c r="T291" s="420"/>
      <c r="U291" s="639"/>
      <c r="V291" s="416"/>
    </row>
    <row r="292" spans="1:22" ht="18.600000000000001" thickBot="1" x14ac:dyDescent="0.4">
      <c r="A292" s="418"/>
      <c r="B292" s="625" t="str">
        <f>B192</f>
        <v>PM11 INVESTOR REPORT QUARTER ENDING MARCH 2019</v>
      </c>
      <c r="C292" s="619"/>
      <c r="D292" s="619"/>
      <c r="E292" s="619"/>
      <c r="F292" s="619"/>
      <c r="G292" s="619"/>
      <c r="H292" s="621"/>
      <c r="I292" s="621"/>
      <c r="J292" s="621"/>
      <c r="K292" s="621"/>
      <c r="L292" s="420"/>
      <c r="M292" s="420"/>
      <c r="N292" s="420"/>
      <c r="O292" s="420"/>
      <c r="P292" s="420"/>
      <c r="Q292" s="420"/>
      <c r="R292" s="420"/>
      <c r="S292" s="420"/>
      <c r="T292" s="420"/>
      <c r="U292" s="556"/>
      <c r="V292" s="416"/>
    </row>
    <row r="293" spans="1:22" x14ac:dyDescent="0.3">
      <c r="A293" s="626"/>
      <c r="B293" s="626"/>
      <c r="C293" s="626"/>
      <c r="D293" s="626"/>
      <c r="E293" s="626"/>
      <c r="F293" s="626"/>
      <c r="G293" s="626"/>
      <c r="H293" s="626"/>
      <c r="I293" s="626"/>
      <c r="J293" s="626"/>
      <c r="K293" s="626"/>
      <c r="L293" s="626"/>
      <c r="M293" s="626"/>
      <c r="N293" s="626"/>
      <c r="O293" s="626"/>
      <c r="P293" s="626"/>
      <c r="Q293" s="626"/>
      <c r="R293" s="626"/>
      <c r="S293" s="626"/>
      <c r="T293" s="626"/>
      <c r="U293" s="626"/>
    </row>
  </sheetData>
  <hyperlinks>
    <hyperlink ref="J9" r:id="rId1" display="http://www.paragon-group.co.uk" xr:uid="{00000000-0004-0000-3300-000000000000}"/>
    <hyperlink ref="P290" r:id="rId2" display="http://www.paragon-group.co.uk" xr:uid="{00000000-0004-0000-3300-000001000000}"/>
    <hyperlink ref="N228" r:id="rId3" display="http://www.paragon-group.co.uk" xr:uid="{00000000-0004-0000-3300-000002000000}"/>
  </hyperlinks>
  <printOptions horizontalCentered="1" verticalCentered="1"/>
  <pageMargins left="0.19685039370078741" right="0.19685039370078741" top="0.27559055118110237" bottom="0.27559055118110237" header="0" footer="0"/>
  <pageSetup scale="40" orientation="landscape" r:id="rId4"/>
  <headerFooter alignWithMargins="0"/>
  <rowBreaks count="3" manualBreakCount="3">
    <brk id="63" max="20" man="1"/>
    <brk id="132" max="20" man="1"/>
    <brk id="192" max="20" man="1"/>
  </rowBreaks>
  <drawing r:id="rId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3B4FB-6433-4EA2-BC17-A6546DF84C61}">
  <sheetPr>
    <tabColor rgb="FF89CB31"/>
  </sheetPr>
  <dimension ref="A1:X293"/>
  <sheetViews>
    <sheetView showGridLines="0" showOutlineSymbols="0" zoomScale="70" zoomScaleNormal="70" workbookViewId="0"/>
  </sheetViews>
  <sheetFormatPr defaultColWidth="9.81640625" defaultRowHeight="15.6" x14ac:dyDescent="0.3"/>
  <cols>
    <col min="1" max="1" width="4" style="417" customWidth="1"/>
    <col min="2" max="2" width="71.08984375" style="417" customWidth="1"/>
    <col min="3" max="3" width="2.08984375" style="417" customWidth="1"/>
    <col min="4" max="4" width="19.1796875" style="417" customWidth="1"/>
    <col min="5" max="5" width="2.08984375" style="417" customWidth="1"/>
    <col min="6" max="6" width="25.08984375" style="417" customWidth="1"/>
    <col min="7" max="7" width="2.08984375" style="417" customWidth="1"/>
    <col min="8" max="8" width="16.08984375" style="417" customWidth="1"/>
    <col min="9" max="9" width="2.08984375" style="417" customWidth="1"/>
    <col min="10" max="10" width="17.81640625" style="417" customWidth="1"/>
    <col min="11" max="11" width="2.1796875" style="417" customWidth="1"/>
    <col min="12" max="12" width="14.81640625" style="417" customWidth="1"/>
    <col min="13" max="13" width="2.1796875" style="417" customWidth="1"/>
    <col min="14" max="14" width="15.54296875" style="417" customWidth="1"/>
    <col min="15" max="15" width="2.08984375" style="417" customWidth="1"/>
    <col min="16" max="16" width="15.54296875" style="417" customWidth="1"/>
    <col min="17" max="18" width="12.81640625" style="417" customWidth="1"/>
    <col min="19" max="19" width="7.81640625" style="417" customWidth="1"/>
    <col min="20" max="20" width="14.81640625" style="417" customWidth="1"/>
    <col min="21" max="21" width="11.81640625" style="417" customWidth="1"/>
    <col min="22" max="16384" width="9.81640625" style="417"/>
  </cols>
  <sheetData>
    <row r="1" spans="1:22" ht="21" x14ac:dyDescent="0.4">
      <c r="A1" s="413"/>
      <c r="B1" s="414" t="s">
        <v>228</v>
      </c>
      <c r="C1" s="415"/>
      <c r="D1" s="415"/>
      <c r="E1" s="415"/>
      <c r="F1" s="415"/>
      <c r="G1" s="415"/>
      <c r="H1" s="415"/>
      <c r="I1" s="415"/>
      <c r="J1" s="415"/>
      <c r="K1" s="415"/>
      <c r="L1" s="415"/>
      <c r="M1" s="415"/>
      <c r="N1" s="415"/>
      <c r="O1" s="415"/>
      <c r="P1" s="415"/>
      <c r="Q1" s="415"/>
      <c r="R1" s="415"/>
      <c r="S1" s="415"/>
      <c r="T1" s="415"/>
      <c r="U1" s="638"/>
      <c r="V1" s="416"/>
    </row>
    <row r="2" spans="1:22" x14ac:dyDescent="0.3">
      <c r="A2" s="418"/>
      <c r="B2" s="419"/>
      <c r="C2" s="420"/>
      <c r="D2" s="420"/>
      <c r="E2" s="420"/>
      <c r="F2" s="420"/>
      <c r="G2" s="420"/>
      <c r="H2" s="420"/>
      <c r="I2" s="420"/>
      <c r="J2" s="420"/>
      <c r="K2" s="420"/>
      <c r="L2" s="420"/>
      <c r="M2" s="420"/>
      <c r="N2" s="420"/>
      <c r="O2" s="420"/>
      <c r="P2" s="420"/>
      <c r="Q2" s="420"/>
      <c r="R2" s="420"/>
      <c r="S2" s="420"/>
      <c r="T2" s="420"/>
      <c r="U2" s="639"/>
      <c r="V2" s="416"/>
    </row>
    <row r="3" spans="1:22" x14ac:dyDescent="0.3">
      <c r="A3" s="421"/>
      <c r="B3" s="422" t="s">
        <v>229</v>
      </c>
      <c r="C3" s="420"/>
      <c r="D3" s="420"/>
      <c r="E3" s="420"/>
      <c r="F3" s="420"/>
      <c r="G3" s="420"/>
      <c r="H3" s="420"/>
      <c r="I3" s="420"/>
      <c r="J3" s="420"/>
      <c r="K3" s="420"/>
      <c r="L3" s="420"/>
      <c r="M3" s="420"/>
      <c r="N3" s="420"/>
      <c r="O3" s="420"/>
      <c r="P3" s="420"/>
      <c r="Q3" s="420"/>
      <c r="R3" s="420"/>
      <c r="S3" s="420"/>
      <c r="T3" s="420"/>
      <c r="U3" s="639"/>
      <c r="V3" s="416"/>
    </row>
    <row r="4" spans="1:22" x14ac:dyDescent="0.3">
      <c r="A4" s="418"/>
      <c r="B4" s="419"/>
      <c r="C4" s="420"/>
      <c r="D4" s="420"/>
      <c r="E4" s="420"/>
      <c r="F4" s="420"/>
      <c r="G4" s="420"/>
      <c r="H4" s="420"/>
      <c r="I4" s="420"/>
      <c r="J4" s="420"/>
      <c r="K4" s="420"/>
      <c r="L4" s="420"/>
      <c r="M4" s="420"/>
      <c r="N4" s="420"/>
      <c r="O4" s="420"/>
      <c r="P4" s="420"/>
      <c r="Q4" s="420"/>
      <c r="R4" s="420"/>
      <c r="S4" s="420"/>
      <c r="T4" s="420"/>
      <c r="U4" s="639"/>
      <c r="V4" s="416"/>
    </row>
    <row r="5" spans="1:22" x14ac:dyDescent="0.3">
      <c r="A5" s="418"/>
      <c r="B5" s="423" t="s">
        <v>143</v>
      </c>
      <c r="C5" s="420"/>
      <c r="D5" s="420"/>
      <c r="E5" s="420"/>
      <c r="F5" s="420"/>
      <c r="G5" s="420"/>
      <c r="H5" s="420"/>
      <c r="I5" s="420"/>
      <c r="J5" s="420"/>
      <c r="K5" s="420"/>
      <c r="L5" s="420"/>
      <c r="M5" s="420"/>
      <c r="N5" s="420"/>
      <c r="O5" s="420"/>
      <c r="P5" s="420"/>
      <c r="Q5" s="420"/>
      <c r="R5" s="420"/>
      <c r="S5" s="420"/>
      <c r="T5" s="420"/>
      <c r="U5" s="639"/>
      <c r="V5" s="416"/>
    </row>
    <row r="6" spans="1:22" x14ac:dyDescent="0.3">
      <c r="A6" s="418"/>
      <c r="B6" s="423" t="s">
        <v>145</v>
      </c>
      <c r="C6" s="420"/>
      <c r="D6" s="420"/>
      <c r="E6" s="420"/>
      <c r="F6" s="420"/>
      <c r="G6" s="420"/>
      <c r="H6" s="420"/>
      <c r="I6" s="420"/>
      <c r="J6" s="420"/>
      <c r="K6" s="420"/>
      <c r="L6" s="420"/>
      <c r="M6" s="420"/>
      <c r="N6" s="420"/>
      <c r="O6" s="420"/>
      <c r="P6" s="420"/>
      <c r="Q6" s="420"/>
      <c r="R6" s="420"/>
      <c r="S6" s="420"/>
      <c r="T6" s="420"/>
      <c r="U6" s="639"/>
      <c r="V6" s="416"/>
    </row>
    <row r="7" spans="1:22" x14ac:dyDescent="0.3">
      <c r="A7" s="418"/>
      <c r="B7" s="423" t="s">
        <v>144</v>
      </c>
      <c r="C7" s="420"/>
      <c r="D7" s="420"/>
      <c r="E7" s="420"/>
      <c r="F7" s="420"/>
      <c r="G7" s="420"/>
      <c r="H7" s="420"/>
      <c r="I7" s="420"/>
      <c r="J7" s="420"/>
      <c r="K7" s="420"/>
      <c r="L7" s="420"/>
      <c r="M7" s="420"/>
      <c r="N7" s="420"/>
      <c r="O7" s="420"/>
      <c r="P7" s="420"/>
      <c r="Q7" s="420"/>
      <c r="R7" s="420"/>
      <c r="S7" s="420"/>
      <c r="T7" s="420"/>
      <c r="U7" s="639"/>
      <c r="V7" s="416"/>
    </row>
    <row r="8" spans="1:22" x14ac:dyDescent="0.3">
      <c r="A8" s="418"/>
      <c r="B8" s="424"/>
      <c r="C8" s="420"/>
      <c r="D8" s="420"/>
      <c r="E8" s="420"/>
      <c r="F8" s="420"/>
      <c r="G8" s="420"/>
      <c r="H8" s="420"/>
      <c r="I8" s="420"/>
      <c r="J8" s="420"/>
      <c r="K8" s="420"/>
      <c r="L8" s="420"/>
      <c r="M8" s="420"/>
      <c r="N8" s="420"/>
      <c r="O8" s="420"/>
      <c r="P8" s="420"/>
      <c r="Q8" s="420"/>
      <c r="R8" s="420"/>
      <c r="S8" s="420"/>
      <c r="T8" s="420"/>
      <c r="U8" s="639"/>
      <c r="V8" s="416"/>
    </row>
    <row r="9" spans="1:22" x14ac:dyDescent="0.3">
      <c r="A9" s="418"/>
      <c r="B9" s="422" t="s">
        <v>173</v>
      </c>
      <c r="C9" s="420"/>
      <c r="D9" s="420"/>
      <c r="E9" s="420"/>
      <c r="F9" s="420"/>
      <c r="G9" s="420"/>
      <c r="H9" s="420"/>
      <c r="I9" s="420"/>
      <c r="J9" s="425" t="s">
        <v>356</v>
      </c>
      <c r="K9" s="420"/>
      <c r="L9" s="426"/>
      <c r="M9" s="420"/>
      <c r="N9" s="420"/>
      <c r="O9" s="420"/>
      <c r="P9" s="420"/>
      <c r="Q9" s="420"/>
      <c r="R9" s="420"/>
      <c r="S9" s="420"/>
      <c r="T9" s="420"/>
      <c r="U9" s="639"/>
      <c r="V9" s="416"/>
    </row>
    <row r="10" spans="1:22" x14ac:dyDescent="0.3">
      <c r="A10" s="418"/>
      <c r="B10" s="424"/>
      <c r="C10" s="427"/>
      <c r="D10" s="427"/>
      <c r="E10" s="427"/>
      <c r="F10" s="420"/>
      <c r="G10" s="420"/>
      <c r="H10" s="420"/>
      <c r="I10" s="420"/>
      <c r="J10" s="420"/>
      <c r="K10" s="420"/>
      <c r="L10" s="420"/>
      <c r="M10" s="420"/>
      <c r="N10" s="420"/>
      <c r="O10" s="420"/>
      <c r="P10" s="420"/>
      <c r="Q10" s="420"/>
      <c r="R10" s="420"/>
      <c r="S10" s="420"/>
      <c r="T10" s="420"/>
      <c r="U10" s="639"/>
      <c r="V10" s="416"/>
    </row>
    <row r="11" spans="1:22" x14ac:dyDescent="0.3">
      <c r="A11" s="418"/>
      <c r="B11" s="428" t="s">
        <v>0</v>
      </c>
      <c r="C11" s="420"/>
      <c r="D11" s="420"/>
      <c r="E11" s="420"/>
      <c r="F11" s="420"/>
      <c r="G11" s="420"/>
      <c r="H11" s="420"/>
      <c r="I11" s="420"/>
      <c r="J11" s="420"/>
      <c r="K11" s="420"/>
      <c r="L11" s="420"/>
      <c r="M11" s="420"/>
      <c r="N11" s="420"/>
      <c r="O11" s="420"/>
      <c r="P11" s="420"/>
      <c r="Q11" s="420"/>
      <c r="R11" s="420"/>
      <c r="S11" s="420"/>
      <c r="T11" s="420"/>
      <c r="U11" s="639"/>
      <c r="V11" s="416"/>
    </row>
    <row r="12" spans="1:22" ht="16.2" thickBot="1" x14ac:dyDescent="0.35">
      <c r="A12" s="418"/>
      <c r="B12" s="427"/>
      <c r="C12" s="420"/>
      <c r="D12" s="420"/>
      <c r="E12" s="420"/>
      <c r="F12" s="420"/>
      <c r="G12" s="420"/>
      <c r="H12" s="420"/>
      <c r="I12" s="420"/>
      <c r="J12" s="420"/>
      <c r="K12" s="420"/>
      <c r="L12" s="420"/>
      <c r="M12" s="420"/>
      <c r="N12" s="420"/>
      <c r="O12" s="420"/>
      <c r="P12" s="420"/>
      <c r="Q12" s="420"/>
      <c r="R12" s="420"/>
      <c r="S12" s="420"/>
      <c r="T12" s="420"/>
      <c r="U12" s="639"/>
      <c r="V12" s="416"/>
    </row>
    <row r="13" spans="1:22" s="431" customFormat="1" x14ac:dyDescent="0.3">
      <c r="A13" s="413"/>
      <c r="B13" s="429"/>
      <c r="C13" s="429"/>
      <c r="D13" s="429"/>
      <c r="E13" s="429"/>
      <c r="F13" s="429"/>
      <c r="G13" s="429"/>
      <c r="H13" s="429"/>
      <c r="I13" s="429"/>
      <c r="J13" s="429"/>
      <c r="K13" s="429"/>
      <c r="L13" s="429"/>
      <c r="M13" s="429"/>
      <c r="N13" s="429"/>
      <c r="O13" s="429"/>
      <c r="P13" s="429"/>
      <c r="Q13" s="429"/>
      <c r="R13" s="429"/>
      <c r="S13" s="429"/>
      <c r="T13" s="429"/>
      <c r="U13" s="640"/>
      <c r="V13" s="430"/>
    </row>
    <row r="14" spans="1:22" s="431" customFormat="1" x14ac:dyDescent="0.3">
      <c r="A14" s="432"/>
      <c r="B14" s="428" t="s">
        <v>1</v>
      </c>
      <c r="C14" s="433"/>
      <c r="D14" s="433"/>
      <c r="E14" s="433"/>
      <c r="F14" s="433"/>
      <c r="G14" s="433"/>
      <c r="H14" s="433"/>
      <c r="I14" s="433"/>
      <c r="J14" s="433"/>
      <c r="K14" s="433"/>
      <c r="L14" s="433"/>
      <c r="M14" s="433"/>
      <c r="N14" s="433"/>
      <c r="O14" s="433"/>
      <c r="P14" s="433"/>
      <c r="Q14" s="433"/>
      <c r="R14" s="433"/>
      <c r="S14" s="433"/>
      <c r="T14" s="434" t="s">
        <v>230</v>
      </c>
      <c r="U14" s="641"/>
      <c r="V14" s="430"/>
    </row>
    <row r="15" spans="1:22" s="431" customFormat="1" x14ac:dyDescent="0.3">
      <c r="A15" s="432"/>
      <c r="B15" s="428" t="s">
        <v>2</v>
      </c>
      <c r="C15" s="433"/>
      <c r="D15" s="433"/>
      <c r="E15" s="433"/>
      <c r="F15" s="433"/>
      <c r="G15" s="433"/>
      <c r="H15" s="435"/>
      <c r="I15" s="435"/>
      <c r="J15" s="435"/>
      <c r="K15" s="435"/>
      <c r="L15" s="435"/>
      <c r="M15" s="435"/>
      <c r="N15" s="435"/>
      <c r="O15" s="435"/>
      <c r="P15" s="435" t="s">
        <v>107</v>
      </c>
      <c r="Q15" s="436">
        <v>0.40749999999999997</v>
      </c>
      <c r="R15" s="437" t="s">
        <v>146</v>
      </c>
      <c r="S15" s="436">
        <v>0.59250000000000003</v>
      </c>
      <c r="T15" s="434"/>
      <c r="U15" s="641"/>
      <c r="V15" s="430"/>
    </row>
    <row r="16" spans="1:22" s="431" customFormat="1" x14ac:dyDescent="0.3">
      <c r="A16" s="432"/>
      <c r="B16" s="428" t="s">
        <v>3</v>
      </c>
      <c r="C16" s="433"/>
      <c r="D16" s="433"/>
      <c r="E16" s="433"/>
      <c r="F16" s="433"/>
      <c r="G16" s="433"/>
      <c r="H16" s="435"/>
      <c r="I16" s="435"/>
      <c r="J16" s="435"/>
      <c r="K16" s="435"/>
      <c r="L16" s="435"/>
      <c r="M16" s="435"/>
      <c r="N16" s="435"/>
      <c r="O16" s="435"/>
      <c r="P16" s="435" t="s">
        <v>107</v>
      </c>
      <c r="Q16" s="436">
        <v>0.49740000000000001</v>
      </c>
      <c r="R16" s="437" t="s">
        <v>146</v>
      </c>
      <c r="S16" s="436">
        <v>0.50260000000000005</v>
      </c>
      <c r="T16" s="434"/>
      <c r="U16" s="641"/>
      <c r="V16" s="430"/>
    </row>
    <row r="17" spans="1:22" s="431" customFormat="1" x14ac:dyDescent="0.3">
      <c r="A17" s="432"/>
      <c r="B17" s="428" t="s">
        <v>4</v>
      </c>
      <c r="C17" s="433"/>
      <c r="D17" s="433"/>
      <c r="E17" s="433"/>
      <c r="F17" s="433"/>
      <c r="G17" s="433"/>
      <c r="H17" s="433"/>
      <c r="I17" s="433"/>
      <c r="J17" s="433"/>
      <c r="K17" s="433"/>
      <c r="L17" s="433"/>
      <c r="M17" s="433"/>
      <c r="N17" s="433"/>
      <c r="O17" s="433"/>
      <c r="P17" s="433"/>
      <c r="Q17" s="433"/>
      <c r="R17" s="433"/>
      <c r="S17" s="433"/>
      <c r="T17" s="438">
        <v>38799</v>
      </c>
      <c r="U17" s="641"/>
      <c r="V17" s="430"/>
    </row>
    <row r="18" spans="1:22" s="431" customFormat="1" x14ac:dyDescent="0.3">
      <c r="A18" s="432"/>
      <c r="B18" s="428" t="s">
        <v>5</v>
      </c>
      <c r="C18" s="433"/>
      <c r="D18" s="433"/>
      <c r="E18" s="433"/>
      <c r="F18" s="433"/>
      <c r="G18" s="433"/>
      <c r="H18" s="433"/>
      <c r="I18" s="433"/>
      <c r="J18" s="433"/>
      <c r="K18" s="433"/>
      <c r="L18" s="433"/>
      <c r="M18" s="433"/>
      <c r="N18" s="433"/>
      <c r="O18" s="433"/>
      <c r="P18" s="433"/>
      <c r="Q18" s="433"/>
      <c r="R18" s="433"/>
      <c r="S18" s="433"/>
      <c r="T18" s="438">
        <v>43665</v>
      </c>
      <c r="U18" s="641"/>
      <c r="V18" s="430"/>
    </row>
    <row r="19" spans="1:22" s="431" customFormat="1" x14ac:dyDescent="0.3">
      <c r="A19" s="432"/>
      <c r="B19" s="433"/>
      <c r="C19" s="433"/>
      <c r="D19" s="433"/>
      <c r="E19" s="433"/>
      <c r="F19" s="433"/>
      <c r="G19" s="433"/>
      <c r="H19" s="433"/>
      <c r="I19" s="433"/>
      <c r="J19" s="433"/>
      <c r="K19" s="433"/>
      <c r="L19" s="433"/>
      <c r="M19" s="433"/>
      <c r="N19" s="433"/>
      <c r="O19" s="433"/>
      <c r="P19" s="433"/>
      <c r="Q19" s="433"/>
      <c r="R19" s="433"/>
      <c r="S19" s="433"/>
      <c r="T19" s="439"/>
      <c r="U19" s="641"/>
      <c r="V19" s="430"/>
    </row>
    <row r="20" spans="1:22" s="431" customFormat="1" x14ac:dyDescent="0.3">
      <c r="A20" s="432"/>
      <c r="B20" s="440" t="s">
        <v>6</v>
      </c>
      <c r="C20" s="433"/>
      <c r="D20" s="433"/>
      <c r="E20" s="433"/>
      <c r="F20" s="433"/>
      <c r="G20" s="433"/>
      <c r="H20" s="433"/>
      <c r="I20" s="433"/>
      <c r="J20" s="433"/>
      <c r="K20" s="433"/>
      <c r="L20" s="433"/>
      <c r="M20" s="433"/>
      <c r="N20" s="433"/>
      <c r="O20" s="433"/>
      <c r="P20" s="433"/>
      <c r="Q20" s="433"/>
      <c r="R20" s="439" t="s">
        <v>108</v>
      </c>
      <c r="S20" s="433"/>
      <c r="T20" s="433"/>
      <c r="U20" s="641"/>
      <c r="V20" s="430"/>
    </row>
    <row r="21" spans="1:22" x14ac:dyDescent="0.3">
      <c r="A21" s="418"/>
      <c r="B21" s="420"/>
      <c r="C21" s="420"/>
      <c r="D21" s="420"/>
      <c r="E21" s="420"/>
      <c r="F21" s="420"/>
      <c r="G21" s="420"/>
      <c r="H21" s="420"/>
      <c r="I21" s="420"/>
      <c r="J21" s="420"/>
      <c r="K21" s="420"/>
      <c r="L21" s="420"/>
      <c r="M21" s="420"/>
      <c r="N21" s="420"/>
      <c r="O21" s="420"/>
      <c r="P21" s="420"/>
      <c r="Q21" s="420"/>
      <c r="R21" s="420"/>
      <c r="S21" s="420"/>
      <c r="T21" s="441"/>
      <c r="U21" s="639"/>
      <c r="V21" s="416"/>
    </row>
    <row r="22" spans="1:22" x14ac:dyDescent="0.3">
      <c r="A22" s="442"/>
      <c r="B22" s="443"/>
      <c r="C22" s="444"/>
      <c r="D22" s="444" t="s">
        <v>184</v>
      </c>
      <c r="E22" s="444"/>
      <c r="F22" s="444" t="s">
        <v>185</v>
      </c>
      <c r="G22" s="444"/>
      <c r="H22" s="444" t="s">
        <v>186</v>
      </c>
      <c r="I22" s="444"/>
      <c r="J22" s="444" t="s">
        <v>187</v>
      </c>
      <c r="K22" s="444"/>
      <c r="L22" s="444" t="s">
        <v>188</v>
      </c>
      <c r="M22" s="444"/>
      <c r="N22" s="444" t="s">
        <v>189</v>
      </c>
      <c r="O22" s="444"/>
      <c r="P22" s="444"/>
      <c r="Q22" s="445"/>
      <c r="R22" s="445"/>
      <c r="S22" s="443"/>
      <c r="T22" s="443"/>
      <c r="U22" s="446"/>
      <c r="V22" s="416"/>
    </row>
    <row r="23" spans="1:22" s="431" customFormat="1" x14ac:dyDescent="0.3">
      <c r="A23" s="432"/>
      <c r="B23" s="447" t="s">
        <v>7</v>
      </c>
      <c r="C23" s="448"/>
      <c r="D23" s="448" t="s">
        <v>222</v>
      </c>
      <c r="E23" s="448"/>
      <c r="F23" s="448" t="s">
        <v>147</v>
      </c>
      <c r="G23" s="448"/>
      <c r="H23" s="448" t="s">
        <v>147</v>
      </c>
      <c r="I23" s="448"/>
      <c r="J23" s="448" t="s">
        <v>190</v>
      </c>
      <c r="K23" s="448"/>
      <c r="L23" s="448" t="s">
        <v>190</v>
      </c>
      <c r="M23" s="448"/>
      <c r="N23" s="448" t="s">
        <v>148</v>
      </c>
      <c r="O23" s="448"/>
      <c r="P23" s="448"/>
      <c r="Q23" s="448"/>
      <c r="R23" s="448"/>
      <c r="S23" s="447"/>
      <c r="T23" s="447"/>
      <c r="U23" s="641"/>
      <c r="V23" s="430"/>
    </row>
    <row r="24" spans="1:22" s="431" customFormat="1" x14ac:dyDescent="0.3">
      <c r="A24" s="449"/>
      <c r="B24" s="450" t="s">
        <v>8</v>
      </c>
      <c r="C24" s="451"/>
      <c r="D24" s="451" t="s">
        <v>223</v>
      </c>
      <c r="E24" s="451"/>
      <c r="F24" s="451" t="s">
        <v>149</v>
      </c>
      <c r="G24" s="451"/>
      <c r="H24" s="451" t="s">
        <v>149</v>
      </c>
      <c r="I24" s="451"/>
      <c r="J24" s="451" t="s">
        <v>172</v>
      </c>
      <c r="K24" s="451"/>
      <c r="L24" s="451" t="s">
        <v>172</v>
      </c>
      <c r="M24" s="451"/>
      <c r="N24" s="451" t="s">
        <v>150</v>
      </c>
      <c r="O24" s="451"/>
      <c r="P24" s="451"/>
      <c r="Q24" s="451"/>
      <c r="R24" s="451"/>
      <c r="S24" s="450"/>
      <c r="T24" s="450"/>
      <c r="U24" s="452"/>
      <c r="V24" s="430"/>
    </row>
    <row r="25" spans="1:22" s="431" customFormat="1" x14ac:dyDescent="0.3">
      <c r="A25" s="453"/>
      <c r="B25" s="450" t="s">
        <v>198</v>
      </c>
      <c r="C25" s="454"/>
      <c r="D25" s="451" t="s">
        <v>224</v>
      </c>
      <c r="E25" s="451"/>
      <c r="F25" s="451" t="s">
        <v>149</v>
      </c>
      <c r="G25" s="451"/>
      <c r="H25" s="451" t="s">
        <v>149</v>
      </c>
      <c r="I25" s="451"/>
      <c r="J25" s="451" t="s">
        <v>172</v>
      </c>
      <c r="K25" s="451"/>
      <c r="L25" s="451" t="s">
        <v>172</v>
      </c>
      <c r="M25" s="451"/>
      <c r="N25" s="451" t="s">
        <v>150</v>
      </c>
      <c r="O25" s="451"/>
      <c r="P25" s="451"/>
      <c r="Q25" s="454"/>
      <c r="R25" s="451"/>
      <c r="S25" s="450"/>
      <c r="T25" s="450"/>
      <c r="U25" s="452"/>
      <c r="V25" s="430"/>
    </row>
    <row r="26" spans="1:22" s="431" customFormat="1" x14ac:dyDescent="0.3">
      <c r="A26" s="453"/>
      <c r="B26" s="455" t="s">
        <v>9</v>
      </c>
      <c r="C26" s="454"/>
      <c r="D26" s="454" t="s">
        <v>147</v>
      </c>
      <c r="E26" s="454"/>
      <c r="F26" s="454" t="s">
        <v>147</v>
      </c>
      <c r="G26" s="454"/>
      <c r="H26" s="454" t="s">
        <v>147</v>
      </c>
      <c r="I26" s="454"/>
      <c r="J26" s="454" t="s">
        <v>190</v>
      </c>
      <c r="K26" s="454"/>
      <c r="L26" s="454" t="s">
        <v>190</v>
      </c>
      <c r="M26" s="454"/>
      <c r="N26" s="454" t="s">
        <v>148</v>
      </c>
      <c r="O26" s="454"/>
      <c r="P26" s="454"/>
      <c r="Q26" s="454"/>
      <c r="R26" s="451"/>
      <c r="S26" s="450"/>
      <c r="T26" s="450"/>
      <c r="U26" s="452"/>
      <c r="V26" s="430"/>
    </row>
    <row r="27" spans="1:22" s="431" customFormat="1" x14ac:dyDescent="0.3">
      <c r="A27" s="449"/>
      <c r="B27" s="455" t="s">
        <v>199</v>
      </c>
      <c r="C27" s="451"/>
      <c r="D27" s="454" t="s">
        <v>149</v>
      </c>
      <c r="E27" s="454"/>
      <c r="F27" s="454" t="s">
        <v>149</v>
      </c>
      <c r="G27" s="454"/>
      <c r="H27" s="454" t="s">
        <v>149</v>
      </c>
      <c r="I27" s="454"/>
      <c r="J27" s="454" t="s">
        <v>345</v>
      </c>
      <c r="K27" s="454"/>
      <c r="L27" s="454" t="s">
        <v>345</v>
      </c>
      <c r="M27" s="454"/>
      <c r="N27" s="454" t="s">
        <v>346</v>
      </c>
      <c r="O27" s="454"/>
      <c r="P27" s="454"/>
      <c r="Q27" s="451"/>
      <c r="R27" s="456"/>
      <c r="S27" s="450"/>
      <c r="T27" s="450"/>
      <c r="U27" s="452"/>
      <c r="V27" s="430"/>
    </row>
    <row r="28" spans="1:22" s="431" customFormat="1" x14ac:dyDescent="0.3">
      <c r="A28" s="449"/>
      <c r="B28" s="455" t="s">
        <v>200</v>
      </c>
      <c r="C28" s="451"/>
      <c r="D28" s="454" t="s">
        <v>149</v>
      </c>
      <c r="E28" s="454"/>
      <c r="F28" s="454" t="s">
        <v>149</v>
      </c>
      <c r="G28" s="454"/>
      <c r="H28" s="454" t="s">
        <v>149</v>
      </c>
      <c r="I28" s="454"/>
      <c r="J28" s="454" t="s">
        <v>149</v>
      </c>
      <c r="K28" s="454"/>
      <c r="L28" s="454" t="s">
        <v>149</v>
      </c>
      <c r="M28" s="454"/>
      <c r="N28" s="454" t="s">
        <v>346</v>
      </c>
      <c r="O28" s="454"/>
      <c r="P28" s="454"/>
      <c r="Q28" s="451"/>
      <c r="R28" s="456"/>
      <c r="S28" s="450"/>
      <c r="T28" s="450"/>
      <c r="U28" s="452"/>
      <c r="V28" s="430"/>
    </row>
    <row r="29" spans="1:22" s="431" customFormat="1" x14ac:dyDescent="0.3">
      <c r="A29" s="449"/>
      <c r="B29" s="450" t="s">
        <v>10</v>
      </c>
      <c r="C29" s="457"/>
      <c r="D29" s="451" t="s">
        <v>237</v>
      </c>
      <c r="E29" s="451"/>
      <c r="F29" s="456" t="s">
        <v>238</v>
      </c>
      <c r="G29" s="451"/>
      <c r="H29" s="451" t="s">
        <v>239</v>
      </c>
      <c r="I29" s="451"/>
      <c r="J29" s="451" t="s">
        <v>240</v>
      </c>
      <c r="K29" s="451"/>
      <c r="L29" s="451" t="s">
        <v>241</v>
      </c>
      <c r="M29" s="451"/>
      <c r="N29" s="451" t="s">
        <v>242</v>
      </c>
      <c r="O29" s="451"/>
      <c r="P29" s="451"/>
      <c r="Q29" s="458"/>
      <c r="R29" s="458"/>
      <c r="S29" s="457"/>
      <c r="T29" s="458"/>
      <c r="U29" s="459"/>
      <c r="V29" s="430"/>
    </row>
    <row r="30" spans="1:22" s="431" customFormat="1" x14ac:dyDescent="0.3">
      <c r="A30" s="449"/>
      <c r="B30" s="450" t="s">
        <v>10</v>
      </c>
      <c r="C30" s="457"/>
      <c r="D30" s="451" t="s">
        <v>236</v>
      </c>
      <c r="E30" s="451"/>
      <c r="F30" s="456" t="s">
        <v>124</v>
      </c>
      <c r="G30" s="451"/>
      <c r="H30" s="451" t="s">
        <v>124</v>
      </c>
      <c r="I30" s="451"/>
      <c r="J30" s="451" t="s">
        <v>124</v>
      </c>
      <c r="K30" s="451"/>
      <c r="L30" s="451" t="s">
        <v>124</v>
      </c>
      <c r="M30" s="451"/>
      <c r="N30" s="451" t="s">
        <v>124</v>
      </c>
      <c r="O30" s="451"/>
      <c r="P30" s="451"/>
      <c r="Q30" s="458"/>
      <c r="R30" s="458"/>
      <c r="S30" s="457"/>
      <c r="T30" s="458"/>
      <c r="U30" s="459"/>
      <c r="V30" s="430"/>
    </row>
    <row r="31" spans="1:22" s="431" customFormat="1" x14ac:dyDescent="0.3">
      <c r="A31" s="453"/>
      <c r="B31" s="450" t="s">
        <v>139</v>
      </c>
      <c r="C31" s="460"/>
      <c r="D31" s="461">
        <v>985000</v>
      </c>
      <c r="E31" s="457"/>
      <c r="F31" s="458">
        <v>149500</v>
      </c>
      <c r="G31" s="458"/>
      <c r="H31" s="462">
        <v>219700</v>
      </c>
      <c r="I31" s="458"/>
      <c r="J31" s="458">
        <v>16000</v>
      </c>
      <c r="K31" s="458"/>
      <c r="L31" s="462">
        <v>82400</v>
      </c>
      <c r="M31" s="458"/>
      <c r="N31" s="462">
        <v>87500</v>
      </c>
      <c r="O31" s="458"/>
      <c r="P31" s="462"/>
      <c r="Q31" s="463"/>
      <c r="R31" s="463"/>
      <c r="S31" s="460"/>
      <c r="T31" s="463"/>
      <c r="U31" s="459"/>
      <c r="V31" s="430"/>
    </row>
    <row r="32" spans="1:22" s="431" customFormat="1" x14ac:dyDescent="0.3">
      <c r="A32" s="449"/>
      <c r="B32" s="450" t="s">
        <v>138</v>
      </c>
      <c r="C32" s="457"/>
      <c r="D32" s="464">
        <f>D38*D34</f>
        <v>182495.41359480002</v>
      </c>
      <c r="E32" s="457"/>
      <c r="F32" s="458">
        <f>F38*F31</f>
        <v>48094.718099999998</v>
      </c>
      <c r="G32" s="458"/>
      <c r="H32" s="462">
        <f>H38*H31</f>
        <v>70678.324859999993</v>
      </c>
      <c r="I32" s="458"/>
      <c r="J32" s="458">
        <f>J31*J38</f>
        <v>12207.843199999999</v>
      </c>
      <c r="K32" s="458"/>
      <c r="L32" s="462">
        <f>L31*L38</f>
        <v>62870.392479999995</v>
      </c>
      <c r="M32" s="458"/>
      <c r="N32" s="462">
        <f>N31*N38</f>
        <v>66761.642500000002</v>
      </c>
      <c r="O32" s="458"/>
      <c r="P32" s="462"/>
      <c r="Q32" s="458"/>
      <c r="R32" s="458"/>
      <c r="S32" s="457"/>
      <c r="T32" s="458"/>
      <c r="U32" s="459"/>
      <c r="V32" s="430"/>
    </row>
    <row r="33" spans="1:23" s="431" customFormat="1" x14ac:dyDescent="0.3">
      <c r="A33" s="449"/>
      <c r="B33" s="455" t="s">
        <v>140</v>
      </c>
      <c r="C33" s="457"/>
      <c r="D33" s="465">
        <f>D37*D34</f>
        <v>178683.05164200001</v>
      </c>
      <c r="E33" s="460"/>
      <c r="F33" s="463">
        <f>F37*F31</f>
        <v>47090.018300000003</v>
      </c>
      <c r="G33" s="463"/>
      <c r="H33" s="466">
        <f>H31*H37</f>
        <v>69201.852980000011</v>
      </c>
      <c r="I33" s="463"/>
      <c r="J33" s="463">
        <f>J31*J37</f>
        <v>11952.8192</v>
      </c>
      <c r="K33" s="463"/>
      <c r="L33" s="466">
        <f>L31*L37</f>
        <v>61557.018880000003</v>
      </c>
      <c r="M33" s="463"/>
      <c r="N33" s="466">
        <f>N31*N37</f>
        <v>65366.98</v>
      </c>
      <c r="O33" s="463"/>
      <c r="P33" s="466"/>
      <c r="Q33" s="458"/>
      <c r="R33" s="458"/>
      <c r="S33" s="457"/>
      <c r="T33" s="458"/>
      <c r="U33" s="459"/>
      <c r="V33" s="430"/>
    </row>
    <row r="34" spans="1:23" s="431" customFormat="1" x14ac:dyDescent="0.3">
      <c r="A34" s="453"/>
      <c r="B34" s="450" t="s">
        <v>283</v>
      </c>
      <c r="C34" s="460"/>
      <c r="D34" s="458">
        <v>567282</v>
      </c>
      <c r="E34" s="457"/>
      <c r="F34" s="458">
        <v>149500</v>
      </c>
      <c r="G34" s="458"/>
      <c r="H34" s="458">
        <v>150716</v>
      </c>
      <c r="I34" s="458"/>
      <c r="J34" s="458">
        <v>16000</v>
      </c>
      <c r="K34" s="458"/>
      <c r="L34" s="458">
        <v>56527</v>
      </c>
      <c r="M34" s="458"/>
      <c r="N34" s="458">
        <v>60025</v>
      </c>
      <c r="O34" s="458"/>
      <c r="P34" s="458"/>
      <c r="Q34" s="463"/>
      <c r="R34" s="463"/>
      <c r="S34" s="460"/>
      <c r="T34" s="458">
        <f>SUM(C34:P34)</f>
        <v>1000050</v>
      </c>
      <c r="U34" s="459"/>
      <c r="V34" s="430"/>
    </row>
    <row r="35" spans="1:23" s="431" customFormat="1" x14ac:dyDescent="0.3">
      <c r="A35" s="453"/>
      <c r="B35" s="450" t="s">
        <v>284</v>
      </c>
      <c r="C35" s="460"/>
      <c r="D35" s="458">
        <f>D38*D34</f>
        <v>182495.41359480002</v>
      </c>
      <c r="E35" s="457"/>
      <c r="F35" s="458">
        <f>F38*F34</f>
        <v>48094.718099999998</v>
      </c>
      <c r="G35" s="458"/>
      <c r="H35" s="458">
        <f>H38*H34</f>
        <v>48485.909920799997</v>
      </c>
      <c r="I35" s="458"/>
      <c r="J35" s="458">
        <f>J34*J38</f>
        <v>12207.843199999999</v>
      </c>
      <c r="K35" s="458"/>
      <c r="L35" s="458">
        <f>L34*L38</f>
        <v>43129.547035399999</v>
      </c>
      <c r="M35" s="458"/>
      <c r="N35" s="458">
        <f>N34*N38</f>
        <v>45798.486754999998</v>
      </c>
      <c r="O35" s="458"/>
      <c r="P35" s="458"/>
      <c r="Q35" s="458"/>
      <c r="R35" s="458"/>
      <c r="S35" s="457"/>
      <c r="T35" s="458">
        <f>SUM(C35:P35)+1</f>
        <v>380212.91860600002</v>
      </c>
      <c r="U35" s="459"/>
      <c r="V35" s="430"/>
    </row>
    <row r="36" spans="1:23" s="431" customFormat="1" x14ac:dyDescent="0.3">
      <c r="A36" s="453"/>
      <c r="B36" s="455" t="s">
        <v>285</v>
      </c>
      <c r="C36" s="460"/>
      <c r="D36" s="463">
        <f>D37*D34</f>
        <v>178683.05164200001</v>
      </c>
      <c r="E36" s="460"/>
      <c r="F36" s="463">
        <f>F37*F34</f>
        <v>47090.018300000003</v>
      </c>
      <c r="G36" s="463"/>
      <c r="H36" s="463">
        <f>H37*H34</f>
        <v>47473.038114400006</v>
      </c>
      <c r="I36" s="463"/>
      <c r="J36" s="463">
        <f>J37*J34</f>
        <v>11952.8192</v>
      </c>
      <c r="K36" s="463"/>
      <c r="L36" s="463">
        <f>L37*L34</f>
        <v>42228.563182400001</v>
      </c>
      <c r="M36" s="463"/>
      <c r="N36" s="463">
        <f>N37*N34</f>
        <v>44841.74828</v>
      </c>
      <c r="O36" s="463"/>
      <c r="P36" s="463"/>
      <c r="Q36" s="467"/>
      <c r="R36" s="467"/>
      <c r="S36" s="457"/>
      <c r="T36" s="463">
        <f>SUM(C36:P36)+1</f>
        <v>372270.23871880007</v>
      </c>
      <c r="U36" s="459"/>
      <c r="V36" s="430"/>
    </row>
    <row r="37" spans="1:23" x14ac:dyDescent="0.3">
      <c r="A37" s="468"/>
      <c r="B37" s="469" t="s">
        <v>136</v>
      </c>
      <c r="C37" s="470"/>
      <c r="D37" s="471">
        <v>0.31498100000000001</v>
      </c>
      <c r="E37" s="472"/>
      <c r="F37" s="471">
        <v>0.31498340000000002</v>
      </c>
      <c r="G37" s="473"/>
      <c r="H37" s="471">
        <v>0.31498340000000002</v>
      </c>
      <c r="I37" s="473"/>
      <c r="J37" s="471">
        <v>0.74705120000000003</v>
      </c>
      <c r="K37" s="473"/>
      <c r="L37" s="471">
        <v>0.74705120000000003</v>
      </c>
      <c r="M37" s="473"/>
      <c r="N37" s="471">
        <v>0.74705120000000003</v>
      </c>
      <c r="O37" s="474"/>
      <c r="P37" s="474"/>
      <c r="Q37" s="475"/>
      <c r="R37" s="475"/>
      <c r="S37" s="470"/>
      <c r="T37" s="470"/>
      <c r="U37" s="476"/>
      <c r="V37" s="416"/>
      <c r="W37" s="477"/>
    </row>
    <row r="38" spans="1:23" x14ac:dyDescent="0.3">
      <c r="A38" s="468"/>
      <c r="B38" s="470" t="s">
        <v>137</v>
      </c>
      <c r="C38" s="470"/>
      <c r="D38" s="478">
        <v>0.32170140000000003</v>
      </c>
      <c r="E38" s="479"/>
      <c r="F38" s="478">
        <v>0.32170379999999998</v>
      </c>
      <c r="G38" s="480"/>
      <c r="H38" s="478">
        <v>0.32170379999999998</v>
      </c>
      <c r="I38" s="480"/>
      <c r="J38" s="478">
        <v>0.76299019999999995</v>
      </c>
      <c r="K38" s="480"/>
      <c r="L38" s="478">
        <v>0.76299019999999995</v>
      </c>
      <c r="M38" s="480"/>
      <c r="N38" s="478">
        <v>0.76299019999999995</v>
      </c>
      <c r="O38" s="474"/>
      <c r="P38" s="474"/>
      <c r="Q38" s="481"/>
      <c r="R38" s="482"/>
      <c r="S38" s="470"/>
      <c r="T38" s="481"/>
      <c r="U38" s="476"/>
      <c r="V38" s="416"/>
    </row>
    <row r="39" spans="1:23" s="431" customFormat="1" x14ac:dyDescent="0.3">
      <c r="A39" s="449"/>
      <c r="B39" s="450" t="s">
        <v>11</v>
      </c>
      <c r="C39" s="450"/>
      <c r="D39" s="456" t="s">
        <v>275</v>
      </c>
      <c r="E39" s="450"/>
      <c r="F39" s="456" t="s">
        <v>232</v>
      </c>
      <c r="G39" s="456"/>
      <c r="H39" s="456" t="s">
        <v>232</v>
      </c>
      <c r="I39" s="456"/>
      <c r="J39" s="456" t="s">
        <v>234</v>
      </c>
      <c r="K39" s="456"/>
      <c r="L39" s="456" t="s">
        <v>234</v>
      </c>
      <c r="M39" s="456"/>
      <c r="N39" s="456" t="s">
        <v>235</v>
      </c>
      <c r="O39" s="456"/>
      <c r="P39" s="456"/>
      <c r="Q39" s="483"/>
      <c r="R39" s="484"/>
      <c r="S39" s="450"/>
      <c r="T39" s="450"/>
      <c r="U39" s="452"/>
      <c r="V39" s="430"/>
    </row>
    <row r="40" spans="1:23" s="431" customFormat="1" x14ac:dyDescent="0.3">
      <c r="A40" s="449"/>
      <c r="B40" s="450" t="s">
        <v>12</v>
      </c>
      <c r="C40" s="450"/>
      <c r="D40" s="484">
        <v>9.2087999999999996E-3</v>
      </c>
      <c r="E40" s="450"/>
      <c r="F40" s="484">
        <v>1.06088E-2</v>
      </c>
      <c r="G40" s="483"/>
      <c r="H40" s="484">
        <v>0</v>
      </c>
      <c r="I40" s="483"/>
      <c r="J40" s="484">
        <v>1.3008799999999999E-2</v>
      </c>
      <c r="K40" s="483"/>
      <c r="L40" s="484">
        <v>1.6999999999999999E-3</v>
      </c>
      <c r="M40" s="483"/>
      <c r="N40" s="484">
        <v>5.8999999999999999E-3</v>
      </c>
      <c r="O40" s="483"/>
      <c r="P40" s="484"/>
      <c r="Q40" s="483"/>
      <c r="R40" s="484"/>
      <c r="S40" s="450"/>
      <c r="T40" s="456"/>
      <c r="U40" s="452"/>
      <c r="V40" s="430"/>
    </row>
    <row r="41" spans="1:23" s="431" customFormat="1" x14ac:dyDescent="0.3">
      <c r="A41" s="449"/>
      <c r="B41" s="450" t="s">
        <v>13</v>
      </c>
      <c r="C41" s="450"/>
      <c r="D41" s="484">
        <v>1.0279399999999999E-2</v>
      </c>
      <c r="E41" s="450"/>
      <c r="F41" s="484">
        <v>1.16794E-2</v>
      </c>
      <c r="G41" s="483"/>
      <c r="H41" s="484">
        <v>0</v>
      </c>
      <c r="I41" s="483"/>
      <c r="J41" s="484">
        <v>1.4079400000000001E-2</v>
      </c>
      <c r="K41" s="483"/>
      <c r="L41" s="484">
        <v>1.72E-3</v>
      </c>
      <c r="M41" s="483"/>
      <c r="N41" s="484">
        <v>5.9199999999999999E-3</v>
      </c>
      <c r="O41" s="483"/>
      <c r="P41" s="484"/>
      <c r="Q41" s="483"/>
      <c r="R41" s="484"/>
      <c r="S41" s="450"/>
      <c r="T41" s="483" t="s">
        <v>201</v>
      </c>
      <c r="U41" s="452"/>
      <c r="V41" s="430"/>
    </row>
    <row r="42" spans="1:23" s="431" customFormat="1" x14ac:dyDescent="0.3">
      <c r="A42" s="449"/>
      <c r="B42" s="450" t="s">
        <v>286</v>
      </c>
      <c r="C42" s="450"/>
      <c r="D42" s="456" t="s">
        <v>275</v>
      </c>
      <c r="E42" s="450"/>
      <c r="F42" s="456" t="s">
        <v>232</v>
      </c>
      <c r="G42" s="456"/>
      <c r="H42" s="456" t="s">
        <v>232</v>
      </c>
      <c r="I42" s="456"/>
      <c r="J42" s="456" t="s">
        <v>234</v>
      </c>
      <c r="K42" s="456"/>
      <c r="L42" s="456" t="s">
        <v>245</v>
      </c>
      <c r="M42" s="456"/>
      <c r="N42" s="456" t="s">
        <v>247</v>
      </c>
      <c r="O42" s="456"/>
      <c r="P42" s="456"/>
      <c r="Q42" s="483"/>
      <c r="R42" s="484"/>
      <c r="S42" s="450"/>
      <c r="T42" s="450"/>
      <c r="U42" s="452"/>
      <c r="V42" s="430"/>
    </row>
    <row r="43" spans="1:23" s="431" customFormat="1" x14ac:dyDescent="0.3">
      <c r="A43" s="449"/>
      <c r="B43" s="450" t="s">
        <v>287</v>
      </c>
      <c r="C43" s="485"/>
      <c r="D43" s="484">
        <f>+D40</f>
        <v>9.2087999999999996E-3</v>
      </c>
      <c r="E43" s="484"/>
      <c r="F43" s="484">
        <f>+F40</f>
        <v>1.06088E-2</v>
      </c>
      <c r="G43" s="484"/>
      <c r="H43" s="484">
        <v>1.0604799999999999E-2</v>
      </c>
      <c r="I43" s="484"/>
      <c r="J43" s="484">
        <f>+J40</f>
        <v>1.3008799999999999E-2</v>
      </c>
      <c r="K43" s="484"/>
      <c r="L43" s="484">
        <v>1.33148E-2</v>
      </c>
      <c r="M43" s="484"/>
      <c r="N43" s="484">
        <v>1.8018800000000001E-2</v>
      </c>
      <c r="O43" s="483"/>
      <c r="P43" s="484"/>
      <c r="Q43" s="456"/>
      <c r="R43" s="456"/>
      <c r="S43" s="450"/>
      <c r="T43" s="483">
        <f>SUMPRODUCT(D43:N43,D35:N35)/T35</f>
        <v>1.1212872145107577E-2</v>
      </c>
      <c r="U43" s="452"/>
      <c r="V43" s="430"/>
    </row>
    <row r="44" spans="1:23" s="431" customFormat="1" x14ac:dyDescent="0.3">
      <c r="A44" s="449"/>
      <c r="B44" s="450" t="s">
        <v>288</v>
      </c>
      <c r="C44" s="485"/>
      <c r="D44" s="484">
        <f>+D41</f>
        <v>1.0279399999999999E-2</v>
      </c>
      <c r="E44" s="484"/>
      <c r="F44" s="484">
        <f>+F41</f>
        <v>1.16794E-2</v>
      </c>
      <c r="G44" s="484"/>
      <c r="H44" s="484">
        <v>1.1675400000000001E-2</v>
      </c>
      <c r="I44" s="484"/>
      <c r="J44" s="484">
        <f>+J41</f>
        <v>1.4079400000000001E-2</v>
      </c>
      <c r="K44" s="484"/>
      <c r="L44" s="484">
        <v>1.43854E-2</v>
      </c>
      <c r="M44" s="484"/>
      <c r="N44" s="484">
        <v>1.9089399999999999E-2</v>
      </c>
      <c r="O44" s="483"/>
      <c r="P44" s="484"/>
      <c r="Q44" s="456"/>
      <c r="R44" s="456"/>
      <c r="S44" s="450"/>
      <c r="T44" s="450"/>
      <c r="U44" s="452"/>
      <c r="V44" s="430"/>
    </row>
    <row r="45" spans="1:23" s="431" customFormat="1" x14ac:dyDescent="0.3">
      <c r="A45" s="449"/>
      <c r="B45" s="450" t="s">
        <v>14</v>
      </c>
      <c r="C45" s="450"/>
      <c r="D45" s="485">
        <v>40283</v>
      </c>
      <c r="E45" s="485"/>
      <c r="F45" s="485">
        <v>40283</v>
      </c>
      <c r="G45" s="485"/>
      <c r="H45" s="485">
        <v>40283</v>
      </c>
      <c r="I45" s="485"/>
      <c r="J45" s="485">
        <v>40283</v>
      </c>
      <c r="K45" s="485"/>
      <c r="L45" s="485">
        <v>40283</v>
      </c>
      <c r="M45" s="485"/>
      <c r="N45" s="485">
        <v>40283</v>
      </c>
      <c r="O45" s="485"/>
      <c r="P45" s="485"/>
      <c r="Q45" s="456"/>
      <c r="R45" s="456"/>
      <c r="S45" s="450"/>
      <c r="T45" s="450"/>
      <c r="U45" s="452"/>
      <c r="V45" s="430"/>
    </row>
    <row r="46" spans="1:23" s="431" customFormat="1" x14ac:dyDescent="0.3">
      <c r="A46" s="449"/>
      <c r="B46" s="450" t="s">
        <v>15</v>
      </c>
      <c r="C46" s="450"/>
      <c r="D46" s="485">
        <v>40648</v>
      </c>
      <c r="E46" s="485"/>
      <c r="F46" s="485">
        <v>40648</v>
      </c>
      <c r="G46" s="485"/>
      <c r="H46" s="485">
        <v>40648</v>
      </c>
      <c r="I46" s="456"/>
      <c r="J46" s="485">
        <v>40648</v>
      </c>
      <c r="K46" s="456"/>
      <c r="L46" s="485">
        <v>40648</v>
      </c>
      <c r="M46" s="456"/>
      <c r="N46" s="485">
        <v>40648</v>
      </c>
      <c r="O46" s="456"/>
      <c r="P46" s="485"/>
      <c r="Q46" s="456"/>
      <c r="R46" s="456"/>
      <c r="S46" s="450"/>
      <c r="T46" s="450"/>
      <c r="U46" s="452"/>
      <c r="V46" s="430"/>
    </row>
    <row r="47" spans="1:23" s="431" customFormat="1" x14ac:dyDescent="0.3">
      <c r="A47" s="449"/>
      <c r="B47" s="450" t="s">
        <v>125</v>
      </c>
      <c r="C47" s="450"/>
      <c r="D47" s="456" t="s">
        <v>124</v>
      </c>
      <c r="E47" s="450"/>
      <c r="F47" s="456" t="s">
        <v>232</v>
      </c>
      <c r="G47" s="456"/>
      <c r="H47" s="456" t="s">
        <v>232</v>
      </c>
      <c r="I47" s="456"/>
      <c r="J47" s="456" t="s">
        <v>234</v>
      </c>
      <c r="K47" s="456"/>
      <c r="L47" s="456" t="s">
        <v>234</v>
      </c>
      <c r="M47" s="456"/>
      <c r="N47" s="456" t="s">
        <v>235</v>
      </c>
      <c r="O47" s="456"/>
      <c r="P47" s="456"/>
      <c r="Q47" s="486"/>
      <c r="R47" s="486"/>
      <c r="S47" s="486"/>
      <c r="T47" s="486"/>
      <c r="U47" s="452"/>
      <c r="V47" s="430"/>
    </row>
    <row r="48" spans="1:23" s="431" customFormat="1" x14ac:dyDescent="0.3">
      <c r="A48" s="449"/>
      <c r="B48" s="450" t="s">
        <v>289</v>
      </c>
      <c r="C48" s="450"/>
      <c r="D48" s="456" t="s">
        <v>124</v>
      </c>
      <c r="E48" s="450"/>
      <c r="F48" s="456" t="s">
        <v>232</v>
      </c>
      <c r="G48" s="456"/>
      <c r="H48" s="456" t="s">
        <v>232</v>
      </c>
      <c r="I48" s="456"/>
      <c r="J48" s="456" t="s">
        <v>234</v>
      </c>
      <c r="K48" s="456"/>
      <c r="L48" s="456" t="s">
        <v>245</v>
      </c>
      <c r="M48" s="456"/>
      <c r="N48" s="456" t="s">
        <v>247</v>
      </c>
      <c r="O48" s="456"/>
      <c r="P48" s="456"/>
      <c r="Q48" s="450"/>
      <c r="R48" s="450"/>
      <c r="S48" s="450"/>
      <c r="T48" s="483"/>
      <c r="U48" s="452"/>
      <c r="V48" s="430"/>
    </row>
    <row r="49" spans="1:23" s="431" customFormat="1" x14ac:dyDescent="0.3">
      <c r="A49" s="449"/>
      <c r="B49" s="450"/>
      <c r="C49" s="450"/>
      <c r="D49" s="456"/>
      <c r="E49" s="450"/>
      <c r="F49" s="456"/>
      <c r="G49" s="456"/>
      <c r="H49" s="456"/>
      <c r="I49" s="456"/>
      <c r="J49" s="456"/>
      <c r="K49" s="456"/>
      <c r="L49" s="456"/>
      <c r="M49" s="456"/>
      <c r="N49" s="456"/>
      <c r="O49" s="456"/>
      <c r="P49" s="456"/>
      <c r="Q49" s="450"/>
      <c r="R49" s="450"/>
      <c r="S49" s="450"/>
      <c r="T49" s="483" t="s">
        <v>201</v>
      </c>
      <c r="U49" s="452"/>
      <c r="V49" s="430"/>
    </row>
    <row r="50" spans="1:23" s="431" customFormat="1" x14ac:dyDescent="0.3">
      <c r="A50" s="449"/>
      <c r="B50" s="450" t="s">
        <v>176</v>
      </c>
      <c r="C50" s="450"/>
      <c r="D50" s="456"/>
      <c r="E50" s="450"/>
      <c r="F50" s="456"/>
      <c r="G50" s="456"/>
      <c r="H50" s="456"/>
      <c r="I50" s="456"/>
      <c r="J50" s="456"/>
      <c r="K50" s="456"/>
      <c r="L50" s="456"/>
      <c r="M50" s="456"/>
      <c r="N50" s="456"/>
      <c r="O50" s="456"/>
      <c r="P50" s="456"/>
      <c r="Q50" s="450"/>
      <c r="R50" s="450"/>
      <c r="S50" s="450"/>
      <c r="T50" s="483">
        <f>SUM(J34:P34)/SUM(D34:H34)</f>
        <v>0.15279804679664968</v>
      </c>
      <c r="U50" s="452"/>
      <c r="V50" s="430"/>
    </row>
    <row r="51" spans="1:23" s="431" customFormat="1" x14ac:dyDescent="0.3">
      <c r="A51" s="449"/>
      <c r="B51" s="450" t="s">
        <v>177</v>
      </c>
      <c r="C51" s="450"/>
      <c r="D51" s="450"/>
      <c r="E51" s="450"/>
      <c r="F51" s="487"/>
      <c r="G51" s="450"/>
      <c r="H51" s="450"/>
      <c r="I51" s="450"/>
      <c r="J51" s="450"/>
      <c r="K51" s="450"/>
      <c r="L51" s="450"/>
      <c r="M51" s="450"/>
      <c r="N51" s="450"/>
      <c r="O51" s="450"/>
      <c r="P51" s="450"/>
      <c r="Q51" s="450"/>
      <c r="R51" s="450"/>
      <c r="S51" s="450"/>
      <c r="T51" s="483">
        <f>SUM(J36:P36)/SUM(D36:H36)</f>
        <v>0.36239539280815991</v>
      </c>
      <c r="U51" s="452"/>
      <c r="V51" s="430"/>
    </row>
    <row r="52" spans="1:23" s="431" customFormat="1" x14ac:dyDescent="0.3">
      <c r="A52" s="449"/>
      <c r="B52" s="450" t="s">
        <v>178</v>
      </c>
      <c r="C52" s="450"/>
      <c r="D52" s="450"/>
      <c r="E52" s="450"/>
      <c r="F52" s="450"/>
      <c r="G52" s="450"/>
      <c r="H52" s="450"/>
      <c r="I52" s="450"/>
      <c r="J52" s="450"/>
      <c r="K52" s="450"/>
      <c r="L52" s="450"/>
      <c r="M52" s="450"/>
      <c r="N52" s="450"/>
      <c r="O52" s="450"/>
      <c r="P52" s="450"/>
      <c r="Q52" s="450"/>
      <c r="R52" s="456" t="s">
        <v>109</v>
      </c>
      <c r="S52" s="456" t="s">
        <v>115</v>
      </c>
      <c r="T52" s="458">
        <f>+T34/2-SUM(J34:P34)</f>
        <v>367473</v>
      </c>
      <c r="U52" s="452"/>
      <c r="V52" s="430"/>
    </row>
    <row r="53" spans="1:23" s="431" customFormat="1" x14ac:dyDescent="0.3">
      <c r="A53" s="449"/>
      <c r="B53" s="450"/>
      <c r="C53" s="450"/>
      <c r="D53" s="450"/>
      <c r="E53" s="450"/>
      <c r="F53" s="450"/>
      <c r="G53" s="450"/>
      <c r="H53" s="450"/>
      <c r="I53" s="450"/>
      <c r="J53" s="450"/>
      <c r="K53" s="450"/>
      <c r="L53" s="450"/>
      <c r="M53" s="450"/>
      <c r="N53" s="450"/>
      <c r="O53" s="450"/>
      <c r="P53" s="450"/>
      <c r="Q53" s="450"/>
      <c r="R53" s="450"/>
      <c r="S53" s="450"/>
      <c r="T53" s="488"/>
      <c r="U53" s="452"/>
      <c r="V53" s="430"/>
    </row>
    <row r="54" spans="1:23" s="431" customFormat="1" x14ac:dyDescent="0.3">
      <c r="A54" s="449"/>
      <c r="B54" s="450" t="s">
        <v>342</v>
      </c>
      <c r="C54" s="450"/>
      <c r="D54" s="450"/>
      <c r="E54" s="450"/>
      <c r="F54" s="450"/>
      <c r="G54" s="450"/>
      <c r="H54" s="450"/>
      <c r="I54" s="450"/>
      <c r="J54" s="450"/>
      <c r="K54" s="450"/>
      <c r="L54" s="450"/>
      <c r="M54" s="450"/>
      <c r="N54" s="450"/>
      <c r="O54" s="450"/>
      <c r="P54" s="450"/>
      <c r="Q54" s="450"/>
      <c r="R54" s="456"/>
      <c r="S54" s="456"/>
      <c r="T54" s="489" t="s">
        <v>117</v>
      </c>
      <c r="U54" s="452"/>
      <c r="V54" s="430"/>
    </row>
    <row r="55" spans="1:23" s="431" customFormat="1" x14ac:dyDescent="0.3">
      <c r="A55" s="449"/>
      <c r="B55" s="455" t="s">
        <v>210</v>
      </c>
      <c r="C55" s="455"/>
      <c r="D55" s="455"/>
      <c r="E55" s="455"/>
      <c r="F55" s="455"/>
      <c r="G55" s="455"/>
      <c r="H55" s="455"/>
      <c r="I55" s="455"/>
      <c r="J55" s="455"/>
      <c r="K55" s="455"/>
      <c r="L55" s="455"/>
      <c r="M55" s="455"/>
      <c r="N55" s="455"/>
      <c r="O55" s="455"/>
      <c r="P55" s="455"/>
      <c r="Q55" s="455"/>
      <c r="R55" s="490"/>
      <c r="S55" s="490"/>
      <c r="T55" s="491">
        <v>43661</v>
      </c>
      <c r="U55" s="452"/>
      <c r="V55" s="430"/>
    </row>
    <row r="56" spans="1:23" s="431" customFormat="1" x14ac:dyDescent="0.3">
      <c r="A56" s="449"/>
      <c r="B56" s="450" t="s">
        <v>127</v>
      </c>
      <c r="C56" s="450"/>
      <c r="D56" s="450"/>
      <c r="E56" s="450"/>
      <c r="F56" s="450"/>
      <c r="G56" s="450"/>
      <c r="H56" s="492"/>
      <c r="I56" s="492"/>
      <c r="J56" s="492"/>
      <c r="K56" s="492"/>
      <c r="L56" s="492"/>
      <c r="M56" s="492"/>
      <c r="N56" s="492"/>
      <c r="O56" s="492"/>
      <c r="P56" s="450">
        <f>+T56-R56+1</f>
        <v>90</v>
      </c>
      <c r="Q56" s="492"/>
      <c r="R56" s="493">
        <v>43480</v>
      </c>
      <c r="S56" s="494"/>
      <c r="T56" s="493">
        <v>43569</v>
      </c>
      <c r="U56" s="452"/>
      <c r="V56" s="430"/>
    </row>
    <row r="57" spans="1:23" s="431" customFormat="1" x14ac:dyDescent="0.3">
      <c r="A57" s="449"/>
      <c r="B57" s="450" t="s">
        <v>128</v>
      </c>
      <c r="C57" s="450"/>
      <c r="D57" s="450"/>
      <c r="E57" s="450"/>
      <c r="F57" s="450"/>
      <c r="G57" s="450"/>
      <c r="H57" s="450"/>
      <c r="I57" s="450"/>
      <c r="J57" s="450"/>
      <c r="K57" s="450"/>
      <c r="L57" s="450"/>
      <c r="M57" s="450"/>
      <c r="N57" s="450"/>
      <c r="O57" s="450"/>
      <c r="P57" s="450">
        <f>+T57-R57+1</f>
        <v>91</v>
      </c>
      <c r="Q57" s="450"/>
      <c r="R57" s="493">
        <v>43570</v>
      </c>
      <c r="S57" s="494"/>
      <c r="T57" s="493">
        <v>43660</v>
      </c>
      <c r="U57" s="452"/>
      <c r="V57" s="430"/>
    </row>
    <row r="58" spans="1:23" s="431" customFormat="1" x14ac:dyDescent="0.3">
      <c r="A58" s="449"/>
      <c r="B58" s="450" t="s">
        <v>344</v>
      </c>
      <c r="C58" s="450"/>
      <c r="D58" s="450"/>
      <c r="E58" s="450"/>
      <c r="F58" s="450"/>
      <c r="G58" s="450"/>
      <c r="H58" s="450"/>
      <c r="I58" s="450"/>
      <c r="J58" s="450"/>
      <c r="K58" s="450"/>
      <c r="L58" s="450"/>
      <c r="M58" s="450"/>
      <c r="N58" s="450"/>
      <c r="O58" s="450"/>
      <c r="P58" s="450"/>
      <c r="Q58" s="450"/>
      <c r="R58" s="493"/>
      <c r="S58" s="494"/>
      <c r="T58" s="493" t="s">
        <v>126</v>
      </c>
      <c r="U58" s="452"/>
      <c r="V58" s="430"/>
    </row>
    <row r="59" spans="1:23" s="431" customFormat="1" x14ac:dyDescent="0.3">
      <c r="A59" s="449"/>
      <c r="B59" s="450" t="s">
        <v>343</v>
      </c>
      <c r="C59" s="450"/>
      <c r="D59" s="450"/>
      <c r="E59" s="450"/>
      <c r="F59" s="450"/>
      <c r="G59" s="450"/>
      <c r="H59" s="450"/>
      <c r="I59" s="450"/>
      <c r="J59" s="450"/>
      <c r="K59" s="450"/>
      <c r="L59" s="450"/>
      <c r="M59" s="450"/>
      <c r="N59" s="450"/>
      <c r="O59" s="450"/>
      <c r="P59" s="450"/>
      <c r="Q59" s="450"/>
      <c r="R59" s="493"/>
      <c r="S59" s="494"/>
      <c r="T59" s="493" t="s">
        <v>160</v>
      </c>
      <c r="U59" s="452"/>
      <c r="V59" s="430"/>
      <c r="W59" s="495"/>
    </row>
    <row r="60" spans="1:23" s="431" customFormat="1" x14ac:dyDescent="0.3">
      <c r="A60" s="449"/>
      <c r="B60" s="450" t="s">
        <v>16</v>
      </c>
      <c r="C60" s="450"/>
      <c r="D60" s="450"/>
      <c r="E60" s="450"/>
      <c r="F60" s="450"/>
      <c r="G60" s="450"/>
      <c r="H60" s="450"/>
      <c r="I60" s="450"/>
      <c r="J60" s="450"/>
      <c r="K60" s="450"/>
      <c r="L60" s="450"/>
      <c r="M60" s="450"/>
      <c r="N60" s="450"/>
      <c r="O60" s="450"/>
      <c r="P60" s="450"/>
      <c r="Q60" s="450"/>
      <c r="R60" s="493"/>
      <c r="S60" s="494"/>
      <c r="T60" s="493">
        <v>43647</v>
      </c>
      <c r="U60" s="452"/>
      <c r="V60" s="430"/>
    </row>
    <row r="61" spans="1:23" s="431" customFormat="1" x14ac:dyDescent="0.3">
      <c r="A61" s="432"/>
      <c r="B61" s="447"/>
      <c r="C61" s="447"/>
      <c r="D61" s="447"/>
      <c r="E61" s="447"/>
      <c r="F61" s="447"/>
      <c r="G61" s="447"/>
      <c r="H61" s="447"/>
      <c r="I61" s="447"/>
      <c r="J61" s="447"/>
      <c r="K61" s="447"/>
      <c r="L61" s="447"/>
      <c r="M61" s="447"/>
      <c r="N61" s="447"/>
      <c r="O61" s="447"/>
      <c r="P61" s="447"/>
      <c r="Q61" s="447"/>
      <c r="R61" s="496"/>
      <c r="S61" s="497"/>
      <c r="T61" s="496"/>
      <c r="U61" s="641"/>
      <c r="V61" s="430"/>
    </row>
    <row r="62" spans="1:23" s="431" customFormat="1" x14ac:dyDescent="0.3">
      <c r="A62" s="432"/>
      <c r="B62" s="433"/>
      <c r="C62" s="433"/>
      <c r="D62" s="433"/>
      <c r="E62" s="433"/>
      <c r="F62" s="433"/>
      <c r="G62" s="433"/>
      <c r="H62" s="433"/>
      <c r="I62" s="433"/>
      <c r="J62" s="433"/>
      <c r="K62" s="433"/>
      <c r="L62" s="433"/>
      <c r="M62" s="433"/>
      <c r="N62" s="433"/>
      <c r="O62" s="433"/>
      <c r="P62" s="433"/>
      <c r="Q62" s="433"/>
      <c r="R62" s="498"/>
      <c r="S62" s="499"/>
      <c r="T62" s="498"/>
      <c r="U62" s="641"/>
      <c r="V62" s="430"/>
    </row>
    <row r="63" spans="1:23" s="431" customFormat="1" ht="18.600000000000001" thickBot="1" x14ac:dyDescent="0.4">
      <c r="A63" s="500"/>
      <c r="B63" s="501" t="s">
        <v>366</v>
      </c>
      <c r="C63" s="502"/>
      <c r="D63" s="502"/>
      <c r="E63" s="502"/>
      <c r="F63" s="502"/>
      <c r="G63" s="502"/>
      <c r="H63" s="502"/>
      <c r="I63" s="502"/>
      <c r="J63" s="502"/>
      <c r="K63" s="502"/>
      <c r="L63" s="502"/>
      <c r="M63" s="502"/>
      <c r="N63" s="502"/>
      <c r="O63" s="502"/>
      <c r="P63" s="502"/>
      <c r="Q63" s="502"/>
      <c r="R63" s="502"/>
      <c r="S63" s="502"/>
      <c r="T63" s="503"/>
      <c r="U63" s="504"/>
      <c r="V63" s="430"/>
    </row>
    <row r="64" spans="1:23" x14ac:dyDescent="0.3">
      <c r="A64" s="505"/>
      <c r="B64" s="506" t="s">
        <v>17</v>
      </c>
      <c r="C64" s="507"/>
      <c r="D64" s="507"/>
      <c r="E64" s="507"/>
      <c r="F64" s="507"/>
      <c r="G64" s="507"/>
      <c r="H64" s="507"/>
      <c r="I64" s="507"/>
      <c r="J64" s="507"/>
      <c r="K64" s="507"/>
      <c r="L64" s="507"/>
      <c r="M64" s="507"/>
      <c r="N64" s="507"/>
      <c r="O64" s="507"/>
      <c r="P64" s="507"/>
      <c r="Q64" s="507"/>
      <c r="R64" s="507"/>
      <c r="S64" s="507"/>
      <c r="T64" s="508"/>
      <c r="U64" s="509"/>
      <c r="V64" s="416"/>
    </row>
    <row r="65" spans="1:22" x14ac:dyDescent="0.3">
      <c r="A65" s="418"/>
      <c r="B65" s="427"/>
      <c r="C65" s="420"/>
      <c r="D65" s="420"/>
      <c r="E65" s="420"/>
      <c r="F65" s="420"/>
      <c r="G65" s="420"/>
      <c r="H65" s="420"/>
      <c r="I65" s="420"/>
      <c r="J65" s="420"/>
      <c r="K65" s="420"/>
      <c r="L65" s="420"/>
      <c r="M65" s="420"/>
      <c r="N65" s="420"/>
      <c r="O65" s="420"/>
      <c r="P65" s="420"/>
      <c r="Q65" s="420"/>
      <c r="R65" s="420"/>
      <c r="S65" s="420"/>
      <c r="T65" s="510"/>
      <c r="U65" s="639"/>
      <c r="V65" s="416"/>
    </row>
    <row r="66" spans="1:22" ht="46.8" x14ac:dyDescent="0.3">
      <c r="A66" s="418"/>
      <c r="B66" s="511" t="s">
        <v>18</v>
      </c>
      <c r="C66" s="512"/>
      <c r="D66" s="512"/>
      <c r="E66" s="512"/>
      <c r="F66" s="512"/>
      <c r="G66" s="512"/>
      <c r="H66" s="512"/>
      <c r="I66" s="512"/>
      <c r="J66" s="512" t="s">
        <v>97</v>
      </c>
      <c r="K66" s="512"/>
      <c r="L66" s="512" t="s">
        <v>99</v>
      </c>
      <c r="M66" s="512"/>
      <c r="N66" s="512" t="s">
        <v>101</v>
      </c>
      <c r="O66" s="512"/>
      <c r="P66" s="512" t="s">
        <v>103</v>
      </c>
      <c r="Q66" s="512"/>
      <c r="R66" s="512" t="s">
        <v>110</v>
      </c>
      <c r="S66" s="512"/>
      <c r="T66" s="513" t="s">
        <v>118</v>
      </c>
      <c r="U66" s="642"/>
      <c r="V66" s="416"/>
    </row>
    <row r="67" spans="1:22" s="431" customFormat="1" x14ac:dyDescent="0.3">
      <c r="A67" s="449"/>
      <c r="B67" s="450" t="s">
        <v>19</v>
      </c>
      <c r="C67" s="514"/>
      <c r="D67" s="514"/>
      <c r="E67" s="514"/>
      <c r="F67" s="514"/>
      <c r="G67" s="514"/>
      <c r="H67" s="514"/>
      <c r="I67" s="514"/>
      <c r="J67" s="514">
        <v>1000039</v>
      </c>
      <c r="K67" s="514"/>
      <c r="L67" s="515">
        <v>380213</v>
      </c>
      <c r="M67" s="514"/>
      <c r="N67" s="514">
        <f>7943</f>
        <v>7943</v>
      </c>
      <c r="O67" s="514"/>
      <c r="P67" s="514">
        <v>0</v>
      </c>
      <c r="Q67" s="514"/>
      <c r="R67" s="514">
        <v>0</v>
      </c>
      <c r="S67" s="514"/>
      <c r="T67" s="515">
        <f>+L67-N67+P67-R67</f>
        <v>372270</v>
      </c>
      <c r="U67" s="452"/>
      <c r="V67" s="430"/>
    </row>
    <row r="68" spans="1:22" s="431" customFormat="1" x14ac:dyDescent="0.3">
      <c r="A68" s="449"/>
      <c r="B68" s="450" t="s">
        <v>20</v>
      </c>
      <c r="C68" s="514"/>
      <c r="D68" s="514"/>
      <c r="E68" s="514"/>
      <c r="F68" s="514"/>
      <c r="G68" s="514"/>
      <c r="H68" s="514"/>
      <c r="I68" s="514"/>
      <c r="J68" s="514">
        <v>10</v>
      </c>
      <c r="K68" s="514"/>
      <c r="L68" s="515">
        <v>0</v>
      </c>
      <c r="M68" s="514"/>
      <c r="N68" s="514">
        <v>0</v>
      </c>
      <c r="O68" s="514"/>
      <c r="P68" s="514">
        <v>0</v>
      </c>
      <c r="Q68" s="514"/>
      <c r="R68" s="514">
        <v>0</v>
      </c>
      <c r="S68" s="514"/>
      <c r="T68" s="515">
        <v>0</v>
      </c>
      <c r="U68" s="452"/>
      <c r="V68" s="430"/>
    </row>
    <row r="69" spans="1:22" s="431" customFormat="1" x14ac:dyDescent="0.3">
      <c r="A69" s="449"/>
      <c r="B69" s="450"/>
      <c r="C69" s="514"/>
      <c r="D69" s="514"/>
      <c r="E69" s="514"/>
      <c r="F69" s="514"/>
      <c r="G69" s="514"/>
      <c r="H69" s="514"/>
      <c r="I69" s="514"/>
      <c r="J69" s="514"/>
      <c r="K69" s="514"/>
      <c r="L69" s="515"/>
      <c r="M69" s="514"/>
      <c r="N69" s="514"/>
      <c r="O69" s="514"/>
      <c r="P69" s="514"/>
      <c r="Q69" s="514"/>
      <c r="R69" s="514"/>
      <c r="S69" s="514"/>
      <c r="T69" s="515"/>
      <c r="U69" s="452"/>
      <c r="V69" s="430"/>
    </row>
    <row r="70" spans="1:22" s="431" customFormat="1" x14ac:dyDescent="0.3">
      <c r="A70" s="449"/>
      <c r="B70" s="450" t="s">
        <v>21</v>
      </c>
      <c r="C70" s="514"/>
      <c r="D70" s="514"/>
      <c r="E70" s="514"/>
      <c r="F70" s="514"/>
      <c r="G70" s="514"/>
      <c r="H70" s="514"/>
      <c r="I70" s="514"/>
      <c r="J70" s="514">
        <f>SUM(J67:J69)</f>
        <v>1000049</v>
      </c>
      <c r="K70" s="514"/>
      <c r="L70" s="514">
        <f>L67+L68</f>
        <v>380213</v>
      </c>
      <c r="M70" s="514"/>
      <c r="N70" s="514">
        <f>SUM(N67:N69)</f>
        <v>7943</v>
      </c>
      <c r="O70" s="514"/>
      <c r="P70" s="514">
        <f>SUM(P67:P69)</f>
        <v>0</v>
      </c>
      <c r="Q70" s="514"/>
      <c r="R70" s="514">
        <f>SUM(R67:R69)</f>
        <v>0</v>
      </c>
      <c r="S70" s="514"/>
      <c r="T70" s="514">
        <f>SUM(T67:T69)</f>
        <v>372270</v>
      </c>
      <c r="U70" s="452"/>
      <c r="V70" s="430"/>
    </row>
    <row r="71" spans="1:22" x14ac:dyDescent="0.3">
      <c r="A71" s="418"/>
      <c r="B71" s="516"/>
      <c r="C71" s="517"/>
      <c r="D71" s="517"/>
      <c r="E71" s="517"/>
      <c r="F71" s="517"/>
      <c r="G71" s="517"/>
      <c r="H71" s="517"/>
      <c r="I71" s="517"/>
      <c r="J71" s="517"/>
      <c r="K71" s="517"/>
      <c r="L71" s="517"/>
      <c r="M71" s="517"/>
      <c r="N71" s="517"/>
      <c r="O71" s="517"/>
      <c r="P71" s="517"/>
      <c r="Q71" s="517"/>
      <c r="R71" s="517"/>
      <c r="S71" s="517"/>
      <c r="T71" s="518"/>
      <c r="U71" s="639"/>
      <c r="V71" s="416"/>
    </row>
    <row r="72" spans="1:22" x14ac:dyDescent="0.3">
      <c r="A72" s="418"/>
      <c r="B72" s="422" t="s">
        <v>22</v>
      </c>
      <c r="C72" s="519"/>
      <c r="D72" s="519"/>
      <c r="E72" s="519"/>
      <c r="F72" s="519"/>
      <c r="G72" s="519"/>
      <c r="H72" s="519"/>
      <c r="I72" s="519"/>
      <c r="J72" s="519"/>
      <c r="K72" s="519"/>
      <c r="L72" s="519"/>
      <c r="M72" s="519"/>
      <c r="N72" s="519"/>
      <c r="O72" s="519"/>
      <c r="P72" s="519"/>
      <c r="Q72" s="519"/>
      <c r="R72" s="519"/>
      <c r="S72" s="519"/>
      <c r="T72" s="520"/>
      <c r="U72" s="639"/>
      <c r="V72" s="416"/>
    </row>
    <row r="73" spans="1:22" x14ac:dyDescent="0.3">
      <c r="A73" s="418"/>
      <c r="B73" s="420"/>
      <c r="C73" s="519"/>
      <c r="D73" s="519"/>
      <c r="E73" s="519"/>
      <c r="F73" s="519"/>
      <c r="G73" s="519"/>
      <c r="H73" s="519"/>
      <c r="I73" s="519"/>
      <c r="J73" s="519"/>
      <c r="K73" s="519"/>
      <c r="L73" s="519"/>
      <c r="M73" s="519"/>
      <c r="N73" s="519"/>
      <c r="O73" s="519"/>
      <c r="P73" s="519"/>
      <c r="Q73" s="519"/>
      <c r="R73" s="519"/>
      <c r="S73" s="519"/>
      <c r="T73" s="520"/>
      <c r="U73" s="639"/>
      <c r="V73" s="416"/>
    </row>
    <row r="74" spans="1:22" s="431" customFormat="1" x14ac:dyDescent="0.3">
      <c r="A74" s="449"/>
      <c r="B74" s="450" t="s">
        <v>19</v>
      </c>
      <c r="C74" s="514"/>
      <c r="D74" s="514"/>
      <c r="E74" s="514"/>
      <c r="F74" s="514"/>
      <c r="G74" s="514"/>
      <c r="H74" s="514"/>
      <c r="I74" s="514"/>
      <c r="J74" s="514"/>
      <c r="K74" s="514"/>
      <c r="L74" s="514"/>
      <c r="M74" s="514"/>
      <c r="N74" s="514"/>
      <c r="O74" s="514"/>
      <c r="P74" s="514"/>
      <c r="Q74" s="514"/>
      <c r="R74" s="514"/>
      <c r="S74" s="514"/>
      <c r="T74" s="514"/>
      <c r="U74" s="452"/>
      <c r="V74" s="430"/>
    </row>
    <row r="75" spans="1:22" s="431" customFormat="1" x14ac:dyDescent="0.3">
      <c r="A75" s="449"/>
      <c r="B75" s="450" t="s">
        <v>20</v>
      </c>
      <c r="C75" s="514"/>
      <c r="D75" s="514"/>
      <c r="E75" s="514"/>
      <c r="F75" s="514"/>
      <c r="G75" s="514"/>
      <c r="H75" s="514"/>
      <c r="I75" s="514"/>
      <c r="J75" s="514"/>
      <c r="K75" s="514"/>
      <c r="L75" s="514"/>
      <c r="M75" s="514"/>
      <c r="N75" s="514"/>
      <c r="O75" s="514"/>
      <c r="P75" s="514"/>
      <c r="Q75" s="514"/>
      <c r="R75" s="514"/>
      <c r="S75" s="514"/>
      <c r="T75" s="514"/>
      <c r="U75" s="452"/>
      <c r="V75" s="430"/>
    </row>
    <row r="76" spans="1:22" s="431" customFormat="1" x14ac:dyDescent="0.3">
      <c r="A76" s="449"/>
      <c r="B76" s="450"/>
      <c r="C76" s="514"/>
      <c r="D76" s="514"/>
      <c r="E76" s="514"/>
      <c r="F76" s="514"/>
      <c r="G76" s="514"/>
      <c r="H76" s="514"/>
      <c r="I76" s="514"/>
      <c r="J76" s="514"/>
      <c r="K76" s="514"/>
      <c r="L76" s="514"/>
      <c r="M76" s="514"/>
      <c r="N76" s="514"/>
      <c r="O76" s="514"/>
      <c r="P76" s="514"/>
      <c r="Q76" s="514"/>
      <c r="R76" s="514"/>
      <c r="S76" s="514"/>
      <c r="T76" s="514"/>
      <c r="U76" s="452"/>
      <c r="V76" s="430"/>
    </row>
    <row r="77" spans="1:22" s="431" customFormat="1" x14ac:dyDescent="0.3">
      <c r="A77" s="449"/>
      <c r="B77" s="450" t="s">
        <v>21</v>
      </c>
      <c r="C77" s="514"/>
      <c r="D77" s="514"/>
      <c r="E77" s="514"/>
      <c r="F77" s="514"/>
      <c r="G77" s="514"/>
      <c r="H77" s="514"/>
      <c r="I77" s="514"/>
      <c r="J77" s="514"/>
      <c r="K77" s="514"/>
      <c r="L77" s="514"/>
      <c r="M77" s="514"/>
      <c r="N77" s="514"/>
      <c r="O77" s="514"/>
      <c r="P77" s="514"/>
      <c r="Q77" s="514"/>
      <c r="R77" s="514"/>
      <c r="S77" s="514"/>
      <c r="T77" s="514"/>
      <c r="U77" s="452"/>
      <c r="V77" s="430"/>
    </row>
    <row r="78" spans="1:22" s="431" customFormat="1" x14ac:dyDescent="0.3">
      <c r="A78" s="449"/>
      <c r="B78" s="450"/>
      <c r="C78" s="514"/>
      <c r="D78" s="514"/>
      <c r="E78" s="514"/>
      <c r="F78" s="514"/>
      <c r="G78" s="514"/>
      <c r="H78" s="514"/>
      <c r="I78" s="514"/>
      <c r="J78" s="514"/>
      <c r="K78" s="514"/>
      <c r="L78" s="514"/>
      <c r="M78" s="514"/>
      <c r="N78" s="514"/>
      <c r="O78" s="514"/>
      <c r="P78" s="514"/>
      <c r="Q78" s="514"/>
      <c r="R78" s="514"/>
      <c r="S78" s="514"/>
      <c r="T78" s="514"/>
      <c r="U78" s="452"/>
      <c r="V78" s="430"/>
    </row>
    <row r="79" spans="1:22" s="431" customFormat="1" x14ac:dyDescent="0.3">
      <c r="A79" s="449"/>
      <c r="B79" s="450" t="s">
        <v>23</v>
      </c>
      <c r="C79" s="514"/>
      <c r="D79" s="514"/>
      <c r="E79" s="514"/>
      <c r="F79" s="514"/>
      <c r="G79" s="514"/>
      <c r="H79" s="514"/>
      <c r="I79" s="514"/>
      <c r="J79" s="514">
        <v>0</v>
      </c>
      <c r="K79" s="514"/>
      <c r="L79" s="514">
        <v>0</v>
      </c>
      <c r="M79" s="514"/>
      <c r="N79" s="514"/>
      <c r="O79" s="514"/>
      <c r="P79" s="514"/>
      <c r="Q79" s="514"/>
      <c r="R79" s="514"/>
      <c r="S79" s="514"/>
      <c r="T79" s="515">
        <v>0</v>
      </c>
      <c r="U79" s="452"/>
      <c r="V79" s="430"/>
    </row>
    <row r="80" spans="1:22" s="431" customFormat="1" x14ac:dyDescent="0.3">
      <c r="A80" s="449"/>
      <c r="B80" s="450" t="s">
        <v>123</v>
      </c>
      <c r="C80" s="514"/>
      <c r="D80" s="514"/>
      <c r="E80" s="514"/>
      <c r="F80" s="514"/>
      <c r="G80" s="514"/>
      <c r="H80" s="514"/>
      <c r="I80" s="514"/>
      <c r="J80" s="514">
        <v>0</v>
      </c>
      <c r="K80" s="514"/>
      <c r="L80" s="514">
        <v>0</v>
      </c>
      <c r="M80" s="514"/>
      <c r="N80" s="514"/>
      <c r="O80" s="514"/>
      <c r="P80" s="514"/>
      <c r="Q80" s="514"/>
      <c r="R80" s="514"/>
      <c r="S80" s="514"/>
      <c r="T80" s="514">
        <f>SUM(J80:P80)</f>
        <v>0</v>
      </c>
      <c r="U80" s="452"/>
      <c r="V80" s="430"/>
    </row>
    <row r="81" spans="1:22" s="431" customFormat="1" x14ac:dyDescent="0.3">
      <c r="A81" s="449"/>
      <c r="B81" s="450" t="s">
        <v>152</v>
      </c>
      <c r="C81" s="514"/>
      <c r="D81" s="514"/>
      <c r="E81" s="514"/>
      <c r="F81" s="514"/>
      <c r="G81" s="514"/>
      <c r="H81" s="514"/>
      <c r="I81" s="514"/>
      <c r="J81" s="514">
        <v>1</v>
      </c>
      <c r="K81" s="514"/>
      <c r="L81" s="514">
        <v>0</v>
      </c>
      <c r="M81" s="514"/>
      <c r="N81" s="514">
        <v>0</v>
      </c>
      <c r="O81" s="514"/>
      <c r="P81" s="514"/>
      <c r="Q81" s="514"/>
      <c r="R81" s="514"/>
      <c r="S81" s="514"/>
      <c r="T81" s="514">
        <f>+L81+N81</f>
        <v>0</v>
      </c>
      <c r="U81" s="452"/>
      <c r="V81" s="430"/>
    </row>
    <row r="82" spans="1:22" s="431" customFormat="1" x14ac:dyDescent="0.3">
      <c r="A82" s="449"/>
      <c r="B82" s="450" t="s">
        <v>25</v>
      </c>
      <c r="C82" s="514"/>
      <c r="D82" s="514"/>
      <c r="E82" s="514"/>
      <c r="F82" s="514"/>
      <c r="G82" s="514"/>
      <c r="H82" s="514"/>
      <c r="I82" s="514"/>
      <c r="J82" s="514">
        <v>0</v>
      </c>
      <c r="K82" s="514"/>
      <c r="L82" s="514">
        <v>0</v>
      </c>
      <c r="M82" s="514"/>
      <c r="N82" s="514"/>
      <c r="O82" s="514"/>
      <c r="P82" s="514"/>
      <c r="Q82" s="514"/>
      <c r="R82" s="514"/>
      <c r="S82" s="514"/>
      <c r="T82" s="514">
        <v>0</v>
      </c>
      <c r="U82" s="452"/>
      <c r="V82" s="430"/>
    </row>
    <row r="83" spans="1:22" s="431" customFormat="1" x14ac:dyDescent="0.3">
      <c r="A83" s="449"/>
      <c r="B83" s="450" t="s">
        <v>26</v>
      </c>
      <c r="C83" s="514"/>
      <c r="D83" s="514"/>
      <c r="E83" s="514"/>
      <c r="F83" s="514"/>
      <c r="G83" s="514"/>
      <c r="H83" s="514"/>
      <c r="I83" s="514"/>
      <c r="J83" s="514">
        <f>SUM(J70:J82)</f>
        <v>1000050</v>
      </c>
      <c r="K83" s="514"/>
      <c r="L83" s="514">
        <f>SUM(L70:L82)</f>
        <v>380213</v>
      </c>
      <c r="M83" s="514"/>
      <c r="N83" s="514"/>
      <c r="O83" s="514"/>
      <c r="P83" s="514"/>
      <c r="Q83" s="514"/>
      <c r="R83" s="514"/>
      <c r="S83" s="514"/>
      <c r="T83" s="514">
        <f>SUM(T70:T82)</f>
        <v>372270</v>
      </c>
      <c r="U83" s="452"/>
      <c r="V83" s="430"/>
    </row>
    <row r="84" spans="1:22" x14ac:dyDescent="0.3">
      <c r="A84" s="418"/>
      <c r="B84" s="516"/>
      <c r="C84" s="517"/>
      <c r="D84" s="517"/>
      <c r="E84" s="517"/>
      <c r="F84" s="517"/>
      <c r="G84" s="517"/>
      <c r="H84" s="517"/>
      <c r="I84" s="517"/>
      <c r="J84" s="517"/>
      <c r="K84" s="517"/>
      <c r="L84" s="517"/>
      <c r="M84" s="517"/>
      <c r="N84" s="517"/>
      <c r="O84" s="517"/>
      <c r="P84" s="517"/>
      <c r="Q84" s="517"/>
      <c r="R84" s="517"/>
      <c r="S84" s="517"/>
      <c r="T84" s="518"/>
      <c r="U84" s="639"/>
      <c r="V84" s="416"/>
    </row>
    <row r="85" spans="1:22" x14ac:dyDescent="0.3">
      <c r="A85" s="418"/>
      <c r="B85" s="420"/>
      <c r="C85" s="420"/>
      <c r="D85" s="420"/>
      <c r="E85" s="420"/>
      <c r="F85" s="420"/>
      <c r="G85" s="420"/>
      <c r="H85" s="420"/>
      <c r="I85" s="420"/>
      <c r="J85" s="420"/>
      <c r="K85" s="420"/>
      <c r="L85" s="420"/>
      <c r="M85" s="420"/>
      <c r="N85" s="420"/>
      <c r="O85" s="420"/>
      <c r="P85" s="420"/>
      <c r="Q85" s="420"/>
      <c r="R85" s="420"/>
      <c r="S85" s="420"/>
      <c r="T85" s="420"/>
      <c r="U85" s="639"/>
      <c r="V85" s="416"/>
    </row>
    <row r="86" spans="1:22" x14ac:dyDescent="0.3">
      <c r="A86" s="442"/>
      <c r="B86" s="521" t="s">
        <v>27</v>
      </c>
      <c r="C86" s="521"/>
      <c r="D86" s="521"/>
      <c r="E86" s="521"/>
      <c r="F86" s="521"/>
      <c r="G86" s="521"/>
      <c r="H86" s="522"/>
      <c r="I86" s="522"/>
      <c r="J86" s="523" t="s">
        <v>98</v>
      </c>
      <c r="K86" s="522"/>
      <c r="L86" s="524">
        <f>+R193</f>
        <v>43644</v>
      </c>
      <c r="M86" s="522"/>
      <c r="N86" s="522"/>
      <c r="O86" s="522"/>
      <c r="P86" s="522"/>
      <c r="Q86" s="522"/>
      <c r="R86" s="522" t="s">
        <v>111</v>
      </c>
      <c r="S86" s="522"/>
      <c r="T86" s="522" t="s">
        <v>119</v>
      </c>
      <c r="U86" s="446"/>
      <c r="V86" s="416"/>
    </row>
    <row r="87" spans="1:22" s="431" customFormat="1" x14ac:dyDescent="0.3">
      <c r="A87" s="432"/>
      <c r="B87" s="447" t="s">
        <v>28</v>
      </c>
      <c r="C87" s="447"/>
      <c r="D87" s="447"/>
      <c r="E87" s="447"/>
      <c r="F87" s="447"/>
      <c r="G87" s="447"/>
      <c r="H87" s="447"/>
      <c r="I87" s="447"/>
      <c r="J87" s="447"/>
      <c r="K87" s="447"/>
      <c r="L87" s="447"/>
      <c r="M87" s="447"/>
      <c r="N87" s="447"/>
      <c r="O87" s="447"/>
      <c r="P87" s="447"/>
      <c r="Q87" s="447"/>
      <c r="R87" s="525">
        <v>0</v>
      </c>
      <c r="S87" s="447"/>
      <c r="T87" s="526">
        <v>0</v>
      </c>
      <c r="U87" s="641"/>
      <c r="V87" s="430"/>
    </row>
    <row r="88" spans="1:22" s="431" customFormat="1" x14ac:dyDescent="0.3">
      <c r="A88" s="449"/>
      <c r="B88" s="450" t="s">
        <v>29</v>
      </c>
      <c r="C88" s="450"/>
      <c r="D88" s="450"/>
      <c r="E88" s="450"/>
      <c r="F88" s="450"/>
      <c r="G88" s="450"/>
      <c r="H88" s="486"/>
      <c r="I88" s="527"/>
      <c r="J88" s="486"/>
      <c r="K88" s="450"/>
      <c r="L88" s="528"/>
      <c r="M88" s="450"/>
      <c r="N88" s="450"/>
      <c r="O88" s="450"/>
      <c r="P88" s="450"/>
      <c r="Q88" s="450"/>
      <c r="R88" s="514">
        <f>7943-351</f>
        <v>7592</v>
      </c>
      <c r="S88" s="450"/>
      <c r="T88" s="515"/>
      <c r="U88" s="452"/>
      <c r="V88" s="430"/>
    </row>
    <row r="89" spans="1:22" s="431" customFormat="1" x14ac:dyDescent="0.3">
      <c r="A89" s="449"/>
      <c r="B89" s="450" t="s">
        <v>225</v>
      </c>
      <c r="C89" s="450"/>
      <c r="D89" s="450"/>
      <c r="E89" s="450"/>
      <c r="F89" s="450"/>
      <c r="G89" s="450"/>
      <c r="H89" s="486"/>
      <c r="I89" s="527"/>
      <c r="J89" s="486"/>
      <c r="K89" s="450"/>
      <c r="L89" s="528"/>
      <c r="M89" s="450"/>
      <c r="N89" s="450"/>
      <c r="O89" s="450"/>
      <c r="P89" s="450"/>
      <c r="Q89" s="450"/>
      <c r="R89" s="514"/>
      <c r="S89" s="450"/>
      <c r="T89" s="515">
        <f>1656+1887-447-602</f>
        <v>2494</v>
      </c>
      <c r="U89" s="452"/>
      <c r="V89" s="430"/>
    </row>
    <row r="90" spans="1:22" s="431" customFormat="1" x14ac:dyDescent="0.3">
      <c r="A90" s="449"/>
      <c r="B90" s="450" t="s">
        <v>220</v>
      </c>
      <c r="C90" s="450"/>
      <c r="D90" s="450"/>
      <c r="E90" s="450"/>
      <c r="F90" s="450"/>
      <c r="G90" s="450"/>
      <c r="H90" s="486"/>
      <c r="I90" s="527"/>
      <c r="J90" s="486"/>
      <c r="K90" s="450"/>
      <c r="L90" s="528"/>
      <c r="M90" s="450"/>
      <c r="N90" s="450"/>
      <c r="O90" s="450"/>
      <c r="P90" s="450"/>
      <c r="Q90" s="450"/>
      <c r="R90" s="514"/>
      <c r="S90" s="450"/>
      <c r="T90" s="515">
        <f>130+17</f>
        <v>147</v>
      </c>
      <c r="U90" s="452"/>
      <c r="V90" s="430"/>
    </row>
    <row r="91" spans="1:22" s="431" customFormat="1" x14ac:dyDescent="0.3">
      <c r="A91" s="449"/>
      <c r="B91" s="450" t="s">
        <v>221</v>
      </c>
      <c r="C91" s="450"/>
      <c r="D91" s="450"/>
      <c r="E91" s="450"/>
      <c r="F91" s="450"/>
      <c r="G91" s="450"/>
      <c r="H91" s="486"/>
      <c r="I91" s="527"/>
      <c r="J91" s="486"/>
      <c r="K91" s="450"/>
      <c r="L91" s="528"/>
      <c r="M91" s="450"/>
      <c r="N91" s="450"/>
      <c r="O91" s="450"/>
      <c r="P91" s="450"/>
      <c r="Q91" s="450"/>
      <c r="R91" s="514"/>
      <c r="S91" s="450"/>
      <c r="T91" s="515">
        <v>52</v>
      </c>
      <c r="U91" s="452"/>
      <c r="V91" s="430"/>
    </row>
    <row r="92" spans="1:22" s="431" customFormat="1" x14ac:dyDescent="0.3">
      <c r="A92" s="449"/>
      <c r="B92" s="450" t="s">
        <v>261</v>
      </c>
      <c r="C92" s="450"/>
      <c r="D92" s="450"/>
      <c r="E92" s="450"/>
      <c r="F92" s="450"/>
      <c r="G92" s="450"/>
      <c r="H92" s="486"/>
      <c r="I92" s="527"/>
      <c r="J92" s="486"/>
      <c r="K92" s="450"/>
      <c r="L92" s="528"/>
      <c r="M92" s="450"/>
      <c r="N92" s="450"/>
      <c r="O92" s="450"/>
      <c r="P92" s="450"/>
      <c r="Q92" s="450"/>
      <c r="R92" s="514"/>
      <c r="S92" s="450"/>
      <c r="T92" s="515">
        <v>0</v>
      </c>
      <c r="U92" s="452"/>
      <c r="V92" s="430"/>
    </row>
    <row r="93" spans="1:22" s="431" customFormat="1" x14ac:dyDescent="0.3">
      <c r="A93" s="449"/>
      <c r="B93" s="450" t="s">
        <v>141</v>
      </c>
      <c r="C93" s="450"/>
      <c r="D93" s="450"/>
      <c r="E93" s="450"/>
      <c r="F93" s="450"/>
      <c r="G93" s="450"/>
      <c r="H93" s="450"/>
      <c r="I93" s="450"/>
      <c r="J93" s="450"/>
      <c r="K93" s="450"/>
      <c r="L93" s="450"/>
      <c r="M93" s="450"/>
      <c r="N93" s="450"/>
      <c r="O93" s="450"/>
      <c r="P93" s="450"/>
      <c r="Q93" s="450"/>
      <c r="R93" s="514"/>
      <c r="S93" s="450"/>
      <c r="T93" s="515">
        <v>0</v>
      </c>
      <c r="U93" s="452"/>
      <c r="V93" s="430"/>
    </row>
    <row r="94" spans="1:22" s="431" customFormat="1" x14ac:dyDescent="0.3">
      <c r="A94" s="449"/>
      <c r="B94" s="450" t="s">
        <v>250</v>
      </c>
      <c r="C94" s="450"/>
      <c r="D94" s="450"/>
      <c r="E94" s="450"/>
      <c r="F94" s="450"/>
      <c r="G94" s="450"/>
      <c r="H94" s="450"/>
      <c r="I94" s="450"/>
      <c r="J94" s="450"/>
      <c r="K94" s="450"/>
      <c r="L94" s="450"/>
      <c r="M94" s="450"/>
      <c r="N94" s="450"/>
      <c r="O94" s="450"/>
      <c r="P94" s="450"/>
      <c r="Q94" s="450"/>
      <c r="R94" s="514"/>
      <c r="S94" s="450"/>
      <c r="T94" s="515">
        <v>0</v>
      </c>
      <c r="U94" s="452"/>
      <c r="V94" s="430"/>
    </row>
    <row r="95" spans="1:22" s="431" customFormat="1" x14ac:dyDescent="0.3">
      <c r="A95" s="449"/>
      <c r="B95" s="450" t="s">
        <v>30</v>
      </c>
      <c r="C95" s="450"/>
      <c r="D95" s="450"/>
      <c r="E95" s="450"/>
      <c r="F95" s="450"/>
      <c r="G95" s="450"/>
      <c r="H95" s="450"/>
      <c r="I95" s="450"/>
      <c r="J95" s="450"/>
      <c r="K95" s="450"/>
      <c r="L95" s="450"/>
      <c r="M95" s="450"/>
      <c r="N95" s="450"/>
      <c r="O95" s="450"/>
      <c r="P95" s="450"/>
      <c r="Q95" s="450"/>
      <c r="R95" s="514">
        <f>SUM(R87:R94)</f>
        <v>7592</v>
      </c>
      <c r="S95" s="450"/>
      <c r="T95" s="514">
        <f>SUM(T87:T94)</f>
        <v>2693</v>
      </c>
      <c r="U95" s="452"/>
      <c r="V95" s="430"/>
    </row>
    <row r="96" spans="1:22" s="431" customFormat="1" x14ac:dyDescent="0.3">
      <c r="A96" s="449"/>
      <c r="B96" s="450" t="s">
        <v>168</v>
      </c>
      <c r="C96" s="450"/>
      <c r="D96" s="450"/>
      <c r="E96" s="450"/>
      <c r="F96" s="450"/>
      <c r="G96" s="450"/>
      <c r="H96" s="450"/>
      <c r="I96" s="450"/>
      <c r="J96" s="450"/>
      <c r="K96" s="450"/>
      <c r="L96" s="450"/>
      <c r="M96" s="450"/>
      <c r="N96" s="450"/>
      <c r="O96" s="450"/>
      <c r="P96" s="450"/>
      <c r="Q96" s="450"/>
      <c r="R96" s="514">
        <v>0</v>
      </c>
      <c r="S96" s="450"/>
      <c r="T96" s="514">
        <f>-R96</f>
        <v>0</v>
      </c>
      <c r="U96" s="452"/>
      <c r="V96" s="430"/>
    </row>
    <row r="97" spans="1:24" s="431" customFormat="1" x14ac:dyDescent="0.3">
      <c r="A97" s="449"/>
      <c r="B97" s="450" t="s">
        <v>31</v>
      </c>
      <c r="C97" s="450"/>
      <c r="D97" s="450"/>
      <c r="E97" s="450"/>
      <c r="F97" s="450"/>
      <c r="G97" s="450"/>
      <c r="H97" s="450"/>
      <c r="I97" s="450"/>
      <c r="J97" s="450"/>
      <c r="K97" s="450"/>
      <c r="L97" s="450"/>
      <c r="M97" s="450"/>
      <c r="N97" s="450"/>
      <c r="O97" s="450"/>
      <c r="P97" s="450"/>
      <c r="Q97" s="450"/>
      <c r="R97" s="514">
        <f>-T97</f>
        <v>0</v>
      </c>
      <c r="S97" s="450"/>
      <c r="T97" s="515">
        <v>0</v>
      </c>
      <c r="U97" s="452"/>
      <c r="V97" s="430"/>
    </row>
    <row r="98" spans="1:24" s="431" customFormat="1" x14ac:dyDescent="0.3">
      <c r="A98" s="449"/>
      <c r="B98" s="450" t="s">
        <v>273</v>
      </c>
      <c r="C98" s="450"/>
      <c r="D98" s="450"/>
      <c r="E98" s="450"/>
      <c r="F98" s="450"/>
      <c r="G98" s="450"/>
      <c r="H98" s="450"/>
      <c r="I98" s="450"/>
      <c r="J98" s="450"/>
      <c r="K98" s="450"/>
      <c r="L98" s="450"/>
      <c r="M98" s="450"/>
      <c r="N98" s="450"/>
      <c r="O98" s="450"/>
      <c r="P98" s="450"/>
      <c r="Q98" s="450"/>
      <c r="R98" s="514"/>
      <c r="S98" s="450"/>
      <c r="T98" s="515">
        <v>200</v>
      </c>
      <c r="U98" s="452"/>
      <c r="V98" s="430"/>
    </row>
    <row r="99" spans="1:24" s="431" customFormat="1" x14ac:dyDescent="0.3">
      <c r="A99" s="449"/>
      <c r="B99" s="450" t="s">
        <v>32</v>
      </c>
      <c r="C99" s="450"/>
      <c r="D99" s="450"/>
      <c r="E99" s="450"/>
      <c r="F99" s="450"/>
      <c r="G99" s="450"/>
      <c r="H99" s="450"/>
      <c r="I99" s="450"/>
      <c r="J99" s="450"/>
      <c r="K99" s="450"/>
      <c r="L99" s="450"/>
      <c r="M99" s="450"/>
      <c r="N99" s="450"/>
      <c r="O99" s="450"/>
      <c r="P99" s="450"/>
      <c r="Q99" s="450"/>
      <c r="R99" s="514">
        <f>R95+R97+R96</f>
        <v>7592</v>
      </c>
      <c r="S99" s="450"/>
      <c r="T99" s="514">
        <f>T95+T97+T96+T98</f>
        <v>2893</v>
      </c>
      <c r="U99" s="452"/>
      <c r="V99" s="430"/>
    </row>
    <row r="100" spans="1:24" x14ac:dyDescent="0.3">
      <c r="A100" s="468"/>
      <c r="B100" s="529" t="s">
        <v>33</v>
      </c>
      <c r="C100" s="470"/>
      <c r="D100" s="470"/>
      <c r="E100" s="470"/>
      <c r="F100" s="470"/>
      <c r="G100" s="470"/>
      <c r="H100" s="470"/>
      <c r="I100" s="470"/>
      <c r="J100" s="470"/>
      <c r="K100" s="470"/>
      <c r="L100" s="470"/>
      <c r="M100" s="470"/>
      <c r="N100" s="470"/>
      <c r="O100" s="470"/>
      <c r="P100" s="470"/>
      <c r="Q100" s="470"/>
      <c r="R100" s="530"/>
      <c r="S100" s="470"/>
      <c r="T100" s="531"/>
      <c r="U100" s="476"/>
      <c r="V100" s="416"/>
    </row>
    <row r="101" spans="1:24" s="431" customFormat="1" x14ac:dyDescent="0.3">
      <c r="A101" s="449">
        <v>1</v>
      </c>
      <c r="B101" s="450" t="s">
        <v>34</v>
      </c>
      <c r="C101" s="450"/>
      <c r="D101" s="450"/>
      <c r="E101" s="450"/>
      <c r="F101" s="450"/>
      <c r="G101" s="450"/>
      <c r="H101" s="450"/>
      <c r="I101" s="450"/>
      <c r="J101" s="450"/>
      <c r="K101" s="450"/>
      <c r="L101" s="450"/>
      <c r="M101" s="450"/>
      <c r="N101" s="450"/>
      <c r="O101" s="450"/>
      <c r="P101" s="450"/>
      <c r="Q101" s="450"/>
      <c r="R101" s="450"/>
      <c r="S101" s="450"/>
      <c r="T101" s="515">
        <v>0</v>
      </c>
      <c r="U101" s="452"/>
      <c r="V101" s="430"/>
    </row>
    <row r="102" spans="1:24" s="431" customFormat="1" x14ac:dyDescent="0.3">
      <c r="A102" s="449">
        <f>+A101+1</f>
        <v>2</v>
      </c>
      <c r="B102" s="450" t="s">
        <v>312</v>
      </c>
      <c r="C102" s="450"/>
      <c r="D102" s="450"/>
      <c r="E102" s="450"/>
      <c r="F102" s="450"/>
      <c r="G102" s="450"/>
      <c r="H102" s="450"/>
      <c r="I102" s="450"/>
      <c r="J102" s="450"/>
      <c r="K102" s="450"/>
      <c r="L102" s="450"/>
      <c r="M102" s="450"/>
      <c r="N102" s="450"/>
      <c r="O102" s="450"/>
      <c r="P102" s="450"/>
      <c r="Q102" s="450"/>
      <c r="R102" s="450"/>
      <c r="S102" s="450"/>
      <c r="T102" s="515">
        <v>-2</v>
      </c>
      <c r="U102" s="452"/>
      <c r="V102" s="430"/>
    </row>
    <row r="103" spans="1:24" s="431" customFormat="1" x14ac:dyDescent="0.3">
      <c r="A103" s="449">
        <f>+A102+1</f>
        <v>3</v>
      </c>
      <c r="B103" s="532" t="s">
        <v>314</v>
      </c>
      <c r="C103" s="450"/>
      <c r="D103" s="450"/>
      <c r="E103" s="450"/>
      <c r="F103" s="450"/>
      <c r="G103" s="450"/>
      <c r="H103" s="450"/>
      <c r="I103" s="450"/>
      <c r="J103" s="450"/>
      <c r="K103" s="450"/>
      <c r="L103" s="450"/>
      <c r="M103" s="450"/>
      <c r="N103" s="450"/>
      <c r="O103" s="450"/>
      <c r="P103" s="450"/>
      <c r="Q103" s="450"/>
      <c r="R103" s="450"/>
      <c r="S103" s="450"/>
      <c r="T103" s="515">
        <f>-145-42-6</f>
        <v>-193</v>
      </c>
      <c r="U103" s="452"/>
      <c r="V103" s="430"/>
    </row>
    <row r="104" spans="1:24" s="431" customFormat="1" x14ac:dyDescent="0.3">
      <c r="A104" s="449" t="s">
        <v>133</v>
      </c>
      <c r="B104" s="450" t="s">
        <v>122</v>
      </c>
      <c r="C104" s="450"/>
      <c r="D104" s="450"/>
      <c r="E104" s="450"/>
      <c r="F104" s="450"/>
      <c r="G104" s="450"/>
      <c r="H104" s="450"/>
      <c r="I104" s="450"/>
      <c r="J104" s="450"/>
      <c r="K104" s="450"/>
      <c r="L104" s="450"/>
      <c r="M104" s="450"/>
      <c r="N104" s="450"/>
      <c r="O104" s="450"/>
      <c r="P104" s="450"/>
      <c r="Q104" s="450"/>
      <c r="R104" s="450"/>
      <c r="S104" s="450"/>
      <c r="T104" s="515">
        <v>0</v>
      </c>
      <c r="U104" s="452"/>
      <c r="V104" s="430"/>
    </row>
    <row r="105" spans="1:24" s="431" customFormat="1" x14ac:dyDescent="0.3">
      <c r="A105" s="449" t="s">
        <v>134</v>
      </c>
      <c r="B105" s="450" t="s">
        <v>348</v>
      </c>
      <c r="C105" s="450"/>
      <c r="D105" s="450"/>
      <c r="E105" s="450"/>
      <c r="F105" s="450"/>
      <c r="G105" s="450"/>
      <c r="H105" s="450"/>
      <c r="I105" s="450"/>
      <c r="J105" s="450"/>
      <c r="K105" s="450"/>
      <c r="L105" s="450"/>
      <c r="M105" s="450"/>
      <c r="N105" s="450"/>
      <c r="O105" s="450"/>
      <c r="P105" s="450"/>
      <c r="Q105" s="450"/>
      <c r="R105" s="450"/>
      <c r="S105" s="450"/>
      <c r="T105" s="515">
        <f>-419-127</f>
        <v>-546</v>
      </c>
      <c r="U105" s="452"/>
      <c r="V105" s="430"/>
      <c r="W105" s="533"/>
    </row>
    <row r="106" spans="1:24" s="431" customFormat="1" x14ac:dyDescent="0.3">
      <c r="A106" s="449" t="s">
        <v>156</v>
      </c>
      <c r="B106" s="450" t="s">
        <v>349</v>
      </c>
      <c r="C106" s="450"/>
      <c r="D106" s="450"/>
      <c r="E106" s="450"/>
      <c r="F106" s="450"/>
      <c r="G106" s="450"/>
      <c r="H106" s="450"/>
      <c r="I106" s="450"/>
      <c r="J106" s="450"/>
      <c r="K106" s="450"/>
      <c r="L106" s="450"/>
      <c r="M106" s="450"/>
      <c r="N106" s="450"/>
      <c r="O106" s="450"/>
      <c r="P106" s="450"/>
      <c r="Q106" s="450"/>
      <c r="R106" s="450"/>
      <c r="S106" s="450"/>
      <c r="T106" s="515">
        <v>-128</v>
      </c>
      <c r="U106" s="452"/>
      <c r="V106" s="430"/>
      <c r="W106" s="533"/>
    </row>
    <row r="107" spans="1:24" s="431" customFormat="1" x14ac:dyDescent="0.3">
      <c r="A107" s="449" t="s">
        <v>214</v>
      </c>
      <c r="B107" s="450" t="s">
        <v>192</v>
      </c>
      <c r="C107" s="450"/>
      <c r="D107" s="450"/>
      <c r="E107" s="450"/>
      <c r="F107" s="450"/>
      <c r="G107" s="450"/>
      <c r="H107" s="450"/>
      <c r="I107" s="450"/>
      <c r="J107" s="450"/>
      <c r="K107" s="450"/>
      <c r="L107" s="450"/>
      <c r="M107" s="450"/>
      <c r="N107" s="450"/>
      <c r="O107" s="450"/>
      <c r="P107" s="450"/>
      <c r="Q107" s="450"/>
      <c r="R107" s="450"/>
      <c r="S107" s="450"/>
      <c r="T107" s="515">
        <v>-143</v>
      </c>
      <c r="U107" s="452"/>
      <c r="V107" s="430"/>
      <c r="W107" s="533"/>
      <c r="X107" s="533"/>
    </row>
    <row r="108" spans="1:24" s="431" customFormat="1" x14ac:dyDescent="0.3">
      <c r="A108" s="449" t="s">
        <v>215</v>
      </c>
      <c r="B108" s="450" t="s">
        <v>193</v>
      </c>
      <c r="C108" s="450"/>
      <c r="D108" s="450"/>
      <c r="E108" s="450"/>
      <c r="F108" s="450"/>
      <c r="G108" s="450"/>
      <c r="H108" s="450"/>
      <c r="I108" s="450"/>
      <c r="J108" s="450"/>
      <c r="K108" s="450"/>
      <c r="L108" s="450"/>
      <c r="M108" s="450"/>
      <c r="N108" s="450"/>
      <c r="O108" s="450"/>
      <c r="P108" s="450"/>
      <c r="Q108" s="450"/>
      <c r="R108" s="450"/>
      <c r="S108" s="450"/>
      <c r="T108" s="515">
        <v>-40</v>
      </c>
      <c r="U108" s="452"/>
      <c r="V108" s="534"/>
      <c r="W108" s="533"/>
    </row>
    <row r="109" spans="1:24" s="431" customFormat="1" x14ac:dyDescent="0.3">
      <c r="A109" s="449" t="s">
        <v>216</v>
      </c>
      <c r="B109" s="450" t="s">
        <v>204</v>
      </c>
      <c r="C109" s="450"/>
      <c r="D109" s="450"/>
      <c r="E109" s="450"/>
      <c r="F109" s="450"/>
      <c r="G109" s="450"/>
      <c r="H109" s="450"/>
      <c r="I109" s="450"/>
      <c r="J109" s="450"/>
      <c r="K109" s="450"/>
      <c r="L109" s="450"/>
      <c r="M109" s="450"/>
      <c r="N109" s="450"/>
      <c r="O109" s="450"/>
      <c r="P109" s="450"/>
      <c r="Q109" s="450"/>
      <c r="R109" s="450"/>
      <c r="S109" s="450"/>
      <c r="T109" s="515">
        <v>-206</v>
      </c>
      <c r="U109" s="452"/>
      <c r="V109" s="430"/>
      <c r="W109" s="533"/>
    </row>
    <row r="110" spans="1:24" s="431" customFormat="1" x14ac:dyDescent="0.3">
      <c r="A110" s="535">
        <v>7</v>
      </c>
      <c r="B110" s="532" t="s">
        <v>313</v>
      </c>
      <c r="C110" s="532"/>
      <c r="D110" s="532"/>
      <c r="E110" s="532"/>
      <c r="F110" s="532"/>
      <c r="G110" s="450"/>
      <c r="H110" s="450"/>
      <c r="I110" s="450"/>
      <c r="J110" s="450"/>
      <c r="K110" s="450"/>
      <c r="L110" s="450"/>
      <c r="M110" s="450"/>
      <c r="N110" s="450"/>
      <c r="O110" s="450"/>
      <c r="P110" s="450"/>
      <c r="Q110" s="450"/>
      <c r="R110" s="450"/>
      <c r="S110" s="450"/>
      <c r="T110" s="515">
        <v>0</v>
      </c>
      <c r="U110" s="452"/>
      <c r="V110" s="430"/>
      <c r="W110" s="533"/>
    </row>
    <row r="111" spans="1:24" s="431" customFormat="1" x14ac:dyDescent="0.3">
      <c r="A111" s="449">
        <f t="shared" ref="A111:A117" si="0">+A110+1</f>
        <v>8</v>
      </c>
      <c r="B111" s="450" t="s">
        <v>35</v>
      </c>
      <c r="C111" s="450"/>
      <c r="D111" s="450"/>
      <c r="E111" s="450"/>
      <c r="F111" s="450"/>
      <c r="G111" s="450"/>
      <c r="H111" s="450"/>
      <c r="I111" s="450"/>
      <c r="J111" s="450"/>
      <c r="K111" s="450"/>
      <c r="L111" s="450"/>
      <c r="M111" s="450"/>
      <c r="N111" s="450"/>
      <c r="O111" s="450"/>
      <c r="P111" s="450"/>
      <c r="Q111" s="450"/>
      <c r="R111" s="450"/>
      <c r="S111" s="450"/>
      <c r="T111" s="515">
        <v>-10</v>
      </c>
      <c r="U111" s="452"/>
      <c r="V111" s="430"/>
    </row>
    <row r="112" spans="1:24" s="431" customFormat="1" x14ac:dyDescent="0.3">
      <c r="A112" s="449">
        <f t="shared" si="0"/>
        <v>9</v>
      </c>
      <c r="B112" s="450" t="s">
        <v>46</v>
      </c>
      <c r="C112" s="450"/>
      <c r="D112" s="450"/>
      <c r="E112" s="450"/>
      <c r="F112" s="450"/>
      <c r="G112" s="450"/>
      <c r="H112" s="450"/>
      <c r="I112" s="450"/>
      <c r="J112" s="450"/>
      <c r="K112" s="450"/>
      <c r="L112" s="450"/>
      <c r="M112" s="450"/>
      <c r="N112" s="450"/>
      <c r="O112" s="450"/>
      <c r="P112" s="450"/>
      <c r="Q112" s="450"/>
      <c r="R112" s="514">
        <f>-T112</f>
        <v>351</v>
      </c>
      <c r="S112" s="450"/>
      <c r="T112" s="515">
        <v>-351</v>
      </c>
      <c r="U112" s="452"/>
      <c r="V112" s="430"/>
    </row>
    <row r="113" spans="1:22" s="431" customFormat="1" x14ac:dyDescent="0.3">
      <c r="A113" s="449">
        <f t="shared" si="0"/>
        <v>10</v>
      </c>
      <c r="B113" s="450" t="s">
        <v>131</v>
      </c>
      <c r="C113" s="450"/>
      <c r="D113" s="450"/>
      <c r="E113" s="450"/>
      <c r="F113" s="450"/>
      <c r="G113" s="450"/>
      <c r="H113" s="450"/>
      <c r="I113" s="450"/>
      <c r="J113" s="450"/>
      <c r="K113" s="450"/>
      <c r="L113" s="450"/>
      <c r="M113" s="450"/>
      <c r="N113" s="450"/>
      <c r="O113" s="450"/>
      <c r="P113" s="450"/>
      <c r="Q113" s="450"/>
      <c r="R113" s="450"/>
      <c r="S113" s="450"/>
      <c r="T113" s="515">
        <v>0</v>
      </c>
      <c r="U113" s="452"/>
      <c r="V113" s="430"/>
    </row>
    <row r="114" spans="1:22" s="431" customFormat="1" x14ac:dyDescent="0.3">
      <c r="A114" s="449">
        <f t="shared" si="0"/>
        <v>11</v>
      </c>
      <c r="B114" s="450" t="s">
        <v>36</v>
      </c>
      <c r="C114" s="450"/>
      <c r="D114" s="450"/>
      <c r="E114" s="450"/>
      <c r="F114" s="450"/>
      <c r="G114" s="450"/>
      <c r="H114" s="450"/>
      <c r="I114" s="450"/>
      <c r="J114" s="450"/>
      <c r="K114" s="450"/>
      <c r="L114" s="450"/>
      <c r="M114" s="450"/>
      <c r="N114" s="450"/>
      <c r="O114" s="450"/>
      <c r="P114" s="450"/>
      <c r="Q114" s="450"/>
      <c r="R114" s="450"/>
      <c r="S114" s="450"/>
      <c r="T114" s="515">
        <v>0</v>
      </c>
      <c r="U114" s="452"/>
      <c r="V114" s="430"/>
    </row>
    <row r="115" spans="1:22" s="431" customFormat="1" x14ac:dyDescent="0.3">
      <c r="A115" s="449">
        <f t="shared" si="0"/>
        <v>12</v>
      </c>
      <c r="B115" s="450" t="s">
        <v>37</v>
      </c>
      <c r="C115" s="450"/>
      <c r="D115" s="450"/>
      <c r="E115" s="450"/>
      <c r="F115" s="450"/>
      <c r="G115" s="450"/>
      <c r="H115" s="450"/>
      <c r="I115" s="450"/>
      <c r="J115" s="450"/>
      <c r="K115" s="450"/>
      <c r="L115" s="450"/>
      <c r="M115" s="450"/>
      <c r="N115" s="450"/>
      <c r="O115" s="450"/>
      <c r="P115" s="450"/>
      <c r="Q115" s="450"/>
      <c r="R115" s="450"/>
      <c r="S115" s="450"/>
      <c r="T115" s="515">
        <v>0</v>
      </c>
      <c r="U115" s="452"/>
      <c r="V115" s="430"/>
    </row>
    <row r="116" spans="1:22" s="431" customFormat="1" x14ac:dyDescent="0.3">
      <c r="A116" s="449">
        <f t="shared" si="0"/>
        <v>13</v>
      </c>
      <c r="B116" s="450" t="s">
        <v>155</v>
      </c>
      <c r="C116" s="450"/>
      <c r="D116" s="450"/>
      <c r="E116" s="450"/>
      <c r="F116" s="450"/>
      <c r="G116" s="450"/>
      <c r="H116" s="450"/>
      <c r="I116" s="450"/>
      <c r="J116" s="450"/>
      <c r="K116" s="450"/>
      <c r="L116" s="450"/>
      <c r="M116" s="450"/>
      <c r="N116" s="450"/>
      <c r="O116" s="450"/>
      <c r="P116" s="450"/>
      <c r="Q116" s="450"/>
      <c r="R116" s="450"/>
      <c r="S116" s="450"/>
      <c r="T116" s="515">
        <v>-145</v>
      </c>
      <c r="U116" s="452"/>
      <c r="V116" s="430"/>
    </row>
    <row r="117" spans="1:22" s="431" customFormat="1" x14ac:dyDescent="0.3">
      <c r="A117" s="449">
        <f t="shared" si="0"/>
        <v>14</v>
      </c>
      <c r="B117" s="450" t="s">
        <v>132</v>
      </c>
      <c r="C117" s="450"/>
      <c r="D117" s="450"/>
      <c r="E117" s="450"/>
      <c r="F117" s="450"/>
      <c r="G117" s="450"/>
      <c r="H117" s="450"/>
      <c r="I117" s="450"/>
      <c r="J117" s="450"/>
      <c r="K117" s="450"/>
      <c r="L117" s="450"/>
      <c r="M117" s="450"/>
      <c r="N117" s="450"/>
      <c r="O117" s="450"/>
      <c r="P117" s="450"/>
      <c r="Q117" s="450"/>
      <c r="R117" s="450"/>
      <c r="S117" s="450"/>
      <c r="T117" s="515">
        <f>-T99-SUM(T101:T116)</f>
        <v>-1129</v>
      </c>
      <c r="U117" s="452"/>
      <c r="V117" s="430"/>
    </row>
    <row r="118" spans="1:22" x14ac:dyDescent="0.3">
      <c r="A118" s="468"/>
      <c r="B118" s="529" t="s">
        <v>38</v>
      </c>
      <c r="C118" s="470"/>
      <c r="D118" s="470"/>
      <c r="E118" s="470"/>
      <c r="F118" s="470"/>
      <c r="G118" s="470"/>
      <c r="H118" s="470"/>
      <c r="I118" s="470"/>
      <c r="J118" s="470"/>
      <c r="K118" s="470"/>
      <c r="L118" s="470"/>
      <c r="M118" s="470"/>
      <c r="N118" s="470"/>
      <c r="O118" s="470"/>
      <c r="P118" s="470"/>
      <c r="Q118" s="470"/>
      <c r="R118" s="470"/>
      <c r="S118" s="470"/>
      <c r="T118" s="536"/>
      <c r="U118" s="476"/>
      <c r="V118" s="416"/>
    </row>
    <row r="119" spans="1:22" s="431" customFormat="1" x14ac:dyDescent="0.3">
      <c r="A119" s="449"/>
      <c r="B119" s="450" t="s">
        <v>180</v>
      </c>
      <c r="C119" s="450"/>
      <c r="D119" s="450"/>
      <c r="E119" s="450"/>
      <c r="F119" s="450"/>
      <c r="G119" s="450"/>
      <c r="H119" s="450"/>
      <c r="I119" s="450"/>
      <c r="J119" s="450"/>
      <c r="K119" s="450"/>
      <c r="L119" s="450"/>
      <c r="M119" s="450"/>
      <c r="N119" s="450"/>
      <c r="O119" s="450"/>
      <c r="P119" s="450"/>
      <c r="Q119" s="450"/>
      <c r="R119" s="514">
        <f>-R177</f>
        <v>0</v>
      </c>
      <c r="S119" s="514"/>
      <c r="T119" s="515"/>
      <c r="U119" s="452"/>
      <c r="V119" s="430"/>
    </row>
    <row r="120" spans="1:22" s="431" customFormat="1" x14ac:dyDescent="0.3">
      <c r="A120" s="449"/>
      <c r="B120" s="450" t="s">
        <v>181</v>
      </c>
      <c r="C120" s="450"/>
      <c r="D120" s="450"/>
      <c r="E120" s="450"/>
      <c r="F120" s="450"/>
      <c r="G120" s="450"/>
      <c r="H120" s="450"/>
      <c r="I120" s="450"/>
      <c r="J120" s="450"/>
      <c r="K120" s="450"/>
      <c r="L120" s="450"/>
      <c r="M120" s="450"/>
      <c r="N120" s="450"/>
      <c r="O120" s="450"/>
      <c r="P120" s="450"/>
      <c r="Q120" s="450"/>
      <c r="R120" s="514">
        <v>0</v>
      </c>
      <c r="S120" s="514"/>
      <c r="T120" s="515"/>
      <c r="U120" s="452"/>
      <c r="V120" s="430"/>
    </row>
    <row r="121" spans="1:22" s="431" customFormat="1" x14ac:dyDescent="0.3">
      <c r="A121" s="449"/>
      <c r="B121" s="450" t="s">
        <v>39</v>
      </c>
      <c r="C121" s="450"/>
      <c r="D121" s="450"/>
      <c r="E121" s="450"/>
      <c r="F121" s="450"/>
      <c r="G121" s="450"/>
      <c r="H121" s="450"/>
      <c r="I121" s="450"/>
      <c r="J121" s="450"/>
      <c r="K121" s="450"/>
      <c r="L121" s="450"/>
      <c r="M121" s="450"/>
      <c r="N121" s="450"/>
      <c r="O121" s="450"/>
      <c r="P121" s="450"/>
      <c r="Q121" s="450"/>
      <c r="R121" s="514">
        <f>-Q177</f>
        <v>0</v>
      </c>
      <c r="S121" s="514"/>
      <c r="T121" s="515"/>
      <c r="U121" s="452"/>
      <c r="V121" s="430"/>
    </row>
    <row r="122" spans="1:22" s="431" customFormat="1" x14ac:dyDescent="0.3">
      <c r="A122" s="449"/>
      <c r="B122" s="450" t="s">
        <v>372</v>
      </c>
      <c r="C122" s="450"/>
      <c r="D122" s="450"/>
      <c r="E122" s="450"/>
      <c r="F122" s="450"/>
      <c r="G122" s="450"/>
      <c r="H122" s="450"/>
      <c r="I122" s="450"/>
      <c r="J122" s="450"/>
      <c r="K122" s="450"/>
      <c r="L122" s="450"/>
      <c r="M122" s="450"/>
      <c r="N122" s="450"/>
      <c r="O122" s="450"/>
      <c r="P122" s="450"/>
      <c r="Q122" s="450"/>
      <c r="R122" s="514">
        <v>-3812</v>
      </c>
      <c r="S122" s="514"/>
      <c r="T122" s="515"/>
      <c r="U122" s="452"/>
      <c r="V122" s="430"/>
    </row>
    <row r="123" spans="1:22" s="431" customFormat="1" x14ac:dyDescent="0.3">
      <c r="A123" s="449"/>
      <c r="B123" s="450" t="s">
        <v>203</v>
      </c>
      <c r="C123" s="450"/>
      <c r="D123" s="450"/>
      <c r="E123" s="450"/>
      <c r="F123" s="450"/>
      <c r="G123" s="450"/>
      <c r="H123" s="450"/>
      <c r="I123" s="450"/>
      <c r="J123" s="450"/>
      <c r="K123" s="450"/>
      <c r="L123" s="450"/>
      <c r="M123" s="450"/>
      <c r="N123" s="450"/>
      <c r="O123" s="450"/>
      <c r="P123" s="450"/>
      <c r="Q123" s="450"/>
      <c r="R123" s="514">
        <v>-1005</v>
      </c>
      <c r="S123" s="514"/>
      <c r="T123" s="515"/>
      <c r="U123" s="452"/>
      <c r="V123" s="430"/>
    </row>
    <row r="124" spans="1:22" s="431" customFormat="1" x14ac:dyDescent="0.3">
      <c r="A124" s="449"/>
      <c r="B124" s="450" t="s">
        <v>202</v>
      </c>
      <c r="C124" s="450"/>
      <c r="D124" s="450"/>
      <c r="E124" s="450"/>
      <c r="F124" s="450"/>
      <c r="G124" s="450"/>
      <c r="H124" s="450"/>
      <c r="I124" s="450"/>
      <c r="J124" s="450"/>
      <c r="K124" s="450"/>
      <c r="L124" s="450"/>
      <c r="M124" s="450"/>
      <c r="N124" s="450"/>
      <c r="O124" s="450"/>
      <c r="P124" s="450"/>
      <c r="Q124" s="450"/>
      <c r="R124" s="514">
        <v>-1013</v>
      </c>
      <c r="S124" s="514"/>
      <c r="T124" s="515"/>
      <c r="U124" s="452"/>
      <c r="V124" s="430"/>
    </row>
    <row r="125" spans="1:22" s="431" customFormat="1" x14ac:dyDescent="0.3">
      <c r="A125" s="449"/>
      <c r="B125" s="450" t="s">
        <v>197</v>
      </c>
      <c r="C125" s="450"/>
      <c r="D125" s="450"/>
      <c r="E125" s="450"/>
      <c r="F125" s="450"/>
      <c r="G125" s="450"/>
      <c r="H125" s="450"/>
      <c r="I125" s="450"/>
      <c r="J125" s="450"/>
      <c r="K125" s="450"/>
      <c r="L125" s="450"/>
      <c r="M125" s="450"/>
      <c r="N125" s="450"/>
      <c r="O125" s="450"/>
      <c r="P125" s="450"/>
      <c r="Q125" s="450"/>
      <c r="R125" s="514">
        <v>-255</v>
      </c>
      <c r="S125" s="514"/>
      <c r="T125" s="515"/>
      <c r="U125" s="452"/>
      <c r="V125" s="430"/>
    </row>
    <row r="126" spans="1:22" s="431" customFormat="1" x14ac:dyDescent="0.3">
      <c r="A126" s="449"/>
      <c r="B126" s="450" t="s">
        <v>196</v>
      </c>
      <c r="C126" s="450"/>
      <c r="D126" s="450"/>
      <c r="E126" s="450"/>
      <c r="F126" s="450"/>
      <c r="G126" s="450"/>
      <c r="H126" s="450"/>
      <c r="I126" s="450"/>
      <c r="J126" s="450"/>
      <c r="K126" s="450"/>
      <c r="L126" s="450"/>
      <c r="M126" s="450"/>
      <c r="N126" s="450"/>
      <c r="O126" s="450"/>
      <c r="P126" s="450"/>
      <c r="Q126" s="450"/>
      <c r="R126" s="514">
        <v>-901</v>
      </c>
      <c r="S126" s="514"/>
      <c r="T126" s="515"/>
      <c r="U126" s="452"/>
      <c r="V126" s="430"/>
    </row>
    <row r="127" spans="1:22" s="431" customFormat="1" x14ac:dyDescent="0.3">
      <c r="A127" s="449"/>
      <c r="B127" s="450" t="s">
        <v>195</v>
      </c>
      <c r="C127" s="450"/>
      <c r="D127" s="450"/>
      <c r="E127" s="450"/>
      <c r="F127" s="450"/>
      <c r="G127" s="450"/>
      <c r="H127" s="450"/>
      <c r="I127" s="450"/>
      <c r="J127" s="450"/>
      <c r="K127" s="450"/>
      <c r="L127" s="450"/>
      <c r="M127" s="450"/>
      <c r="N127" s="450"/>
      <c r="O127" s="450"/>
      <c r="P127" s="450"/>
      <c r="Q127" s="450"/>
      <c r="R127" s="514">
        <v>-957</v>
      </c>
      <c r="S127" s="514"/>
      <c r="T127" s="515"/>
      <c r="U127" s="452"/>
      <c r="V127" s="430"/>
    </row>
    <row r="128" spans="1:22" s="431" customFormat="1" x14ac:dyDescent="0.3">
      <c r="A128" s="449"/>
      <c r="B128" s="450" t="s">
        <v>40</v>
      </c>
      <c r="C128" s="450"/>
      <c r="D128" s="450"/>
      <c r="E128" s="450"/>
      <c r="F128" s="450"/>
      <c r="G128" s="450"/>
      <c r="H128" s="450"/>
      <c r="I128" s="450"/>
      <c r="J128" s="450"/>
      <c r="K128" s="450"/>
      <c r="L128" s="450"/>
      <c r="M128" s="450"/>
      <c r="N128" s="450"/>
      <c r="O128" s="450"/>
      <c r="P128" s="450"/>
      <c r="Q128" s="450"/>
      <c r="R128" s="514">
        <f>SUM(R119:R127)</f>
        <v>-7943</v>
      </c>
      <c r="S128" s="514"/>
      <c r="T128" s="514">
        <f>SUM(T100:T126)</f>
        <v>-2893</v>
      </c>
      <c r="U128" s="452"/>
      <c r="V128" s="430"/>
    </row>
    <row r="129" spans="1:23" s="431" customFormat="1" x14ac:dyDescent="0.3">
      <c r="A129" s="449"/>
      <c r="B129" s="450" t="s">
        <v>41</v>
      </c>
      <c r="C129" s="450"/>
      <c r="D129" s="450"/>
      <c r="E129" s="450"/>
      <c r="F129" s="450"/>
      <c r="G129" s="450"/>
      <c r="H129" s="450"/>
      <c r="I129" s="450"/>
      <c r="J129" s="450"/>
      <c r="K129" s="450"/>
      <c r="L129" s="450"/>
      <c r="M129" s="450"/>
      <c r="N129" s="450"/>
      <c r="O129" s="450"/>
      <c r="P129" s="450"/>
      <c r="Q129" s="450"/>
      <c r="R129" s="514">
        <f>R99+R128+R112</f>
        <v>0</v>
      </c>
      <c r="S129" s="514"/>
      <c r="T129" s="514">
        <f>T99+T128</f>
        <v>0</v>
      </c>
      <c r="U129" s="452"/>
      <c r="V129" s="430"/>
    </row>
    <row r="130" spans="1:23" s="431" customFormat="1" x14ac:dyDescent="0.3">
      <c r="A130" s="432"/>
      <c r="B130" s="447"/>
      <c r="C130" s="447"/>
      <c r="D130" s="447"/>
      <c r="E130" s="447"/>
      <c r="F130" s="447"/>
      <c r="G130" s="447"/>
      <c r="H130" s="447"/>
      <c r="I130" s="447"/>
      <c r="J130" s="447"/>
      <c r="K130" s="447"/>
      <c r="L130" s="447"/>
      <c r="M130" s="447"/>
      <c r="N130" s="447"/>
      <c r="O130" s="447"/>
      <c r="P130" s="447"/>
      <c r="Q130" s="447"/>
      <c r="R130" s="525"/>
      <c r="S130" s="525"/>
      <c r="T130" s="525"/>
      <c r="U130" s="641"/>
      <c r="V130" s="430"/>
    </row>
    <row r="131" spans="1:23" s="431" customFormat="1" x14ac:dyDescent="0.3">
      <c r="A131" s="432"/>
      <c r="B131" s="433"/>
      <c r="C131" s="433"/>
      <c r="D131" s="433"/>
      <c r="E131" s="433"/>
      <c r="F131" s="433"/>
      <c r="G131" s="433"/>
      <c r="H131" s="433"/>
      <c r="I131" s="433"/>
      <c r="J131" s="433"/>
      <c r="K131" s="433"/>
      <c r="L131" s="433"/>
      <c r="M131" s="433"/>
      <c r="N131" s="433"/>
      <c r="O131" s="433"/>
      <c r="P131" s="433"/>
      <c r="Q131" s="433"/>
      <c r="R131" s="433"/>
      <c r="S131" s="433"/>
      <c r="T131" s="537"/>
      <c r="U131" s="641"/>
      <c r="V131" s="430"/>
    </row>
    <row r="132" spans="1:23" s="431" customFormat="1" ht="18.600000000000001" thickBot="1" x14ac:dyDescent="0.4">
      <c r="A132" s="500"/>
      <c r="B132" s="501" t="str">
        <f>B63</f>
        <v>PM11 INVESTOR REPORT QUARTER ENDING JUNE 2019</v>
      </c>
      <c r="C132" s="502"/>
      <c r="D132" s="502"/>
      <c r="E132" s="502"/>
      <c r="F132" s="502"/>
      <c r="G132" s="502"/>
      <c r="H132" s="502"/>
      <c r="I132" s="502"/>
      <c r="J132" s="502"/>
      <c r="K132" s="502"/>
      <c r="L132" s="502"/>
      <c r="M132" s="502"/>
      <c r="N132" s="502"/>
      <c r="O132" s="502"/>
      <c r="P132" s="502"/>
      <c r="Q132" s="502"/>
      <c r="R132" s="502"/>
      <c r="S132" s="502"/>
      <c r="T132" s="538"/>
      <c r="U132" s="504"/>
      <c r="V132" s="430"/>
    </row>
    <row r="133" spans="1:23" x14ac:dyDescent="0.3">
      <c r="A133" s="505"/>
      <c r="B133" s="506" t="s">
        <v>42</v>
      </c>
      <c r="C133" s="507"/>
      <c r="D133" s="507"/>
      <c r="E133" s="507"/>
      <c r="F133" s="507"/>
      <c r="G133" s="507"/>
      <c r="H133" s="507"/>
      <c r="I133" s="507"/>
      <c r="J133" s="507"/>
      <c r="K133" s="507"/>
      <c r="L133" s="507"/>
      <c r="M133" s="507"/>
      <c r="N133" s="507"/>
      <c r="O133" s="507"/>
      <c r="P133" s="507"/>
      <c r="Q133" s="507"/>
      <c r="R133" s="507"/>
      <c r="S133" s="507"/>
      <c r="T133" s="508"/>
      <c r="U133" s="509"/>
      <c r="V133" s="416"/>
    </row>
    <row r="134" spans="1:23" x14ac:dyDescent="0.3">
      <c r="A134" s="418"/>
      <c r="B134" s="539"/>
      <c r="C134" s="420"/>
      <c r="D134" s="420"/>
      <c r="E134" s="420"/>
      <c r="F134" s="420"/>
      <c r="G134" s="420"/>
      <c r="H134" s="420"/>
      <c r="I134" s="420"/>
      <c r="J134" s="420"/>
      <c r="K134" s="420"/>
      <c r="L134" s="420"/>
      <c r="M134" s="420"/>
      <c r="N134" s="420"/>
      <c r="O134" s="420"/>
      <c r="P134" s="420"/>
      <c r="Q134" s="420"/>
      <c r="R134" s="420"/>
      <c r="S134" s="420"/>
      <c r="T134" s="510"/>
      <c r="U134" s="639"/>
      <c r="V134" s="416"/>
    </row>
    <row r="135" spans="1:23" x14ac:dyDescent="0.3">
      <c r="A135" s="418"/>
      <c r="B135" s="540" t="s">
        <v>43</v>
      </c>
      <c r="C135" s="420"/>
      <c r="D135" s="420"/>
      <c r="E135" s="420"/>
      <c r="F135" s="420"/>
      <c r="G135" s="420"/>
      <c r="H135" s="420"/>
      <c r="I135" s="420"/>
      <c r="J135" s="420"/>
      <c r="K135" s="420"/>
      <c r="L135" s="420"/>
      <c r="M135" s="420"/>
      <c r="N135" s="420"/>
      <c r="O135" s="420"/>
      <c r="P135" s="420"/>
      <c r="Q135" s="420"/>
      <c r="R135" s="420"/>
      <c r="S135" s="420"/>
      <c r="T135" s="510"/>
      <c r="U135" s="639"/>
      <c r="V135" s="416"/>
    </row>
    <row r="136" spans="1:23" s="431" customFormat="1" x14ac:dyDescent="0.3">
      <c r="A136" s="449"/>
      <c r="B136" s="450" t="s">
        <v>44</v>
      </c>
      <c r="C136" s="450"/>
      <c r="D136" s="450"/>
      <c r="E136" s="450"/>
      <c r="F136" s="450"/>
      <c r="G136" s="450"/>
      <c r="H136" s="450"/>
      <c r="I136" s="450"/>
      <c r="J136" s="450"/>
      <c r="K136" s="450"/>
      <c r="L136" s="450"/>
      <c r="M136" s="450"/>
      <c r="N136" s="450"/>
      <c r="O136" s="450"/>
      <c r="P136" s="450"/>
      <c r="Q136" s="450"/>
      <c r="R136" s="450"/>
      <c r="S136" s="450"/>
      <c r="T136" s="515">
        <f>+T34*0.019</f>
        <v>19000.95</v>
      </c>
      <c r="U136" s="452"/>
      <c r="V136" s="430"/>
    </row>
    <row r="137" spans="1:23" s="431" customFormat="1" x14ac:dyDescent="0.3">
      <c r="A137" s="449"/>
      <c r="B137" s="450" t="s">
        <v>45</v>
      </c>
      <c r="C137" s="450"/>
      <c r="D137" s="450"/>
      <c r="E137" s="450"/>
      <c r="F137" s="450"/>
      <c r="G137" s="450"/>
      <c r="H137" s="450"/>
      <c r="I137" s="450"/>
      <c r="J137" s="450"/>
      <c r="K137" s="450"/>
      <c r="L137" s="450"/>
      <c r="M137" s="450"/>
      <c r="N137" s="450"/>
      <c r="O137" s="450"/>
      <c r="P137" s="450"/>
      <c r="Q137" s="450"/>
      <c r="R137" s="450"/>
      <c r="S137" s="450"/>
      <c r="T137" s="515">
        <v>19001</v>
      </c>
      <c r="U137" s="452"/>
      <c r="V137" s="430"/>
    </row>
    <row r="138" spans="1:23" s="431" customFormat="1" x14ac:dyDescent="0.3">
      <c r="A138" s="449"/>
      <c r="B138" s="450" t="s">
        <v>142</v>
      </c>
      <c r="C138" s="450"/>
      <c r="D138" s="450"/>
      <c r="E138" s="450"/>
      <c r="F138" s="450"/>
      <c r="G138" s="450"/>
      <c r="H138" s="450"/>
      <c r="I138" s="450"/>
      <c r="J138" s="450"/>
      <c r="K138" s="450"/>
      <c r="L138" s="450"/>
      <c r="M138" s="450"/>
      <c r="N138" s="450"/>
      <c r="O138" s="450"/>
      <c r="P138" s="450"/>
      <c r="Q138" s="450"/>
      <c r="R138" s="450"/>
      <c r="S138" s="450"/>
      <c r="T138" s="515">
        <v>0</v>
      </c>
      <c r="U138" s="452"/>
      <c r="V138" s="430"/>
    </row>
    <row r="139" spans="1:23" s="431" customFormat="1" x14ac:dyDescent="0.3">
      <c r="A139" s="449"/>
      <c r="B139" s="450" t="s">
        <v>129</v>
      </c>
      <c r="C139" s="450"/>
      <c r="D139" s="450"/>
      <c r="E139" s="450"/>
      <c r="F139" s="450"/>
      <c r="G139" s="450"/>
      <c r="H139" s="450"/>
      <c r="I139" s="450"/>
      <c r="J139" s="450"/>
      <c r="K139" s="450"/>
      <c r="L139" s="450"/>
      <c r="M139" s="450"/>
      <c r="N139" s="450"/>
      <c r="O139" s="450"/>
      <c r="P139" s="450"/>
      <c r="Q139" s="450"/>
      <c r="R139" s="450"/>
      <c r="S139" s="450"/>
      <c r="T139" s="515">
        <v>0</v>
      </c>
      <c r="U139" s="452"/>
      <c r="V139" s="430"/>
    </row>
    <row r="140" spans="1:23" s="431" customFormat="1" x14ac:dyDescent="0.3">
      <c r="A140" s="449"/>
      <c r="B140" s="450" t="s">
        <v>130</v>
      </c>
      <c r="C140" s="450"/>
      <c r="D140" s="450"/>
      <c r="E140" s="450"/>
      <c r="F140" s="450"/>
      <c r="G140" s="450"/>
      <c r="H140" s="450"/>
      <c r="I140" s="450"/>
      <c r="J140" s="450"/>
      <c r="K140" s="450"/>
      <c r="L140" s="450"/>
      <c r="M140" s="450"/>
      <c r="N140" s="450"/>
      <c r="O140" s="450"/>
      <c r="P140" s="450"/>
      <c r="Q140" s="450"/>
      <c r="R140" s="450"/>
      <c r="S140" s="450"/>
      <c r="T140" s="515">
        <v>0</v>
      </c>
      <c r="U140" s="452"/>
      <c r="V140" s="430"/>
    </row>
    <row r="141" spans="1:23" s="431" customFormat="1" x14ac:dyDescent="0.3">
      <c r="A141" s="449"/>
      <c r="B141" s="450" t="s">
        <v>182</v>
      </c>
      <c r="C141" s="450"/>
      <c r="D141" s="450"/>
      <c r="E141" s="450"/>
      <c r="F141" s="450"/>
      <c r="G141" s="450"/>
      <c r="H141" s="450"/>
      <c r="I141" s="450"/>
      <c r="J141" s="450"/>
      <c r="K141" s="450"/>
      <c r="L141" s="450"/>
      <c r="M141" s="450"/>
      <c r="N141" s="450"/>
      <c r="O141" s="450"/>
      <c r="P141" s="450"/>
      <c r="Q141" s="450"/>
      <c r="R141" s="450"/>
      <c r="S141" s="450"/>
      <c r="T141" s="515">
        <v>0</v>
      </c>
      <c r="U141" s="452"/>
      <c r="V141" s="430"/>
    </row>
    <row r="142" spans="1:23" s="431" customFormat="1" x14ac:dyDescent="0.3">
      <c r="A142" s="449"/>
      <c r="B142" s="450" t="s">
        <v>46</v>
      </c>
      <c r="C142" s="450"/>
      <c r="D142" s="450"/>
      <c r="E142" s="450"/>
      <c r="F142" s="450"/>
      <c r="G142" s="450"/>
      <c r="H142" s="450"/>
      <c r="I142" s="450"/>
      <c r="J142" s="450"/>
      <c r="K142" s="450"/>
      <c r="L142" s="450"/>
      <c r="M142" s="450"/>
      <c r="N142" s="450"/>
      <c r="O142" s="450"/>
      <c r="P142" s="450"/>
      <c r="Q142" s="450"/>
      <c r="R142" s="450"/>
      <c r="S142" s="450"/>
      <c r="T142" s="515">
        <v>0</v>
      </c>
      <c r="U142" s="452"/>
      <c r="V142" s="430"/>
    </row>
    <row r="143" spans="1:23" s="431" customFormat="1" x14ac:dyDescent="0.3">
      <c r="A143" s="449"/>
      <c r="B143" s="450" t="s">
        <v>135</v>
      </c>
      <c r="C143" s="450"/>
      <c r="D143" s="450"/>
      <c r="E143" s="450"/>
      <c r="F143" s="450"/>
      <c r="G143" s="450"/>
      <c r="H143" s="450"/>
      <c r="I143" s="450"/>
      <c r="J143" s="450"/>
      <c r="K143" s="450"/>
      <c r="L143" s="450"/>
      <c r="M143" s="450"/>
      <c r="N143" s="450"/>
      <c r="O143" s="450"/>
      <c r="P143" s="450"/>
      <c r="Q143" s="450"/>
      <c r="R143" s="450"/>
      <c r="S143" s="450"/>
      <c r="T143" s="515">
        <v>0</v>
      </c>
      <c r="U143" s="452"/>
      <c r="V143" s="430"/>
    </row>
    <row r="144" spans="1:23" s="431" customFormat="1" x14ac:dyDescent="0.3">
      <c r="A144" s="449"/>
      <c r="B144" s="450" t="s">
        <v>251</v>
      </c>
      <c r="C144" s="450"/>
      <c r="D144" s="450"/>
      <c r="E144" s="450"/>
      <c r="F144" s="450"/>
      <c r="G144" s="450"/>
      <c r="H144" s="450"/>
      <c r="I144" s="450"/>
      <c r="J144" s="450"/>
      <c r="K144" s="450"/>
      <c r="L144" s="450"/>
      <c r="M144" s="450"/>
      <c r="N144" s="450"/>
      <c r="O144" s="450"/>
      <c r="P144" s="450"/>
      <c r="Q144" s="450"/>
      <c r="R144" s="450"/>
      <c r="S144" s="450"/>
      <c r="T144" s="515">
        <v>0</v>
      </c>
      <c r="U144" s="452"/>
      <c r="V144" s="430"/>
      <c r="W144" s="533"/>
    </row>
    <row r="145" spans="1:22" s="431" customFormat="1" x14ac:dyDescent="0.3">
      <c r="A145" s="449"/>
      <c r="B145" s="450" t="s">
        <v>47</v>
      </c>
      <c r="C145" s="450"/>
      <c r="D145" s="450"/>
      <c r="E145" s="450"/>
      <c r="F145" s="450"/>
      <c r="G145" s="450"/>
      <c r="H145" s="450"/>
      <c r="I145" s="450"/>
      <c r="J145" s="450"/>
      <c r="K145" s="450"/>
      <c r="L145" s="450"/>
      <c r="M145" s="450"/>
      <c r="N145" s="450"/>
      <c r="O145" s="450"/>
      <c r="P145" s="450"/>
      <c r="Q145" s="450"/>
      <c r="R145" s="450"/>
      <c r="S145" s="450"/>
      <c r="T145" s="515">
        <f>SUM(T137:T144)</f>
        <v>19001</v>
      </c>
      <c r="U145" s="452"/>
      <c r="V145" s="430"/>
    </row>
    <row r="146" spans="1:22" x14ac:dyDescent="0.3">
      <c r="A146" s="468"/>
      <c r="B146" s="470"/>
      <c r="C146" s="470"/>
      <c r="D146" s="470"/>
      <c r="E146" s="470"/>
      <c r="F146" s="470"/>
      <c r="G146" s="470"/>
      <c r="H146" s="470"/>
      <c r="I146" s="470"/>
      <c r="J146" s="470"/>
      <c r="K146" s="470"/>
      <c r="L146" s="470"/>
      <c r="M146" s="470"/>
      <c r="N146" s="470"/>
      <c r="O146" s="470"/>
      <c r="P146" s="470"/>
      <c r="Q146" s="470"/>
      <c r="R146" s="470"/>
      <c r="S146" s="470"/>
      <c r="T146" s="531"/>
      <c r="U146" s="476"/>
      <c r="V146" s="416"/>
    </row>
    <row r="147" spans="1:22" x14ac:dyDescent="0.3">
      <c r="A147" s="468"/>
      <c r="B147" s="529" t="s">
        <v>262</v>
      </c>
      <c r="C147" s="470"/>
      <c r="D147" s="470"/>
      <c r="E147" s="470"/>
      <c r="F147" s="470"/>
      <c r="G147" s="470"/>
      <c r="H147" s="470"/>
      <c r="I147" s="470"/>
      <c r="J147" s="470"/>
      <c r="K147" s="470"/>
      <c r="L147" s="470"/>
      <c r="M147" s="470"/>
      <c r="N147" s="470"/>
      <c r="O147" s="470"/>
      <c r="P147" s="470"/>
      <c r="Q147" s="470"/>
      <c r="R147" s="470"/>
      <c r="S147" s="470"/>
      <c r="T147" s="531"/>
      <c r="U147" s="476"/>
      <c r="V147" s="416"/>
    </row>
    <row r="148" spans="1:22" s="431" customFormat="1" x14ac:dyDescent="0.3">
      <c r="A148" s="449"/>
      <c r="B148" s="450" t="s">
        <v>263</v>
      </c>
      <c r="C148" s="450"/>
      <c r="D148" s="450"/>
      <c r="E148" s="450"/>
      <c r="F148" s="450"/>
      <c r="G148" s="450"/>
      <c r="H148" s="450"/>
      <c r="I148" s="450"/>
      <c r="J148" s="450"/>
      <c r="K148" s="450"/>
      <c r="L148" s="450"/>
      <c r="M148" s="450"/>
      <c r="N148" s="450"/>
      <c r="O148" s="450"/>
      <c r="P148" s="450"/>
      <c r="Q148" s="450"/>
      <c r="R148" s="450"/>
      <c r="S148" s="450"/>
      <c r="T148" s="515">
        <v>0</v>
      </c>
      <c r="U148" s="452"/>
      <c r="V148" s="430"/>
    </row>
    <row r="149" spans="1:22" s="431" customFormat="1" x14ac:dyDescent="0.3">
      <c r="A149" s="449"/>
      <c r="B149" s="450" t="s">
        <v>179</v>
      </c>
      <c r="C149" s="450"/>
      <c r="D149" s="450"/>
      <c r="E149" s="450"/>
      <c r="F149" s="450"/>
      <c r="G149" s="450"/>
      <c r="H149" s="450"/>
      <c r="I149" s="450"/>
      <c r="J149" s="450"/>
      <c r="K149" s="450"/>
      <c r="L149" s="450"/>
      <c r="M149" s="450"/>
      <c r="N149" s="450"/>
      <c r="O149" s="450"/>
      <c r="P149" s="450"/>
      <c r="Q149" s="450"/>
      <c r="R149" s="450"/>
      <c r="S149" s="450"/>
      <c r="T149" s="515">
        <v>0</v>
      </c>
      <c r="U149" s="452"/>
      <c r="V149" s="430"/>
    </row>
    <row r="150" spans="1:22" s="431" customFormat="1" x14ac:dyDescent="0.3">
      <c r="A150" s="449"/>
      <c r="B150" s="450" t="s">
        <v>264</v>
      </c>
      <c r="C150" s="450"/>
      <c r="D150" s="450"/>
      <c r="E150" s="450"/>
      <c r="F150" s="450"/>
      <c r="G150" s="450"/>
      <c r="H150" s="450"/>
      <c r="I150" s="450"/>
      <c r="J150" s="450"/>
      <c r="K150" s="450"/>
      <c r="L150" s="450"/>
      <c r="M150" s="450"/>
      <c r="N150" s="450"/>
      <c r="O150" s="450"/>
      <c r="P150" s="450"/>
      <c r="Q150" s="450"/>
      <c r="R150" s="450"/>
      <c r="S150" s="450"/>
      <c r="T150" s="515">
        <v>0</v>
      </c>
      <c r="U150" s="452"/>
      <c r="V150" s="430"/>
    </row>
    <row r="151" spans="1:22" x14ac:dyDescent="0.3">
      <c r="A151" s="468"/>
      <c r="B151" s="541"/>
      <c r="C151" s="541"/>
      <c r="D151" s="541"/>
      <c r="E151" s="541"/>
      <c r="F151" s="541"/>
      <c r="G151" s="541"/>
      <c r="H151" s="541"/>
      <c r="I151" s="541"/>
      <c r="J151" s="541"/>
      <c r="K151" s="541"/>
      <c r="L151" s="541"/>
      <c r="M151" s="541"/>
      <c r="N151" s="541"/>
      <c r="O151" s="541"/>
      <c r="P151" s="541"/>
      <c r="Q151" s="541"/>
      <c r="R151" s="541"/>
      <c r="S151" s="541"/>
      <c r="T151" s="542"/>
      <c r="U151" s="543"/>
      <c r="V151" s="416"/>
    </row>
    <row r="152" spans="1:22" x14ac:dyDescent="0.3">
      <c r="A152" s="418"/>
      <c r="B152" s="516"/>
      <c r="C152" s="516"/>
      <c r="D152" s="516"/>
      <c r="E152" s="516"/>
      <c r="F152" s="516"/>
      <c r="G152" s="516"/>
      <c r="H152" s="516"/>
      <c r="I152" s="516"/>
      <c r="J152" s="516"/>
      <c r="K152" s="516"/>
      <c r="L152" s="516"/>
      <c r="M152" s="516"/>
      <c r="N152" s="516"/>
      <c r="O152" s="516"/>
      <c r="P152" s="516"/>
      <c r="Q152" s="516"/>
      <c r="R152" s="516"/>
      <c r="S152" s="516"/>
      <c r="T152" s="544"/>
      <c r="U152" s="639"/>
      <c r="V152" s="416"/>
    </row>
    <row r="153" spans="1:22" x14ac:dyDescent="0.3">
      <c r="A153" s="418"/>
      <c r="B153" s="540" t="s">
        <v>24</v>
      </c>
      <c r="C153" s="420"/>
      <c r="D153" s="420"/>
      <c r="E153" s="420"/>
      <c r="F153" s="420"/>
      <c r="G153" s="420"/>
      <c r="H153" s="420"/>
      <c r="I153" s="420"/>
      <c r="J153" s="420"/>
      <c r="K153" s="420"/>
      <c r="L153" s="420"/>
      <c r="M153" s="420"/>
      <c r="N153" s="420"/>
      <c r="O153" s="420"/>
      <c r="P153" s="420"/>
      <c r="Q153" s="420"/>
      <c r="R153" s="420"/>
      <c r="S153" s="420"/>
      <c r="T153" s="510"/>
      <c r="U153" s="639"/>
      <c r="V153" s="416"/>
    </row>
    <row r="154" spans="1:22" s="431" customFormat="1" x14ac:dyDescent="0.3">
      <c r="A154" s="449"/>
      <c r="B154" s="450" t="s">
        <v>48</v>
      </c>
      <c r="C154" s="450"/>
      <c r="D154" s="450"/>
      <c r="E154" s="450"/>
      <c r="F154" s="450"/>
      <c r="G154" s="450"/>
      <c r="H154" s="450"/>
      <c r="I154" s="450"/>
      <c r="J154" s="450"/>
      <c r="K154" s="450"/>
      <c r="L154" s="450"/>
      <c r="M154" s="450"/>
      <c r="N154" s="450"/>
      <c r="O154" s="450"/>
      <c r="P154" s="450"/>
      <c r="Q154" s="450"/>
      <c r="R154" s="450"/>
      <c r="S154" s="450"/>
      <c r="T154" s="545" t="s">
        <v>124</v>
      </c>
      <c r="U154" s="452"/>
      <c r="V154" s="430"/>
    </row>
    <row r="155" spans="1:22" s="431" customFormat="1" x14ac:dyDescent="0.3">
      <c r="A155" s="449"/>
      <c r="B155" s="450" t="s">
        <v>49</v>
      </c>
      <c r="C155" s="450"/>
      <c r="D155" s="450"/>
      <c r="E155" s="450"/>
      <c r="F155" s="450"/>
      <c r="G155" s="450"/>
      <c r="H155" s="450"/>
      <c r="I155" s="450"/>
      <c r="J155" s="450"/>
      <c r="K155" s="450"/>
      <c r="L155" s="450"/>
      <c r="M155" s="450"/>
      <c r="N155" s="450"/>
      <c r="O155" s="450"/>
      <c r="P155" s="450"/>
      <c r="Q155" s="450"/>
      <c r="R155" s="450"/>
      <c r="S155" s="450"/>
      <c r="T155" s="545" t="s">
        <v>124</v>
      </c>
      <c r="U155" s="452"/>
      <c r="V155" s="430"/>
    </row>
    <row r="156" spans="1:22" s="431" customFormat="1" x14ac:dyDescent="0.3">
      <c r="A156" s="449"/>
      <c r="B156" s="450" t="s">
        <v>50</v>
      </c>
      <c r="C156" s="450"/>
      <c r="D156" s="450"/>
      <c r="E156" s="450"/>
      <c r="F156" s="450"/>
      <c r="G156" s="450"/>
      <c r="H156" s="450"/>
      <c r="I156" s="450"/>
      <c r="J156" s="450"/>
      <c r="K156" s="450"/>
      <c r="L156" s="450"/>
      <c r="M156" s="450"/>
      <c r="N156" s="450"/>
      <c r="O156" s="450"/>
      <c r="P156" s="450"/>
      <c r="Q156" s="450"/>
      <c r="R156" s="450"/>
      <c r="S156" s="450"/>
      <c r="T156" s="545" t="s">
        <v>124</v>
      </c>
      <c r="U156" s="452"/>
      <c r="V156" s="430"/>
    </row>
    <row r="157" spans="1:22" s="431" customFormat="1" x14ac:dyDescent="0.3">
      <c r="A157" s="449"/>
      <c r="B157" s="450" t="s">
        <v>51</v>
      </c>
      <c r="C157" s="450"/>
      <c r="D157" s="450"/>
      <c r="E157" s="450"/>
      <c r="F157" s="450"/>
      <c r="G157" s="450"/>
      <c r="H157" s="450"/>
      <c r="I157" s="450"/>
      <c r="J157" s="450"/>
      <c r="K157" s="450"/>
      <c r="L157" s="450"/>
      <c r="M157" s="450"/>
      <c r="N157" s="450"/>
      <c r="O157" s="450"/>
      <c r="P157" s="450"/>
      <c r="Q157" s="450"/>
      <c r="R157" s="450"/>
      <c r="S157" s="450"/>
      <c r="T157" s="545" t="s">
        <v>124</v>
      </c>
      <c r="U157" s="452"/>
      <c r="V157" s="430"/>
    </row>
    <row r="158" spans="1:22" x14ac:dyDescent="0.3">
      <c r="A158" s="418"/>
      <c r="B158" s="516"/>
      <c r="C158" s="516"/>
      <c r="D158" s="516"/>
      <c r="E158" s="516"/>
      <c r="F158" s="516"/>
      <c r="G158" s="516"/>
      <c r="H158" s="516"/>
      <c r="I158" s="516"/>
      <c r="J158" s="516"/>
      <c r="K158" s="516"/>
      <c r="L158" s="516"/>
      <c r="M158" s="516"/>
      <c r="N158" s="516"/>
      <c r="O158" s="516"/>
      <c r="P158" s="516"/>
      <c r="Q158" s="516"/>
      <c r="R158" s="516"/>
      <c r="S158" s="516"/>
      <c r="T158" s="544"/>
      <c r="U158" s="639"/>
      <c r="V158" s="416"/>
    </row>
    <row r="159" spans="1:22" x14ac:dyDescent="0.3">
      <c r="A159" s="418"/>
      <c r="B159" s="540" t="s">
        <v>52</v>
      </c>
      <c r="C159" s="420"/>
      <c r="D159" s="420"/>
      <c r="E159" s="420"/>
      <c r="F159" s="420"/>
      <c r="G159" s="420"/>
      <c r="H159" s="420"/>
      <c r="I159" s="420"/>
      <c r="J159" s="420"/>
      <c r="K159" s="420"/>
      <c r="L159" s="420"/>
      <c r="M159" s="420"/>
      <c r="N159" s="420"/>
      <c r="O159" s="420"/>
      <c r="P159" s="420"/>
      <c r="Q159" s="420"/>
      <c r="R159" s="420"/>
      <c r="S159" s="420"/>
      <c r="T159" s="546"/>
      <c r="U159" s="639"/>
      <c r="V159" s="416"/>
    </row>
    <row r="160" spans="1:22" s="431" customFormat="1" x14ac:dyDescent="0.3">
      <c r="A160" s="449"/>
      <c r="B160" s="450" t="s">
        <v>53</v>
      </c>
      <c r="C160" s="450"/>
      <c r="D160" s="450"/>
      <c r="E160" s="450"/>
      <c r="F160" s="450"/>
      <c r="G160" s="450"/>
      <c r="H160" s="450"/>
      <c r="I160" s="450"/>
      <c r="J160" s="450"/>
      <c r="K160" s="450"/>
      <c r="L160" s="450"/>
      <c r="M160" s="450"/>
      <c r="N160" s="450"/>
      <c r="O160" s="450"/>
      <c r="P160" s="450"/>
      <c r="Q160" s="450"/>
      <c r="R160" s="450"/>
      <c r="S160" s="450"/>
      <c r="T160" s="515">
        <v>0</v>
      </c>
      <c r="U160" s="452"/>
      <c r="V160" s="430"/>
    </row>
    <row r="161" spans="1:22" s="431" customFormat="1" x14ac:dyDescent="0.3">
      <c r="A161" s="449"/>
      <c r="B161" s="450" t="s">
        <v>54</v>
      </c>
      <c r="C161" s="450"/>
      <c r="D161" s="450"/>
      <c r="E161" s="450"/>
      <c r="F161" s="450"/>
      <c r="G161" s="450"/>
      <c r="H161" s="450"/>
      <c r="I161" s="450"/>
      <c r="J161" s="450"/>
      <c r="K161" s="450"/>
      <c r="L161" s="450"/>
      <c r="M161" s="450"/>
      <c r="N161" s="450"/>
      <c r="O161" s="450"/>
      <c r="P161" s="450"/>
      <c r="Q161" s="450"/>
      <c r="R161" s="450"/>
      <c r="S161" s="450"/>
      <c r="T161" s="515">
        <f>R112</f>
        <v>351</v>
      </c>
      <c r="U161" s="452"/>
      <c r="V161" s="430"/>
    </row>
    <row r="162" spans="1:22" s="431" customFormat="1" x14ac:dyDescent="0.3">
      <c r="A162" s="449"/>
      <c r="B162" s="450" t="s">
        <v>55</v>
      </c>
      <c r="C162" s="450"/>
      <c r="D162" s="450"/>
      <c r="E162" s="450"/>
      <c r="F162" s="450"/>
      <c r="G162" s="450"/>
      <c r="H162" s="450"/>
      <c r="I162" s="450"/>
      <c r="J162" s="450"/>
      <c r="K162" s="450"/>
      <c r="L162" s="450"/>
      <c r="M162" s="450"/>
      <c r="N162" s="450"/>
      <c r="O162" s="450"/>
      <c r="P162" s="450"/>
      <c r="Q162" s="450"/>
      <c r="R162" s="450"/>
      <c r="S162" s="450"/>
      <c r="T162" s="515">
        <f>T161+T160</f>
        <v>351</v>
      </c>
      <c r="U162" s="452"/>
      <c r="V162" s="430"/>
    </row>
    <row r="163" spans="1:22" s="431" customFormat="1" x14ac:dyDescent="0.3">
      <c r="A163" s="449"/>
      <c r="B163" s="450" t="s">
        <v>301</v>
      </c>
      <c r="C163" s="450"/>
      <c r="D163" s="450"/>
      <c r="E163" s="450"/>
      <c r="F163" s="450"/>
      <c r="G163" s="450"/>
      <c r="H163" s="450"/>
      <c r="I163" s="450"/>
      <c r="J163" s="450"/>
      <c r="K163" s="450"/>
      <c r="L163" s="450"/>
      <c r="M163" s="450"/>
      <c r="N163" s="450"/>
      <c r="O163" s="450"/>
      <c r="P163" s="450"/>
      <c r="Q163" s="450"/>
      <c r="R163" s="450"/>
      <c r="S163" s="450"/>
      <c r="T163" s="515">
        <f>T112</f>
        <v>-351</v>
      </c>
      <c r="U163" s="452"/>
      <c r="V163" s="430"/>
    </row>
    <row r="164" spans="1:22" s="431" customFormat="1" x14ac:dyDescent="0.3">
      <c r="A164" s="449"/>
      <c r="B164" s="450" t="s">
        <v>56</v>
      </c>
      <c r="C164" s="450"/>
      <c r="D164" s="450"/>
      <c r="E164" s="450"/>
      <c r="F164" s="450"/>
      <c r="G164" s="450"/>
      <c r="H164" s="450"/>
      <c r="I164" s="450"/>
      <c r="J164" s="450"/>
      <c r="K164" s="450"/>
      <c r="L164" s="450"/>
      <c r="M164" s="450"/>
      <c r="N164" s="450"/>
      <c r="O164" s="450"/>
      <c r="P164" s="450"/>
      <c r="Q164" s="450"/>
      <c r="R164" s="450"/>
      <c r="S164" s="450"/>
      <c r="T164" s="515">
        <f>T162+T163</f>
        <v>0</v>
      </c>
      <c r="U164" s="452"/>
      <c r="V164" s="430"/>
    </row>
    <row r="165" spans="1:22" s="431" customFormat="1" x14ac:dyDescent="0.3">
      <c r="A165" s="449"/>
      <c r="B165" s="450" t="s">
        <v>273</v>
      </c>
      <c r="C165" s="450"/>
      <c r="D165" s="450"/>
      <c r="E165" s="450"/>
      <c r="F165" s="450"/>
      <c r="G165" s="450"/>
      <c r="H165" s="450"/>
      <c r="I165" s="450"/>
      <c r="J165" s="450"/>
      <c r="K165" s="450"/>
      <c r="L165" s="450"/>
      <c r="M165" s="450"/>
      <c r="N165" s="450"/>
      <c r="O165" s="450"/>
      <c r="P165" s="450"/>
      <c r="Q165" s="450"/>
      <c r="R165" s="450"/>
      <c r="S165" s="450"/>
      <c r="T165" s="515">
        <v>0</v>
      </c>
      <c r="U165" s="452"/>
      <c r="V165" s="430"/>
    </row>
    <row r="166" spans="1:22" ht="16.2" thickBot="1" x14ac:dyDescent="0.35">
      <c r="A166" s="418"/>
      <c r="B166" s="516"/>
      <c r="C166" s="516"/>
      <c r="D166" s="516"/>
      <c r="E166" s="516"/>
      <c r="F166" s="516"/>
      <c r="G166" s="516"/>
      <c r="H166" s="516"/>
      <c r="I166" s="516"/>
      <c r="J166" s="516"/>
      <c r="K166" s="516"/>
      <c r="L166" s="516"/>
      <c r="M166" s="516"/>
      <c r="N166" s="516"/>
      <c r="O166" s="516"/>
      <c r="P166" s="516"/>
      <c r="Q166" s="516"/>
      <c r="R166" s="516"/>
      <c r="S166" s="516"/>
      <c r="T166" s="544"/>
      <c r="U166" s="639"/>
      <c r="V166" s="416"/>
    </row>
    <row r="167" spans="1:22" x14ac:dyDescent="0.3">
      <c r="A167" s="547"/>
      <c r="B167" s="415"/>
      <c r="C167" s="415"/>
      <c r="D167" s="415"/>
      <c r="E167" s="415"/>
      <c r="F167" s="415"/>
      <c r="G167" s="415"/>
      <c r="H167" s="415"/>
      <c r="I167" s="415"/>
      <c r="J167" s="415"/>
      <c r="K167" s="415"/>
      <c r="L167" s="415"/>
      <c r="M167" s="415"/>
      <c r="N167" s="415"/>
      <c r="O167" s="415"/>
      <c r="P167" s="415"/>
      <c r="Q167" s="415"/>
      <c r="R167" s="415"/>
      <c r="S167" s="415"/>
      <c r="T167" s="548"/>
      <c r="U167" s="638"/>
      <c r="V167" s="416"/>
    </row>
    <row r="168" spans="1:22" x14ac:dyDescent="0.3">
      <c r="A168" s="418"/>
      <c r="B168" s="540" t="s">
        <v>57</v>
      </c>
      <c r="C168" s="420"/>
      <c r="D168" s="420"/>
      <c r="E168" s="420"/>
      <c r="F168" s="420"/>
      <c r="G168" s="420"/>
      <c r="H168" s="420"/>
      <c r="I168" s="420"/>
      <c r="J168" s="420"/>
      <c r="K168" s="420"/>
      <c r="L168" s="420"/>
      <c r="M168" s="420"/>
      <c r="N168" s="420"/>
      <c r="O168" s="420"/>
      <c r="P168" s="420"/>
      <c r="Q168" s="420"/>
      <c r="R168" s="420"/>
      <c r="S168" s="420"/>
      <c r="T168" s="510"/>
      <c r="U168" s="639"/>
      <c r="V168" s="416"/>
    </row>
    <row r="169" spans="1:22" x14ac:dyDescent="0.3">
      <c r="A169" s="418"/>
      <c r="B169" s="540"/>
      <c r="C169" s="420"/>
      <c r="D169" s="420"/>
      <c r="E169" s="420"/>
      <c r="F169" s="420"/>
      <c r="G169" s="420"/>
      <c r="H169" s="420"/>
      <c r="I169" s="420"/>
      <c r="J169" s="420"/>
      <c r="K169" s="420"/>
      <c r="L169" s="420"/>
      <c r="M169" s="420"/>
      <c r="N169" s="420"/>
      <c r="O169" s="420"/>
      <c r="P169" s="420"/>
      <c r="Q169" s="420"/>
      <c r="R169" s="420"/>
      <c r="S169" s="420"/>
      <c r="T169" s="510"/>
      <c r="U169" s="639"/>
      <c r="V169" s="416"/>
    </row>
    <row r="170" spans="1:22" s="431" customFormat="1" x14ac:dyDescent="0.3">
      <c r="A170" s="449"/>
      <c r="B170" s="450" t="s">
        <v>58</v>
      </c>
      <c r="C170" s="450"/>
      <c r="D170" s="450"/>
      <c r="E170" s="450"/>
      <c r="F170" s="450"/>
      <c r="G170" s="450"/>
      <c r="H170" s="450"/>
      <c r="I170" s="450"/>
      <c r="J170" s="450"/>
      <c r="K170" s="450"/>
      <c r="L170" s="450"/>
      <c r="M170" s="450"/>
      <c r="N170" s="450"/>
      <c r="O170" s="450"/>
      <c r="P170" s="450"/>
      <c r="Q170" s="450"/>
      <c r="R170" s="450"/>
      <c r="S170" s="450"/>
      <c r="T170" s="515">
        <f>T70</f>
        <v>372270</v>
      </c>
      <c r="U170" s="452"/>
      <c r="V170" s="430"/>
    </row>
    <row r="171" spans="1:22" s="431" customFormat="1" x14ac:dyDescent="0.3">
      <c r="A171" s="449"/>
      <c r="B171" s="450" t="s">
        <v>59</v>
      </c>
      <c r="C171" s="450"/>
      <c r="D171" s="450"/>
      <c r="E171" s="450"/>
      <c r="F171" s="450"/>
      <c r="G171" s="450"/>
      <c r="H171" s="450"/>
      <c r="I171" s="450"/>
      <c r="J171" s="450"/>
      <c r="K171" s="450"/>
      <c r="L171" s="450"/>
      <c r="M171" s="450"/>
      <c r="N171" s="450"/>
      <c r="O171" s="450"/>
      <c r="P171" s="450"/>
      <c r="Q171" s="450"/>
      <c r="R171" s="450"/>
      <c r="S171" s="450"/>
      <c r="T171" s="515">
        <f>T83</f>
        <v>372270</v>
      </c>
      <c r="U171" s="452"/>
      <c r="V171" s="430"/>
    </row>
    <row r="172" spans="1:22" ht="16.2" thickBot="1" x14ac:dyDescent="0.35">
      <c r="A172" s="418"/>
      <c r="B172" s="516"/>
      <c r="C172" s="516"/>
      <c r="D172" s="516"/>
      <c r="E172" s="516"/>
      <c r="F172" s="516"/>
      <c r="G172" s="516"/>
      <c r="H172" s="516"/>
      <c r="I172" s="516"/>
      <c r="J172" s="516"/>
      <c r="K172" s="516"/>
      <c r="L172" s="516"/>
      <c r="M172" s="516"/>
      <c r="N172" s="516"/>
      <c r="O172" s="516"/>
      <c r="P172" s="516"/>
      <c r="Q172" s="516"/>
      <c r="R172" s="516"/>
      <c r="S172" s="516"/>
      <c r="T172" s="544"/>
      <c r="U172" s="639"/>
      <c r="V172" s="416"/>
    </row>
    <row r="173" spans="1:22" x14ac:dyDescent="0.3">
      <c r="A173" s="547"/>
      <c r="B173" s="415"/>
      <c r="C173" s="415"/>
      <c r="D173" s="415"/>
      <c r="E173" s="415"/>
      <c r="F173" s="415"/>
      <c r="G173" s="415"/>
      <c r="H173" s="415"/>
      <c r="I173" s="415"/>
      <c r="J173" s="415"/>
      <c r="K173" s="415"/>
      <c r="L173" s="415"/>
      <c r="M173" s="415"/>
      <c r="N173" s="415"/>
      <c r="O173" s="415"/>
      <c r="P173" s="415"/>
      <c r="Q173" s="415"/>
      <c r="R173" s="415"/>
      <c r="S173" s="415"/>
      <c r="T173" s="548"/>
      <c r="U173" s="638"/>
      <c r="V173" s="416"/>
    </row>
    <row r="174" spans="1:22" x14ac:dyDescent="0.3">
      <c r="A174" s="418"/>
      <c r="B174" s="540" t="s">
        <v>60</v>
      </c>
      <c r="C174" s="549"/>
      <c r="D174" s="549"/>
      <c r="E174" s="549"/>
      <c r="F174" s="549"/>
      <c r="G174" s="549"/>
      <c r="H174" s="550"/>
      <c r="I174" s="550"/>
      <c r="J174" s="550"/>
      <c r="K174" s="550"/>
      <c r="L174" s="550"/>
      <c r="M174" s="550"/>
      <c r="N174" s="550"/>
      <c r="O174" s="550"/>
      <c r="P174" s="550"/>
      <c r="Q174" s="550" t="s">
        <v>104</v>
      </c>
      <c r="R174" s="550" t="s">
        <v>183</v>
      </c>
      <c r="S174" s="422"/>
      <c r="T174" s="551" t="s">
        <v>120</v>
      </c>
      <c r="U174" s="643"/>
      <c r="V174" s="416"/>
    </row>
    <row r="175" spans="1:22" s="431" customFormat="1" x14ac:dyDescent="0.3">
      <c r="A175" s="449"/>
      <c r="B175" s="450" t="s">
        <v>61</v>
      </c>
      <c r="C175" s="450"/>
      <c r="D175" s="450"/>
      <c r="E175" s="450"/>
      <c r="F175" s="450"/>
      <c r="G175" s="450"/>
      <c r="H175" s="450"/>
      <c r="I175" s="450"/>
      <c r="J175" s="450"/>
      <c r="K175" s="450"/>
      <c r="L175" s="450"/>
      <c r="M175" s="450"/>
      <c r="N175" s="450"/>
      <c r="O175" s="450"/>
      <c r="P175" s="450"/>
      <c r="Q175" s="515">
        <v>160008</v>
      </c>
      <c r="R175" s="486"/>
      <c r="S175" s="450"/>
      <c r="T175" s="515"/>
      <c r="U175" s="452"/>
      <c r="V175" s="430"/>
    </row>
    <row r="176" spans="1:22" s="431" customFormat="1" x14ac:dyDescent="0.3">
      <c r="A176" s="449"/>
      <c r="B176" s="450" t="s">
        <v>62</v>
      </c>
      <c r="C176" s="450"/>
      <c r="D176" s="450"/>
      <c r="E176" s="450"/>
      <c r="F176" s="450"/>
      <c r="G176" s="450"/>
      <c r="H176" s="450"/>
      <c r="I176" s="450"/>
      <c r="J176" s="450"/>
      <c r="K176" s="450"/>
      <c r="L176" s="450"/>
      <c r="M176" s="450"/>
      <c r="N176" s="450"/>
      <c r="O176" s="450"/>
      <c r="P176" s="450"/>
      <c r="Q176" s="515">
        <f>+'March 19'!Q178</f>
        <v>41034</v>
      </c>
      <c r="R176" s="515">
        <f>+'March 19'!R178</f>
        <v>3452</v>
      </c>
      <c r="S176" s="450"/>
      <c r="T176" s="515">
        <f>Q176+R176</f>
        <v>44486</v>
      </c>
      <c r="U176" s="452"/>
      <c r="V176" s="430"/>
    </row>
    <row r="177" spans="1:22" s="431" customFormat="1" x14ac:dyDescent="0.3">
      <c r="A177" s="449"/>
      <c r="B177" s="450" t="s">
        <v>63</v>
      </c>
      <c r="C177" s="450"/>
      <c r="D177" s="450"/>
      <c r="E177" s="450"/>
      <c r="F177" s="450"/>
      <c r="G177" s="450"/>
      <c r="H177" s="450"/>
      <c r="I177" s="450"/>
      <c r="J177" s="450"/>
      <c r="K177" s="450"/>
      <c r="L177" s="450"/>
      <c r="M177" s="450"/>
      <c r="N177" s="450"/>
      <c r="O177" s="450"/>
      <c r="P177" s="450"/>
      <c r="Q177" s="514">
        <v>0</v>
      </c>
      <c r="R177" s="514">
        <v>0</v>
      </c>
      <c r="S177" s="450"/>
      <c r="T177" s="515">
        <f>Q177+R177</f>
        <v>0</v>
      </c>
      <c r="U177" s="452"/>
      <c r="V177" s="430"/>
    </row>
    <row r="178" spans="1:22" s="431" customFormat="1" x14ac:dyDescent="0.3">
      <c r="A178" s="449"/>
      <c r="B178" s="450" t="s">
        <v>64</v>
      </c>
      <c r="C178" s="450"/>
      <c r="D178" s="450"/>
      <c r="E178" s="450"/>
      <c r="F178" s="450"/>
      <c r="G178" s="450"/>
      <c r="H178" s="450"/>
      <c r="I178" s="450"/>
      <c r="J178" s="450"/>
      <c r="K178" s="450"/>
      <c r="L178" s="450"/>
      <c r="M178" s="450"/>
      <c r="N178" s="450"/>
      <c r="O178" s="450"/>
      <c r="P178" s="450"/>
      <c r="Q178" s="515">
        <f>Q176+Q177</f>
        <v>41034</v>
      </c>
      <c r="R178" s="515">
        <f>R177+R176</f>
        <v>3452</v>
      </c>
      <c r="S178" s="450"/>
      <c r="T178" s="515">
        <f>Q178+R178</f>
        <v>44486</v>
      </c>
      <c r="U178" s="452"/>
      <c r="V178" s="430"/>
    </row>
    <row r="179" spans="1:22" s="431" customFormat="1" x14ac:dyDescent="0.3">
      <c r="A179" s="449"/>
      <c r="B179" s="450" t="s">
        <v>65</v>
      </c>
      <c r="C179" s="450"/>
      <c r="D179" s="450"/>
      <c r="E179" s="450"/>
      <c r="F179" s="450"/>
      <c r="G179" s="450"/>
      <c r="H179" s="450"/>
      <c r="I179" s="450"/>
      <c r="J179" s="450"/>
      <c r="K179" s="450"/>
      <c r="L179" s="450"/>
      <c r="M179" s="450"/>
      <c r="N179" s="450"/>
      <c r="O179" s="450"/>
      <c r="P179" s="450"/>
      <c r="Q179" s="515">
        <f>Q175-Q178-R178</f>
        <v>115522</v>
      </c>
      <c r="R179" s="486"/>
      <c r="S179" s="450"/>
      <c r="T179" s="515"/>
      <c r="U179" s="452"/>
      <c r="V179" s="430"/>
    </row>
    <row r="180" spans="1:22" ht="16.2" thickBot="1" x14ac:dyDescent="0.35">
      <c r="A180" s="418"/>
      <c r="B180" s="516"/>
      <c r="C180" s="516"/>
      <c r="D180" s="516"/>
      <c r="E180" s="516"/>
      <c r="F180" s="516"/>
      <c r="G180" s="516"/>
      <c r="H180" s="516"/>
      <c r="I180" s="516"/>
      <c r="J180" s="516"/>
      <c r="K180" s="516"/>
      <c r="L180" s="516"/>
      <c r="M180" s="516"/>
      <c r="N180" s="516"/>
      <c r="O180" s="516"/>
      <c r="P180" s="516"/>
      <c r="Q180" s="516"/>
      <c r="R180" s="516"/>
      <c r="S180" s="516"/>
      <c r="T180" s="544"/>
      <c r="U180" s="639"/>
      <c r="V180" s="416"/>
    </row>
    <row r="181" spans="1:22" x14ac:dyDescent="0.3">
      <c r="A181" s="547"/>
      <c r="B181" s="415"/>
      <c r="C181" s="415"/>
      <c r="D181" s="415"/>
      <c r="E181" s="415"/>
      <c r="F181" s="415"/>
      <c r="G181" s="415"/>
      <c r="H181" s="415"/>
      <c r="I181" s="415"/>
      <c r="J181" s="415"/>
      <c r="K181" s="415"/>
      <c r="L181" s="415"/>
      <c r="M181" s="415"/>
      <c r="N181" s="415"/>
      <c r="O181" s="415"/>
      <c r="P181" s="415"/>
      <c r="Q181" s="415"/>
      <c r="R181" s="415"/>
      <c r="S181" s="415"/>
      <c r="T181" s="548"/>
      <c r="U181" s="638"/>
      <c r="V181" s="416"/>
    </row>
    <row r="182" spans="1:22" x14ac:dyDescent="0.3">
      <c r="A182" s="418"/>
      <c r="B182" s="540" t="s">
        <v>66</v>
      </c>
      <c r="C182" s="420"/>
      <c r="D182" s="420"/>
      <c r="E182" s="420"/>
      <c r="F182" s="420"/>
      <c r="G182" s="420"/>
      <c r="H182" s="420"/>
      <c r="I182" s="420"/>
      <c r="J182" s="420"/>
      <c r="K182" s="420"/>
      <c r="L182" s="420"/>
      <c r="M182" s="420"/>
      <c r="N182" s="420"/>
      <c r="O182" s="420"/>
      <c r="P182" s="420"/>
      <c r="Q182" s="420"/>
      <c r="R182" s="420"/>
      <c r="S182" s="420"/>
      <c r="T182" s="552"/>
      <c r="U182" s="639"/>
      <c r="V182" s="416"/>
    </row>
    <row r="183" spans="1:22" s="431" customFormat="1" x14ac:dyDescent="0.3">
      <c r="A183" s="449"/>
      <c r="B183" s="450" t="s">
        <v>67</v>
      </c>
      <c r="C183" s="450"/>
      <c r="D183" s="450"/>
      <c r="E183" s="450"/>
      <c r="F183" s="450"/>
      <c r="G183" s="450"/>
      <c r="H183" s="450"/>
      <c r="I183" s="450"/>
      <c r="J183" s="450"/>
      <c r="K183" s="450"/>
      <c r="L183" s="450"/>
      <c r="M183" s="450"/>
      <c r="N183" s="450"/>
      <c r="O183" s="450"/>
      <c r="P183" s="450"/>
      <c r="Q183" s="450"/>
      <c r="R183" s="450"/>
      <c r="S183" s="450"/>
      <c r="T183" s="545">
        <f>(T99+T101+T102+T103+T104)/-(T105+T106)</f>
        <v>4.0029673590504453</v>
      </c>
      <c r="U183" s="452" t="s">
        <v>121</v>
      </c>
      <c r="V183" s="430"/>
    </row>
    <row r="184" spans="1:22" s="431" customFormat="1" x14ac:dyDescent="0.3">
      <c r="A184" s="449"/>
      <c r="B184" s="450" t="s">
        <v>68</v>
      </c>
      <c r="C184" s="450"/>
      <c r="D184" s="450"/>
      <c r="E184" s="450"/>
      <c r="F184" s="450"/>
      <c r="G184" s="450"/>
      <c r="H184" s="450"/>
      <c r="I184" s="450"/>
      <c r="J184" s="450"/>
      <c r="K184" s="450"/>
      <c r="L184" s="450"/>
      <c r="M184" s="450"/>
      <c r="N184" s="450"/>
      <c r="O184" s="450"/>
      <c r="P184" s="450"/>
      <c r="Q184" s="450"/>
      <c r="R184" s="450"/>
      <c r="S184" s="450"/>
      <c r="T184" s="553">
        <v>1.97</v>
      </c>
      <c r="U184" s="452" t="s">
        <v>121</v>
      </c>
      <c r="V184" s="430"/>
    </row>
    <row r="185" spans="1:22" s="431" customFormat="1" x14ac:dyDescent="0.3">
      <c r="A185" s="449"/>
      <c r="B185" s="450" t="s">
        <v>69</v>
      </c>
      <c r="C185" s="450"/>
      <c r="D185" s="450"/>
      <c r="E185" s="450"/>
      <c r="F185" s="450"/>
      <c r="G185" s="450"/>
      <c r="H185" s="450"/>
      <c r="I185" s="450"/>
      <c r="J185" s="450"/>
      <c r="K185" s="450"/>
      <c r="L185" s="450"/>
      <c r="M185" s="450"/>
      <c r="N185" s="450"/>
      <c r="O185" s="450"/>
      <c r="P185" s="450"/>
      <c r="Q185" s="450"/>
      <c r="R185" s="450"/>
      <c r="S185" s="450"/>
      <c r="T185" s="545">
        <f>(T99+T101+T102+T103+T104+T105+T106)/-(T107+T108)</f>
        <v>11.060109289617486</v>
      </c>
      <c r="U185" s="452" t="s">
        <v>121</v>
      </c>
      <c r="V185" s="430"/>
    </row>
    <row r="186" spans="1:22" s="431" customFormat="1" x14ac:dyDescent="0.3">
      <c r="A186" s="449"/>
      <c r="B186" s="450" t="s">
        <v>70</v>
      </c>
      <c r="C186" s="450"/>
      <c r="D186" s="450"/>
      <c r="E186" s="450"/>
      <c r="F186" s="450"/>
      <c r="G186" s="450"/>
      <c r="H186" s="450"/>
      <c r="I186" s="450"/>
      <c r="J186" s="450"/>
      <c r="K186" s="450"/>
      <c r="L186" s="450"/>
      <c r="M186" s="450"/>
      <c r="N186" s="450"/>
      <c r="O186" s="450"/>
      <c r="P186" s="450"/>
      <c r="Q186" s="450"/>
      <c r="R186" s="450"/>
      <c r="S186" s="450"/>
      <c r="T186" s="553">
        <v>7.22</v>
      </c>
      <c r="U186" s="452" t="s">
        <v>121</v>
      </c>
      <c r="V186" s="430"/>
    </row>
    <row r="187" spans="1:22" s="431" customFormat="1" x14ac:dyDescent="0.3">
      <c r="A187" s="449"/>
      <c r="B187" s="450" t="s">
        <v>206</v>
      </c>
      <c r="C187" s="450"/>
      <c r="D187" s="450"/>
      <c r="E187" s="450"/>
      <c r="F187" s="450"/>
      <c r="G187" s="450"/>
      <c r="H187" s="450"/>
      <c r="I187" s="450"/>
      <c r="J187" s="450"/>
      <c r="K187" s="450"/>
      <c r="L187" s="450"/>
      <c r="M187" s="450"/>
      <c r="N187" s="450"/>
      <c r="O187" s="450"/>
      <c r="P187" s="450"/>
      <c r="Q187" s="450"/>
      <c r="R187" s="450"/>
      <c r="S187" s="450"/>
      <c r="T187" s="545">
        <f>(T99+T101+T102+T103+T104+T105+T106+T107+T108)/-(T109)</f>
        <v>8.9368932038834945</v>
      </c>
      <c r="U187" s="452" t="s">
        <v>121</v>
      </c>
      <c r="V187" s="430"/>
    </row>
    <row r="188" spans="1:22" s="431" customFormat="1" x14ac:dyDescent="0.3">
      <c r="A188" s="449"/>
      <c r="B188" s="450" t="s">
        <v>207</v>
      </c>
      <c r="C188" s="450"/>
      <c r="D188" s="450"/>
      <c r="E188" s="450"/>
      <c r="F188" s="450"/>
      <c r="G188" s="450"/>
      <c r="H188" s="450"/>
      <c r="I188" s="450"/>
      <c r="J188" s="450"/>
      <c r="K188" s="450"/>
      <c r="L188" s="450"/>
      <c r="M188" s="450"/>
      <c r="N188" s="450"/>
      <c r="O188" s="450"/>
      <c r="P188" s="450"/>
      <c r="Q188" s="450"/>
      <c r="R188" s="450"/>
      <c r="S188" s="450"/>
      <c r="T188" s="553">
        <v>6.39</v>
      </c>
      <c r="U188" s="452" t="s">
        <v>121</v>
      </c>
      <c r="V188" s="430"/>
    </row>
    <row r="189" spans="1:22" x14ac:dyDescent="0.3">
      <c r="A189" s="468"/>
      <c r="B189" s="470"/>
      <c r="C189" s="470"/>
      <c r="D189" s="470"/>
      <c r="E189" s="470"/>
      <c r="F189" s="470"/>
      <c r="G189" s="470"/>
      <c r="H189" s="470"/>
      <c r="I189" s="470"/>
      <c r="J189" s="470"/>
      <c r="K189" s="470"/>
      <c r="L189" s="470"/>
      <c r="M189" s="470"/>
      <c r="N189" s="470"/>
      <c r="O189" s="470"/>
      <c r="P189" s="470"/>
      <c r="Q189" s="470"/>
      <c r="R189" s="470"/>
      <c r="S189" s="470"/>
      <c r="T189" s="470"/>
      <c r="U189" s="476"/>
      <c r="V189" s="416"/>
    </row>
    <row r="190" spans="1:22" x14ac:dyDescent="0.3">
      <c r="A190" s="418"/>
      <c r="B190" s="516"/>
      <c r="C190" s="516"/>
      <c r="D190" s="516"/>
      <c r="E190" s="516"/>
      <c r="F190" s="516"/>
      <c r="G190" s="516"/>
      <c r="H190" s="516"/>
      <c r="I190" s="516"/>
      <c r="J190" s="516"/>
      <c r="K190" s="516"/>
      <c r="L190" s="516"/>
      <c r="M190" s="516"/>
      <c r="N190" s="516"/>
      <c r="O190" s="516"/>
      <c r="P190" s="516"/>
      <c r="Q190" s="516"/>
      <c r="R190" s="516"/>
      <c r="S190" s="516"/>
      <c r="T190" s="516"/>
      <c r="U190" s="639"/>
      <c r="V190" s="416"/>
    </row>
    <row r="191" spans="1:22" x14ac:dyDescent="0.3">
      <c r="A191" s="418"/>
      <c r="B191" s="420"/>
      <c r="C191" s="420"/>
      <c r="D191" s="420"/>
      <c r="E191" s="420"/>
      <c r="F191" s="420"/>
      <c r="G191" s="420"/>
      <c r="H191" s="420"/>
      <c r="I191" s="420"/>
      <c r="J191" s="420"/>
      <c r="K191" s="420"/>
      <c r="L191" s="420"/>
      <c r="M191" s="420"/>
      <c r="N191" s="420"/>
      <c r="O191" s="420"/>
      <c r="P191" s="420"/>
      <c r="Q191" s="420"/>
      <c r="R191" s="420"/>
      <c r="S191" s="420"/>
      <c r="T191" s="420"/>
      <c r="U191" s="639"/>
      <c r="V191" s="416"/>
    </row>
    <row r="192" spans="1:22" ht="18.600000000000001" thickBot="1" x14ac:dyDescent="0.4">
      <c r="A192" s="554"/>
      <c r="B192" s="501" t="str">
        <f>B132</f>
        <v>PM11 INVESTOR REPORT QUARTER ENDING JUNE 2019</v>
      </c>
      <c r="C192" s="555"/>
      <c r="D192" s="555"/>
      <c r="E192" s="555"/>
      <c r="F192" s="555"/>
      <c r="G192" s="555"/>
      <c r="H192" s="555"/>
      <c r="I192" s="555"/>
      <c r="J192" s="555"/>
      <c r="K192" s="555"/>
      <c r="L192" s="555"/>
      <c r="M192" s="555"/>
      <c r="N192" s="555"/>
      <c r="O192" s="555"/>
      <c r="P192" s="555"/>
      <c r="Q192" s="555"/>
      <c r="R192" s="555"/>
      <c r="S192" s="555"/>
      <c r="T192" s="555"/>
      <c r="U192" s="556"/>
      <c r="V192" s="416"/>
    </row>
    <row r="193" spans="1:22" x14ac:dyDescent="0.3">
      <c r="A193" s="505"/>
      <c r="B193" s="506" t="s">
        <v>71</v>
      </c>
      <c r="C193" s="627"/>
      <c r="D193" s="627"/>
      <c r="E193" s="627"/>
      <c r="F193" s="627"/>
      <c r="G193" s="628"/>
      <c r="H193" s="628"/>
      <c r="I193" s="628"/>
      <c r="J193" s="628"/>
      <c r="K193" s="628"/>
      <c r="L193" s="628"/>
      <c r="M193" s="628"/>
      <c r="N193" s="628"/>
      <c r="O193" s="628"/>
      <c r="P193" s="628"/>
      <c r="Q193" s="628"/>
      <c r="R193" s="629">
        <v>43644</v>
      </c>
      <c r="S193" s="507"/>
      <c r="T193" s="507"/>
      <c r="U193" s="509"/>
      <c r="V193" s="416"/>
    </row>
    <row r="194" spans="1:22" x14ac:dyDescent="0.3">
      <c r="A194" s="557"/>
      <c r="B194" s="558"/>
      <c r="C194" s="559"/>
      <c r="D194" s="559"/>
      <c r="E194" s="559"/>
      <c r="F194" s="559"/>
      <c r="G194" s="560"/>
      <c r="H194" s="560"/>
      <c r="I194" s="560"/>
      <c r="J194" s="560"/>
      <c r="K194" s="560"/>
      <c r="L194" s="560"/>
      <c r="M194" s="560"/>
      <c r="N194" s="560"/>
      <c r="O194" s="560"/>
      <c r="P194" s="560"/>
      <c r="Q194" s="560"/>
      <c r="R194" s="560"/>
      <c r="S194" s="420"/>
      <c r="T194" s="420"/>
      <c r="U194" s="639"/>
      <c r="V194" s="416"/>
    </row>
    <row r="195" spans="1:22" s="431" customFormat="1" x14ac:dyDescent="0.3">
      <c r="A195" s="449"/>
      <c r="B195" s="450" t="s">
        <v>72</v>
      </c>
      <c r="C195" s="561"/>
      <c r="D195" s="561"/>
      <c r="E195" s="561"/>
      <c r="F195" s="561"/>
      <c r="G195" s="490"/>
      <c r="H195" s="490"/>
      <c r="I195" s="490"/>
      <c r="J195" s="490"/>
      <c r="K195" s="490"/>
      <c r="L195" s="490"/>
      <c r="M195" s="490"/>
      <c r="N195" s="490"/>
      <c r="O195" s="490"/>
      <c r="P195" s="490"/>
      <c r="Q195" s="490"/>
      <c r="R195" s="483">
        <v>5.1569999999999998E-2</v>
      </c>
      <c r="S195" s="450"/>
      <c r="T195" s="450"/>
      <c r="U195" s="452"/>
      <c r="V195" s="430"/>
    </row>
    <row r="196" spans="1:22" s="431" customFormat="1" x14ac:dyDescent="0.3">
      <c r="A196" s="449"/>
      <c r="B196" s="450" t="s">
        <v>157</v>
      </c>
      <c r="C196" s="561"/>
      <c r="D196" s="561"/>
      <c r="E196" s="561"/>
      <c r="F196" s="561"/>
      <c r="G196" s="490"/>
      <c r="H196" s="490"/>
      <c r="I196" s="490"/>
      <c r="J196" s="490"/>
      <c r="K196" s="490"/>
      <c r="L196" s="490"/>
      <c r="M196" s="490"/>
      <c r="N196" s="490"/>
      <c r="O196" s="490"/>
      <c r="P196" s="490"/>
      <c r="Q196" s="490"/>
      <c r="R196" s="483">
        <v>4.6899999999999997E-2</v>
      </c>
      <c r="S196" s="450"/>
      <c r="T196" s="450"/>
      <c r="U196" s="452"/>
      <c r="V196" s="430"/>
    </row>
    <row r="197" spans="1:22" s="431" customFormat="1" x14ac:dyDescent="0.3">
      <c r="A197" s="449"/>
      <c r="B197" s="450" t="s">
        <v>73</v>
      </c>
      <c r="C197" s="561"/>
      <c r="D197" s="561"/>
      <c r="E197" s="561"/>
      <c r="F197" s="561"/>
      <c r="G197" s="490"/>
      <c r="H197" s="490"/>
      <c r="I197" s="490"/>
      <c r="J197" s="490"/>
      <c r="K197" s="490"/>
      <c r="L197" s="490"/>
      <c r="M197" s="490"/>
      <c r="N197" s="490"/>
      <c r="O197" s="490"/>
      <c r="P197" s="490"/>
      <c r="Q197" s="490"/>
      <c r="R197" s="483">
        <f>R195-R196</f>
        <v>4.6700000000000005E-3</v>
      </c>
      <c r="S197" s="450"/>
      <c r="T197" s="450"/>
      <c r="U197" s="452"/>
      <c r="V197" s="430"/>
    </row>
    <row r="198" spans="1:22" s="431" customFormat="1" x14ac:dyDescent="0.3">
      <c r="A198" s="449"/>
      <c r="B198" s="450" t="s">
        <v>74</v>
      </c>
      <c r="C198" s="561"/>
      <c r="D198" s="561"/>
      <c r="E198" s="561"/>
      <c r="F198" s="561"/>
      <c r="G198" s="490"/>
      <c r="H198" s="490"/>
      <c r="I198" s="490"/>
      <c r="J198" s="490"/>
      <c r="K198" s="490"/>
      <c r="L198" s="490"/>
      <c r="M198" s="490"/>
      <c r="N198" s="490"/>
      <c r="O198" s="490"/>
      <c r="P198" s="490"/>
      <c r="Q198" s="490"/>
      <c r="R198" s="483">
        <v>2.6239999999999999E-2</v>
      </c>
      <c r="S198" s="450"/>
      <c r="T198" s="450"/>
      <c r="U198" s="452"/>
      <c r="V198" s="430"/>
    </row>
    <row r="199" spans="1:22" s="431" customFormat="1" x14ac:dyDescent="0.3">
      <c r="A199" s="449"/>
      <c r="B199" s="450" t="s">
        <v>257</v>
      </c>
      <c r="C199" s="561"/>
      <c r="D199" s="561"/>
      <c r="E199" s="561"/>
      <c r="F199" s="561"/>
      <c r="G199" s="490"/>
      <c r="H199" s="490"/>
      <c r="I199" s="490"/>
      <c r="J199" s="490"/>
      <c r="K199" s="490"/>
      <c r="L199" s="490"/>
      <c r="M199" s="490"/>
      <c r="N199" s="490"/>
      <c r="O199" s="490"/>
      <c r="P199" s="490"/>
      <c r="Q199" s="490"/>
      <c r="R199" s="483">
        <f>T43</f>
        <v>1.1212872145107577E-2</v>
      </c>
      <c r="S199" s="450"/>
      <c r="T199" s="450"/>
      <c r="U199" s="452"/>
      <c r="V199" s="430"/>
    </row>
    <row r="200" spans="1:22" s="431" customFormat="1" x14ac:dyDescent="0.3">
      <c r="A200" s="449"/>
      <c r="B200" s="450" t="s">
        <v>75</v>
      </c>
      <c r="C200" s="561"/>
      <c r="D200" s="561"/>
      <c r="E200" s="561"/>
      <c r="F200" s="561"/>
      <c r="G200" s="490"/>
      <c r="H200" s="490"/>
      <c r="I200" s="490"/>
      <c r="J200" s="490"/>
      <c r="K200" s="490"/>
      <c r="L200" s="490"/>
      <c r="M200" s="490"/>
      <c r="N200" s="490"/>
      <c r="O200" s="490"/>
      <c r="P200" s="490"/>
      <c r="Q200" s="490"/>
      <c r="R200" s="483">
        <f>R198-R199</f>
        <v>1.5027127854892422E-2</v>
      </c>
      <c r="S200" s="450"/>
      <c r="T200" s="450"/>
      <c r="U200" s="452"/>
      <c r="V200" s="430"/>
    </row>
    <row r="201" spans="1:22" s="431" customFormat="1" x14ac:dyDescent="0.3">
      <c r="A201" s="449"/>
      <c r="B201" s="450" t="s">
        <v>260</v>
      </c>
      <c r="C201" s="561"/>
      <c r="D201" s="561"/>
      <c r="E201" s="561"/>
      <c r="F201" s="561"/>
      <c r="G201" s="490"/>
      <c r="H201" s="490"/>
      <c r="I201" s="490"/>
      <c r="J201" s="490"/>
      <c r="K201" s="490"/>
      <c r="L201" s="490"/>
      <c r="M201" s="490"/>
      <c r="N201" s="490"/>
      <c r="O201" s="490"/>
      <c r="P201" s="490"/>
      <c r="Q201" s="490"/>
      <c r="R201" s="483">
        <f>+T99/L70</f>
        <v>7.6088929100267483E-3</v>
      </c>
      <c r="S201" s="450"/>
      <c r="T201" s="450"/>
      <c r="U201" s="452"/>
      <c r="V201" s="430"/>
    </row>
    <row r="202" spans="1:22" s="431" customFormat="1" x14ac:dyDescent="0.3">
      <c r="A202" s="449"/>
      <c r="B202" s="450" t="s">
        <v>217</v>
      </c>
      <c r="C202" s="561"/>
      <c r="D202" s="561"/>
      <c r="E202" s="561"/>
      <c r="F202" s="561"/>
      <c r="G202" s="490"/>
      <c r="H202" s="490"/>
      <c r="I202" s="490"/>
      <c r="J202" s="490"/>
      <c r="K202" s="490"/>
      <c r="L202" s="490"/>
      <c r="M202" s="490"/>
      <c r="N202" s="490"/>
      <c r="O202" s="490"/>
      <c r="P202" s="490"/>
      <c r="Q202" s="490"/>
      <c r="R202" s="562">
        <v>15250</v>
      </c>
      <c r="S202" s="450"/>
      <c r="T202" s="450"/>
      <c r="U202" s="452"/>
      <c r="V202" s="430"/>
    </row>
    <row r="203" spans="1:22" s="431" customFormat="1" x14ac:dyDescent="0.3">
      <c r="A203" s="449"/>
      <c r="B203" s="450" t="s">
        <v>218</v>
      </c>
      <c r="C203" s="561"/>
      <c r="D203" s="561"/>
      <c r="E203" s="561"/>
      <c r="F203" s="561"/>
      <c r="G203" s="490"/>
      <c r="H203" s="490"/>
      <c r="I203" s="490"/>
      <c r="J203" s="490"/>
      <c r="K203" s="490"/>
      <c r="L203" s="490"/>
      <c r="M203" s="490"/>
      <c r="N203" s="490"/>
      <c r="O203" s="490"/>
      <c r="P203" s="490"/>
      <c r="Q203" s="490"/>
      <c r="R203" s="562">
        <v>15250</v>
      </c>
      <c r="S203" s="450"/>
      <c r="T203" s="450"/>
      <c r="U203" s="452"/>
      <c r="V203" s="430"/>
    </row>
    <row r="204" spans="1:22" s="431" customFormat="1" x14ac:dyDescent="0.3">
      <c r="A204" s="449"/>
      <c r="B204" s="450" t="s">
        <v>219</v>
      </c>
      <c r="C204" s="561"/>
      <c r="D204" s="561"/>
      <c r="E204" s="561"/>
      <c r="F204" s="561"/>
      <c r="G204" s="490"/>
      <c r="H204" s="490"/>
      <c r="I204" s="490"/>
      <c r="J204" s="490"/>
      <c r="K204" s="490"/>
      <c r="L204" s="490"/>
      <c r="M204" s="490"/>
      <c r="N204" s="490"/>
      <c r="O204" s="490"/>
      <c r="P204" s="490"/>
      <c r="Q204" s="490"/>
      <c r="R204" s="562">
        <v>15250</v>
      </c>
      <c r="S204" s="450"/>
      <c r="T204" s="450"/>
      <c r="U204" s="452"/>
      <c r="V204" s="430"/>
    </row>
    <row r="205" spans="1:22" s="431" customFormat="1" x14ac:dyDescent="0.3">
      <c r="A205" s="449"/>
      <c r="B205" s="450" t="s">
        <v>76</v>
      </c>
      <c r="C205" s="561"/>
      <c r="D205" s="561"/>
      <c r="E205" s="561"/>
      <c r="F205" s="561"/>
      <c r="G205" s="490"/>
      <c r="H205" s="490"/>
      <c r="I205" s="490"/>
      <c r="J205" s="490"/>
      <c r="K205" s="490"/>
      <c r="L205" s="490"/>
      <c r="M205" s="490"/>
      <c r="N205" s="490"/>
      <c r="O205" s="490"/>
      <c r="P205" s="490"/>
      <c r="Q205" s="490"/>
      <c r="R205" s="488">
        <v>21.18</v>
      </c>
      <c r="S205" s="450" t="s">
        <v>116</v>
      </c>
      <c r="T205" s="450"/>
      <c r="U205" s="452"/>
      <c r="V205" s="430"/>
    </row>
    <row r="206" spans="1:22" s="431" customFormat="1" x14ac:dyDescent="0.3">
      <c r="A206" s="449"/>
      <c r="B206" s="450" t="s">
        <v>77</v>
      </c>
      <c r="C206" s="561"/>
      <c r="D206" s="561"/>
      <c r="E206" s="561"/>
      <c r="F206" s="561"/>
      <c r="G206" s="490"/>
      <c r="H206" s="490"/>
      <c r="I206" s="490"/>
      <c r="J206" s="490"/>
      <c r="K206" s="490"/>
      <c r="L206" s="490"/>
      <c r="M206" s="490"/>
      <c r="N206" s="490"/>
      <c r="O206" s="490"/>
      <c r="P206" s="490"/>
      <c r="Q206" s="490"/>
      <c r="R206" s="488">
        <v>8.89</v>
      </c>
      <c r="S206" s="450" t="s">
        <v>116</v>
      </c>
      <c r="T206" s="450"/>
      <c r="U206" s="452"/>
      <c r="V206" s="430"/>
    </row>
    <row r="207" spans="1:22" s="431" customFormat="1" x14ac:dyDescent="0.3">
      <c r="A207" s="449"/>
      <c r="B207" s="450" t="s">
        <v>78</v>
      </c>
      <c r="C207" s="561"/>
      <c r="D207" s="561"/>
      <c r="E207" s="561"/>
      <c r="F207" s="561"/>
      <c r="G207" s="490"/>
      <c r="H207" s="490"/>
      <c r="I207" s="490"/>
      <c r="J207" s="490"/>
      <c r="K207" s="490"/>
      <c r="L207" s="490"/>
      <c r="M207" s="490"/>
      <c r="N207" s="490"/>
      <c r="O207" s="490"/>
      <c r="P207" s="490"/>
      <c r="Q207" s="490"/>
      <c r="R207" s="483">
        <f>N67/L67</f>
        <v>2.0890921667591586E-2</v>
      </c>
      <c r="S207" s="450"/>
      <c r="T207" s="450"/>
      <c r="U207" s="452"/>
      <c r="V207" s="430"/>
    </row>
    <row r="208" spans="1:22" s="431" customFormat="1" x14ac:dyDescent="0.3">
      <c r="A208" s="449"/>
      <c r="B208" s="450" t="s">
        <v>79</v>
      </c>
      <c r="C208" s="561"/>
      <c r="D208" s="561"/>
      <c r="E208" s="561"/>
      <c r="F208" s="561"/>
      <c r="G208" s="490"/>
      <c r="H208" s="490"/>
      <c r="I208" s="490"/>
      <c r="J208" s="490"/>
      <c r="K208" s="490"/>
      <c r="L208" s="490"/>
      <c r="M208" s="490"/>
      <c r="N208" s="490"/>
      <c r="O208" s="490"/>
      <c r="P208" s="490"/>
      <c r="Q208" s="490"/>
      <c r="R208" s="483">
        <v>7.5700000000000003E-2</v>
      </c>
      <c r="S208" s="450"/>
      <c r="T208" s="450"/>
      <c r="U208" s="452"/>
      <c r="V208" s="430"/>
    </row>
    <row r="209" spans="1:22" x14ac:dyDescent="0.3">
      <c r="A209" s="557"/>
      <c r="B209" s="563"/>
      <c r="C209" s="563"/>
      <c r="D209" s="563"/>
      <c r="E209" s="563"/>
      <c r="F209" s="563"/>
      <c r="G209" s="516"/>
      <c r="H209" s="516"/>
      <c r="I209" s="516"/>
      <c r="J209" s="516"/>
      <c r="K209" s="516"/>
      <c r="L209" s="516"/>
      <c r="M209" s="516"/>
      <c r="N209" s="516"/>
      <c r="O209" s="516"/>
      <c r="P209" s="516"/>
      <c r="Q209" s="516"/>
      <c r="R209" s="544"/>
      <c r="S209" s="516"/>
      <c r="T209" s="564"/>
      <c r="U209" s="639"/>
      <c r="V209" s="416"/>
    </row>
    <row r="210" spans="1:22" x14ac:dyDescent="0.3">
      <c r="A210" s="565"/>
      <c r="B210" s="521" t="s">
        <v>80</v>
      </c>
      <c r="C210" s="522"/>
      <c r="D210" s="522"/>
      <c r="E210" s="522"/>
      <c r="F210" s="566"/>
      <c r="G210" s="522"/>
      <c r="H210" s="522"/>
      <c r="I210" s="522"/>
      <c r="J210" s="522"/>
      <c r="K210" s="522"/>
      <c r="L210" s="522"/>
      <c r="M210" s="522"/>
      <c r="N210" s="522"/>
      <c r="O210" s="522"/>
      <c r="P210" s="522"/>
      <c r="Q210" s="522" t="s">
        <v>105</v>
      </c>
      <c r="R210" s="566" t="s">
        <v>112</v>
      </c>
      <c r="S210" s="443"/>
      <c r="T210" s="443"/>
      <c r="U210" s="446"/>
      <c r="V210" s="416"/>
    </row>
    <row r="211" spans="1:22" s="431" customFormat="1" x14ac:dyDescent="0.3">
      <c r="A211" s="567"/>
      <c r="B211" s="447" t="s">
        <v>81</v>
      </c>
      <c r="C211" s="525"/>
      <c r="D211" s="525"/>
      <c r="E211" s="525"/>
      <c r="F211" s="447"/>
      <c r="G211" s="447"/>
      <c r="H211" s="568"/>
      <c r="I211" s="568"/>
      <c r="J211" s="568"/>
      <c r="K211" s="568"/>
      <c r="L211" s="568"/>
      <c r="M211" s="568"/>
      <c r="N211" s="568"/>
      <c r="O211" s="568"/>
      <c r="P211" s="568"/>
      <c r="Q211" s="568">
        <v>0</v>
      </c>
      <c r="R211" s="569">
        <v>0</v>
      </c>
      <c r="S211" s="447"/>
      <c r="T211" s="570"/>
      <c r="U211" s="644"/>
      <c r="V211" s="430"/>
    </row>
    <row r="212" spans="1:22" s="431" customFormat="1" x14ac:dyDescent="0.3">
      <c r="A212" s="571"/>
      <c r="B212" s="450" t="s">
        <v>151</v>
      </c>
      <c r="C212" s="514"/>
      <c r="D212" s="514"/>
      <c r="E212" s="514"/>
      <c r="F212" s="450"/>
      <c r="G212" s="450"/>
      <c r="H212" s="456"/>
      <c r="I212" s="456"/>
      <c r="J212" s="456"/>
      <c r="K212" s="456"/>
      <c r="L212" s="456"/>
      <c r="M212" s="456"/>
      <c r="N212" s="456"/>
      <c r="O212" s="456"/>
      <c r="P212" s="456"/>
      <c r="Q212" s="572">
        <f>+P264</f>
        <v>28</v>
      </c>
      <c r="R212" s="573">
        <f>+R264</f>
        <v>3932</v>
      </c>
      <c r="S212" s="450"/>
      <c r="T212" s="574"/>
      <c r="U212" s="575"/>
      <c r="V212" s="430"/>
    </row>
    <row r="213" spans="1:22" s="431" customFormat="1" x14ac:dyDescent="0.3">
      <c r="A213" s="571"/>
      <c r="B213" s="450" t="s">
        <v>82</v>
      </c>
      <c r="C213" s="514"/>
      <c r="D213" s="514"/>
      <c r="E213" s="514"/>
      <c r="F213" s="450"/>
      <c r="G213" s="450"/>
      <c r="H213" s="456"/>
      <c r="I213" s="456"/>
      <c r="J213" s="456"/>
      <c r="K213" s="456"/>
      <c r="L213" s="456"/>
      <c r="M213" s="456"/>
      <c r="N213" s="456"/>
      <c r="O213" s="456"/>
      <c r="P213" s="456"/>
      <c r="Q213" s="572">
        <f>+P276</f>
        <v>0</v>
      </c>
      <c r="R213" s="573">
        <f>+R276</f>
        <v>0</v>
      </c>
      <c r="S213" s="450"/>
      <c r="T213" s="574"/>
      <c r="U213" s="575"/>
      <c r="V213" s="430"/>
    </row>
    <row r="214" spans="1:22" x14ac:dyDescent="0.3">
      <c r="A214" s="576"/>
      <c r="B214" s="577" t="s">
        <v>83</v>
      </c>
      <c r="C214" s="578"/>
      <c r="D214" s="578"/>
      <c r="E214" s="578"/>
      <c r="F214" s="470"/>
      <c r="G214" s="470"/>
      <c r="H214" s="470"/>
      <c r="I214" s="470"/>
      <c r="J214" s="470"/>
      <c r="K214" s="470"/>
      <c r="L214" s="470"/>
      <c r="M214" s="470"/>
      <c r="N214" s="470"/>
      <c r="O214" s="470"/>
      <c r="P214" s="470"/>
      <c r="Q214" s="541"/>
      <c r="R214" s="579">
        <v>0</v>
      </c>
      <c r="S214" s="470"/>
      <c r="T214" s="580"/>
      <c r="U214" s="581"/>
      <c r="V214" s="416"/>
    </row>
    <row r="215" spans="1:22" x14ac:dyDescent="0.3">
      <c r="A215" s="576"/>
      <c r="B215" s="577" t="s">
        <v>84</v>
      </c>
      <c r="C215" s="578"/>
      <c r="D215" s="578"/>
      <c r="E215" s="578"/>
      <c r="F215" s="470"/>
      <c r="G215" s="470"/>
      <c r="H215" s="470"/>
      <c r="I215" s="470"/>
      <c r="J215" s="470"/>
      <c r="K215" s="470"/>
      <c r="L215" s="470"/>
      <c r="M215" s="470"/>
      <c r="N215" s="470"/>
      <c r="O215" s="470"/>
      <c r="P215" s="470"/>
      <c r="Q215" s="450"/>
      <c r="R215" s="582" t="s">
        <v>113</v>
      </c>
      <c r="S215" s="470"/>
      <c r="T215" s="580"/>
      <c r="U215" s="581"/>
      <c r="V215" s="416"/>
    </row>
    <row r="216" spans="1:22" x14ac:dyDescent="0.3">
      <c r="A216" s="583"/>
      <c r="B216" s="577" t="s">
        <v>85</v>
      </c>
      <c r="C216" s="584"/>
      <c r="D216" s="584"/>
      <c r="E216" s="584"/>
      <c r="F216" s="584"/>
      <c r="G216" s="470"/>
      <c r="H216" s="470"/>
      <c r="I216" s="470"/>
      <c r="J216" s="470"/>
      <c r="K216" s="470"/>
      <c r="L216" s="470"/>
      <c r="M216" s="470"/>
      <c r="N216" s="470"/>
      <c r="O216" s="470"/>
      <c r="P216" s="470"/>
      <c r="Q216" s="450"/>
      <c r="R216" s="573"/>
      <c r="S216" s="470"/>
      <c r="T216" s="580"/>
      <c r="U216" s="585"/>
      <c r="V216" s="416"/>
    </row>
    <row r="217" spans="1:22" s="431" customFormat="1" x14ac:dyDescent="0.3">
      <c r="A217" s="586"/>
      <c r="B217" s="450" t="s">
        <v>86</v>
      </c>
      <c r="C217" s="450"/>
      <c r="D217" s="450"/>
      <c r="E217" s="450"/>
      <c r="F217" s="450"/>
      <c r="G217" s="450"/>
      <c r="H217" s="450"/>
      <c r="I217" s="450"/>
      <c r="J217" s="450"/>
      <c r="K217" s="450"/>
      <c r="L217" s="450"/>
      <c r="M217" s="450"/>
      <c r="N217" s="450"/>
      <c r="O217" s="450"/>
      <c r="P217" s="450"/>
      <c r="Q217" s="456"/>
      <c r="R217" s="573">
        <f>T161</f>
        <v>351</v>
      </c>
      <c r="S217" s="450"/>
      <c r="T217" s="574"/>
      <c r="U217" s="587"/>
      <c r="V217" s="430"/>
    </row>
    <row r="218" spans="1:22" s="431" customFormat="1" x14ac:dyDescent="0.3">
      <c r="A218" s="571"/>
      <c r="B218" s="450" t="s">
        <v>87</v>
      </c>
      <c r="C218" s="514"/>
      <c r="D218" s="514"/>
      <c r="E218" s="514"/>
      <c r="F218" s="514"/>
      <c r="G218" s="450"/>
      <c r="H218" s="450"/>
      <c r="I218" s="450"/>
      <c r="J218" s="450"/>
      <c r="K218" s="450"/>
      <c r="L218" s="450"/>
      <c r="M218" s="450"/>
      <c r="N218" s="450"/>
      <c r="O218" s="450"/>
      <c r="P218" s="450"/>
      <c r="Q218" s="456"/>
      <c r="R218" s="573">
        <f>'March 19'!R218+R217</f>
        <v>7855</v>
      </c>
      <c r="S218" s="450"/>
      <c r="T218" s="574"/>
      <c r="U218" s="587"/>
      <c r="V218" s="430"/>
    </row>
    <row r="219" spans="1:22" x14ac:dyDescent="0.3">
      <c r="A219" s="583"/>
      <c r="B219" s="577" t="s">
        <v>282</v>
      </c>
      <c r="C219" s="584"/>
      <c r="D219" s="584"/>
      <c r="E219" s="584"/>
      <c r="F219" s="584"/>
      <c r="G219" s="470"/>
      <c r="H219" s="470"/>
      <c r="I219" s="470"/>
      <c r="J219" s="470"/>
      <c r="K219" s="470"/>
      <c r="L219" s="470"/>
      <c r="M219" s="470"/>
      <c r="N219" s="470"/>
      <c r="O219" s="470"/>
      <c r="P219" s="470"/>
      <c r="Q219" s="456"/>
      <c r="R219" s="573"/>
      <c r="S219" s="470"/>
      <c r="T219" s="580"/>
      <c r="U219" s="585"/>
      <c r="V219" s="416"/>
    </row>
    <row r="220" spans="1:22" s="431" customFormat="1" x14ac:dyDescent="0.3">
      <c r="A220" s="586"/>
      <c r="B220" s="450" t="s">
        <v>280</v>
      </c>
      <c r="C220" s="450"/>
      <c r="D220" s="450"/>
      <c r="E220" s="450"/>
      <c r="F220" s="450"/>
      <c r="G220" s="450"/>
      <c r="H220" s="450"/>
      <c r="I220" s="450"/>
      <c r="J220" s="450"/>
      <c r="K220" s="450"/>
      <c r="L220" s="450"/>
      <c r="M220" s="450"/>
      <c r="N220" s="450"/>
      <c r="O220" s="450"/>
      <c r="P220" s="450"/>
      <c r="Q220" s="456">
        <v>0</v>
      </c>
      <c r="R220" s="573">
        <v>0</v>
      </c>
      <c r="S220" s="450"/>
      <c r="T220" s="574"/>
      <c r="U220" s="587"/>
      <c r="V220" s="430"/>
    </row>
    <row r="221" spans="1:22" s="431" customFormat="1" x14ac:dyDescent="0.3">
      <c r="A221" s="571"/>
      <c r="B221" s="450" t="s">
        <v>89</v>
      </c>
      <c r="C221" s="486"/>
      <c r="D221" s="486"/>
      <c r="E221" s="486"/>
      <c r="F221" s="588"/>
      <c r="G221" s="450"/>
      <c r="H221" s="450"/>
      <c r="I221" s="450"/>
      <c r="J221" s="450"/>
      <c r="K221" s="450"/>
      <c r="L221" s="450"/>
      <c r="M221" s="450"/>
      <c r="N221" s="450"/>
      <c r="O221" s="450"/>
      <c r="P221" s="450"/>
      <c r="Q221" s="450"/>
      <c r="R221" s="582">
        <v>0</v>
      </c>
      <c r="S221" s="450"/>
      <c r="T221" s="574"/>
      <c r="U221" s="587"/>
      <c r="V221" s="430"/>
    </row>
    <row r="222" spans="1:22" s="431" customFormat="1" x14ac:dyDescent="0.3">
      <c r="A222" s="571"/>
      <c r="B222" s="450" t="s">
        <v>90</v>
      </c>
      <c r="C222" s="486"/>
      <c r="D222" s="486"/>
      <c r="E222" s="486"/>
      <c r="F222" s="588"/>
      <c r="G222" s="450"/>
      <c r="H222" s="450"/>
      <c r="I222" s="450"/>
      <c r="J222" s="450"/>
      <c r="K222" s="450"/>
      <c r="L222" s="450"/>
      <c r="M222" s="450"/>
      <c r="N222" s="450"/>
      <c r="O222" s="450"/>
      <c r="P222" s="450"/>
      <c r="Q222" s="450"/>
      <c r="R222" s="582">
        <v>0</v>
      </c>
      <c r="S222" s="450"/>
      <c r="T222" s="574"/>
      <c r="U222" s="587"/>
      <c r="V222" s="430"/>
    </row>
    <row r="223" spans="1:22" x14ac:dyDescent="0.3">
      <c r="A223" s="576"/>
      <c r="B223" s="577" t="s">
        <v>226</v>
      </c>
      <c r="C223" s="589"/>
      <c r="D223" s="589"/>
      <c r="E223" s="589"/>
      <c r="F223" s="590"/>
      <c r="G223" s="470"/>
      <c r="H223" s="470"/>
      <c r="I223" s="470"/>
      <c r="J223" s="470"/>
      <c r="K223" s="470"/>
      <c r="L223" s="470"/>
      <c r="M223" s="470"/>
      <c r="N223" s="470"/>
      <c r="O223" s="470"/>
      <c r="P223" s="470"/>
      <c r="Q223" s="456"/>
      <c r="R223" s="591"/>
      <c r="S223" s="470"/>
      <c r="T223" s="580"/>
      <c r="U223" s="585"/>
      <c r="V223" s="416"/>
    </row>
    <row r="224" spans="1:22" s="431" customFormat="1" x14ac:dyDescent="0.3">
      <c r="A224" s="571"/>
      <c r="B224" s="450" t="s">
        <v>280</v>
      </c>
      <c r="C224" s="486"/>
      <c r="D224" s="486"/>
      <c r="E224" s="486"/>
      <c r="F224" s="588"/>
      <c r="G224" s="450"/>
      <c r="H224" s="450"/>
      <c r="I224" s="450"/>
      <c r="J224" s="450"/>
      <c r="K224" s="450"/>
      <c r="L224" s="450"/>
      <c r="M224" s="450"/>
      <c r="N224" s="450"/>
      <c r="O224" s="450"/>
      <c r="P224" s="450"/>
      <c r="Q224" s="456">
        <v>1</v>
      </c>
      <c r="R224" s="573">
        <v>310</v>
      </c>
      <c r="S224" s="450"/>
      <c r="T224" s="574"/>
      <c r="U224" s="587"/>
      <c r="V224" s="430"/>
    </row>
    <row r="225" spans="1:23" s="431" customFormat="1" x14ac:dyDescent="0.3">
      <c r="A225" s="571"/>
      <c r="B225" s="450" t="s">
        <v>227</v>
      </c>
      <c r="C225" s="486"/>
      <c r="D225" s="486"/>
      <c r="E225" s="486"/>
      <c r="F225" s="588"/>
      <c r="G225" s="450"/>
      <c r="H225" s="450"/>
      <c r="I225" s="450"/>
      <c r="J225" s="450"/>
      <c r="K225" s="450"/>
      <c r="L225" s="450"/>
      <c r="M225" s="450"/>
      <c r="N225" s="450"/>
      <c r="O225" s="450"/>
      <c r="P225" s="450"/>
      <c r="Q225" s="456"/>
      <c r="R225" s="582">
        <v>0</v>
      </c>
      <c r="S225" s="450"/>
      <c r="T225" s="574"/>
      <c r="U225" s="587"/>
      <c r="V225" s="430"/>
    </row>
    <row r="226" spans="1:23" x14ac:dyDescent="0.3">
      <c r="A226" s="576"/>
      <c r="B226" s="584"/>
      <c r="C226" s="589"/>
      <c r="D226" s="589"/>
      <c r="E226" s="589"/>
      <c r="F226" s="590"/>
      <c r="G226" s="470"/>
      <c r="H226" s="470"/>
      <c r="I226" s="470"/>
      <c r="J226" s="470"/>
      <c r="K226" s="470"/>
      <c r="L226" s="470"/>
      <c r="M226" s="470"/>
      <c r="N226" s="470"/>
      <c r="O226" s="470"/>
      <c r="P226" s="470"/>
      <c r="Q226" s="450"/>
      <c r="R226" s="591"/>
      <c r="S226" s="470"/>
      <c r="T226" s="580"/>
      <c r="U226" s="585"/>
      <c r="V226" s="416"/>
    </row>
    <row r="227" spans="1:23" x14ac:dyDescent="0.3">
      <c r="A227" s="576"/>
      <c r="B227" s="584"/>
      <c r="C227" s="589"/>
      <c r="D227" s="589"/>
      <c r="E227" s="589"/>
      <c r="F227" s="590"/>
      <c r="G227" s="470"/>
      <c r="H227" s="470"/>
      <c r="I227" s="470"/>
      <c r="J227" s="470"/>
      <c r="K227" s="470"/>
      <c r="L227" s="470"/>
      <c r="M227" s="470"/>
      <c r="N227" s="470"/>
      <c r="O227" s="470"/>
      <c r="P227" s="470"/>
      <c r="Q227" s="450"/>
      <c r="R227" s="591"/>
      <c r="S227" s="470"/>
      <c r="T227" s="580"/>
      <c r="U227" s="585"/>
      <c r="V227" s="416"/>
    </row>
    <row r="228" spans="1:23" ht="18" x14ac:dyDescent="0.35">
      <c r="A228" s="576"/>
      <c r="B228" s="592" t="s">
        <v>175</v>
      </c>
      <c r="C228" s="589"/>
      <c r="D228" s="589"/>
      <c r="E228" s="589"/>
      <c r="F228" s="590"/>
      <c r="G228" s="470"/>
      <c r="H228" s="470"/>
      <c r="I228" s="470"/>
      <c r="J228" s="470"/>
      <c r="K228" s="470"/>
      <c r="L228" s="470"/>
      <c r="M228" s="470"/>
      <c r="N228" s="647" t="s">
        <v>356</v>
      </c>
      <c r="O228" s="470"/>
      <c r="P228" s="470"/>
      <c r="Q228" s="470"/>
      <c r="R228" s="593"/>
      <c r="S228" s="470"/>
      <c r="T228" s="580"/>
      <c r="U228" s="585"/>
      <c r="V228" s="416"/>
    </row>
    <row r="229" spans="1:23" x14ac:dyDescent="0.3">
      <c r="A229" s="594"/>
      <c r="B229" s="563"/>
      <c r="C229" s="595"/>
      <c r="D229" s="595"/>
      <c r="E229" s="595"/>
      <c r="F229" s="596"/>
      <c r="G229" s="516"/>
      <c r="H229" s="516"/>
      <c r="I229" s="516"/>
      <c r="J229" s="516"/>
      <c r="K229" s="516"/>
      <c r="L229" s="516"/>
      <c r="M229" s="516"/>
      <c r="N229" s="516"/>
      <c r="O229" s="516"/>
      <c r="P229" s="516"/>
      <c r="Q229" s="516"/>
      <c r="R229" s="597"/>
      <c r="S229" s="516"/>
      <c r="T229" s="564"/>
      <c r="U229" s="645"/>
      <c r="V229" s="416"/>
    </row>
    <row r="230" spans="1:23" x14ac:dyDescent="0.3">
      <c r="A230" s="442"/>
      <c r="B230" s="598" t="s">
        <v>295</v>
      </c>
      <c r="C230" s="599"/>
      <c r="D230" s="599"/>
      <c r="E230" s="599"/>
      <c r="F230" s="600"/>
      <c r="G230" s="599"/>
      <c r="H230" s="599"/>
      <c r="I230" s="599"/>
      <c r="J230" s="599"/>
      <c r="K230" s="599"/>
      <c r="L230" s="599"/>
      <c r="M230" s="599"/>
      <c r="N230" s="599"/>
      <c r="O230" s="599"/>
      <c r="P230" s="600" t="s">
        <v>105</v>
      </c>
      <c r="Q230" s="599" t="s">
        <v>106</v>
      </c>
      <c r="R230" s="600" t="s">
        <v>114</v>
      </c>
      <c r="S230" s="599" t="s">
        <v>106</v>
      </c>
      <c r="T230" s="601"/>
      <c r="U230" s="605"/>
      <c r="V230" s="416"/>
    </row>
    <row r="231" spans="1:23" s="431" customFormat="1" x14ac:dyDescent="0.3">
      <c r="A231" s="632"/>
      <c r="B231" s="633" t="s">
        <v>91</v>
      </c>
      <c r="C231" s="634"/>
      <c r="D231" s="634"/>
      <c r="E231" s="634"/>
      <c r="F231" s="635"/>
      <c r="G231" s="634"/>
      <c r="H231" s="634"/>
      <c r="I231" s="634"/>
      <c r="J231" s="634"/>
      <c r="K231" s="634"/>
      <c r="L231" s="634"/>
      <c r="M231" s="634"/>
      <c r="N231" s="634"/>
      <c r="O231" s="634"/>
      <c r="P231" s="633">
        <f t="shared" ref="P231:P238" si="1">+P243+P255+P267</f>
        <v>2892</v>
      </c>
      <c r="Q231" s="636">
        <f t="shared" ref="Q231:Q238" si="2">P231/$P$240</f>
        <v>0.98973305954825463</v>
      </c>
      <c r="R231" s="637">
        <f t="shared" ref="R231:R238" si="3">+R243+R255+R267</f>
        <v>369241</v>
      </c>
      <c r="S231" s="636">
        <f t="shared" ref="S231:S238" si="4">R231/$R$240</f>
        <v>0.99186343245493858</v>
      </c>
      <c r="T231" s="630"/>
      <c r="U231" s="631"/>
      <c r="V231" s="430"/>
    </row>
    <row r="232" spans="1:23" s="431" customFormat="1" x14ac:dyDescent="0.3">
      <c r="A232" s="449"/>
      <c r="B232" s="514" t="s">
        <v>92</v>
      </c>
      <c r="C232" s="603"/>
      <c r="D232" s="603"/>
      <c r="E232" s="603"/>
      <c r="F232" s="450"/>
      <c r="G232" s="602"/>
      <c r="H232" s="603"/>
      <c r="I232" s="603"/>
      <c r="J232" s="603"/>
      <c r="K232" s="603"/>
      <c r="L232" s="603"/>
      <c r="M232" s="603"/>
      <c r="N232" s="603"/>
      <c r="O232" s="603"/>
      <c r="P232" s="514">
        <f t="shared" si="1"/>
        <v>11</v>
      </c>
      <c r="Q232" s="602">
        <f t="shared" si="2"/>
        <v>3.7645448323066393E-3</v>
      </c>
      <c r="R232" s="515">
        <f t="shared" si="3"/>
        <v>1384</v>
      </c>
      <c r="S232" s="602">
        <f t="shared" si="4"/>
        <v>3.7177317538345826E-3</v>
      </c>
      <c r="T232" s="574"/>
      <c r="U232" s="587"/>
      <c r="V232" s="430"/>
      <c r="W232" s="533"/>
    </row>
    <row r="233" spans="1:23" s="431" customFormat="1" x14ac:dyDescent="0.3">
      <c r="A233" s="449"/>
      <c r="B233" s="514" t="s">
        <v>93</v>
      </c>
      <c r="C233" s="603"/>
      <c r="D233" s="603"/>
      <c r="E233" s="603"/>
      <c r="F233" s="450"/>
      <c r="G233" s="602"/>
      <c r="H233" s="603"/>
      <c r="I233" s="603"/>
      <c r="J233" s="603"/>
      <c r="K233" s="603"/>
      <c r="L233" s="603"/>
      <c r="M233" s="603"/>
      <c r="N233" s="603"/>
      <c r="O233" s="603"/>
      <c r="P233" s="514">
        <f t="shared" si="1"/>
        <v>12</v>
      </c>
      <c r="Q233" s="602">
        <f t="shared" si="2"/>
        <v>4.1067761806981521E-3</v>
      </c>
      <c r="R233" s="515">
        <f t="shared" si="3"/>
        <v>1029</v>
      </c>
      <c r="S233" s="602">
        <f t="shared" si="4"/>
        <v>2.7641228140865503E-3</v>
      </c>
      <c r="T233" s="574"/>
      <c r="U233" s="587"/>
      <c r="V233" s="430"/>
    </row>
    <row r="234" spans="1:23" s="431" customFormat="1" x14ac:dyDescent="0.3">
      <c r="A234" s="449"/>
      <c r="B234" s="514" t="s">
        <v>163</v>
      </c>
      <c r="C234" s="603"/>
      <c r="D234" s="603"/>
      <c r="E234" s="603"/>
      <c r="F234" s="450"/>
      <c r="G234" s="602"/>
      <c r="H234" s="603"/>
      <c r="I234" s="603"/>
      <c r="J234" s="603"/>
      <c r="K234" s="603"/>
      <c r="L234" s="603"/>
      <c r="M234" s="603"/>
      <c r="N234" s="603"/>
      <c r="O234" s="603"/>
      <c r="P234" s="514">
        <f t="shared" si="1"/>
        <v>1</v>
      </c>
      <c r="Q234" s="602">
        <f t="shared" si="2"/>
        <v>3.4223134839151266E-4</v>
      </c>
      <c r="R234" s="515">
        <f t="shared" si="3"/>
        <v>61</v>
      </c>
      <c r="S234" s="602">
        <f t="shared" si="4"/>
        <v>1.6385956429473231E-4</v>
      </c>
      <c r="T234" s="574"/>
      <c r="U234" s="587"/>
      <c r="V234" s="430"/>
      <c r="W234" s="533"/>
    </row>
    <row r="235" spans="1:23" s="431" customFormat="1" x14ac:dyDescent="0.3">
      <c r="A235" s="449"/>
      <c r="B235" s="514" t="s">
        <v>164</v>
      </c>
      <c r="C235" s="603"/>
      <c r="D235" s="603"/>
      <c r="E235" s="603"/>
      <c r="F235" s="450"/>
      <c r="G235" s="602"/>
      <c r="H235" s="603"/>
      <c r="I235" s="603"/>
      <c r="J235" s="603"/>
      <c r="K235" s="603"/>
      <c r="L235" s="603"/>
      <c r="M235" s="603"/>
      <c r="N235" s="603"/>
      <c r="O235" s="603"/>
      <c r="P235" s="514">
        <f t="shared" si="1"/>
        <v>0</v>
      </c>
      <c r="Q235" s="602">
        <f t="shared" si="2"/>
        <v>0</v>
      </c>
      <c r="R235" s="515">
        <f t="shared" si="3"/>
        <v>0</v>
      </c>
      <c r="S235" s="602">
        <f t="shared" si="4"/>
        <v>0</v>
      </c>
      <c r="T235" s="574"/>
      <c r="U235" s="587"/>
      <c r="V235" s="430"/>
    </row>
    <row r="236" spans="1:23" s="431" customFormat="1" x14ac:dyDescent="0.3">
      <c r="A236" s="449"/>
      <c r="B236" s="514" t="s">
        <v>165</v>
      </c>
      <c r="C236" s="603"/>
      <c r="D236" s="603"/>
      <c r="E236" s="603"/>
      <c r="F236" s="450"/>
      <c r="G236" s="602"/>
      <c r="H236" s="603"/>
      <c r="I236" s="603"/>
      <c r="J236" s="603"/>
      <c r="K236" s="603"/>
      <c r="L236" s="603"/>
      <c r="M236" s="603"/>
      <c r="N236" s="603"/>
      <c r="O236" s="603"/>
      <c r="P236" s="514">
        <f t="shared" si="1"/>
        <v>1</v>
      </c>
      <c r="Q236" s="602">
        <f t="shared" si="2"/>
        <v>3.4223134839151266E-4</v>
      </c>
      <c r="R236" s="515">
        <f t="shared" si="3"/>
        <v>106</v>
      </c>
      <c r="S236" s="602">
        <f t="shared" si="4"/>
        <v>2.84739570741666E-4</v>
      </c>
      <c r="T236" s="574"/>
      <c r="U236" s="587"/>
      <c r="V236" s="430"/>
      <c r="W236" s="533"/>
    </row>
    <row r="237" spans="1:23" s="431" customFormat="1" x14ac:dyDescent="0.3">
      <c r="A237" s="449"/>
      <c r="B237" s="514" t="s">
        <v>166</v>
      </c>
      <c r="C237" s="603"/>
      <c r="D237" s="603"/>
      <c r="E237" s="603"/>
      <c r="F237" s="450"/>
      <c r="G237" s="602"/>
      <c r="H237" s="603"/>
      <c r="I237" s="603"/>
      <c r="J237" s="603"/>
      <c r="K237" s="603"/>
      <c r="L237" s="603"/>
      <c r="M237" s="603"/>
      <c r="N237" s="603"/>
      <c r="O237" s="603"/>
      <c r="P237" s="514">
        <f t="shared" si="1"/>
        <v>2</v>
      </c>
      <c r="Q237" s="602">
        <f t="shared" si="2"/>
        <v>6.8446269678302531E-4</v>
      </c>
      <c r="R237" s="515">
        <f t="shared" si="3"/>
        <v>141</v>
      </c>
      <c r="S237" s="602">
        <f t="shared" si="4"/>
        <v>3.7875735353372553E-4</v>
      </c>
      <c r="T237" s="574"/>
      <c r="U237" s="587"/>
      <c r="V237" s="430"/>
    </row>
    <row r="238" spans="1:23" s="431" customFormat="1" x14ac:dyDescent="0.3">
      <c r="A238" s="449"/>
      <c r="B238" s="514" t="s">
        <v>167</v>
      </c>
      <c r="C238" s="603"/>
      <c r="D238" s="603"/>
      <c r="E238" s="603"/>
      <c r="F238" s="450"/>
      <c r="G238" s="602"/>
      <c r="H238" s="603"/>
      <c r="I238" s="603"/>
      <c r="J238" s="603"/>
      <c r="K238" s="603"/>
      <c r="L238" s="603"/>
      <c r="M238" s="603"/>
      <c r="N238" s="603"/>
      <c r="O238" s="603"/>
      <c r="P238" s="514">
        <f t="shared" si="1"/>
        <v>3</v>
      </c>
      <c r="Q238" s="602">
        <f t="shared" si="2"/>
        <v>1.026694045174538E-3</v>
      </c>
      <c r="R238" s="515">
        <f t="shared" si="3"/>
        <v>308</v>
      </c>
      <c r="S238" s="602">
        <f t="shared" si="4"/>
        <v>8.2735648857012382E-4</v>
      </c>
      <c r="T238" s="574"/>
      <c r="U238" s="587"/>
      <c r="V238" s="430"/>
      <c r="W238" s="533"/>
    </row>
    <row r="239" spans="1:23" s="431" customFormat="1" x14ac:dyDescent="0.3">
      <c r="A239" s="449"/>
      <c r="B239" s="514"/>
      <c r="C239" s="603"/>
      <c r="D239" s="603"/>
      <c r="E239" s="603"/>
      <c r="F239" s="450"/>
      <c r="G239" s="602"/>
      <c r="H239" s="603"/>
      <c r="I239" s="603"/>
      <c r="J239" s="603"/>
      <c r="K239" s="603"/>
      <c r="L239" s="603"/>
      <c r="M239" s="603"/>
      <c r="N239" s="603"/>
      <c r="O239" s="603"/>
      <c r="P239" s="514"/>
      <c r="Q239" s="602"/>
      <c r="R239" s="515"/>
      <c r="S239" s="602"/>
      <c r="T239" s="574"/>
      <c r="U239" s="587"/>
      <c r="V239" s="430"/>
    </row>
    <row r="240" spans="1:23" s="431" customFormat="1" x14ac:dyDescent="0.3">
      <c r="A240" s="449"/>
      <c r="B240" s="450" t="s">
        <v>120</v>
      </c>
      <c r="C240" s="450"/>
      <c r="D240" s="450"/>
      <c r="E240" s="450"/>
      <c r="F240" s="450"/>
      <c r="G240" s="450"/>
      <c r="H240" s="604"/>
      <c r="I240" s="604"/>
      <c r="J240" s="604"/>
      <c r="K240" s="604"/>
      <c r="L240" s="604"/>
      <c r="M240" s="604"/>
      <c r="N240" s="604"/>
      <c r="O240" s="604"/>
      <c r="P240" s="514">
        <f>SUM(P231:P239)</f>
        <v>2922</v>
      </c>
      <c r="Q240" s="602">
        <f>SUM(Q231:Q239)</f>
        <v>0.99999999999999989</v>
      </c>
      <c r="R240" s="515">
        <f>SUM(R231:R239)</f>
        <v>372270</v>
      </c>
      <c r="S240" s="602">
        <f>SUM(S231:S239)</f>
        <v>1</v>
      </c>
      <c r="T240" s="450"/>
      <c r="U240" s="452"/>
      <c r="V240" s="430"/>
    </row>
    <row r="241" spans="1:23" x14ac:dyDescent="0.3">
      <c r="A241" s="594"/>
      <c r="B241" s="563"/>
      <c r="C241" s="595"/>
      <c r="D241" s="595"/>
      <c r="E241" s="595"/>
      <c r="F241" s="596"/>
      <c r="G241" s="516"/>
      <c r="H241" s="516"/>
      <c r="I241" s="516"/>
      <c r="J241" s="516"/>
      <c r="K241" s="516"/>
      <c r="L241" s="516"/>
      <c r="M241" s="516"/>
      <c r="N241" s="516"/>
      <c r="O241" s="516"/>
      <c r="P241" s="516"/>
      <c r="Q241" s="516"/>
      <c r="R241" s="597"/>
      <c r="S241" s="516"/>
      <c r="T241" s="564"/>
      <c r="U241" s="645"/>
      <c r="V241" s="416"/>
    </row>
    <row r="242" spans="1:23" x14ac:dyDescent="0.3">
      <c r="A242" s="442"/>
      <c r="B242" s="521" t="s">
        <v>169</v>
      </c>
      <c r="C242" s="522"/>
      <c r="D242" s="522"/>
      <c r="E242" s="522"/>
      <c r="F242" s="566"/>
      <c r="G242" s="522"/>
      <c r="H242" s="522"/>
      <c r="I242" s="522"/>
      <c r="J242" s="522"/>
      <c r="K242" s="522"/>
      <c r="L242" s="522"/>
      <c r="M242" s="522"/>
      <c r="N242" s="522"/>
      <c r="O242" s="522"/>
      <c r="P242" s="566" t="s">
        <v>105</v>
      </c>
      <c r="Q242" s="522" t="s">
        <v>106</v>
      </c>
      <c r="R242" s="566" t="s">
        <v>114</v>
      </c>
      <c r="S242" s="522" t="s">
        <v>106</v>
      </c>
      <c r="T242" s="443"/>
      <c r="U242" s="605"/>
      <c r="V242" s="416"/>
    </row>
    <row r="243" spans="1:23" s="431" customFormat="1" x14ac:dyDescent="0.3">
      <c r="A243" s="432"/>
      <c r="B243" s="525" t="s">
        <v>91</v>
      </c>
      <c r="C243" s="606"/>
      <c r="D243" s="606"/>
      <c r="E243" s="606"/>
      <c r="F243" s="447"/>
      <c r="G243" s="606"/>
      <c r="H243" s="606"/>
      <c r="I243" s="606"/>
      <c r="J243" s="606"/>
      <c r="K243" s="606"/>
      <c r="L243" s="606"/>
      <c r="M243" s="606"/>
      <c r="N243" s="606"/>
      <c r="O243" s="606"/>
      <c r="P243" s="525">
        <v>2869</v>
      </c>
      <c r="Q243" s="607">
        <f t="shared" ref="Q243:Q250" si="5">P243/$P$252</f>
        <v>0.99136143745680716</v>
      </c>
      <c r="R243" s="526">
        <v>365790</v>
      </c>
      <c r="S243" s="607">
        <f t="shared" ref="S243:S250" si="6">R243/$R$252</f>
        <v>0.99308244058446316</v>
      </c>
      <c r="T243" s="570"/>
      <c r="U243" s="646"/>
      <c r="V243" s="430"/>
    </row>
    <row r="244" spans="1:23" s="431" customFormat="1" x14ac:dyDescent="0.3">
      <c r="A244" s="449"/>
      <c r="B244" s="514" t="s">
        <v>92</v>
      </c>
      <c r="C244" s="603"/>
      <c r="D244" s="603"/>
      <c r="E244" s="603"/>
      <c r="F244" s="450"/>
      <c r="G244" s="602"/>
      <c r="H244" s="603"/>
      <c r="I244" s="603"/>
      <c r="J244" s="603"/>
      <c r="K244" s="603"/>
      <c r="L244" s="603"/>
      <c r="M244" s="603"/>
      <c r="N244" s="603"/>
      <c r="O244" s="603"/>
      <c r="P244" s="514">
        <v>11</v>
      </c>
      <c r="Q244" s="602">
        <f t="shared" si="5"/>
        <v>3.8009675190048375E-3</v>
      </c>
      <c r="R244" s="515">
        <v>1384</v>
      </c>
      <c r="S244" s="602">
        <f t="shared" si="6"/>
        <v>3.7574184580466854E-3</v>
      </c>
      <c r="T244" s="574"/>
      <c r="U244" s="587"/>
      <c r="V244" s="430"/>
      <c r="W244" s="533"/>
    </row>
    <row r="245" spans="1:23" s="431" customFormat="1" x14ac:dyDescent="0.3">
      <c r="A245" s="449"/>
      <c r="B245" s="514" t="s">
        <v>93</v>
      </c>
      <c r="C245" s="603"/>
      <c r="D245" s="603"/>
      <c r="E245" s="603"/>
      <c r="F245" s="450"/>
      <c r="G245" s="602"/>
      <c r="H245" s="603"/>
      <c r="I245" s="603"/>
      <c r="J245" s="603"/>
      <c r="K245" s="603"/>
      <c r="L245" s="603"/>
      <c r="M245" s="603"/>
      <c r="N245" s="603"/>
      <c r="O245" s="603"/>
      <c r="P245" s="514">
        <v>12</v>
      </c>
      <c r="Q245" s="602">
        <f t="shared" si="5"/>
        <v>4.1465100207325502E-3</v>
      </c>
      <c r="R245" s="515">
        <v>1029</v>
      </c>
      <c r="S245" s="602">
        <f t="shared" si="6"/>
        <v>2.7936297639667915E-3</v>
      </c>
      <c r="T245" s="574"/>
      <c r="U245" s="587"/>
      <c r="V245" s="430"/>
    </row>
    <row r="246" spans="1:23" s="431" customFormat="1" x14ac:dyDescent="0.3">
      <c r="A246" s="449"/>
      <c r="B246" s="514" t="s">
        <v>163</v>
      </c>
      <c r="C246" s="603"/>
      <c r="D246" s="603"/>
      <c r="E246" s="603"/>
      <c r="F246" s="450"/>
      <c r="G246" s="602"/>
      <c r="H246" s="603"/>
      <c r="I246" s="603"/>
      <c r="J246" s="603"/>
      <c r="K246" s="603"/>
      <c r="L246" s="603"/>
      <c r="M246" s="603"/>
      <c r="N246" s="603"/>
      <c r="O246" s="603"/>
      <c r="P246" s="514">
        <v>1</v>
      </c>
      <c r="Q246" s="602">
        <f t="shared" si="5"/>
        <v>3.455425017277125E-4</v>
      </c>
      <c r="R246" s="515">
        <v>61</v>
      </c>
      <c r="S246" s="602">
        <f t="shared" si="6"/>
        <v>1.6560876151795363E-4</v>
      </c>
      <c r="T246" s="574"/>
      <c r="U246" s="587"/>
      <c r="V246" s="430"/>
      <c r="W246" s="533"/>
    </row>
    <row r="247" spans="1:23" s="431" customFormat="1" x14ac:dyDescent="0.3">
      <c r="A247" s="449"/>
      <c r="B247" s="514" t="s">
        <v>164</v>
      </c>
      <c r="C247" s="603"/>
      <c r="D247" s="603"/>
      <c r="E247" s="603"/>
      <c r="F247" s="450"/>
      <c r="G247" s="602"/>
      <c r="H247" s="603"/>
      <c r="I247" s="603"/>
      <c r="J247" s="603"/>
      <c r="K247" s="603"/>
      <c r="L247" s="603"/>
      <c r="M247" s="603"/>
      <c r="N247" s="603"/>
      <c r="O247" s="603"/>
      <c r="P247" s="514">
        <v>0</v>
      </c>
      <c r="Q247" s="602">
        <f t="shared" si="5"/>
        <v>0</v>
      </c>
      <c r="R247" s="515">
        <v>0</v>
      </c>
      <c r="S247" s="602">
        <f t="shared" si="6"/>
        <v>0</v>
      </c>
      <c r="T247" s="574"/>
      <c r="U247" s="587"/>
      <c r="V247" s="430"/>
    </row>
    <row r="248" spans="1:23" s="431" customFormat="1" x14ac:dyDescent="0.3">
      <c r="A248" s="449"/>
      <c r="B248" s="514" t="s">
        <v>165</v>
      </c>
      <c r="C248" s="603"/>
      <c r="D248" s="603"/>
      <c r="E248" s="603"/>
      <c r="F248" s="450"/>
      <c r="G248" s="602"/>
      <c r="H248" s="603"/>
      <c r="I248" s="603"/>
      <c r="J248" s="603"/>
      <c r="K248" s="603"/>
      <c r="L248" s="603"/>
      <c r="M248" s="603"/>
      <c r="N248" s="603"/>
      <c r="O248" s="603"/>
      <c r="P248" s="514">
        <v>0</v>
      </c>
      <c r="Q248" s="602">
        <f t="shared" si="5"/>
        <v>0</v>
      </c>
      <c r="R248" s="515">
        <v>0</v>
      </c>
      <c r="S248" s="602">
        <f t="shared" si="6"/>
        <v>0</v>
      </c>
      <c r="T248" s="574"/>
      <c r="U248" s="587"/>
      <c r="V248" s="430"/>
      <c r="W248" s="533"/>
    </row>
    <row r="249" spans="1:23" s="431" customFormat="1" x14ac:dyDescent="0.3">
      <c r="A249" s="449"/>
      <c r="B249" s="514" t="s">
        <v>166</v>
      </c>
      <c r="C249" s="603"/>
      <c r="D249" s="603"/>
      <c r="E249" s="603"/>
      <c r="F249" s="450"/>
      <c r="G249" s="602"/>
      <c r="H249" s="603"/>
      <c r="I249" s="603"/>
      <c r="J249" s="603"/>
      <c r="K249" s="603"/>
      <c r="L249" s="603"/>
      <c r="M249" s="603"/>
      <c r="N249" s="603"/>
      <c r="O249" s="603"/>
      <c r="P249" s="514">
        <v>0</v>
      </c>
      <c r="Q249" s="602">
        <f t="shared" si="5"/>
        <v>0</v>
      </c>
      <c r="R249" s="515">
        <v>0</v>
      </c>
      <c r="S249" s="602">
        <f t="shared" si="6"/>
        <v>0</v>
      </c>
      <c r="T249" s="574"/>
      <c r="U249" s="587"/>
      <c r="V249" s="430"/>
    </row>
    <row r="250" spans="1:23" s="431" customFormat="1" x14ac:dyDescent="0.3">
      <c r="A250" s="449"/>
      <c r="B250" s="514" t="s">
        <v>167</v>
      </c>
      <c r="C250" s="603"/>
      <c r="D250" s="603"/>
      <c r="E250" s="603"/>
      <c r="F250" s="450"/>
      <c r="G250" s="602"/>
      <c r="H250" s="603"/>
      <c r="I250" s="603"/>
      <c r="J250" s="603"/>
      <c r="K250" s="603"/>
      <c r="L250" s="603"/>
      <c r="M250" s="603"/>
      <c r="N250" s="603"/>
      <c r="O250" s="603"/>
      <c r="P250" s="514">
        <v>1</v>
      </c>
      <c r="Q250" s="602">
        <f t="shared" si="5"/>
        <v>3.455425017277125E-4</v>
      </c>
      <c r="R250" s="515">
        <v>74</v>
      </c>
      <c r="S250" s="602">
        <f t="shared" si="6"/>
        <v>2.0090243200538636E-4</v>
      </c>
      <c r="T250" s="574"/>
      <c r="U250" s="587"/>
      <c r="V250" s="430"/>
      <c r="W250" s="533"/>
    </row>
    <row r="251" spans="1:23" s="431" customFormat="1" x14ac:dyDescent="0.3">
      <c r="A251" s="449"/>
      <c r="B251" s="514"/>
      <c r="C251" s="603"/>
      <c r="D251" s="603"/>
      <c r="E251" s="603"/>
      <c r="F251" s="450"/>
      <c r="G251" s="602"/>
      <c r="H251" s="603"/>
      <c r="I251" s="603"/>
      <c r="J251" s="603"/>
      <c r="K251" s="603"/>
      <c r="L251" s="603"/>
      <c r="M251" s="603"/>
      <c r="N251" s="603"/>
      <c r="O251" s="603"/>
      <c r="P251" s="514"/>
      <c r="Q251" s="602"/>
      <c r="R251" s="515"/>
      <c r="S251" s="602"/>
      <c r="T251" s="574"/>
      <c r="U251" s="587"/>
      <c r="V251" s="430"/>
    </row>
    <row r="252" spans="1:23" s="431" customFormat="1" x14ac:dyDescent="0.3">
      <c r="A252" s="449"/>
      <c r="B252" s="450" t="s">
        <v>120</v>
      </c>
      <c r="C252" s="450"/>
      <c r="D252" s="450"/>
      <c r="E252" s="450"/>
      <c r="F252" s="450"/>
      <c r="G252" s="450"/>
      <c r="H252" s="604"/>
      <c r="I252" s="604"/>
      <c r="J252" s="604"/>
      <c r="K252" s="604"/>
      <c r="L252" s="604"/>
      <c r="M252" s="604"/>
      <c r="N252" s="604"/>
      <c r="O252" s="604"/>
      <c r="P252" s="514">
        <f>SUM(P243:P251)</f>
        <v>2894</v>
      </c>
      <c r="Q252" s="602">
        <f>SUM(Q243:Q251)</f>
        <v>0.99999999999999989</v>
      </c>
      <c r="R252" s="515">
        <f>SUM(R243:R251)</f>
        <v>368338</v>
      </c>
      <c r="S252" s="602">
        <f>SUM(S243:S251)</f>
        <v>1</v>
      </c>
      <c r="T252" s="450"/>
      <c r="U252" s="452"/>
      <c r="V252" s="430"/>
    </row>
    <row r="253" spans="1:23" x14ac:dyDescent="0.3">
      <c r="A253" s="418"/>
      <c r="B253" s="516"/>
      <c r="C253" s="516"/>
      <c r="D253" s="516"/>
      <c r="E253" s="516"/>
      <c r="F253" s="516"/>
      <c r="G253" s="516"/>
      <c r="H253" s="608"/>
      <c r="I253" s="608"/>
      <c r="J253" s="608"/>
      <c r="K253" s="608"/>
      <c r="L253" s="608"/>
      <c r="M253" s="608"/>
      <c r="N253" s="608"/>
      <c r="O253" s="608"/>
      <c r="P253" s="517"/>
      <c r="Q253" s="609"/>
      <c r="R253" s="610"/>
      <c r="S253" s="609"/>
      <c r="T253" s="516"/>
      <c r="U253" s="639"/>
      <c r="V253" s="416"/>
    </row>
    <row r="254" spans="1:23" x14ac:dyDescent="0.3">
      <c r="A254" s="442"/>
      <c r="B254" s="521" t="s">
        <v>267</v>
      </c>
      <c r="C254" s="522"/>
      <c r="D254" s="522"/>
      <c r="E254" s="522"/>
      <c r="F254" s="566"/>
      <c r="G254" s="522"/>
      <c r="H254" s="522"/>
      <c r="I254" s="522"/>
      <c r="J254" s="522"/>
      <c r="K254" s="522"/>
      <c r="L254" s="522"/>
      <c r="M254" s="522"/>
      <c r="N254" s="522"/>
      <c r="O254" s="522"/>
      <c r="P254" s="566" t="s">
        <v>105</v>
      </c>
      <c r="Q254" s="522" t="s">
        <v>106</v>
      </c>
      <c r="R254" s="566" t="s">
        <v>114</v>
      </c>
      <c r="S254" s="522" t="s">
        <v>106</v>
      </c>
      <c r="T254" s="443"/>
      <c r="U254" s="446"/>
      <c r="V254" s="416"/>
    </row>
    <row r="255" spans="1:23" s="431" customFormat="1" x14ac:dyDescent="0.3">
      <c r="A255" s="432"/>
      <c r="B255" s="525" t="s">
        <v>91</v>
      </c>
      <c r="C255" s="606"/>
      <c r="D255" s="606"/>
      <c r="E255" s="606"/>
      <c r="F255" s="447"/>
      <c r="G255" s="606"/>
      <c r="H255" s="606"/>
      <c r="I255" s="606"/>
      <c r="J255" s="606"/>
      <c r="K255" s="606"/>
      <c r="L255" s="606"/>
      <c r="M255" s="606"/>
      <c r="N255" s="606"/>
      <c r="O255" s="606"/>
      <c r="P255" s="525">
        <v>23</v>
      </c>
      <c r="Q255" s="607">
        <f t="shared" ref="Q255:Q262" si="7">P255/$P$264</f>
        <v>0.8214285714285714</v>
      </c>
      <c r="R255" s="526">
        <v>3451</v>
      </c>
      <c r="S255" s="607">
        <f>R255/$R$264</f>
        <v>0.87767039674465919</v>
      </c>
      <c r="T255" s="447"/>
      <c r="U255" s="641"/>
      <c r="V255" s="430"/>
    </row>
    <row r="256" spans="1:23" s="431" customFormat="1" x14ac:dyDescent="0.3">
      <c r="A256" s="449"/>
      <c r="B256" s="514" t="s">
        <v>92</v>
      </c>
      <c r="C256" s="603"/>
      <c r="D256" s="603"/>
      <c r="E256" s="603"/>
      <c r="F256" s="450"/>
      <c r="G256" s="602"/>
      <c r="H256" s="603"/>
      <c r="I256" s="603"/>
      <c r="J256" s="603"/>
      <c r="K256" s="603"/>
      <c r="L256" s="603"/>
      <c r="M256" s="603"/>
      <c r="N256" s="603"/>
      <c r="O256" s="603"/>
      <c r="P256" s="514">
        <v>0</v>
      </c>
      <c r="Q256" s="602">
        <f t="shared" si="7"/>
        <v>0</v>
      </c>
      <c r="R256" s="515">
        <v>0</v>
      </c>
      <c r="S256" s="602">
        <f t="shared" ref="S256:S262" si="8">R256/$R$264</f>
        <v>0</v>
      </c>
      <c r="T256" s="450"/>
      <c r="U256" s="452"/>
      <c r="V256" s="430"/>
    </row>
    <row r="257" spans="1:22" s="431" customFormat="1" x14ac:dyDescent="0.3">
      <c r="A257" s="449"/>
      <c r="B257" s="514" t="s">
        <v>93</v>
      </c>
      <c r="C257" s="603"/>
      <c r="D257" s="603"/>
      <c r="E257" s="603"/>
      <c r="F257" s="450"/>
      <c r="G257" s="602"/>
      <c r="H257" s="603"/>
      <c r="I257" s="603"/>
      <c r="J257" s="603"/>
      <c r="K257" s="603"/>
      <c r="L257" s="603"/>
      <c r="M257" s="603"/>
      <c r="N257" s="603"/>
      <c r="O257" s="603"/>
      <c r="P257" s="514">
        <v>0</v>
      </c>
      <c r="Q257" s="602">
        <f t="shared" si="7"/>
        <v>0</v>
      </c>
      <c r="R257" s="515">
        <v>0</v>
      </c>
      <c r="S257" s="602">
        <f t="shared" si="8"/>
        <v>0</v>
      </c>
      <c r="T257" s="450"/>
      <c r="U257" s="452"/>
      <c r="V257" s="430"/>
    </row>
    <row r="258" spans="1:22" s="431" customFormat="1" x14ac:dyDescent="0.3">
      <c r="A258" s="449"/>
      <c r="B258" s="514" t="s">
        <v>163</v>
      </c>
      <c r="C258" s="603"/>
      <c r="D258" s="603"/>
      <c r="E258" s="603"/>
      <c r="F258" s="450"/>
      <c r="G258" s="602"/>
      <c r="H258" s="603"/>
      <c r="I258" s="603"/>
      <c r="J258" s="603"/>
      <c r="K258" s="603"/>
      <c r="L258" s="603"/>
      <c r="M258" s="603"/>
      <c r="N258" s="603"/>
      <c r="O258" s="603"/>
      <c r="P258" s="514">
        <v>0</v>
      </c>
      <c r="Q258" s="602">
        <f t="shared" si="7"/>
        <v>0</v>
      </c>
      <c r="R258" s="515">
        <v>0</v>
      </c>
      <c r="S258" s="602">
        <f t="shared" si="8"/>
        <v>0</v>
      </c>
      <c r="T258" s="450"/>
      <c r="U258" s="452"/>
      <c r="V258" s="430"/>
    </row>
    <row r="259" spans="1:22" s="431" customFormat="1" x14ac:dyDescent="0.3">
      <c r="A259" s="449"/>
      <c r="B259" s="514" t="s">
        <v>164</v>
      </c>
      <c r="C259" s="603"/>
      <c r="D259" s="603"/>
      <c r="E259" s="603"/>
      <c r="F259" s="450"/>
      <c r="G259" s="602"/>
      <c r="H259" s="603"/>
      <c r="I259" s="603"/>
      <c r="J259" s="603"/>
      <c r="K259" s="603"/>
      <c r="L259" s="603"/>
      <c r="M259" s="603"/>
      <c r="N259" s="603"/>
      <c r="O259" s="603"/>
      <c r="P259" s="514">
        <v>0</v>
      </c>
      <c r="Q259" s="602">
        <f t="shared" si="7"/>
        <v>0</v>
      </c>
      <c r="R259" s="515">
        <v>0</v>
      </c>
      <c r="S259" s="602">
        <f t="shared" si="8"/>
        <v>0</v>
      </c>
      <c r="T259" s="450"/>
      <c r="U259" s="452"/>
      <c r="V259" s="430"/>
    </row>
    <row r="260" spans="1:22" s="431" customFormat="1" x14ac:dyDescent="0.3">
      <c r="A260" s="449"/>
      <c r="B260" s="514" t="s">
        <v>165</v>
      </c>
      <c r="C260" s="603"/>
      <c r="D260" s="603"/>
      <c r="E260" s="603"/>
      <c r="F260" s="450"/>
      <c r="G260" s="602"/>
      <c r="H260" s="603"/>
      <c r="I260" s="603"/>
      <c r="J260" s="603"/>
      <c r="K260" s="603"/>
      <c r="L260" s="603"/>
      <c r="M260" s="603"/>
      <c r="N260" s="603"/>
      <c r="O260" s="603"/>
      <c r="P260" s="514">
        <v>1</v>
      </c>
      <c r="Q260" s="602">
        <f t="shared" si="7"/>
        <v>3.5714285714285712E-2</v>
      </c>
      <c r="R260" s="515">
        <v>106</v>
      </c>
      <c r="S260" s="602">
        <f t="shared" si="8"/>
        <v>2.6958290946083419E-2</v>
      </c>
      <c r="T260" s="450"/>
      <c r="U260" s="452"/>
      <c r="V260" s="430"/>
    </row>
    <row r="261" spans="1:22" s="431" customFormat="1" x14ac:dyDescent="0.3">
      <c r="A261" s="449"/>
      <c r="B261" s="514" t="s">
        <v>166</v>
      </c>
      <c r="C261" s="603"/>
      <c r="D261" s="603"/>
      <c r="E261" s="603"/>
      <c r="F261" s="450"/>
      <c r="G261" s="602"/>
      <c r="H261" s="603"/>
      <c r="I261" s="603"/>
      <c r="J261" s="603"/>
      <c r="K261" s="603"/>
      <c r="L261" s="603"/>
      <c r="M261" s="603"/>
      <c r="N261" s="603"/>
      <c r="O261" s="603"/>
      <c r="P261" s="514">
        <v>2</v>
      </c>
      <c r="Q261" s="602">
        <f t="shared" si="7"/>
        <v>7.1428571428571425E-2</v>
      </c>
      <c r="R261" s="515">
        <v>141</v>
      </c>
      <c r="S261" s="602">
        <f t="shared" si="8"/>
        <v>3.585961342828077E-2</v>
      </c>
      <c r="T261" s="450"/>
      <c r="U261" s="452"/>
      <c r="V261" s="430"/>
    </row>
    <row r="262" spans="1:22" s="431" customFormat="1" x14ac:dyDescent="0.3">
      <c r="A262" s="449"/>
      <c r="B262" s="514" t="s">
        <v>167</v>
      </c>
      <c r="C262" s="603"/>
      <c r="D262" s="603"/>
      <c r="E262" s="603"/>
      <c r="F262" s="450"/>
      <c r="G262" s="602"/>
      <c r="H262" s="603"/>
      <c r="I262" s="603"/>
      <c r="J262" s="603"/>
      <c r="K262" s="603"/>
      <c r="L262" s="603"/>
      <c r="M262" s="603"/>
      <c r="N262" s="603"/>
      <c r="O262" s="603"/>
      <c r="P262" s="514">
        <v>2</v>
      </c>
      <c r="Q262" s="602">
        <f t="shared" si="7"/>
        <v>7.1428571428571425E-2</v>
      </c>
      <c r="R262" s="515">
        <v>234</v>
      </c>
      <c r="S262" s="602">
        <f t="shared" si="8"/>
        <v>5.9511698880976599E-2</v>
      </c>
      <c r="T262" s="450"/>
      <c r="U262" s="452"/>
      <c r="V262" s="430"/>
    </row>
    <row r="263" spans="1:22" s="431" customFormat="1" x14ac:dyDescent="0.3">
      <c r="A263" s="449"/>
      <c r="B263" s="514"/>
      <c r="C263" s="603"/>
      <c r="D263" s="603"/>
      <c r="E263" s="603"/>
      <c r="F263" s="450"/>
      <c r="G263" s="602"/>
      <c r="H263" s="603"/>
      <c r="I263" s="603"/>
      <c r="J263" s="603"/>
      <c r="K263" s="603"/>
      <c r="L263" s="603"/>
      <c r="M263" s="603"/>
      <c r="N263" s="603"/>
      <c r="O263" s="603"/>
      <c r="P263" s="514"/>
      <c r="Q263" s="602"/>
      <c r="R263" s="515"/>
      <c r="S263" s="602"/>
      <c r="T263" s="450"/>
      <c r="U263" s="452"/>
      <c r="V263" s="430"/>
    </row>
    <row r="264" spans="1:22" s="431" customFormat="1" x14ac:dyDescent="0.3">
      <c r="A264" s="449"/>
      <c r="B264" s="450" t="s">
        <v>120</v>
      </c>
      <c r="C264" s="450"/>
      <c r="D264" s="450"/>
      <c r="E264" s="450"/>
      <c r="F264" s="450"/>
      <c r="G264" s="450"/>
      <c r="H264" s="604"/>
      <c r="I264" s="604"/>
      <c r="J264" s="604"/>
      <c r="K264" s="604"/>
      <c r="L264" s="604"/>
      <c r="M264" s="604"/>
      <c r="N264" s="604"/>
      <c r="O264" s="604"/>
      <c r="P264" s="514">
        <f>SUM(P255:P263)</f>
        <v>28</v>
      </c>
      <c r="Q264" s="602">
        <f>SUM(Q255:Q263)</f>
        <v>0.99999999999999989</v>
      </c>
      <c r="R264" s="515">
        <f>SUM(R255:R263)</f>
        <v>3932</v>
      </c>
      <c r="S264" s="602">
        <f>SUM(S255:S263)</f>
        <v>1</v>
      </c>
      <c r="T264" s="450"/>
      <c r="U264" s="452"/>
      <c r="V264" s="430"/>
    </row>
    <row r="265" spans="1:22" x14ac:dyDescent="0.3">
      <c r="A265" s="418"/>
      <c r="B265" s="516"/>
      <c r="C265" s="516"/>
      <c r="D265" s="516"/>
      <c r="E265" s="516"/>
      <c r="F265" s="516"/>
      <c r="G265" s="516"/>
      <c r="H265" s="608"/>
      <c r="I265" s="608"/>
      <c r="J265" s="608"/>
      <c r="K265" s="608"/>
      <c r="L265" s="608"/>
      <c r="M265" s="608"/>
      <c r="N265" s="608"/>
      <c r="O265" s="608"/>
      <c r="P265" s="517"/>
      <c r="Q265" s="609"/>
      <c r="R265" s="610"/>
      <c r="S265" s="609"/>
      <c r="T265" s="516"/>
      <c r="U265" s="639"/>
      <c r="V265" s="416"/>
    </row>
    <row r="266" spans="1:22" x14ac:dyDescent="0.3">
      <c r="A266" s="442"/>
      <c r="B266" s="521" t="s">
        <v>170</v>
      </c>
      <c r="C266" s="443"/>
      <c r="D266" s="443"/>
      <c r="E266" s="443"/>
      <c r="F266" s="443"/>
      <c r="G266" s="443"/>
      <c r="H266" s="611"/>
      <c r="I266" s="611"/>
      <c r="J266" s="611"/>
      <c r="K266" s="611"/>
      <c r="L266" s="611"/>
      <c r="M266" s="611"/>
      <c r="N266" s="611"/>
      <c r="O266" s="611"/>
      <c r="P266" s="566" t="s">
        <v>105</v>
      </c>
      <c r="Q266" s="522" t="s">
        <v>106</v>
      </c>
      <c r="R266" s="566" t="s">
        <v>114</v>
      </c>
      <c r="S266" s="522" t="s">
        <v>106</v>
      </c>
      <c r="T266" s="443"/>
      <c r="U266" s="446"/>
      <c r="V266" s="416"/>
    </row>
    <row r="267" spans="1:22" s="431" customFormat="1" x14ac:dyDescent="0.3">
      <c r="A267" s="432"/>
      <c r="B267" s="525" t="s">
        <v>91</v>
      </c>
      <c r="C267" s="447"/>
      <c r="D267" s="447"/>
      <c r="E267" s="447"/>
      <c r="F267" s="447"/>
      <c r="G267" s="447"/>
      <c r="H267" s="612"/>
      <c r="I267" s="612"/>
      <c r="J267" s="612"/>
      <c r="K267" s="612"/>
      <c r="L267" s="612"/>
      <c r="M267" s="612"/>
      <c r="N267" s="612"/>
      <c r="O267" s="612"/>
      <c r="P267" s="525">
        <v>0</v>
      </c>
      <c r="Q267" s="607">
        <v>0</v>
      </c>
      <c r="R267" s="526">
        <v>0</v>
      </c>
      <c r="S267" s="607">
        <v>0</v>
      </c>
      <c r="T267" s="447"/>
      <c r="U267" s="641"/>
      <c r="V267" s="430"/>
    </row>
    <row r="268" spans="1:22" s="431" customFormat="1" x14ac:dyDescent="0.3">
      <c r="A268" s="449"/>
      <c r="B268" s="514" t="s">
        <v>92</v>
      </c>
      <c r="C268" s="450"/>
      <c r="D268" s="450"/>
      <c r="E268" s="450"/>
      <c r="F268" s="450"/>
      <c r="G268" s="450"/>
      <c r="H268" s="604"/>
      <c r="I268" s="604"/>
      <c r="J268" s="604"/>
      <c r="K268" s="604"/>
      <c r="L268" s="604"/>
      <c r="M268" s="604"/>
      <c r="N268" s="604"/>
      <c r="O268" s="604"/>
      <c r="P268" s="514">
        <v>0</v>
      </c>
      <c r="Q268" s="602">
        <v>0</v>
      </c>
      <c r="R268" s="515">
        <v>0</v>
      </c>
      <c r="S268" s="602">
        <v>0</v>
      </c>
      <c r="T268" s="450"/>
      <c r="U268" s="452"/>
      <c r="V268" s="430"/>
    </row>
    <row r="269" spans="1:22" s="431" customFormat="1" x14ac:dyDescent="0.3">
      <c r="A269" s="449"/>
      <c r="B269" s="514" t="s">
        <v>93</v>
      </c>
      <c r="C269" s="450"/>
      <c r="D269" s="450"/>
      <c r="E269" s="450"/>
      <c r="F269" s="450"/>
      <c r="G269" s="450"/>
      <c r="H269" s="604"/>
      <c r="I269" s="604"/>
      <c r="J269" s="604"/>
      <c r="K269" s="604"/>
      <c r="L269" s="604"/>
      <c r="M269" s="604"/>
      <c r="N269" s="604"/>
      <c r="O269" s="604"/>
      <c r="P269" s="514">
        <v>0</v>
      </c>
      <c r="Q269" s="602">
        <v>0</v>
      </c>
      <c r="R269" s="515">
        <v>0</v>
      </c>
      <c r="S269" s="602">
        <v>0</v>
      </c>
      <c r="T269" s="450"/>
      <c r="U269" s="452"/>
      <c r="V269" s="430"/>
    </row>
    <row r="270" spans="1:22" s="431" customFormat="1" x14ac:dyDescent="0.3">
      <c r="A270" s="449"/>
      <c r="B270" s="514" t="s">
        <v>163</v>
      </c>
      <c r="C270" s="450"/>
      <c r="D270" s="450"/>
      <c r="E270" s="450"/>
      <c r="F270" s="450"/>
      <c r="G270" s="450"/>
      <c r="H270" s="604"/>
      <c r="I270" s="604"/>
      <c r="J270" s="604"/>
      <c r="K270" s="604"/>
      <c r="L270" s="604"/>
      <c r="M270" s="604"/>
      <c r="N270" s="604"/>
      <c r="O270" s="604"/>
      <c r="P270" s="514">
        <v>0</v>
      </c>
      <c r="Q270" s="602">
        <v>0</v>
      </c>
      <c r="R270" s="515">
        <v>0</v>
      </c>
      <c r="S270" s="602">
        <v>0</v>
      </c>
      <c r="T270" s="450"/>
      <c r="U270" s="452"/>
      <c r="V270" s="430"/>
    </row>
    <row r="271" spans="1:22" s="431" customFormat="1" x14ac:dyDescent="0.3">
      <c r="A271" s="449"/>
      <c r="B271" s="514" t="s">
        <v>164</v>
      </c>
      <c r="C271" s="450"/>
      <c r="D271" s="450"/>
      <c r="E271" s="450"/>
      <c r="F271" s="450"/>
      <c r="G271" s="450"/>
      <c r="H271" s="604"/>
      <c r="I271" s="604"/>
      <c r="J271" s="604"/>
      <c r="K271" s="604"/>
      <c r="L271" s="604"/>
      <c r="M271" s="604"/>
      <c r="N271" s="604"/>
      <c r="O271" s="604"/>
      <c r="P271" s="514">
        <v>0</v>
      </c>
      <c r="Q271" s="602">
        <v>0</v>
      </c>
      <c r="R271" s="515">
        <v>0</v>
      </c>
      <c r="S271" s="602">
        <v>0</v>
      </c>
      <c r="T271" s="450"/>
      <c r="U271" s="452"/>
      <c r="V271" s="430"/>
    </row>
    <row r="272" spans="1:22" s="431" customFormat="1" x14ac:dyDescent="0.3">
      <c r="A272" s="449"/>
      <c r="B272" s="514" t="s">
        <v>165</v>
      </c>
      <c r="C272" s="450"/>
      <c r="D272" s="450"/>
      <c r="E272" s="450"/>
      <c r="F272" s="450"/>
      <c r="G272" s="450"/>
      <c r="H272" s="604"/>
      <c r="I272" s="604"/>
      <c r="J272" s="604"/>
      <c r="K272" s="604"/>
      <c r="L272" s="604"/>
      <c r="M272" s="604"/>
      <c r="N272" s="604"/>
      <c r="O272" s="604"/>
      <c r="P272" s="514">
        <v>0</v>
      </c>
      <c r="Q272" s="602">
        <v>0</v>
      </c>
      <c r="R272" s="515">
        <v>0</v>
      </c>
      <c r="S272" s="602">
        <v>0</v>
      </c>
      <c r="T272" s="450"/>
      <c r="U272" s="452"/>
      <c r="V272" s="430"/>
    </row>
    <row r="273" spans="1:22" s="431" customFormat="1" x14ac:dyDescent="0.3">
      <c r="A273" s="449"/>
      <c r="B273" s="514" t="s">
        <v>166</v>
      </c>
      <c r="C273" s="450"/>
      <c r="D273" s="450"/>
      <c r="E273" s="450"/>
      <c r="F273" s="450"/>
      <c r="G273" s="450"/>
      <c r="H273" s="604"/>
      <c r="I273" s="604"/>
      <c r="J273" s="604"/>
      <c r="K273" s="604"/>
      <c r="L273" s="604"/>
      <c r="M273" s="604"/>
      <c r="N273" s="604"/>
      <c r="O273" s="604"/>
      <c r="P273" s="514">
        <v>0</v>
      </c>
      <c r="Q273" s="602">
        <v>0</v>
      </c>
      <c r="R273" s="515">
        <v>0</v>
      </c>
      <c r="S273" s="602">
        <v>0</v>
      </c>
      <c r="T273" s="450"/>
      <c r="U273" s="452"/>
      <c r="V273" s="430"/>
    </row>
    <row r="274" spans="1:22" s="431" customFormat="1" x14ac:dyDescent="0.3">
      <c r="A274" s="449"/>
      <c r="B274" s="514" t="s">
        <v>167</v>
      </c>
      <c r="C274" s="450"/>
      <c r="D274" s="450"/>
      <c r="E274" s="450"/>
      <c r="F274" s="450"/>
      <c r="G274" s="450"/>
      <c r="H274" s="604"/>
      <c r="I274" s="604"/>
      <c r="J274" s="604"/>
      <c r="K274" s="604"/>
      <c r="L274" s="604"/>
      <c r="M274" s="604"/>
      <c r="N274" s="604"/>
      <c r="O274" s="604"/>
      <c r="P274" s="514">
        <v>0</v>
      </c>
      <c r="Q274" s="602">
        <v>0</v>
      </c>
      <c r="R274" s="515">
        <v>0</v>
      </c>
      <c r="S274" s="602">
        <v>0</v>
      </c>
      <c r="T274" s="450"/>
      <c r="U274" s="452"/>
      <c r="V274" s="430"/>
    </row>
    <row r="275" spans="1:22" s="431" customFormat="1" x14ac:dyDescent="0.3">
      <c r="A275" s="449"/>
      <c r="B275" s="514"/>
      <c r="C275" s="450"/>
      <c r="D275" s="450"/>
      <c r="E275" s="450"/>
      <c r="F275" s="450"/>
      <c r="G275" s="450"/>
      <c r="H275" s="604"/>
      <c r="I275" s="604"/>
      <c r="J275" s="604"/>
      <c r="K275" s="604"/>
      <c r="L275" s="604"/>
      <c r="M275" s="604"/>
      <c r="N275" s="604"/>
      <c r="O275" s="604"/>
      <c r="P275" s="514"/>
      <c r="Q275" s="602"/>
      <c r="R275" s="515"/>
      <c r="S275" s="602"/>
      <c r="T275" s="450"/>
      <c r="U275" s="452"/>
      <c r="V275" s="430"/>
    </row>
    <row r="276" spans="1:22" s="431" customFormat="1" x14ac:dyDescent="0.3">
      <c r="A276" s="449"/>
      <c r="B276" s="450" t="s">
        <v>120</v>
      </c>
      <c r="C276" s="450"/>
      <c r="D276" s="450"/>
      <c r="E276" s="450"/>
      <c r="F276" s="450"/>
      <c r="G276" s="450"/>
      <c r="H276" s="604"/>
      <c r="I276" s="604"/>
      <c r="J276" s="604"/>
      <c r="K276" s="604"/>
      <c r="L276" s="604"/>
      <c r="M276" s="604"/>
      <c r="N276" s="604"/>
      <c r="O276" s="604"/>
      <c r="P276" s="514">
        <f>SUM(P267:P274)</f>
        <v>0</v>
      </c>
      <c r="Q276" s="602">
        <f>SUM(Q267:Q275)</f>
        <v>0</v>
      </c>
      <c r="R276" s="515">
        <f>SUM(R267:R274)</f>
        <v>0</v>
      </c>
      <c r="S276" s="602">
        <f>SUM(S267:S275)</f>
        <v>0</v>
      </c>
      <c r="T276" s="450"/>
      <c r="U276" s="452"/>
      <c r="V276" s="430"/>
    </row>
    <row r="277" spans="1:22" s="431" customFormat="1" x14ac:dyDescent="0.3">
      <c r="A277" s="449"/>
      <c r="B277" s="450"/>
      <c r="C277" s="450"/>
      <c r="D277" s="450"/>
      <c r="E277" s="450"/>
      <c r="F277" s="450"/>
      <c r="G277" s="450"/>
      <c r="H277" s="604"/>
      <c r="I277" s="604"/>
      <c r="J277" s="604"/>
      <c r="K277" s="604"/>
      <c r="L277" s="604"/>
      <c r="M277" s="604"/>
      <c r="N277" s="604"/>
      <c r="O277" s="604"/>
      <c r="P277" s="514"/>
      <c r="Q277" s="602"/>
      <c r="R277" s="515"/>
      <c r="S277" s="602"/>
      <c r="T277" s="450"/>
      <c r="U277" s="452"/>
      <c r="V277" s="430"/>
    </row>
    <row r="278" spans="1:22" s="431" customFormat="1" x14ac:dyDescent="0.3">
      <c r="A278" s="449"/>
      <c r="B278" s="455" t="s">
        <v>171</v>
      </c>
      <c r="C278" s="450"/>
      <c r="D278" s="450"/>
      <c r="E278" s="450"/>
      <c r="F278" s="450"/>
      <c r="G278" s="450"/>
      <c r="H278" s="604"/>
      <c r="I278" s="604"/>
      <c r="J278" s="604"/>
      <c r="K278" s="604"/>
      <c r="L278" s="604"/>
      <c r="M278" s="604"/>
      <c r="N278" s="604"/>
      <c r="O278" s="604"/>
      <c r="P278" s="613">
        <f>P276+P264+P252</f>
        <v>2922</v>
      </c>
      <c r="Q278" s="602"/>
      <c r="R278" s="614">
        <f>+R276+R264+R252</f>
        <v>372270</v>
      </c>
      <c r="S278" s="602"/>
      <c r="T278" s="450"/>
      <c r="U278" s="452"/>
      <c r="V278" s="430"/>
    </row>
    <row r="279" spans="1:22" s="431" customFormat="1" x14ac:dyDescent="0.3">
      <c r="A279" s="432"/>
      <c r="B279" s="447"/>
      <c r="C279" s="447"/>
      <c r="D279" s="447"/>
      <c r="E279" s="447"/>
      <c r="F279" s="447"/>
      <c r="G279" s="447"/>
      <c r="H279" s="612"/>
      <c r="I279" s="612"/>
      <c r="J279" s="612"/>
      <c r="K279" s="612"/>
      <c r="L279" s="612"/>
      <c r="M279" s="612"/>
      <c r="N279" s="612"/>
      <c r="O279" s="612"/>
      <c r="P279" s="612"/>
      <c r="Q279" s="612"/>
      <c r="R279" s="526"/>
      <c r="S279" s="612"/>
      <c r="T279" s="447"/>
      <c r="U279" s="641"/>
      <c r="V279" s="430"/>
    </row>
    <row r="280" spans="1:22" s="431" customFormat="1" x14ac:dyDescent="0.3">
      <c r="A280" s="432"/>
      <c r="B280" s="447"/>
      <c r="C280" s="433"/>
      <c r="D280" s="433"/>
      <c r="E280" s="433"/>
      <c r="F280" s="433"/>
      <c r="G280" s="433"/>
      <c r="H280" s="615"/>
      <c r="I280" s="615"/>
      <c r="J280" s="615"/>
      <c r="K280" s="615"/>
      <c r="L280" s="615"/>
      <c r="M280" s="615"/>
      <c r="N280" s="615"/>
      <c r="O280" s="615"/>
      <c r="P280" s="615"/>
      <c r="Q280" s="615"/>
      <c r="R280" s="616"/>
      <c r="S280" s="615"/>
      <c r="T280" s="433"/>
      <c r="U280" s="641"/>
      <c r="V280" s="430"/>
    </row>
    <row r="281" spans="1:22" s="431" customFormat="1" x14ac:dyDescent="0.3">
      <c r="A281" s="432"/>
      <c r="B281" s="428" t="s">
        <v>94</v>
      </c>
      <c r="C281" s="433"/>
      <c r="D281" s="433"/>
      <c r="E281" s="433"/>
      <c r="F281" s="437" t="s">
        <v>100</v>
      </c>
      <c r="G281" s="433"/>
      <c r="H281" s="428" t="s">
        <v>102</v>
      </c>
      <c r="I281" s="433"/>
      <c r="J281" s="433"/>
      <c r="K281" s="433"/>
      <c r="L281" s="433"/>
      <c r="M281" s="433"/>
      <c r="N281" s="433"/>
      <c r="O281" s="433"/>
      <c r="P281" s="433"/>
      <c r="Q281" s="433"/>
      <c r="R281" s="433"/>
      <c r="S281" s="433"/>
      <c r="T281" s="433"/>
      <c r="U281" s="641"/>
      <c r="V281" s="430"/>
    </row>
    <row r="282" spans="1:22" s="431" customFormat="1" x14ac:dyDescent="0.3">
      <c r="A282" s="432"/>
      <c r="B282" s="428" t="s">
        <v>317</v>
      </c>
      <c r="C282" s="428"/>
      <c r="D282" s="428"/>
      <c r="E282" s="428"/>
      <c r="F282" s="617" t="s">
        <v>269</v>
      </c>
      <c r="G282" s="428"/>
      <c r="H282" s="428" t="s">
        <v>357</v>
      </c>
      <c r="I282" s="433"/>
      <c r="J282" s="433"/>
      <c r="K282" s="433"/>
      <c r="L282" s="433"/>
      <c r="M282" s="433"/>
      <c r="N282" s="433"/>
      <c r="O282" s="433"/>
      <c r="P282" s="433"/>
      <c r="Q282" s="433"/>
      <c r="R282" s="433"/>
      <c r="S282" s="433"/>
      <c r="T282" s="433"/>
      <c r="U282" s="641"/>
      <c r="V282" s="430"/>
    </row>
    <row r="283" spans="1:22" s="431" customFormat="1" x14ac:dyDescent="0.3">
      <c r="A283" s="432"/>
      <c r="B283" s="428" t="s">
        <v>318</v>
      </c>
      <c r="C283" s="428"/>
      <c r="D283" s="428"/>
      <c r="E283" s="428"/>
      <c r="F283" s="617" t="s">
        <v>153</v>
      </c>
      <c r="G283" s="428"/>
      <c r="H283" s="428" t="s">
        <v>358</v>
      </c>
      <c r="I283" s="433"/>
      <c r="J283" s="433"/>
      <c r="K283" s="433"/>
      <c r="L283" s="433"/>
      <c r="M283" s="433"/>
      <c r="N283" s="433"/>
      <c r="O283" s="433"/>
      <c r="P283" s="433"/>
      <c r="Q283" s="433"/>
      <c r="R283" s="433"/>
      <c r="S283" s="433"/>
      <c r="T283" s="433"/>
      <c r="U283" s="641"/>
      <c r="V283" s="430"/>
    </row>
    <row r="284" spans="1:22" s="431" customFormat="1" x14ac:dyDescent="0.3">
      <c r="A284" s="432"/>
      <c r="B284" s="428"/>
      <c r="C284" s="428"/>
      <c r="D284" s="428"/>
      <c r="E284" s="428"/>
      <c r="F284" s="617"/>
      <c r="G284" s="428"/>
      <c r="H284" s="428"/>
      <c r="I284" s="433"/>
      <c r="J284" s="433"/>
      <c r="K284" s="433"/>
      <c r="L284" s="433"/>
      <c r="M284" s="433"/>
      <c r="N284" s="433"/>
      <c r="O284" s="433"/>
      <c r="P284" s="433"/>
      <c r="Q284" s="433"/>
      <c r="R284" s="433"/>
      <c r="S284" s="433"/>
      <c r="T284" s="433"/>
      <c r="U284" s="641"/>
      <c r="V284" s="430"/>
    </row>
    <row r="285" spans="1:22" s="431" customFormat="1" x14ac:dyDescent="0.3">
      <c r="A285" s="432"/>
      <c r="B285" s="447" t="s">
        <v>354</v>
      </c>
      <c r="C285" s="428"/>
      <c r="D285" s="428"/>
      <c r="E285" s="428"/>
      <c r="F285" s="617"/>
      <c r="G285" s="428"/>
      <c r="H285" s="428"/>
      <c r="I285" s="433"/>
      <c r="J285" s="433"/>
      <c r="K285" s="433"/>
      <c r="L285" s="433"/>
      <c r="M285" s="433"/>
      <c r="N285" s="433"/>
      <c r="O285" s="433"/>
      <c r="P285" s="433"/>
      <c r="Q285" s="433"/>
      <c r="R285" s="433"/>
      <c r="S285" s="433"/>
      <c r="T285" s="433"/>
      <c r="U285" s="641"/>
      <c r="V285" s="430"/>
    </row>
    <row r="286" spans="1:22" s="431" customFormat="1" x14ac:dyDescent="0.3">
      <c r="A286" s="432"/>
      <c r="B286" s="447" t="s">
        <v>359</v>
      </c>
      <c r="C286" s="428"/>
      <c r="D286" s="428"/>
      <c r="E286" s="428"/>
      <c r="F286" s="617"/>
      <c r="G286" s="428"/>
      <c r="H286" s="428"/>
      <c r="I286" s="433"/>
      <c r="J286" s="433"/>
      <c r="K286" s="433"/>
      <c r="L286" s="433"/>
      <c r="M286" s="433"/>
      <c r="N286" s="433"/>
      <c r="O286" s="433"/>
      <c r="P286" s="433"/>
      <c r="Q286" s="433"/>
      <c r="R286" s="433"/>
      <c r="S286" s="433"/>
      <c r="T286" s="433"/>
      <c r="U286" s="641"/>
      <c r="V286" s="430"/>
    </row>
    <row r="287" spans="1:22" s="431" customFormat="1" x14ac:dyDescent="0.3">
      <c r="A287" s="432"/>
      <c r="B287" s="447" t="s">
        <v>352</v>
      </c>
      <c r="C287" s="428"/>
      <c r="D287" s="428"/>
      <c r="E287" s="428"/>
      <c r="F287" s="617"/>
      <c r="G287" s="428"/>
      <c r="H287" s="428"/>
      <c r="I287" s="433"/>
      <c r="J287" s="433"/>
      <c r="K287" s="433"/>
      <c r="L287" s="433"/>
      <c r="M287" s="433"/>
      <c r="N287" s="433"/>
      <c r="O287" s="433"/>
      <c r="P287" s="433"/>
      <c r="Q287" s="433"/>
      <c r="R287" s="433"/>
      <c r="S287" s="433"/>
      <c r="T287" s="433"/>
      <c r="U287" s="641"/>
      <c r="V287" s="430"/>
    </row>
    <row r="288" spans="1:22" s="431" customFormat="1" x14ac:dyDescent="0.3">
      <c r="A288" s="432"/>
      <c r="B288" s="447" t="s">
        <v>351</v>
      </c>
      <c r="C288" s="428"/>
      <c r="D288" s="428"/>
      <c r="E288" s="428"/>
      <c r="F288" s="617"/>
      <c r="G288" s="428"/>
      <c r="H288" s="428"/>
      <c r="I288" s="433"/>
      <c r="J288" s="433"/>
      <c r="K288" s="433"/>
      <c r="L288" s="433"/>
      <c r="M288" s="433"/>
      <c r="N288" s="433"/>
      <c r="O288" s="433"/>
      <c r="P288" s="433"/>
      <c r="Q288" s="433"/>
      <c r="R288" s="433"/>
      <c r="S288" s="433"/>
      <c r="T288" s="433"/>
      <c r="U288" s="641"/>
      <c r="V288" s="430"/>
    </row>
    <row r="289" spans="1:22" x14ac:dyDescent="0.3">
      <c r="A289" s="418"/>
      <c r="B289" s="618"/>
      <c r="C289" s="619"/>
      <c r="D289" s="619"/>
      <c r="E289" s="619"/>
      <c r="F289" s="620"/>
      <c r="G289" s="619"/>
      <c r="H289" s="619"/>
      <c r="I289" s="621"/>
      <c r="J289" s="621"/>
      <c r="K289" s="621"/>
      <c r="L289" s="420"/>
      <c r="M289" s="420"/>
      <c r="N289" s="420"/>
      <c r="O289" s="420"/>
      <c r="P289" s="420"/>
      <c r="Q289" s="420"/>
      <c r="R289" s="420"/>
      <c r="S289" s="420"/>
      <c r="T289" s="420"/>
      <c r="U289" s="639"/>
      <c r="V289" s="416"/>
    </row>
    <row r="290" spans="1:22" ht="18" x14ac:dyDescent="0.35">
      <c r="A290" s="418"/>
      <c r="B290" s="622" t="s">
        <v>353</v>
      </c>
      <c r="C290" s="619"/>
      <c r="D290" s="619"/>
      <c r="E290" s="619"/>
      <c r="F290" s="619"/>
      <c r="G290" s="619"/>
      <c r="H290" s="621"/>
      <c r="I290" s="621"/>
      <c r="J290" s="621"/>
      <c r="K290" s="621"/>
      <c r="L290" s="420"/>
      <c r="M290" s="420"/>
      <c r="N290" s="623"/>
      <c r="O290" s="420"/>
      <c r="P290" s="624" t="s">
        <v>356</v>
      </c>
      <c r="Q290" s="420"/>
      <c r="R290" s="420"/>
      <c r="S290" s="420"/>
      <c r="T290" s="420"/>
      <c r="U290" s="639"/>
      <c r="V290" s="416"/>
    </row>
    <row r="291" spans="1:22" x14ac:dyDescent="0.3">
      <c r="A291" s="418"/>
      <c r="B291" s="619"/>
      <c r="C291" s="619"/>
      <c r="D291" s="619"/>
      <c r="E291" s="619"/>
      <c r="F291" s="619"/>
      <c r="G291" s="619"/>
      <c r="H291" s="621"/>
      <c r="I291" s="621"/>
      <c r="J291" s="621"/>
      <c r="K291" s="621"/>
      <c r="L291" s="420"/>
      <c r="M291" s="420"/>
      <c r="N291" s="420"/>
      <c r="O291" s="420"/>
      <c r="P291" s="420"/>
      <c r="Q291" s="420"/>
      <c r="R291" s="420"/>
      <c r="S291" s="420"/>
      <c r="T291" s="420"/>
      <c r="U291" s="639"/>
      <c r="V291" s="416"/>
    </row>
    <row r="292" spans="1:22" ht="18.600000000000001" thickBot="1" x14ac:dyDescent="0.4">
      <c r="A292" s="418"/>
      <c r="B292" s="625" t="str">
        <f>B192</f>
        <v>PM11 INVESTOR REPORT QUARTER ENDING JUNE 2019</v>
      </c>
      <c r="C292" s="619"/>
      <c r="D292" s="619"/>
      <c r="E292" s="619"/>
      <c r="F292" s="619"/>
      <c r="G292" s="619"/>
      <c r="H292" s="621"/>
      <c r="I292" s="621"/>
      <c r="J292" s="621"/>
      <c r="K292" s="621"/>
      <c r="L292" s="420"/>
      <c r="M292" s="420"/>
      <c r="N292" s="420"/>
      <c r="O292" s="420"/>
      <c r="P292" s="420"/>
      <c r="Q292" s="420"/>
      <c r="R292" s="420"/>
      <c r="S292" s="420"/>
      <c r="T292" s="420"/>
      <c r="U292" s="556"/>
      <c r="V292" s="416"/>
    </row>
    <row r="293" spans="1:22" x14ac:dyDescent="0.3">
      <c r="A293" s="626"/>
      <c r="B293" s="626"/>
      <c r="C293" s="626"/>
      <c r="D293" s="626"/>
      <c r="E293" s="626"/>
      <c r="F293" s="626"/>
      <c r="G293" s="626"/>
      <c r="H293" s="626"/>
      <c r="I293" s="626"/>
      <c r="J293" s="626"/>
      <c r="K293" s="626"/>
      <c r="L293" s="626"/>
      <c r="M293" s="626"/>
      <c r="N293" s="626"/>
      <c r="O293" s="626"/>
      <c r="P293" s="626"/>
      <c r="Q293" s="626"/>
      <c r="R293" s="626"/>
      <c r="S293" s="626"/>
      <c r="T293" s="626"/>
      <c r="U293" s="626"/>
    </row>
  </sheetData>
  <hyperlinks>
    <hyperlink ref="J9" r:id="rId1" display="http://www.paragon-group.co.uk" xr:uid="{E04F66FC-EB4E-4200-95B4-96EF3D32EDDB}"/>
    <hyperlink ref="P290" r:id="rId2" display="http://www.paragon-group.co.uk" xr:uid="{1B3ED89C-1815-4710-98D7-E42BA7DDD16A}"/>
    <hyperlink ref="N228" r:id="rId3" display="http://www.paragon-group.co.uk" xr:uid="{62039D6B-AA25-4383-AEF3-0E278F00081B}"/>
  </hyperlinks>
  <printOptions horizontalCentered="1" verticalCentered="1"/>
  <pageMargins left="0.19685039370078741" right="0.19685039370078741" top="0.27559055118110237" bottom="0.27559055118110237" header="0" footer="0"/>
  <pageSetup scale="40" orientation="landscape" r:id="rId4"/>
  <headerFooter alignWithMargins="0"/>
  <rowBreaks count="3" manualBreakCount="3">
    <brk id="63" max="20" man="1"/>
    <brk id="132" max="20" man="1"/>
    <brk id="192" max="20" man="1"/>
  </rowBreaks>
  <drawing r:id="rId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AD8C8-16CE-4DBF-AE30-8C6EF4A20EF5}">
  <sheetPr>
    <tabColor rgb="FF2D2926"/>
  </sheetPr>
  <dimension ref="A1:X296"/>
  <sheetViews>
    <sheetView showGridLines="0" showOutlineSymbols="0" zoomScale="70" zoomScaleNormal="70" workbookViewId="0"/>
  </sheetViews>
  <sheetFormatPr defaultColWidth="9.81640625" defaultRowHeight="15.6" x14ac:dyDescent="0.3"/>
  <cols>
    <col min="1" max="1" width="4" style="417" customWidth="1"/>
    <col min="2" max="2" width="71.08984375" style="417" customWidth="1"/>
    <col min="3" max="3" width="2.08984375" style="417" customWidth="1"/>
    <col min="4" max="4" width="19.1796875" style="417" customWidth="1"/>
    <col min="5" max="5" width="2.08984375" style="417" customWidth="1"/>
    <col min="6" max="6" width="25.08984375" style="417" customWidth="1"/>
    <col min="7" max="7" width="2.08984375" style="417" customWidth="1"/>
    <col min="8" max="8" width="16.08984375" style="417" customWidth="1"/>
    <col min="9" max="9" width="2.08984375" style="417" customWidth="1"/>
    <col min="10" max="10" width="17.81640625" style="417" customWidth="1"/>
    <col min="11" max="11" width="2.1796875" style="417" customWidth="1"/>
    <col min="12" max="12" width="14.81640625" style="417" customWidth="1"/>
    <col min="13" max="13" width="2.1796875" style="417" customWidth="1"/>
    <col min="14" max="14" width="15.54296875" style="417" customWidth="1"/>
    <col min="15" max="15" width="2.08984375" style="417" customWidth="1"/>
    <col min="16" max="16" width="15.54296875" style="417" customWidth="1"/>
    <col min="17" max="18" width="12.81640625" style="417" customWidth="1"/>
    <col min="19" max="19" width="7.81640625" style="417" customWidth="1"/>
    <col min="20" max="20" width="14.81640625" style="417" customWidth="1"/>
    <col min="21" max="21" width="11.81640625" style="417" customWidth="1"/>
    <col min="22" max="16384" width="9.81640625" style="417"/>
  </cols>
  <sheetData>
    <row r="1" spans="1:22" ht="21" x14ac:dyDescent="0.4">
      <c r="A1" s="413"/>
      <c r="B1" s="414" t="s">
        <v>228</v>
      </c>
      <c r="C1" s="415"/>
      <c r="D1" s="415"/>
      <c r="E1" s="415"/>
      <c r="F1" s="415"/>
      <c r="G1" s="415"/>
      <c r="H1" s="415"/>
      <c r="I1" s="415"/>
      <c r="J1" s="415"/>
      <c r="K1" s="415"/>
      <c r="L1" s="415"/>
      <c r="M1" s="415"/>
      <c r="N1" s="415"/>
      <c r="O1" s="415"/>
      <c r="P1" s="415"/>
      <c r="Q1" s="415"/>
      <c r="R1" s="415"/>
      <c r="S1" s="415"/>
      <c r="T1" s="415"/>
      <c r="U1" s="638"/>
      <c r="V1" s="416"/>
    </row>
    <row r="2" spans="1:22" x14ac:dyDescent="0.3">
      <c r="A2" s="418"/>
      <c r="B2" s="419"/>
      <c r="C2" s="420"/>
      <c r="D2" s="420"/>
      <c r="E2" s="420"/>
      <c r="F2" s="420"/>
      <c r="G2" s="420"/>
      <c r="H2" s="420"/>
      <c r="I2" s="420"/>
      <c r="J2" s="420"/>
      <c r="K2" s="420"/>
      <c r="L2" s="420"/>
      <c r="M2" s="420"/>
      <c r="N2" s="420"/>
      <c r="O2" s="420"/>
      <c r="P2" s="420"/>
      <c r="Q2" s="420"/>
      <c r="R2" s="420"/>
      <c r="S2" s="420"/>
      <c r="T2" s="420"/>
      <c r="U2" s="639"/>
      <c r="V2" s="416"/>
    </row>
    <row r="3" spans="1:22" x14ac:dyDescent="0.3">
      <c r="A3" s="421"/>
      <c r="B3" s="422" t="s">
        <v>229</v>
      </c>
      <c r="C3" s="420"/>
      <c r="D3" s="420"/>
      <c r="E3" s="420"/>
      <c r="F3" s="420"/>
      <c r="G3" s="420"/>
      <c r="H3" s="420"/>
      <c r="I3" s="420"/>
      <c r="J3" s="420"/>
      <c r="K3" s="420"/>
      <c r="L3" s="420"/>
      <c r="M3" s="420"/>
      <c r="N3" s="420"/>
      <c r="O3" s="420"/>
      <c r="P3" s="420"/>
      <c r="Q3" s="420"/>
      <c r="R3" s="420"/>
      <c r="S3" s="420"/>
      <c r="T3" s="420"/>
      <c r="U3" s="639"/>
      <c r="V3" s="416"/>
    </row>
    <row r="4" spans="1:22" x14ac:dyDescent="0.3">
      <c r="A4" s="418"/>
      <c r="B4" s="419"/>
      <c r="C4" s="420"/>
      <c r="D4" s="420"/>
      <c r="E4" s="420"/>
      <c r="F4" s="420"/>
      <c r="G4" s="420"/>
      <c r="H4" s="420"/>
      <c r="I4" s="420"/>
      <c r="J4" s="420"/>
      <c r="K4" s="420"/>
      <c r="L4" s="420"/>
      <c r="M4" s="420"/>
      <c r="N4" s="420"/>
      <c r="O4" s="420"/>
      <c r="P4" s="420"/>
      <c r="Q4" s="420"/>
      <c r="R4" s="420"/>
      <c r="S4" s="420"/>
      <c r="T4" s="420"/>
      <c r="U4" s="639"/>
      <c r="V4" s="416"/>
    </row>
    <row r="5" spans="1:22" x14ac:dyDescent="0.3">
      <c r="A5" s="418"/>
      <c r="B5" s="423" t="s">
        <v>143</v>
      </c>
      <c r="C5" s="420"/>
      <c r="D5" s="420"/>
      <c r="E5" s="420"/>
      <c r="F5" s="420"/>
      <c r="G5" s="420"/>
      <c r="H5" s="420"/>
      <c r="I5" s="420"/>
      <c r="J5" s="420"/>
      <c r="K5" s="420"/>
      <c r="L5" s="420"/>
      <c r="M5" s="420"/>
      <c r="N5" s="420"/>
      <c r="O5" s="420"/>
      <c r="P5" s="420"/>
      <c r="Q5" s="420"/>
      <c r="R5" s="420"/>
      <c r="S5" s="420"/>
      <c r="T5" s="420"/>
      <c r="U5" s="639"/>
      <c r="V5" s="416"/>
    </row>
    <row r="6" spans="1:22" x14ac:dyDescent="0.3">
      <c r="A6" s="418"/>
      <c r="B6" s="423" t="s">
        <v>145</v>
      </c>
      <c r="C6" s="420"/>
      <c r="D6" s="420"/>
      <c r="E6" s="420"/>
      <c r="F6" s="420"/>
      <c r="G6" s="420"/>
      <c r="H6" s="420"/>
      <c r="I6" s="420"/>
      <c r="J6" s="420"/>
      <c r="K6" s="420"/>
      <c r="L6" s="420"/>
      <c r="M6" s="420"/>
      <c r="N6" s="420"/>
      <c r="O6" s="420"/>
      <c r="P6" s="420"/>
      <c r="Q6" s="420"/>
      <c r="R6" s="420"/>
      <c r="S6" s="420"/>
      <c r="T6" s="420"/>
      <c r="U6" s="639"/>
      <c r="V6" s="416"/>
    </row>
    <row r="7" spans="1:22" x14ac:dyDescent="0.3">
      <c r="A7" s="418"/>
      <c r="B7" s="423" t="s">
        <v>144</v>
      </c>
      <c r="C7" s="420"/>
      <c r="D7" s="420"/>
      <c r="E7" s="420"/>
      <c r="F7" s="420"/>
      <c r="G7" s="420"/>
      <c r="H7" s="420"/>
      <c r="I7" s="420"/>
      <c r="J7" s="420"/>
      <c r="K7" s="420"/>
      <c r="L7" s="420"/>
      <c r="M7" s="420"/>
      <c r="N7" s="420"/>
      <c r="O7" s="420"/>
      <c r="P7" s="420"/>
      <c r="Q7" s="420"/>
      <c r="R7" s="420"/>
      <c r="S7" s="420"/>
      <c r="T7" s="420"/>
      <c r="U7" s="639"/>
      <c r="V7" s="416"/>
    </row>
    <row r="8" spans="1:22" x14ac:dyDescent="0.3">
      <c r="A8" s="418"/>
      <c r="B8" s="424"/>
      <c r="C8" s="420"/>
      <c r="D8" s="420"/>
      <c r="E8" s="420"/>
      <c r="F8" s="420"/>
      <c r="G8" s="420"/>
      <c r="H8" s="420"/>
      <c r="I8" s="420"/>
      <c r="J8" s="420"/>
      <c r="K8" s="420"/>
      <c r="L8" s="420"/>
      <c r="M8" s="420"/>
      <c r="N8" s="420"/>
      <c r="O8" s="420"/>
      <c r="P8" s="420"/>
      <c r="Q8" s="420"/>
      <c r="R8" s="420"/>
      <c r="S8" s="420"/>
      <c r="T8" s="420"/>
      <c r="U8" s="639"/>
      <c r="V8" s="416"/>
    </row>
    <row r="9" spans="1:22" x14ac:dyDescent="0.3">
      <c r="A9" s="418"/>
      <c r="B9" s="422" t="s">
        <v>173</v>
      </c>
      <c r="C9" s="420"/>
      <c r="D9" s="420"/>
      <c r="E9" s="420"/>
      <c r="F9" s="420"/>
      <c r="G9" s="420"/>
      <c r="H9" s="420"/>
      <c r="I9" s="420"/>
      <c r="J9" s="425" t="s">
        <v>356</v>
      </c>
      <c r="K9" s="420"/>
      <c r="L9" s="426"/>
      <c r="M9" s="420"/>
      <c r="N9" s="420"/>
      <c r="O9" s="420"/>
      <c r="P9" s="420"/>
      <c r="Q9" s="420"/>
      <c r="R9" s="420"/>
      <c r="S9" s="420"/>
      <c r="T9" s="420"/>
      <c r="U9" s="639"/>
      <c r="V9" s="416"/>
    </row>
    <row r="10" spans="1:22" x14ac:dyDescent="0.3">
      <c r="A10" s="418"/>
      <c r="B10" s="424"/>
      <c r="C10" s="427"/>
      <c r="D10" s="427"/>
      <c r="E10" s="427"/>
      <c r="F10" s="420"/>
      <c r="G10" s="420"/>
      <c r="H10" s="420"/>
      <c r="I10" s="420"/>
      <c r="J10" s="420"/>
      <c r="K10" s="420"/>
      <c r="L10" s="420"/>
      <c r="M10" s="420"/>
      <c r="N10" s="420"/>
      <c r="O10" s="420"/>
      <c r="P10" s="420"/>
      <c r="Q10" s="420"/>
      <c r="R10" s="420"/>
      <c r="S10" s="420"/>
      <c r="T10" s="420"/>
      <c r="U10" s="639"/>
      <c r="V10" s="416"/>
    </row>
    <row r="11" spans="1:22" x14ac:dyDescent="0.3">
      <c r="A11" s="418"/>
      <c r="B11" s="428" t="s">
        <v>0</v>
      </c>
      <c r="C11" s="420"/>
      <c r="D11" s="420"/>
      <c r="E11" s="420"/>
      <c r="F11" s="420"/>
      <c r="G11" s="420"/>
      <c r="H11" s="420"/>
      <c r="I11" s="420"/>
      <c r="J11" s="420"/>
      <c r="K11" s="420"/>
      <c r="L11" s="420"/>
      <c r="M11" s="420"/>
      <c r="N11" s="420"/>
      <c r="O11" s="420"/>
      <c r="P11" s="420"/>
      <c r="Q11" s="420"/>
      <c r="R11" s="420"/>
      <c r="S11" s="420"/>
      <c r="T11" s="420"/>
      <c r="U11" s="639"/>
      <c r="V11" s="416"/>
    </row>
    <row r="12" spans="1:22" ht="16.2" thickBot="1" x14ac:dyDescent="0.35">
      <c r="A12" s="418"/>
      <c r="B12" s="427"/>
      <c r="C12" s="420"/>
      <c r="D12" s="420"/>
      <c r="E12" s="420"/>
      <c r="F12" s="420"/>
      <c r="G12" s="420"/>
      <c r="H12" s="420"/>
      <c r="I12" s="420"/>
      <c r="J12" s="420"/>
      <c r="K12" s="420"/>
      <c r="L12" s="420"/>
      <c r="M12" s="420"/>
      <c r="N12" s="420"/>
      <c r="O12" s="420"/>
      <c r="P12" s="420"/>
      <c r="Q12" s="420"/>
      <c r="R12" s="420"/>
      <c r="S12" s="420"/>
      <c r="T12" s="420"/>
      <c r="U12" s="639"/>
      <c r="V12" s="416"/>
    </row>
    <row r="13" spans="1:22" s="431" customFormat="1" x14ac:dyDescent="0.3">
      <c r="A13" s="413"/>
      <c r="B13" s="429"/>
      <c r="C13" s="429"/>
      <c r="D13" s="429"/>
      <c r="E13" s="429"/>
      <c r="F13" s="429"/>
      <c r="G13" s="429"/>
      <c r="H13" s="429"/>
      <c r="I13" s="429"/>
      <c r="J13" s="429"/>
      <c r="K13" s="429"/>
      <c r="L13" s="429"/>
      <c r="M13" s="429"/>
      <c r="N13" s="429"/>
      <c r="O13" s="429"/>
      <c r="P13" s="429"/>
      <c r="Q13" s="429"/>
      <c r="R13" s="429"/>
      <c r="S13" s="429"/>
      <c r="T13" s="429"/>
      <c r="U13" s="640"/>
      <c r="V13" s="430"/>
    </row>
    <row r="14" spans="1:22" s="431" customFormat="1" x14ac:dyDescent="0.3">
      <c r="A14" s="432"/>
      <c r="B14" s="428" t="s">
        <v>1</v>
      </c>
      <c r="C14" s="433"/>
      <c r="D14" s="433"/>
      <c r="E14" s="433"/>
      <c r="F14" s="433"/>
      <c r="G14" s="433"/>
      <c r="H14" s="433"/>
      <c r="I14" s="433"/>
      <c r="J14" s="433"/>
      <c r="K14" s="433"/>
      <c r="L14" s="433"/>
      <c r="M14" s="433"/>
      <c r="N14" s="433"/>
      <c r="O14" s="433"/>
      <c r="P14" s="433"/>
      <c r="Q14" s="433"/>
      <c r="R14" s="433"/>
      <c r="S14" s="433"/>
      <c r="T14" s="434" t="s">
        <v>230</v>
      </c>
      <c r="U14" s="641"/>
      <c r="V14" s="430"/>
    </row>
    <row r="15" spans="1:22" s="431" customFormat="1" x14ac:dyDescent="0.3">
      <c r="A15" s="432"/>
      <c r="B15" s="428" t="s">
        <v>2</v>
      </c>
      <c r="C15" s="433"/>
      <c r="D15" s="433"/>
      <c r="E15" s="433"/>
      <c r="F15" s="433"/>
      <c r="G15" s="433"/>
      <c r="H15" s="435"/>
      <c r="I15" s="435"/>
      <c r="J15" s="435"/>
      <c r="K15" s="435"/>
      <c r="L15" s="435"/>
      <c r="M15" s="435"/>
      <c r="N15" s="435"/>
      <c r="O15" s="435"/>
      <c r="P15" s="435" t="s">
        <v>107</v>
      </c>
      <c r="Q15" s="436">
        <v>0.40749999999999997</v>
      </c>
      <c r="R15" s="437" t="s">
        <v>146</v>
      </c>
      <c r="S15" s="436">
        <v>0.59250000000000003</v>
      </c>
      <c r="T15" s="434"/>
      <c r="U15" s="641"/>
      <c r="V15" s="430"/>
    </row>
    <row r="16" spans="1:22" s="431" customFormat="1" x14ac:dyDescent="0.3">
      <c r="A16" s="432"/>
      <c r="B16" s="428" t="s">
        <v>3</v>
      </c>
      <c r="C16" s="433"/>
      <c r="D16" s="433"/>
      <c r="E16" s="433"/>
      <c r="F16" s="433"/>
      <c r="G16" s="433"/>
      <c r="H16" s="435"/>
      <c r="I16" s="435"/>
      <c r="J16" s="435"/>
      <c r="K16" s="435"/>
      <c r="L16" s="435"/>
      <c r="M16" s="435"/>
      <c r="N16" s="435"/>
      <c r="O16" s="435"/>
      <c r="P16" s="435" t="s">
        <v>107</v>
      </c>
      <c r="Q16" s="436">
        <v>0.49809999999999999</v>
      </c>
      <c r="R16" s="437" t="s">
        <v>146</v>
      </c>
      <c r="S16" s="436">
        <v>0.50190000000000001</v>
      </c>
      <c r="T16" s="434"/>
      <c r="U16" s="641"/>
      <c r="V16" s="430"/>
    </row>
    <row r="17" spans="1:22" s="431" customFormat="1" x14ac:dyDescent="0.3">
      <c r="A17" s="432"/>
      <c r="B17" s="428" t="s">
        <v>4</v>
      </c>
      <c r="C17" s="433"/>
      <c r="D17" s="433"/>
      <c r="E17" s="433"/>
      <c r="F17" s="433"/>
      <c r="G17" s="433"/>
      <c r="H17" s="433"/>
      <c r="I17" s="433"/>
      <c r="J17" s="433"/>
      <c r="K17" s="433"/>
      <c r="L17" s="433"/>
      <c r="M17" s="433"/>
      <c r="N17" s="433"/>
      <c r="O17" s="433"/>
      <c r="P17" s="433"/>
      <c r="Q17" s="433"/>
      <c r="R17" s="433"/>
      <c r="S17" s="433"/>
      <c r="T17" s="438">
        <v>38799</v>
      </c>
      <c r="U17" s="641"/>
      <c r="V17" s="430"/>
    </row>
    <row r="18" spans="1:22" s="431" customFormat="1" x14ac:dyDescent="0.3">
      <c r="A18" s="432"/>
      <c r="B18" s="428" t="s">
        <v>5</v>
      </c>
      <c r="C18" s="433"/>
      <c r="D18" s="433"/>
      <c r="E18" s="433"/>
      <c r="F18" s="433"/>
      <c r="G18" s="433"/>
      <c r="H18" s="433"/>
      <c r="I18" s="433"/>
      <c r="J18" s="433"/>
      <c r="K18" s="433"/>
      <c r="L18" s="433"/>
      <c r="M18" s="433"/>
      <c r="N18" s="433"/>
      <c r="O18" s="433"/>
      <c r="P18" s="433"/>
      <c r="Q18" s="433"/>
      <c r="R18" s="433"/>
      <c r="S18" s="433"/>
      <c r="T18" s="438">
        <v>43754</v>
      </c>
      <c r="U18" s="641"/>
      <c r="V18" s="430"/>
    </row>
    <row r="19" spans="1:22" s="431" customFormat="1" x14ac:dyDescent="0.3">
      <c r="A19" s="432"/>
      <c r="B19" s="433"/>
      <c r="C19" s="433"/>
      <c r="D19" s="433"/>
      <c r="E19" s="433"/>
      <c r="F19" s="433"/>
      <c r="G19" s="433"/>
      <c r="H19" s="433"/>
      <c r="I19" s="433"/>
      <c r="J19" s="433"/>
      <c r="K19" s="433"/>
      <c r="L19" s="433"/>
      <c r="M19" s="433"/>
      <c r="N19" s="433"/>
      <c r="O19" s="433"/>
      <c r="P19" s="433"/>
      <c r="Q19" s="433"/>
      <c r="R19" s="433"/>
      <c r="S19" s="433"/>
      <c r="T19" s="439"/>
      <c r="U19" s="641"/>
      <c r="V19" s="430"/>
    </row>
    <row r="20" spans="1:22" s="431" customFormat="1" x14ac:dyDescent="0.3">
      <c r="A20" s="432"/>
      <c r="B20" s="440" t="s">
        <v>6</v>
      </c>
      <c r="C20" s="433"/>
      <c r="D20" s="433"/>
      <c r="E20" s="433"/>
      <c r="F20" s="433"/>
      <c r="G20" s="433"/>
      <c r="H20" s="433"/>
      <c r="I20" s="433"/>
      <c r="J20" s="433"/>
      <c r="K20" s="433"/>
      <c r="L20" s="433"/>
      <c r="M20" s="433"/>
      <c r="N20" s="433"/>
      <c r="O20" s="433"/>
      <c r="P20" s="433"/>
      <c r="Q20" s="433"/>
      <c r="R20" s="439" t="s">
        <v>108</v>
      </c>
      <c r="S20" s="433"/>
      <c r="T20" s="433"/>
      <c r="U20" s="641"/>
      <c r="V20" s="430"/>
    </row>
    <row r="21" spans="1:22" x14ac:dyDescent="0.3">
      <c r="A21" s="418"/>
      <c r="B21" s="420"/>
      <c r="C21" s="420"/>
      <c r="D21" s="420"/>
      <c r="E21" s="420"/>
      <c r="F21" s="420"/>
      <c r="G21" s="420"/>
      <c r="H21" s="420"/>
      <c r="I21" s="420"/>
      <c r="J21" s="420"/>
      <c r="K21" s="420"/>
      <c r="L21" s="420"/>
      <c r="M21" s="420"/>
      <c r="N21" s="420"/>
      <c r="O21" s="420"/>
      <c r="P21" s="420"/>
      <c r="Q21" s="420"/>
      <c r="R21" s="420"/>
      <c r="S21" s="420"/>
      <c r="T21" s="441"/>
      <c r="U21" s="639"/>
      <c r="V21" s="416"/>
    </row>
    <row r="22" spans="1:22" x14ac:dyDescent="0.3">
      <c r="A22" s="442"/>
      <c r="B22" s="443"/>
      <c r="C22" s="444"/>
      <c r="D22" s="444" t="s">
        <v>184</v>
      </c>
      <c r="E22" s="444"/>
      <c r="F22" s="444" t="s">
        <v>185</v>
      </c>
      <c r="G22" s="444"/>
      <c r="H22" s="444" t="s">
        <v>186</v>
      </c>
      <c r="I22" s="444"/>
      <c r="J22" s="444" t="s">
        <v>187</v>
      </c>
      <c r="K22" s="444"/>
      <c r="L22" s="444" t="s">
        <v>188</v>
      </c>
      <c r="M22" s="444"/>
      <c r="N22" s="444" t="s">
        <v>189</v>
      </c>
      <c r="O22" s="444"/>
      <c r="P22" s="444"/>
      <c r="Q22" s="445"/>
      <c r="R22" s="445"/>
      <c r="S22" s="443"/>
      <c r="T22" s="443"/>
      <c r="U22" s="446"/>
      <c r="V22" s="416"/>
    </row>
    <row r="23" spans="1:22" s="431" customFormat="1" x14ac:dyDescent="0.3">
      <c r="A23" s="432"/>
      <c r="B23" s="447" t="s">
        <v>7</v>
      </c>
      <c r="C23" s="448"/>
      <c r="D23" s="448" t="s">
        <v>222</v>
      </c>
      <c r="E23" s="448"/>
      <c r="F23" s="448" t="s">
        <v>147</v>
      </c>
      <c r="G23" s="448"/>
      <c r="H23" s="448" t="s">
        <v>147</v>
      </c>
      <c r="I23" s="448"/>
      <c r="J23" s="448" t="s">
        <v>190</v>
      </c>
      <c r="K23" s="448"/>
      <c r="L23" s="448" t="s">
        <v>190</v>
      </c>
      <c r="M23" s="448"/>
      <c r="N23" s="448" t="s">
        <v>148</v>
      </c>
      <c r="O23" s="448"/>
      <c r="P23" s="448"/>
      <c r="Q23" s="448"/>
      <c r="R23" s="448"/>
      <c r="S23" s="447"/>
      <c r="T23" s="447"/>
      <c r="U23" s="641"/>
      <c r="V23" s="430"/>
    </row>
    <row r="24" spans="1:22" s="431" customFormat="1" x14ac:dyDescent="0.3">
      <c r="A24" s="449"/>
      <c r="B24" s="450" t="s">
        <v>8</v>
      </c>
      <c r="C24" s="451"/>
      <c r="D24" s="451" t="s">
        <v>223</v>
      </c>
      <c r="E24" s="451"/>
      <c r="F24" s="451" t="s">
        <v>149</v>
      </c>
      <c r="G24" s="451"/>
      <c r="H24" s="451" t="s">
        <v>149</v>
      </c>
      <c r="I24" s="451"/>
      <c r="J24" s="451" t="s">
        <v>172</v>
      </c>
      <c r="K24" s="451"/>
      <c r="L24" s="451" t="s">
        <v>172</v>
      </c>
      <c r="M24" s="451"/>
      <c r="N24" s="451" t="s">
        <v>150</v>
      </c>
      <c r="O24" s="451"/>
      <c r="P24" s="451"/>
      <c r="Q24" s="451"/>
      <c r="R24" s="451"/>
      <c r="S24" s="450"/>
      <c r="T24" s="450"/>
      <c r="U24" s="452"/>
      <c r="V24" s="430"/>
    </row>
    <row r="25" spans="1:22" s="431" customFormat="1" x14ac:dyDescent="0.3">
      <c r="A25" s="453"/>
      <c r="B25" s="450" t="s">
        <v>198</v>
      </c>
      <c r="C25" s="454"/>
      <c r="D25" s="451" t="s">
        <v>224</v>
      </c>
      <c r="E25" s="451"/>
      <c r="F25" s="451" t="s">
        <v>149</v>
      </c>
      <c r="G25" s="451"/>
      <c r="H25" s="451" t="s">
        <v>149</v>
      </c>
      <c r="I25" s="451"/>
      <c r="J25" s="451" t="s">
        <v>172</v>
      </c>
      <c r="K25" s="451"/>
      <c r="L25" s="451" t="s">
        <v>172</v>
      </c>
      <c r="M25" s="451"/>
      <c r="N25" s="451" t="s">
        <v>150</v>
      </c>
      <c r="O25" s="451"/>
      <c r="P25" s="451"/>
      <c r="Q25" s="454"/>
      <c r="R25" s="451"/>
      <c r="S25" s="450"/>
      <c r="T25" s="450"/>
      <c r="U25" s="452"/>
      <c r="V25" s="430"/>
    </row>
    <row r="26" spans="1:22" s="431" customFormat="1" x14ac:dyDescent="0.3">
      <c r="A26" s="453"/>
      <c r="B26" s="455" t="s">
        <v>9</v>
      </c>
      <c r="C26" s="454"/>
      <c r="D26" s="454" t="s">
        <v>147</v>
      </c>
      <c r="E26" s="454"/>
      <c r="F26" s="454" t="s">
        <v>147</v>
      </c>
      <c r="G26" s="454"/>
      <c r="H26" s="454" t="s">
        <v>147</v>
      </c>
      <c r="I26" s="454"/>
      <c r="J26" s="454" t="s">
        <v>190</v>
      </c>
      <c r="K26" s="454"/>
      <c r="L26" s="454" t="s">
        <v>190</v>
      </c>
      <c r="M26" s="454"/>
      <c r="N26" s="454" t="s">
        <v>148</v>
      </c>
      <c r="O26" s="454"/>
      <c r="P26" s="454"/>
      <c r="Q26" s="454"/>
      <c r="R26" s="451"/>
      <c r="S26" s="450"/>
      <c r="T26" s="450"/>
      <c r="U26" s="452"/>
      <c r="V26" s="430"/>
    </row>
    <row r="27" spans="1:22" s="431" customFormat="1" x14ac:dyDescent="0.3">
      <c r="A27" s="449"/>
      <c r="B27" s="455" t="s">
        <v>199</v>
      </c>
      <c r="C27" s="451"/>
      <c r="D27" s="454" t="s">
        <v>149</v>
      </c>
      <c r="E27" s="454"/>
      <c r="F27" s="454" t="s">
        <v>149</v>
      </c>
      <c r="G27" s="454"/>
      <c r="H27" s="454" t="s">
        <v>149</v>
      </c>
      <c r="I27" s="454"/>
      <c r="J27" s="454" t="s">
        <v>322</v>
      </c>
      <c r="K27" s="454"/>
      <c r="L27" s="454" t="s">
        <v>322</v>
      </c>
      <c r="M27" s="454"/>
      <c r="N27" s="454" t="s">
        <v>345</v>
      </c>
      <c r="O27" s="454"/>
      <c r="P27" s="454"/>
      <c r="Q27" s="451"/>
      <c r="R27" s="456"/>
      <c r="S27" s="450"/>
      <c r="T27" s="450"/>
      <c r="U27" s="452"/>
      <c r="V27" s="430"/>
    </row>
    <row r="28" spans="1:22" s="431" customFormat="1" x14ac:dyDescent="0.3">
      <c r="A28" s="449"/>
      <c r="B28" s="455" t="s">
        <v>200</v>
      </c>
      <c r="C28" s="451"/>
      <c r="D28" s="454" t="s">
        <v>149</v>
      </c>
      <c r="E28" s="454"/>
      <c r="F28" s="454" t="s">
        <v>149</v>
      </c>
      <c r="G28" s="454"/>
      <c r="H28" s="454" t="s">
        <v>149</v>
      </c>
      <c r="I28" s="454"/>
      <c r="J28" s="454" t="s">
        <v>149</v>
      </c>
      <c r="K28" s="454"/>
      <c r="L28" s="454" t="s">
        <v>149</v>
      </c>
      <c r="M28" s="454"/>
      <c r="N28" s="454" t="s">
        <v>346</v>
      </c>
      <c r="O28" s="454"/>
      <c r="P28" s="454"/>
      <c r="Q28" s="451"/>
      <c r="R28" s="456"/>
      <c r="S28" s="450"/>
      <c r="T28" s="450"/>
      <c r="U28" s="452"/>
      <c r="V28" s="430"/>
    </row>
    <row r="29" spans="1:22" s="431" customFormat="1" x14ac:dyDescent="0.3">
      <c r="A29" s="449"/>
      <c r="B29" s="450" t="s">
        <v>10</v>
      </c>
      <c r="C29" s="457"/>
      <c r="D29" s="451" t="s">
        <v>237</v>
      </c>
      <c r="E29" s="451"/>
      <c r="F29" s="456" t="s">
        <v>238</v>
      </c>
      <c r="G29" s="451"/>
      <c r="H29" s="451" t="s">
        <v>239</v>
      </c>
      <c r="I29" s="451"/>
      <c r="J29" s="451" t="s">
        <v>240</v>
      </c>
      <c r="K29" s="451"/>
      <c r="L29" s="451" t="s">
        <v>241</v>
      </c>
      <c r="M29" s="451"/>
      <c r="N29" s="451" t="s">
        <v>242</v>
      </c>
      <c r="O29" s="451"/>
      <c r="P29" s="451"/>
      <c r="Q29" s="458"/>
      <c r="R29" s="458"/>
      <c r="S29" s="457"/>
      <c r="T29" s="458"/>
      <c r="U29" s="459"/>
      <c r="V29" s="430"/>
    </row>
    <row r="30" spans="1:22" s="431" customFormat="1" x14ac:dyDescent="0.3">
      <c r="A30" s="449"/>
      <c r="B30" s="450" t="s">
        <v>10</v>
      </c>
      <c r="C30" s="457"/>
      <c r="D30" s="451" t="s">
        <v>236</v>
      </c>
      <c r="E30" s="451"/>
      <c r="F30" s="456" t="s">
        <v>124</v>
      </c>
      <c r="G30" s="451"/>
      <c r="H30" s="451" t="s">
        <v>124</v>
      </c>
      <c r="I30" s="451"/>
      <c r="J30" s="451" t="s">
        <v>124</v>
      </c>
      <c r="K30" s="451"/>
      <c r="L30" s="451" t="s">
        <v>124</v>
      </c>
      <c r="M30" s="451"/>
      <c r="N30" s="451" t="s">
        <v>124</v>
      </c>
      <c r="O30" s="451"/>
      <c r="P30" s="451"/>
      <c r="Q30" s="458"/>
      <c r="R30" s="458"/>
      <c r="S30" s="457"/>
      <c r="T30" s="458"/>
      <c r="U30" s="459"/>
      <c r="V30" s="430"/>
    </row>
    <row r="31" spans="1:22" s="431" customFormat="1" x14ac:dyDescent="0.3">
      <c r="A31" s="453"/>
      <c r="B31" s="450" t="s">
        <v>139</v>
      </c>
      <c r="C31" s="460"/>
      <c r="D31" s="461">
        <v>985000</v>
      </c>
      <c r="E31" s="457"/>
      <c r="F31" s="458">
        <v>149500</v>
      </c>
      <c r="G31" s="458"/>
      <c r="H31" s="462">
        <v>219700</v>
      </c>
      <c r="I31" s="458"/>
      <c r="J31" s="458">
        <v>16000</v>
      </c>
      <c r="K31" s="458"/>
      <c r="L31" s="462">
        <v>82400</v>
      </c>
      <c r="M31" s="458"/>
      <c r="N31" s="462">
        <v>87500</v>
      </c>
      <c r="O31" s="458"/>
      <c r="P31" s="462"/>
      <c r="Q31" s="463"/>
      <c r="R31" s="463"/>
      <c r="S31" s="460"/>
      <c r="T31" s="463"/>
      <c r="U31" s="459"/>
      <c r="V31" s="430"/>
    </row>
    <row r="32" spans="1:22" s="431" customFormat="1" x14ac:dyDescent="0.3">
      <c r="A32" s="449"/>
      <c r="B32" s="450" t="s">
        <v>138</v>
      </c>
      <c r="C32" s="457"/>
      <c r="D32" s="464">
        <f>D38*D34</f>
        <v>178683.05164200001</v>
      </c>
      <c r="E32" s="457"/>
      <c r="F32" s="458">
        <f>F38*F31</f>
        <v>47090.018300000003</v>
      </c>
      <c r="G32" s="458"/>
      <c r="H32" s="462">
        <f>H38*H31</f>
        <v>69201.852980000011</v>
      </c>
      <c r="I32" s="458"/>
      <c r="J32" s="458">
        <f>J31*J38</f>
        <v>11952.8192</v>
      </c>
      <c r="K32" s="458"/>
      <c r="L32" s="462">
        <f>L31*L38</f>
        <v>61557.018880000003</v>
      </c>
      <c r="M32" s="458"/>
      <c r="N32" s="462">
        <f>N31*N38</f>
        <v>65366.98</v>
      </c>
      <c r="O32" s="458"/>
      <c r="P32" s="462"/>
      <c r="Q32" s="458"/>
      <c r="R32" s="458"/>
      <c r="S32" s="457"/>
      <c r="T32" s="458"/>
      <c r="U32" s="459"/>
      <c r="V32" s="430"/>
    </row>
    <row r="33" spans="1:23" s="431" customFormat="1" x14ac:dyDescent="0.3">
      <c r="A33" s="449"/>
      <c r="B33" s="455" t="s">
        <v>140</v>
      </c>
      <c r="C33" s="457"/>
      <c r="D33" s="465">
        <f>D37*D34</f>
        <v>174880.844037</v>
      </c>
      <c r="E33" s="460"/>
      <c r="F33" s="463">
        <f>F37*F31</f>
        <v>46088.009500000007</v>
      </c>
      <c r="G33" s="463"/>
      <c r="H33" s="466">
        <f>H31*H37</f>
        <v>67729.335700000011</v>
      </c>
      <c r="I33" s="463"/>
      <c r="J33" s="463">
        <f>J31*J37</f>
        <v>11698.4768</v>
      </c>
      <c r="K33" s="463"/>
      <c r="L33" s="466">
        <f>L31*L37</f>
        <v>60247.15552</v>
      </c>
      <c r="M33" s="463"/>
      <c r="N33" s="466">
        <f>N31*N37</f>
        <v>63976.044999999998</v>
      </c>
      <c r="O33" s="463"/>
      <c r="P33" s="466"/>
      <c r="Q33" s="458"/>
      <c r="R33" s="458"/>
      <c r="S33" s="457"/>
      <c r="T33" s="458"/>
      <c r="U33" s="459"/>
      <c r="V33" s="430"/>
    </row>
    <row r="34" spans="1:23" s="431" customFormat="1" x14ac:dyDescent="0.3">
      <c r="A34" s="453"/>
      <c r="B34" s="450" t="s">
        <v>283</v>
      </c>
      <c r="C34" s="460"/>
      <c r="D34" s="458">
        <v>567282</v>
      </c>
      <c r="E34" s="457"/>
      <c r="F34" s="458">
        <v>149500</v>
      </c>
      <c r="G34" s="458"/>
      <c r="H34" s="458">
        <v>150716</v>
      </c>
      <c r="I34" s="458"/>
      <c r="J34" s="458">
        <v>16000</v>
      </c>
      <c r="K34" s="458"/>
      <c r="L34" s="458">
        <v>56527</v>
      </c>
      <c r="M34" s="458"/>
      <c r="N34" s="458">
        <v>60025</v>
      </c>
      <c r="O34" s="458"/>
      <c r="P34" s="458"/>
      <c r="Q34" s="463"/>
      <c r="R34" s="463"/>
      <c r="S34" s="460"/>
      <c r="T34" s="458">
        <f>SUM(C34:P34)</f>
        <v>1000050</v>
      </c>
      <c r="U34" s="459"/>
      <c r="V34" s="430"/>
    </row>
    <row r="35" spans="1:23" s="431" customFormat="1" x14ac:dyDescent="0.3">
      <c r="A35" s="453"/>
      <c r="B35" s="450" t="s">
        <v>284</v>
      </c>
      <c r="C35" s="460"/>
      <c r="D35" s="458">
        <f>D38*D34</f>
        <v>178683.05164200001</v>
      </c>
      <c r="E35" s="457"/>
      <c r="F35" s="458">
        <f>F38*F34</f>
        <v>47090.018300000003</v>
      </c>
      <c r="G35" s="458"/>
      <c r="H35" s="458">
        <f>H38*H34</f>
        <v>47473.038114400006</v>
      </c>
      <c r="I35" s="458"/>
      <c r="J35" s="458">
        <f>J34*J38</f>
        <v>11952.8192</v>
      </c>
      <c r="K35" s="458"/>
      <c r="L35" s="458">
        <f>L34*L38</f>
        <v>42228.563182400001</v>
      </c>
      <c r="M35" s="458"/>
      <c r="N35" s="458">
        <f>N34*N38</f>
        <v>44841.74828</v>
      </c>
      <c r="O35" s="458"/>
      <c r="P35" s="458"/>
      <c r="Q35" s="458"/>
      <c r="R35" s="458"/>
      <c r="S35" s="457"/>
      <c r="T35" s="458">
        <f>SUM(C35:P35)+1</f>
        <v>372270.23871880007</v>
      </c>
      <c r="U35" s="459"/>
      <c r="V35" s="430"/>
    </row>
    <row r="36" spans="1:23" s="431" customFormat="1" x14ac:dyDescent="0.3">
      <c r="A36" s="453"/>
      <c r="B36" s="455" t="s">
        <v>285</v>
      </c>
      <c r="C36" s="460"/>
      <c r="D36" s="463">
        <f>D37*D34</f>
        <v>174880.844037</v>
      </c>
      <c r="E36" s="460"/>
      <c r="F36" s="463">
        <f>F37*F34</f>
        <v>46088.009500000007</v>
      </c>
      <c r="G36" s="463"/>
      <c r="H36" s="463">
        <f>H37*H34</f>
        <v>46462.879196000002</v>
      </c>
      <c r="I36" s="463"/>
      <c r="J36" s="463">
        <f>J37*J34</f>
        <v>11698.4768</v>
      </c>
      <c r="K36" s="463"/>
      <c r="L36" s="463">
        <f>L37*L34</f>
        <v>41329.987379600003</v>
      </c>
      <c r="M36" s="463"/>
      <c r="N36" s="463">
        <f>N37*N34</f>
        <v>43887.566870000002</v>
      </c>
      <c r="O36" s="463"/>
      <c r="P36" s="463"/>
      <c r="Q36" s="467"/>
      <c r="R36" s="467"/>
      <c r="S36" s="457"/>
      <c r="T36" s="463">
        <f>SUM(C36:P36)+1</f>
        <v>364348.7637826</v>
      </c>
      <c r="U36" s="459"/>
      <c r="V36" s="430"/>
    </row>
    <row r="37" spans="1:23" x14ac:dyDescent="0.3">
      <c r="A37" s="468"/>
      <c r="B37" s="469" t="s">
        <v>136</v>
      </c>
      <c r="C37" s="470"/>
      <c r="D37" s="471">
        <v>0.30827850000000001</v>
      </c>
      <c r="E37" s="472"/>
      <c r="F37" s="471">
        <v>0.30828100000000003</v>
      </c>
      <c r="G37" s="473"/>
      <c r="H37" s="471">
        <v>0.30828100000000003</v>
      </c>
      <c r="I37" s="473"/>
      <c r="J37" s="471">
        <v>0.73115479999999999</v>
      </c>
      <c r="K37" s="473"/>
      <c r="L37" s="471">
        <v>0.73115479999999999</v>
      </c>
      <c r="M37" s="473"/>
      <c r="N37" s="471">
        <v>0.73115479999999999</v>
      </c>
      <c r="O37" s="474"/>
      <c r="P37" s="474"/>
      <c r="Q37" s="475"/>
      <c r="R37" s="475"/>
      <c r="S37" s="470"/>
      <c r="T37" s="470"/>
      <c r="U37" s="476"/>
      <c r="V37" s="416"/>
      <c r="W37" s="477"/>
    </row>
    <row r="38" spans="1:23" x14ac:dyDescent="0.3">
      <c r="A38" s="468"/>
      <c r="B38" s="470" t="s">
        <v>137</v>
      </c>
      <c r="C38" s="470"/>
      <c r="D38" s="478">
        <v>0.31498100000000001</v>
      </c>
      <c r="E38" s="479"/>
      <c r="F38" s="478">
        <v>0.31498340000000002</v>
      </c>
      <c r="G38" s="480"/>
      <c r="H38" s="478">
        <v>0.31498340000000002</v>
      </c>
      <c r="I38" s="480"/>
      <c r="J38" s="478">
        <v>0.74705120000000003</v>
      </c>
      <c r="K38" s="480"/>
      <c r="L38" s="478">
        <v>0.74705120000000003</v>
      </c>
      <c r="M38" s="480"/>
      <c r="N38" s="478">
        <v>0.74705120000000003</v>
      </c>
      <c r="O38" s="474"/>
      <c r="P38" s="474"/>
      <c r="Q38" s="481"/>
      <c r="R38" s="482"/>
      <c r="S38" s="470"/>
      <c r="T38" s="481"/>
      <c r="U38" s="476"/>
      <c r="V38" s="416"/>
    </row>
    <row r="39" spans="1:23" s="431" customFormat="1" x14ac:dyDescent="0.3">
      <c r="A39" s="449"/>
      <c r="B39" s="450" t="s">
        <v>11</v>
      </c>
      <c r="C39" s="450"/>
      <c r="D39" s="456" t="s">
        <v>275</v>
      </c>
      <c r="E39" s="450"/>
      <c r="F39" s="456" t="s">
        <v>232</v>
      </c>
      <c r="G39" s="456"/>
      <c r="H39" s="456" t="s">
        <v>232</v>
      </c>
      <c r="I39" s="456"/>
      <c r="J39" s="456" t="s">
        <v>234</v>
      </c>
      <c r="K39" s="456"/>
      <c r="L39" s="456" t="s">
        <v>234</v>
      </c>
      <c r="M39" s="456"/>
      <c r="N39" s="456" t="s">
        <v>235</v>
      </c>
      <c r="O39" s="456"/>
      <c r="P39" s="456"/>
      <c r="Q39" s="483"/>
      <c r="R39" s="484"/>
      <c r="S39" s="450"/>
      <c r="T39" s="450"/>
      <c r="U39" s="452"/>
      <c r="V39" s="430"/>
    </row>
    <row r="40" spans="1:23" s="431" customFormat="1" x14ac:dyDescent="0.3">
      <c r="A40" s="449"/>
      <c r="B40" s="450" t="s">
        <v>12</v>
      </c>
      <c r="C40" s="450"/>
      <c r="D40" s="484">
        <v>8.6712999999999998E-3</v>
      </c>
      <c r="E40" s="450"/>
      <c r="F40" s="484">
        <v>1.00713E-2</v>
      </c>
      <c r="G40" s="483"/>
      <c r="H40" s="484">
        <v>0</v>
      </c>
      <c r="I40" s="483"/>
      <c r="J40" s="484">
        <v>1.2471299999999999E-2</v>
      </c>
      <c r="K40" s="483"/>
      <c r="L40" s="484">
        <v>1.16E-3</v>
      </c>
      <c r="M40" s="483"/>
      <c r="N40" s="484">
        <v>5.3600000000000002E-3</v>
      </c>
      <c r="O40" s="483"/>
      <c r="P40" s="484"/>
      <c r="Q40" s="483"/>
      <c r="R40" s="484"/>
      <c r="S40" s="450"/>
      <c r="T40" s="456"/>
      <c r="U40" s="452"/>
      <c r="V40" s="430"/>
    </row>
    <row r="41" spans="1:23" s="431" customFormat="1" x14ac:dyDescent="0.3">
      <c r="A41" s="449"/>
      <c r="B41" s="450" t="s">
        <v>13</v>
      </c>
      <c r="C41" s="450"/>
      <c r="D41" s="484">
        <v>9.2087999999999996E-3</v>
      </c>
      <c r="E41" s="450"/>
      <c r="F41" s="484">
        <v>1.06088E-2</v>
      </c>
      <c r="G41" s="483"/>
      <c r="H41" s="484">
        <v>0</v>
      </c>
      <c r="I41" s="483"/>
      <c r="J41" s="484">
        <v>1.3008799999999999E-2</v>
      </c>
      <c r="K41" s="483"/>
      <c r="L41" s="484">
        <v>1.6999999999999999E-3</v>
      </c>
      <c r="M41" s="483"/>
      <c r="N41" s="484">
        <v>5.8999999999999999E-3</v>
      </c>
      <c r="O41" s="483"/>
      <c r="P41" s="484"/>
      <c r="Q41" s="483"/>
      <c r="R41" s="484"/>
      <c r="S41" s="450"/>
      <c r="T41" s="483" t="s">
        <v>201</v>
      </c>
      <c r="U41" s="452"/>
      <c r="V41" s="430"/>
    </row>
    <row r="42" spans="1:23" s="431" customFormat="1" x14ac:dyDescent="0.3">
      <c r="A42" s="449"/>
      <c r="B42" s="450" t="s">
        <v>286</v>
      </c>
      <c r="C42" s="450"/>
      <c r="D42" s="456" t="s">
        <v>275</v>
      </c>
      <c r="E42" s="450"/>
      <c r="F42" s="456" t="s">
        <v>232</v>
      </c>
      <c r="G42" s="456"/>
      <c r="H42" s="456" t="s">
        <v>232</v>
      </c>
      <c r="I42" s="456"/>
      <c r="J42" s="456" t="s">
        <v>234</v>
      </c>
      <c r="K42" s="456"/>
      <c r="L42" s="456" t="s">
        <v>245</v>
      </c>
      <c r="M42" s="456"/>
      <c r="N42" s="456" t="s">
        <v>247</v>
      </c>
      <c r="O42" s="456"/>
      <c r="P42" s="456"/>
      <c r="Q42" s="483"/>
      <c r="R42" s="484"/>
      <c r="S42" s="450"/>
      <c r="T42" s="450"/>
      <c r="U42" s="452"/>
      <c r="V42" s="430"/>
    </row>
    <row r="43" spans="1:23" s="431" customFormat="1" x14ac:dyDescent="0.3">
      <c r="A43" s="449"/>
      <c r="B43" s="450" t="s">
        <v>287</v>
      </c>
      <c r="C43" s="485"/>
      <c r="D43" s="484">
        <f>+D40</f>
        <v>8.6712999999999998E-3</v>
      </c>
      <c r="E43" s="484"/>
      <c r="F43" s="484">
        <f>+F40</f>
        <v>1.00713E-2</v>
      </c>
      <c r="G43" s="484"/>
      <c r="H43" s="484">
        <v>1.00673E-2</v>
      </c>
      <c r="I43" s="484"/>
      <c r="J43" s="484">
        <f>+J40</f>
        <v>1.2471299999999999E-2</v>
      </c>
      <c r="K43" s="484"/>
      <c r="L43" s="484">
        <v>1.27773E-2</v>
      </c>
      <c r="M43" s="484"/>
      <c r="N43" s="484">
        <v>1.7481300000000002E-2</v>
      </c>
      <c r="O43" s="483"/>
      <c r="P43" s="484"/>
      <c r="Q43" s="456"/>
      <c r="R43" s="456"/>
      <c r="S43" s="450"/>
      <c r="T43" s="483">
        <f>SUMPRODUCT(D43:N43,D35:N35)/T35</f>
        <v>1.0675372938597119E-2</v>
      </c>
      <c r="U43" s="452"/>
      <c r="V43" s="430"/>
    </row>
    <row r="44" spans="1:23" s="431" customFormat="1" x14ac:dyDescent="0.3">
      <c r="A44" s="449"/>
      <c r="B44" s="450" t="s">
        <v>288</v>
      </c>
      <c r="C44" s="485"/>
      <c r="D44" s="484">
        <f>+D41</f>
        <v>9.2087999999999996E-3</v>
      </c>
      <c r="E44" s="484"/>
      <c r="F44" s="484">
        <f>+F41</f>
        <v>1.06088E-2</v>
      </c>
      <c r="G44" s="484"/>
      <c r="H44" s="484">
        <v>1.0604799999999999E-2</v>
      </c>
      <c r="I44" s="484"/>
      <c r="J44" s="484">
        <f>+J41</f>
        <v>1.3008799999999999E-2</v>
      </c>
      <c r="K44" s="484"/>
      <c r="L44" s="484">
        <v>1.33148E-2</v>
      </c>
      <c r="M44" s="484"/>
      <c r="N44" s="484">
        <v>1.8018800000000001E-2</v>
      </c>
      <c r="O44" s="483"/>
      <c r="P44" s="484"/>
      <c r="Q44" s="456"/>
      <c r="R44" s="456"/>
      <c r="S44" s="450"/>
      <c r="T44" s="450"/>
      <c r="U44" s="452"/>
      <c r="V44" s="430"/>
    </row>
    <row r="45" spans="1:23" s="431" customFormat="1" x14ac:dyDescent="0.3">
      <c r="A45" s="449"/>
      <c r="B45" s="450" t="s">
        <v>14</v>
      </c>
      <c r="C45" s="450"/>
      <c r="D45" s="485">
        <v>40283</v>
      </c>
      <c r="E45" s="485"/>
      <c r="F45" s="485">
        <v>40283</v>
      </c>
      <c r="G45" s="485"/>
      <c r="H45" s="485">
        <v>40283</v>
      </c>
      <c r="I45" s="485"/>
      <c r="J45" s="485">
        <v>40283</v>
      </c>
      <c r="K45" s="485"/>
      <c r="L45" s="485">
        <v>40283</v>
      </c>
      <c r="M45" s="485"/>
      <c r="N45" s="485">
        <v>40283</v>
      </c>
      <c r="O45" s="485"/>
      <c r="P45" s="485"/>
      <c r="Q45" s="456"/>
      <c r="R45" s="456"/>
      <c r="S45" s="450"/>
      <c r="T45" s="450"/>
      <c r="U45" s="452"/>
      <c r="V45" s="430"/>
    </row>
    <row r="46" spans="1:23" s="431" customFormat="1" x14ac:dyDescent="0.3">
      <c r="A46" s="449"/>
      <c r="B46" s="450" t="s">
        <v>15</v>
      </c>
      <c r="C46" s="450"/>
      <c r="D46" s="485">
        <v>40648</v>
      </c>
      <c r="E46" s="485"/>
      <c r="F46" s="485">
        <v>40648</v>
      </c>
      <c r="G46" s="485"/>
      <c r="H46" s="485">
        <v>40648</v>
      </c>
      <c r="I46" s="456"/>
      <c r="J46" s="485">
        <v>40648</v>
      </c>
      <c r="K46" s="456"/>
      <c r="L46" s="485">
        <v>40648</v>
      </c>
      <c r="M46" s="456"/>
      <c r="N46" s="485">
        <v>40648</v>
      </c>
      <c r="O46" s="456"/>
      <c r="P46" s="485"/>
      <c r="Q46" s="456"/>
      <c r="R46" s="456"/>
      <c r="S46" s="450"/>
      <c r="T46" s="450"/>
      <c r="U46" s="452"/>
      <c r="V46" s="430"/>
    </row>
    <row r="47" spans="1:23" s="431" customFormat="1" x14ac:dyDescent="0.3">
      <c r="A47" s="449"/>
      <c r="B47" s="450" t="s">
        <v>125</v>
      </c>
      <c r="C47" s="450"/>
      <c r="D47" s="456" t="s">
        <v>124</v>
      </c>
      <c r="E47" s="450"/>
      <c r="F47" s="456" t="s">
        <v>232</v>
      </c>
      <c r="G47" s="456"/>
      <c r="H47" s="456" t="s">
        <v>232</v>
      </c>
      <c r="I47" s="456"/>
      <c r="J47" s="456" t="s">
        <v>234</v>
      </c>
      <c r="K47" s="456"/>
      <c r="L47" s="456" t="s">
        <v>234</v>
      </c>
      <c r="M47" s="456"/>
      <c r="N47" s="456" t="s">
        <v>235</v>
      </c>
      <c r="O47" s="456"/>
      <c r="P47" s="456"/>
      <c r="Q47" s="486"/>
      <c r="R47" s="486"/>
      <c r="S47" s="486"/>
      <c r="T47" s="486"/>
      <c r="U47" s="452"/>
      <c r="V47" s="430"/>
    </row>
    <row r="48" spans="1:23" s="431" customFormat="1" x14ac:dyDescent="0.3">
      <c r="A48" s="449"/>
      <c r="B48" s="450" t="s">
        <v>289</v>
      </c>
      <c r="C48" s="450"/>
      <c r="D48" s="456" t="s">
        <v>124</v>
      </c>
      <c r="E48" s="450"/>
      <c r="F48" s="456" t="s">
        <v>232</v>
      </c>
      <c r="G48" s="456"/>
      <c r="H48" s="456" t="s">
        <v>232</v>
      </c>
      <c r="I48" s="456"/>
      <c r="J48" s="456" t="s">
        <v>234</v>
      </c>
      <c r="K48" s="456"/>
      <c r="L48" s="456" t="s">
        <v>245</v>
      </c>
      <c r="M48" s="456"/>
      <c r="N48" s="456" t="s">
        <v>247</v>
      </c>
      <c r="O48" s="456"/>
      <c r="P48" s="456"/>
      <c r="Q48" s="450"/>
      <c r="R48" s="450"/>
      <c r="S48" s="450"/>
      <c r="T48" s="483"/>
      <c r="U48" s="452"/>
      <c r="V48" s="430"/>
    </row>
    <row r="49" spans="1:23" s="431" customFormat="1" x14ac:dyDescent="0.3">
      <c r="A49" s="449"/>
      <c r="B49" s="450"/>
      <c r="C49" s="450"/>
      <c r="D49" s="456"/>
      <c r="E49" s="450"/>
      <c r="F49" s="456"/>
      <c r="G49" s="456"/>
      <c r="H49" s="456"/>
      <c r="I49" s="456"/>
      <c r="J49" s="456"/>
      <c r="K49" s="456"/>
      <c r="L49" s="456"/>
      <c r="M49" s="456"/>
      <c r="N49" s="456"/>
      <c r="O49" s="456"/>
      <c r="P49" s="456"/>
      <c r="Q49" s="450"/>
      <c r="R49" s="450"/>
      <c r="S49" s="450"/>
      <c r="T49" s="483" t="s">
        <v>201</v>
      </c>
      <c r="U49" s="452"/>
      <c r="V49" s="430"/>
    </row>
    <row r="50" spans="1:23" s="431" customFormat="1" x14ac:dyDescent="0.3">
      <c r="A50" s="449"/>
      <c r="B50" s="450" t="s">
        <v>176</v>
      </c>
      <c r="C50" s="450"/>
      <c r="D50" s="456"/>
      <c r="E50" s="450"/>
      <c r="F50" s="456"/>
      <c r="G50" s="456"/>
      <c r="H50" s="456"/>
      <c r="I50" s="456"/>
      <c r="J50" s="456"/>
      <c r="K50" s="456"/>
      <c r="L50" s="456"/>
      <c r="M50" s="456"/>
      <c r="N50" s="456"/>
      <c r="O50" s="456"/>
      <c r="P50" s="456"/>
      <c r="Q50" s="450"/>
      <c r="R50" s="450"/>
      <c r="S50" s="450"/>
      <c r="T50" s="483">
        <f>SUM(J34:P34)/SUM(D34:H34)</f>
        <v>0.15279804679664968</v>
      </c>
      <c r="U50" s="452"/>
      <c r="V50" s="430"/>
    </row>
    <row r="51" spans="1:23" s="431" customFormat="1" x14ac:dyDescent="0.3">
      <c r="A51" s="449"/>
      <c r="B51" s="450" t="s">
        <v>177</v>
      </c>
      <c r="C51" s="450"/>
      <c r="D51" s="450"/>
      <c r="E51" s="450"/>
      <c r="F51" s="487"/>
      <c r="G51" s="450"/>
      <c r="H51" s="450"/>
      <c r="I51" s="450"/>
      <c r="J51" s="450"/>
      <c r="K51" s="450"/>
      <c r="L51" s="450"/>
      <c r="M51" s="450"/>
      <c r="N51" s="450"/>
      <c r="O51" s="450"/>
      <c r="P51" s="450"/>
      <c r="Q51" s="450"/>
      <c r="R51" s="450"/>
      <c r="S51" s="450"/>
      <c r="T51" s="483">
        <f>SUM(J36:P36)/SUM(D36:H36)</f>
        <v>0.36239540483537003</v>
      </c>
      <c r="U51" s="452"/>
      <c r="V51" s="430"/>
    </row>
    <row r="52" spans="1:23" s="431" customFormat="1" x14ac:dyDescent="0.3">
      <c r="A52" s="449"/>
      <c r="B52" s="450" t="s">
        <v>178</v>
      </c>
      <c r="C52" s="450"/>
      <c r="D52" s="450"/>
      <c r="E52" s="450"/>
      <c r="F52" s="450"/>
      <c r="G52" s="450"/>
      <c r="H52" s="450"/>
      <c r="I52" s="450"/>
      <c r="J52" s="450"/>
      <c r="K52" s="450"/>
      <c r="L52" s="450"/>
      <c r="M52" s="450"/>
      <c r="N52" s="450"/>
      <c r="O52" s="450"/>
      <c r="P52" s="450"/>
      <c r="Q52" s="450"/>
      <c r="R52" s="456" t="s">
        <v>109</v>
      </c>
      <c r="S52" s="456" t="s">
        <v>115</v>
      </c>
      <c r="T52" s="458">
        <f>+T34/2-SUM(J34:P34)</f>
        <v>367473</v>
      </c>
      <c r="U52" s="452"/>
      <c r="V52" s="430"/>
    </row>
    <row r="53" spans="1:23" s="431" customFormat="1" x14ac:dyDescent="0.3">
      <c r="A53" s="449"/>
      <c r="B53" s="450"/>
      <c r="C53" s="450"/>
      <c r="D53" s="450"/>
      <c r="E53" s="450"/>
      <c r="F53" s="450"/>
      <c r="G53" s="450"/>
      <c r="H53" s="450"/>
      <c r="I53" s="450"/>
      <c r="J53" s="450"/>
      <c r="K53" s="450"/>
      <c r="L53" s="450"/>
      <c r="M53" s="450"/>
      <c r="N53" s="450"/>
      <c r="O53" s="450"/>
      <c r="P53" s="450"/>
      <c r="Q53" s="450"/>
      <c r="R53" s="450"/>
      <c r="S53" s="450"/>
      <c r="T53" s="488"/>
      <c r="U53" s="452"/>
      <c r="V53" s="430"/>
    </row>
    <row r="54" spans="1:23" s="431" customFormat="1" x14ac:dyDescent="0.3">
      <c r="A54" s="449"/>
      <c r="B54" s="450" t="s">
        <v>342</v>
      </c>
      <c r="C54" s="450"/>
      <c r="D54" s="450"/>
      <c r="E54" s="450"/>
      <c r="F54" s="450"/>
      <c r="G54" s="450"/>
      <c r="H54" s="450"/>
      <c r="I54" s="450"/>
      <c r="J54" s="450"/>
      <c r="K54" s="450"/>
      <c r="L54" s="450"/>
      <c r="M54" s="450"/>
      <c r="N54" s="450"/>
      <c r="O54" s="450"/>
      <c r="P54" s="450"/>
      <c r="Q54" s="450"/>
      <c r="R54" s="456"/>
      <c r="S54" s="456"/>
      <c r="T54" s="489" t="s">
        <v>117</v>
      </c>
      <c r="U54" s="452"/>
      <c r="V54" s="430"/>
    </row>
    <row r="55" spans="1:23" s="431" customFormat="1" x14ac:dyDescent="0.3">
      <c r="A55" s="449"/>
      <c r="B55" s="455" t="s">
        <v>210</v>
      </c>
      <c r="C55" s="455"/>
      <c r="D55" s="455"/>
      <c r="E55" s="455"/>
      <c r="F55" s="455"/>
      <c r="G55" s="455"/>
      <c r="H55" s="455"/>
      <c r="I55" s="455"/>
      <c r="J55" s="455"/>
      <c r="K55" s="455"/>
      <c r="L55" s="455"/>
      <c r="M55" s="455"/>
      <c r="N55" s="455"/>
      <c r="O55" s="455"/>
      <c r="P55" s="455"/>
      <c r="Q55" s="455"/>
      <c r="R55" s="490"/>
      <c r="S55" s="490"/>
      <c r="T55" s="491">
        <v>43753</v>
      </c>
      <c r="U55" s="452"/>
      <c r="V55" s="430"/>
    </row>
    <row r="56" spans="1:23" s="431" customFormat="1" x14ac:dyDescent="0.3">
      <c r="A56" s="449"/>
      <c r="B56" s="450" t="s">
        <v>127</v>
      </c>
      <c r="C56" s="450"/>
      <c r="D56" s="450"/>
      <c r="E56" s="450"/>
      <c r="F56" s="450"/>
      <c r="G56" s="450"/>
      <c r="H56" s="492"/>
      <c r="I56" s="492"/>
      <c r="J56" s="492"/>
      <c r="K56" s="492"/>
      <c r="L56" s="492"/>
      <c r="M56" s="492"/>
      <c r="N56" s="492"/>
      <c r="O56" s="492"/>
      <c r="P56" s="450">
        <f>+T56-R56+1</f>
        <v>91</v>
      </c>
      <c r="Q56" s="492"/>
      <c r="R56" s="493">
        <v>43570</v>
      </c>
      <c r="S56" s="494"/>
      <c r="T56" s="493">
        <v>43660</v>
      </c>
      <c r="U56" s="452"/>
      <c r="V56" s="430"/>
    </row>
    <row r="57" spans="1:23" s="431" customFormat="1" x14ac:dyDescent="0.3">
      <c r="A57" s="449"/>
      <c r="B57" s="450" t="s">
        <v>128</v>
      </c>
      <c r="C57" s="450"/>
      <c r="D57" s="450"/>
      <c r="E57" s="450"/>
      <c r="F57" s="450"/>
      <c r="G57" s="450"/>
      <c r="H57" s="450"/>
      <c r="I57" s="450"/>
      <c r="J57" s="450"/>
      <c r="K57" s="450"/>
      <c r="L57" s="450"/>
      <c r="M57" s="450"/>
      <c r="N57" s="450"/>
      <c r="O57" s="450"/>
      <c r="P57" s="450">
        <f>+T57-R57+1</f>
        <v>92</v>
      </c>
      <c r="Q57" s="450"/>
      <c r="R57" s="493">
        <v>43661</v>
      </c>
      <c r="S57" s="494"/>
      <c r="T57" s="493">
        <v>43752</v>
      </c>
      <c r="U57" s="452"/>
      <c r="V57" s="430"/>
    </row>
    <row r="58" spans="1:23" s="431" customFormat="1" x14ac:dyDescent="0.3">
      <c r="A58" s="449"/>
      <c r="B58" s="450" t="s">
        <v>344</v>
      </c>
      <c r="C58" s="450"/>
      <c r="D58" s="450"/>
      <c r="E58" s="450"/>
      <c r="F58" s="450"/>
      <c r="G58" s="450"/>
      <c r="H58" s="450"/>
      <c r="I58" s="450"/>
      <c r="J58" s="450"/>
      <c r="K58" s="450"/>
      <c r="L58" s="450"/>
      <c r="M58" s="450"/>
      <c r="N58" s="450"/>
      <c r="O58" s="450"/>
      <c r="P58" s="450"/>
      <c r="Q58" s="450"/>
      <c r="R58" s="493"/>
      <c r="S58" s="494"/>
      <c r="T58" s="493" t="s">
        <v>126</v>
      </c>
      <c r="U58" s="452"/>
      <c r="V58" s="430"/>
    </row>
    <row r="59" spans="1:23" s="431" customFormat="1" x14ac:dyDescent="0.3">
      <c r="A59" s="449"/>
      <c r="B59" s="450" t="s">
        <v>343</v>
      </c>
      <c r="C59" s="450"/>
      <c r="D59" s="450"/>
      <c r="E59" s="450"/>
      <c r="F59" s="450"/>
      <c r="G59" s="450"/>
      <c r="H59" s="450"/>
      <c r="I59" s="450"/>
      <c r="J59" s="450"/>
      <c r="K59" s="450"/>
      <c r="L59" s="450"/>
      <c r="M59" s="450"/>
      <c r="N59" s="450"/>
      <c r="O59" s="450"/>
      <c r="P59" s="450"/>
      <c r="Q59" s="450"/>
      <c r="R59" s="493"/>
      <c r="S59" s="494"/>
      <c r="T59" s="493" t="s">
        <v>160</v>
      </c>
      <c r="U59" s="452"/>
      <c r="V59" s="430"/>
      <c r="W59" s="495"/>
    </row>
    <row r="60" spans="1:23" s="431" customFormat="1" x14ac:dyDescent="0.3">
      <c r="A60" s="449"/>
      <c r="B60" s="450" t="s">
        <v>16</v>
      </c>
      <c r="C60" s="450"/>
      <c r="D60" s="450"/>
      <c r="E60" s="450"/>
      <c r="F60" s="450"/>
      <c r="G60" s="450"/>
      <c r="H60" s="450"/>
      <c r="I60" s="450"/>
      <c r="J60" s="450"/>
      <c r="K60" s="450"/>
      <c r="L60" s="450"/>
      <c r="M60" s="450"/>
      <c r="N60" s="450"/>
      <c r="O60" s="450"/>
      <c r="P60" s="450"/>
      <c r="Q60" s="450"/>
      <c r="R60" s="493"/>
      <c r="S60" s="494"/>
      <c r="T60" s="493">
        <v>43739</v>
      </c>
      <c r="U60" s="452"/>
      <c r="V60" s="430"/>
    </row>
    <row r="61" spans="1:23" s="431" customFormat="1" x14ac:dyDescent="0.3">
      <c r="A61" s="432"/>
      <c r="B61" s="447"/>
      <c r="C61" s="447"/>
      <c r="D61" s="447"/>
      <c r="E61" s="447"/>
      <c r="F61" s="447"/>
      <c r="G61" s="447"/>
      <c r="H61" s="447"/>
      <c r="I61" s="447"/>
      <c r="J61" s="447"/>
      <c r="K61" s="447"/>
      <c r="L61" s="447"/>
      <c r="M61" s="447"/>
      <c r="N61" s="447"/>
      <c r="O61" s="447"/>
      <c r="P61" s="447"/>
      <c r="Q61" s="447"/>
      <c r="R61" s="496"/>
      <c r="S61" s="497"/>
      <c r="T61" s="496"/>
      <c r="U61" s="641"/>
      <c r="V61" s="430"/>
    </row>
    <row r="62" spans="1:23" s="431" customFormat="1" x14ac:dyDescent="0.3">
      <c r="A62" s="432"/>
      <c r="B62" s="433"/>
      <c r="C62" s="433"/>
      <c r="D62" s="433"/>
      <c r="E62" s="433"/>
      <c r="F62" s="433"/>
      <c r="G62" s="433"/>
      <c r="H62" s="433"/>
      <c r="I62" s="433"/>
      <c r="J62" s="433"/>
      <c r="K62" s="433"/>
      <c r="L62" s="433"/>
      <c r="M62" s="433"/>
      <c r="N62" s="433"/>
      <c r="O62" s="433"/>
      <c r="P62" s="433"/>
      <c r="Q62" s="433"/>
      <c r="R62" s="498"/>
      <c r="S62" s="499"/>
      <c r="T62" s="498"/>
      <c r="U62" s="641"/>
      <c r="V62" s="430"/>
    </row>
    <row r="63" spans="1:23" s="431" customFormat="1" ht="18.600000000000001" thickBot="1" x14ac:dyDescent="0.4">
      <c r="A63" s="500"/>
      <c r="B63" s="501" t="s">
        <v>367</v>
      </c>
      <c r="C63" s="502"/>
      <c r="D63" s="502"/>
      <c r="E63" s="502"/>
      <c r="F63" s="502"/>
      <c r="G63" s="502"/>
      <c r="H63" s="502"/>
      <c r="I63" s="502"/>
      <c r="J63" s="502"/>
      <c r="K63" s="502"/>
      <c r="L63" s="502"/>
      <c r="M63" s="502"/>
      <c r="N63" s="502"/>
      <c r="O63" s="502"/>
      <c r="P63" s="502"/>
      <c r="Q63" s="502"/>
      <c r="R63" s="502"/>
      <c r="S63" s="502"/>
      <c r="T63" s="503"/>
      <c r="U63" s="504"/>
      <c r="V63" s="430"/>
    </row>
    <row r="64" spans="1:23" x14ac:dyDescent="0.3">
      <c r="A64" s="505"/>
      <c r="B64" s="506" t="s">
        <v>17</v>
      </c>
      <c r="C64" s="507"/>
      <c r="D64" s="507"/>
      <c r="E64" s="507"/>
      <c r="F64" s="507"/>
      <c r="G64" s="507"/>
      <c r="H64" s="507"/>
      <c r="I64" s="507"/>
      <c r="J64" s="507"/>
      <c r="K64" s="507"/>
      <c r="L64" s="507"/>
      <c r="M64" s="507"/>
      <c r="N64" s="507"/>
      <c r="O64" s="507"/>
      <c r="P64" s="507"/>
      <c r="Q64" s="507"/>
      <c r="R64" s="507"/>
      <c r="S64" s="507"/>
      <c r="T64" s="508"/>
      <c r="U64" s="509"/>
      <c r="V64" s="416"/>
    </row>
    <row r="65" spans="1:22" x14ac:dyDescent="0.3">
      <c r="A65" s="418"/>
      <c r="B65" s="427"/>
      <c r="C65" s="420"/>
      <c r="D65" s="420"/>
      <c r="E65" s="420"/>
      <c r="F65" s="420"/>
      <c r="G65" s="420"/>
      <c r="H65" s="420"/>
      <c r="I65" s="420"/>
      <c r="J65" s="420"/>
      <c r="K65" s="420"/>
      <c r="L65" s="420"/>
      <c r="M65" s="420"/>
      <c r="N65" s="420"/>
      <c r="O65" s="420"/>
      <c r="P65" s="420"/>
      <c r="Q65" s="420"/>
      <c r="R65" s="420"/>
      <c r="S65" s="420"/>
      <c r="T65" s="510"/>
      <c r="U65" s="639"/>
      <c r="V65" s="416"/>
    </row>
    <row r="66" spans="1:22" ht="46.8" x14ac:dyDescent="0.3">
      <c r="A66" s="418"/>
      <c r="B66" s="511" t="s">
        <v>18</v>
      </c>
      <c r="C66" s="512"/>
      <c r="D66" s="512"/>
      <c r="E66" s="512"/>
      <c r="F66" s="512"/>
      <c r="G66" s="512"/>
      <c r="H66" s="512"/>
      <c r="I66" s="512"/>
      <c r="J66" s="512" t="s">
        <v>97</v>
      </c>
      <c r="K66" s="512"/>
      <c r="L66" s="512" t="s">
        <v>99</v>
      </c>
      <c r="M66" s="512"/>
      <c r="N66" s="512" t="s">
        <v>101</v>
      </c>
      <c r="O66" s="512"/>
      <c r="P66" s="512" t="s">
        <v>103</v>
      </c>
      <c r="Q66" s="512"/>
      <c r="R66" s="512" t="s">
        <v>110</v>
      </c>
      <c r="S66" s="512"/>
      <c r="T66" s="513" t="s">
        <v>118</v>
      </c>
      <c r="U66" s="642"/>
      <c r="V66" s="416"/>
    </row>
    <row r="67" spans="1:22" s="431" customFormat="1" x14ac:dyDescent="0.3">
      <c r="A67" s="449"/>
      <c r="B67" s="450" t="s">
        <v>19</v>
      </c>
      <c r="C67" s="514"/>
      <c r="D67" s="514"/>
      <c r="E67" s="514"/>
      <c r="F67" s="514"/>
      <c r="G67" s="514"/>
      <c r="H67" s="514"/>
      <c r="I67" s="514"/>
      <c r="J67" s="514">
        <v>1000039</v>
      </c>
      <c r="K67" s="514"/>
      <c r="L67" s="515">
        <v>372270</v>
      </c>
      <c r="M67" s="514"/>
      <c r="N67" s="514">
        <f>7922-1</f>
        <v>7921</v>
      </c>
      <c r="O67" s="514"/>
      <c r="P67" s="514">
        <v>0</v>
      </c>
      <c r="Q67" s="514"/>
      <c r="R67" s="514">
        <v>0</v>
      </c>
      <c r="S67" s="514"/>
      <c r="T67" s="515">
        <f>+L67-N67+P67-R67</f>
        <v>364349</v>
      </c>
      <c r="U67" s="452"/>
      <c r="V67" s="430"/>
    </row>
    <row r="68" spans="1:22" s="431" customFormat="1" x14ac:dyDescent="0.3">
      <c r="A68" s="449"/>
      <c r="B68" s="450" t="s">
        <v>20</v>
      </c>
      <c r="C68" s="514"/>
      <c r="D68" s="514"/>
      <c r="E68" s="514"/>
      <c r="F68" s="514"/>
      <c r="G68" s="514"/>
      <c r="H68" s="514"/>
      <c r="I68" s="514"/>
      <c r="J68" s="514">
        <v>10</v>
      </c>
      <c r="K68" s="514"/>
      <c r="L68" s="515">
        <v>0</v>
      </c>
      <c r="M68" s="514"/>
      <c r="N68" s="514">
        <v>0</v>
      </c>
      <c r="O68" s="514"/>
      <c r="P68" s="514">
        <v>0</v>
      </c>
      <c r="Q68" s="514"/>
      <c r="R68" s="514">
        <v>0</v>
      </c>
      <c r="S68" s="514"/>
      <c r="T68" s="515">
        <v>0</v>
      </c>
      <c r="U68" s="452"/>
      <c r="V68" s="430"/>
    </row>
    <row r="69" spans="1:22" s="431" customFormat="1" x14ac:dyDescent="0.3">
      <c r="A69" s="449"/>
      <c r="B69" s="450"/>
      <c r="C69" s="514"/>
      <c r="D69" s="514"/>
      <c r="E69" s="514"/>
      <c r="F69" s="514"/>
      <c r="G69" s="514"/>
      <c r="H69" s="514"/>
      <c r="I69" s="514"/>
      <c r="J69" s="514"/>
      <c r="K69" s="514"/>
      <c r="L69" s="515"/>
      <c r="M69" s="514"/>
      <c r="N69" s="514"/>
      <c r="O69" s="514"/>
      <c r="P69" s="514"/>
      <c r="Q69" s="514"/>
      <c r="R69" s="514"/>
      <c r="S69" s="514"/>
      <c r="T69" s="515"/>
      <c r="U69" s="452"/>
      <c r="V69" s="430"/>
    </row>
    <row r="70" spans="1:22" s="431" customFormat="1" x14ac:dyDescent="0.3">
      <c r="A70" s="449"/>
      <c r="B70" s="450" t="s">
        <v>21</v>
      </c>
      <c r="C70" s="514"/>
      <c r="D70" s="514"/>
      <c r="E70" s="514"/>
      <c r="F70" s="514"/>
      <c r="G70" s="514"/>
      <c r="H70" s="514"/>
      <c r="I70" s="514"/>
      <c r="J70" s="514">
        <f>SUM(J67:J69)</f>
        <v>1000049</v>
      </c>
      <c r="K70" s="514"/>
      <c r="L70" s="514">
        <f>L67+L68</f>
        <v>372270</v>
      </c>
      <c r="M70" s="514"/>
      <c r="N70" s="514">
        <f>SUM(N67:N69)</f>
        <v>7921</v>
      </c>
      <c r="O70" s="514"/>
      <c r="P70" s="514">
        <f>SUM(P67:P69)</f>
        <v>0</v>
      </c>
      <c r="Q70" s="514"/>
      <c r="R70" s="514">
        <f>SUM(R67:R69)</f>
        <v>0</v>
      </c>
      <c r="S70" s="514"/>
      <c r="T70" s="514">
        <f>SUM(T67:T69)</f>
        <v>364349</v>
      </c>
      <c r="U70" s="452"/>
      <c r="V70" s="430"/>
    </row>
    <row r="71" spans="1:22" x14ac:dyDescent="0.3">
      <c r="A71" s="418"/>
      <c r="B71" s="516"/>
      <c r="C71" s="517"/>
      <c r="D71" s="517"/>
      <c r="E71" s="517"/>
      <c r="F71" s="517"/>
      <c r="G71" s="517"/>
      <c r="H71" s="517"/>
      <c r="I71" s="517"/>
      <c r="J71" s="517"/>
      <c r="K71" s="517"/>
      <c r="L71" s="517"/>
      <c r="M71" s="517"/>
      <c r="N71" s="517"/>
      <c r="O71" s="517"/>
      <c r="P71" s="517"/>
      <c r="Q71" s="517"/>
      <c r="R71" s="517"/>
      <c r="S71" s="517"/>
      <c r="T71" s="518"/>
      <c r="U71" s="639"/>
      <c r="V71" s="416"/>
    </row>
    <row r="72" spans="1:22" x14ac:dyDescent="0.3">
      <c r="A72" s="418"/>
      <c r="B72" s="422" t="s">
        <v>22</v>
      </c>
      <c r="C72" s="519"/>
      <c r="D72" s="519"/>
      <c r="E72" s="519"/>
      <c r="F72" s="519"/>
      <c r="G72" s="519"/>
      <c r="H72" s="519"/>
      <c r="I72" s="519"/>
      <c r="J72" s="519"/>
      <c r="K72" s="519"/>
      <c r="L72" s="519"/>
      <c r="M72" s="519"/>
      <c r="N72" s="519"/>
      <c r="O72" s="519"/>
      <c r="P72" s="519"/>
      <c r="Q72" s="519"/>
      <c r="R72" s="519"/>
      <c r="S72" s="519"/>
      <c r="T72" s="520"/>
      <c r="U72" s="639"/>
      <c r="V72" s="416"/>
    </row>
    <row r="73" spans="1:22" x14ac:dyDescent="0.3">
      <c r="A73" s="418"/>
      <c r="B73" s="420"/>
      <c r="C73" s="519"/>
      <c r="D73" s="519"/>
      <c r="E73" s="519"/>
      <c r="F73" s="519"/>
      <c r="G73" s="519"/>
      <c r="H73" s="519"/>
      <c r="I73" s="519"/>
      <c r="J73" s="519"/>
      <c r="K73" s="519"/>
      <c r="L73" s="519"/>
      <c r="M73" s="519"/>
      <c r="N73" s="519"/>
      <c r="O73" s="519"/>
      <c r="P73" s="519"/>
      <c r="Q73" s="519"/>
      <c r="R73" s="519"/>
      <c r="S73" s="519"/>
      <c r="T73" s="520"/>
      <c r="U73" s="639"/>
      <c r="V73" s="416"/>
    </row>
    <row r="74" spans="1:22" s="431" customFormat="1" x14ac:dyDescent="0.3">
      <c r="A74" s="449"/>
      <c r="B74" s="450" t="s">
        <v>19</v>
      </c>
      <c r="C74" s="514"/>
      <c r="D74" s="514"/>
      <c r="E74" s="514"/>
      <c r="F74" s="514"/>
      <c r="G74" s="514"/>
      <c r="H74" s="514"/>
      <c r="I74" s="514"/>
      <c r="J74" s="514"/>
      <c r="K74" s="514"/>
      <c r="L74" s="514"/>
      <c r="M74" s="514"/>
      <c r="N74" s="514"/>
      <c r="O74" s="514"/>
      <c r="P74" s="514"/>
      <c r="Q74" s="514"/>
      <c r="R74" s="514"/>
      <c r="S74" s="514"/>
      <c r="T74" s="514"/>
      <c r="U74" s="452"/>
      <c r="V74" s="430"/>
    </row>
    <row r="75" spans="1:22" s="431" customFormat="1" x14ac:dyDescent="0.3">
      <c r="A75" s="449"/>
      <c r="B75" s="450" t="s">
        <v>20</v>
      </c>
      <c r="C75" s="514"/>
      <c r="D75" s="514"/>
      <c r="E75" s="514"/>
      <c r="F75" s="514"/>
      <c r="G75" s="514"/>
      <c r="H75" s="514"/>
      <c r="I75" s="514"/>
      <c r="J75" s="514"/>
      <c r="K75" s="514"/>
      <c r="L75" s="514"/>
      <c r="M75" s="514"/>
      <c r="N75" s="514"/>
      <c r="O75" s="514"/>
      <c r="P75" s="514"/>
      <c r="Q75" s="514"/>
      <c r="R75" s="514"/>
      <c r="S75" s="514"/>
      <c r="T75" s="514"/>
      <c r="U75" s="452"/>
      <c r="V75" s="430"/>
    </row>
    <row r="76" spans="1:22" s="431" customFormat="1" x14ac:dyDescent="0.3">
      <c r="A76" s="449"/>
      <c r="B76" s="450"/>
      <c r="C76" s="514"/>
      <c r="D76" s="514"/>
      <c r="E76" s="514"/>
      <c r="F76" s="514"/>
      <c r="G76" s="514"/>
      <c r="H76" s="514"/>
      <c r="I76" s="514"/>
      <c r="J76" s="514"/>
      <c r="K76" s="514"/>
      <c r="L76" s="514"/>
      <c r="M76" s="514"/>
      <c r="N76" s="514"/>
      <c r="O76" s="514"/>
      <c r="P76" s="514"/>
      <c r="Q76" s="514"/>
      <c r="R76" s="514"/>
      <c r="S76" s="514"/>
      <c r="T76" s="514"/>
      <c r="U76" s="452"/>
      <c r="V76" s="430"/>
    </row>
    <row r="77" spans="1:22" s="431" customFormat="1" x14ac:dyDescent="0.3">
      <c r="A77" s="449"/>
      <c r="B77" s="450" t="s">
        <v>21</v>
      </c>
      <c r="C77" s="514"/>
      <c r="D77" s="514"/>
      <c r="E77" s="514"/>
      <c r="F77" s="514"/>
      <c r="G77" s="514"/>
      <c r="H77" s="514"/>
      <c r="I77" s="514"/>
      <c r="J77" s="514"/>
      <c r="K77" s="514"/>
      <c r="L77" s="514"/>
      <c r="M77" s="514"/>
      <c r="N77" s="514"/>
      <c r="O77" s="514"/>
      <c r="P77" s="514"/>
      <c r="Q77" s="514"/>
      <c r="R77" s="514"/>
      <c r="S77" s="514"/>
      <c r="T77" s="514"/>
      <c r="U77" s="452"/>
      <c r="V77" s="430"/>
    </row>
    <row r="78" spans="1:22" s="431" customFormat="1" x14ac:dyDescent="0.3">
      <c r="A78" s="449"/>
      <c r="B78" s="450"/>
      <c r="C78" s="514"/>
      <c r="D78" s="514"/>
      <c r="E78" s="514"/>
      <c r="F78" s="514"/>
      <c r="G78" s="514"/>
      <c r="H78" s="514"/>
      <c r="I78" s="514"/>
      <c r="J78" s="514"/>
      <c r="K78" s="514"/>
      <c r="L78" s="514"/>
      <c r="M78" s="514"/>
      <c r="N78" s="514"/>
      <c r="O78" s="514"/>
      <c r="P78" s="514"/>
      <c r="Q78" s="514"/>
      <c r="R78" s="514"/>
      <c r="S78" s="514"/>
      <c r="T78" s="514"/>
      <c r="U78" s="452"/>
      <c r="V78" s="430"/>
    </row>
    <row r="79" spans="1:22" s="431" customFormat="1" x14ac:dyDescent="0.3">
      <c r="A79" s="449"/>
      <c r="B79" s="450" t="s">
        <v>23</v>
      </c>
      <c r="C79" s="514"/>
      <c r="D79" s="514"/>
      <c r="E79" s="514"/>
      <c r="F79" s="514"/>
      <c r="G79" s="514"/>
      <c r="H79" s="514"/>
      <c r="I79" s="514"/>
      <c r="J79" s="514">
        <v>0</v>
      </c>
      <c r="K79" s="514"/>
      <c r="L79" s="514">
        <v>0</v>
      </c>
      <c r="M79" s="514"/>
      <c r="N79" s="514"/>
      <c r="O79" s="514"/>
      <c r="P79" s="514"/>
      <c r="Q79" s="514"/>
      <c r="R79" s="514"/>
      <c r="S79" s="514"/>
      <c r="T79" s="515">
        <v>0</v>
      </c>
      <c r="U79" s="452"/>
      <c r="V79" s="430"/>
    </row>
    <row r="80" spans="1:22" s="431" customFormat="1" x14ac:dyDescent="0.3">
      <c r="A80" s="449"/>
      <c r="B80" s="450" t="s">
        <v>123</v>
      </c>
      <c r="C80" s="514"/>
      <c r="D80" s="514"/>
      <c r="E80" s="514"/>
      <c r="F80" s="514"/>
      <c r="G80" s="514"/>
      <c r="H80" s="514"/>
      <c r="I80" s="514"/>
      <c r="J80" s="514">
        <v>0</v>
      </c>
      <c r="K80" s="514"/>
      <c r="L80" s="514">
        <v>0</v>
      </c>
      <c r="M80" s="514"/>
      <c r="N80" s="514"/>
      <c r="O80" s="514"/>
      <c r="P80" s="514"/>
      <c r="Q80" s="514"/>
      <c r="R80" s="514"/>
      <c r="S80" s="514"/>
      <c r="T80" s="514">
        <f>SUM(J80:P80)</f>
        <v>0</v>
      </c>
      <c r="U80" s="452"/>
      <c r="V80" s="430"/>
    </row>
    <row r="81" spans="1:22" s="431" customFormat="1" x14ac:dyDescent="0.3">
      <c r="A81" s="449"/>
      <c r="B81" s="450" t="s">
        <v>152</v>
      </c>
      <c r="C81" s="514"/>
      <c r="D81" s="514"/>
      <c r="E81" s="514"/>
      <c r="F81" s="514"/>
      <c r="G81" s="514"/>
      <c r="H81" s="514"/>
      <c r="I81" s="514"/>
      <c r="J81" s="514">
        <v>1</v>
      </c>
      <c r="K81" s="514"/>
      <c r="L81" s="514">
        <v>0</v>
      </c>
      <c r="M81" s="514"/>
      <c r="N81" s="514">
        <v>0</v>
      </c>
      <c r="O81" s="514"/>
      <c r="P81" s="514"/>
      <c r="Q81" s="514"/>
      <c r="R81" s="514"/>
      <c r="S81" s="514"/>
      <c r="T81" s="514">
        <f>+L81+N81</f>
        <v>0</v>
      </c>
      <c r="U81" s="452"/>
      <c r="V81" s="430"/>
    </row>
    <row r="82" spans="1:22" s="431" customFormat="1" x14ac:dyDescent="0.3">
      <c r="A82" s="449"/>
      <c r="B82" s="450" t="s">
        <v>25</v>
      </c>
      <c r="C82" s="514"/>
      <c r="D82" s="514"/>
      <c r="E82" s="514"/>
      <c r="F82" s="514"/>
      <c r="G82" s="514"/>
      <c r="H82" s="514"/>
      <c r="I82" s="514"/>
      <c r="J82" s="514">
        <v>0</v>
      </c>
      <c r="K82" s="514"/>
      <c r="L82" s="514">
        <v>0</v>
      </c>
      <c r="M82" s="514"/>
      <c r="N82" s="514"/>
      <c r="O82" s="514"/>
      <c r="P82" s="514"/>
      <c r="Q82" s="514"/>
      <c r="R82" s="514"/>
      <c r="S82" s="514"/>
      <c r="T82" s="514">
        <v>0</v>
      </c>
      <c r="U82" s="452"/>
      <c r="V82" s="430"/>
    </row>
    <row r="83" spans="1:22" s="431" customFormat="1" x14ac:dyDescent="0.3">
      <c r="A83" s="449"/>
      <c r="B83" s="450" t="s">
        <v>26</v>
      </c>
      <c r="C83" s="514"/>
      <c r="D83" s="514"/>
      <c r="E83" s="514"/>
      <c r="F83" s="514"/>
      <c r="G83" s="514"/>
      <c r="H83" s="514"/>
      <c r="I83" s="514"/>
      <c r="J83" s="514">
        <f>SUM(J70:J82)</f>
        <v>1000050</v>
      </c>
      <c r="K83" s="514"/>
      <c r="L83" s="514">
        <f>SUM(L70:L82)</f>
        <v>372270</v>
      </c>
      <c r="M83" s="514"/>
      <c r="N83" s="514"/>
      <c r="O83" s="514"/>
      <c r="P83" s="514"/>
      <c r="Q83" s="514"/>
      <c r="R83" s="514"/>
      <c r="S83" s="514"/>
      <c r="T83" s="514">
        <f>SUM(T70:T82)</f>
        <v>364349</v>
      </c>
      <c r="U83" s="452"/>
      <c r="V83" s="430"/>
    </row>
    <row r="84" spans="1:22" x14ac:dyDescent="0.3">
      <c r="A84" s="418"/>
      <c r="B84" s="516"/>
      <c r="C84" s="517"/>
      <c r="D84" s="517"/>
      <c r="E84" s="517"/>
      <c r="F84" s="517"/>
      <c r="G84" s="517"/>
      <c r="H84" s="517"/>
      <c r="I84" s="517"/>
      <c r="J84" s="517"/>
      <c r="K84" s="517"/>
      <c r="L84" s="517"/>
      <c r="M84" s="517"/>
      <c r="N84" s="517"/>
      <c r="O84" s="517"/>
      <c r="P84" s="517"/>
      <c r="Q84" s="517"/>
      <c r="R84" s="517"/>
      <c r="S84" s="517"/>
      <c r="T84" s="518"/>
      <c r="U84" s="639"/>
      <c r="V84" s="416"/>
    </row>
    <row r="85" spans="1:22" x14ac:dyDescent="0.3">
      <c r="A85" s="418"/>
      <c r="B85" s="420"/>
      <c r="C85" s="420"/>
      <c r="D85" s="420"/>
      <c r="E85" s="420"/>
      <c r="F85" s="420"/>
      <c r="G85" s="420"/>
      <c r="H85" s="420"/>
      <c r="I85" s="420"/>
      <c r="J85" s="420"/>
      <c r="K85" s="420"/>
      <c r="L85" s="420"/>
      <c r="M85" s="420"/>
      <c r="N85" s="420"/>
      <c r="O85" s="420"/>
      <c r="P85" s="420"/>
      <c r="Q85" s="420"/>
      <c r="R85" s="420"/>
      <c r="S85" s="420"/>
      <c r="T85" s="420"/>
      <c r="U85" s="639"/>
      <c r="V85" s="416"/>
    </row>
    <row r="86" spans="1:22" x14ac:dyDescent="0.3">
      <c r="A86" s="442"/>
      <c r="B86" s="521" t="s">
        <v>27</v>
      </c>
      <c r="C86" s="521"/>
      <c r="D86" s="521"/>
      <c r="E86" s="521"/>
      <c r="F86" s="521"/>
      <c r="G86" s="521"/>
      <c r="H86" s="522"/>
      <c r="I86" s="522"/>
      <c r="J86" s="523" t="s">
        <v>98</v>
      </c>
      <c r="K86" s="522"/>
      <c r="L86" s="524">
        <f>+R196</f>
        <v>43738</v>
      </c>
      <c r="M86" s="522"/>
      <c r="N86" s="522"/>
      <c r="O86" s="522"/>
      <c r="P86" s="522"/>
      <c r="Q86" s="522"/>
      <c r="R86" s="522" t="s">
        <v>111</v>
      </c>
      <c r="S86" s="522"/>
      <c r="T86" s="522" t="s">
        <v>119</v>
      </c>
      <c r="U86" s="446"/>
      <c r="V86" s="416"/>
    </row>
    <row r="87" spans="1:22" s="431" customFormat="1" x14ac:dyDescent="0.3">
      <c r="A87" s="432"/>
      <c r="B87" s="447" t="s">
        <v>28</v>
      </c>
      <c r="C87" s="447"/>
      <c r="D87" s="447"/>
      <c r="E87" s="447"/>
      <c r="F87" s="447"/>
      <c r="G87" s="447"/>
      <c r="H87" s="447"/>
      <c r="I87" s="447"/>
      <c r="J87" s="447"/>
      <c r="K87" s="447"/>
      <c r="L87" s="447"/>
      <c r="M87" s="447"/>
      <c r="N87" s="447"/>
      <c r="O87" s="447"/>
      <c r="P87" s="447"/>
      <c r="Q87" s="447"/>
      <c r="R87" s="525">
        <v>0</v>
      </c>
      <c r="S87" s="447"/>
      <c r="T87" s="526">
        <v>0</v>
      </c>
      <c r="U87" s="641"/>
      <c r="V87" s="430"/>
    </row>
    <row r="88" spans="1:22" s="431" customFormat="1" x14ac:dyDescent="0.3">
      <c r="A88" s="449"/>
      <c r="B88" s="450" t="s">
        <v>29</v>
      </c>
      <c r="C88" s="450"/>
      <c r="D88" s="450"/>
      <c r="E88" s="450"/>
      <c r="F88" s="450"/>
      <c r="G88" s="450"/>
      <c r="H88" s="486"/>
      <c r="I88" s="527"/>
      <c r="J88" s="486"/>
      <c r="K88" s="450"/>
      <c r="L88" s="528"/>
      <c r="M88" s="450"/>
      <c r="N88" s="450"/>
      <c r="O88" s="450"/>
      <c r="P88" s="450"/>
      <c r="Q88" s="450"/>
      <c r="R88" s="514">
        <f>7921-9</f>
        <v>7912</v>
      </c>
      <c r="S88" s="450"/>
      <c r="T88" s="515"/>
      <c r="U88" s="452"/>
      <c r="V88" s="430"/>
    </row>
    <row r="89" spans="1:22" s="431" customFormat="1" x14ac:dyDescent="0.3">
      <c r="A89" s="449"/>
      <c r="B89" s="450" t="s">
        <v>225</v>
      </c>
      <c r="C89" s="450"/>
      <c r="D89" s="450"/>
      <c r="E89" s="450"/>
      <c r="F89" s="450"/>
      <c r="G89" s="450"/>
      <c r="H89" s="486"/>
      <c r="I89" s="527"/>
      <c r="J89" s="486"/>
      <c r="K89" s="450"/>
      <c r="L89" s="528"/>
      <c r="M89" s="450"/>
      <c r="N89" s="450"/>
      <c r="O89" s="450"/>
      <c r="P89" s="450"/>
      <c r="Q89" s="450"/>
      <c r="R89" s="514"/>
      <c r="S89" s="450"/>
      <c r="T89" s="515">
        <f>1649+1767-469-523</f>
        <v>2424</v>
      </c>
      <c r="U89" s="452"/>
      <c r="V89" s="430"/>
    </row>
    <row r="90" spans="1:22" s="431" customFormat="1" x14ac:dyDescent="0.3">
      <c r="A90" s="449"/>
      <c r="B90" s="450" t="s">
        <v>220</v>
      </c>
      <c r="C90" s="450"/>
      <c r="D90" s="450"/>
      <c r="E90" s="450"/>
      <c r="F90" s="450"/>
      <c r="G90" s="450"/>
      <c r="H90" s="486"/>
      <c r="I90" s="527"/>
      <c r="J90" s="486"/>
      <c r="K90" s="450"/>
      <c r="L90" s="528"/>
      <c r="M90" s="450"/>
      <c r="N90" s="450"/>
      <c r="O90" s="450"/>
      <c r="P90" s="450"/>
      <c r="Q90" s="450"/>
      <c r="R90" s="514"/>
      <c r="S90" s="450"/>
      <c r="T90" s="515">
        <f>16+104</f>
        <v>120</v>
      </c>
      <c r="U90" s="452"/>
      <c r="V90" s="430"/>
    </row>
    <row r="91" spans="1:22" s="431" customFormat="1" x14ac:dyDescent="0.3">
      <c r="A91" s="449"/>
      <c r="B91" s="450" t="s">
        <v>221</v>
      </c>
      <c r="C91" s="450"/>
      <c r="D91" s="450"/>
      <c r="E91" s="450"/>
      <c r="F91" s="450"/>
      <c r="G91" s="450"/>
      <c r="H91" s="486"/>
      <c r="I91" s="527"/>
      <c r="J91" s="486"/>
      <c r="K91" s="450"/>
      <c r="L91" s="528"/>
      <c r="M91" s="450"/>
      <c r="N91" s="450"/>
      <c r="O91" s="450"/>
      <c r="P91" s="450"/>
      <c r="Q91" s="450"/>
      <c r="R91" s="514"/>
      <c r="S91" s="450"/>
      <c r="T91" s="515">
        <v>48</v>
      </c>
      <c r="U91" s="452"/>
      <c r="V91" s="430"/>
    </row>
    <row r="92" spans="1:22" s="431" customFormat="1" x14ac:dyDescent="0.3">
      <c r="A92" s="449"/>
      <c r="B92" s="450" t="s">
        <v>261</v>
      </c>
      <c r="C92" s="450"/>
      <c r="D92" s="450"/>
      <c r="E92" s="450"/>
      <c r="F92" s="450"/>
      <c r="G92" s="450"/>
      <c r="H92" s="486"/>
      <c r="I92" s="527"/>
      <c r="J92" s="486"/>
      <c r="K92" s="450"/>
      <c r="L92" s="528"/>
      <c r="M92" s="450"/>
      <c r="N92" s="450"/>
      <c r="O92" s="450"/>
      <c r="P92" s="450"/>
      <c r="Q92" s="450"/>
      <c r="R92" s="514"/>
      <c r="S92" s="450"/>
      <c r="T92" s="515">
        <v>0</v>
      </c>
      <c r="U92" s="452"/>
      <c r="V92" s="430"/>
    </row>
    <row r="93" spans="1:22" s="431" customFormat="1" x14ac:dyDescent="0.3">
      <c r="A93" s="449"/>
      <c r="B93" s="450" t="s">
        <v>141</v>
      </c>
      <c r="C93" s="450"/>
      <c r="D93" s="450"/>
      <c r="E93" s="450"/>
      <c r="F93" s="450"/>
      <c r="G93" s="450"/>
      <c r="H93" s="450"/>
      <c r="I93" s="450"/>
      <c r="J93" s="450"/>
      <c r="K93" s="450"/>
      <c r="L93" s="450"/>
      <c r="M93" s="450"/>
      <c r="N93" s="450"/>
      <c r="O93" s="450"/>
      <c r="P93" s="450"/>
      <c r="Q93" s="450"/>
      <c r="R93" s="514"/>
      <c r="S93" s="450"/>
      <c r="T93" s="515">
        <v>0</v>
      </c>
      <c r="U93" s="452"/>
      <c r="V93" s="430"/>
    </row>
    <row r="94" spans="1:22" s="431" customFormat="1" x14ac:dyDescent="0.3">
      <c r="A94" s="449"/>
      <c r="B94" s="450" t="s">
        <v>250</v>
      </c>
      <c r="C94" s="450"/>
      <c r="D94" s="450"/>
      <c r="E94" s="450"/>
      <c r="F94" s="450"/>
      <c r="G94" s="450"/>
      <c r="H94" s="450"/>
      <c r="I94" s="450"/>
      <c r="J94" s="450"/>
      <c r="K94" s="450"/>
      <c r="L94" s="450"/>
      <c r="M94" s="450"/>
      <c r="N94" s="450"/>
      <c r="O94" s="450"/>
      <c r="P94" s="450"/>
      <c r="Q94" s="450"/>
      <c r="R94" s="514"/>
      <c r="S94" s="450"/>
      <c r="T94" s="515">
        <v>12</v>
      </c>
      <c r="U94" s="452"/>
      <c r="V94" s="430"/>
    </row>
    <row r="95" spans="1:22" s="431" customFormat="1" x14ac:dyDescent="0.3">
      <c r="A95" s="449"/>
      <c r="B95" s="450" t="s">
        <v>30</v>
      </c>
      <c r="C95" s="450"/>
      <c r="D95" s="450"/>
      <c r="E95" s="450"/>
      <c r="F95" s="450"/>
      <c r="G95" s="450"/>
      <c r="H95" s="450"/>
      <c r="I95" s="450"/>
      <c r="J95" s="450"/>
      <c r="K95" s="450"/>
      <c r="L95" s="450"/>
      <c r="M95" s="450"/>
      <c r="N95" s="450"/>
      <c r="O95" s="450"/>
      <c r="P95" s="450"/>
      <c r="Q95" s="450"/>
      <c r="R95" s="514">
        <f>SUM(R87:R94)</f>
        <v>7912</v>
      </c>
      <c r="S95" s="450"/>
      <c r="T95" s="514">
        <f>SUM(T87:T94)</f>
        <v>2604</v>
      </c>
      <c r="U95" s="452"/>
      <c r="V95" s="430"/>
    </row>
    <row r="96" spans="1:22" s="431" customFormat="1" x14ac:dyDescent="0.3">
      <c r="A96" s="449"/>
      <c r="B96" s="450" t="s">
        <v>168</v>
      </c>
      <c r="C96" s="450"/>
      <c r="D96" s="450"/>
      <c r="E96" s="450"/>
      <c r="F96" s="450"/>
      <c r="G96" s="450"/>
      <c r="H96" s="450"/>
      <c r="I96" s="450"/>
      <c r="J96" s="450"/>
      <c r="K96" s="450"/>
      <c r="L96" s="450"/>
      <c r="M96" s="450"/>
      <c r="N96" s="450"/>
      <c r="O96" s="450"/>
      <c r="P96" s="450"/>
      <c r="Q96" s="450"/>
      <c r="R96" s="514">
        <v>0</v>
      </c>
      <c r="S96" s="450"/>
      <c r="T96" s="514">
        <f>-R96</f>
        <v>0</v>
      </c>
      <c r="U96" s="452"/>
      <c r="V96" s="430"/>
    </row>
    <row r="97" spans="1:24" s="431" customFormat="1" x14ac:dyDescent="0.3">
      <c r="A97" s="449"/>
      <c r="B97" s="450" t="s">
        <v>31</v>
      </c>
      <c r="C97" s="450"/>
      <c r="D97" s="450"/>
      <c r="E97" s="450"/>
      <c r="F97" s="450"/>
      <c r="G97" s="450"/>
      <c r="H97" s="450"/>
      <c r="I97" s="450"/>
      <c r="J97" s="450"/>
      <c r="K97" s="450"/>
      <c r="L97" s="450"/>
      <c r="M97" s="450"/>
      <c r="N97" s="450"/>
      <c r="O97" s="450"/>
      <c r="P97" s="450"/>
      <c r="Q97" s="450"/>
      <c r="R97" s="514">
        <f>-T97</f>
        <v>0</v>
      </c>
      <c r="S97" s="450"/>
      <c r="T97" s="515">
        <v>0</v>
      </c>
      <c r="U97" s="452"/>
      <c r="V97" s="430"/>
    </row>
    <row r="98" spans="1:24" s="431" customFormat="1" x14ac:dyDescent="0.3">
      <c r="A98" s="449"/>
      <c r="B98" s="450" t="s">
        <v>273</v>
      </c>
      <c r="C98" s="450"/>
      <c r="D98" s="450"/>
      <c r="E98" s="450"/>
      <c r="F98" s="450"/>
      <c r="G98" s="450"/>
      <c r="H98" s="450"/>
      <c r="I98" s="450"/>
      <c r="J98" s="450"/>
      <c r="K98" s="450"/>
      <c r="L98" s="450"/>
      <c r="M98" s="450"/>
      <c r="N98" s="450"/>
      <c r="O98" s="450"/>
      <c r="P98" s="450"/>
      <c r="Q98" s="450"/>
      <c r="R98" s="514"/>
      <c r="S98" s="450"/>
      <c r="T98" s="515">
        <v>-119</v>
      </c>
      <c r="U98" s="452"/>
      <c r="V98" s="430"/>
    </row>
    <row r="99" spans="1:24" s="431" customFormat="1" x14ac:dyDescent="0.3">
      <c r="A99" s="449"/>
      <c r="B99" s="450" t="s">
        <v>32</v>
      </c>
      <c r="C99" s="450"/>
      <c r="D99" s="450"/>
      <c r="E99" s="450"/>
      <c r="F99" s="450"/>
      <c r="G99" s="450"/>
      <c r="H99" s="450"/>
      <c r="I99" s="450"/>
      <c r="J99" s="450"/>
      <c r="K99" s="450"/>
      <c r="L99" s="450"/>
      <c r="M99" s="450"/>
      <c r="N99" s="450"/>
      <c r="O99" s="450"/>
      <c r="P99" s="450"/>
      <c r="Q99" s="450"/>
      <c r="R99" s="514">
        <f>R95+R97+R96</f>
        <v>7912</v>
      </c>
      <c r="S99" s="450"/>
      <c r="T99" s="514">
        <f>T95+T97+T96+T98</f>
        <v>2485</v>
      </c>
      <c r="U99" s="452"/>
      <c r="V99" s="430"/>
    </row>
    <row r="100" spans="1:24" x14ac:dyDescent="0.3">
      <c r="A100" s="468"/>
      <c r="B100" s="529" t="s">
        <v>33</v>
      </c>
      <c r="C100" s="470"/>
      <c r="D100" s="470"/>
      <c r="E100" s="470"/>
      <c r="F100" s="470"/>
      <c r="G100" s="470"/>
      <c r="H100" s="470"/>
      <c r="I100" s="470"/>
      <c r="J100" s="470"/>
      <c r="K100" s="470"/>
      <c r="L100" s="470"/>
      <c r="M100" s="470"/>
      <c r="N100" s="470"/>
      <c r="O100" s="470"/>
      <c r="P100" s="470"/>
      <c r="Q100" s="470"/>
      <c r="R100" s="530"/>
      <c r="S100" s="470"/>
      <c r="T100" s="531"/>
      <c r="U100" s="476"/>
      <c r="V100" s="416"/>
    </row>
    <row r="101" spans="1:24" s="431" customFormat="1" x14ac:dyDescent="0.3">
      <c r="A101" s="449">
        <v>1</v>
      </c>
      <c r="B101" s="450" t="s">
        <v>34</v>
      </c>
      <c r="C101" s="450"/>
      <c r="D101" s="450"/>
      <c r="E101" s="450"/>
      <c r="F101" s="450"/>
      <c r="G101" s="450"/>
      <c r="H101" s="450"/>
      <c r="I101" s="450"/>
      <c r="J101" s="450"/>
      <c r="K101" s="450"/>
      <c r="L101" s="450"/>
      <c r="M101" s="450"/>
      <c r="N101" s="450"/>
      <c r="O101" s="450"/>
      <c r="P101" s="450"/>
      <c r="Q101" s="450"/>
      <c r="R101" s="450"/>
      <c r="S101" s="450"/>
      <c r="T101" s="515">
        <v>0</v>
      </c>
      <c r="U101" s="452"/>
      <c r="V101" s="430"/>
    </row>
    <row r="102" spans="1:24" s="431" customFormat="1" x14ac:dyDescent="0.3">
      <c r="A102" s="449">
        <f>+A101+1</f>
        <v>2</v>
      </c>
      <c r="B102" s="450" t="s">
        <v>312</v>
      </c>
      <c r="C102" s="450"/>
      <c r="D102" s="450"/>
      <c r="E102" s="450"/>
      <c r="F102" s="450"/>
      <c r="G102" s="450"/>
      <c r="H102" s="450"/>
      <c r="I102" s="450"/>
      <c r="J102" s="450"/>
      <c r="K102" s="450"/>
      <c r="L102" s="450"/>
      <c r="M102" s="450"/>
      <c r="N102" s="450"/>
      <c r="O102" s="450"/>
      <c r="P102" s="450"/>
      <c r="Q102" s="450"/>
      <c r="R102" s="450"/>
      <c r="S102" s="450"/>
      <c r="T102" s="515">
        <v>-2</v>
      </c>
      <c r="U102" s="452"/>
      <c r="V102" s="430"/>
    </row>
    <row r="103" spans="1:24" s="431" customFormat="1" x14ac:dyDescent="0.3">
      <c r="A103" s="449">
        <f>+A102+1</f>
        <v>3</v>
      </c>
      <c r="B103" s="532" t="s">
        <v>314</v>
      </c>
      <c r="C103" s="450"/>
      <c r="D103" s="450"/>
      <c r="E103" s="450"/>
      <c r="F103" s="450"/>
      <c r="G103" s="450"/>
      <c r="H103" s="450"/>
      <c r="I103" s="450"/>
      <c r="J103" s="450"/>
      <c r="K103" s="450"/>
      <c r="L103" s="450"/>
      <c r="M103" s="450"/>
      <c r="N103" s="450"/>
      <c r="O103" s="450"/>
      <c r="P103" s="450"/>
      <c r="Q103" s="450"/>
      <c r="R103" s="450"/>
      <c r="S103" s="450"/>
      <c r="T103" s="515">
        <f>-143-73-6</f>
        <v>-222</v>
      </c>
      <c r="U103" s="452"/>
      <c r="V103" s="430"/>
    </row>
    <row r="104" spans="1:24" s="431" customFormat="1" x14ac:dyDescent="0.3">
      <c r="A104" s="449" t="s">
        <v>133</v>
      </c>
      <c r="B104" s="450" t="s">
        <v>122</v>
      </c>
      <c r="C104" s="450"/>
      <c r="D104" s="450"/>
      <c r="E104" s="450"/>
      <c r="F104" s="450"/>
      <c r="G104" s="450"/>
      <c r="H104" s="450"/>
      <c r="I104" s="450"/>
      <c r="J104" s="450"/>
      <c r="K104" s="450"/>
      <c r="L104" s="450"/>
      <c r="M104" s="450"/>
      <c r="N104" s="450"/>
      <c r="O104" s="450"/>
      <c r="P104" s="450"/>
      <c r="Q104" s="450"/>
      <c r="R104" s="450"/>
      <c r="S104" s="450"/>
      <c r="T104" s="515">
        <v>0</v>
      </c>
      <c r="U104" s="452"/>
      <c r="V104" s="430"/>
    </row>
    <row r="105" spans="1:24" s="431" customFormat="1" x14ac:dyDescent="0.3">
      <c r="A105" s="449" t="s">
        <v>134</v>
      </c>
      <c r="B105" s="450" t="s">
        <v>348</v>
      </c>
      <c r="C105" s="450"/>
      <c r="D105" s="450"/>
      <c r="E105" s="450"/>
      <c r="F105" s="450"/>
      <c r="G105" s="450"/>
      <c r="H105" s="450"/>
      <c r="I105" s="450"/>
      <c r="J105" s="450"/>
      <c r="K105" s="450"/>
      <c r="L105" s="450"/>
      <c r="M105" s="450"/>
      <c r="N105" s="450"/>
      <c r="O105" s="450"/>
      <c r="P105" s="450"/>
      <c r="Q105" s="450"/>
      <c r="R105" s="450"/>
      <c r="S105" s="450"/>
      <c r="T105" s="515">
        <f>-390-120</f>
        <v>-510</v>
      </c>
      <c r="U105" s="452"/>
      <c r="V105" s="430"/>
      <c r="W105" s="533"/>
    </row>
    <row r="106" spans="1:24" s="431" customFormat="1" x14ac:dyDescent="0.3">
      <c r="A106" s="449" t="s">
        <v>156</v>
      </c>
      <c r="B106" s="450" t="s">
        <v>349</v>
      </c>
      <c r="C106" s="450"/>
      <c r="D106" s="450"/>
      <c r="E106" s="450"/>
      <c r="F106" s="450"/>
      <c r="G106" s="450"/>
      <c r="H106" s="450"/>
      <c r="I106" s="450"/>
      <c r="J106" s="450"/>
      <c r="K106" s="450"/>
      <c r="L106" s="450"/>
      <c r="M106" s="450"/>
      <c r="N106" s="450"/>
      <c r="O106" s="450"/>
      <c r="P106" s="450"/>
      <c r="Q106" s="450"/>
      <c r="R106" s="450"/>
      <c r="S106" s="450"/>
      <c r="T106" s="515">
        <v>-121</v>
      </c>
      <c r="U106" s="452"/>
      <c r="V106" s="430"/>
      <c r="W106" s="533"/>
    </row>
    <row r="107" spans="1:24" s="431" customFormat="1" x14ac:dyDescent="0.3">
      <c r="A107" s="449" t="s">
        <v>214</v>
      </c>
      <c r="B107" s="450" t="s">
        <v>192</v>
      </c>
      <c r="C107" s="450"/>
      <c r="D107" s="450"/>
      <c r="E107" s="450"/>
      <c r="F107" s="450"/>
      <c r="G107" s="450"/>
      <c r="H107" s="450"/>
      <c r="I107" s="450"/>
      <c r="J107" s="450"/>
      <c r="K107" s="450"/>
      <c r="L107" s="450"/>
      <c r="M107" s="450"/>
      <c r="N107" s="450"/>
      <c r="O107" s="450"/>
      <c r="P107" s="450"/>
      <c r="Q107" s="450"/>
      <c r="R107" s="450"/>
      <c r="S107" s="450"/>
      <c r="T107" s="515">
        <v>-136</v>
      </c>
      <c r="U107" s="452"/>
      <c r="V107" s="430"/>
      <c r="W107" s="533"/>
      <c r="X107" s="533"/>
    </row>
    <row r="108" spans="1:24" s="431" customFormat="1" x14ac:dyDescent="0.3">
      <c r="A108" s="449" t="s">
        <v>215</v>
      </c>
      <c r="B108" s="450" t="s">
        <v>193</v>
      </c>
      <c r="C108" s="450"/>
      <c r="D108" s="450"/>
      <c r="E108" s="450"/>
      <c r="F108" s="450"/>
      <c r="G108" s="450"/>
      <c r="H108" s="450"/>
      <c r="I108" s="450"/>
      <c r="J108" s="450"/>
      <c r="K108" s="450"/>
      <c r="L108" s="450"/>
      <c r="M108" s="450"/>
      <c r="N108" s="450"/>
      <c r="O108" s="450"/>
      <c r="P108" s="450"/>
      <c r="Q108" s="450"/>
      <c r="R108" s="450"/>
      <c r="S108" s="450"/>
      <c r="T108" s="515">
        <v>-38</v>
      </c>
      <c r="U108" s="452"/>
      <c r="V108" s="534"/>
      <c r="W108" s="533"/>
    </row>
    <row r="109" spans="1:24" s="431" customFormat="1" x14ac:dyDescent="0.3">
      <c r="A109" s="449" t="s">
        <v>216</v>
      </c>
      <c r="B109" s="450" t="s">
        <v>204</v>
      </c>
      <c r="C109" s="450"/>
      <c r="D109" s="450"/>
      <c r="E109" s="450"/>
      <c r="F109" s="450"/>
      <c r="G109" s="450"/>
      <c r="H109" s="450"/>
      <c r="I109" s="450"/>
      <c r="J109" s="450"/>
      <c r="K109" s="450"/>
      <c r="L109" s="450"/>
      <c r="M109" s="450"/>
      <c r="N109" s="450"/>
      <c r="O109" s="450"/>
      <c r="P109" s="450"/>
      <c r="Q109" s="450"/>
      <c r="R109" s="450"/>
      <c r="S109" s="450"/>
      <c r="T109" s="515">
        <v>-198</v>
      </c>
      <c r="U109" s="452"/>
      <c r="V109" s="430"/>
      <c r="W109" s="533"/>
    </row>
    <row r="110" spans="1:24" s="431" customFormat="1" x14ac:dyDescent="0.3">
      <c r="A110" s="535">
        <v>7</v>
      </c>
      <c r="B110" s="532" t="s">
        <v>313</v>
      </c>
      <c r="C110" s="532"/>
      <c r="D110" s="532"/>
      <c r="E110" s="532"/>
      <c r="F110" s="532"/>
      <c r="G110" s="450"/>
      <c r="H110" s="450"/>
      <c r="I110" s="450"/>
      <c r="J110" s="450"/>
      <c r="K110" s="450"/>
      <c r="L110" s="450"/>
      <c r="M110" s="450"/>
      <c r="N110" s="450"/>
      <c r="O110" s="450"/>
      <c r="P110" s="450"/>
      <c r="Q110" s="450"/>
      <c r="R110" s="450"/>
      <c r="S110" s="450"/>
      <c r="T110" s="515">
        <v>0</v>
      </c>
      <c r="U110" s="452"/>
      <c r="V110" s="430"/>
      <c r="W110" s="533"/>
    </row>
    <row r="111" spans="1:24" s="431" customFormat="1" x14ac:dyDescent="0.3">
      <c r="A111" s="449">
        <f t="shared" ref="A111:A120" si="0">+A110+1</f>
        <v>8</v>
      </c>
      <c r="B111" s="450" t="s">
        <v>35</v>
      </c>
      <c r="C111" s="450"/>
      <c r="D111" s="450"/>
      <c r="E111" s="450"/>
      <c r="F111" s="450"/>
      <c r="G111" s="450"/>
      <c r="H111" s="450"/>
      <c r="I111" s="450"/>
      <c r="J111" s="450"/>
      <c r="K111" s="450"/>
      <c r="L111" s="450"/>
      <c r="M111" s="450"/>
      <c r="N111" s="450"/>
      <c r="O111" s="450"/>
      <c r="P111" s="450"/>
      <c r="Q111" s="450"/>
      <c r="R111" s="450"/>
      <c r="S111" s="450"/>
      <c r="T111" s="515">
        <v>-10</v>
      </c>
      <c r="U111" s="452"/>
      <c r="V111" s="430"/>
    </row>
    <row r="112" spans="1:24" s="431" customFormat="1" x14ac:dyDescent="0.3">
      <c r="A112" s="449">
        <f t="shared" si="0"/>
        <v>9</v>
      </c>
      <c r="B112" s="450" t="s">
        <v>46</v>
      </c>
      <c r="C112" s="450"/>
      <c r="D112" s="450"/>
      <c r="E112" s="450"/>
      <c r="F112" s="450"/>
      <c r="G112" s="450"/>
      <c r="H112" s="450"/>
      <c r="I112" s="450"/>
      <c r="J112" s="450"/>
      <c r="K112" s="450"/>
      <c r="L112" s="450"/>
      <c r="M112" s="450"/>
      <c r="N112" s="450"/>
      <c r="O112" s="450"/>
      <c r="P112" s="450"/>
      <c r="Q112" s="450"/>
      <c r="R112" s="514">
        <f>-T112</f>
        <v>9</v>
      </c>
      <c r="S112" s="450"/>
      <c r="T112" s="515">
        <v>-9</v>
      </c>
      <c r="U112" s="452"/>
      <c r="V112" s="430"/>
    </row>
    <row r="113" spans="1:22" s="431" customFormat="1" x14ac:dyDescent="0.3">
      <c r="A113" s="449">
        <f t="shared" si="0"/>
        <v>10</v>
      </c>
      <c r="B113" s="450" t="s">
        <v>131</v>
      </c>
      <c r="C113" s="450"/>
      <c r="D113" s="450"/>
      <c r="E113" s="450"/>
      <c r="F113" s="450"/>
      <c r="G113" s="450"/>
      <c r="H113" s="450"/>
      <c r="I113" s="450"/>
      <c r="J113" s="450"/>
      <c r="K113" s="450"/>
      <c r="L113" s="450"/>
      <c r="M113" s="450"/>
      <c r="N113" s="450"/>
      <c r="O113" s="450"/>
      <c r="P113" s="450"/>
      <c r="Q113" s="450"/>
      <c r="R113" s="450"/>
      <c r="S113" s="450"/>
      <c r="T113" s="515">
        <v>0</v>
      </c>
      <c r="U113" s="452"/>
      <c r="V113" s="430"/>
    </row>
    <row r="114" spans="1:22" s="431" customFormat="1" x14ac:dyDescent="0.3">
      <c r="A114" s="449">
        <f t="shared" si="0"/>
        <v>11</v>
      </c>
      <c r="B114" s="450" t="s">
        <v>36</v>
      </c>
      <c r="C114" s="450"/>
      <c r="D114" s="450"/>
      <c r="E114" s="450"/>
      <c r="F114" s="450"/>
      <c r="G114" s="450"/>
      <c r="H114" s="450"/>
      <c r="I114" s="450"/>
      <c r="J114" s="450"/>
      <c r="K114" s="450"/>
      <c r="L114" s="450"/>
      <c r="M114" s="450"/>
      <c r="N114" s="450"/>
      <c r="O114" s="450"/>
      <c r="P114" s="450"/>
      <c r="Q114" s="450"/>
      <c r="R114" s="450"/>
      <c r="S114" s="450"/>
      <c r="T114" s="515">
        <v>0</v>
      </c>
      <c r="U114" s="452"/>
      <c r="V114" s="430"/>
    </row>
    <row r="115" spans="1:22" s="431" customFormat="1" x14ac:dyDescent="0.3">
      <c r="A115" s="449">
        <f t="shared" si="0"/>
        <v>12</v>
      </c>
      <c r="B115" s="450" t="s">
        <v>37</v>
      </c>
      <c r="C115" s="450"/>
      <c r="D115" s="450"/>
      <c r="E115" s="450"/>
      <c r="F115" s="450"/>
      <c r="G115" s="450"/>
      <c r="H115" s="450"/>
      <c r="I115" s="450"/>
      <c r="J115" s="450"/>
      <c r="K115" s="450"/>
      <c r="L115" s="450"/>
      <c r="M115" s="450"/>
      <c r="N115" s="450"/>
      <c r="O115" s="450"/>
      <c r="P115" s="450"/>
      <c r="Q115" s="450"/>
      <c r="R115" s="450"/>
      <c r="S115" s="450"/>
      <c r="T115" s="515">
        <v>0</v>
      </c>
      <c r="U115" s="452"/>
      <c r="V115" s="430"/>
    </row>
    <row r="116" spans="1:22" s="431" customFormat="1" x14ac:dyDescent="0.3">
      <c r="A116" s="449">
        <f t="shared" si="0"/>
        <v>13</v>
      </c>
      <c r="B116" s="450" t="s">
        <v>155</v>
      </c>
      <c r="C116" s="450"/>
      <c r="D116" s="450"/>
      <c r="E116" s="450"/>
      <c r="F116" s="450"/>
      <c r="G116" s="450"/>
      <c r="H116" s="450"/>
      <c r="I116" s="450"/>
      <c r="J116" s="450"/>
      <c r="K116" s="450"/>
      <c r="L116" s="450"/>
      <c r="M116" s="450"/>
      <c r="N116" s="450"/>
      <c r="O116" s="450"/>
      <c r="P116" s="450"/>
      <c r="Q116" s="450"/>
      <c r="R116" s="450"/>
      <c r="S116" s="450"/>
      <c r="T116" s="515">
        <v>-143</v>
      </c>
      <c r="U116" s="452"/>
      <c r="V116" s="430"/>
    </row>
    <row r="117" spans="1:22" s="431" customFormat="1" x14ac:dyDescent="0.3">
      <c r="A117" s="449">
        <f t="shared" si="0"/>
        <v>14</v>
      </c>
      <c r="B117" s="648" t="s">
        <v>368</v>
      </c>
      <c r="C117" s="450"/>
      <c r="D117" s="450"/>
      <c r="E117" s="450"/>
      <c r="F117" s="450"/>
      <c r="G117" s="450"/>
      <c r="H117" s="450"/>
      <c r="I117" s="450"/>
      <c r="J117" s="450"/>
      <c r="K117" s="450"/>
      <c r="L117" s="450"/>
      <c r="M117" s="450"/>
      <c r="N117" s="450"/>
      <c r="O117" s="450"/>
      <c r="P117" s="450"/>
      <c r="Q117" s="450"/>
      <c r="R117" s="450"/>
      <c r="S117" s="450"/>
      <c r="T117" s="515">
        <v>-228</v>
      </c>
      <c r="U117" s="452"/>
      <c r="V117" s="430"/>
    </row>
    <row r="118" spans="1:22" s="431" customFormat="1" x14ac:dyDescent="0.3">
      <c r="A118" s="449">
        <f t="shared" si="0"/>
        <v>15</v>
      </c>
      <c r="B118" s="649" t="s">
        <v>369</v>
      </c>
      <c r="C118" s="450"/>
      <c r="D118" s="450"/>
      <c r="E118" s="450"/>
      <c r="F118" s="450"/>
      <c r="G118" s="450"/>
      <c r="H118" s="450"/>
      <c r="I118" s="450"/>
      <c r="J118" s="450"/>
      <c r="K118" s="450"/>
      <c r="L118" s="450"/>
      <c r="M118" s="450"/>
      <c r="N118" s="450"/>
      <c r="O118" s="450"/>
      <c r="P118" s="450"/>
      <c r="Q118" s="450"/>
      <c r="R118" s="450"/>
      <c r="S118" s="450"/>
      <c r="T118" s="515">
        <v>-12</v>
      </c>
      <c r="U118" s="452"/>
      <c r="V118" s="430"/>
    </row>
    <row r="119" spans="1:22" s="431" customFormat="1" x14ac:dyDescent="0.3">
      <c r="A119" s="449">
        <f t="shared" si="0"/>
        <v>16</v>
      </c>
      <c r="B119" s="649" t="s">
        <v>370</v>
      </c>
      <c r="C119" s="450"/>
      <c r="D119" s="450"/>
      <c r="E119" s="450"/>
      <c r="F119" s="450"/>
      <c r="G119" s="450"/>
      <c r="H119" s="450"/>
      <c r="I119" s="450"/>
      <c r="J119" s="450"/>
      <c r="K119" s="450"/>
      <c r="L119" s="450"/>
      <c r="M119" s="450"/>
      <c r="N119" s="450"/>
      <c r="O119" s="450"/>
      <c r="P119" s="450"/>
      <c r="Q119" s="450"/>
      <c r="R119" s="450"/>
      <c r="S119" s="450"/>
      <c r="T119" s="515">
        <v>0</v>
      </c>
      <c r="U119" s="452"/>
      <c r="V119" s="430"/>
    </row>
    <row r="120" spans="1:22" s="431" customFormat="1" x14ac:dyDescent="0.3">
      <c r="A120" s="449">
        <f t="shared" si="0"/>
        <v>17</v>
      </c>
      <c r="B120" s="649" t="s">
        <v>371</v>
      </c>
      <c r="C120" s="450"/>
      <c r="D120" s="450"/>
      <c r="E120" s="450"/>
      <c r="F120" s="450"/>
      <c r="G120" s="450"/>
      <c r="H120" s="450"/>
      <c r="I120" s="450"/>
      <c r="J120" s="450"/>
      <c r="K120" s="450"/>
      <c r="L120" s="450"/>
      <c r="M120" s="450"/>
      <c r="N120" s="450"/>
      <c r="O120" s="450"/>
      <c r="P120" s="450"/>
      <c r="Q120" s="450"/>
      <c r="R120" s="450"/>
      <c r="S120" s="450"/>
      <c r="T120" s="515">
        <f>-T99-SUM(T101:T119)</f>
        <v>-856</v>
      </c>
      <c r="U120" s="452"/>
      <c r="V120" s="430"/>
    </row>
    <row r="121" spans="1:22" x14ac:dyDescent="0.3">
      <c r="A121" s="468"/>
      <c r="B121" s="529" t="s">
        <v>38</v>
      </c>
      <c r="C121" s="470"/>
      <c r="D121" s="470"/>
      <c r="E121" s="470"/>
      <c r="F121" s="470"/>
      <c r="G121" s="470"/>
      <c r="H121" s="470"/>
      <c r="I121" s="470"/>
      <c r="J121" s="470"/>
      <c r="K121" s="470"/>
      <c r="L121" s="470"/>
      <c r="M121" s="470"/>
      <c r="N121" s="470"/>
      <c r="O121" s="470"/>
      <c r="P121" s="470"/>
      <c r="Q121" s="470"/>
      <c r="R121" s="470"/>
      <c r="S121" s="470"/>
      <c r="T121" s="536"/>
      <c r="U121" s="476"/>
      <c r="V121" s="416"/>
    </row>
    <row r="122" spans="1:22" s="431" customFormat="1" x14ac:dyDescent="0.3">
      <c r="A122" s="449"/>
      <c r="B122" s="450" t="s">
        <v>180</v>
      </c>
      <c r="C122" s="450"/>
      <c r="D122" s="450"/>
      <c r="E122" s="450"/>
      <c r="F122" s="450"/>
      <c r="G122" s="450"/>
      <c r="H122" s="450"/>
      <c r="I122" s="450"/>
      <c r="J122" s="450"/>
      <c r="K122" s="450"/>
      <c r="L122" s="450"/>
      <c r="M122" s="450"/>
      <c r="N122" s="450"/>
      <c r="O122" s="450"/>
      <c r="P122" s="450"/>
      <c r="Q122" s="450"/>
      <c r="R122" s="514">
        <f>-R180</f>
        <v>0</v>
      </c>
      <c r="S122" s="514"/>
      <c r="T122" s="515"/>
      <c r="U122" s="452"/>
      <c r="V122" s="430"/>
    </row>
    <row r="123" spans="1:22" s="431" customFormat="1" x14ac:dyDescent="0.3">
      <c r="A123" s="449"/>
      <c r="B123" s="450" t="s">
        <v>181</v>
      </c>
      <c r="C123" s="450"/>
      <c r="D123" s="450"/>
      <c r="E123" s="450"/>
      <c r="F123" s="450"/>
      <c r="G123" s="450"/>
      <c r="H123" s="450"/>
      <c r="I123" s="450"/>
      <c r="J123" s="450"/>
      <c r="K123" s="450"/>
      <c r="L123" s="450"/>
      <c r="M123" s="450"/>
      <c r="N123" s="450"/>
      <c r="O123" s="450"/>
      <c r="P123" s="450"/>
      <c r="Q123" s="450"/>
      <c r="R123" s="514">
        <v>0</v>
      </c>
      <c r="S123" s="514"/>
      <c r="T123" s="515"/>
      <c r="U123" s="452"/>
      <c r="V123" s="430"/>
    </row>
    <row r="124" spans="1:22" s="431" customFormat="1" x14ac:dyDescent="0.3">
      <c r="A124" s="449"/>
      <c r="B124" s="450" t="s">
        <v>39</v>
      </c>
      <c r="C124" s="450"/>
      <c r="D124" s="450"/>
      <c r="E124" s="450"/>
      <c r="F124" s="450"/>
      <c r="G124" s="450"/>
      <c r="H124" s="450"/>
      <c r="I124" s="450"/>
      <c r="J124" s="450"/>
      <c r="K124" s="450"/>
      <c r="L124" s="450"/>
      <c r="M124" s="450"/>
      <c r="N124" s="450"/>
      <c r="O124" s="450"/>
      <c r="P124" s="450"/>
      <c r="Q124" s="450"/>
      <c r="R124" s="514">
        <f>-Q180</f>
        <v>0</v>
      </c>
      <c r="S124" s="514"/>
      <c r="T124" s="515"/>
      <c r="U124" s="452"/>
      <c r="V124" s="430"/>
    </row>
    <row r="125" spans="1:22" s="431" customFormat="1" x14ac:dyDescent="0.3">
      <c r="A125" s="449"/>
      <c r="B125" s="450" t="s">
        <v>372</v>
      </c>
      <c r="C125" s="450"/>
      <c r="D125" s="450"/>
      <c r="E125" s="450"/>
      <c r="F125" s="450"/>
      <c r="G125" s="450"/>
      <c r="H125" s="450"/>
      <c r="I125" s="450"/>
      <c r="J125" s="450"/>
      <c r="K125" s="450"/>
      <c r="L125" s="450"/>
      <c r="M125" s="450"/>
      <c r="N125" s="450"/>
      <c r="O125" s="450"/>
      <c r="P125" s="450"/>
      <c r="Q125" s="450"/>
      <c r="R125" s="514">
        <v>-3802</v>
      </c>
      <c r="S125" s="514"/>
      <c r="T125" s="515"/>
      <c r="U125" s="452"/>
      <c r="V125" s="430"/>
    </row>
    <row r="126" spans="1:22" s="431" customFormat="1" x14ac:dyDescent="0.3">
      <c r="A126" s="449"/>
      <c r="B126" s="450" t="s">
        <v>203</v>
      </c>
      <c r="C126" s="450"/>
      <c r="D126" s="450"/>
      <c r="E126" s="450"/>
      <c r="F126" s="450"/>
      <c r="G126" s="450"/>
      <c r="H126" s="450"/>
      <c r="I126" s="450"/>
      <c r="J126" s="450"/>
      <c r="K126" s="450"/>
      <c r="L126" s="450"/>
      <c r="M126" s="450"/>
      <c r="N126" s="450"/>
      <c r="O126" s="450"/>
      <c r="P126" s="450"/>
      <c r="Q126" s="450"/>
      <c r="R126" s="514">
        <v>-1002</v>
      </c>
      <c r="S126" s="514"/>
      <c r="T126" s="515"/>
      <c r="U126" s="452"/>
      <c r="V126" s="430"/>
    </row>
    <row r="127" spans="1:22" s="431" customFormat="1" x14ac:dyDescent="0.3">
      <c r="A127" s="449"/>
      <c r="B127" s="450" t="s">
        <v>202</v>
      </c>
      <c r="C127" s="450"/>
      <c r="D127" s="450"/>
      <c r="E127" s="450"/>
      <c r="F127" s="450"/>
      <c r="G127" s="450"/>
      <c r="H127" s="450"/>
      <c r="I127" s="450"/>
      <c r="J127" s="450"/>
      <c r="K127" s="450"/>
      <c r="L127" s="450"/>
      <c r="M127" s="450"/>
      <c r="N127" s="450"/>
      <c r="O127" s="450"/>
      <c r="P127" s="450"/>
      <c r="Q127" s="450"/>
      <c r="R127" s="514">
        <v>-1010</v>
      </c>
      <c r="S127" s="514"/>
      <c r="T127" s="515"/>
      <c r="U127" s="452"/>
      <c r="V127" s="430"/>
    </row>
    <row r="128" spans="1:22" s="431" customFormat="1" x14ac:dyDescent="0.3">
      <c r="A128" s="449"/>
      <c r="B128" s="450" t="s">
        <v>197</v>
      </c>
      <c r="C128" s="450"/>
      <c r="D128" s="450"/>
      <c r="E128" s="450"/>
      <c r="F128" s="450"/>
      <c r="G128" s="450"/>
      <c r="H128" s="450"/>
      <c r="I128" s="450"/>
      <c r="J128" s="450"/>
      <c r="K128" s="450"/>
      <c r="L128" s="450"/>
      <c r="M128" s="450"/>
      <c r="N128" s="450"/>
      <c r="O128" s="450"/>
      <c r="P128" s="450"/>
      <c r="Q128" s="450"/>
      <c r="R128" s="514">
        <v>-254</v>
      </c>
      <c r="S128" s="514"/>
      <c r="T128" s="515"/>
      <c r="U128" s="452"/>
      <c r="V128" s="430"/>
    </row>
    <row r="129" spans="1:22" s="431" customFormat="1" x14ac:dyDescent="0.3">
      <c r="A129" s="449"/>
      <c r="B129" s="450" t="s">
        <v>196</v>
      </c>
      <c r="C129" s="450"/>
      <c r="D129" s="450"/>
      <c r="E129" s="450"/>
      <c r="F129" s="450"/>
      <c r="G129" s="450"/>
      <c r="H129" s="450"/>
      <c r="I129" s="450"/>
      <c r="J129" s="450"/>
      <c r="K129" s="450"/>
      <c r="L129" s="450"/>
      <c r="M129" s="450"/>
      <c r="N129" s="450"/>
      <c r="O129" s="450"/>
      <c r="P129" s="450"/>
      <c r="Q129" s="450"/>
      <c r="R129" s="514">
        <v>-899</v>
      </c>
      <c r="S129" s="514"/>
      <c r="T129" s="515"/>
      <c r="U129" s="452"/>
      <c r="V129" s="430"/>
    </row>
    <row r="130" spans="1:22" s="431" customFormat="1" x14ac:dyDescent="0.3">
      <c r="A130" s="449"/>
      <c r="B130" s="450" t="s">
        <v>195</v>
      </c>
      <c r="C130" s="450"/>
      <c r="D130" s="450"/>
      <c r="E130" s="450"/>
      <c r="F130" s="450"/>
      <c r="G130" s="450"/>
      <c r="H130" s="450"/>
      <c r="I130" s="450"/>
      <c r="J130" s="450"/>
      <c r="K130" s="450"/>
      <c r="L130" s="450"/>
      <c r="M130" s="450"/>
      <c r="N130" s="450"/>
      <c r="O130" s="450"/>
      <c r="P130" s="450"/>
      <c r="Q130" s="450"/>
      <c r="R130" s="514">
        <v>-954</v>
      </c>
      <c r="S130" s="514"/>
      <c r="T130" s="515"/>
      <c r="U130" s="452"/>
      <c r="V130" s="430"/>
    </row>
    <row r="131" spans="1:22" s="431" customFormat="1" x14ac:dyDescent="0.3">
      <c r="A131" s="449"/>
      <c r="B131" s="450" t="s">
        <v>40</v>
      </c>
      <c r="C131" s="450"/>
      <c r="D131" s="450"/>
      <c r="E131" s="450"/>
      <c r="F131" s="450"/>
      <c r="G131" s="450"/>
      <c r="H131" s="450"/>
      <c r="I131" s="450"/>
      <c r="J131" s="450"/>
      <c r="K131" s="450"/>
      <c r="L131" s="450"/>
      <c r="M131" s="450"/>
      <c r="N131" s="450"/>
      <c r="O131" s="450"/>
      <c r="P131" s="450"/>
      <c r="Q131" s="450"/>
      <c r="R131" s="514">
        <f>SUM(R122:R130)</f>
        <v>-7921</v>
      </c>
      <c r="S131" s="514"/>
      <c r="T131" s="514">
        <f>SUM(T100:T129)</f>
        <v>-2485</v>
      </c>
      <c r="U131" s="452"/>
      <c r="V131" s="430"/>
    </row>
    <row r="132" spans="1:22" s="431" customFormat="1" x14ac:dyDescent="0.3">
      <c r="A132" s="449"/>
      <c r="B132" s="450" t="s">
        <v>41</v>
      </c>
      <c r="C132" s="450"/>
      <c r="D132" s="450"/>
      <c r="E132" s="450"/>
      <c r="F132" s="450"/>
      <c r="G132" s="450"/>
      <c r="H132" s="450"/>
      <c r="I132" s="450"/>
      <c r="J132" s="450"/>
      <c r="K132" s="450"/>
      <c r="L132" s="450"/>
      <c r="M132" s="450"/>
      <c r="N132" s="450"/>
      <c r="O132" s="450"/>
      <c r="P132" s="450"/>
      <c r="Q132" s="450"/>
      <c r="R132" s="514">
        <f>R99+R131+R112</f>
        <v>0</v>
      </c>
      <c r="S132" s="514"/>
      <c r="T132" s="514">
        <f>T99+T131</f>
        <v>0</v>
      </c>
      <c r="U132" s="452"/>
      <c r="V132" s="430"/>
    </row>
    <row r="133" spans="1:22" s="431" customFormat="1" x14ac:dyDescent="0.3">
      <c r="A133" s="432"/>
      <c r="B133" s="447"/>
      <c r="C133" s="447"/>
      <c r="D133" s="447"/>
      <c r="E133" s="447"/>
      <c r="F133" s="447"/>
      <c r="G133" s="447"/>
      <c r="H133" s="447"/>
      <c r="I133" s="447"/>
      <c r="J133" s="447"/>
      <c r="K133" s="447"/>
      <c r="L133" s="447"/>
      <c r="M133" s="447"/>
      <c r="N133" s="447"/>
      <c r="O133" s="447"/>
      <c r="P133" s="447"/>
      <c r="Q133" s="447"/>
      <c r="R133" s="525"/>
      <c r="S133" s="525"/>
      <c r="T133" s="525"/>
      <c r="U133" s="641"/>
      <c r="V133" s="430"/>
    </row>
    <row r="134" spans="1:22" s="431" customFormat="1" x14ac:dyDescent="0.3">
      <c r="A134" s="432"/>
      <c r="B134" s="433"/>
      <c r="C134" s="433"/>
      <c r="D134" s="433"/>
      <c r="E134" s="433"/>
      <c r="F134" s="433"/>
      <c r="G134" s="433"/>
      <c r="H134" s="433"/>
      <c r="I134" s="433"/>
      <c r="J134" s="433"/>
      <c r="K134" s="433"/>
      <c r="L134" s="433"/>
      <c r="M134" s="433"/>
      <c r="N134" s="433"/>
      <c r="O134" s="433"/>
      <c r="P134" s="433"/>
      <c r="Q134" s="433"/>
      <c r="R134" s="433"/>
      <c r="S134" s="433"/>
      <c r="T134" s="537"/>
      <c r="U134" s="641"/>
      <c r="V134" s="430"/>
    </row>
    <row r="135" spans="1:22" s="431" customFormat="1" ht="18.600000000000001" thickBot="1" x14ac:dyDescent="0.4">
      <c r="A135" s="500"/>
      <c r="B135" s="501" t="str">
        <f>B63</f>
        <v>PM11 INVESTOR REPORT QUARTER ENDING SEPTEMBER 2019</v>
      </c>
      <c r="C135" s="502"/>
      <c r="D135" s="502"/>
      <c r="E135" s="502"/>
      <c r="F135" s="502"/>
      <c r="G135" s="502"/>
      <c r="H135" s="502"/>
      <c r="I135" s="502"/>
      <c r="J135" s="502"/>
      <c r="K135" s="502"/>
      <c r="L135" s="502"/>
      <c r="M135" s="502"/>
      <c r="N135" s="502"/>
      <c r="O135" s="502"/>
      <c r="P135" s="502"/>
      <c r="Q135" s="502"/>
      <c r="R135" s="502"/>
      <c r="S135" s="502"/>
      <c r="T135" s="538"/>
      <c r="U135" s="504"/>
      <c r="V135" s="430"/>
    </row>
    <row r="136" spans="1:22" x14ac:dyDescent="0.3">
      <c r="A136" s="505"/>
      <c r="B136" s="506" t="s">
        <v>42</v>
      </c>
      <c r="C136" s="507"/>
      <c r="D136" s="507"/>
      <c r="E136" s="507"/>
      <c r="F136" s="507"/>
      <c r="G136" s="507"/>
      <c r="H136" s="507"/>
      <c r="I136" s="507"/>
      <c r="J136" s="507"/>
      <c r="K136" s="507"/>
      <c r="L136" s="507"/>
      <c r="M136" s="507"/>
      <c r="N136" s="507"/>
      <c r="O136" s="507"/>
      <c r="P136" s="507"/>
      <c r="Q136" s="507"/>
      <c r="R136" s="507"/>
      <c r="S136" s="507"/>
      <c r="T136" s="508"/>
      <c r="U136" s="509"/>
      <c r="V136" s="416"/>
    </row>
    <row r="137" spans="1:22" x14ac:dyDescent="0.3">
      <c r="A137" s="418"/>
      <c r="B137" s="539"/>
      <c r="C137" s="420"/>
      <c r="D137" s="420"/>
      <c r="E137" s="420"/>
      <c r="F137" s="420"/>
      <c r="G137" s="420"/>
      <c r="H137" s="420"/>
      <c r="I137" s="420"/>
      <c r="J137" s="420"/>
      <c r="K137" s="420"/>
      <c r="L137" s="420"/>
      <c r="M137" s="420"/>
      <c r="N137" s="420"/>
      <c r="O137" s="420"/>
      <c r="P137" s="420"/>
      <c r="Q137" s="420"/>
      <c r="R137" s="420"/>
      <c r="S137" s="420"/>
      <c r="T137" s="510"/>
      <c r="U137" s="639"/>
      <c r="V137" s="416"/>
    </row>
    <row r="138" spans="1:22" x14ac:dyDescent="0.3">
      <c r="A138" s="418"/>
      <c r="B138" s="540" t="s">
        <v>43</v>
      </c>
      <c r="C138" s="420"/>
      <c r="D138" s="420"/>
      <c r="E138" s="420"/>
      <c r="F138" s="420"/>
      <c r="G138" s="420"/>
      <c r="H138" s="420"/>
      <c r="I138" s="420"/>
      <c r="J138" s="420"/>
      <c r="K138" s="420"/>
      <c r="L138" s="420"/>
      <c r="M138" s="420"/>
      <c r="N138" s="420"/>
      <c r="O138" s="420"/>
      <c r="P138" s="420"/>
      <c r="Q138" s="420"/>
      <c r="R138" s="420"/>
      <c r="S138" s="420"/>
      <c r="T138" s="510"/>
      <c r="U138" s="639"/>
      <c r="V138" s="416"/>
    </row>
    <row r="139" spans="1:22" s="431" customFormat="1" x14ac:dyDescent="0.3">
      <c r="A139" s="449"/>
      <c r="B139" s="450" t="s">
        <v>44</v>
      </c>
      <c r="C139" s="450"/>
      <c r="D139" s="450"/>
      <c r="E139" s="450"/>
      <c r="F139" s="450"/>
      <c r="G139" s="450"/>
      <c r="H139" s="450"/>
      <c r="I139" s="450"/>
      <c r="J139" s="450"/>
      <c r="K139" s="450"/>
      <c r="L139" s="450"/>
      <c r="M139" s="450"/>
      <c r="N139" s="450"/>
      <c r="O139" s="450"/>
      <c r="P139" s="450"/>
      <c r="Q139" s="450"/>
      <c r="R139" s="450"/>
      <c r="S139" s="450"/>
      <c r="T139" s="515">
        <f>+T34*0.019</f>
        <v>19000.95</v>
      </c>
      <c r="U139" s="452"/>
      <c r="V139" s="430"/>
    </row>
    <row r="140" spans="1:22" s="431" customFormat="1" x14ac:dyDescent="0.3">
      <c r="A140" s="449"/>
      <c r="B140" s="450" t="s">
        <v>45</v>
      </c>
      <c r="C140" s="450"/>
      <c r="D140" s="450"/>
      <c r="E140" s="450"/>
      <c r="F140" s="450"/>
      <c r="G140" s="450"/>
      <c r="H140" s="450"/>
      <c r="I140" s="450"/>
      <c r="J140" s="450"/>
      <c r="K140" s="450"/>
      <c r="L140" s="450"/>
      <c r="M140" s="450"/>
      <c r="N140" s="450"/>
      <c r="O140" s="450"/>
      <c r="P140" s="450"/>
      <c r="Q140" s="450"/>
      <c r="R140" s="450"/>
      <c r="S140" s="450"/>
      <c r="T140" s="515">
        <v>19001</v>
      </c>
      <c r="U140" s="452"/>
      <c r="V140" s="430"/>
    </row>
    <row r="141" spans="1:22" s="431" customFormat="1" x14ac:dyDescent="0.3">
      <c r="A141" s="449"/>
      <c r="B141" s="450" t="s">
        <v>142</v>
      </c>
      <c r="C141" s="450"/>
      <c r="D141" s="450"/>
      <c r="E141" s="450"/>
      <c r="F141" s="450"/>
      <c r="G141" s="450"/>
      <c r="H141" s="450"/>
      <c r="I141" s="450"/>
      <c r="J141" s="450"/>
      <c r="K141" s="450"/>
      <c r="L141" s="450"/>
      <c r="M141" s="450"/>
      <c r="N141" s="450"/>
      <c r="O141" s="450"/>
      <c r="P141" s="450"/>
      <c r="Q141" s="450"/>
      <c r="R141" s="450"/>
      <c r="S141" s="450"/>
      <c r="T141" s="515">
        <v>0</v>
      </c>
      <c r="U141" s="452"/>
      <c r="V141" s="430"/>
    </row>
    <row r="142" spans="1:22" s="431" customFormat="1" x14ac:dyDescent="0.3">
      <c r="A142" s="449"/>
      <c r="B142" s="450" t="s">
        <v>129</v>
      </c>
      <c r="C142" s="450"/>
      <c r="D142" s="450"/>
      <c r="E142" s="450"/>
      <c r="F142" s="450"/>
      <c r="G142" s="450"/>
      <c r="H142" s="450"/>
      <c r="I142" s="450"/>
      <c r="J142" s="450"/>
      <c r="K142" s="450"/>
      <c r="L142" s="450"/>
      <c r="M142" s="450"/>
      <c r="N142" s="450"/>
      <c r="O142" s="450"/>
      <c r="P142" s="450"/>
      <c r="Q142" s="450"/>
      <c r="R142" s="450"/>
      <c r="S142" s="450"/>
      <c r="T142" s="515">
        <v>0</v>
      </c>
      <c r="U142" s="452"/>
      <c r="V142" s="430"/>
    </row>
    <row r="143" spans="1:22" s="431" customFormat="1" x14ac:dyDescent="0.3">
      <c r="A143" s="449"/>
      <c r="B143" s="450" t="s">
        <v>130</v>
      </c>
      <c r="C143" s="450"/>
      <c r="D143" s="450"/>
      <c r="E143" s="450"/>
      <c r="F143" s="450"/>
      <c r="G143" s="450"/>
      <c r="H143" s="450"/>
      <c r="I143" s="450"/>
      <c r="J143" s="450"/>
      <c r="K143" s="450"/>
      <c r="L143" s="450"/>
      <c r="M143" s="450"/>
      <c r="N143" s="450"/>
      <c r="O143" s="450"/>
      <c r="P143" s="450"/>
      <c r="Q143" s="450"/>
      <c r="R143" s="450"/>
      <c r="S143" s="450"/>
      <c r="T143" s="515">
        <v>0</v>
      </c>
      <c r="U143" s="452"/>
      <c r="V143" s="430"/>
    </row>
    <row r="144" spans="1:22" s="431" customFormat="1" x14ac:dyDescent="0.3">
      <c r="A144" s="449"/>
      <c r="B144" s="450" t="s">
        <v>182</v>
      </c>
      <c r="C144" s="450"/>
      <c r="D144" s="450"/>
      <c r="E144" s="450"/>
      <c r="F144" s="450"/>
      <c r="G144" s="450"/>
      <c r="H144" s="450"/>
      <c r="I144" s="450"/>
      <c r="J144" s="450"/>
      <c r="K144" s="450"/>
      <c r="L144" s="450"/>
      <c r="M144" s="450"/>
      <c r="N144" s="450"/>
      <c r="O144" s="450"/>
      <c r="P144" s="450"/>
      <c r="Q144" s="450"/>
      <c r="R144" s="450"/>
      <c r="S144" s="450"/>
      <c r="T144" s="515">
        <v>0</v>
      </c>
      <c r="U144" s="452"/>
      <c r="V144" s="430"/>
    </row>
    <row r="145" spans="1:23" s="431" customFormat="1" x14ac:dyDescent="0.3">
      <c r="A145" s="449"/>
      <c r="B145" s="450" t="s">
        <v>46</v>
      </c>
      <c r="C145" s="450"/>
      <c r="D145" s="450"/>
      <c r="E145" s="450"/>
      <c r="F145" s="450"/>
      <c r="G145" s="450"/>
      <c r="H145" s="450"/>
      <c r="I145" s="450"/>
      <c r="J145" s="450"/>
      <c r="K145" s="450"/>
      <c r="L145" s="450"/>
      <c r="M145" s="450"/>
      <c r="N145" s="450"/>
      <c r="O145" s="450"/>
      <c r="P145" s="450"/>
      <c r="Q145" s="450"/>
      <c r="R145" s="450"/>
      <c r="S145" s="450"/>
      <c r="T145" s="515">
        <v>0</v>
      </c>
      <c r="U145" s="452"/>
      <c r="V145" s="430"/>
    </row>
    <row r="146" spans="1:23" s="431" customFormat="1" x14ac:dyDescent="0.3">
      <c r="A146" s="449"/>
      <c r="B146" s="450" t="s">
        <v>135</v>
      </c>
      <c r="C146" s="450"/>
      <c r="D146" s="450"/>
      <c r="E146" s="450"/>
      <c r="F146" s="450"/>
      <c r="G146" s="450"/>
      <c r="H146" s="450"/>
      <c r="I146" s="450"/>
      <c r="J146" s="450"/>
      <c r="K146" s="450"/>
      <c r="L146" s="450"/>
      <c r="M146" s="450"/>
      <c r="N146" s="450"/>
      <c r="O146" s="450"/>
      <c r="P146" s="450"/>
      <c r="Q146" s="450"/>
      <c r="R146" s="450"/>
      <c r="S146" s="450"/>
      <c r="T146" s="515">
        <v>0</v>
      </c>
      <c r="U146" s="452"/>
      <c r="V146" s="430"/>
    </row>
    <row r="147" spans="1:23" s="431" customFormat="1" x14ac:dyDescent="0.3">
      <c r="A147" s="449"/>
      <c r="B147" s="450" t="s">
        <v>251</v>
      </c>
      <c r="C147" s="450"/>
      <c r="D147" s="450"/>
      <c r="E147" s="450"/>
      <c r="F147" s="450"/>
      <c r="G147" s="450"/>
      <c r="H147" s="450"/>
      <c r="I147" s="450"/>
      <c r="J147" s="450"/>
      <c r="K147" s="450"/>
      <c r="L147" s="450"/>
      <c r="M147" s="450"/>
      <c r="N147" s="450"/>
      <c r="O147" s="450"/>
      <c r="P147" s="450"/>
      <c r="Q147" s="450"/>
      <c r="R147" s="450"/>
      <c r="S147" s="450"/>
      <c r="T147" s="515">
        <v>0</v>
      </c>
      <c r="U147" s="452"/>
      <c r="V147" s="430"/>
      <c r="W147" s="533"/>
    </row>
    <row r="148" spans="1:23" s="431" customFormat="1" x14ac:dyDescent="0.3">
      <c r="A148" s="449"/>
      <c r="B148" s="450" t="s">
        <v>47</v>
      </c>
      <c r="C148" s="450"/>
      <c r="D148" s="450"/>
      <c r="E148" s="450"/>
      <c r="F148" s="450"/>
      <c r="G148" s="450"/>
      <c r="H148" s="450"/>
      <c r="I148" s="450"/>
      <c r="J148" s="450"/>
      <c r="K148" s="450"/>
      <c r="L148" s="450"/>
      <c r="M148" s="450"/>
      <c r="N148" s="450"/>
      <c r="O148" s="450"/>
      <c r="P148" s="450"/>
      <c r="Q148" s="450"/>
      <c r="R148" s="450"/>
      <c r="S148" s="450"/>
      <c r="T148" s="515">
        <f>SUM(T140:T147)</f>
        <v>19001</v>
      </c>
      <c r="U148" s="452"/>
      <c r="V148" s="430"/>
    </row>
    <row r="149" spans="1:23" x14ac:dyDescent="0.3">
      <c r="A149" s="468"/>
      <c r="B149" s="470"/>
      <c r="C149" s="470"/>
      <c r="D149" s="470"/>
      <c r="E149" s="470"/>
      <c r="F149" s="470"/>
      <c r="G149" s="470"/>
      <c r="H149" s="470"/>
      <c r="I149" s="470"/>
      <c r="J149" s="470"/>
      <c r="K149" s="470"/>
      <c r="L149" s="470"/>
      <c r="M149" s="470"/>
      <c r="N149" s="470"/>
      <c r="O149" s="470"/>
      <c r="P149" s="470"/>
      <c r="Q149" s="470"/>
      <c r="R149" s="470"/>
      <c r="S149" s="470"/>
      <c r="T149" s="531"/>
      <c r="U149" s="476"/>
      <c r="V149" s="416"/>
    </row>
    <row r="150" spans="1:23" x14ac:dyDescent="0.3">
      <c r="A150" s="468"/>
      <c r="B150" s="529" t="s">
        <v>262</v>
      </c>
      <c r="C150" s="470"/>
      <c r="D150" s="470"/>
      <c r="E150" s="470"/>
      <c r="F150" s="470"/>
      <c r="G150" s="470"/>
      <c r="H150" s="470"/>
      <c r="I150" s="470"/>
      <c r="J150" s="470"/>
      <c r="K150" s="470"/>
      <c r="L150" s="470"/>
      <c r="M150" s="470"/>
      <c r="N150" s="470"/>
      <c r="O150" s="470"/>
      <c r="P150" s="470"/>
      <c r="Q150" s="470"/>
      <c r="R150" s="470"/>
      <c r="S150" s="470"/>
      <c r="T150" s="531"/>
      <c r="U150" s="476"/>
      <c r="V150" s="416"/>
    </row>
    <row r="151" spans="1:23" s="431" customFormat="1" x14ac:dyDescent="0.3">
      <c r="A151" s="449"/>
      <c r="B151" s="450" t="s">
        <v>263</v>
      </c>
      <c r="C151" s="450"/>
      <c r="D151" s="450"/>
      <c r="E151" s="450"/>
      <c r="F151" s="450"/>
      <c r="G151" s="450"/>
      <c r="H151" s="450"/>
      <c r="I151" s="450"/>
      <c r="J151" s="450"/>
      <c r="K151" s="450"/>
      <c r="L151" s="450"/>
      <c r="M151" s="450"/>
      <c r="N151" s="450"/>
      <c r="O151" s="450"/>
      <c r="P151" s="450"/>
      <c r="Q151" s="450"/>
      <c r="R151" s="450"/>
      <c r="S151" s="450"/>
      <c r="T151" s="515">
        <v>0</v>
      </c>
      <c r="U151" s="452"/>
      <c r="V151" s="430"/>
    </row>
    <row r="152" spans="1:23" s="431" customFormat="1" x14ac:dyDescent="0.3">
      <c r="A152" s="449"/>
      <c r="B152" s="450" t="s">
        <v>179</v>
      </c>
      <c r="C152" s="450"/>
      <c r="D152" s="450"/>
      <c r="E152" s="450"/>
      <c r="F152" s="450"/>
      <c r="G152" s="450"/>
      <c r="H152" s="450"/>
      <c r="I152" s="450"/>
      <c r="J152" s="450"/>
      <c r="K152" s="450"/>
      <c r="L152" s="450"/>
      <c r="M152" s="450"/>
      <c r="N152" s="450"/>
      <c r="O152" s="450"/>
      <c r="P152" s="450"/>
      <c r="Q152" s="450"/>
      <c r="R152" s="450"/>
      <c r="S152" s="450"/>
      <c r="T152" s="515">
        <v>0</v>
      </c>
      <c r="U152" s="452"/>
      <c r="V152" s="430"/>
    </row>
    <row r="153" spans="1:23" s="431" customFormat="1" x14ac:dyDescent="0.3">
      <c r="A153" s="449"/>
      <c r="B153" s="450" t="s">
        <v>264</v>
      </c>
      <c r="C153" s="450"/>
      <c r="D153" s="450"/>
      <c r="E153" s="450"/>
      <c r="F153" s="450"/>
      <c r="G153" s="450"/>
      <c r="H153" s="450"/>
      <c r="I153" s="450"/>
      <c r="J153" s="450"/>
      <c r="K153" s="450"/>
      <c r="L153" s="450"/>
      <c r="M153" s="450"/>
      <c r="N153" s="450"/>
      <c r="O153" s="450"/>
      <c r="P153" s="450"/>
      <c r="Q153" s="450"/>
      <c r="R153" s="450"/>
      <c r="S153" s="450"/>
      <c r="T153" s="515">
        <v>0</v>
      </c>
      <c r="U153" s="452"/>
      <c r="V153" s="430"/>
    </row>
    <row r="154" spans="1:23" x14ac:dyDescent="0.3">
      <c r="A154" s="468"/>
      <c r="B154" s="541"/>
      <c r="C154" s="541"/>
      <c r="D154" s="541"/>
      <c r="E154" s="541"/>
      <c r="F154" s="541"/>
      <c r="G154" s="541"/>
      <c r="H154" s="541"/>
      <c r="I154" s="541"/>
      <c r="J154" s="541"/>
      <c r="K154" s="541"/>
      <c r="L154" s="541"/>
      <c r="M154" s="541"/>
      <c r="N154" s="541"/>
      <c r="O154" s="541"/>
      <c r="P154" s="541"/>
      <c r="Q154" s="541"/>
      <c r="R154" s="541"/>
      <c r="S154" s="541"/>
      <c r="T154" s="542"/>
      <c r="U154" s="543"/>
      <c r="V154" s="416"/>
    </row>
    <row r="155" spans="1:23" x14ac:dyDescent="0.3">
      <c r="A155" s="418"/>
      <c r="B155" s="516"/>
      <c r="C155" s="516"/>
      <c r="D155" s="516"/>
      <c r="E155" s="516"/>
      <c r="F155" s="516"/>
      <c r="G155" s="516"/>
      <c r="H155" s="516"/>
      <c r="I155" s="516"/>
      <c r="J155" s="516"/>
      <c r="K155" s="516"/>
      <c r="L155" s="516"/>
      <c r="M155" s="516"/>
      <c r="N155" s="516"/>
      <c r="O155" s="516"/>
      <c r="P155" s="516"/>
      <c r="Q155" s="516"/>
      <c r="R155" s="516"/>
      <c r="S155" s="516"/>
      <c r="T155" s="544"/>
      <c r="U155" s="639"/>
      <c r="V155" s="416"/>
    </row>
    <row r="156" spans="1:23" x14ac:dyDescent="0.3">
      <c r="A156" s="418"/>
      <c r="B156" s="540" t="s">
        <v>24</v>
      </c>
      <c r="C156" s="420"/>
      <c r="D156" s="420"/>
      <c r="E156" s="420"/>
      <c r="F156" s="420"/>
      <c r="G156" s="420"/>
      <c r="H156" s="420"/>
      <c r="I156" s="420"/>
      <c r="J156" s="420"/>
      <c r="K156" s="420"/>
      <c r="L156" s="420"/>
      <c r="M156" s="420"/>
      <c r="N156" s="420"/>
      <c r="O156" s="420"/>
      <c r="P156" s="420"/>
      <c r="Q156" s="420"/>
      <c r="R156" s="420"/>
      <c r="S156" s="420"/>
      <c r="T156" s="510"/>
      <c r="U156" s="639"/>
      <c r="V156" s="416"/>
    </row>
    <row r="157" spans="1:23" s="431" customFormat="1" x14ac:dyDescent="0.3">
      <c r="A157" s="449"/>
      <c r="B157" s="450" t="s">
        <v>48</v>
      </c>
      <c r="C157" s="450"/>
      <c r="D157" s="450"/>
      <c r="E157" s="450"/>
      <c r="F157" s="450"/>
      <c r="G157" s="450"/>
      <c r="H157" s="450"/>
      <c r="I157" s="450"/>
      <c r="J157" s="450"/>
      <c r="K157" s="450"/>
      <c r="L157" s="450"/>
      <c r="M157" s="450"/>
      <c r="N157" s="450"/>
      <c r="O157" s="450"/>
      <c r="P157" s="450"/>
      <c r="Q157" s="450"/>
      <c r="R157" s="450"/>
      <c r="S157" s="450"/>
      <c r="T157" s="545" t="s">
        <v>124</v>
      </c>
      <c r="U157" s="452"/>
      <c r="V157" s="430"/>
    </row>
    <row r="158" spans="1:23" s="431" customFormat="1" x14ac:dyDescent="0.3">
      <c r="A158" s="449"/>
      <c r="B158" s="450" t="s">
        <v>49</v>
      </c>
      <c r="C158" s="450"/>
      <c r="D158" s="450"/>
      <c r="E158" s="450"/>
      <c r="F158" s="450"/>
      <c r="G158" s="450"/>
      <c r="H158" s="450"/>
      <c r="I158" s="450"/>
      <c r="J158" s="450"/>
      <c r="K158" s="450"/>
      <c r="L158" s="450"/>
      <c r="M158" s="450"/>
      <c r="N158" s="450"/>
      <c r="O158" s="450"/>
      <c r="P158" s="450"/>
      <c r="Q158" s="450"/>
      <c r="R158" s="450"/>
      <c r="S158" s="450"/>
      <c r="T158" s="545" t="s">
        <v>124</v>
      </c>
      <c r="U158" s="452"/>
      <c r="V158" s="430"/>
    </row>
    <row r="159" spans="1:23" s="431" customFormat="1" x14ac:dyDescent="0.3">
      <c r="A159" s="449"/>
      <c r="B159" s="450" t="s">
        <v>50</v>
      </c>
      <c r="C159" s="450"/>
      <c r="D159" s="450"/>
      <c r="E159" s="450"/>
      <c r="F159" s="450"/>
      <c r="G159" s="450"/>
      <c r="H159" s="450"/>
      <c r="I159" s="450"/>
      <c r="J159" s="450"/>
      <c r="K159" s="450"/>
      <c r="L159" s="450"/>
      <c r="M159" s="450"/>
      <c r="N159" s="450"/>
      <c r="O159" s="450"/>
      <c r="P159" s="450"/>
      <c r="Q159" s="450"/>
      <c r="R159" s="450"/>
      <c r="S159" s="450"/>
      <c r="T159" s="545" t="s">
        <v>124</v>
      </c>
      <c r="U159" s="452"/>
      <c r="V159" s="430"/>
    </row>
    <row r="160" spans="1:23" s="431" customFormat="1" x14ac:dyDescent="0.3">
      <c r="A160" s="449"/>
      <c r="B160" s="450" t="s">
        <v>51</v>
      </c>
      <c r="C160" s="450"/>
      <c r="D160" s="450"/>
      <c r="E160" s="450"/>
      <c r="F160" s="450"/>
      <c r="G160" s="450"/>
      <c r="H160" s="450"/>
      <c r="I160" s="450"/>
      <c r="J160" s="450"/>
      <c r="K160" s="450"/>
      <c r="L160" s="450"/>
      <c r="M160" s="450"/>
      <c r="N160" s="450"/>
      <c r="O160" s="450"/>
      <c r="P160" s="450"/>
      <c r="Q160" s="450"/>
      <c r="R160" s="450"/>
      <c r="S160" s="450"/>
      <c r="T160" s="545" t="s">
        <v>124</v>
      </c>
      <c r="U160" s="452"/>
      <c r="V160" s="430"/>
    </row>
    <row r="161" spans="1:22" x14ac:dyDescent="0.3">
      <c r="A161" s="418"/>
      <c r="B161" s="516"/>
      <c r="C161" s="516"/>
      <c r="D161" s="516"/>
      <c r="E161" s="516"/>
      <c r="F161" s="516"/>
      <c r="G161" s="516"/>
      <c r="H161" s="516"/>
      <c r="I161" s="516"/>
      <c r="J161" s="516"/>
      <c r="K161" s="516"/>
      <c r="L161" s="516"/>
      <c r="M161" s="516"/>
      <c r="N161" s="516"/>
      <c r="O161" s="516"/>
      <c r="P161" s="516"/>
      <c r="Q161" s="516"/>
      <c r="R161" s="516"/>
      <c r="S161" s="516"/>
      <c r="T161" s="544"/>
      <c r="U161" s="639"/>
      <c r="V161" s="416"/>
    </row>
    <row r="162" spans="1:22" x14ac:dyDescent="0.3">
      <c r="A162" s="418"/>
      <c r="B162" s="540" t="s">
        <v>52</v>
      </c>
      <c r="C162" s="420"/>
      <c r="D162" s="420"/>
      <c r="E162" s="420"/>
      <c r="F162" s="420"/>
      <c r="G162" s="420"/>
      <c r="H162" s="420"/>
      <c r="I162" s="420"/>
      <c r="J162" s="420"/>
      <c r="K162" s="420"/>
      <c r="L162" s="420"/>
      <c r="M162" s="420"/>
      <c r="N162" s="420"/>
      <c r="O162" s="420"/>
      <c r="P162" s="420"/>
      <c r="Q162" s="420"/>
      <c r="R162" s="420"/>
      <c r="S162" s="420"/>
      <c r="T162" s="546"/>
      <c r="U162" s="639"/>
      <c r="V162" s="416"/>
    </row>
    <row r="163" spans="1:22" s="431" customFormat="1" x14ac:dyDescent="0.3">
      <c r="A163" s="449"/>
      <c r="B163" s="450" t="s">
        <v>53</v>
      </c>
      <c r="C163" s="450"/>
      <c r="D163" s="450"/>
      <c r="E163" s="450"/>
      <c r="F163" s="450"/>
      <c r="G163" s="450"/>
      <c r="H163" s="450"/>
      <c r="I163" s="450"/>
      <c r="J163" s="450"/>
      <c r="K163" s="450"/>
      <c r="L163" s="450"/>
      <c r="M163" s="450"/>
      <c r="N163" s="450"/>
      <c r="O163" s="450"/>
      <c r="P163" s="450"/>
      <c r="Q163" s="450"/>
      <c r="R163" s="450"/>
      <c r="S163" s="450"/>
      <c r="T163" s="515">
        <v>0</v>
      </c>
      <c r="U163" s="452"/>
      <c r="V163" s="430"/>
    </row>
    <row r="164" spans="1:22" s="431" customFormat="1" x14ac:dyDescent="0.3">
      <c r="A164" s="449"/>
      <c r="B164" s="450" t="s">
        <v>54</v>
      </c>
      <c r="C164" s="450"/>
      <c r="D164" s="450"/>
      <c r="E164" s="450"/>
      <c r="F164" s="450"/>
      <c r="G164" s="450"/>
      <c r="H164" s="450"/>
      <c r="I164" s="450"/>
      <c r="J164" s="450"/>
      <c r="K164" s="450"/>
      <c r="L164" s="450"/>
      <c r="M164" s="450"/>
      <c r="N164" s="450"/>
      <c r="O164" s="450"/>
      <c r="P164" s="450"/>
      <c r="Q164" s="450"/>
      <c r="R164" s="450"/>
      <c r="S164" s="450"/>
      <c r="T164" s="515">
        <f>R112</f>
        <v>9</v>
      </c>
      <c r="U164" s="452"/>
      <c r="V164" s="430"/>
    </row>
    <row r="165" spans="1:22" s="431" customFormat="1" x14ac:dyDescent="0.3">
      <c r="A165" s="449"/>
      <c r="B165" s="450" t="s">
        <v>55</v>
      </c>
      <c r="C165" s="450"/>
      <c r="D165" s="450"/>
      <c r="E165" s="450"/>
      <c r="F165" s="450"/>
      <c r="G165" s="450"/>
      <c r="H165" s="450"/>
      <c r="I165" s="450"/>
      <c r="J165" s="450"/>
      <c r="K165" s="450"/>
      <c r="L165" s="450"/>
      <c r="M165" s="450"/>
      <c r="N165" s="450"/>
      <c r="O165" s="450"/>
      <c r="P165" s="450"/>
      <c r="Q165" s="450"/>
      <c r="R165" s="450"/>
      <c r="S165" s="450"/>
      <c r="T165" s="515">
        <f>T164+T163</f>
        <v>9</v>
      </c>
      <c r="U165" s="452"/>
      <c r="V165" s="430"/>
    </row>
    <row r="166" spans="1:22" s="431" customFormat="1" x14ac:dyDescent="0.3">
      <c r="A166" s="449"/>
      <c r="B166" s="450" t="s">
        <v>301</v>
      </c>
      <c r="C166" s="450"/>
      <c r="D166" s="450"/>
      <c r="E166" s="450"/>
      <c r="F166" s="450"/>
      <c r="G166" s="450"/>
      <c r="H166" s="450"/>
      <c r="I166" s="450"/>
      <c r="J166" s="450"/>
      <c r="K166" s="450"/>
      <c r="L166" s="450"/>
      <c r="M166" s="450"/>
      <c r="N166" s="450"/>
      <c r="O166" s="450"/>
      <c r="P166" s="450"/>
      <c r="Q166" s="450"/>
      <c r="R166" s="450"/>
      <c r="S166" s="450"/>
      <c r="T166" s="515">
        <f>T112</f>
        <v>-9</v>
      </c>
      <c r="U166" s="452"/>
      <c r="V166" s="430"/>
    </row>
    <row r="167" spans="1:22" s="431" customFormat="1" x14ac:dyDescent="0.3">
      <c r="A167" s="449"/>
      <c r="B167" s="450" t="s">
        <v>56</v>
      </c>
      <c r="C167" s="450"/>
      <c r="D167" s="450"/>
      <c r="E167" s="450"/>
      <c r="F167" s="450"/>
      <c r="G167" s="450"/>
      <c r="H167" s="450"/>
      <c r="I167" s="450"/>
      <c r="J167" s="450"/>
      <c r="K167" s="450"/>
      <c r="L167" s="450"/>
      <c r="M167" s="450"/>
      <c r="N167" s="450"/>
      <c r="O167" s="450"/>
      <c r="P167" s="450"/>
      <c r="Q167" s="450"/>
      <c r="R167" s="450"/>
      <c r="S167" s="450"/>
      <c r="T167" s="515">
        <f>T165+T166</f>
        <v>0</v>
      </c>
      <c r="U167" s="452"/>
      <c r="V167" s="430"/>
    </row>
    <row r="168" spans="1:22" s="431" customFormat="1" x14ac:dyDescent="0.3">
      <c r="A168" s="449"/>
      <c r="B168" s="450" t="s">
        <v>273</v>
      </c>
      <c r="C168" s="450"/>
      <c r="D168" s="450"/>
      <c r="E168" s="450"/>
      <c r="F168" s="450"/>
      <c r="G168" s="450"/>
      <c r="H168" s="450"/>
      <c r="I168" s="450"/>
      <c r="J168" s="450"/>
      <c r="K168" s="450"/>
      <c r="L168" s="450"/>
      <c r="M168" s="450"/>
      <c r="N168" s="450"/>
      <c r="O168" s="450"/>
      <c r="P168" s="450"/>
      <c r="Q168" s="450"/>
      <c r="R168" s="450"/>
      <c r="S168" s="450"/>
      <c r="T168" s="515">
        <f>-T98</f>
        <v>119</v>
      </c>
      <c r="U168" s="452"/>
      <c r="V168" s="430"/>
    </row>
    <row r="169" spans="1:22" ht="16.2" thickBot="1" x14ac:dyDescent="0.35">
      <c r="A169" s="418"/>
      <c r="B169" s="516"/>
      <c r="C169" s="516"/>
      <c r="D169" s="516"/>
      <c r="E169" s="516"/>
      <c r="F169" s="516"/>
      <c r="G169" s="516"/>
      <c r="H169" s="516"/>
      <c r="I169" s="516"/>
      <c r="J169" s="516"/>
      <c r="K169" s="516"/>
      <c r="L169" s="516"/>
      <c r="M169" s="516"/>
      <c r="N169" s="516"/>
      <c r="O169" s="516"/>
      <c r="P169" s="516"/>
      <c r="Q169" s="516"/>
      <c r="R169" s="516"/>
      <c r="S169" s="516"/>
      <c r="T169" s="544"/>
      <c r="U169" s="639"/>
      <c r="V169" s="416"/>
    </row>
    <row r="170" spans="1:22" x14ac:dyDescent="0.3">
      <c r="A170" s="547"/>
      <c r="B170" s="415"/>
      <c r="C170" s="415"/>
      <c r="D170" s="415"/>
      <c r="E170" s="415"/>
      <c r="F170" s="415"/>
      <c r="G170" s="415"/>
      <c r="H170" s="415"/>
      <c r="I170" s="415"/>
      <c r="J170" s="415"/>
      <c r="K170" s="415"/>
      <c r="L170" s="415"/>
      <c r="M170" s="415"/>
      <c r="N170" s="415"/>
      <c r="O170" s="415"/>
      <c r="P170" s="415"/>
      <c r="Q170" s="415"/>
      <c r="R170" s="415"/>
      <c r="S170" s="415"/>
      <c r="T170" s="548"/>
      <c r="U170" s="638"/>
      <c r="V170" s="416"/>
    </row>
    <row r="171" spans="1:22" x14ac:dyDescent="0.3">
      <c r="A171" s="418"/>
      <c r="B171" s="540" t="s">
        <v>57</v>
      </c>
      <c r="C171" s="420"/>
      <c r="D171" s="420"/>
      <c r="E171" s="420"/>
      <c r="F171" s="420"/>
      <c r="G171" s="420"/>
      <c r="H171" s="420"/>
      <c r="I171" s="420"/>
      <c r="J171" s="420"/>
      <c r="K171" s="420"/>
      <c r="L171" s="420"/>
      <c r="M171" s="420"/>
      <c r="N171" s="420"/>
      <c r="O171" s="420"/>
      <c r="P171" s="420"/>
      <c r="Q171" s="420"/>
      <c r="R171" s="420"/>
      <c r="S171" s="420"/>
      <c r="T171" s="510"/>
      <c r="U171" s="639"/>
      <c r="V171" s="416"/>
    </row>
    <row r="172" spans="1:22" x14ac:dyDescent="0.3">
      <c r="A172" s="418"/>
      <c r="B172" s="540"/>
      <c r="C172" s="420"/>
      <c r="D172" s="420"/>
      <c r="E172" s="420"/>
      <c r="F172" s="420"/>
      <c r="G172" s="420"/>
      <c r="H172" s="420"/>
      <c r="I172" s="420"/>
      <c r="J172" s="420"/>
      <c r="K172" s="420"/>
      <c r="L172" s="420"/>
      <c r="M172" s="420"/>
      <c r="N172" s="420"/>
      <c r="O172" s="420"/>
      <c r="P172" s="420"/>
      <c r="Q172" s="420"/>
      <c r="R172" s="420"/>
      <c r="S172" s="420"/>
      <c r="T172" s="510"/>
      <c r="U172" s="639"/>
      <c r="V172" s="416"/>
    </row>
    <row r="173" spans="1:22" s="431" customFormat="1" x14ac:dyDescent="0.3">
      <c r="A173" s="449"/>
      <c r="B173" s="450" t="s">
        <v>58</v>
      </c>
      <c r="C173" s="450"/>
      <c r="D173" s="450"/>
      <c r="E173" s="450"/>
      <c r="F173" s="450"/>
      <c r="G173" s="450"/>
      <c r="H173" s="450"/>
      <c r="I173" s="450"/>
      <c r="J173" s="450"/>
      <c r="K173" s="450"/>
      <c r="L173" s="450"/>
      <c r="M173" s="450"/>
      <c r="N173" s="450"/>
      <c r="O173" s="450"/>
      <c r="P173" s="450"/>
      <c r="Q173" s="450"/>
      <c r="R173" s="450"/>
      <c r="S173" s="450"/>
      <c r="T173" s="515">
        <f>T70</f>
        <v>364349</v>
      </c>
      <c r="U173" s="452"/>
      <c r="V173" s="430"/>
    </row>
    <row r="174" spans="1:22" s="431" customFormat="1" x14ac:dyDescent="0.3">
      <c r="A174" s="449"/>
      <c r="B174" s="450" t="s">
        <v>59</v>
      </c>
      <c r="C174" s="450"/>
      <c r="D174" s="450"/>
      <c r="E174" s="450"/>
      <c r="F174" s="450"/>
      <c r="G174" s="450"/>
      <c r="H174" s="450"/>
      <c r="I174" s="450"/>
      <c r="J174" s="450"/>
      <c r="K174" s="450"/>
      <c r="L174" s="450"/>
      <c r="M174" s="450"/>
      <c r="N174" s="450"/>
      <c r="O174" s="450"/>
      <c r="P174" s="450"/>
      <c r="Q174" s="450"/>
      <c r="R174" s="450"/>
      <c r="S174" s="450"/>
      <c r="T174" s="515">
        <f>T83</f>
        <v>364349</v>
      </c>
      <c r="U174" s="452"/>
      <c r="V174" s="430"/>
    </row>
    <row r="175" spans="1:22" ht="16.2" thickBot="1" x14ac:dyDescent="0.35">
      <c r="A175" s="418"/>
      <c r="B175" s="516"/>
      <c r="C175" s="516"/>
      <c r="D175" s="516"/>
      <c r="E175" s="516"/>
      <c r="F175" s="516"/>
      <c r="G175" s="516"/>
      <c r="H175" s="516"/>
      <c r="I175" s="516"/>
      <c r="J175" s="516"/>
      <c r="K175" s="516"/>
      <c r="L175" s="516"/>
      <c r="M175" s="516"/>
      <c r="N175" s="516"/>
      <c r="O175" s="516"/>
      <c r="P175" s="516"/>
      <c r="Q175" s="516"/>
      <c r="R175" s="516"/>
      <c r="S175" s="516"/>
      <c r="T175" s="544"/>
      <c r="U175" s="639"/>
      <c r="V175" s="416"/>
    </row>
    <row r="176" spans="1:22" x14ac:dyDescent="0.3">
      <c r="A176" s="547"/>
      <c r="B176" s="415"/>
      <c r="C176" s="415"/>
      <c r="D176" s="415"/>
      <c r="E176" s="415"/>
      <c r="F176" s="415"/>
      <c r="G176" s="415"/>
      <c r="H176" s="415"/>
      <c r="I176" s="415"/>
      <c r="J176" s="415"/>
      <c r="K176" s="415"/>
      <c r="L176" s="415"/>
      <c r="M176" s="415"/>
      <c r="N176" s="415"/>
      <c r="O176" s="415"/>
      <c r="P176" s="415"/>
      <c r="Q176" s="415"/>
      <c r="R176" s="415"/>
      <c r="S176" s="415"/>
      <c r="T176" s="548"/>
      <c r="U176" s="638"/>
      <c r="V176" s="416"/>
    </row>
    <row r="177" spans="1:22" x14ac:dyDescent="0.3">
      <c r="A177" s="418"/>
      <c r="B177" s="540" t="s">
        <v>60</v>
      </c>
      <c r="C177" s="549"/>
      <c r="D177" s="549"/>
      <c r="E177" s="549"/>
      <c r="F177" s="549"/>
      <c r="G177" s="549"/>
      <c r="H177" s="550"/>
      <c r="I177" s="550"/>
      <c r="J177" s="550"/>
      <c r="K177" s="550"/>
      <c r="L177" s="550"/>
      <c r="M177" s="550"/>
      <c r="N177" s="550"/>
      <c r="O177" s="550"/>
      <c r="P177" s="550"/>
      <c r="Q177" s="550" t="s">
        <v>104</v>
      </c>
      <c r="R177" s="550" t="s">
        <v>183</v>
      </c>
      <c r="S177" s="422"/>
      <c r="T177" s="551" t="s">
        <v>120</v>
      </c>
      <c r="U177" s="643"/>
      <c r="V177" s="416"/>
    </row>
    <row r="178" spans="1:22" s="431" customFormat="1" x14ac:dyDescent="0.3">
      <c r="A178" s="449"/>
      <c r="B178" s="450" t="s">
        <v>61</v>
      </c>
      <c r="C178" s="450"/>
      <c r="D178" s="450"/>
      <c r="E178" s="450"/>
      <c r="F178" s="450"/>
      <c r="G178" s="450"/>
      <c r="H178" s="450"/>
      <c r="I178" s="450"/>
      <c r="J178" s="450"/>
      <c r="K178" s="450"/>
      <c r="L178" s="450"/>
      <c r="M178" s="450"/>
      <c r="N178" s="450"/>
      <c r="O178" s="450"/>
      <c r="P178" s="450"/>
      <c r="Q178" s="515">
        <v>160008</v>
      </c>
      <c r="R178" s="486"/>
      <c r="S178" s="450"/>
      <c r="T178" s="515"/>
      <c r="U178" s="452"/>
      <c r="V178" s="430"/>
    </row>
    <row r="179" spans="1:22" s="431" customFormat="1" x14ac:dyDescent="0.3">
      <c r="A179" s="449"/>
      <c r="B179" s="450" t="s">
        <v>62</v>
      </c>
      <c r="C179" s="450"/>
      <c r="D179" s="450"/>
      <c r="E179" s="450"/>
      <c r="F179" s="450"/>
      <c r="G179" s="450"/>
      <c r="H179" s="450"/>
      <c r="I179" s="450"/>
      <c r="J179" s="450"/>
      <c r="K179" s="450"/>
      <c r="L179" s="450"/>
      <c r="M179" s="450"/>
      <c r="N179" s="450"/>
      <c r="O179" s="450"/>
      <c r="P179" s="450"/>
      <c r="Q179" s="515">
        <f>+'June 19'!Q178</f>
        <v>41034</v>
      </c>
      <c r="R179" s="515">
        <f>+'June 19'!R178</f>
        <v>3452</v>
      </c>
      <c r="S179" s="450"/>
      <c r="T179" s="515">
        <f>Q179+R179</f>
        <v>44486</v>
      </c>
      <c r="U179" s="452"/>
      <c r="V179" s="430"/>
    </row>
    <row r="180" spans="1:22" s="431" customFormat="1" x14ac:dyDescent="0.3">
      <c r="A180" s="449"/>
      <c r="B180" s="450" t="s">
        <v>63</v>
      </c>
      <c r="C180" s="450"/>
      <c r="D180" s="450"/>
      <c r="E180" s="450"/>
      <c r="F180" s="450"/>
      <c r="G180" s="450"/>
      <c r="H180" s="450"/>
      <c r="I180" s="450"/>
      <c r="J180" s="450"/>
      <c r="K180" s="450"/>
      <c r="L180" s="450"/>
      <c r="M180" s="450"/>
      <c r="N180" s="450"/>
      <c r="O180" s="450"/>
      <c r="P180" s="450"/>
      <c r="Q180" s="514">
        <v>0</v>
      </c>
      <c r="R180" s="514">
        <v>0</v>
      </c>
      <c r="S180" s="450"/>
      <c r="T180" s="515">
        <f>Q180+R180</f>
        <v>0</v>
      </c>
      <c r="U180" s="452"/>
      <c r="V180" s="430"/>
    </row>
    <row r="181" spans="1:22" s="431" customFormat="1" x14ac:dyDescent="0.3">
      <c r="A181" s="449"/>
      <c r="B181" s="450" t="s">
        <v>64</v>
      </c>
      <c r="C181" s="450"/>
      <c r="D181" s="450"/>
      <c r="E181" s="450"/>
      <c r="F181" s="450"/>
      <c r="G181" s="450"/>
      <c r="H181" s="450"/>
      <c r="I181" s="450"/>
      <c r="J181" s="450"/>
      <c r="K181" s="450"/>
      <c r="L181" s="450"/>
      <c r="M181" s="450"/>
      <c r="N181" s="450"/>
      <c r="O181" s="450"/>
      <c r="P181" s="450"/>
      <c r="Q181" s="515">
        <f>Q179+Q180</f>
        <v>41034</v>
      </c>
      <c r="R181" s="515">
        <f>R180+R179</f>
        <v>3452</v>
      </c>
      <c r="S181" s="450"/>
      <c r="T181" s="515">
        <f>Q181+R181</f>
        <v>44486</v>
      </c>
      <c r="U181" s="452"/>
      <c r="V181" s="430"/>
    </row>
    <row r="182" spans="1:22" s="431" customFormat="1" x14ac:dyDescent="0.3">
      <c r="A182" s="449"/>
      <c r="B182" s="450" t="s">
        <v>65</v>
      </c>
      <c r="C182" s="450"/>
      <c r="D182" s="450"/>
      <c r="E182" s="450"/>
      <c r="F182" s="450"/>
      <c r="G182" s="450"/>
      <c r="H182" s="450"/>
      <c r="I182" s="450"/>
      <c r="J182" s="450"/>
      <c r="K182" s="450"/>
      <c r="L182" s="450"/>
      <c r="M182" s="450"/>
      <c r="N182" s="450"/>
      <c r="O182" s="450"/>
      <c r="P182" s="450"/>
      <c r="Q182" s="515">
        <f>Q178-Q181-R181</f>
        <v>115522</v>
      </c>
      <c r="R182" s="486"/>
      <c r="S182" s="450"/>
      <c r="T182" s="515"/>
      <c r="U182" s="452"/>
      <c r="V182" s="430"/>
    </row>
    <row r="183" spans="1:22" ht="16.2" thickBot="1" x14ac:dyDescent="0.35">
      <c r="A183" s="418"/>
      <c r="B183" s="516"/>
      <c r="C183" s="516"/>
      <c r="D183" s="516"/>
      <c r="E183" s="516"/>
      <c r="F183" s="516"/>
      <c r="G183" s="516"/>
      <c r="H183" s="516"/>
      <c r="I183" s="516"/>
      <c r="J183" s="516"/>
      <c r="K183" s="516"/>
      <c r="L183" s="516"/>
      <c r="M183" s="516"/>
      <c r="N183" s="516"/>
      <c r="O183" s="516"/>
      <c r="P183" s="516"/>
      <c r="Q183" s="516"/>
      <c r="R183" s="516"/>
      <c r="S183" s="516"/>
      <c r="T183" s="544"/>
      <c r="U183" s="639"/>
      <c r="V183" s="416"/>
    </row>
    <row r="184" spans="1:22" x14ac:dyDescent="0.3">
      <c r="A184" s="547"/>
      <c r="B184" s="415"/>
      <c r="C184" s="415"/>
      <c r="D184" s="415"/>
      <c r="E184" s="415"/>
      <c r="F184" s="415"/>
      <c r="G184" s="415"/>
      <c r="H184" s="415"/>
      <c r="I184" s="415"/>
      <c r="J184" s="415"/>
      <c r="K184" s="415"/>
      <c r="L184" s="415"/>
      <c r="M184" s="415"/>
      <c r="N184" s="415"/>
      <c r="O184" s="415"/>
      <c r="P184" s="415"/>
      <c r="Q184" s="415"/>
      <c r="R184" s="415"/>
      <c r="S184" s="415"/>
      <c r="T184" s="548"/>
      <c r="U184" s="638"/>
      <c r="V184" s="416"/>
    </row>
    <row r="185" spans="1:22" x14ac:dyDescent="0.3">
      <c r="A185" s="418"/>
      <c r="B185" s="540" t="s">
        <v>66</v>
      </c>
      <c r="C185" s="420"/>
      <c r="D185" s="420"/>
      <c r="E185" s="420"/>
      <c r="F185" s="420"/>
      <c r="G185" s="420"/>
      <c r="H185" s="420"/>
      <c r="I185" s="420"/>
      <c r="J185" s="420"/>
      <c r="K185" s="420"/>
      <c r="L185" s="420"/>
      <c r="M185" s="420"/>
      <c r="N185" s="420"/>
      <c r="O185" s="420"/>
      <c r="P185" s="420"/>
      <c r="Q185" s="420"/>
      <c r="R185" s="420"/>
      <c r="S185" s="420"/>
      <c r="T185" s="552"/>
      <c r="U185" s="639"/>
      <c r="V185" s="416"/>
    </row>
    <row r="186" spans="1:22" s="431" customFormat="1" x14ac:dyDescent="0.3">
      <c r="A186" s="449"/>
      <c r="B186" s="450" t="s">
        <v>67</v>
      </c>
      <c r="C186" s="450"/>
      <c r="D186" s="450"/>
      <c r="E186" s="450"/>
      <c r="F186" s="450"/>
      <c r="G186" s="450"/>
      <c r="H186" s="450"/>
      <c r="I186" s="450"/>
      <c r="J186" s="450"/>
      <c r="K186" s="450"/>
      <c r="L186" s="450"/>
      <c r="M186" s="450"/>
      <c r="N186" s="450"/>
      <c r="O186" s="450"/>
      <c r="P186" s="450"/>
      <c r="Q186" s="450"/>
      <c r="R186" s="450"/>
      <c r="S186" s="450"/>
      <c r="T186" s="545">
        <f>(T99+T101+T102+T103+T104)/-(T105+T106)</f>
        <v>3.583201267828843</v>
      </c>
      <c r="U186" s="452" t="s">
        <v>121</v>
      </c>
      <c r="V186" s="430"/>
    </row>
    <row r="187" spans="1:22" s="431" customFormat="1" x14ac:dyDescent="0.3">
      <c r="A187" s="449"/>
      <c r="B187" s="450" t="s">
        <v>68</v>
      </c>
      <c r="C187" s="450"/>
      <c r="D187" s="450"/>
      <c r="E187" s="450"/>
      <c r="F187" s="450"/>
      <c r="G187" s="450"/>
      <c r="H187" s="450"/>
      <c r="I187" s="450"/>
      <c r="J187" s="450"/>
      <c r="K187" s="450"/>
      <c r="L187" s="450"/>
      <c r="M187" s="450"/>
      <c r="N187" s="450"/>
      <c r="O187" s="450"/>
      <c r="P187" s="450"/>
      <c r="Q187" s="450"/>
      <c r="R187" s="450"/>
      <c r="S187" s="450"/>
      <c r="T187" s="553">
        <v>1.97</v>
      </c>
      <c r="U187" s="452" t="s">
        <v>121</v>
      </c>
      <c r="V187" s="430"/>
    </row>
    <row r="188" spans="1:22" s="431" customFormat="1" x14ac:dyDescent="0.3">
      <c r="A188" s="449"/>
      <c r="B188" s="450" t="s">
        <v>69</v>
      </c>
      <c r="C188" s="450"/>
      <c r="D188" s="450"/>
      <c r="E188" s="450"/>
      <c r="F188" s="450"/>
      <c r="G188" s="450"/>
      <c r="H188" s="450"/>
      <c r="I188" s="450"/>
      <c r="J188" s="450"/>
      <c r="K188" s="450"/>
      <c r="L188" s="450"/>
      <c r="M188" s="450"/>
      <c r="N188" s="450"/>
      <c r="O188" s="450"/>
      <c r="P188" s="450"/>
      <c r="Q188" s="450"/>
      <c r="R188" s="450"/>
      <c r="S188" s="450"/>
      <c r="T188" s="545">
        <f>(T99+T101+T102+T103+T104+T105+T106)/-(T107+T108)</f>
        <v>9.3678160919540225</v>
      </c>
      <c r="U188" s="452" t="s">
        <v>121</v>
      </c>
      <c r="V188" s="430"/>
    </row>
    <row r="189" spans="1:22" s="431" customFormat="1" x14ac:dyDescent="0.3">
      <c r="A189" s="449"/>
      <c r="B189" s="450" t="s">
        <v>70</v>
      </c>
      <c r="C189" s="450"/>
      <c r="D189" s="450"/>
      <c r="E189" s="450"/>
      <c r="F189" s="450"/>
      <c r="G189" s="450"/>
      <c r="H189" s="450"/>
      <c r="I189" s="450"/>
      <c r="J189" s="450"/>
      <c r="K189" s="450"/>
      <c r="L189" s="450"/>
      <c r="M189" s="450"/>
      <c r="N189" s="450"/>
      <c r="O189" s="450"/>
      <c r="P189" s="450"/>
      <c r="Q189" s="450"/>
      <c r="R189" s="450"/>
      <c r="S189" s="450"/>
      <c r="T189" s="553">
        <v>7.24</v>
      </c>
      <c r="U189" s="452" t="s">
        <v>121</v>
      </c>
      <c r="V189" s="430"/>
    </row>
    <row r="190" spans="1:22" s="431" customFormat="1" x14ac:dyDescent="0.3">
      <c r="A190" s="449"/>
      <c r="B190" s="450" t="s">
        <v>206</v>
      </c>
      <c r="C190" s="450"/>
      <c r="D190" s="450"/>
      <c r="E190" s="450"/>
      <c r="F190" s="450"/>
      <c r="G190" s="450"/>
      <c r="H190" s="450"/>
      <c r="I190" s="450"/>
      <c r="J190" s="450"/>
      <c r="K190" s="450"/>
      <c r="L190" s="450"/>
      <c r="M190" s="450"/>
      <c r="N190" s="450"/>
      <c r="O190" s="450"/>
      <c r="P190" s="450"/>
      <c r="Q190" s="450"/>
      <c r="R190" s="450"/>
      <c r="S190" s="450"/>
      <c r="T190" s="545">
        <f>(T99+T101+T102+T103+T104+T105+T106+T107+T108)/-(T109)</f>
        <v>7.3535353535353538</v>
      </c>
      <c r="U190" s="452" t="s">
        <v>121</v>
      </c>
      <c r="V190" s="430"/>
    </row>
    <row r="191" spans="1:22" s="431" customFormat="1" x14ac:dyDescent="0.3">
      <c r="A191" s="449"/>
      <c r="B191" s="450" t="s">
        <v>207</v>
      </c>
      <c r="C191" s="450"/>
      <c r="D191" s="450"/>
      <c r="E191" s="450"/>
      <c r="F191" s="450"/>
      <c r="G191" s="450"/>
      <c r="H191" s="450"/>
      <c r="I191" s="450"/>
      <c r="J191" s="450"/>
      <c r="K191" s="450"/>
      <c r="L191" s="450"/>
      <c r="M191" s="450"/>
      <c r="N191" s="450"/>
      <c r="O191" s="450"/>
      <c r="P191" s="450"/>
      <c r="Q191" s="450"/>
      <c r="R191" s="450"/>
      <c r="S191" s="450"/>
      <c r="T191" s="553">
        <v>6.4</v>
      </c>
      <c r="U191" s="452" t="s">
        <v>121</v>
      </c>
      <c r="V191" s="430"/>
    </row>
    <row r="192" spans="1:22" x14ac:dyDescent="0.3">
      <c r="A192" s="468"/>
      <c r="B192" s="470"/>
      <c r="C192" s="470"/>
      <c r="D192" s="470"/>
      <c r="E192" s="470"/>
      <c r="F192" s="470"/>
      <c r="G192" s="470"/>
      <c r="H192" s="470"/>
      <c r="I192" s="470"/>
      <c r="J192" s="470"/>
      <c r="K192" s="470"/>
      <c r="L192" s="470"/>
      <c r="M192" s="470"/>
      <c r="N192" s="470"/>
      <c r="O192" s="470"/>
      <c r="P192" s="470"/>
      <c r="Q192" s="470"/>
      <c r="R192" s="470"/>
      <c r="S192" s="470"/>
      <c r="T192" s="470"/>
      <c r="U192" s="476"/>
      <c r="V192" s="416"/>
    </row>
    <row r="193" spans="1:22" x14ac:dyDescent="0.3">
      <c r="A193" s="418"/>
      <c r="B193" s="516"/>
      <c r="C193" s="516"/>
      <c r="D193" s="516"/>
      <c r="E193" s="516"/>
      <c r="F193" s="516"/>
      <c r="G193" s="516"/>
      <c r="H193" s="516"/>
      <c r="I193" s="516"/>
      <c r="J193" s="516"/>
      <c r="K193" s="516"/>
      <c r="L193" s="516"/>
      <c r="M193" s="516"/>
      <c r="N193" s="516"/>
      <c r="O193" s="516"/>
      <c r="P193" s="516"/>
      <c r="Q193" s="516"/>
      <c r="R193" s="516"/>
      <c r="S193" s="516"/>
      <c r="T193" s="516"/>
      <c r="U193" s="639"/>
      <c r="V193" s="416"/>
    </row>
    <row r="194" spans="1:22" x14ac:dyDescent="0.3">
      <c r="A194" s="418"/>
      <c r="B194" s="420"/>
      <c r="C194" s="420"/>
      <c r="D194" s="420"/>
      <c r="E194" s="420"/>
      <c r="F194" s="420"/>
      <c r="G194" s="420"/>
      <c r="H194" s="420"/>
      <c r="I194" s="420"/>
      <c r="J194" s="420"/>
      <c r="K194" s="420"/>
      <c r="L194" s="420"/>
      <c r="M194" s="420"/>
      <c r="N194" s="420"/>
      <c r="O194" s="420"/>
      <c r="P194" s="420"/>
      <c r="Q194" s="420"/>
      <c r="R194" s="420"/>
      <c r="S194" s="420"/>
      <c r="T194" s="420"/>
      <c r="U194" s="639"/>
      <c r="V194" s="416"/>
    </row>
    <row r="195" spans="1:22" ht="18.600000000000001" thickBot="1" x14ac:dyDescent="0.4">
      <c r="A195" s="554"/>
      <c r="B195" s="501" t="str">
        <f>B135</f>
        <v>PM11 INVESTOR REPORT QUARTER ENDING SEPTEMBER 2019</v>
      </c>
      <c r="C195" s="555"/>
      <c r="D195" s="555"/>
      <c r="E195" s="555"/>
      <c r="F195" s="555"/>
      <c r="G195" s="555"/>
      <c r="H195" s="555"/>
      <c r="I195" s="555"/>
      <c r="J195" s="555"/>
      <c r="K195" s="555"/>
      <c r="L195" s="555"/>
      <c r="M195" s="555"/>
      <c r="N195" s="555"/>
      <c r="O195" s="555"/>
      <c r="P195" s="555"/>
      <c r="Q195" s="555"/>
      <c r="R195" s="555"/>
      <c r="S195" s="555"/>
      <c r="T195" s="555"/>
      <c r="U195" s="556"/>
      <c r="V195" s="416"/>
    </row>
    <row r="196" spans="1:22" x14ac:dyDescent="0.3">
      <c r="A196" s="505"/>
      <c r="B196" s="506" t="s">
        <v>71</v>
      </c>
      <c r="C196" s="627"/>
      <c r="D196" s="627"/>
      <c r="E196" s="627"/>
      <c r="F196" s="627"/>
      <c r="G196" s="628"/>
      <c r="H196" s="628"/>
      <c r="I196" s="628"/>
      <c r="J196" s="628"/>
      <c r="K196" s="628"/>
      <c r="L196" s="628"/>
      <c r="M196" s="628"/>
      <c r="N196" s="628"/>
      <c r="O196" s="628"/>
      <c r="P196" s="628"/>
      <c r="Q196" s="628"/>
      <c r="R196" s="629">
        <v>43738</v>
      </c>
      <c r="S196" s="507"/>
      <c r="T196" s="507"/>
      <c r="U196" s="509"/>
      <c r="V196" s="416"/>
    </row>
    <row r="197" spans="1:22" x14ac:dyDescent="0.3">
      <c r="A197" s="557"/>
      <c r="B197" s="558"/>
      <c r="C197" s="559"/>
      <c r="D197" s="559"/>
      <c r="E197" s="559"/>
      <c r="F197" s="559"/>
      <c r="G197" s="560"/>
      <c r="H197" s="560"/>
      <c r="I197" s="560"/>
      <c r="J197" s="560"/>
      <c r="K197" s="560"/>
      <c r="L197" s="560"/>
      <c r="M197" s="560"/>
      <c r="N197" s="560"/>
      <c r="O197" s="560"/>
      <c r="P197" s="560"/>
      <c r="Q197" s="560"/>
      <c r="R197" s="560"/>
      <c r="S197" s="420"/>
      <c r="T197" s="420"/>
      <c r="U197" s="639"/>
      <c r="V197" s="416"/>
    </row>
    <row r="198" spans="1:22" s="431" customFormat="1" x14ac:dyDescent="0.3">
      <c r="A198" s="449"/>
      <c r="B198" s="450" t="s">
        <v>72</v>
      </c>
      <c r="C198" s="561"/>
      <c r="D198" s="561"/>
      <c r="E198" s="561"/>
      <c r="F198" s="561"/>
      <c r="G198" s="490"/>
      <c r="H198" s="490"/>
      <c r="I198" s="490"/>
      <c r="J198" s="490"/>
      <c r="K198" s="490"/>
      <c r="L198" s="490"/>
      <c r="M198" s="490"/>
      <c r="N198" s="490"/>
      <c r="O198" s="490"/>
      <c r="P198" s="490"/>
      <c r="Q198" s="490"/>
      <c r="R198" s="483">
        <v>5.1569999999999998E-2</v>
      </c>
      <c r="S198" s="450"/>
      <c r="T198" s="450"/>
      <c r="U198" s="452"/>
      <c r="V198" s="430"/>
    </row>
    <row r="199" spans="1:22" s="431" customFormat="1" x14ac:dyDescent="0.3">
      <c r="A199" s="449"/>
      <c r="B199" s="450" t="s">
        <v>157</v>
      </c>
      <c r="C199" s="561"/>
      <c r="D199" s="561"/>
      <c r="E199" s="561"/>
      <c r="F199" s="561"/>
      <c r="G199" s="490"/>
      <c r="H199" s="490"/>
      <c r="I199" s="490"/>
      <c r="J199" s="490"/>
      <c r="K199" s="490"/>
      <c r="L199" s="490"/>
      <c r="M199" s="490"/>
      <c r="N199" s="490"/>
      <c r="O199" s="490"/>
      <c r="P199" s="490"/>
      <c r="Q199" s="490"/>
      <c r="R199" s="483">
        <v>4.6899999999999997E-2</v>
      </c>
      <c r="S199" s="450"/>
      <c r="T199" s="450"/>
      <c r="U199" s="452"/>
      <c r="V199" s="430"/>
    </row>
    <row r="200" spans="1:22" s="431" customFormat="1" x14ac:dyDescent="0.3">
      <c r="A200" s="449"/>
      <c r="B200" s="450" t="s">
        <v>73</v>
      </c>
      <c r="C200" s="561"/>
      <c r="D200" s="561"/>
      <c r="E200" s="561"/>
      <c r="F200" s="561"/>
      <c r="G200" s="490"/>
      <c r="H200" s="490"/>
      <c r="I200" s="490"/>
      <c r="J200" s="490"/>
      <c r="K200" s="490"/>
      <c r="L200" s="490"/>
      <c r="M200" s="490"/>
      <c r="N200" s="490"/>
      <c r="O200" s="490"/>
      <c r="P200" s="490"/>
      <c r="Q200" s="490"/>
      <c r="R200" s="483">
        <f>R198-R199</f>
        <v>4.6700000000000005E-3</v>
      </c>
      <c r="S200" s="450"/>
      <c r="T200" s="450"/>
      <c r="U200" s="452"/>
      <c r="V200" s="430"/>
    </row>
    <row r="201" spans="1:22" s="431" customFormat="1" x14ac:dyDescent="0.3">
      <c r="A201" s="449"/>
      <c r="B201" s="450" t="s">
        <v>74</v>
      </c>
      <c r="C201" s="561"/>
      <c r="D201" s="561"/>
      <c r="E201" s="561"/>
      <c r="F201" s="561"/>
      <c r="G201" s="490"/>
      <c r="H201" s="490"/>
      <c r="I201" s="490"/>
      <c r="J201" s="490"/>
      <c r="K201" s="490"/>
      <c r="L201" s="490"/>
      <c r="M201" s="490"/>
      <c r="N201" s="490"/>
      <c r="O201" s="490"/>
      <c r="P201" s="490"/>
      <c r="Q201" s="490"/>
      <c r="R201" s="483">
        <v>2.564E-2</v>
      </c>
      <c r="S201" s="450"/>
      <c r="T201" s="450"/>
      <c r="U201" s="452"/>
      <c r="V201" s="430"/>
    </row>
    <row r="202" spans="1:22" s="431" customFormat="1" x14ac:dyDescent="0.3">
      <c r="A202" s="449"/>
      <c r="B202" s="450" t="s">
        <v>257</v>
      </c>
      <c r="C202" s="561"/>
      <c r="D202" s="561"/>
      <c r="E202" s="561"/>
      <c r="F202" s="561"/>
      <c r="G202" s="490"/>
      <c r="H202" s="490"/>
      <c r="I202" s="490"/>
      <c r="J202" s="490"/>
      <c r="K202" s="490"/>
      <c r="L202" s="490"/>
      <c r="M202" s="490"/>
      <c r="N202" s="490"/>
      <c r="O202" s="490"/>
      <c r="P202" s="490"/>
      <c r="Q202" s="490"/>
      <c r="R202" s="483">
        <f>T43</f>
        <v>1.0675372938597119E-2</v>
      </c>
      <c r="S202" s="450"/>
      <c r="T202" s="450"/>
      <c r="U202" s="452"/>
      <c r="V202" s="430"/>
    </row>
    <row r="203" spans="1:22" s="431" customFormat="1" x14ac:dyDescent="0.3">
      <c r="A203" s="449"/>
      <c r="B203" s="450" t="s">
        <v>75</v>
      </c>
      <c r="C203" s="561"/>
      <c r="D203" s="561"/>
      <c r="E203" s="561"/>
      <c r="F203" s="561"/>
      <c r="G203" s="490"/>
      <c r="H203" s="490"/>
      <c r="I203" s="490"/>
      <c r="J203" s="490"/>
      <c r="K203" s="490"/>
      <c r="L203" s="490"/>
      <c r="M203" s="490"/>
      <c r="N203" s="490"/>
      <c r="O203" s="490"/>
      <c r="P203" s="490"/>
      <c r="Q203" s="490"/>
      <c r="R203" s="483">
        <f>R201-R202</f>
        <v>1.496462706140288E-2</v>
      </c>
      <c r="S203" s="450"/>
      <c r="T203" s="450"/>
      <c r="U203" s="452"/>
      <c r="V203" s="430"/>
    </row>
    <row r="204" spans="1:22" s="431" customFormat="1" x14ac:dyDescent="0.3">
      <c r="A204" s="449"/>
      <c r="B204" s="450" t="s">
        <v>260</v>
      </c>
      <c r="C204" s="561"/>
      <c r="D204" s="561"/>
      <c r="E204" s="561"/>
      <c r="F204" s="561"/>
      <c r="G204" s="490"/>
      <c r="H204" s="490"/>
      <c r="I204" s="490"/>
      <c r="J204" s="490"/>
      <c r="K204" s="490"/>
      <c r="L204" s="490"/>
      <c r="M204" s="490"/>
      <c r="N204" s="490"/>
      <c r="O204" s="490"/>
      <c r="P204" s="490"/>
      <c r="Q204" s="490"/>
      <c r="R204" s="483">
        <f>+T99/L70</f>
        <v>6.6752625782362266E-3</v>
      </c>
      <c r="S204" s="450"/>
      <c r="T204" s="450"/>
      <c r="U204" s="452"/>
      <c r="V204" s="430"/>
    </row>
    <row r="205" spans="1:22" s="431" customFormat="1" x14ac:dyDescent="0.3">
      <c r="A205" s="449"/>
      <c r="B205" s="450" t="s">
        <v>217</v>
      </c>
      <c r="C205" s="561"/>
      <c r="D205" s="561"/>
      <c r="E205" s="561"/>
      <c r="F205" s="561"/>
      <c r="G205" s="490"/>
      <c r="H205" s="490"/>
      <c r="I205" s="490"/>
      <c r="J205" s="490"/>
      <c r="K205" s="490"/>
      <c r="L205" s="490"/>
      <c r="M205" s="490"/>
      <c r="N205" s="490"/>
      <c r="O205" s="490"/>
      <c r="P205" s="490"/>
      <c r="Q205" s="490"/>
      <c r="R205" s="562">
        <v>15250</v>
      </c>
      <c r="S205" s="450"/>
      <c r="T205" s="450"/>
      <c r="U205" s="452"/>
      <c r="V205" s="430"/>
    </row>
    <row r="206" spans="1:22" s="431" customFormat="1" x14ac:dyDescent="0.3">
      <c r="A206" s="449"/>
      <c r="B206" s="450" t="s">
        <v>218</v>
      </c>
      <c r="C206" s="561"/>
      <c r="D206" s="561"/>
      <c r="E206" s="561"/>
      <c r="F206" s="561"/>
      <c r="G206" s="490"/>
      <c r="H206" s="490"/>
      <c r="I206" s="490"/>
      <c r="J206" s="490"/>
      <c r="K206" s="490"/>
      <c r="L206" s="490"/>
      <c r="M206" s="490"/>
      <c r="N206" s="490"/>
      <c r="O206" s="490"/>
      <c r="P206" s="490"/>
      <c r="Q206" s="490"/>
      <c r="R206" s="562">
        <v>15250</v>
      </c>
      <c r="S206" s="450"/>
      <c r="T206" s="450"/>
      <c r="U206" s="452"/>
      <c r="V206" s="430"/>
    </row>
    <row r="207" spans="1:22" s="431" customFormat="1" x14ac:dyDescent="0.3">
      <c r="A207" s="449"/>
      <c r="B207" s="450" t="s">
        <v>219</v>
      </c>
      <c r="C207" s="561"/>
      <c r="D207" s="561"/>
      <c r="E207" s="561"/>
      <c r="F207" s="561"/>
      <c r="G207" s="490"/>
      <c r="H207" s="490"/>
      <c r="I207" s="490"/>
      <c r="J207" s="490"/>
      <c r="K207" s="490"/>
      <c r="L207" s="490"/>
      <c r="M207" s="490"/>
      <c r="N207" s="490"/>
      <c r="O207" s="490"/>
      <c r="P207" s="490"/>
      <c r="Q207" s="490"/>
      <c r="R207" s="562">
        <v>15250</v>
      </c>
      <c r="S207" s="450"/>
      <c r="T207" s="450"/>
      <c r="U207" s="452"/>
      <c r="V207" s="430"/>
    </row>
    <row r="208" spans="1:22" s="431" customFormat="1" x14ac:dyDescent="0.3">
      <c r="A208" s="449"/>
      <c r="B208" s="450" t="s">
        <v>76</v>
      </c>
      <c r="C208" s="561"/>
      <c r="D208" s="561"/>
      <c r="E208" s="561"/>
      <c r="F208" s="561"/>
      <c r="G208" s="490"/>
      <c r="H208" s="490"/>
      <c r="I208" s="490"/>
      <c r="J208" s="490"/>
      <c r="K208" s="490"/>
      <c r="L208" s="490"/>
      <c r="M208" s="490"/>
      <c r="N208" s="490"/>
      <c r="O208" s="490"/>
      <c r="P208" s="490"/>
      <c r="Q208" s="490"/>
      <c r="R208" s="488">
        <v>21.18</v>
      </c>
      <c r="S208" s="450" t="s">
        <v>116</v>
      </c>
      <c r="T208" s="450"/>
      <c r="U208" s="452"/>
      <c r="V208" s="430"/>
    </row>
    <row r="209" spans="1:22" s="431" customFormat="1" x14ac:dyDescent="0.3">
      <c r="A209" s="449"/>
      <c r="B209" s="450" t="s">
        <v>77</v>
      </c>
      <c r="C209" s="561"/>
      <c r="D209" s="561"/>
      <c r="E209" s="561"/>
      <c r="F209" s="561"/>
      <c r="G209" s="490"/>
      <c r="H209" s="490"/>
      <c r="I209" s="490"/>
      <c r="J209" s="490"/>
      <c r="K209" s="490"/>
      <c r="L209" s="490"/>
      <c r="M209" s="490"/>
      <c r="N209" s="490"/>
      <c r="O209" s="490"/>
      <c r="P209" s="490"/>
      <c r="Q209" s="490"/>
      <c r="R209" s="488">
        <v>8.68</v>
      </c>
      <c r="S209" s="450" t="s">
        <v>116</v>
      </c>
      <c r="T209" s="450"/>
      <c r="U209" s="452"/>
      <c r="V209" s="430"/>
    </row>
    <row r="210" spans="1:22" s="431" customFormat="1" x14ac:dyDescent="0.3">
      <c r="A210" s="449"/>
      <c r="B210" s="450" t="s">
        <v>78</v>
      </c>
      <c r="C210" s="561"/>
      <c r="D210" s="561"/>
      <c r="E210" s="561"/>
      <c r="F210" s="561"/>
      <c r="G210" s="490"/>
      <c r="H210" s="490"/>
      <c r="I210" s="490"/>
      <c r="J210" s="490"/>
      <c r="K210" s="490"/>
      <c r="L210" s="490"/>
      <c r="M210" s="490"/>
      <c r="N210" s="490"/>
      <c r="O210" s="490"/>
      <c r="P210" s="490"/>
      <c r="Q210" s="490"/>
      <c r="R210" s="483">
        <f>N67/L67</f>
        <v>2.1277567357025816E-2</v>
      </c>
      <c r="S210" s="450"/>
      <c r="T210" s="450"/>
      <c r="U210" s="452"/>
      <c r="V210" s="430"/>
    </row>
    <row r="211" spans="1:22" s="431" customFormat="1" x14ac:dyDescent="0.3">
      <c r="A211" s="449"/>
      <c r="B211" s="450" t="s">
        <v>79</v>
      </c>
      <c r="C211" s="561"/>
      <c r="D211" s="561"/>
      <c r="E211" s="561"/>
      <c r="F211" s="561"/>
      <c r="G211" s="490"/>
      <c r="H211" s="490"/>
      <c r="I211" s="490"/>
      <c r="J211" s="490"/>
      <c r="K211" s="490"/>
      <c r="L211" s="490"/>
      <c r="M211" s="490"/>
      <c r="N211" s="490"/>
      <c r="O211" s="490"/>
      <c r="P211" s="490"/>
      <c r="Q211" s="490"/>
      <c r="R211" s="483">
        <v>7.5899999999999995E-2</v>
      </c>
      <c r="S211" s="450"/>
      <c r="T211" s="450"/>
      <c r="U211" s="452"/>
      <c r="V211" s="430"/>
    </row>
    <row r="212" spans="1:22" x14ac:dyDescent="0.3">
      <c r="A212" s="557"/>
      <c r="B212" s="563"/>
      <c r="C212" s="563"/>
      <c r="D212" s="563"/>
      <c r="E212" s="563"/>
      <c r="F212" s="563"/>
      <c r="G212" s="516"/>
      <c r="H212" s="516"/>
      <c r="I212" s="516"/>
      <c r="J212" s="516"/>
      <c r="K212" s="516"/>
      <c r="L212" s="516"/>
      <c r="M212" s="516"/>
      <c r="N212" s="516"/>
      <c r="O212" s="516"/>
      <c r="P212" s="516"/>
      <c r="Q212" s="516"/>
      <c r="R212" s="544"/>
      <c r="S212" s="516"/>
      <c r="T212" s="564"/>
      <c r="U212" s="639"/>
      <c r="V212" s="416"/>
    </row>
    <row r="213" spans="1:22" x14ac:dyDescent="0.3">
      <c r="A213" s="565"/>
      <c r="B213" s="521" t="s">
        <v>80</v>
      </c>
      <c r="C213" s="522"/>
      <c r="D213" s="522"/>
      <c r="E213" s="522"/>
      <c r="F213" s="566"/>
      <c r="G213" s="522"/>
      <c r="H213" s="522"/>
      <c r="I213" s="522"/>
      <c r="J213" s="522"/>
      <c r="K213" s="522"/>
      <c r="L213" s="522"/>
      <c r="M213" s="522"/>
      <c r="N213" s="522"/>
      <c r="O213" s="522"/>
      <c r="P213" s="522"/>
      <c r="Q213" s="522" t="s">
        <v>105</v>
      </c>
      <c r="R213" s="566" t="s">
        <v>112</v>
      </c>
      <c r="S213" s="443"/>
      <c r="T213" s="443"/>
      <c r="U213" s="446"/>
      <c r="V213" s="416"/>
    </row>
    <row r="214" spans="1:22" s="431" customFormat="1" x14ac:dyDescent="0.3">
      <c r="A214" s="567"/>
      <c r="B214" s="447" t="s">
        <v>81</v>
      </c>
      <c r="C214" s="525"/>
      <c r="D214" s="525"/>
      <c r="E214" s="525"/>
      <c r="F214" s="447"/>
      <c r="G214" s="447"/>
      <c r="H214" s="568"/>
      <c r="I214" s="568"/>
      <c r="J214" s="568"/>
      <c r="K214" s="568"/>
      <c r="L214" s="568"/>
      <c r="M214" s="568"/>
      <c r="N214" s="568"/>
      <c r="O214" s="568"/>
      <c r="P214" s="568"/>
      <c r="Q214" s="568">
        <v>1</v>
      </c>
      <c r="R214" s="569">
        <v>193</v>
      </c>
      <c r="S214" s="447"/>
      <c r="T214" s="570"/>
      <c r="U214" s="644"/>
      <c r="V214" s="430"/>
    </row>
    <row r="215" spans="1:22" s="431" customFormat="1" x14ac:dyDescent="0.3">
      <c r="A215" s="571"/>
      <c r="B215" s="450" t="s">
        <v>151</v>
      </c>
      <c r="C215" s="514"/>
      <c r="D215" s="514"/>
      <c r="E215" s="514"/>
      <c r="F215" s="450"/>
      <c r="G215" s="450"/>
      <c r="H215" s="456"/>
      <c r="I215" s="456"/>
      <c r="J215" s="456"/>
      <c r="K215" s="456"/>
      <c r="L215" s="456"/>
      <c r="M215" s="456"/>
      <c r="N215" s="456"/>
      <c r="O215" s="456"/>
      <c r="P215" s="456"/>
      <c r="Q215" s="572">
        <f>+P267</f>
        <v>28</v>
      </c>
      <c r="R215" s="573">
        <f>+R267</f>
        <v>4002</v>
      </c>
      <c r="S215" s="450"/>
      <c r="T215" s="574"/>
      <c r="U215" s="575"/>
      <c r="V215" s="430"/>
    </row>
    <row r="216" spans="1:22" s="431" customFormat="1" x14ac:dyDescent="0.3">
      <c r="A216" s="571"/>
      <c r="B216" s="450" t="s">
        <v>82</v>
      </c>
      <c r="C216" s="514"/>
      <c r="D216" s="514"/>
      <c r="E216" s="514"/>
      <c r="F216" s="450"/>
      <c r="G216" s="450"/>
      <c r="H216" s="456"/>
      <c r="I216" s="456"/>
      <c r="J216" s="456"/>
      <c r="K216" s="456"/>
      <c r="L216" s="456"/>
      <c r="M216" s="456"/>
      <c r="N216" s="456"/>
      <c r="O216" s="456"/>
      <c r="P216" s="456"/>
      <c r="Q216" s="572">
        <f>+P279</f>
        <v>0</v>
      </c>
      <c r="R216" s="573">
        <f>+R279</f>
        <v>0</v>
      </c>
      <c r="S216" s="450"/>
      <c r="T216" s="574"/>
      <c r="U216" s="575"/>
      <c r="V216" s="430"/>
    </row>
    <row r="217" spans="1:22" x14ac:dyDescent="0.3">
      <c r="A217" s="576"/>
      <c r="B217" s="577" t="s">
        <v>83</v>
      </c>
      <c r="C217" s="578"/>
      <c r="D217" s="578"/>
      <c r="E217" s="578"/>
      <c r="F217" s="470"/>
      <c r="G217" s="470"/>
      <c r="H217" s="470"/>
      <c r="I217" s="470"/>
      <c r="J217" s="470"/>
      <c r="K217" s="470"/>
      <c r="L217" s="470"/>
      <c r="M217" s="470"/>
      <c r="N217" s="470"/>
      <c r="O217" s="470"/>
      <c r="P217" s="470"/>
      <c r="Q217" s="541"/>
      <c r="R217" s="579">
        <v>0</v>
      </c>
      <c r="S217" s="470"/>
      <c r="T217" s="580"/>
      <c r="U217" s="581"/>
      <c r="V217" s="416"/>
    </row>
    <row r="218" spans="1:22" x14ac:dyDescent="0.3">
      <c r="A218" s="576"/>
      <c r="B218" s="577" t="s">
        <v>84</v>
      </c>
      <c r="C218" s="578"/>
      <c r="D218" s="578"/>
      <c r="E218" s="578"/>
      <c r="F218" s="470"/>
      <c r="G218" s="470"/>
      <c r="H218" s="470"/>
      <c r="I218" s="470"/>
      <c r="J218" s="470"/>
      <c r="K218" s="470"/>
      <c r="L218" s="470"/>
      <c r="M218" s="470"/>
      <c r="N218" s="470"/>
      <c r="O218" s="470"/>
      <c r="P218" s="470"/>
      <c r="Q218" s="450"/>
      <c r="R218" s="582" t="s">
        <v>113</v>
      </c>
      <c r="S218" s="470"/>
      <c r="T218" s="580"/>
      <c r="U218" s="581"/>
      <c r="V218" s="416"/>
    </row>
    <row r="219" spans="1:22" x14ac:dyDescent="0.3">
      <c r="A219" s="583"/>
      <c r="B219" s="577" t="s">
        <v>85</v>
      </c>
      <c r="C219" s="584"/>
      <c r="D219" s="584"/>
      <c r="E219" s="584"/>
      <c r="F219" s="584"/>
      <c r="G219" s="470"/>
      <c r="H219" s="470"/>
      <c r="I219" s="470"/>
      <c r="J219" s="470"/>
      <c r="K219" s="470"/>
      <c r="L219" s="470"/>
      <c r="M219" s="470"/>
      <c r="N219" s="470"/>
      <c r="O219" s="470"/>
      <c r="P219" s="470"/>
      <c r="Q219" s="450"/>
      <c r="R219" s="573"/>
      <c r="S219" s="470"/>
      <c r="T219" s="580"/>
      <c r="U219" s="585"/>
      <c r="V219" s="416"/>
    </row>
    <row r="220" spans="1:22" s="431" customFormat="1" x14ac:dyDescent="0.3">
      <c r="A220" s="586"/>
      <c r="B220" s="450" t="s">
        <v>86</v>
      </c>
      <c r="C220" s="450"/>
      <c r="D220" s="450"/>
      <c r="E220" s="450"/>
      <c r="F220" s="450"/>
      <c r="G220" s="450"/>
      <c r="H220" s="450"/>
      <c r="I220" s="450"/>
      <c r="J220" s="450"/>
      <c r="K220" s="450"/>
      <c r="L220" s="450"/>
      <c r="M220" s="450"/>
      <c r="N220" s="450"/>
      <c r="O220" s="450"/>
      <c r="P220" s="450"/>
      <c r="Q220" s="456"/>
      <c r="R220" s="573">
        <f>T164</f>
        <v>9</v>
      </c>
      <c r="S220" s="450"/>
      <c r="T220" s="574"/>
      <c r="U220" s="587"/>
      <c r="V220" s="430"/>
    </row>
    <row r="221" spans="1:22" s="431" customFormat="1" x14ac:dyDescent="0.3">
      <c r="A221" s="571"/>
      <c r="B221" s="450" t="s">
        <v>87</v>
      </c>
      <c r="C221" s="514"/>
      <c r="D221" s="514"/>
      <c r="E221" s="514"/>
      <c r="F221" s="514"/>
      <c r="G221" s="450"/>
      <c r="H221" s="450"/>
      <c r="I221" s="450"/>
      <c r="J221" s="450"/>
      <c r="K221" s="450"/>
      <c r="L221" s="450"/>
      <c r="M221" s="450"/>
      <c r="N221" s="450"/>
      <c r="O221" s="450"/>
      <c r="P221" s="450"/>
      <c r="Q221" s="456"/>
      <c r="R221" s="573">
        <f>'June 19'!R218+R220</f>
        <v>7864</v>
      </c>
      <c r="S221" s="450"/>
      <c r="T221" s="574"/>
      <c r="U221" s="587"/>
      <c r="V221" s="430"/>
    </row>
    <row r="222" spans="1:22" x14ac:dyDescent="0.3">
      <c r="A222" s="583"/>
      <c r="B222" s="577" t="s">
        <v>282</v>
      </c>
      <c r="C222" s="584"/>
      <c r="D222" s="584"/>
      <c r="E222" s="584"/>
      <c r="F222" s="584"/>
      <c r="G222" s="470"/>
      <c r="H222" s="470"/>
      <c r="I222" s="470"/>
      <c r="J222" s="470"/>
      <c r="K222" s="470"/>
      <c r="L222" s="470"/>
      <c r="M222" s="470"/>
      <c r="N222" s="470"/>
      <c r="O222" s="470"/>
      <c r="P222" s="470"/>
      <c r="Q222" s="456"/>
      <c r="R222" s="573"/>
      <c r="S222" s="470"/>
      <c r="T222" s="580"/>
      <c r="U222" s="585"/>
      <c r="V222" s="416"/>
    </row>
    <row r="223" spans="1:22" s="431" customFormat="1" x14ac:dyDescent="0.3">
      <c r="A223" s="586"/>
      <c r="B223" s="450" t="s">
        <v>280</v>
      </c>
      <c r="C223" s="450"/>
      <c r="D223" s="450"/>
      <c r="E223" s="450"/>
      <c r="F223" s="450"/>
      <c r="G223" s="450"/>
      <c r="H223" s="450"/>
      <c r="I223" s="450"/>
      <c r="J223" s="450"/>
      <c r="K223" s="450"/>
      <c r="L223" s="450"/>
      <c r="M223" s="450"/>
      <c r="N223" s="450"/>
      <c r="O223" s="450"/>
      <c r="P223" s="450"/>
      <c r="Q223" s="456">
        <v>0</v>
      </c>
      <c r="R223" s="573">
        <v>0</v>
      </c>
      <c r="S223" s="450"/>
      <c r="T223" s="574"/>
      <c r="U223" s="587"/>
      <c r="V223" s="430"/>
    </row>
    <row r="224" spans="1:22" s="431" customFormat="1" x14ac:dyDescent="0.3">
      <c r="A224" s="571"/>
      <c r="B224" s="450" t="s">
        <v>89</v>
      </c>
      <c r="C224" s="486"/>
      <c r="D224" s="486"/>
      <c r="E224" s="486"/>
      <c r="F224" s="588"/>
      <c r="G224" s="450"/>
      <c r="H224" s="450"/>
      <c r="I224" s="450"/>
      <c r="J224" s="450"/>
      <c r="K224" s="450"/>
      <c r="L224" s="450"/>
      <c r="M224" s="450"/>
      <c r="N224" s="450"/>
      <c r="O224" s="450"/>
      <c r="P224" s="450"/>
      <c r="Q224" s="450"/>
      <c r="R224" s="582">
        <v>0</v>
      </c>
      <c r="S224" s="450"/>
      <c r="T224" s="574"/>
      <c r="U224" s="587"/>
      <c r="V224" s="430"/>
    </row>
    <row r="225" spans="1:23" s="431" customFormat="1" x14ac:dyDescent="0.3">
      <c r="A225" s="571"/>
      <c r="B225" s="450" t="s">
        <v>90</v>
      </c>
      <c r="C225" s="486"/>
      <c r="D225" s="486"/>
      <c r="E225" s="486"/>
      <c r="F225" s="588"/>
      <c r="G225" s="450"/>
      <c r="H225" s="450"/>
      <c r="I225" s="450"/>
      <c r="J225" s="450"/>
      <c r="K225" s="450"/>
      <c r="L225" s="450"/>
      <c r="M225" s="450"/>
      <c r="N225" s="450"/>
      <c r="O225" s="450"/>
      <c r="P225" s="450"/>
      <c r="Q225" s="450"/>
      <c r="R225" s="582">
        <v>0</v>
      </c>
      <c r="S225" s="450"/>
      <c r="T225" s="574"/>
      <c r="U225" s="587"/>
      <c r="V225" s="430"/>
    </row>
    <row r="226" spans="1:23" x14ac:dyDescent="0.3">
      <c r="A226" s="576"/>
      <c r="B226" s="577" t="s">
        <v>226</v>
      </c>
      <c r="C226" s="589"/>
      <c r="D226" s="589"/>
      <c r="E226" s="589"/>
      <c r="F226" s="590"/>
      <c r="G226" s="470"/>
      <c r="H226" s="470"/>
      <c r="I226" s="470"/>
      <c r="J226" s="470"/>
      <c r="K226" s="470"/>
      <c r="L226" s="470"/>
      <c r="M226" s="470"/>
      <c r="N226" s="470"/>
      <c r="O226" s="470"/>
      <c r="P226" s="470"/>
      <c r="Q226" s="456"/>
      <c r="R226" s="591"/>
      <c r="S226" s="470"/>
      <c r="T226" s="580"/>
      <c r="U226" s="585"/>
      <c r="V226" s="416"/>
    </row>
    <row r="227" spans="1:23" s="431" customFormat="1" x14ac:dyDescent="0.3">
      <c r="A227" s="571"/>
      <c r="B227" s="450" t="s">
        <v>280</v>
      </c>
      <c r="C227" s="486"/>
      <c r="D227" s="486"/>
      <c r="E227" s="486"/>
      <c r="F227" s="588"/>
      <c r="G227" s="450"/>
      <c r="H227" s="450"/>
      <c r="I227" s="450"/>
      <c r="J227" s="450"/>
      <c r="K227" s="450"/>
      <c r="L227" s="450"/>
      <c r="M227" s="450"/>
      <c r="N227" s="450"/>
      <c r="O227" s="450"/>
      <c r="P227" s="450"/>
      <c r="Q227" s="456">
        <v>2</v>
      </c>
      <c r="R227" s="573">
        <v>228</v>
      </c>
      <c r="S227" s="450"/>
      <c r="T227" s="574"/>
      <c r="U227" s="587"/>
      <c r="V227" s="430"/>
    </row>
    <row r="228" spans="1:23" s="431" customFormat="1" x14ac:dyDescent="0.3">
      <c r="A228" s="571"/>
      <c r="B228" s="450" t="s">
        <v>227</v>
      </c>
      <c r="C228" s="486"/>
      <c r="D228" s="486"/>
      <c r="E228" s="486"/>
      <c r="F228" s="588"/>
      <c r="G228" s="450"/>
      <c r="H228" s="450"/>
      <c r="I228" s="450"/>
      <c r="J228" s="450"/>
      <c r="K228" s="450"/>
      <c r="L228" s="450"/>
      <c r="M228" s="450"/>
      <c r="N228" s="450"/>
      <c r="O228" s="450"/>
      <c r="P228" s="450"/>
      <c r="Q228" s="456"/>
      <c r="R228" s="582">
        <v>4.41</v>
      </c>
      <c r="S228" s="450"/>
      <c r="T228" s="574"/>
      <c r="U228" s="587"/>
      <c r="V228" s="430"/>
    </row>
    <row r="229" spans="1:23" x14ac:dyDescent="0.3">
      <c r="A229" s="576"/>
      <c r="B229" s="584"/>
      <c r="C229" s="589"/>
      <c r="D229" s="589"/>
      <c r="E229" s="589"/>
      <c r="F229" s="590"/>
      <c r="G229" s="470"/>
      <c r="H229" s="470"/>
      <c r="I229" s="470"/>
      <c r="J229" s="470"/>
      <c r="K229" s="470"/>
      <c r="L229" s="470"/>
      <c r="M229" s="470"/>
      <c r="N229" s="470"/>
      <c r="O229" s="470"/>
      <c r="P229" s="470"/>
      <c r="Q229" s="450"/>
      <c r="R229" s="591"/>
      <c r="S229" s="470"/>
      <c r="T229" s="580"/>
      <c r="U229" s="585"/>
      <c r="V229" s="416"/>
    </row>
    <row r="230" spans="1:23" x14ac:dyDescent="0.3">
      <c r="A230" s="576"/>
      <c r="B230" s="584"/>
      <c r="C230" s="589"/>
      <c r="D230" s="589"/>
      <c r="E230" s="589"/>
      <c r="F230" s="590"/>
      <c r="G230" s="470"/>
      <c r="H230" s="470"/>
      <c r="I230" s="470"/>
      <c r="J230" s="470"/>
      <c r="K230" s="470"/>
      <c r="L230" s="470"/>
      <c r="M230" s="470"/>
      <c r="N230" s="470"/>
      <c r="O230" s="470"/>
      <c r="P230" s="470"/>
      <c r="Q230" s="450"/>
      <c r="R230" s="591"/>
      <c r="S230" s="470"/>
      <c r="T230" s="580"/>
      <c r="U230" s="585"/>
      <c r="V230" s="416"/>
    </row>
    <row r="231" spans="1:23" ht="18" x14ac:dyDescent="0.35">
      <c r="A231" s="576"/>
      <c r="B231" s="592" t="s">
        <v>175</v>
      </c>
      <c r="C231" s="589"/>
      <c r="D231" s="589"/>
      <c r="E231" s="589"/>
      <c r="F231" s="590"/>
      <c r="G231" s="470"/>
      <c r="H231" s="470"/>
      <c r="I231" s="470"/>
      <c r="J231" s="470"/>
      <c r="K231" s="470"/>
      <c r="L231" s="470"/>
      <c r="M231" s="470"/>
      <c r="N231" s="647" t="s">
        <v>356</v>
      </c>
      <c r="O231" s="470"/>
      <c r="P231" s="470"/>
      <c r="Q231" s="470"/>
      <c r="R231" s="593"/>
      <c r="S231" s="470"/>
      <c r="T231" s="580"/>
      <c r="U231" s="585"/>
      <c r="V231" s="416"/>
    </row>
    <row r="232" spans="1:23" x14ac:dyDescent="0.3">
      <c r="A232" s="594"/>
      <c r="B232" s="563"/>
      <c r="C232" s="595"/>
      <c r="D232" s="595"/>
      <c r="E232" s="595"/>
      <c r="F232" s="596"/>
      <c r="G232" s="516"/>
      <c r="H232" s="516"/>
      <c r="I232" s="516"/>
      <c r="J232" s="516"/>
      <c r="K232" s="516"/>
      <c r="L232" s="516"/>
      <c r="M232" s="516"/>
      <c r="N232" s="516"/>
      <c r="O232" s="516"/>
      <c r="P232" s="516"/>
      <c r="Q232" s="516"/>
      <c r="R232" s="597"/>
      <c r="S232" s="516"/>
      <c r="T232" s="564"/>
      <c r="U232" s="645"/>
      <c r="V232" s="416"/>
    </row>
    <row r="233" spans="1:23" x14ac:dyDescent="0.3">
      <c r="A233" s="442"/>
      <c r="B233" s="598" t="s">
        <v>295</v>
      </c>
      <c r="C233" s="599"/>
      <c r="D233" s="599"/>
      <c r="E233" s="599"/>
      <c r="F233" s="600"/>
      <c r="G233" s="599"/>
      <c r="H233" s="599"/>
      <c r="I233" s="599"/>
      <c r="J233" s="599"/>
      <c r="K233" s="599"/>
      <c r="L233" s="599"/>
      <c r="M233" s="599"/>
      <c r="N233" s="599"/>
      <c r="O233" s="599"/>
      <c r="P233" s="600" t="s">
        <v>105</v>
      </c>
      <c r="Q233" s="599" t="s">
        <v>106</v>
      </c>
      <c r="R233" s="600" t="s">
        <v>114</v>
      </c>
      <c r="S233" s="599" t="s">
        <v>106</v>
      </c>
      <c r="T233" s="601"/>
      <c r="U233" s="605"/>
      <c r="V233" s="416"/>
    </row>
    <row r="234" spans="1:23" s="431" customFormat="1" x14ac:dyDescent="0.3">
      <c r="A234" s="632"/>
      <c r="B234" s="633" t="s">
        <v>91</v>
      </c>
      <c r="C234" s="634"/>
      <c r="D234" s="634"/>
      <c r="E234" s="634"/>
      <c r="F234" s="635"/>
      <c r="G234" s="634"/>
      <c r="H234" s="634"/>
      <c r="I234" s="634"/>
      <c r="J234" s="634"/>
      <c r="K234" s="634"/>
      <c r="L234" s="634"/>
      <c r="M234" s="634"/>
      <c r="N234" s="634"/>
      <c r="O234" s="634"/>
      <c r="P234" s="633">
        <f t="shared" ref="P234:P241" si="1">+P246+P258+P270</f>
        <v>2846</v>
      </c>
      <c r="Q234" s="636">
        <f t="shared" ref="Q234:Q241" si="2">P234/$P$243</f>
        <v>0.99406217254628015</v>
      </c>
      <c r="R234" s="637">
        <f t="shared" ref="R234:R241" si="3">+R246+R258+R270</f>
        <v>362415</v>
      </c>
      <c r="S234" s="636">
        <f t="shared" ref="S234:S241" si="4">R234/$R$243</f>
        <v>0.99469190254398943</v>
      </c>
      <c r="T234" s="630"/>
      <c r="U234" s="631"/>
      <c r="V234" s="430"/>
    </row>
    <row r="235" spans="1:23" s="431" customFormat="1" x14ac:dyDescent="0.3">
      <c r="A235" s="449"/>
      <c r="B235" s="514" t="s">
        <v>92</v>
      </c>
      <c r="C235" s="603"/>
      <c r="D235" s="603"/>
      <c r="E235" s="603"/>
      <c r="F235" s="450"/>
      <c r="G235" s="602"/>
      <c r="H235" s="603"/>
      <c r="I235" s="603"/>
      <c r="J235" s="603"/>
      <c r="K235" s="603"/>
      <c r="L235" s="603"/>
      <c r="M235" s="603"/>
      <c r="N235" s="603"/>
      <c r="O235" s="603"/>
      <c r="P235" s="514">
        <f t="shared" si="1"/>
        <v>7</v>
      </c>
      <c r="Q235" s="602">
        <f t="shared" si="2"/>
        <v>2.4449877750611247E-3</v>
      </c>
      <c r="R235" s="515">
        <f t="shared" si="3"/>
        <v>866</v>
      </c>
      <c r="S235" s="602">
        <f t="shared" si="4"/>
        <v>2.3768419839220087E-3</v>
      </c>
      <c r="T235" s="574"/>
      <c r="U235" s="587"/>
      <c r="V235" s="430"/>
      <c r="W235" s="533"/>
    </row>
    <row r="236" spans="1:23" s="431" customFormat="1" x14ac:dyDescent="0.3">
      <c r="A236" s="449"/>
      <c r="B236" s="514" t="s">
        <v>93</v>
      </c>
      <c r="C236" s="603"/>
      <c r="D236" s="603"/>
      <c r="E236" s="603"/>
      <c r="F236" s="450"/>
      <c r="G236" s="602"/>
      <c r="H236" s="603"/>
      <c r="I236" s="603"/>
      <c r="J236" s="603"/>
      <c r="K236" s="603"/>
      <c r="L236" s="603"/>
      <c r="M236" s="603"/>
      <c r="N236" s="603"/>
      <c r="O236" s="603"/>
      <c r="P236" s="514">
        <f t="shared" si="1"/>
        <v>1</v>
      </c>
      <c r="Q236" s="602">
        <f t="shared" si="2"/>
        <v>3.4928396786587494E-4</v>
      </c>
      <c r="R236" s="515">
        <f t="shared" si="3"/>
        <v>190</v>
      </c>
      <c r="S236" s="602">
        <f t="shared" si="4"/>
        <v>5.2147803342399732E-4</v>
      </c>
      <c r="T236" s="574"/>
      <c r="U236" s="587"/>
      <c r="V236" s="430"/>
    </row>
    <row r="237" spans="1:23" s="431" customFormat="1" x14ac:dyDescent="0.3">
      <c r="A237" s="449"/>
      <c r="B237" s="514" t="s">
        <v>163</v>
      </c>
      <c r="C237" s="603"/>
      <c r="D237" s="603"/>
      <c r="E237" s="603"/>
      <c r="F237" s="450"/>
      <c r="G237" s="602"/>
      <c r="H237" s="603"/>
      <c r="I237" s="603"/>
      <c r="J237" s="603"/>
      <c r="K237" s="603"/>
      <c r="L237" s="603"/>
      <c r="M237" s="603"/>
      <c r="N237" s="603"/>
      <c r="O237" s="603"/>
      <c r="P237" s="514">
        <f t="shared" si="1"/>
        <v>1</v>
      </c>
      <c r="Q237" s="602">
        <f t="shared" si="2"/>
        <v>3.4928396786587494E-4</v>
      </c>
      <c r="R237" s="515">
        <f t="shared" si="3"/>
        <v>72</v>
      </c>
      <c r="S237" s="602">
        <f t="shared" si="4"/>
        <v>1.9761272845540952E-4</v>
      </c>
      <c r="T237" s="574"/>
      <c r="U237" s="587"/>
      <c r="V237" s="430"/>
      <c r="W237" s="533"/>
    </row>
    <row r="238" spans="1:23" s="431" customFormat="1" x14ac:dyDescent="0.3">
      <c r="A238" s="449"/>
      <c r="B238" s="514" t="s">
        <v>164</v>
      </c>
      <c r="C238" s="603"/>
      <c r="D238" s="603"/>
      <c r="E238" s="603"/>
      <c r="F238" s="450"/>
      <c r="G238" s="602"/>
      <c r="H238" s="603"/>
      <c r="I238" s="603"/>
      <c r="J238" s="603"/>
      <c r="K238" s="603"/>
      <c r="L238" s="603"/>
      <c r="M238" s="603"/>
      <c r="N238" s="603"/>
      <c r="O238" s="603"/>
      <c r="P238" s="514">
        <f t="shared" si="1"/>
        <v>4</v>
      </c>
      <c r="Q238" s="602">
        <f t="shared" si="2"/>
        <v>1.3971358714634998E-3</v>
      </c>
      <c r="R238" s="515">
        <f t="shared" si="3"/>
        <v>411</v>
      </c>
      <c r="S238" s="602">
        <f t="shared" si="4"/>
        <v>1.1280393249329626E-3</v>
      </c>
      <c r="T238" s="574"/>
      <c r="U238" s="587"/>
      <c r="V238" s="430"/>
    </row>
    <row r="239" spans="1:23" s="431" customFormat="1" x14ac:dyDescent="0.3">
      <c r="A239" s="449"/>
      <c r="B239" s="514" t="s">
        <v>165</v>
      </c>
      <c r="C239" s="603"/>
      <c r="D239" s="603"/>
      <c r="E239" s="603"/>
      <c r="F239" s="450"/>
      <c r="G239" s="602"/>
      <c r="H239" s="603"/>
      <c r="I239" s="603"/>
      <c r="J239" s="603"/>
      <c r="K239" s="603"/>
      <c r="L239" s="603"/>
      <c r="M239" s="603"/>
      <c r="N239" s="603"/>
      <c r="O239" s="603"/>
      <c r="P239" s="514">
        <f t="shared" si="1"/>
        <v>1</v>
      </c>
      <c r="Q239" s="602">
        <f t="shared" si="2"/>
        <v>3.4928396786587494E-4</v>
      </c>
      <c r="R239" s="515">
        <f t="shared" si="3"/>
        <v>104</v>
      </c>
      <c r="S239" s="602">
        <f t="shared" si="4"/>
        <v>2.8544060776892485E-4</v>
      </c>
      <c r="T239" s="574"/>
      <c r="U239" s="587"/>
      <c r="V239" s="430"/>
      <c r="W239" s="533"/>
    </row>
    <row r="240" spans="1:23" s="431" customFormat="1" x14ac:dyDescent="0.3">
      <c r="A240" s="449"/>
      <c r="B240" s="514" t="s">
        <v>166</v>
      </c>
      <c r="C240" s="603"/>
      <c r="D240" s="603"/>
      <c r="E240" s="603"/>
      <c r="F240" s="450"/>
      <c r="G240" s="602"/>
      <c r="H240" s="603"/>
      <c r="I240" s="603"/>
      <c r="J240" s="603"/>
      <c r="K240" s="603"/>
      <c r="L240" s="603"/>
      <c r="M240" s="603"/>
      <c r="N240" s="603"/>
      <c r="O240" s="603"/>
      <c r="P240" s="514">
        <f t="shared" si="1"/>
        <v>0</v>
      </c>
      <c r="Q240" s="602">
        <f t="shared" si="2"/>
        <v>0</v>
      </c>
      <c r="R240" s="515">
        <f t="shared" si="3"/>
        <v>0</v>
      </c>
      <c r="S240" s="602">
        <f t="shared" si="4"/>
        <v>0</v>
      </c>
      <c r="T240" s="574"/>
      <c r="U240" s="587"/>
      <c r="V240" s="430"/>
    </row>
    <row r="241" spans="1:23" s="431" customFormat="1" x14ac:dyDescent="0.3">
      <c r="A241" s="449"/>
      <c r="B241" s="514" t="s">
        <v>167</v>
      </c>
      <c r="C241" s="603"/>
      <c r="D241" s="603"/>
      <c r="E241" s="603"/>
      <c r="F241" s="450"/>
      <c r="G241" s="602"/>
      <c r="H241" s="603"/>
      <c r="I241" s="603"/>
      <c r="J241" s="603"/>
      <c r="K241" s="603"/>
      <c r="L241" s="603"/>
      <c r="M241" s="603"/>
      <c r="N241" s="603"/>
      <c r="O241" s="603"/>
      <c r="P241" s="514">
        <f t="shared" si="1"/>
        <v>3</v>
      </c>
      <c r="Q241" s="602">
        <f t="shared" si="2"/>
        <v>1.0478519035976249E-3</v>
      </c>
      <c r="R241" s="515">
        <f t="shared" si="3"/>
        <v>291</v>
      </c>
      <c r="S241" s="602">
        <f t="shared" si="4"/>
        <v>7.9868477750728016E-4</v>
      </c>
      <c r="T241" s="574"/>
      <c r="U241" s="587"/>
      <c r="V241" s="430"/>
      <c r="W241" s="533"/>
    </row>
    <row r="242" spans="1:23" s="431" customFormat="1" x14ac:dyDescent="0.3">
      <c r="A242" s="449"/>
      <c r="B242" s="514"/>
      <c r="C242" s="603"/>
      <c r="D242" s="603"/>
      <c r="E242" s="603"/>
      <c r="F242" s="450"/>
      <c r="G242" s="602"/>
      <c r="H242" s="603"/>
      <c r="I242" s="603"/>
      <c r="J242" s="603"/>
      <c r="K242" s="603"/>
      <c r="L242" s="603"/>
      <c r="M242" s="603"/>
      <c r="N242" s="603"/>
      <c r="O242" s="603"/>
      <c r="P242" s="514"/>
      <c r="Q242" s="602"/>
      <c r="R242" s="515"/>
      <c r="S242" s="602"/>
      <c r="T242" s="574"/>
      <c r="U242" s="587"/>
      <c r="V242" s="430"/>
    </row>
    <row r="243" spans="1:23" s="431" customFormat="1" x14ac:dyDescent="0.3">
      <c r="A243" s="449"/>
      <c r="B243" s="450" t="s">
        <v>120</v>
      </c>
      <c r="C243" s="450"/>
      <c r="D243" s="450"/>
      <c r="E243" s="450"/>
      <c r="F243" s="450"/>
      <c r="G243" s="450"/>
      <c r="H243" s="604"/>
      <c r="I243" s="604"/>
      <c r="J243" s="604"/>
      <c r="K243" s="604"/>
      <c r="L243" s="604"/>
      <c r="M243" s="604"/>
      <c r="N243" s="604"/>
      <c r="O243" s="604"/>
      <c r="P243" s="514">
        <f>SUM(P234:P242)</f>
        <v>2863</v>
      </c>
      <c r="Q243" s="602">
        <f>SUM(Q234:Q242)</f>
        <v>0.99999999999999978</v>
      </c>
      <c r="R243" s="515">
        <f>SUM(R234:R242)</f>
        <v>364349</v>
      </c>
      <c r="S243" s="602">
        <f>SUM(S234:S242)</f>
        <v>1</v>
      </c>
      <c r="T243" s="450"/>
      <c r="U243" s="452"/>
      <c r="V243" s="430"/>
    </row>
    <row r="244" spans="1:23" x14ac:dyDescent="0.3">
      <c r="A244" s="594"/>
      <c r="B244" s="563"/>
      <c r="C244" s="595"/>
      <c r="D244" s="595"/>
      <c r="E244" s="595"/>
      <c r="F244" s="596"/>
      <c r="G244" s="516"/>
      <c r="H244" s="516"/>
      <c r="I244" s="516"/>
      <c r="J244" s="516"/>
      <c r="K244" s="516"/>
      <c r="L244" s="516"/>
      <c r="M244" s="516"/>
      <c r="N244" s="516"/>
      <c r="O244" s="516"/>
      <c r="P244" s="516"/>
      <c r="Q244" s="516"/>
      <c r="R244" s="597"/>
      <c r="S244" s="516"/>
      <c r="T244" s="564"/>
      <c r="U244" s="645"/>
      <c r="V244" s="416"/>
    </row>
    <row r="245" spans="1:23" x14ac:dyDescent="0.3">
      <c r="A245" s="442"/>
      <c r="B245" s="521" t="s">
        <v>169</v>
      </c>
      <c r="C245" s="522"/>
      <c r="D245" s="522"/>
      <c r="E245" s="522"/>
      <c r="F245" s="566"/>
      <c r="G245" s="522"/>
      <c r="H245" s="522"/>
      <c r="I245" s="522"/>
      <c r="J245" s="522"/>
      <c r="K245" s="522"/>
      <c r="L245" s="522"/>
      <c r="M245" s="522"/>
      <c r="N245" s="522"/>
      <c r="O245" s="522"/>
      <c r="P245" s="566" t="s">
        <v>105</v>
      </c>
      <c r="Q245" s="522" t="s">
        <v>106</v>
      </c>
      <c r="R245" s="566" t="s">
        <v>114</v>
      </c>
      <c r="S245" s="522" t="s">
        <v>106</v>
      </c>
      <c r="T245" s="443"/>
      <c r="U245" s="605"/>
      <c r="V245" s="416"/>
    </row>
    <row r="246" spans="1:23" s="431" customFormat="1" x14ac:dyDescent="0.3">
      <c r="A246" s="432"/>
      <c r="B246" s="525" t="s">
        <v>91</v>
      </c>
      <c r="C246" s="606"/>
      <c r="D246" s="606"/>
      <c r="E246" s="606"/>
      <c r="F246" s="447"/>
      <c r="G246" s="606"/>
      <c r="H246" s="606"/>
      <c r="I246" s="606"/>
      <c r="J246" s="606"/>
      <c r="K246" s="606"/>
      <c r="L246" s="606"/>
      <c r="M246" s="606"/>
      <c r="N246" s="606"/>
      <c r="O246" s="606"/>
      <c r="P246" s="525">
        <v>2824</v>
      </c>
      <c r="Q246" s="607">
        <f t="shared" ref="Q246:Q253" si="5">P246/$P$255</f>
        <v>0.99611992945326278</v>
      </c>
      <c r="R246" s="526">
        <v>359108</v>
      </c>
      <c r="S246" s="607">
        <f t="shared" ref="S246:S253" si="6">R246/$R$255</f>
        <v>0.99656164752308196</v>
      </c>
      <c r="T246" s="570"/>
      <c r="U246" s="646"/>
      <c r="V246" s="430"/>
    </row>
    <row r="247" spans="1:23" s="431" customFormat="1" x14ac:dyDescent="0.3">
      <c r="A247" s="449"/>
      <c r="B247" s="514" t="s">
        <v>92</v>
      </c>
      <c r="C247" s="603"/>
      <c r="D247" s="603"/>
      <c r="E247" s="603"/>
      <c r="F247" s="450"/>
      <c r="G247" s="602"/>
      <c r="H247" s="603"/>
      <c r="I247" s="603"/>
      <c r="J247" s="603"/>
      <c r="K247" s="603"/>
      <c r="L247" s="603"/>
      <c r="M247" s="603"/>
      <c r="N247" s="603"/>
      <c r="O247" s="603"/>
      <c r="P247" s="514">
        <v>7</v>
      </c>
      <c r="Q247" s="602">
        <f t="shared" si="5"/>
        <v>2.4691358024691358E-3</v>
      </c>
      <c r="R247" s="515">
        <v>866</v>
      </c>
      <c r="S247" s="602">
        <f t="shared" si="6"/>
        <v>2.403239100089636E-3</v>
      </c>
      <c r="T247" s="574"/>
      <c r="U247" s="587"/>
      <c r="V247" s="430"/>
      <c r="W247" s="533"/>
    </row>
    <row r="248" spans="1:23" s="431" customFormat="1" x14ac:dyDescent="0.3">
      <c r="A248" s="449"/>
      <c r="B248" s="514" t="s">
        <v>93</v>
      </c>
      <c r="C248" s="603"/>
      <c r="D248" s="603"/>
      <c r="E248" s="603"/>
      <c r="F248" s="450"/>
      <c r="G248" s="602"/>
      <c r="H248" s="603"/>
      <c r="I248" s="603"/>
      <c r="J248" s="603"/>
      <c r="K248" s="603"/>
      <c r="L248" s="603"/>
      <c r="M248" s="603"/>
      <c r="N248" s="603"/>
      <c r="O248" s="603"/>
      <c r="P248" s="514">
        <v>1</v>
      </c>
      <c r="Q248" s="602">
        <f t="shared" si="5"/>
        <v>3.5273368606701942E-4</v>
      </c>
      <c r="R248" s="515">
        <v>190</v>
      </c>
      <c r="S248" s="602">
        <f t="shared" si="6"/>
        <v>5.2726954851851134E-4</v>
      </c>
      <c r="T248" s="574"/>
      <c r="U248" s="587"/>
      <c r="V248" s="430"/>
    </row>
    <row r="249" spans="1:23" s="431" customFormat="1" x14ac:dyDescent="0.3">
      <c r="A249" s="449"/>
      <c r="B249" s="514" t="s">
        <v>163</v>
      </c>
      <c r="C249" s="603"/>
      <c r="D249" s="603"/>
      <c r="E249" s="603"/>
      <c r="F249" s="450"/>
      <c r="G249" s="602"/>
      <c r="H249" s="603"/>
      <c r="I249" s="603"/>
      <c r="J249" s="603"/>
      <c r="K249" s="603"/>
      <c r="L249" s="603"/>
      <c r="M249" s="603"/>
      <c r="N249" s="603"/>
      <c r="O249" s="603"/>
      <c r="P249" s="514">
        <v>1</v>
      </c>
      <c r="Q249" s="602">
        <f t="shared" si="5"/>
        <v>3.5273368606701942E-4</v>
      </c>
      <c r="R249" s="515">
        <v>72</v>
      </c>
      <c r="S249" s="602">
        <f t="shared" si="6"/>
        <v>1.998074078596464E-4</v>
      </c>
      <c r="T249" s="574"/>
      <c r="U249" s="587"/>
      <c r="V249" s="430"/>
      <c r="W249" s="533"/>
    </row>
    <row r="250" spans="1:23" s="431" customFormat="1" x14ac:dyDescent="0.3">
      <c r="A250" s="449"/>
      <c r="B250" s="514" t="s">
        <v>164</v>
      </c>
      <c r="C250" s="603"/>
      <c r="D250" s="603"/>
      <c r="E250" s="603"/>
      <c r="F250" s="450"/>
      <c r="G250" s="602"/>
      <c r="H250" s="603"/>
      <c r="I250" s="603"/>
      <c r="J250" s="603"/>
      <c r="K250" s="603"/>
      <c r="L250" s="603"/>
      <c r="M250" s="603"/>
      <c r="N250" s="603"/>
      <c r="O250" s="603"/>
      <c r="P250" s="514">
        <v>2</v>
      </c>
      <c r="Q250" s="602">
        <f t="shared" si="5"/>
        <v>7.0546737213403885E-4</v>
      </c>
      <c r="R250" s="515">
        <v>111</v>
      </c>
      <c r="S250" s="602">
        <f t="shared" si="6"/>
        <v>3.0803642045028817E-4</v>
      </c>
      <c r="T250" s="574"/>
      <c r="U250" s="587"/>
      <c r="V250" s="430"/>
    </row>
    <row r="251" spans="1:23" s="431" customFormat="1" x14ac:dyDescent="0.3">
      <c r="A251" s="449"/>
      <c r="B251" s="514" t="s">
        <v>165</v>
      </c>
      <c r="C251" s="603"/>
      <c r="D251" s="603"/>
      <c r="E251" s="603"/>
      <c r="F251" s="450"/>
      <c r="G251" s="602"/>
      <c r="H251" s="603"/>
      <c r="I251" s="603"/>
      <c r="J251" s="603"/>
      <c r="K251" s="603"/>
      <c r="L251" s="603"/>
      <c r="M251" s="603"/>
      <c r="N251" s="603"/>
      <c r="O251" s="603"/>
      <c r="P251" s="514">
        <v>0</v>
      </c>
      <c r="Q251" s="602">
        <f t="shared" si="5"/>
        <v>0</v>
      </c>
      <c r="R251" s="515">
        <v>0</v>
      </c>
      <c r="S251" s="602">
        <f t="shared" si="6"/>
        <v>0</v>
      </c>
      <c r="T251" s="574"/>
      <c r="U251" s="587"/>
      <c r="V251" s="430"/>
      <c r="W251" s="533"/>
    </row>
    <row r="252" spans="1:23" s="431" customFormat="1" x14ac:dyDescent="0.3">
      <c r="A252" s="449"/>
      <c r="B252" s="514" t="s">
        <v>166</v>
      </c>
      <c r="C252" s="603"/>
      <c r="D252" s="603"/>
      <c r="E252" s="603"/>
      <c r="F252" s="450"/>
      <c r="G252" s="602"/>
      <c r="H252" s="603"/>
      <c r="I252" s="603"/>
      <c r="J252" s="603"/>
      <c r="K252" s="603"/>
      <c r="L252" s="603"/>
      <c r="M252" s="603"/>
      <c r="N252" s="603"/>
      <c r="O252" s="603"/>
      <c r="P252" s="514">
        <v>0</v>
      </c>
      <c r="Q252" s="602">
        <f t="shared" si="5"/>
        <v>0</v>
      </c>
      <c r="R252" s="515">
        <v>0</v>
      </c>
      <c r="S252" s="602">
        <f t="shared" si="6"/>
        <v>0</v>
      </c>
      <c r="T252" s="574"/>
      <c r="U252" s="587"/>
      <c r="V252" s="430"/>
    </row>
    <row r="253" spans="1:23" s="431" customFormat="1" x14ac:dyDescent="0.3">
      <c r="A253" s="449"/>
      <c r="B253" s="514" t="s">
        <v>167</v>
      </c>
      <c r="C253" s="603"/>
      <c r="D253" s="603"/>
      <c r="E253" s="603"/>
      <c r="F253" s="450"/>
      <c r="G253" s="602"/>
      <c r="H253" s="603"/>
      <c r="I253" s="603"/>
      <c r="J253" s="603"/>
      <c r="K253" s="603"/>
      <c r="L253" s="603"/>
      <c r="M253" s="603"/>
      <c r="N253" s="603"/>
      <c r="O253" s="603"/>
      <c r="P253" s="514">
        <v>0</v>
      </c>
      <c r="Q253" s="602">
        <f t="shared" si="5"/>
        <v>0</v>
      </c>
      <c r="R253" s="515">
        <v>0</v>
      </c>
      <c r="S253" s="602">
        <f t="shared" si="6"/>
        <v>0</v>
      </c>
      <c r="T253" s="574"/>
      <c r="U253" s="587"/>
      <c r="V253" s="430"/>
      <c r="W253" s="533"/>
    </row>
    <row r="254" spans="1:23" s="431" customFormat="1" x14ac:dyDescent="0.3">
      <c r="A254" s="449"/>
      <c r="B254" s="514"/>
      <c r="C254" s="603"/>
      <c r="D254" s="603"/>
      <c r="E254" s="603"/>
      <c r="F254" s="450"/>
      <c r="G254" s="602"/>
      <c r="H254" s="603"/>
      <c r="I254" s="603"/>
      <c r="J254" s="603"/>
      <c r="K254" s="603"/>
      <c r="L254" s="603"/>
      <c r="M254" s="603"/>
      <c r="N254" s="603"/>
      <c r="O254" s="603"/>
      <c r="P254" s="514"/>
      <c r="Q254" s="602"/>
      <c r="R254" s="515"/>
      <c r="S254" s="602"/>
      <c r="T254" s="574"/>
      <c r="U254" s="587"/>
      <c r="V254" s="430"/>
    </row>
    <row r="255" spans="1:23" s="431" customFormat="1" x14ac:dyDescent="0.3">
      <c r="A255" s="449"/>
      <c r="B255" s="450" t="s">
        <v>120</v>
      </c>
      <c r="C255" s="450"/>
      <c r="D255" s="450"/>
      <c r="E255" s="450"/>
      <c r="F255" s="450"/>
      <c r="G255" s="450"/>
      <c r="H255" s="604"/>
      <c r="I255" s="604"/>
      <c r="J255" s="604"/>
      <c r="K255" s="604"/>
      <c r="L255" s="604"/>
      <c r="M255" s="604"/>
      <c r="N255" s="604"/>
      <c r="O255" s="604"/>
      <c r="P255" s="514">
        <f>SUM(P246:P254)</f>
        <v>2835</v>
      </c>
      <c r="Q255" s="602">
        <f>SUM(Q246:Q254)</f>
        <v>1</v>
      </c>
      <c r="R255" s="515">
        <f>SUM(R246:R254)</f>
        <v>360347</v>
      </c>
      <c r="S255" s="602">
        <f>SUM(S246:S254)</f>
        <v>1</v>
      </c>
      <c r="T255" s="450"/>
      <c r="U255" s="452"/>
      <c r="V255" s="430"/>
    </row>
    <row r="256" spans="1:23" x14ac:dyDescent="0.3">
      <c r="A256" s="418"/>
      <c r="B256" s="516"/>
      <c r="C256" s="516"/>
      <c r="D256" s="516"/>
      <c r="E256" s="516"/>
      <c r="F256" s="516"/>
      <c r="G256" s="516"/>
      <c r="H256" s="608"/>
      <c r="I256" s="608"/>
      <c r="J256" s="608"/>
      <c r="K256" s="608"/>
      <c r="L256" s="608"/>
      <c r="M256" s="608"/>
      <c r="N256" s="608"/>
      <c r="O256" s="608"/>
      <c r="P256" s="517"/>
      <c r="Q256" s="609"/>
      <c r="R256" s="610"/>
      <c r="S256" s="609"/>
      <c r="T256" s="516"/>
      <c r="U256" s="639"/>
      <c r="V256" s="416"/>
    </row>
    <row r="257" spans="1:22" x14ac:dyDescent="0.3">
      <c r="A257" s="442"/>
      <c r="B257" s="521" t="s">
        <v>267</v>
      </c>
      <c r="C257" s="522"/>
      <c r="D257" s="522"/>
      <c r="E257" s="522"/>
      <c r="F257" s="566"/>
      <c r="G257" s="522"/>
      <c r="H257" s="522"/>
      <c r="I257" s="522"/>
      <c r="J257" s="522"/>
      <c r="K257" s="522"/>
      <c r="L257" s="522"/>
      <c r="M257" s="522"/>
      <c r="N257" s="522"/>
      <c r="O257" s="522"/>
      <c r="P257" s="566" t="s">
        <v>105</v>
      </c>
      <c r="Q257" s="522" t="s">
        <v>106</v>
      </c>
      <c r="R257" s="566" t="s">
        <v>114</v>
      </c>
      <c r="S257" s="522" t="s">
        <v>106</v>
      </c>
      <c r="T257" s="443"/>
      <c r="U257" s="446"/>
      <c r="V257" s="416"/>
    </row>
    <row r="258" spans="1:22" s="431" customFormat="1" x14ac:dyDescent="0.3">
      <c r="A258" s="432"/>
      <c r="B258" s="525" t="s">
        <v>91</v>
      </c>
      <c r="C258" s="606"/>
      <c r="D258" s="606"/>
      <c r="E258" s="606"/>
      <c r="F258" s="447"/>
      <c r="G258" s="606"/>
      <c r="H258" s="606"/>
      <c r="I258" s="606"/>
      <c r="J258" s="606"/>
      <c r="K258" s="606"/>
      <c r="L258" s="606"/>
      <c r="M258" s="606"/>
      <c r="N258" s="606"/>
      <c r="O258" s="606"/>
      <c r="P258" s="525">
        <v>22</v>
      </c>
      <c r="Q258" s="607">
        <f t="shared" ref="Q258:Q265" si="7">P258/$P$267</f>
        <v>0.7857142857142857</v>
      </c>
      <c r="R258" s="526">
        <v>3307</v>
      </c>
      <c r="S258" s="607">
        <f>R258/$R$267</f>
        <v>0.8263368315842079</v>
      </c>
      <c r="T258" s="447"/>
      <c r="U258" s="641"/>
      <c r="V258" s="430"/>
    </row>
    <row r="259" spans="1:22" s="431" customFormat="1" x14ac:dyDescent="0.3">
      <c r="A259" s="449"/>
      <c r="B259" s="514" t="s">
        <v>92</v>
      </c>
      <c r="C259" s="603"/>
      <c r="D259" s="603"/>
      <c r="E259" s="603"/>
      <c r="F259" s="450"/>
      <c r="G259" s="602"/>
      <c r="H259" s="603"/>
      <c r="I259" s="603"/>
      <c r="J259" s="603"/>
      <c r="K259" s="603"/>
      <c r="L259" s="603"/>
      <c r="M259" s="603"/>
      <c r="N259" s="603"/>
      <c r="O259" s="603"/>
      <c r="P259" s="514">
        <v>0</v>
      </c>
      <c r="Q259" s="602">
        <f t="shared" si="7"/>
        <v>0</v>
      </c>
      <c r="R259" s="515">
        <v>0</v>
      </c>
      <c r="S259" s="602">
        <f t="shared" ref="S259:S265" si="8">R259/$R$267</f>
        <v>0</v>
      </c>
      <c r="T259" s="450"/>
      <c r="U259" s="452"/>
      <c r="V259" s="430"/>
    </row>
    <row r="260" spans="1:22" s="431" customFormat="1" x14ac:dyDescent="0.3">
      <c r="A260" s="449"/>
      <c r="B260" s="514" t="s">
        <v>93</v>
      </c>
      <c r="C260" s="603"/>
      <c r="D260" s="603"/>
      <c r="E260" s="603"/>
      <c r="F260" s="450"/>
      <c r="G260" s="602"/>
      <c r="H260" s="603"/>
      <c r="I260" s="603"/>
      <c r="J260" s="603"/>
      <c r="K260" s="603"/>
      <c r="L260" s="603"/>
      <c r="M260" s="603"/>
      <c r="N260" s="603"/>
      <c r="O260" s="603"/>
      <c r="P260" s="514">
        <v>0</v>
      </c>
      <c r="Q260" s="602">
        <f t="shared" si="7"/>
        <v>0</v>
      </c>
      <c r="R260" s="515">
        <v>0</v>
      </c>
      <c r="S260" s="602">
        <f t="shared" si="8"/>
        <v>0</v>
      </c>
      <c r="T260" s="450"/>
      <c r="U260" s="452"/>
      <c r="V260" s="430"/>
    </row>
    <row r="261" spans="1:22" s="431" customFormat="1" x14ac:dyDescent="0.3">
      <c r="A261" s="449"/>
      <c r="B261" s="514" t="s">
        <v>163</v>
      </c>
      <c r="C261" s="603"/>
      <c r="D261" s="603"/>
      <c r="E261" s="603"/>
      <c r="F261" s="450"/>
      <c r="G261" s="602"/>
      <c r="H261" s="603"/>
      <c r="I261" s="603"/>
      <c r="J261" s="603"/>
      <c r="K261" s="603"/>
      <c r="L261" s="603"/>
      <c r="M261" s="603"/>
      <c r="N261" s="603"/>
      <c r="O261" s="603"/>
      <c r="P261" s="514">
        <v>0</v>
      </c>
      <c r="Q261" s="602">
        <f t="shared" si="7"/>
        <v>0</v>
      </c>
      <c r="R261" s="515">
        <v>0</v>
      </c>
      <c r="S261" s="602">
        <f t="shared" si="8"/>
        <v>0</v>
      </c>
      <c r="T261" s="450"/>
      <c r="U261" s="452"/>
      <c r="V261" s="430"/>
    </row>
    <row r="262" spans="1:22" s="431" customFormat="1" x14ac:dyDescent="0.3">
      <c r="A262" s="449"/>
      <c r="B262" s="514" t="s">
        <v>164</v>
      </c>
      <c r="C262" s="603"/>
      <c r="D262" s="603"/>
      <c r="E262" s="603"/>
      <c r="F262" s="450"/>
      <c r="G262" s="602"/>
      <c r="H262" s="603"/>
      <c r="I262" s="603"/>
      <c r="J262" s="603"/>
      <c r="K262" s="603"/>
      <c r="L262" s="603"/>
      <c r="M262" s="603"/>
      <c r="N262" s="603"/>
      <c r="O262" s="603"/>
      <c r="P262" s="514">
        <v>2</v>
      </c>
      <c r="Q262" s="602">
        <f t="shared" si="7"/>
        <v>7.1428571428571425E-2</v>
      </c>
      <c r="R262" s="515">
        <v>300</v>
      </c>
      <c r="S262" s="602">
        <f t="shared" si="8"/>
        <v>7.4962518740629688E-2</v>
      </c>
      <c r="T262" s="450"/>
      <c r="U262" s="452"/>
      <c r="V262" s="430"/>
    </row>
    <row r="263" spans="1:22" s="431" customFormat="1" x14ac:dyDescent="0.3">
      <c r="A263" s="449"/>
      <c r="B263" s="514" t="s">
        <v>165</v>
      </c>
      <c r="C263" s="603"/>
      <c r="D263" s="603"/>
      <c r="E263" s="603"/>
      <c r="F263" s="450"/>
      <c r="G263" s="602"/>
      <c r="H263" s="603"/>
      <c r="I263" s="603"/>
      <c r="J263" s="603"/>
      <c r="K263" s="603"/>
      <c r="L263" s="603"/>
      <c r="M263" s="603"/>
      <c r="N263" s="603"/>
      <c r="O263" s="603"/>
      <c r="P263" s="514">
        <v>1</v>
      </c>
      <c r="Q263" s="602">
        <f t="shared" si="7"/>
        <v>3.5714285714285712E-2</v>
      </c>
      <c r="R263" s="515">
        <v>104</v>
      </c>
      <c r="S263" s="602">
        <f t="shared" si="8"/>
        <v>2.5987006496751622E-2</v>
      </c>
      <c r="T263" s="450"/>
      <c r="U263" s="452"/>
      <c r="V263" s="430"/>
    </row>
    <row r="264" spans="1:22" s="431" customFormat="1" x14ac:dyDescent="0.3">
      <c r="A264" s="449"/>
      <c r="B264" s="514" t="s">
        <v>166</v>
      </c>
      <c r="C264" s="603"/>
      <c r="D264" s="603"/>
      <c r="E264" s="603"/>
      <c r="F264" s="450"/>
      <c r="G264" s="602"/>
      <c r="H264" s="603"/>
      <c r="I264" s="603"/>
      <c r="J264" s="603"/>
      <c r="K264" s="603"/>
      <c r="L264" s="603"/>
      <c r="M264" s="603"/>
      <c r="N264" s="603"/>
      <c r="O264" s="603"/>
      <c r="P264" s="514">
        <v>0</v>
      </c>
      <c r="Q264" s="602">
        <f t="shared" si="7"/>
        <v>0</v>
      </c>
      <c r="R264" s="515">
        <v>0</v>
      </c>
      <c r="S264" s="602">
        <f t="shared" si="8"/>
        <v>0</v>
      </c>
      <c r="T264" s="450"/>
      <c r="U264" s="452"/>
      <c r="V264" s="430"/>
    </row>
    <row r="265" spans="1:22" s="431" customFormat="1" x14ac:dyDescent="0.3">
      <c r="A265" s="449"/>
      <c r="B265" s="514" t="s">
        <v>167</v>
      </c>
      <c r="C265" s="603"/>
      <c r="D265" s="603"/>
      <c r="E265" s="603"/>
      <c r="F265" s="450"/>
      <c r="G265" s="602"/>
      <c r="H265" s="603"/>
      <c r="I265" s="603"/>
      <c r="J265" s="603"/>
      <c r="K265" s="603"/>
      <c r="L265" s="603"/>
      <c r="M265" s="603"/>
      <c r="N265" s="603"/>
      <c r="O265" s="603"/>
      <c r="P265" s="514">
        <v>3</v>
      </c>
      <c r="Q265" s="602">
        <f t="shared" si="7"/>
        <v>0.10714285714285714</v>
      </c>
      <c r="R265" s="515">
        <v>291</v>
      </c>
      <c r="S265" s="602">
        <f t="shared" si="8"/>
        <v>7.2713643178410794E-2</v>
      </c>
      <c r="T265" s="450"/>
      <c r="U265" s="452"/>
      <c r="V265" s="430"/>
    </row>
    <row r="266" spans="1:22" s="431" customFormat="1" x14ac:dyDescent="0.3">
      <c r="A266" s="449"/>
      <c r="B266" s="514"/>
      <c r="C266" s="603"/>
      <c r="D266" s="603"/>
      <c r="E266" s="603"/>
      <c r="F266" s="450"/>
      <c r="G266" s="602"/>
      <c r="H266" s="603"/>
      <c r="I266" s="603"/>
      <c r="J266" s="603"/>
      <c r="K266" s="603"/>
      <c r="L266" s="603"/>
      <c r="M266" s="603"/>
      <c r="N266" s="603"/>
      <c r="O266" s="603"/>
      <c r="P266" s="514"/>
      <c r="Q266" s="602"/>
      <c r="R266" s="515"/>
      <c r="S266" s="602"/>
      <c r="T266" s="450"/>
      <c r="U266" s="452"/>
      <c r="V266" s="430"/>
    </row>
    <row r="267" spans="1:22" s="431" customFormat="1" x14ac:dyDescent="0.3">
      <c r="A267" s="449"/>
      <c r="B267" s="450" t="s">
        <v>120</v>
      </c>
      <c r="C267" s="450"/>
      <c r="D267" s="450"/>
      <c r="E267" s="450"/>
      <c r="F267" s="450"/>
      <c r="G267" s="450"/>
      <c r="H267" s="604"/>
      <c r="I267" s="604"/>
      <c r="J267" s="604"/>
      <c r="K267" s="604"/>
      <c r="L267" s="604"/>
      <c r="M267" s="604"/>
      <c r="N267" s="604"/>
      <c r="O267" s="604"/>
      <c r="P267" s="514">
        <f>SUM(P258:P266)</f>
        <v>28</v>
      </c>
      <c r="Q267" s="602">
        <f>SUM(Q258:Q266)</f>
        <v>0.99999999999999989</v>
      </c>
      <c r="R267" s="515">
        <f>SUM(R258:R266)</f>
        <v>4002</v>
      </c>
      <c r="S267" s="602">
        <f>SUM(S258:S266)</f>
        <v>1</v>
      </c>
      <c r="T267" s="450"/>
      <c r="U267" s="452"/>
      <c r="V267" s="430"/>
    </row>
    <row r="268" spans="1:22" x14ac:dyDescent="0.3">
      <c r="A268" s="418"/>
      <c r="B268" s="516"/>
      <c r="C268" s="516"/>
      <c r="D268" s="516"/>
      <c r="E268" s="516"/>
      <c r="F268" s="516"/>
      <c r="G268" s="516"/>
      <c r="H268" s="608"/>
      <c r="I268" s="608"/>
      <c r="J268" s="608"/>
      <c r="K268" s="608"/>
      <c r="L268" s="608"/>
      <c r="M268" s="608"/>
      <c r="N268" s="608"/>
      <c r="O268" s="608"/>
      <c r="P268" s="517"/>
      <c r="Q268" s="609"/>
      <c r="R268" s="610"/>
      <c r="S268" s="609"/>
      <c r="T268" s="516"/>
      <c r="U268" s="639"/>
      <c r="V268" s="416"/>
    </row>
    <row r="269" spans="1:22" x14ac:dyDescent="0.3">
      <c r="A269" s="442"/>
      <c r="B269" s="521" t="s">
        <v>170</v>
      </c>
      <c r="C269" s="443"/>
      <c r="D269" s="443"/>
      <c r="E269" s="443"/>
      <c r="F269" s="443"/>
      <c r="G269" s="443"/>
      <c r="H269" s="611"/>
      <c r="I269" s="611"/>
      <c r="J269" s="611"/>
      <c r="K269" s="611"/>
      <c r="L269" s="611"/>
      <c r="M269" s="611"/>
      <c r="N269" s="611"/>
      <c r="O269" s="611"/>
      <c r="P269" s="566" t="s">
        <v>105</v>
      </c>
      <c r="Q269" s="522" t="s">
        <v>106</v>
      </c>
      <c r="R269" s="566" t="s">
        <v>114</v>
      </c>
      <c r="S269" s="522" t="s">
        <v>106</v>
      </c>
      <c r="T269" s="443"/>
      <c r="U269" s="446"/>
      <c r="V269" s="416"/>
    </row>
    <row r="270" spans="1:22" s="431" customFormat="1" x14ac:dyDescent="0.3">
      <c r="A270" s="432"/>
      <c r="B270" s="525" t="s">
        <v>91</v>
      </c>
      <c r="C270" s="447"/>
      <c r="D270" s="447"/>
      <c r="E270" s="447"/>
      <c r="F270" s="447"/>
      <c r="G270" s="447"/>
      <c r="H270" s="612"/>
      <c r="I270" s="612"/>
      <c r="J270" s="612"/>
      <c r="K270" s="612"/>
      <c r="L270" s="612"/>
      <c r="M270" s="612"/>
      <c r="N270" s="612"/>
      <c r="O270" s="612"/>
      <c r="P270" s="525">
        <v>0</v>
      </c>
      <c r="Q270" s="607">
        <v>0</v>
      </c>
      <c r="R270" s="526">
        <v>0</v>
      </c>
      <c r="S270" s="607">
        <v>0</v>
      </c>
      <c r="T270" s="447"/>
      <c r="U270" s="641"/>
      <c r="V270" s="430"/>
    </row>
    <row r="271" spans="1:22" s="431" customFormat="1" x14ac:dyDescent="0.3">
      <c r="A271" s="449"/>
      <c r="B271" s="514" t="s">
        <v>92</v>
      </c>
      <c r="C271" s="450"/>
      <c r="D271" s="450"/>
      <c r="E271" s="450"/>
      <c r="F271" s="450"/>
      <c r="G271" s="450"/>
      <c r="H271" s="604"/>
      <c r="I271" s="604"/>
      <c r="J271" s="604"/>
      <c r="K271" s="604"/>
      <c r="L271" s="604"/>
      <c r="M271" s="604"/>
      <c r="N271" s="604"/>
      <c r="O271" s="604"/>
      <c r="P271" s="514">
        <v>0</v>
      </c>
      <c r="Q271" s="602">
        <v>0</v>
      </c>
      <c r="R271" s="515">
        <v>0</v>
      </c>
      <c r="S271" s="602">
        <v>0</v>
      </c>
      <c r="T271" s="450"/>
      <c r="U271" s="452"/>
      <c r="V271" s="430"/>
    </row>
    <row r="272" spans="1:22" s="431" customFormat="1" x14ac:dyDescent="0.3">
      <c r="A272" s="449"/>
      <c r="B272" s="514" t="s">
        <v>93</v>
      </c>
      <c r="C272" s="450"/>
      <c r="D272" s="450"/>
      <c r="E272" s="450"/>
      <c r="F272" s="450"/>
      <c r="G272" s="450"/>
      <c r="H272" s="604"/>
      <c r="I272" s="604"/>
      <c r="J272" s="604"/>
      <c r="K272" s="604"/>
      <c r="L272" s="604"/>
      <c r="M272" s="604"/>
      <c r="N272" s="604"/>
      <c r="O272" s="604"/>
      <c r="P272" s="514">
        <v>0</v>
      </c>
      <c r="Q272" s="602">
        <v>0</v>
      </c>
      <c r="R272" s="515">
        <v>0</v>
      </c>
      <c r="S272" s="602">
        <v>0</v>
      </c>
      <c r="T272" s="450"/>
      <c r="U272" s="452"/>
      <c r="V272" s="430"/>
    </row>
    <row r="273" spans="1:22" s="431" customFormat="1" x14ac:dyDescent="0.3">
      <c r="A273" s="449"/>
      <c r="B273" s="514" t="s">
        <v>163</v>
      </c>
      <c r="C273" s="450"/>
      <c r="D273" s="450"/>
      <c r="E273" s="450"/>
      <c r="F273" s="450"/>
      <c r="G273" s="450"/>
      <c r="H273" s="604"/>
      <c r="I273" s="604"/>
      <c r="J273" s="604"/>
      <c r="K273" s="604"/>
      <c r="L273" s="604"/>
      <c r="M273" s="604"/>
      <c r="N273" s="604"/>
      <c r="O273" s="604"/>
      <c r="P273" s="514">
        <v>0</v>
      </c>
      <c r="Q273" s="602">
        <v>0</v>
      </c>
      <c r="R273" s="515">
        <v>0</v>
      </c>
      <c r="S273" s="602">
        <v>0</v>
      </c>
      <c r="T273" s="450"/>
      <c r="U273" s="452"/>
      <c r="V273" s="430"/>
    </row>
    <row r="274" spans="1:22" s="431" customFormat="1" x14ac:dyDescent="0.3">
      <c r="A274" s="449"/>
      <c r="B274" s="514" t="s">
        <v>164</v>
      </c>
      <c r="C274" s="450"/>
      <c r="D274" s="450"/>
      <c r="E274" s="450"/>
      <c r="F274" s="450"/>
      <c r="G274" s="450"/>
      <c r="H274" s="604"/>
      <c r="I274" s="604"/>
      <c r="J274" s="604"/>
      <c r="K274" s="604"/>
      <c r="L274" s="604"/>
      <c r="M274" s="604"/>
      <c r="N274" s="604"/>
      <c r="O274" s="604"/>
      <c r="P274" s="514">
        <v>0</v>
      </c>
      <c r="Q274" s="602">
        <v>0</v>
      </c>
      <c r="R274" s="515">
        <v>0</v>
      </c>
      <c r="S274" s="602">
        <v>0</v>
      </c>
      <c r="T274" s="450"/>
      <c r="U274" s="452"/>
      <c r="V274" s="430"/>
    </row>
    <row r="275" spans="1:22" s="431" customFormat="1" x14ac:dyDescent="0.3">
      <c r="A275" s="449"/>
      <c r="B275" s="514" t="s">
        <v>165</v>
      </c>
      <c r="C275" s="450"/>
      <c r="D275" s="450"/>
      <c r="E275" s="450"/>
      <c r="F275" s="450"/>
      <c r="G275" s="450"/>
      <c r="H275" s="604"/>
      <c r="I275" s="604"/>
      <c r="J275" s="604"/>
      <c r="K275" s="604"/>
      <c r="L275" s="604"/>
      <c r="M275" s="604"/>
      <c r="N275" s="604"/>
      <c r="O275" s="604"/>
      <c r="P275" s="514">
        <v>0</v>
      </c>
      <c r="Q275" s="602">
        <v>0</v>
      </c>
      <c r="R275" s="515">
        <v>0</v>
      </c>
      <c r="S275" s="602">
        <v>0</v>
      </c>
      <c r="T275" s="450"/>
      <c r="U275" s="452"/>
      <c r="V275" s="430"/>
    </row>
    <row r="276" spans="1:22" s="431" customFormat="1" x14ac:dyDescent="0.3">
      <c r="A276" s="449"/>
      <c r="B276" s="514" t="s">
        <v>166</v>
      </c>
      <c r="C276" s="450"/>
      <c r="D276" s="450"/>
      <c r="E276" s="450"/>
      <c r="F276" s="450"/>
      <c r="G276" s="450"/>
      <c r="H276" s="604"/>
      <c r="I276" s="604"/>
      <c r="J276" s="604"/>
      <c r="K276" s="604"/>
      <c r="L276" s="604"/>
      <c r="M276" s="604"/>
      <c r="N276" s="604"/>
      <c r="O276" s="604"/>
      <c r="P276" s="514">
        <v>0</v>
      </c>
      <c r="Q276" s="602">
        <v>0</v>
      </c>
      <c r="R276" s="515">
        <v>0</v>
      </c>
      <c r="S276" s="602">
        <v>0</v>
      </c>
      <c r="T276" s="450"/>
      <c r="U276" s="452"/>
      <c r="V276" s="430"/>
    </row>
    <row r="277" spans="1:22" s="431" customFormat="1" x14ac:dyDescent="0.3">
      <c r="A277" s="449"/>
      <c r="B277" s="514" t="s">
        <v>167</v>
      </c>
      <c r="C277" s="450"/>
      <c r="D277" s="450"/>
      <c r="E277" s="450"/>
      <c r="F277" s="450"/>
      <c r="G277" s="450"/>
      <c r="H277" s="604"/>
      <c r="I277" s="604"/>
      <c r="J277" s="604"/>
      <c r="K277" s="604"/>
      <c r="L277" s="604"/>
      <c r="M277" s="604"/>
      <c r="N277" s="604"/>
      <c r="O277" s="604"/>
      <c r="P277" s="514">
        <v>0</v>
      </c>
      <c r="Q277" s="602">
        <v>0</v>
      </c>
      <c r="R277" s="515">
        <v>0</v>
      </c>
      <c r="S277" s="602">
        <v>0</v>
      </c>
      <c r="T277" s="450"/>
      <c r="U277" s="452"/>
      <c r="V277" s="430"/>
    </row>
    <row r="278" spans="1:22" s="431" customFormat="1" x14ac:dyDescent="0.3">
      <c r="A278" s="449"/>
      <c r="B278" s="514"/>
      <c r="C278" s="450"/>
      <c r="D278" s="450"/>
      <c r="E278" s="450"/>
      <c r="F278" s="450"/>
      <c r="G278" s="450"/>
      <c r="H278" s="604"/>
      <c r="I278" s="604"/>
      <c r="J278" s="604"/>
      <c r="K278" s="604"/>
      <c r="L278" s="604"/>
      <c r="M278" s="604"/>
      <c r="N278" s="604"/>
      <c r="O278" s="604"/>
      <c r="P278" s="514"/>
      <c r="Q278" s="602"/>
      <c r="R278" s="515"/>
      <c r="S278" s="602"/>
      <c r="T278" s="450"/>
      <c r="U278" s="452"/>
      <c r="V278" s="430"/>
    </row>
    <row r="279" spans="1:22" s="431" customFormat="1" x14ac:dyDescent="0.3">
      <c r="A279" s="449"/>
      <c r="B279" s="450" t="s">
        <v>120</v>
      </c>
      <c r="C279" s="450"/>
      <c r="D279" s="450"/>
      <c r="E279" s="450"/>
      <c r="F279" s="450"/>
      <c r="G279" s="450"/>
      <c r="H279" s="604"/>
      <c r="I279" s="604"/>
      <c r="J279" s="604"/>
      <c r="K279" s="604"/>
      <c r="L279" s="604"/>
      <c r="M279" s="604"/>
      <c r="N279" s="604"/>
      <c r="O279" s="604"/>
      <c r="P279" s="514">
        <f>SUM(P270:P277)</f>
        <v>0</v>
      </c>
      <c r="Q279" s="602">
        <f>SUM(Q270:Q278)</f>
        <v>0</v>
      </c>
      <c r="R279" s="515">
        <f>SUM(R270:R277)</f>
        <v>0</v>
      </c>
      <c r="S279" s="602">
        <f>SUM(S270:S278)</f>
        <v>0</v>
      </c>
      <c r="T279" s="450"/>
      <c r="U279" s="452"/>
      <c r="V279" s="430"/>
    </row>
    <row r="280" spans="1:22" s="431" customFormat="1" x14ac:dyDescent="0.3">
      <c r="A280" s="449"/>
      <c r="B280" s="450"/>
      <c r="C280" s="450"/>
      <c r="D280" s="450"/>
      <c r="E280" s="450"/>
      <c r="F280" s="450"/>
      <c r="G280" s="450"/>
      <c r="H280" s="604"/>
      <c r="I280" s="604"/>
      <c r="J280" s="604"/>
      <c r="K280" s="604"/>
      <c r="L280" s="604"/>
      <c r="M280" s="604"/>
      <c r="N280" s="604"/>
      <c r="O280" s="604"/>
      <c r="P280" s="514"/>
      <c r="Q280" s="602"/>
      <c r="R280" s="515"/>
      <c r="S280" s="602"/>
      <c r="T280" s="450"/>
      <c r="U280" s="452"/>
      <c r="V280" s="430"/>
    </row>
    <row r="281" spans="1:22" s="431" customFormat="1" x14ac:dyDescent="0.3">
      <c r="A281" s="449"/>
      <c r="B281" s="455" t="s">
        <v>171</v>
      </c>
      <c r="C281" s="450"/>
      <c r="D281" s="450"/>
      <c r="E281" s="450"/>
      <c r="F281" s="450"/>
      <c r="G281" s="450"/>
      <c r="H281" s="604"/>
      <c r="I281" s="604"/>
      <c r="J281" s="604"/>
      <c r="K281" s="604"/>
      <c r="L281" s="604"/>
      <c r="M281" s="604"/>
      <c r="N281" s="604"/>
      <c r="O281" s="604"/>
      <c r="P281" s="613">
        <f>P279+P267+P255</f>
        <v>2863</v>
      </c>
      <c r="Q281" s="602"/>
      <c r="R281" s="614">
        <f>+R279+R267+R255</f>
        <v>364349</v>
      </c>
      <c r="S281" s="602"/>
      <c r="T281" s="450"/>
      <c r="U281" s="452"/>
      <c r="V281" s="430"/>
    </row>
    <row r="282" spans="1:22" s="431" customFormat="1" x14ac:dyDescent="0.3">
      <c r="A282" s="432"/>
      <c r="B282" s="447"/>
      <c r="C282" s="447"/>
      <c r="D282" s="447"/>
      <c r="E282" s="447"/>
      <c r="F282" s="447"/>
      <c r="G282" s="447"/>
      <c r="H282" s="612"/>
      <c r="I282" s="612"/>
      <c r="J282" s="612"/>
      <c r="K282" s="612"/>
      <c r="L282" s="612"/>
      <c r="M282" s="612"/>
      <c r="N282" s="612"/>
      <c r="O282" s="612"/>
      <c r="P282" s="612"/>
      <c r="Q282" s="612"/>
      <c r="R282" s="526"/>
      <c r="S282" s="612"/>
      <c r="T282" s="447"/>
      <c r="U282" s="641"/>
      <c r="V282" s="430"/>
    </row>
    <row r="283" spans="1:22" s="431" customFormat="1" x14ac:dyDescent="0.3">
      <c r="A283" s="432"/>
      <c r="B283" s="447"/>
      <c r="C283" s="433"/>
      <c r="D283" s="433"/>
      <c r="E283" s="433"/>
      <c r="F283" s="433"/>
      <c r="G283" s="433"/>
      <c r="H283" s="615"/>
      <c r="I283" s="615"/>
      <c r="J283" s="615"/>
      <c r="K283" s="615"/>
      <c r="L283" s="615"/>
      <c r="M283" s="615"/>
      <c r="N283" s="615"/>
      <c r="O283" s="615"/>
      <c r="P283" s="615"/>
      <c r="Q283" s="615"/>
      <c r="R283" s="616"/>
      <c r="S283" s="615"/>
      <c r="T283" s="433"/>
      <c r="U283" s="641"/>
      <c r="V283" s="430"/>
    </row>
    <row r="284" spans="1:22" s="431" customFormat="1" x14ac:dyDescent="0.3">
      <c r="A284" s="432"/>
      <c r="B284" s="428" t="s">
        <v>94</v>
      </c>
      <c r="C284" s="433"/>
      <c r="D284" s="433"/>
      <c r="E284" s="433"/>
      <c r="F284" s="437" t="s">
        <v>100</v>
      </c>
      <c r="G284" s="433"/>
      <c r="H284" s="428" t="s">
        <v>102</v>
      </c>
      <c r="I284" s="433"/>
      <c r="J284" s="433"/>
      <c r="K284" s="433"/>
      <c r="L284" s="433"/>
      <c r="M284" s="433"/>
      <c r="N284" s="433"/>
      <c r="O284" s="433"/>
      <c r="P284" s="433"/>
      <c r="Q284" s="433"/>
      <c r="R284" s="433"/>
      <c r="S284" s="433"/>
      <c r="T284" s="433"/>
      <c r="U284" s="641"/>
      <c r="V284" s="430"/>
    </row>
    <row r="285" spans="1:22" s="431" customFormat="1" x14ac:dyDescent="0.3">
      <c r="A285" s="432"/>
      <c r="B285" s="428" t="s">
        <v>317</v>
      </c>
      <c r="C285" s="428"/>
      <c r="D285" s="428"/>
      <c r="E285" s="428"/>
      <c r="F285" s="617" t="s">
        <v>269</v>
      </c>
      <c r="G285" s="428"/>
      <c r="H285" s="428" t="s">
        <v>357</v>
      </c>
      <c r="I285" s="433"/>
      <c r="J285" s="433"/>
      <c r="K285" s="433"/>
      <c r="L285" s="433"/>
      <c r="M285" s="433"/>
      <c r="N285" s="433"/>
      <c r="O285" s="433"/>
      <c r="P285" s="433"/>
      <c r="Q285" s="433"/>
      <c r="R285" s="433"/>
      <c r="S285" s="433"/>
      <c r="T285" s="433"/>
      <c r="U285" s="641"/>
      <c r="V285" s="430"/>
    </row>
    <row r="286" spans="1:22" s="431" customFormat="1" x14ac:dyDescent="0.3">
      <c r="A286" s="432"/>
      <c r="B286" s="428" t="s">
        <v>318</v>
      </c>
      <c r="C286" s="428"/>
      <c r="D286" s="428"/>
      <c r="E286" s="428"/>
      <c r="F286" s="617" t="s">
        <v>153</v>
      </c>
      <c r="G286" s="428"/>
      <c r="H286" s="428" t="s">
        <v>358</v>
      </c>
      <c r="I286" s="433"/>
      <c r="J286" s="433"/>
      <c r="K286" s="433"/>
      <c r="L286" s="433"/>
      <c r="M286" s="433"/>
      <c r="N286" s="433"/>
      <c r="O286" s="433"/>
      <c r="P286" s="433"/>
      <c r="Q286" s="433"/>
      <c r="R286" s="433"/>
      <c r="S286" s="433"/>
      <c r="T286" s="433"/>
      <c r="U286" s="641"/>
      <c r="V286" s="430"/>
    </row>
    <row r="287" spans="1:22" s="431" customFormat="1" x14ac:dyDescent="0.3">
      <c r="A287" s="432"/>
      <c r="B287" s="428"/>
      <c r="C287" s="428"/>
      <c r="D287" s="428"/>
      <c r="E287" s="428"/>
      <c r="F287" s="617"/>
      <c r="G287" s="428"/>
      <c r="H287" s="428"/>
      <c r="I287" s="433"/>
      <c r="J287" s="433"/>
      <c r="K287" s="433"/>
      <c r="L287" s="433"/>
      <c r="M287" s="433"/>
      <c r="N287" s="433"/>
      <c r="O287" s="433"/>
      <c r="P287" s="433"/>
      <c r="Q287" s="433"/>
      <c r="R287" s="433"/>
      <c r="S287" s="433"/>
      <c r="T287" s="433"/>
      <c r="U287" s="641"/>
      <c r="V287" s="430"/>
    </row>
    <row r="288" spans="1:22" s="431" customFormat="1" x14ac:dyDescent="0.3">
      <c r="A288" s="432"/>
      <c r="B288" s="447" t="s">
        <v>354</v>
      </c>
      <c r="C288" s="428"/>
      <c r="D288" s="428"/>
      <c r="E288" s="428"/>
      <c r="F288" s="617"/>
      <c r="G288" s="428"/>
      <c r="H288" s="428"/>
      <c r="I288" s="433"/>
      <c r="J288" s="433"/>
      <c r="K288" s="433"/>
      <c r="L288" s="433"/>
      <c r="M288" s="433"/>
      <c r="N288" s="433"/>
      <c r="O288" s="433"/>
      <c r="P288" s="433"/>
      <c r="Q288" s="433"/>
      <c r="R288" s="433"/>
      <c r="S288" s="433"/>
      <c r="T288" s="433"/>
      <c r="U288" s="641"/>
      <c r="V288" s="430"/>
    </row>
    <row r="289" spans="1:22" s="431" customFormat="1" x14ac:dyDescent="0.3">
      <c r="A289" s="432"/>
      <c r="B289" s="447" t="s">
        <v>359</v>
      </c>
      <c r="C289" s="428"/>
      <c r="D289" s="428"/>
      <c r="E289" s="428"/>
      <c r="F289" s="617"/>
      <c r="G289" s="428"/>
      <c r="H289" s="428"/>
      <c r="I289" s="433"/>
      <c r="J289" s="433"/>
      <c r="K289" s="433"/>
      <c r="L289" s="433"/>
      <c r="M289" s="433"/>
      <c r="N289" s="433"/>
      <c r="O289" s="433"/>
      <c r="P289" s="433"/>
      <c r="Q289" s="433"/>
      <c r="R289" s="433"/>
      <c r="S289" s="433"/>
      <c r="T289" s="433"/>
      <c r="U289" s="641"/>
      <c r="V289" s="430"/>
    </row>
    <row r="290" spans="1:22" s="431" customFormat="1" x14ac:dyDescent="0.3">
      <c r="A290" s="432"/>
      <c r="B290" s="447" t="s">
        <v>352</v>
      </c>
      <c r="C290" s="428"/>
      <c r="D290" s="428"/>
      <c r="E290" s="428"/>
      <c r="F290" s="617"/>
      <c r="G290" s="428"/>
      <c r="H290" s="428"/>
      <c r="I290" s="433"/>
      <c r="J290" s="433"/>
      <c r="K290" s="433"/>
      <c r="L290" s="433"/>
      <c r="M290" s="433"/>
      <c r="N290" s="433"/>
      <c r="O290" s="433"/>
      <c r="P290" s="433"/>
      <c r="Q290" s="433"/>
      <c r="R290" s="433"/>
      <c r="S290" s="433"/>
      <c r="T290" s="433"/>
      <c r="U290" s="641"/>
      <c r="V290" s="430"/>
    </row>
    <row r="291" spans="1:22" s="431" customFormat="1" x14ac:dyDescent="0.3">
      <c r="A291" s="432"/>
      <c r="B291" s="447" t="s">
        <v>351</v>
      </c>
      <c r="C291" s="428"/>
      <c r="D291" s="428"/>
      <c r="E291" s="428"/>
      <c r="F291" s="617"/>
      <c r="G291" s="428"/>
      <c r="H291" s="428"/>
      <c r="I291" s="433"/>
      <c r="J291" s="433"/>
      <c r="K291" s="433"/>
      <c r="L291" s="433"/>
      <c r="M291" s="433"/>
      <c r="N291" s="433"/>
      <c r="O291" s="433"/>
      <c r="P291" s="433"/>
      <c r="Q291" s="433"/>
      <c r="R291" s="433"/>
      <c r="S291" s="433"/>
      <c r="T291" s="433"/>
      <c r="U291" s="641"/>
      <c r="V291" s="430"/>
    </row>
    <row r="292" spans="1:22" x14ac:dyDescent="0.3">
      <c r="A292" s="418"/>
      <c r="B292" s="618"/>
      <c r="C292" s="619"/>
      <c r="D292" s="619"/>
      <c r="E292" s="619"/>
      <c r="F292" s="620"/>
      <c r="G292" s="619"/>
      <c r="H292" s="619"/>
      <c r="I292" s="621"/>
      <c r="J292" s="621"/>
      <c r="K292" s="621"/>
      <c r="L292" s="420"/>
      <c r="M292" s="420"/>
      <c r="N292" s="420"/>
      <c r="O292" s="420"/>
      <c r="P292" s="420"/>
      <c r="Q292" s="420"/>
      <c r="R292" s="420"/>
      <c r="S292" s="420"/>
      <c r="T292" s="420"/>
      <c r="U292" s="639"/>
      <c r="V292" s="416"/>
    </row>
    <row r="293" spans="1:22" ht="18" x14ac:dyDescent="0.35">
      <c r="A293" s="418"/>
      <c r="B293" s="622" t="s">
        <v>353</v>
      </c>
      <c r="C293" s="619"/>
      <c r="D293" s="619"/>
      <c r="E293" s="619"/>
      <c r="F293" s="619"/>
      <c r="G293" s="619"/>
      <c r="H293" s="621"/>
      <c r="I293" s="621"/>
      <c r="J293" s="621"/>
      <c r="K293" s="621"/>
      <c r="L293" s="420"/>
      <c r="M293" s="420"/>
      <c r="N293" s="623"/>
      <c r="O293" s="420"/>
      <c r="P293" s="624" t="s">
        <v>356</v>
      </c>
      <c r="Q293" s="420"/>
      <c r="R293" s="420"/>
      <c r="S293" s="420"/>
      <c r="T293" s="420"/>
      <c r="U293" s="639"/>
      <c r="V293" s="416"/>
    </row>
    <row r="294" spans="1:22" x14ac:dyDescent="0.3">
      <c r="A294" s="418"/>
      <c r="B294" s="619"/>
      <c r="C294" s="619"/>
      <c r="D294" s="619"/>
      <c r="E294" s="619"/>
      <c r="F294" s="619"/>
      <c r="G294" s="619"/>
      <c r="H294" s="621"/>
      <c r="I294" s="621"/>
      <c r="J294" s="621"/>
      <c r="K294" s="621"/>
      <c r="L294" s="420"/>
      <c r="M294" s="420"/>
      <c r="N294" s="420"/>
      <c r="O294" s="420"/>
      <c r="P294" s="420"/>
      <c r="Q294" s="420"/>
      <c r="R294" s="420"/>
      <c r="S294" s="420"/>
      <c r="T294" s="420"/>
      <c r="U294" s="639"/>
      <c r="V294" s="416"/>
    </row>
    <row r="295" spans="1:22" ht="18.600000000000001" thickBot="1" x14ac:dyDescent="0.4">
      <c r="A295" s="418"/>
      <c r="B295" s="625" t="str">
        <f>B195</f>
        <v>PM11 INVESTOR REPORT QUARTER ENDING SEPTEMBER 2019</v>
      </c>
      <c r="C295" s="619"/>
      <c r="D295" s="619"/>
      <c r="E295" s="619"/>
      <c r="F295" s="619"/>
      <c r="G295" s="619"/>
      <c r="H295" s="621"/>
      <c r="I295" s="621"/>
      <c r="J295" s="621"/>
      <c r="K295" s="621"/>
      <c r="L295" s="420"/>
      <c r="M295" s="420"/>
      <c r="N295" s="420"/>
      <c r="O295" s="420"/>
      <c r="P295" s="420"/>
      <c r="Q295" s="420"/>
      <c r="R295" s="420"/>
      <c r="S295" s="420"/>
      <c r="T295" s="420"/>
      <c r="U295" s="556"/>
      <c r="V295" s="416"/>
    </row>
    <row r="296" spans="1:22" x14ac:dyDescent="0.3">
      <c r="A296" s="626"/>
      <c r="B296" s="626"/>
      <c r="C296" s="626"/>
      <c r="D296" s="626"/>
      <c r="E296" s="626"/>
      <c r="F296" s="626"/>
      <c r="G296" s="626"/>
      <c r="H296" s="626"/>
      <c r="I296" s="626"/>
      <c r="J296" s="626"/>
      <c r="K296" s="626"/>
      <c r="L296" s="626"/>
      <c r="M296" s="626"/>
      <c r="N296" s="626"/>
      <c r="O296" s="626"/>
      <c r="P296" s="626"/>
      <c r="Q296" s="626"/>
      <c r="R296" s="626"/>
      <c r="S296" s="626"/>
      <c r="T296" s="626"/>
      <c r="U296" s="626"/>
    </row>
  </sheetData>
  <hyperlinks>
    <hyperlink ref="J9" r:id="rId1" display="http://www.paragon-group.co.uk" xr:uid="{CB17A1B4-684E-4F8E-8369-2F7097DD552F}"/>
    <hyperlink ref="P293" r:id="rId2" display="http://www.paragon-group.co.uk" xr:uid="{FB399CEB-703A-46BF-A614-7789BCB94A99}"/>
    <hyperlink ref="N231" r:id="rId3" display="http://www.paragon-group.co.uk" xr:uid="{5E4AE432-5D30-4972-905F-BE8CEC9A3BA4}"/>
  </hyperlinks>
  <printOptions horizontalCentered="1" verticalCentered="1"/>
  <pageMargins left="0.19685039370078741" right="0.19685039370078741" top="0.27559055118110237" bottom="0.27559055118110237" header="0" footer="0"/>
  <pageSetup scale="40" orientation="landscape" r:id="rId4"/>
  <headerFooter alignWithMargins="0"/>
  <rowBreaks count="3" manualBreakCount="3">
    <brk id="63" max="20" man="1"/>
    <brk id="135" max="20" man="1"/>
    <brk id="195" max="20" man="1"/>
  </rowBreaks>
  <drawing r:id="rId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DE43D-E105-4C58-9387-F2533E253EF3}">
  <sheetPr>
    <tabColor rgb="FF89CB31"/>
  </sheetPr>
  <dimension ref="A1:X296"/>
  <sheetViews>
    <sheetView showGridLines="0" showOutlineSymbols="0" zoomScale="80" zoomScaleNormal="80" workbookViewId="0"/>
  </sheetViews>
  <sheetFormatPr defaultColWidth="9.81640625" defaultRowHeight="15.6" x14ac:dyDescent="0.3"/>
  <cols>
    <col min="1" max="1" width="4" style="417" customWidth="1"/>
    <col min="2" max="2" width="71.08984375" style="417" customWidth="1"/>
    <col min="3" max="3" width="2.08984375" style="417" customWidth="1"/>
    <col min="4" max="4" width="19.1796875" style="417" customWidth="1"/>
    <col min="5" max="5" width="2.08984375" style="417" customWidth="1"/>
    <col min="6" max="6" width="25.08984375" style="417" customWidth="1"/>
    <col min="7" max="7" width="2.08984375" style="417" customWidth="1"/>
    <col min="8" max="8" width="16.08984375" style="417" customWidth="1"/>
    <col min="9" max="9" width="2.08984375" style="417" customWidth="1"/>
    <col min="10" max="10" width="17.81640625" style="417" customWidth="1"/>
    <col min="11" max="11" width="2.1796875" style="417" customWidth="1"/>
    <col min="12" max="12" width="14.81640625" style="417" customWidth="1"/>
    <col min="13" max="13" width="2.1796875" style="417" customWidth="1"/>
    <col min="14" max="14" width="15.54296875" style="417" customWidth="1"/>
    <col min="15" max="15" width="2.08984375" style="417" customWidth="1"/>
    <col min="16" max="16" width="15.54296875" style="417" customWidth="1"/>
    <col min="17" max="18" width="12.81640625" style="417" customWidth="1"/>
    <col min="19" max="19" width="7.81640625" style="417" customWidth="1"/>
    <col min="20" max="20" width="14.81640625" style="417" customWidth="1"/>
    <col min="21" max="21" width="11.81640625" style="417" customWidth="1"/>
    <col min="22" max="16384" width="9.81640625" style="417"/>
  </cols>
  <sheetData>
    <row r="1" spans="1:22" ht="21" x14ac:dyDescent="0.4">
      <c r="A1" s="413"/>
      <c r="B1" s="414" t="s">
        <v>228</v>
      </c>
      <c r="C1" s="415"/>
      <c r="D1" s="415"/>
      <c r="E1" s="415"/>
      <c r="F1" s="415"/>
      <c r="G1" s="415"/>
      <c r="H1" s="415"/>
      <c r="I1" s="415"/>
      <c r="J1" s="415"/>
      <c r="K1" s="415"/>
      <c r="L1" s="415"/>
      <c r="M1" s="415"/>
      <c r="N1" s="415"/>
      <c r="O1" s="415"/>
      <c r="P1" s="415"/>
      <c r="Q1" s="415"/>
      <c r="R1" s="415"/>
      <c r="S1" s="415"/>
      <c r="T1" s="415"/>
      <c r="U1" s="638"/>
      <c r="V1" s="416"/>
    </row>
    <row r="2" spans="1:22" x14ac:dyDescent="0.3">
      <c r="A2" s="418"/>
      <c r="B2" s="419"/>
      <c r="C2" s="420"/>
      <c r="D2" s="420"/>
      <c r="E2" s="420"/>
      <c r="F2" s="420"/>
      <c r="G2" s="420"/>
      <c r="H2" s="420"/>
      <c r="I2" s="420"/>
      <c r="J2" s="420"/>
      <c r="K2" s="420"/>
      <c r="L2" s="420"/>
      <c r="M2" s="420"/>
      <c r="N2" s="420"/>
      <c r="O2" s="420"/>
      <c r="P2" s="420"/>
      <c r="Q2" s="420"/>
      <c r="R2" s="420"/>
      <c r="S2" s="420"/>
      <c r="T2" s="420"/>
      <c r="U2" s="639"/>
      <c r="V2" s="416"/>
    </row>
    <row r="3" spans="1:22" x14ac:dyDescent="0.3">
      <c r="A3" s="421"/>
      <c r="B3" s="422" t="s">
        <v>229</v>
      </c>
      <c r="C3" s="420"/>
      <c r="D3" s="420"/>
      <c r="E3" s="420"/>
      <c r="F3" s="420"/>
      <c r="G3" s="420"/>
      <c r="H3" s="420"/>
      <c r="I3" s="420"/>
      <c r="J3" s="420"/>
      <c r="K3" s="420"/>
      <c r="L3" s="420"/>
      <c r="M3" s="420"/>
      <c r="N3" s="420"/>
      <c r="O3" s="420"/>
      <c r="P3" s="420"/>
      <c r="Q3" s="420"/>
      <c r="R3" s="420"/>
      <c r="S3" s="420"/>
      <c r="T3" s="420"/>
      <c r="U3" s="639"/>
      <c r="V3" s="416"/>
    </row>
    <row r="4" spans="1:22" x14ac:dyDescent="0.3">
      <c r="A4" s="418"/>
      <c r="B4" s="419"/>
      <c r="C4" s="420"/>
      <c r="D4" s="420"/>
      <c r="E4" s="420"/>
      <c r="F4" s="420"/>
      <c r="G4" s="420"/>
      <c r="H4" s="420"/>
      <c r="I4" s="420"/>
      <c r="J4" s="420"/>
      <c r="K4" s="420"/>
      <c r="L4" s="420"/>
      <c r="M4" s="420"/>
      <c r="N4" s="420"/>
      <c r="O4" s="420"/>
      <c r="P4" s="420"/>
      <c r="Q4" s="420"/>
      <c r="R4" s="420"/>
      <c r="S4" s="420"/>
      <c r="T4" s="420"/>
      <c r="U4" s="639"/>
      <c r="V4" s="416"/>
    </row>
    <row r="5" spans="1:22" x14ac:dyDescent="0.3">
      <c r="A5" s="418"/>
      <c r="B5" s="423" t="s">
        <v>143</v>
      </c>
      <c r="C5" s="420"/>
      <c r="D5" s="420"/>
      <c r="E5" s="420"/>
      <c r="F5" s="420"/>
      <c r="G5" s="420"/>
      <c r="H5" s="420"/>
      <c r="I5" s="420"/>
      <c r="J5" s="420"/>
      <c r="K5" s="420"/>
      <c r="L5" s="420"/>
      <c r="M5" s="420"/>
      <c r="N5" s="420"/>
      <c r="O5" s="420"/>
      <c r="P5" s="420"/>
      <c r="Q5" s="420"/>
      <c r="R5" s="420"/>
      <c r="S5" s="420"/>
      <c r="T5" s="420"/>
      <c r="U5" s="639"/>
      <c r="V5" s="416"/>
    </row>
    <row r="6" spans="1:22" x14ac:dyDescent="0.3">
      <c r="A6" s="418"/>
      <c r="B6" s="423" t="s">
        <v>145</v>
      </c>
      <c r="C6" s="420"/>
      <c r="D6" s="420"/>
      <c r="E6" s="420"/>
      <c r="F6" s="420"/>
      <c r="G6" s="420"/>
      <c r="H6" s="420"/>
      <c r="I6" s="420"/>
      <c r="J6" s="420"/>
      <c r="K6" s="420"/>
      <c r="L6" s="420"/>
      <c r="M6" s="420"/>
      <c r="N6" s="420"/>
      <c r="O6" s="420"/>
      <c r="P6" s="420"/>
      <c r="Q6" s="420"/>
      <c r="R6" s="420"/>
      <c r="S6" s="420"/>
      <c r="T6" s="420"/>
      <c r="U6" s="639"/>
      <c r="V6" s="416"/>
    </row>
    <row r="7" spans="1:22" x14ac:dyDescent="0.3">
      <c r="A7" s="418"/>
      <c r="B7" s="423" t="s">
        <v>144</v>
      </c>
      <c r="C7" s="420"/>
      <c r="D7" s="420"/>
      <c r="E7" s="420"/>
      <c r="F7" s="420"/>
      <c r="G7" s="420"/>
      <c r="H7" s="420"/>
      <c r="I7" s="420"/>
      <c r="J7" s="420"/>
      <c r="K7" s="420"/>
      <c r="L7" s="420"/>
      <c r="M7" s="420"/>
      <c r="N7" s="420"/>
      <c r="O7" s="420"/>
      <c r="P7" s="420"/>
      <c r="Q7" s="420"/>
      <c r="R7" s="420"/>
      <c r="S7" s="420"/>
      <c r="T7" s="420"/>
      <c r="U7" s="639"/>
      <c r="V7" s="416"/>
    </row>
    <row r="8" spans="1:22" x14ac:dyDescent="0.3">
      <c r="A8" s="418"/>
      <c r="B8" s="424"/>
      <c r="C8" s="420"/>
      <c r="D8" s="420"/>
      <c r="E8" s="420"/>
      <c r="F8" s="420"/>
      <c r="G8" s="420"/>
      <c r="H8" s="420"/>
      <c r="I8" s="420"/>
      <c r="J8" s="420"/>
      <c r="K8" s="420"/>
      <c r="L8" s="420"/>
      <c r="M8" s="420"/>
      <c r="N8" s="420"/>
      <c r="O8" s="420"/>
      <c r="P8" s="420"/>
      <c r="Q8" s="420"/>
      <c r="R8" s="420"/>
      <c r="S8" s="420"/>
      <c r="T8" s="420"/>
      <c r="U8" s="639"/>
      <c r="V8" s="416"/>
    </row>
    <row r="9" spans="1:22" x14ac:dyDescent="0.3">
      <c r="A9" s="418"/>
      <c r="B9" s="422" t="s">
        <v>173</v>
      </c>
      <c r="C9" s="420"/>
      <c r="D9" s="420"/>
      <c r="E9" s="420"/>
      <c r="F9" s="420"/>
      <c r="G9" s="420"/>
      <c r="H9" s="420"/>
      <c r="I9" s="420"/>
      <c r="J9" s="425" t="s">
        <v>356</v>
      </c>
      <c r="K9" s="420"/>
      <c r="L9" s="426"/>
      <c r="M9" s="420"/>
      <c r="N9" s="420"/>
      <c r="O9" s="420"/>
      <c r="P9" s="420"/>
      <c r="Q9" s="420"/>
      <c r="R9" s="420"/>
      <c r="S9" s="420"/>
      <c r="T9" s="420"/>
      <c r="U9" s="639"/>
      <c r="V9" s="416"/>
    </row>
    <row r="10" spans="1:22" x14ac:dyDescent="0.3">
      <c r="A10" s="418"/>
      <c r="B10" s="424"/>
      <c r="C10" s="427"/>
      <c r="D10" s="427"/>
      <c r="E10" s="427"/>
      <c r="F10" s="420"/>
      <c r="G10" s="420"/>
      <c r="H10" s="420"/>
      <c r="I10" s="420"/>
      <c r="J10" s="420"/>
      <c r="K10" s="420"/>
      <c r="L10" s="420"/>
      <c r="M10" s="420"/>
      <c r="N10" s="420"/>
      <c r="O10" s="420"/>
      <c r="P10" s="420"/>
      <c r="Q10" s="420"/>
      <c r="R10" s="420"/>
      <c r="S10" s="420"/>
      <c r="T10" s="420"/>
      <c r="U10" s="639"/>
      <c r="V10" s="416"/>
    </row>
    <row r="11" spans="1:22" x14ac:dyDescent="0.3">
      <c r="A11" s="418"/>
      <c r="B11" s="428" t="s">
        <v>0</v>
      </c>
      <c r="C11" s="420"/>
      <c r="D11" s="420"/>
      <c r="E11" s="420"/>
      <c r="F11" s="420"/>
      <c r="G11" s="420"/>
      <c r="H11" s="420"/>
      <c r="I11" s="420"/>
      <c r="J11" s="420"/>
      <c r="K11" s="420"/>
      <c r="L11" s="420"/>
      <c r="M11" s="420"/>
      <c r="N11" s="420"/>
      <c r="O11" s="420"/>
      <c r="P11" s="420"/>
      <c r="Q11" s="420"/>
      <c r="R11" s="420"/>
      <c r="S11" s="420"/>
      <c r="T11" s="420"/>
      <c r="U11" s="639"/>
      <c r="V11" s="416"/>
    </row>
    <row r="12" spans="1:22" ht="16.2" thickBot="1" x14ac:dyDescent="0.35">
      <c r="A12" s="418"/>
      <c r="B12" s="427"/>
      <c r="C12" s="420"/>
      <c r="D12" s="420"/>
      <c r="E12" s="420"/>
      <c r="F12" s="420"/>
      <c r="G12" s="420"/>
      <c r="H12" s="420"/>
      <c r="I12" s="420"/>
      <c r="J12" s="420"/>
      <c r="K12" s="420"/>
      <c r="L12" s="420"/>
      <c r="M12" s="420"/>
      <c r="N12" s="420"/>
      <c r="O12" s="420"/>
      <c r="P12" s="420"/>
      <c r="Q12" s="420"/>
      <c r="R12" s="420"/>
      <c r="S12" s="420"/>
      <c r="T12" s="420"/>
      <c r="U12" s="639"/>
      <c r="V12" s="416"/>
    </row>
    <row r="13" spans="1:22" s="431" customFormat="1" x14ac:dyDescent="0.3">
      <c r="A13" s="413"/>
      <c r="B13" s="429"/>
      <c r="C13" s="429"/>
      <c r="D13" s="429"/>
      <c r="E13" s="429"/>
      <c r="F13" s="429"/>
      <c r="G13" s="429"/>
      <c r="H13" s="429"/>
      <c r="I13" s="429"/>
      <c r="J13" s="429"/>
      <c r="K13" s="429"/>
      <c r="L13" s="429"/>
      <c r="M13" s="429"/>
      <c r="N13" s="429"/>
      <c r="O13" s="429"/>
      <c r="P13" s="429"/>
      <c r="Q13" s="429"/>
      <c r="R13" s="429"/>
      <c r="S13" s="429"/>
      <c r="T13" s="429"/>
      <c r="U13" s="640"/>
      <c r="V13" s="430"/>
    </row>
    <row r="14" spans="1:22" s="431" customFormat="1" x14ac:dyDescent="0.3">
      <c r="A14" s="432"/>
      <c r="B14" s="428" t="s">
        <v>1</v>
      </c>
      <c r="C14" s="433"/>
      <c r="D14" s="433"/>
      <c r="E14" s="433"/>
      <c r="F14" s="433"/>
      <c r="G14" s="433"/>
      <c r="H14" s="433"/>
      <c r="I14" s="433"/>
      <c r="J14" s="433"/>
      <c r="K14" s="433"/>
      <c r="L14" s="433"/>
      <c r="M14" s="433"/>
      <c r="N14" s="433"/>
      <c r="O14" s="433"/>
      <c r="P14" s="433"/>
      <c r="Q14" s="433"/>
      <c r="R14" s="433"/>
      <c r="S14" s="433"/>
      <c r="T14" s="434" t="s">
        <v>230</v>
      </c>
      <c r="U14" s="641"/>
      <c r="V14" s="430"/>
    </row>
    <row r="15" spans="1:22" s="431" customFormat="1" x14ac:dyDescent="0.3">
      <c r="A15" s="432"/>
      <c r="B15" s="428" t="s">
        <v>2</v>
      </c>
      <c r="C15" s="433"/>
      <c r="D15" s="433"/>
      <c r="E15" s="433"/>
      <c r="F15" s="433"/>
      <c r="G15" s="433"/>
      <c r="H15" s="435"/>
      <c r="I15" s="435"/>
      <c r="J15" s="435"/>
      <c r="K15" s="435"/>
      <c r="L15" s="435"/>
      <c r="M15" s="435"/>
      <c r="N15" s="435"/>
      <c r="O15" s="435"/>
      <c r="P15" s="435" t="s">
        <v>107</v>
      </c>
      <c r="Q15" s="436">
        <v>0.40749999999999997</v>
      </c>
      <c r="R15" s="437" t="s">
        <v>146</v>
      </c>
      <c r="S15" s="436">
        <v>0.59250000000000003</v>
      </c>
      <c r="T15" s="434"/>
      <c r="U15" s="641"/>
      <c r="V15" s="430"/>
    </row>
    <row r="16" spans="1:22" s="431" customFormat="1" x14ac:dyDescent="0.3">
      <c r="A16" s="432"/>
      <c r="B16" s="428" t="s">
        <v>3</v>
      </c>
      <c r="C16" s="433"/>
      <c r="D16" s="433"/>
      <c r="E16" s="433"/>
      <c r="F16" s="433"/>
      <c r="G16" s="433"/>
      <c r="H16" s="435"/>
      <c r="I16" s="435"/>
      <c r="J16" s="435"/>
      <c r="K16" s="435"/>
      <c r="L16" s="435"/>
      <c r="M16" s="435"/>
      <c r="N16" s="435"/>
      <c r="O16" s="435"/>
      <c r="P16" s="435" t="s">
        <v>107</v>
      </c>
      <c r="Q16" s="436">
        <v>0.50081874535227644</v>
      </c>
      <c r="R16" s="437" t="s">
        <v>146</v>
      </c>
      <c r="S16" s="436">
        <v>0.49919999999999998</v>
      </c>
      <c r="T16" s="434"/>
      <c r="U16" s="641"/>
      <c r="V16" s="430"/>
    </row>
    <row r="17" spans="1:22" s="431" customFormat="1" x14ac:dyDescent="0.3">
      <c r="A17" s="432"/>
      <c r="B17" s="428" t="s">
        <v>4</v>
      </c>
      <c r="C17" s="433"/>
      <c r="D17" s="433"/>
      <c r="E17" s="433"/>
      <c r="F17" s="433"/>
      <c r="G17" s="433"/>
      <c r="H17" s="433"/>
      <c r="I17" s="433"/>
      <c r="J17" s="433"/>
      <c r="K17" s="433"/>
      <c r="L17" s="433"/>
      <c r="M17" s="433"/>
      <c r="N17" s="433"/>
      <c r="O17" s="433"/>
      <c r="P17" s="433"/>
      <c r="Q17" s="433"/>
      <c r="R17" s="433"/>
      <c r="S17" s="433"/>
      <c r="T17" s="438">
        <v>38799</v>
      </c>
      <c r="U17" s="641"/>
      <c r="V17" s="430"/>
    </row>
    <row r="18" spans="1:22" s="431" customFormat="1" x14ac:dyDescent="0.3">
      <c r="A18" s="432"/>
      <c r="B18" s="428" t="s">
        <v>5</v>
      </c>
      <c r="C18" s="433"/>
      <c r="D18" s="433"/>
      <c r="E18" s="433"/>
      <c r="F18" s="433"/>
      <c r="G18" s="433"/>
      <c r="H18" s="433"/>
      <c r="I18" s="433"/>
      <c r="J18" s="433"/>
      <c r="K18" s="433"/>
      <c r="L18" s="433"/>
      <c r="M18" s="433"/>
      <c r="N18" s="433"/>
      <c r="O18" s="433"/>
      <c r="P18" s="433"/>
      <c r="Q18" s="433"/>
      <c r="R18" s="433"/>
      <c r="S18" s="433"/>
      <c r="T18" s="438">
        <v>43852</v>
      </c>
      <c r="U18" s="641"/>
      <c r="V18" s="430"/>
    </row>
    <row r="19" spans="1:22" s="431" customFormat="1" x14ac:dyDescent="0.3">
      <c r="A19" s="432"/>
      <c r="B19" s="433"/>
      <c r="C19" s="433"/>
      <c r="D19" s="433"/>
      <c r="E19" s="433"/>
      <c r="F19" s="433"/>
      <c r="G19" s="433"/>
      <c r="H19" s="433"/>
      <c r="I19" s="433"/>
      <c r="J19" s="433"/>
      <c r="K19" s="433"/>
      <c r="L19" s="433"/>
      <c r="M19" s="433"/>
      <c r="N19" s="433"/>
      <c r="O19" s="433"/>
      <c r="P19" s="433"/>
      <c r="Q19" s="433"/>
      <c r="R19" s="433"/>
      <c r="S19" s="433"/>
      <c r="T19" s="439"/>
      <c r="U19" s="641"/>
      <c r="V19" s="430"/>
    </row>
    <row r="20" spans="1:22" s="431" customFormat="1" x14ac:dyDescent="0.3">
      <c r="A20" s="432"/>
      <c r="B20" s="440" t="s">
        <v>6</v>
      </c>
      <c r="C20" s="433"/>
      <c r="D20" s="433"/>
      <c r="E20" s="433"/>
      <c r="F20" s="433"/>
      <c r="G20" s="433"/>
      <c r="H20" s="433"/>
      <c r="I20" s="433"/>
      <c r="J20" s="433"/>
      <c r="K20" s="433"/>
      <c r="L20" s="433"/>
      <c r="M20" s="433"/>
      <c r="N20" s="433"/>
      <c r="O20" s="433"/>
      <c r="P20" s="433"/>
      <c r="Q20" s="433"/>
      <c r="R20" s="439" t="s">
        <v>108</v>
      </c>
      <c r="S20" s="433"/>
      <c r="T20" s="433"/>
      <c r="U20" s="641"/>
      <c r="V20" s="430"/>
    </row>
    <row r="21" spans="1:22" x14ac:dyDescent="0.3">
      <c r="A21" s="418"/>
      <c r="B21" s="420"/>
      <c r="C21" s="420"/>
      <c r="D21" s="420"/>
      <c r="E21" s="420"/>
      <c r="F21" s="420"/>
      <c r="G21" s="420"/>
      <c r="H21" s="420"/>
      <c r="I21" s="420"/>
      <c r="J21" s="420"/>
      <c r="K21" s="420"/>
      <c r="L21" s="420"/>
      <c r="M21" s="420"/>
      <c r="N21" s="420"/>
      <c r="O21" s="420"/>
      <c r="P21" s="420"/>
      <c r="Q21" s="420"/>
      <c r="R21" s="420"/>
      <c r="S21" s="420"/>
      <c r="T21" s="441"/>
      <c r="U21" s="639"/>
      <c r="V21" s="416"/>
    </row>
    <row r="22" spans="1:22" x14ac:dyDescent="0.3">
      <c r="A22" s="442"/>
      <c r="B22" s="443"/>
      <c r="C22" s="444"/>
      <c r="D22" s="444" t="s">
        <v>184</v>
      </c>
      <c r="E22" s="444"/>
      <c r="F22" s="444" t="s">
        <v>185</v>
      </c>
      <c r="G22" s="444"/>
      <c r="H22" s="444" t="s">
        <v>186</v>
      </c>
      <c r="I22" s="444"/>
      <c r="J22" s="444" t="s">
        <v>187</v>
      </c>
      <c r="K22" s="444"/>
      <c r="L22" s="444" t="s">
        <v>188</v>
      </c>
      <c r="M22" s="444"/>
      <c r="N22" s="444" t="s">
        <v>189</v>
      </c>
      <c r="O22" s="444"/>
      <c r="P22" s="444"/>
      <c r="Q22" s="445"/>
      <c r="R22" s="445"/>
      <c r="S22" s="443"/>
      <c r="T22" s="443"/>
      <c r="U22" s="446"/>
      <c r="V22" s="416"/>
    </row>
    <row r="23" spans="1:22" s="431" customFormat="1" x14ac:dyDescent="0.3">
      <c r="A23" s="432"/>
      <c r="B23" s="447" t="s">
        <v>7</v>
      </c>
      <c r="C23" s="448"/>
      <c r="D23" s="448" t="s">
        <v>222</v>
      </c>
      <c r="E23" s="448"/>
      <c r="F23" s="448" t="s">
        <v>147</v>
      </c>
      <c r="G23" s="448"/>
      <c r="H23" s="448" t="s">
        <v>147</v>
      </c>
      <c r="I23" s="448"/>
      <c r="J23" s="448" t="s">
        <v>190</v>
      </c>
      <c r="K23" s="448"/>
      <c r="L23" s="448" t="s">
        <v>190</v>
      </c>
      <c r="M23" s="448"/>
      <c r="N23" s="448" t="s">
        <v>148</v>
      </c>
      <c r="O23" s="448"/>
      <c r="P23" s="448"/>
      <c r="Q23" s="448"/>
      <c r="R23" s="448"/>
      <c r="S23" s="447"/>
      <c r="T23" s="447"/>
      <c r="U23" s="641"/>
      <c r="V23" s="430"/>
    </row>
    <row r="24" spans="1:22" s="431" customFormat="1" x14ac:dyDescent="0.3">
      <c r="A24" s="449"/>
      <c r="B24" s="450" t="s">
        <v>8</v>
      </c>
      <c r="C24" s="451"/>
      <c r="D24" s="451" t="s">
        <v>223</v>
      </c>
      <c r="E24" s="451"/>
      <c r="F24" s="451" t="s">
        <v>149</v>
      </c>
      <c r="G24" s="451"/>
      <c r="H24" s="451" t="s">
        <v>149</v>
      </c>
      <c r="I24" s="451"/>
      <c r="J24" s="451" t="s">
        <v>172</v>
      </c>
      <c r="K24" s="451"/>
      <c r="L24" s="451" t="s">
        <v>172</v>
      </c>
      <c r="M24" s="451"/>
      <c r="N24" s="451" t="s">
        <v>150</v>
      </c>
      <c r="O24" s="451"/>
      <c r="P24" s="451"/>
      <c r="Q24" s="451"/>
      <c r="R24" s="451"/>
      <c r="S24" s="450"/>
      <c r="T24" s="450"/>
      <c r="U24" s="452"/>
      <c r="V24" s="430"/>
    </row>
    <row r="25" spans="1:22" s="431" customFormat="1" x14ac:dyDescent="0.3">
      <c r="A25" s="453"/>
      <c r="B25" s="450" t="s">
        <v>198</v>
      </c>
      <c r="C25" s="454"/>
      <c r="D25" s="451" t="s">
        <v>224</v>
      </c>
      <c r="E25" s="451"/>
      <c r="F25" s="451" t="s">
        <v>149</v>
      </c>
      <c r="G25" s="451"/>
      <c r="H25" s="451" t="s">
        <v>149</v>
      </c>
      <c r="I25" s="451"/>
      <c r="J25" s="451" t="s">
        <v>172</v>
      </c>
      <c r="K25" s="451"/>
      <c r="L25" s="451" t="s">
        <v>172</v>
      </c>
      <c r="M25" s="451"/>
      <c r="N25" s="451" t="s">
        <v>150</v>
      </c>
      <c r="O25" s="451"/>
      <c r="P25" s="451"/>
      <c r="Q25" s="454"/>
      <c r="R25" s="451"/>
      <c r="S25" s="450"/>
      <c r="T25" s="450"/>
      <c r="U25" s="452"/>
      <c r="V25" s="430"/>
    </row>
    <row r="26" spans="1:22" s="431" customFormat="1" x14ac:dyDescent="0.3">
      <c r="A26" s="453"/>
      <c r="B26" s="455" t="s">
        <v>9</v>
      </c>
      <c r="C26" s="454"/>
      <c r="D26" s="454" t="s">
        <v>147</v>
      </c>
      <c r="E26" s="454"/>
      <c r="F26" s="454" t="s">
        <v>147</v>
      </c>
      <c r="G26" s="454"/>
      <c r="H26" s="454" t="s">
        <v>147</v>
      </c>
      <c r="I26" s="454"/>
      <c r="J26" s="454" t="s">
        <v>190</v>
      </c>
      <c r="K26" s="454"/>
      <c r="L26" s="454" t="s">
        <v>190</v>
      </c>
      <c r="M26" s="454"/>
      <c r="N26" s="454" t="s">
        <v>148</v>
      </c>
      <c r="O26" s="454"/>
      <c r="P26" s="454"/>
      <c r="Q26" s="454"/>
      <c r="R26" s="451"/>
      <c r="S26" s="450"/>
      <c r="T26" s="450"/>
      <c r="U26" s="452"/>
      <c r="V26" s="430"/>
    </row>
    <row r="27" spans="1:22" s="431" customFormat="1" x14ac:dyDescent="0.3">
      <c r="A27" s="449"/>
      <c r="B27" s="455" t="s">
        <v>199</v>
      </c>
      <c r="C27" s="451"/>
      <c r="D27" s="454" t="s">
        <v>149</v>
      </c>
      <c r="E27" s="454"/>
      <c r="F27" s="454" t="s">
        <v>149</v>
      </c>
      <c r="G27" s="454"/>
      <c r="H27" s="454" t="s">
        <v>149</v>
      </c>
      <c r="I27" s="454"/>
      <c r="J27" s="454" t="s">
        <v>322</v>
      </c>
      <c r="K27" s="454"/>
      <c r="L27" s="454" t="s">
        <v>322</v>
      </c>
      <c r="M27" s="454"/>
      <c r="N27" s="454" t="s">
        <v>345</v>
      </c>
      <c r="O27" s="454"/>
      <c r="P27" s="454"/>
      <c r="Q27" s="451"/>
      <c r="R27" s="456"/>
      <c r="S27" s="450"/>
      <c r="T27" s="450"/>
      <c r="U27" s="452"/>
      <c r="V27" s="430"/>
    </row>
    <row r="28" spans="1:22" s="431" customFormat="1" x14ac:dyDescent="0.3">
      <c r="A28" s="449"/>
      <c r="B28" s="455" t="s">
        <v>200</v>
      </c>
      <c r="C28" s="451"/>
      <c r="D28" s="454" t="s">
        <v>149</v>
      </c>
      <c r="E28" s="454"/>
      <c r="F28" s="454" t="s">
        <v>149</v>
      </c>
      <c r="G28" s="454"/>
      <c r="H28" s="454" t="s">
        <v>149</v>
      </c>
      <c r="I28" s="454"/>
      <c r="J28" s="454" t="s">
        <v>149</v>
      </c>
      <c r="K28" s="454"/>
      <c r="L28" s="454" t="s">
        <v>149</v>
      </c>
      <c r="M28" s="454"/>
      <c r="N28" s="454" t="s">
        <v>346</v>
      </c>
      <c r="O28" s="454"/>
      <c r="P28" s="454"/>
      <c r="Q28" s="451"/>
      <c r="R28" s="456"/>
      <c r="S28" s="450"/>
      <c r="T28" s="450"/>
      <c r="U28" s="452"/>
      <c r="V28" s="430"/>
    </row>
    <row r="29" spans="1:22" s="431" customFormat="1" x14ac:dyDescent="0.3">
      <c r="A29" s="449"/>
      <c r="B29" s="450" t="s">
        <v>10</v>
      </c>
      <c r="C29" s="457"/>
      <c r="D29" s="451" t="s">
        <v>237</v>
      </c>
      <c r="E29" s="451"/>
      <c r="F29" s="456" t="s">
        <v>238</v>
      </c>
      <c r="G29" s="451"/>
      <c r="H29" s="451" t="s">
        <v>239</v>
      </c>
      <c r="I29" s="451"/>
      <c r="J29" s="451" t="s">
        <v>240</v>
      </c>
      <c r="K29" s="451"/>
      <c r="L29" s="451" t="s">
        <v>241</v>
      </c>
      <c r="M29" s="451"/>
      <c r="N29" s="451" t="s">
        <v>242</v>
      </c>
      <c r="O29" s="451"/>
      <c r="P29" s="451"/>
      <c r="Q29" s="458"/>
      <c r="R29" s="458"/>
      <c r="S29" s="457"/>
      <c r="T29" s="458"/>
      <c r="U29" s="459"/>
      <c r="V29" s="430"/>
    </row>
    <row r="30" spans="1:22" s="431" customFormat="1" x14ac:dyDescent="0.3">
      <c r="A30" s="449"/>
      <c r="B30" s="450" t="s">
        <v>10</v>
      </c>
      <c r="C30" s="457"/>
      <c r="D30" s="451" t="s">
        <v>236</v>
      </c>
      <c r="E30" s="451"/>
      <c r="F30" s="456" t="s">
        <v>124</v>
      </c>
      <c r="G30" s="451"/>
      <c r="H30" s="451" t="s">
        <v>124</v>
      </c>
      <c r="I30" s="451"/>
      <c r="J30" s="451" t="s">
        <v>124</v>
      </c>
      <c r="K30" s="451"/>
      <c r="L30" s="451" t="s">
        <v>124</v>
      </c>
      <c r="M30" s="451"/>
      <c r="N30" s="451" t="s">
        <v>124</v>
      </c>
      <c r="O30" s="451"/>
      <c r="P30" s="451"/>
      <c r="Q30" s="458"/>
      <c r="R30" s="458"/>
      <c r="S30" s="457"/>
      <c r="T30" s="458"/>
      <c r="U30" s="459"/>
      <c r="V30" s="430"/>
    </row>
    <row r="31" spans="1:22" s="431" customFormat="1" x14ac:dyDescent="0.3">
      <c r="A31" s="453"/>
      <c r="B31" s="450" t="s">
        <v>139</v>
      </c>
      <c r="C31" s="460"/>
      <c r="D31" s="461">
        <v>985000</v>
      </c>
      <c r="E31" s="457"/>
      <c r="F31" s="458">
        <v>149500</v>
      </c>
      <c r="G31" s="458"/>
      <c r="H31" s="462">
        <v>219700</v>
      </c>
      <c r="I31" s="458"/>
      <c r="J31" s="458">
        <v>16000</v>
      </c>
      <c r="K31" s="458"/>
      <c r="L31" s="462">
        <v>82400</v>
      </c>
      <c r="M31" s="458"/>
      <c r="N31" s="462">
        <v>87500</v>
      </c>
      <c r="O31" s="458"/>
      <c r="P31" s="462"/>
      <c r="Q31" s="463"/>
      <c r="R31" s="463"/>
      <c r="S31" s="460"/>
      <c r="T31" s="463"/>
      <c r="U31" s="459"/>
      <c r="V31" s="430"/>
    </row>
    <row r="32" spans="1:22" s="431" customFormat="1" x14ac:dyDescent="0.3">
      <c r="A32" s="449"/>
      <c r="B32" s="450" t="s">
        <v>138</v>
      </c>
      <c r="C32" s="457"/>
      <c r="D32" s="464">
        <f>D38*D34</f>
        <v>174880.844037</v>
      </c>
      <c r="E32" s="457"/>
      <c r="F32" s="458">
        <f>F38*F31</f>
        <v>46088.009500000007</v>
      </c>
      <c r="G32" s="458"/>
      <c r="H32" s="462">
        <f>H38*H31</f>
        <v>67729.335700000011</v>
      </c>
      <c r="I32" s="458"/>
      <c r="J32" s="458">
        <f>J31*J38</f>
        <v>11698.4768</v>
      </c>
      <c r="K32" s="458"/>
      <c r="L32" s="462">
        <f>L31*L38</f>
        <v>60247.15552</v>
      </c>
      <c r="M32" s="458"/>
      <c r="N32" s="462">
        <f>N31*N38</f>
        <v>63976.044999999998</v>
      </c>
      <c r="O32" s="458"/>
      <c r="P32" s="462"/>
      <c r="Q32" s="458"/>
      <c r="R32" s="458"/>
      <c r="S32" s="457"/>
      <c r="T32" s="458"/>
      <c r="U32" s="459"/>
      <c r="V32" s="430"/>
    </row>
    <row r="33" spans="1:23" s="431" customFormat="1" x14ac:dyDescent="0.3">
      <c r="A33" s="449"/>
      <c r="B33" s="455" t="s">
        <v>140</v>
      </c>
      <c r="C33" s="457"/>
      <c r="D33" s="465">
        <f>D37*D34</f>
        <v>172056.80078460003</v>
      </c>
      <c r="E33" s="460"/>
      <c r="F33" s="463">
        <f>F37*F31</f>
        <v>45343.768599999996</v>
      </c>
      <c r="G33" s="463"/>
      <c r="H33" s="466">
        <f>H31*H37</f>
        <v>66635.625159999996</v>
      </c>
      <c r="I33" s="463"/>
      <c r="J33" s="463">
        <f>J31*J37</f>
        <v>11509.567999999999</v>
      </c>
      <c r="K33" s="463"/>
      <c r="L33" s="466">
        <f>L31*L37</f>
        <v>59274.275199999996</v>
      </c>
      <c r="M33" s="463"/>
      <c r="N33" s="466">
        <f>N31*N37</f>
        <v>62942.95</v>
      </c>
      <c r="O33" s="463"/>
      <c r="P33" s="466"/>
      <c r="Q33" s="458"/>
      <c r="R33" s="458"/>
      <c r="S33" s="457"/>
      <c r="T33" s="458"/>
      <c r="U33" s="459"/>
      <c r="V33" s="430"/>
    </row>
    <row r="34" spans="1:23" s="431" customFormat="1" x14ac:dyDescent="0.3">
      <c r="A34" s="453"/>
      <c r="B34" s="450" t="s">
        <v>283</v>
      </c>
      <c r="C34" s="460"/>
      <c r="D34" s="458">
        <v>567282</v>
      </c>
      <c r="E34" s="457"/>
      <c r="F34" s="458">
        <v>149500</v>
      </c>
      <c r="G34" s="458"/>
      <c r="H34" s="458">
        <v>150716</v>
      </c>
      <c r="I34" s="458"/>
      <c r="J34" s="458">
        <v>16000</v>
      </c>
      <c r="K34" s="458"/>
      <c r="L34" s="458">
        <v>56527</v>
      </c>
      <c r="M34" s="458"/>
      <c r="N34" s="458">
        <v>60025</v>
      </c>
      <c r="O34" s="458"/>
      <c r="P34" s="458"/>
      <c r="Q34" s="463"/>
      <c r="R34" s="463"/>
      <c r="S34" s="460"/>
      <c r="T34" s="458">
        <f>SUM(C34:P34)</f>
        <v>1000050</v>
      </c>
      <c r="U34" s="459"/>
      <c r="V34" s="430"/>
    </row>
    <row r="35" spans="1:23" s="431" customFormat="1" x14ac:dyDescent="0.3">
      <c r="A35" s="453"/>
      <c r="B35" s="450" t="s">
        <v>284</v>
      </c>
      <c r="C35" s="460"/>
      <c r="D35" s="458">
        <f>D38*D34</f>
        <v>174880.844037</v>
      </c>
      <c r="E35" s="457"/>
      <c r="F35" s="458">
        <f>F38*F34</f>
        <v>46088.009500000007</v>
      </c>
      <c r="G35" s="458"/>
      <c r="H35" s="458">
        <f>H38*H34</f>
        <v>46462.879196000002</v>
      </c>
      <c r="I35" s="458"/>
      <c r="J35" s="458">
        <f>J34*J38</f>
        <v>11698.4768</v>
      </c>
      <c r="K35" s="458"/>
      <c r="L35" s="458">
        <f>L34*L38</f>
        <v>41329.987379600003</v>
      </c>
      <c r="M35" s="458"/>
      <c r="N35" s="458">
        <f>N34*N38</f>
        <v>43887.566870000002</v>
      </c>
      <c r="O35" s="458"/>
      <c r="P35" s="458"/>
      <c r="Q35" s="458"/>
      <c r="R35" s="458"/>
      <c r="S35" s="457"/>
      <c r="T35" s="458">
        <f>SUM(C35:P35)+1</f>
        <v>364348.7637826</v>
      </c>
      <c r="U35" s="459"/>
      <c r="V35" s="430"/>
    </row>
    <row r="36" spans="1:23" s="431" customFormat="1" x14ac:dyDescent="0.3">
      <c r="A36" s="453"/>
      <c r="B36" s="455" t="s">
        <v>285</v>
      </c>
      <c r="C36" s="460"/>
      <c r="D36" s="463">
        <f>D37*D34</f>
        <v>172056.80078460003</v>
      </c>
      <c r="E36" s="460"/>
      <c r="F36" s="463">
        <f>F37*F34</f>
        <v>45343.768599999996</v>
      </c>
      <c r="G36" s="463"/>
      <c r="H36" s="463">
        <f>H37*H34</f>
        <v>45712.584804799997</v>
      </c>
      <c r="I36" s="463"/>
      <c r="J36" s="463">
        <f>J37*J34</f>
        <v>11509.567999999999</v>
      </c>
      <c r="K36" s="463"/>
      <c r="L36" s="463">
        <f>L37*L34</f>
        <v>40662.584395999998</v>
      </c>
      <c r="M36" s="463"/>
      <c r="N36" s="463">
        <f>N37*N34</f>
        <v>43178.863700000002</v>
      </c>
      <c r="O36" s="463"/>
      <c r="P36" s="463"/>
      <c r="Q36" s="467"/>
      <c r="R36" s="467"/>
      <c r="S36" s="457"/>
      <c r="T36" s="463">
        <f>SUM(C36:P36)+1</f>
        <v>358465.1702854</v>
      </c>
      <c r="U36" s="459"/>
      <c r="V36" s="430"/>
    </row>
    <row r="37" spans="1:23" x14ac:dyDescent="0.3">
      <c r="A37" s="468"/>
      <c r="B37" s="469" t="s">
        <v>136</v>
      </c>
      <c r="C37" s="470"/>
      <c r="D37" s="471">
        <v>0.30330030000000002</v>
      </c>
      <c r="E37" s="472"/>
      <c r="F37" s="471">
        <v>0.30330279999999998</v>
      </c>
      <c r="G37" s="473"/>
      <c r="H37" s="471">
        <v>0.30330279999999998</v>
      </c>
      <c r="I37" s="473"/>
      <c r="J37" s="471">
        <v>0.71934799999999999</v>
      </c>
      <c r="K37" s="473"/>
      <c r="L37" s="471">
        <v>0.71934799999999999</v>
      </c>
      <c r="M37" s="473"/>
      <c r="N37" s="471">
        <v>0.71934799999999999</v>
      </c>
      <c r="O37" s="474"/>
      <c r="P37" s="474"/>
      <c r="Q37" s="475"/>
      <c r="R37" s="475"/>
      <c r="S37" s="470"/>
      <c r="T37" s="470"/>
      <c r="U37" s="476"/>
      <c r="V37" s="416"/>
      <c r="W37" s="477"/>
    </row>
    <row r="38" spans="1:23" x14ac:dyDescent="0.3">
      <c r="A38" s="468"/>
      <c r="B38" s="470" t="s">
        <v>137</v>
      </c>
      <c r="C38" s="470"/>
      <c r="D38" s="478">
        <v>0.30827850000000001</v>
      </c>
      <c r="E38" s="479"/>
      <c r="F38" s="478">
        <v>0.30828100000000003</v>
      </c>
      <c r="G38" s="480"/>
      <c r="H38" s="478">
        <v>0.30828100000000003</v>
      </c>
      <c r="I38" s="480"/>
      <c r="J38" s="478">
        <v>0.73115479999999999</v>
      </c>
      <c r="K38" s="480"/>
      <c r="L38" s="478">
        <v>0.73115479999999999</v>
      </c>
      <c r="M38" s="480"/>
      <c r="N38" s="478">
        <v>0.73115479999999999</v>
      </c>
      <c r="O38" s="474"/>
      <c r="P38" s="474"/>
      <c r="Q38" s="481"/>
      <c r="R38" s="482"/>
      <c r="S38" s="470"/>
      <c r="T38" s="481"/>
      <c r="U38" s="476"/>
      <c r="V38" s="416"/>
    </row>
    <row r="39" spans="1:23" s="431" customFormat="1" x14ac:dyDescent="0.3">
      <c r="A39" s="449"/>
      <c r="B39" s="450" t="s">
        <v>11</v>
      </c>
      <c r="C39" s="450"/>
      <c r="D39" s="456" t="s">
        <v>275</v>
      </c>
      <c r="E39" s="450"/>
      <c r="F39" s="456" t="s">
        <v>232</v>
      </c>
      <c r="G39" s="456"/>
      <c r="H39" s="456" t="s">
        <v>232</v>
      </c>
      <c r="I39" s="456"/>
      <c r="J39" s="456" t="s">
        <v>234</v>
      </c>
      <c r="K39" s="456"/>
      <c r="L39" s="456" t="s">
        <v>234</v>
      </c>
      <c r="M39" s="456"/>
      <c r="N39" s="456" t="s">
        <v>235</v>
      </c>
      <c r="O39" s="456"/>
      <c r="P39" s="456"/>
      <c r="Q39" s="483"/>
      <c r="R39" s="484"/>
      <c r="S39" s="450"/>
      <c r="T39" s="450"/>
      <c r="U39" s="452"/>
      <c r="V39" s="430"/>
    </row>
    <row r="40" spans="1:23" s="431" customFormat="1" x14ac:dyDescent="0.3">
      <c r="A40" s="449"/>
      <c r="B40" s="450" t="s">
        <v>12</v>
      </c>
      <c r="C40" s="450"/>
      <c r="D40" s="484">
        <v>8.8500000000000002E-3</v>
      </c>
      <c r="E40" s="450"/>
      <c r="F40" s="484">
        <v>1.025E-2</v>
      </c>
      <c r="G40" s="483"/>
      <c r="H40" s="484">
        <v>0</v>
      </c>
      <c r="I40" s="483"/>
      <c r="J40" s="484">
        <v>1.265E-2</v>
      </c>
      <c r="K40" s="483"/>
      <c r="L40" s="484">
        <v>6.2E-4</v>
      </c>
      <c r="M40" s="483"/>
      <c r="N40" s="484">
        <v>4.8199999999999996E-3</v>
      </c>
      <c r="O40" s="483"/>
      <c r="P40" s="484"/>
      <c r="Q40" s="483"/>
      <c r="R40" s="484"/>
      <c r="S40" s="450"/>
      <c r="T40" s="456"/>
      <c r="U40" s="452"/>
      <c r="V40" s="430"/>
    </row>
    <row r="41" spans="1:23" s="431" customFormat="1" x14ac:dyDescent="0.3">
      <c r="A41" s="449"/>
      <c r="B41" s="450" t="s">
        <v>13</v>
      </c>
      <c r="C41" s="450"/>
      <c r="D41" s="484">
        <v>8.6712999999999998E-3</v>
      </c>
      <c r="E41" s="450"/>
      <c r="F41" s="484">
        <v>1.00713E-2</v>
      </c>
      <c r="G41" s="483"/>
      <c r="H41" s="484">
        <v>0</v>
      </c>
      <c r="I41" s="483"/>
      <c r="J41" s="484">
        <v>1.2471299999999999E-2</v>
      </c>
      <c r="K41" s="483"/>
      <c r="L41" s="484">
        <v>1.16E-3</v>
      </c>
      <c r="M41" s="483"/>
      <c r="N41" s="484">
        <v>5.3600000000000002E-3</v>
      </c>
      <c r="O41" s="483"/>
      <c r="P41" s="484"/>
      <c r="Q41" s="483"/>
      <c r="R41" s="484"/>
      <c r="S41" s="450"/>
      <c r="T41" s="483" t="s">
        <v>201</v>
      </c>
      <c r="U41" s="452"/>
      <c r="V41" s="430"/>
    </row>
    <row r="42" spans="1:23" s="431" customFormat="1" x14ac:dyDescent="0.3">
      <c r="A42" s="449"/>
      <c r="B42" s="450" t="s">
        <v>286</v>
      </c>
      <c r="C42" s="450"/>
      <c r="D42" s="456" t="s">
        <v>275</v>
      </c>
      <c r="E42" s="450"/>
      <c r="F42" s="456" t="s">
        <v>232</v>
      </c>
      <c r="G42" s="456"/>
      <c r="H42" s="456" t="s">
        <v>232</v>
      </c>
      <c r="I42" s="456"/>
      <c r="J42" s="456" t="s">
        <v>234</v>
      </c>
      <c r="K42" s="456"/>
      <c r="L42" s="456" t="s">
        <v>245</v>
      </c>
      <c r="M42" s="456"/>
      <c r="N42" s="456" t="s">
        <v>247</v>
      </c>
      <c r="O42" s="456"/>
      <c r="P42" s="456"/>
      <c r="Q42" s="483"/>
      <c r="R42" s="484"/>
      <c r="S42" s="450"/>
      <c r="T42" s="450"/>
      <c r="U42" s="452"/>
      <c r="V42" s="430"/>
    </row>
    <row r="43" spans="1:23" s="431" customFormat="1" x14ac:dyDescent="0.3">
      <c r="A43" s="449"/>
      <c r="B43" s="450" t="s">
        <v>287</v>
      </c>
      <c r="C43" s="485"/>
      <c r="D43" s="484">
        <f>+D40</f>
        <v>8.8500000000000002E-3</v>
      </c>
      <c r="E43" s="484"/>
      <c r="F43" s="484">
        <f>+F40</f>
        <v>1.025E-2</v>
      </c>
      <c r="G43" s="484"/>
      <c r="H43" s="484">
        <v>1.0246E-2</v>
      </c>
      <c r="I43" s="484"/>
      <c r="J43" s="484">
        <f>+J40</f>
        <v>1.265E-2</v>
      </c>
      <c r="K43" s="484"/>
      <c r="L43" s="484">
        <v>1.2956000000000001E-2</v>
      </c>
      <c r="M43" s="484"/>
      <c r="N43" s="484">
        <v>1.7659999999999999E-2</v>
      </c>
      <c r="O43" s="483"/>
      <c r="P43" s="484"/>
      <c r="Q43" s="456"/>
      <c r="R43" s="456"/>
      <c r="S43" s="450"/>
      <c r="T43" s="483">
        <f>SUMPRODUCT(D43:N43,D35:N35)/T35</f>
        <v>1.0854071975494994E-2</v>
      </c>
      <c r="U43" s="452"/>
      <c r="V43" s="430"/>
    </row>
    <row r="44" spans="1:23" s="431" customFormat="1" x14ac:dyDescent="0.3">
      <c r="A44" s="449"/>
      <c r="B44" s="450" t="s">
        <v>288</v>
      </c>
      <c r="C44" s="485"/>
      <c r="D44" s="484">
        <f>+D41</f>
        <v>8.6712999999999998E-3</v>
      </c>
      <c r="E44" s="484"/>
      <c r="F44" s="484">
        <f>+F41</f>
        <v>1.00713E-2</v>
      </c>
      <c r="G44" s="484"/>
      <c r="H44" s="484">
        <v>1.00673E-2</v>
      </c>
      <c r="I44" s="484"/>
      <c r="J44" s="484">
        <f>+J41</f>
        <v>1.2471299999999999E-2</v>
      </c>
      <c r="K44" s="484"/>
      <c r="L44" s="484">
        <v>1.27773E-2</v>
      </c>
      <c r="M44" s="484"/>
      <c r="N44" s="484">
        <v>1.7481300000000002E-2</v>
      </c>
      <c r="O44" s="483"/>
      <c r="P44" s="484"/>
      <c r="Q44" s="456"/>
      <c r="R44" s="456"/>
      <c r="S44" s="450"/>
      <c r="T44" s="450"/>
      <c r="U44" s="452"/>
      <c r="V44" s="430"/>
    </row>
    <row r="45" spans="1:23" s="431" customFormat="1" x14ac:dyDescent="0.3">
      <c r="A45" s="449"/>
      <c r="B45" s="450" t="s">
        <v>14</v>
      </c>
      <c r="C45" s="450"/>
      <c r="D45" s="485">
        <v>40283</v>
      </c>
      <c r="E45" s="485"/>
      <c r="F45" s="485">
        <v>40283</v>
      </c>
      <c r="G45" s="485"/>
      <c r="H45" s="485">
        <v>40283</v>
      </c>
      <c r="I45" s="485"/>
      <c r="J45" s="485">
        <v>40283</v>
      </c>
      <c r="K45" s="485"/>
      <c r="L45" s="485">
        <v>40283</v>
      </c>
      <c r="M45" s="485"/>
      <c r="N45" s="485">
        <v>40283</v>
      </c>
      <c r="O45" s="485"/>
      <c r="P45" s="485"/>
      <c r="Q45" s="456"/>
      <c r="R45" s="456"/>
      <c r="S45" s="450"/>
      <c r="T45" s="450"/>
      <c r="U45" s="452"/>
      <c r="V45" s="430"/>
    </row>
    <row r="46" spans="1:23" s="431" customFormat="1" x14ac:dyDescent="0.3">
      <c r="A46" s="449"/>
      <c r="B46" s="450" t="s">
        <v>15</v>
      </c>
      <c r="C46" s="450"/>
      <c r="D46" s="485">
        <v>40648</v>
      </c>
      <c r="E46" s="485"/>
      <c r="F46" s="485">
        <v>40648</v>
      </c>
      <c r="G46" s="485"/>
      <c r="H46" s="485">
        <v>40648</v>
      </c>
      <c r="I46" s="456"/>
      <c r="J46" s="485">
        <v>40648</v>
      </c>
      <c r="K46" s="456"/>
      <c r="L46" s="485">
        <v>40648</v>
      </c>
      <c r="M46" s="456"/>
      <c r="N46" s="485">
        <v>40648</v>
      </c>
      <c r="O46" s="456"/>
      <c r="P46" s="485"/>
      <c r="Q46" s="456"/>
      <c r="R46" s="456"/>
      <c r="S46" s="450"/>
      <c r="T46" s="450"/>
      <c r="U46" s="452"/>
      <c r="V46" s="430"/>
    </row>
    <row r="47" spans="1:23" s="431" customFormat="1" x14ac:dyDescent="0.3">
      <c r="A47" s="449"/>
      <c r="B47" s="450" t="s">
        <v>125</v>
      </c>
      <c r="C47" s="450"/>
      <c r="D47" s="456" t="s">
        <v>124</v>
      </c>
      <c r="E47" s="450"/>
      <c r="F47" s="456" t="s">
        <v>232</v>
      </c>
      <c r="G47" s="456"/>
      <c r="H47" s="456" t="s">
        <v>232</v>
      </c>
      <c r="I47" s="456"/>
      <c r="J47" s="456" t="s">
        <v>234</v>
      </c>
      <c r="K47" s="456"/>
      <c r="L47" s="456" t="s">
        <v>234</v>
      </c>
      <c r="M47" s="456"/>
      <c r="N47" s="456" t="s">
        <v>235</v>
      </c>
      <c r="O47" s="456"/>
      <c r="P47" s="456"/>
      <c r="Q47" s="486"/>
      <c r="R47" s="486"/>
      <c r="S47" s="486"/>
      <c r="T47" s="486"/>
      <c r="U47" s="452"/>
      <c r="V47" s="430"/>
    </row>
    <row r="48" spans="1:23" s="431" customFormat="1" x14ac:dyDescent="0.3">
      <c r="A48" s="449"/>
      <c r="B48" s="450" t="s">
        <v>289</v>
      </c>
      <c r="C48" s="450"/>
      <c r="D48" s="456" t="s">
        <v>124</v>
      </c>
      <c r="E48" s="450"/>
      <c r="F48" s="456" t="s">
        <v>232</v>
      </c>
      <c r="G48" s="456"/>
      <c r="H48" s="456" t="s">
        <v>232</v>
      </c>
      <c r="I48" s="456"/>
      <c r="J48" s="456" t="s">
        <v>234</v>
      </c>
      <c r="K48" s="456"/>
      <c r="L48" s="456" t="s">
        <v>245</v>
      </c>
      <c r="M48" s="456"/>
      <c r="N48" s="456" t="s">
        <v>247</v>
      </c>
      <c r="O48" s="456"/>
      <c r="P48" s="456"/>
      <c r="Q48" s="450"/>
      <c r="R48" s="450"/>
      <c r="S48" s="450"/>
      <c r="T48" s="483"/>
      <c r="U48" s="452"/>
      <c r="V48" s="430"/>
    </row>
    <row r="49" spans="1:23" s="431" customFormat="1" x14ac:dyDescent="0.3">
      <c r="A49" s="449"/>
      <c r="B49" s="450"/>
      <c r="C49" s="450"/>
      <c r="D49" s="456"/>
      <c r="E49" s="450"/>
      <c r="F49" s="456"/>
      <c r="G49" s="456"/>
      <c r="H49" s="456"/>
      <c r="I49" s="456"/>
      <c r="J49" s="456"/>
      <c r="K49" s="456"/>
      <c r="L49" s="456"/>
      <c r="M49" s="456"/>
      <c r="N49" s="456"/>
      <c r="O49" s="456"/>
      <c r="P49" s="456"/>
      <c r="Q49" s="450"/>
      <c r="R49" s="450"/>
      <c r="S49" s="450"/>
      <c r="T49" s="483" t="s">
        <v>201</v>
      </c>
      <c r="U49" s="452"/>
      <c r="V49" s="430"/>
    </row>
    <row r="50" spans="1:23" s="431" customFormat="1" x14ac:dyDescent="0.3">
      <c r="A50" s="449"/>
      <c r="B50" s="450" t="s">
        <v>176</v>
      </c>
      <c r="C50" s="450"/>
      <c r="D50" s="456"/>
      <c r="E50" s="450"/>
      <c r="F50" s="456"/>
      <c r="G50" s="456"/>
      <c r="H50" s="456"/>
      <c r="I50" s="456"/>
      <c r="J50" s="456"/>
      <c r="K50" s="456"/>
      <c r="L50" s="456"/>
      <c r="M50" s="456"/>
      <c r="N50" s="456"/>
      <c r="O50" s="456"/>
      <c r="P50" s="456"/>
      <c r="Q50" s="450"/>
      <c r="R50" s="450"/>
      <c r="S50" s="450"/>
      <c r="T50" s="483">
        <f>SUM(J34:P34)/SUM(D34:H34)</f>
        <v>0.15279804679664968</v>
      </c>
      <c r="U50" s="452"/>
      <c r="V50" s="430"/>
    </row>
    <row r="51" spans="1:23" s="431" customFormat="1" x14ac:dyDescent="0.3">
      <c r="A51" s="449"/>
      <c r="B51" s="450" t="s">
        <v>177</v>
      </c>
      <c r="C51" s="450"/>
      <c r="D51" s="450"/>
      <c r="E51" s="450"/>
      <c r="F51" s="487"/>
      <c r="G51" s="450"/>
      <c r="H51" s="450"/>
      <c r="I51" s="450"/>
      <c r="J51" s="450"/>
      <c r="K51" s="450"/>
      <c r="L51" s="450"/>
      <c r="M51" s="450"/>
      <c r="N51" s="450"/>
      <c r="O51" s="450"/>
      <c r="P51" s="450"/>
      <c r="Q51" s="450"/>
      <c r="R51" s="450"/>
      <c r="S51" s="450"/>
      <c r="T51" s="483">
        <f>SUM(J36:P36)/SUM(D36:H36)</f>
        <v>0.36239547349792439</v>
      </c>
      <c r="U51" s="452"/>
      <c r="V51" s="430"/>
    </row>
    <row r="52" spans="1:23" s="431" customFormat="1" x14ac:dyDescent="0.3">
      <c r="A52" s="449"/>
      <c r="B52" s="450" t="s">
        <v>178</v>
      </c>
      <c r="C52" s="450"/>
      <c r="D52" s="450"/>
      <c r="E52" s="450"/>
      <c r="F52" s="450"/>
      <c r="G52" s="450"/>
      <c r="H52" s="450"/>
      <c r="I52" s="450"/>
      <c r="J52" s="450"/>
      <c r="K52" s="450"/>
      <c r="L52" s="450"/>
      <c r="M52" s="450"/>
      <c r="N52" s="450"/>
      <c r="O52" s="450"/>
      <c r="P52" s="450"/>
      <c r="Q52" s="450"/>
      <c r="R52" s="456" t="s">
        <v>109</v>
      </c>
      <c r="S52" s="456" t="s">
        <v>115</v>
      </c>
      <c r="T52" s="458">
        <f>+T34/2-SUM(J34:P34)</f>
        <v>367473</v>
      </c>
      <c r="U52" s="452"/>
      <c r="V52" s="430"/>
    </row>
    <row r="53" spans="1:23" s="431" customFormat="1" x14ac:dyDescent="0.3">
      <c r="A53" s="449"/>
      <c r="B53" s="450"/>
      <c r="C53" s="450"/>
      <c r="D53" s="450"/>
      <c r="E53" s="450"/>
      <c r="F53" s="450"/>
      <c r="G53" s="450"/>
      <c r="H53" s="450"/>
      <c r="I53" s="450"/>
      <c r="J53" s="450"/>
      <c r="K53" s="450"/>
      <c r="L53" s="450"/>
      <c r="M53" s="450"/>
      <c r="N53" s="450"/>
      <c r="O53" s="450"/>
      <c r="P53" s="450"/>
      <c r="Q53" s="450"/>
      <c r="R53" s="450"/>
      <c r="S53" s="450"/>
      <c r="T53" s="488"/>
      <c r="U53" s="452"/>
      <c r="V53" s="430"/>
    </row>
    <row r="54" spans="1:23" s="431" customFormat="1" x14ac:dyDescent="0.3">
      <c r="A54" s="449"/>
      <c r="B54" s="450" t="s">
        <v>342</v>
      </c>
      <c r="C54" s="450"/>
      <c r="D54" s="450"/>
      <c r="E54" s="450"/>
      <c r="F54" s="450"/>
      <c r="G54" s="450"/>
      <c r="H54" s="450"/>
      <c r="I54" s="450"/>
      <c r="J54" s="450"/>
      <c r="K54" s="450"/>
      <c r="L54" s="450"/>
      <c r="M54" s="450"/>
      <c r="N54" s="450"/>
      <c r="O54" s="450"/>
      <c r="P54" s="450"/>
      <c r="Q54" s="450"/>
      <c r="R54" s="456"/>
      <c r="S54" s="456"/>
      <c r="T54" s="489" t="s">
        <v>117</v>
      </c>
      <c r="U54" s="452"/>
      <c r="V54" s="430"/>
    </row>
    <row r="55" spans="1:23" s="431" customFormat="1" x14ac:dyDescent="0.3">
      <c r="A55" s="449"/>
      <c r="B55" s="455" t="s">
        <v>210</v>
      </c>
      <c r="C55" s="455"/>
      <c r="D55" s="455"/>
      <c r="E55" s="455"/>
      <c r="F55" s="455"/>
      <c r="G55" s="455"/>
      <c r="H55" s="455"/>
      <c r="I55" s="455"/>
      <c r="J55" s="455"/>
      <c r="K55" s="455"/>
      <c r="L55" s="455"/>
      <c r="M55" s="455"/>
      <c r="N55" s="455"/>
      <c r="O55" s="455"/>
      <c r="P55" s="455"/>
      <c r="Q55" s="455"/>
      <c r="R55" s="490"/>
      <c r="S55" s="490"/>
      <c r="T55" s="491">
        <v>43845</v>
      </c>
      <c r="U55" s="452"/>
      <c r="V55" s="430"/>
    </row>
    <row r="56" spans="1:23" s="431" customFormat="1" x14ac:dyDescent="0.3">
      <c r="A56" s="449"/>
      <c r="B56" s="450" t="s">
        <v>127</v>
      </c>
      <c r="C56" s="450"/>
      <c r="D56" s="450"/>
      <c r="E56" s="450"/>
      <c r="F56" s="450"/>
      <c r="G56" s="450"/>
      <c r="H56" s="492"/>
      <c r="I56" s="492"/>
      <c r="J56" s="492"/>
      <c r="K56" s="492"/>
      <c r="L56" s="492"/>
      <c r="M56" s="492"/>
      <c r="N56" s="492"/>
      <c r="O56" s="492"/>
      <c r="P56" s="450">
        <f>+T56-R56+1</f>
        <v>92</v>
      </c>
      <c r="Q56" s="492"/>
      <c r="R56" s="493">
        <v>43661</v>
      </c>
      <c r="S56" s="494"/>
      <c r="T56" s="493">
        <v>43752</v>
      </c>
      <c r="U56" s="452"/>
      <c r="V56" s="430"/>
    </row>
    <row r="57" spans="1:23" s="431" customFormat="1" x14ac:dyDescent="0.3">
      <c r="A57" s="449"/>
      <c r="B57" s="450" t="s">
        <v>128</v>
      </c>
      <c r="C57" s="450"/>
      <c r="D57" s="450"/>
      <c r="E57" s="450"/>
      <c r="F57" s="450"/>
      <c r="G57" s="450"/>
      <c r="H57" s="450"/>
      <c r="I57" s="450"/>
      <c r="J57" s="450"/>
      <c r="K57" s="450"/>
      <c r="L57" s="450"/>
      <c r="M57" s="450"/>
      <c r="N57" s="450"/>
      <c r="O57" s="450"/>
      <c r="P57" s="450">
        <f>+T57-R57+1</f>
        <v>92</v>
      </c>
      <c r="Q57" s="450"/>
      <c r="R57" s="493">
        <v>43753</v>
      </c>
      <c r="S57" s="494"/>
      <c r="T57" s="493">
        <v>43844</v>
      </c>
      <c r="U57" s="452"/>
      <c r="V57" s="430"/>
    </row>
    <row r="58" spans="1:23" s="431" customFormat="1" x14ac:dyDescent="0.3">
      <c r="A58" s="449"/>
      <c r="B58" s="450" t="s">
        <v>344</v>
      </c>
      <c r="C58" s="450"/>
      <c r="D58" s="450"/>
      <c r="E58" s="450"/>
      <c r="F58" s="450"/>
      <c r="G58" s="450"/>
      <c r="H58" s="450"/>
      <c r="I58" s="450"/>
      <c r="J58" s="450"/>
      <c r="K58" s="450"/>
      <c r="L58" s="450"/>
      <c r="M58" s="450"/>
      <c r="N58" s="450"/>
      <c r="O58" s="450"/>
      <c r="P58" s="450"/>
      <c r="Q58" s="450"/>
      <c r="R58" s="493"/>
      <c r="S58" s="494"/>
      <c r="T58" s="493" t="s">
        <v>126</v>
      </c>
      <c r="U58" s="452"/>
      <c r="V58" s="430"/>
    </row>
    <row r="59" spans="1:23" s="431" customFormat="1" x14ac:dyDescent="0.3">
      <c r="A59" s="449"/>
      <c r="B59" s="450" t="s">
        <v>343</v>
      </c>
      <c r="C59" s="450"/>
      <c r="D59" s="450"/>
      <c r="E59" s="450"/>
      <c r="F59" s="450"/>
      <c r="G59" s="450"/>
      <c r="H59" s="450"/>
      <c r="I59" s="450"/>
      <c r="J59" s="450"/>
      <c r="K59" s="450"/>
      <c r="L59" s="450"/>
      <c r="M59" s="450"/>
      <c r="N59" s="450"/>
      <c r="O59" s="450"/>
      <c r="P59" s="450"/>
      <c r="Q59" s="450"/>
      <c r="R59" s="493"/>
      <c r="S59" s="494"/>
      <c r="T59" s="493" t="s">
        <v>160</v>
      </c>
      <c r="U59" s="452"/>
      <c r="V59" s="430"/>
      <c r="W59" s="495"/>
    </row>
    <row r="60" spans="1:23" s="431" customFormat="1" x14ac:dyDescent="0.3">
      <c r="A60" s="449"/>
      <c r="B60" s="450" t="s">
        <v>16</v>
      </c>
      <c r="C60" s="450"/>
      <c r="D60" s="450"/>
      <c r="E60" s="450"/>
      <c r="F60" s="450"/>
      <c r="G60" s="450"/>
      <c r="H60" s="450"/>
      <c r="I60" s="450"/>
      <c r="J60" s="450"/>
      <c r="K60" s="450"/>
      <c r="L60" s="450"/>
      <c r="M60" s="450"/>
      <c r="N60" s="450"/>
      <c r="O60" s="450"/>
      <c r="P60" s="450"/>
      <c r="Q60" s="450"/>
      <c r="R60" s="493"/>
      <c r="S60" s="494"/>
      <c r="T60" s="493">
        <v>43832</v>
      </c>
      <c r="U60" s="452"/>
      <c r="V60" s="430"/>
    </row>
    <row r="61" spans="1:23" s="431" customFormat="1" x14ac:dyDescent="0.3">
      <c r="A61" s="432"/>
      <c r="B61" s="447"/>
      <c r="C61" s="447"/>
      <c r="D61" s="447"/>
      <c r="E61" s="447"/>
      <c r="F61" s="447"/>
      <c r="G61" s="447"/>
      <c r="H61" s="447"/>
      <c r="I61" s="447"/>
      <c r="J61" s="447"/>
      <c r="K61" s="447"/>
      <c r="L61" s="447"/>
      <c r="M61" s="447"/>
      <c r="N61" s="447"/>
      <c r="O61" s="447"/>
      <c r="P61" s="447"/>
      <c r="Q61" s="447"/>
      <c r="R61" s="496"/>
      <c r="S61" s="497"/>
      <c r="T61" s="496"/>
      <c r="U61" s="641"/>
      <c r="V61" s="430"/>
    </row>
    <row r="62" spans="1:23" s="431" customFormat="1" x14ac:dyDescent="0.3">
      <c r="A62" s="432"/>
      <c r="B62" s="433"/>
      <c r="C62" s="433"/>
      <c r="D62" s="433"/>
      <c r="E62" s="433"/>
      <c r="F62" s="433"/>
      <c r="G62" s="433"/>
      <c r="H62" s="433"/>
      <c r="I62" s="433"/>
      <c r="J62" s="433"/>
      <c r="K62" s="433"/>
      <c r="L62" s="433"/>
      <c r="M62" s="433"/>
      <c r="N62" s="433"/>
      <c r="O62" s="433"/>
      <c r="P62" s="433"/>
      <c r="Q62" s="433"/>
      <c r="R62" s="498"/>
      <c r="S62" s="499"/>
      <c r="T62" s="498"/>
      <c r="U62" s="641"/>
      <c r="V62" s="430"/>
    </row>
    <row r="63" spans="1:23" s="431" customFormat="1" ht="18.600000000000001" thickBot="1" x14ac:dyDescent="0.4">
      <c r="A63" s="500"/>
      <c r="B63" s="501" t="s">
        <v>373</v>
      </c>
      <c r="C63" s="502"/>
      <c r="D63" s="502"/>
      <c r="E63" s="502"/>
      <c r="F63" s="502"/>
      <c r="G63" s="502"/>
      <c r="H63" s="502"/>
      <c r="I63" s="502"/>
      <c r="J63" s="502"/>
      <c r="K63" s="502"/>
      <c r="L63" s="502"/>
      <c r="M63" s="502"/>
      <c r="N63" s="502"/>
      <c r="O63" s="502"/>
      <c r="P63" s="502"/>
      <c r="Q63" s="502"/>
      <c r="R63" s="502"/>
      <c r="S63" s="502"/>
      <c r="T63" s="503"/>
      <c r="U63" s="504"/>
      <c r="V63" s="430"/>
    </row>
    <row r="64" spans="1:23" x14ac:dyDescent="0.3">
      <c r="A64" s="505"/>
      <c r="B64" s="506" t="s">
        <v>17</v>
      </c>
      <c r="C64" s="507"/>
      <c r="D64" s="507"/>
      <c r="E64" s="507"/>
      <c r="F64" s="507"/>
      <c r="G64" s="507"/>
      <c r="H64" s="507"/>
      <c r="I64" s="507"/>
      <c r="J64" s="507"/>
      <c r="K64" s="507"/>
      <c r="L64" s="507"/>
      <c r="M64" s="507"/>
      <c r="N64" s="507"/>
      <c r="O64" s="507"/>
      <c r="P64" s="507"/>
      <c r="Q64" s="507"/>
      <c r="R64" s="507"/>
      <c r="S64" s="507"/>
      <c r="T64" s="508"/>
      <c r="U64" s="509"/>
      <c r="V64" s="416"/>
    </row>
    <row r="65" spans="1:22" x14ac:dyDescent="0.3">
      <c r="A65" s="418"/>
      <c r="B65" s="427"/>
      <c r="C65" s="420"/>
      <c r="D65" s="420"/>
      <c r="E65" s="420"/>
      <c r="F65" s="420"/>
      <c r="G65" s="420"/>
      <c r="H65" s="420"/>
      <c r="I65" s="420"/>
      <c r="J65" s="420"/>
      <c r="K65" s="420"/>
      <c r="L65" s="420"/>
      <c r="M65" s="420"/>
      <c r="N65" s="420"/>
      <c r="O65" s="420"/>
      <c r="P65" s="420"/>
      <c r="Q65" s="420"/>
      <c r="R65" s="420"/>
      <c r="S65" s="420"/>
      <c r="T65" s="510"/>
      <c r="U65" s="639"/>
      <c r="V65" s="416"/>
    </row>
    <row r="66" spans="1:22" ht="46.8" x14ac:dyDescent="0.3">
      <c r="A66" s="418"/>
      <c r="B66" s="511" t="s">
        <v>18</v>
      </c>
      <c r="C66" s="512"/>
      <c r="D66" s="512"/>
      <c r="E66" s="512"/>
      <c r="F66" s="512"/>
      <c r="G66" s="512"/>
      <c r="H66" s="512"/>
      <c r="I66" s="512"/>
      <c r="J66" s="512" t="s">
        <v>97</v>
      </c>
      <c r="K66" s="512"/>
      <c r="L66" s="512" t="s">
        <v>99</v>
      </c>
      <c r="M66" s="512"/>
      <c r="N66" s="512" t="s">
        <v>101</v>
      </c>
      <c r="O66" s="512"/>
      <c r="P66" s="512" t="s">
        <v>103</v>
      </c>
      <c r="Q66" s="512"/>
      <c r="R66" s="512" t="s">
        <v>110</v>
      </c>
      <c r="S66" s="512"/>
      <c r="T66" s="513" t="s">
        <v>118</v>
      </c>
      <c r="U66" s="642"/>
      <c r="V66" s="416"/>
    </row>
    <row r="67" spans="1:22" s="431" customFormat="1" x14ac:dyDescent="0.3">
      <c r="A67" s="449"/>
      <c r="B67" s="450" t="s">
        <v>19</v>
      </c>
      <c r="C67" s="514"/>
      <c r="D67" s="514"/>
      <c r="E67" s="514"/>
      <c r="F67" s="514"/>
      <c r="G67" s="514"/>
      <c r="H67" s="514"/>
      <c r="I67" s="514"/>
      <c r="J67" s="514">
        <v>1000039</v>
      </c>
      <c r="K67" s="514"/>
      <c r="L67" s="515">
        <v>364349</v>
      </c>
      <c r="M67" s="514"/>
      <c r="N67" s="514">
        <v>5884</v>
      </c>
      <c r="O67" s="514"/>
      <c r="P67" s="514">
        <v>0</v>
      </c>
      <c r="Q67" s="514"/>
      <c r="R67" s="514">
        <v>0</v>
      </c>
      <c r="S67" s="514"/>
      <c r="T67" s="515">
        <f>+L67-N67+P67-R67</f>
        <v>358465</v>
      </c>
      <c r="U67" s="452"/>
      <c r="V67" s="430"/>
    </row>
    <row r="68" spans="1:22" s="431" customFormat="1" x14ac:dyDescent="0.3">
      <c r="A68" s="449"/>
      <c r="B68" s="450" t="s">
        <v>20</v>
      </c>
      <c r="C68" s="514"/>
      <c r="D68" s="514"/>
      <c r="E68" s="514"/>
      <c r="F68" s="514"/>
      <c r="G68" s="514"/>
      <c r="H68" s="514"/>
      <c r="I68" s="514"/>
      <c r="J68" s="514">
        <v>10</v>
      </c>
      <c r="K68" s="514"/>
      <c r="L68" s="515">
        <v>0</v>
      </c>
      <c r="M68" s="514"/>
      <c r="N68" s="514">
        <v>0</v>
      </c>
      <c r="O68" s="514"/>
      <c r="P68" s="514">
        <v>0</v>
      </c>
      <c r="Q68" s="514"/>
      <c r="R68" s="514">
        <v>0</v>
      </c>
      <c r="S68" s="514"/>
      <c r="T68" s="515">
        <v>0</v>
      </c>
      <c r="U68" s="452"/>
      <c r="V68" s="430"/>
    </row>
    <row r="69" spans="1:22" s="431" customFormat="1" x14ac:dyDescent="0.3">
      <c r="A69" s="449"/>
      <c r="B69" s="450"/>
      <c r="C69" s="514"/>
      <c r="D69" s="514"/>
      <c r="E69" s="514"/>
      <c r="F69" s="514"/>
      <c r="G69" s="514"/>
      <c r="H69" s="514"/>
      <c r="I69" s="514"/>
      <c r="J69" s="514"/>
      <c r="K69" s="514"/>
      <c r="L69" s="515"/>
      <c r="M69" s="514"/>
      <c r="N69" s="514"/>
      <c r="O69" s="514"/>
      <c r="P69" s="514"/>
      <c r="Q69" s="514"/>
      <c r="R69" s="514"/>
      <c r="S69" s="514"/>
      <c r="T69" s="515"/>
      <c r="U69" s="452"/>
      <c r="V69" s="430"/>
    </row>
    <row r="70" spans="1:22" s="431" customFormat="1" x14ac:dyDescent="0.3">
      <c r="A70" s="449"/>
      <c r="B70" s="450" t="s">
        <v>21</v>
      </c>
      <c r="C70" s="514"/>
      <c r="D70" s="514"/>
      <c r="E70" s="514"/>
      <c r="F70" s="514"/>
      <c r="G70" s="514"/>
      <c r="H70" s="514"/>
      <c r="I70" s="514"/>
      <c r="J70" s="514">
        <f>SUM(J67:J69)</f>
        <v>1000049</v>
      </c>
      <c r="K70" s="514"/>
      <c r="L70" s="514">
        <f>L67+L68</f>
        <v>364349</v>
      </c>
      <c r="M70" s="514"/>
      <c r="N70" s="514">
        <f>SUM(N67:N69)</f>
        <v>5884</v>
      </c>
      <c r="O70" s="514"/>
      <c r="P70" s="514">
        <f>SUM(P67:P69)</f>
        <v>0</v>
      </c>
      <c r="Q70" s="514"/>
      <c r="R70" s="514">
        <f>SUM(R67:R69)</f>
        <v>0</v>
      </c>
      <c r="S70" s="514"/>
      <c r="T70" s="514">
        <f>SUM(T67:T69)</f>
        <v>358465</v>
      </c>
      <c r="U70" s="452"/>
      <c r="V70" s="430"/>
    </row>
    <row r="71" spans="1:22" x14ac:dyDescent="0.3">
      <c r="A71" s="418"/>
      <c r="B71" s="516"/>
      <c r="C71" s="517"/>
      <c r="D71" s="517"/>
      <c r="E71" s="517"/>
      <c r="F71" s="517"/>
      <c r="G71" s="517"/>
      <c r="H71" s="517"/>
      <c r="I71" s="517"/>
      <c r="J71" s="517"/>
      <c r="K71" s="517"/>
      <c r="L71" s="517"/>
      <c r="M71" s="517"/>
      <c r="N71" s="517"/>
      <c r="O71" s="517"/>
      <c r="P71" s="517"/>
      <c r="Q71" s="517"/>
      <c r="R71" s="517"/>
      <c r="S71" s="517"/>
      <c r="T71" s="518"/>
      <c r="U71" s="639"/>
      <c r="V71" s="416"/>
    </row>
    <row r="72" spans="1:22" x14ac:dyDescent="0.3">
      <c r="A72" s="418"/>
      <c r="B72" s="422" t="s">
        <v>22</v>
      </c>
      <c r="C72" s="519"/>
      <c r="D72" s="519"/>
      <c r="E72" s="519"/>
      <c r="F72" s="519"/>
      <c r="G72" s="519"/>
      <c r="H72" s="519"/>
      <c r="I72" s="519"/>
      <c r="J72" s="519"/>
      <c r="K72" s="519"/>
      <c r="L72" s="519"/>
      <c r="M72" s="519"/>
      <c r="N72" s="519"/>
      <c r="O72" s="519"/>
      <c r="P72" s="519"/>
      <c r="Q72" s="519"/>
      <c r="R72" s="519"/>
      <c r="S72" s="519"/>
      <c r="T72" s="520"/>
      <c r="U72" s="639"/>
      <c r="V72" s="416"/>
    </row>
    <row r="73" spans="1:22" x14ac:dyDescent="0.3">
      <c r="A73" s="418"/>
      <c r="B73" s="420"/>
      <c r="C73" s="519"/>
      <c r="D73" s="519"/>
      <c r="E73" s="519"/>
      <c r="F73" s="519"/>
      <c r="G73" s="519"/>
      <c r="H73" s="519"/>
      <c r="I73" s="519"/>
      <c r="J73" s="519"/>
      <c r="K73" s="519"/>
      <c r="L73" s="519"/>
      <c r="M73" s="519"/>
      <c r="N73" s="519"/>
      <c r="O73" s="519"/>
      <c r="P73" s="519"/>
      <c r="Q73" s="519"/>
      <c r="R73" s="519"/>
      <c r="S73" s="519"/>
      <c r="T73" s="520"/>
      <c r="U73" s="639"/>
      <c r="V73" s="416"/>
    </row>
    <row r="74" spans="1:22" s="431" customFormat="1" x14ac:dyDescent="0.3">
      <c r="A74" s="449"/>
      <c r="B74" s="450" t="s">
        <v>19</v>
      </c>
      <c r="C74" s="514"/>
      <c r="D74" s="514"/>
      <c r="E74" s="514"/>
      <c r="F74" s="514"/>
      <c r="G74" s="514"/>
      <c r="H74" s="514"/>
      <c r="I74" s="514"/>
      <c r="J74" s="514"/>
      <c r="K74" s="514"/>
      <c r="L74" s="514"/>
      <c r="M74" s="514"/>
      <c r="N74" s="514"/>
      <c r="O74" s="514"/>
      <c r="P74" s="514"/>
      <c r="Q74" s="514"/>
      <c r="R74" s="514"/>
      <c r="S74" s="514"/>
      <c r="T74" s="514"/>
      <c r="U74" s="452"/>
      <c r="V74" s="430"/>
    </row>
    <row r="75" spans="1:22" s="431" customFormat="1" x14ac:dyDescent="0.3">
      <c r="A75" s="449"/>
      <c r="B75" s="450" t="s">
        <v>20</v>
      </c>
      <c r="C75" s="514"/>
      <c r="D75" s="514"/>
      <c r="E75" s="514"/>
      <c r="F75" s="514"/>
      <c r="G75" s="514"/>
      <c r="H75" s="514"/>
      <c r="I75" s="514"/>
      <c r="J75" s="514"/>
      <c r="K75" s="514"/>
      <c r="L75" s="514"/>
      <c r="M75" s="514"/>
      <c r="N75" s="514"/>
      <c r="O75" s="514"/>
      <c r="P75" s="514"/>
      <c r="Q75" s="514"/>
      <c r="R75" s="514"/>
      <c r="S75" s="514"/>
      <c r="T75" s="514"/>
      <c r="U75" s="452"/>
      <c r="V75" s="430"/>
    </row>
    <row r="76" spans="1:22" s="431" customFormat="1" x14ac:dyDescent="0.3">
      <c r="A76" s="449"/>
      <c r="B76" s="450"/>
      <c r="C76" s="514"/>
      <c r="D76" s="514"/>
      <c r="E76" s="514"/>
      <c r="F76" s="514"/>
      <c r="G76" s="514"/>
      <c r="H76" s="514"/>
      <c r="I76" s="514"/>
      <c r="J76" s="514"/>
      <c r="K76" s="514"/>
      <c r="L76" s="514"/>
      <c r="M76" s="514"/>
      <c r="N76" s="514"/>
      <c r="O76" s="514"/>
      <c r="P76" s="514"/>
      <c r="Q76" s="514"/>
      <c r="R76" s="514"/>
      <c r="S76" s="514"/>
      <c r="T76" s="514"/>
      <c r="U76" s="452"/>
      <c r="V76" s="430"/>
    </row>
    <row r="77" spans="1:22" s="431" customFormat="1" x14ac:dyDescent="0.3">
      <c r="A77" s="449"/>
      <c r="B77" s="450" t="s">
        <v>21</v>
      </c>
      <c r="C77" s="514"/>
      <c r="D77" s="514"/>
      <c r="E77" s="514"/>
      <c r="F77" s="514"/>
      <c r="G77" s="514"/>
      <c r="H77" s="514"/>
      <c r="I77" s="514"/>
      <c r="J77" s="514"/>
      <c r="K77" s="514"/>
      <c r="L77" s="514"/>
      <c r="M77" s="514"/>
      <c r="N77" s="514"/>
      <c r="O77" s="514"/>
      <c r="P77" s="514"/>
      <c r="Q77" s="514"/>
      <c r="R77" s="514"/>
      <c r="S77" s="514"/>
      <c r="T77" s="514"/>
      <c r="U77" s="452"/>
      <c r="V77" s="430"/>
    </row>
    <row r="78" spans="1:22" s="431" customFormat="1" x14ac:dyDescent="0.3">
      <c r="A78" s="449"/>
      <c r="B78" s="450"/>
      <c r="C78" s="514"/>
      <c r="D78" s="514"/>
      <c r="E78" s="514"/>
      <c r="F78" s="514"/>
      <c r="G78" s="514"/>
      <c r="H78" s="514"/>
      <c r="I78" s="514"/>
      <c r="J78" s="514"/>
      <c r="K78" s="514"/>
      <c r="L78" s="514"/>
      <c r="M78" s="514"/>
      <c r="N78" s="514"/>
      <c r="O78" s="514"/>
      <c r="P78" s="514"/>
      <c r="Q78" s="514"/>
      <c r="R78" s="514"/>
      <c r="S78" s="514"/>
      <c r="T78" s="514"/>
      <c r="U78" s="452"/>
      <c r="V78" s="430"/>
    </row>
    <row r="79" spans="1:22" s="431" customFormat="1" x14ac:dyDescent="0.3">
      <c r="A79" s="449"/>
      <c r="B79" s="450" t="s">
        <v>23</v>
      </c>
      <c r="C79" s="514"/>
      <c r="D79" s="514"/>
      <c r="E79" s="514"/>
      <c r="F79" s="514"/>
      <c r="G79" s="514"/>
      <c r="H79" s="514"/>
      <c r="I79" s="514"/>
      <c r="J79" s="514">
        <v>0</v>
      </c>
      <c r="K79" s="514"/>
      <c r="L79" s="514">
        <v>0</v>
      </c>
      <c r="M79" s="514"/>
      <c r="N79" s="514"/>
      <c r="O79" s="514"/>
      <c r="P79" s="514"/>
      <c r="Q79" s="514"/>
      <c r="R79" s="514"/>
      <c r="S79" s="514"/>
      <c r="T79" s="515">
        <v>0</v>
      </c>
      <c r="U79" s="452"/>
      <c r="V79" s="430"/>
    </row>
    <row r="80" spans="1:22" s="431" customFormat="1" x14ac:dyDescent="0.3">
      <c r="A80" s="449"/>
      <c r="B80" s="450" t="s">
        <v>123</v>
      </c>
      <c r="C80" s="514"/>
      <c r="D80" s="514"/>
      <c r="E80" s="514"/>
      <c r="F80" s="514"/>
      <c r="G80" s="514"/>
      <c r="H80" s="514"/>
      <c r="I80" s="514"/>
      <c r="J80" s="514">
        <v>0</v>
      </c>
      <c r="K80" s="514"/>
      <c r="L80" s="514">
        <v>0</v>
      </c>
      <c r="M80" s="514"/>
      <c r="N80" s="514"/>
      <c r="O80" s="514"/>
      <c r="P80" s="514"/>
      <c r="Q80" s="514"/>
      <c r="R80" s="514"/>
      <c r="S80" s="514"/>
      <c r="T80" s="514">
        <f>SUM(J80:P80)</f>
        <v>0</v>
      </c>
      <c r="U80" s="452"/>
      <c r="V80" s="430"/>
    </row>
    <row r="81" spans="1:22" s="431" customFormat="1" x14ac:dyDescent="0.3">
      <c r="A81" s="449"/>
      <c r="B81" s="450" t="s">
        <v>152</v>
      </c>
      <c r="C81" s="514"/>
      <c r="D81" s="514"/>
      <c r="E81" s="514"/>
      <c r="F81" s="514"/>
      <c r="G81" s="514"/>
      <c r="H81" s="514"/>
      <c r="I81" s="514"/>
      <c r="J81" s="514">
        <v>1</v>
      </c>
      <c r="K81" s="514"/>
      <c r="L81" s="514">
        <v>0</v>
      </c>
      <c r="M81" s="514"/>
      <c r="N81" s="514">
        <v>0</v>
      </c>
      <c r="O81" s="514"/>
      <c r="P81" s="514"/>
      <c r="Q81" s="514"/>
      <c r="R81" s="514"/>
      <c r="S81" s="514"/>
      <c r="T81" s="514">
        <f>+L81+N81</f>
        <v>0</v>
      </c>
      <c r="U81" s="452"/>
      <c r="V81" s="430"/>
    </row>
    <row r="82" spans="1:22" s="431" customFormat="1" x14ac:dyDescent="0.3">
      <c r="A82" s="449"/>
      <c r="B82" s="450" t="s">
        <v>25</v>
      </c>
      <c r="C82" s="514"/>
      <c r="D82" s="514"/>
      <c r="E82" s="514"/>
      <c r="F82" s="514"/>
      <c r="G82" s="514"/>
      <c r="H82" s="514"/>
      <c r="I82" s="514"/>
      <c r="J82" s="514">
        <v>0</v>
      </c>
      <c r="K82" s="514"/>
      <c r="L82" s="514">
        <v>0</v>
      </c>
      <c r="M82" s="514"/>
      <c r="N82" s="514"/>
      <c r="O82" s="514"/>
      <c r="P82" s="514"/>
      <c r="Q82" s="514"/>
      <c r="R82" s="514"/>
      <c r="S82" s="514"/>
      <c r="T82" s="514">
        <v>0</v>
      </c>
      <c r="U82" s="452"/>
      <c r="V82" s="430"/>
    </row>
    <row r="83" spans="1:22" s="431" customFormat="1" x14ac:dyDescent="0.3">
      <c r="A83" s="449"/>
      <c r="B83" s="450" t="s">
        <v>26</v>
      </c>
      <c r="C83" s="514"/>
      <c r="D83" s="514"/>
      <c r="E83" s="514"/>
      <c r="F83" s="514"/>
      <c r="G83" s="514"/>
      <c r="H83" s="514"/>
      <c r="I83" s="514"/>
      <c r="J83" s="514">
        <f>SUM(J70:J82)</f>
        <v>1000050</v>
      </c>
      <c r="K83" s="514"/>
      <c r="L83" s="514">
        <f>SUM(L70:L82)</f>
        <v>364349</v>
      </c>
      <c r="M83" s="514"/>
      <c r="N83" s="514"/>
      <c r="O83" s="514"/>
      <c r="P83" s="514"/>
      <c r="Q83" s="514"/>
      <c r="R83" s="514"/>
      <c r="S83" s="514"/>
      <c r="T83" s="514">
        <f>SUM(T70:T82)</f>
        <v>358465</v>
      </c>
      <c r="U83" s="452"/>
      <c r="V83" s="430"/>
    </row>
    <row r="84" spans="1:22" x14ac:dyDescent="0.3">
      <c r="A84" s="418"/>
      <c r="B84" s="516"/>
      <c r="C84" s="517"/>
      <c r="D84" s="517"/>
      <c r="E84" s="517"/>
      <c r="F84" s="517"/>
      <c r="G84" s="517"/>
      <c r="H84" s="517"/>
      <c r="I84" s="517"/>
      <c r="J84" s="517"/>
      <c r="K84" s="517"/>
      <c r="L84" s="517"/>
      <c r="M84" s="517"/>
      <c r="N84" s="517"/>
      <c r="O84" s="517"/>
      <c r="P84" s="517"/>
      <c r="Q84" s="517"/>
      <c r="R84" s="517"/>
      <c r="S84" s="517"/>
      <c r="T84" s="518"/>
      <c r="U84" s="639"/>
      <c r="V84" s="416"/>
    </row>
    <row r="85" spans="1:22" x14ac:dyDescent="0.3">
      <c r="A85" s="418"/>
      <c r="B85" s="420"/>
      <c r="C85" s="420"/>
      <c r="D85" s="420"/>
      <c r="E85" s="420"/>
      <c r="F85" s="420"/>
      <c r="G85" s="420"/>
      <c r="H85" s="420"/>
      <c r="I85" s="420"/>
      <c r="J85" s="420"/>
      <c r="K85" s="420"/>
      <c r="L85" s="420"/>
      <c r="M85" s="420"/>
      <c r="N85" s="420"/>
      <c r="O85" s="420"/>
      <c r="P85" s="420"/>
      <c r="Q85" s="420"/>
      <c r="R85" s="420"/>
      <c r="S85" s="420"/>
      <c r="T85" s="420"/>
      <c r="U85" s="639"/>
      <c r="V85" s="416"/>
    </row>
    <row r="86" spans="1:22" x14ac:dyDescent="0.3">
      <c r="A86" s="442"/>
      <c r="B86" s="521" t="s">
        <v>27</v>
      </c>
      <c r="C86" s="521"/>
      <c r="D86" s="521"/>
      <c r="E86" s="521"/>
      <c r="F86" s="521"/>
      <c r="G86" s="521"/>
      <c r="H86" s="522"/>
      <c r="I86" s="522"/>
      <c r="J86" s="523" t="s">
        <v>98</v>
      </c>
      <c r="K86" s="522"/>
      <c r="L86" s="524">
        <f>+R196</f>
        <v>43830</v>
      </c>
      <c r="M86" s="522"/>
      <c r="N86" s="522"/>
      <c r="O86" s="522"/>
      <c r="P86" s="522"/>
      <c r="Q86" s="522"/>
      <c r="R86" s="522" t="s">
        <v>111</v>
      </c>
      <c r="S86" s="522"/>
      <c r="T86" s="522" t="s">
        <v>119</v>
      </c>
      <c r="U86" s="446"/>
      <c r="V86" s="416"/>
    </row>
    <row r="87" spans="1:22" s="431" customFormat="1" x14ac:dyDescent="0.3">
      <c r="A87" s="432"/>
      <c r="B87" s="447" t="s">
        <v>28</v>
      </c>
      <c r="C87" s="447"/>
      <c r="D87" s="447"/>
      <c r="E87" s="447"/>
      <c r="F87" s="447"/>
      <c r="G87" s="447"/>
      <c r="H87" s="447"/>
      <c r="I87" s="447"/>
      <c r="J87" s="447"/>
      <c r="K87" s="447"/>
      <c r="L87" s="447"/>
      <c r="M87" s="447"/>
      <c r="N87" s="447"/>
      <c r="O87" s="447"/>
      <c r="P87" s="447"/>
      <c r="Q87" s="447"/>
      <c r="R87" s="525">
        <v>0</v>
      </c>
      <c r="S87" s="447"/>
      <c r="T87" s="526">
        <v>0</v>
      </c>
      <c r="U87" s="641"/>
      <c r="V87" s="430"/>
    </row>
    <row r="88" spans="1:22" s="431" customFormat="1" x14ac:dyDescent="0.3">
      <c r="A88" s="449"/>
      <c r="B88" s="450" t="s">
        <v>29</v>
      </c>
      <c r="C88" s="450"/>
      <c r="D88" s="450"/>
      <c r="E88" s="450"/>
      <c r="F88" s="450"/>
      <c r="G88" s="450"/>
      <c r="H88" s="486"/>
      <c r="I88" s="527"/>
      <c r="J88" s="486"/>
      <c r="K88" s="450"/>
      <c r="L88" s="528"/>
      <c r="M88" s="450"/>
      <c r="N88" s="450"/>
      <c r="O88" s="450"/>
      <c r="P88" s="450"/>
      <c r="Q88" s="450"/>
      <c r="R88" s="514">
        <f>5884-112</f>
        <v>5772</v>
      </c>
      <c r="S88" s="450"/>
      <c r="T88" s="515"/>
      <c r="U88" s="452"/>
      <c r="V88" s="430"/>
    </row>
    <row r="89" spans="1:22" s="431" customFormat="1" x14ac:dyDescent="0.3">
      <c r="A89" s="449"/>
      <c r="B89" s="450" t="s">
        <v>225</v>
      </c>
      <c r="C89" s="450"/>
      <c r="D89" s="450"/>
      <c r="E89" s="450"/>
      <c r="F89" s="450"/>
      <c r="G89" s="450"/>
      <c r="H89" s="486"/>
      <c r="I89" s="527"/>
      <c r="J89" s="486"/>
      <c r="K89" s="450"/>
      <c r="L89" s="528"/>
      <c r="M89" s="450"/>
      <c r="N89" s="450"/>
      <c r="O89" s="450"/>
      <c r="P89" s="450"/>
      <c r="Q89" s="450"/>
      <c r="R89" s="514"/>
      <c r="S89" s="450"/>
      <c r="T89" s="515">
        <f>1544+1453-375-337</f>
        <v>2285</v>
      </c>
      <c r="U89" s="452"/>
      <c r="V89" s="430"/>
    </row>
    <row r="90" spans="1:22" s="431" customFormat="1" x14ac:dyDescent="0.3">
      <c r="A90" s="449"/>
      <c r="B90" s="450" t="s">
        <v>220</v>
      </c>
      <c r="C90" s="450"/>
      <c r="D90" s="450"/>
      <c r="E90" s="450"/>
      <c r="F90" s="450"/>
      <c r="G90" s="450"/>
      <c r="H90" s="486"/>
      <c r="I90" s="527"/>
      <c r="J90" s="486"/>
      <c r="K90" s="450"/>
      <c r="L90" s="528"/>
      <c r="M90" s="450"/>
      <c r="N90" s="450"/>
      <c r="O90" s="450"/>
      <c r="P90" s="450"/>
      <c r="Q90" s="450"/>
      <c r="R90" s="514"/>
      <c r="S90" s="450"/>
      <c r="T90" s="515">
        <f>17+48</f>
        <v>65</v>
      </c>
      <c r="U90" s="452"/>
      <c r="V90" s="430"/>
    </row>
    <row r="91" spans="1:22" s="431" customFormat="1" x14ac:dyDescent="0.3">
      <c r="A91" s="449"/>
      <c r="B91" s="450" t="s">
        <v>221</v>
      </c>
      <c r="C91" s="450"/>
      <c r="D91" s="450"/>
      <c r="E91" s="450"/>
      <c r="F91" s="450"/>
      <c r="G91" s="450"/>
      <c r="H91" s="486"/>
      <c r="I91" s="527"/>
      <c r="J91" s="486"/>
      <c r="K91" s="450"/>
      <c r="L91" s="528"/>
      <c r="M91" s="450"/>
      <c r="N91" s="450"/>
      <c r="O91" s="450"/>
      <c r="P91" s="450"/>
      <c r="Q91" s="450"/>
      <c r="R91" s="514"/>
      <c r="S91" s="450"/>
      <c r="T91" s="515">
        <v>43</v>
      </c>
      <c r="U91" s="452"/>
      <c r="V91" s="430"/>
    </row>
    <row r="92" spans="1:22" s="431" customFormat="1" x14ac:dyDescent="0.3">
      <c r="A92" s="449"/>
      <c r="B92" s="450" t="s">
        <v>261</v>
      </c>
      <c r="C92" s="450"/>
      <c r="D92" s="450"/>
      <c r="E92" s="450"/>
      <c r="F92" s="450"/>
      <c r="G92" s="450"/>
      <c r="H92" s="486"/>
      <c r="I92" s="527"/>
      <c r="J92" s="486"/>
      <c r="K92" s="450"/>
      <c r="L92" s="528"/>
      <c r="M92" s="450"/>
      <c r="N92" s="450"/>
      <c r="O92" s="450"/>
      <c r="P92" s="450"/>
      <c r="Q92" s="450"/>
      <c r="R92" s="514"/>
      <c r="S92" s="450"/>
      <c r="T92" s="515">
        <v>0</v>
      </c>
      <c r="U92" s="452"/>
      <c r="V92" s="430"/>
    </row>
    <row r="93" spans="1:22" s="431" customFormat="1" x14ac:dyDescent="0.3">
      <c r="A93" s="449"/>
      <c r="B93" s="450" t="s">
        <v>141</v>
      </c>
      <c r="C93" s="450"/>
      <c r="D93" s="450"/>
      <c r="E93" s="450"/>
      <c r="F93" s="450"/>
      <c r="G93" s="450"/>
      <c r="H93" s="450"/>
      <c r="I93" s="450"/>
      <c r="J93" s="450"/>
      <c r="K93" s="450"/>
      <c r="L93" s="450"/>
      <c r="M93" s="450"/>
      <c r="N93" s="450"/>
      <c r="O93" s="450"/>
      <c r="P93" s="450"/>
      <c r="Q93" s="450"/>
      <c r="R93" s="514"/>
      <c r="S93" s="450"/>
      <c r="T93" s="515">
        <v>0</v>
      </c>
      <c r="U93" s="452"/>
      <c r="V93" s="430"/>
    </row>
    <row r="94" spans="1:22" s="431" customFormat="1" x14ac:dyDescent="0.3">
      <c r="A94" s="449"/>
      <c r="B94" s="450" t="s">
        <v>250</v>
      </c>
      <c r="C94" s="450"/>
      <c r="D94" s="450"/>
      <c r="E94" s="450"/>
      <c r="F94" s="450"/>
      <c r="G94" s="450"/>
      <c r="H94" s="450"/>
      <c r="I94" s="450"/>
      <c r="J94" s="450"/>
      <c r="K94" s="450"/>
      <c r="L94" s="450"/>
      <c r="M94" s="450"/>
      <c r="N94" s="450"/>
      <c r="O94" s="450"/>
      <c r="P94" s="450"/>
      <c r="Q94" s="450"/>
      <c r="R94" s="514"/>
      <c r="S94" s="450"/>
      <c r="T94" s="515">
        <v>91</v>
      </c>
      <c r="U94" s="452"/>
      <c r="V94" s="430"/>
    </row>
    <row r="95" spans="1:22" s="431" customFormat="1" x14ac:dyDescent="0.3">
      <c r="A95" s="449"/>
      <c r="B95" s="450" t="s">
        <v>30</v>
      </c>
      <c r="C95" s="450"/>
      <c r="D95" s="450"/>
      <c r="E95" s="450"/>
      <c r="F95" s="450"/>
      <c r="G95" s="450"/>
      <c r="H95" s="450"/>
      <c r="I95" s="450"/>
      <c r="J95" s="450"/>
      <c r="K95" s="450"/>
      <c r="L95" s="450"/>
      <c r="M95" s="450"/>
      <c r="N95" s="450"/>
      <c r="O95" s="450"/>
      <c r="P95" s="450"/>
      <c r="Q95" s="450"/>
      <c r="R95" s="514">
        <f>SUM(R87:R94)</f>
        <v>5772</v>
      </c>
      <c r="S95" s="450"/>
      <c r="T95" s="514">
        <f>SUM(T87:T94)</f>
        <v>2484</v>
      </c>
      <c r="U95" s="452"/>
      <c r="V95" s="430"/>
    </row>
    <row r="96" spans="1:22" s="431" customFormat="1" x14ac:dyDescent="0.3">
      <c r="A96" s="449"/>
      <c r="B96" s="450" t="s">
        <v>168</v>
      </c>
      <c r="C96" s="450"/>
      <c r="D96" s="450"/>
      <c r="E96" s="450"/>
      <c r="F96" s="450"/>
      <c r="G96" s="450"/>
      <c r="H96" s="450"/>
      <c r="I96" s="450"/>
      <c r="J96" s="450"/>
      <c r="K96" s="450"/>
      <c r="L96" s="450"/>
      <c r="M96" s="450"/>
      <c r="N96" s="450"/>
      <c r="O96" s="450"/>
      <c r="P96" s="450"/>
      <c r="Q96" s="450"/>
      <c r="R96" s="514">
        <v>0</v>
      </c>
      <c r="S96" s="450"/>
      <c r="T96" s="514">
        <f>-R96</f>
        <v>0</v>
      </c>
      <c r="U96" s="452"/>
      <c r="V96" s="430"/>
    </row>
    <row r="97" spans="1:24" s="431" customFormat="1" x14ac:dyDescent="0.3">
      <c r="A97" s="449"/>
      <c r="B97" s="450" t="s">
        <v>31</v>
      </c>
      <c r="C97" s="450"/>
      <c r="D97" s="450"/>
      <c r="E97" s="450"/>
      <c r="F97" s="450"/>
      <c r="G97" s="450"/>
      <c r="H97" s="450"/>
      <c r="I97" s="450"/>
      <c r="J97" s="450"/>
      <c r="K97" s="450"/>
      <c r="L97" s="450"/>
      <c r="M97" s="450"/>
      <c r="N97" s="450"/>
      <c r="O97" s="450"/>
      <c r="P97" s="450"/>
      <c r="Q97" s="450"/>
      <c r="R97" s="514">
        <f>-T97</f>
        <v>0</v>
      </c>
      <c r="S97" s="450"/>
      <c r="T97" s="515">
        <v>0</v>
      </c>
      <c r="U97" s="452"/>
      <c r="V97" s="430"/>
    </row>
    <row r="98" spans="1:24" s="431" customFormat="1" x14ac:dyDescent="0.3">
      <c r="A98" s="449"/>
      <c r="B98" s="450" t="s">
        <v>273</v>
      </c>
      <c r="C98" s="450"/>
      <c r="D98" s="450"/>
      <c r="E98" s="450"/>
      <c r="F98" s="450"/>
      <c r="G98" s="450"/>
      <c r="H98" s="450"/>
      <c r="I98" s="450"/>
      <c r="J98" s="450"/>
      <c r="K98" s="450"/>
      <c r="L98" s="450"/>
      <c r="M98" s="450"/>
      <c r="N98" s="450"/>
      <c r="O98" s="450"/>
      <c r="P98" s="450"/>
      <c r="Q98" s="450"/>
      <c r="R98" s="514"/>
      <c r="S98" s="450"/>
      <c r="T98" s="515">
        <v>72</v>
      </c>
      <c r="U98" s="452"/>
      <c r="V98" s="430"/>
    </row>
    <row r="99" spans="1:24" s="431" customFormat="1" x14ac:dyDescent="0.3">
      <c r="A99" s="449"/>
      <c r="B99" s="450" t="s">
        <v>32</v>
      </c>
      <c r="C99" s="450"/>
      <c r="D99" s="450"/>
      <c r="E99" s="450"/>
      <c r="F99" s="450"/>
      <c r="G99" s="450"/>
      <c r="H99" s="450"/>
      <c r="I99" s="450"/>
      <c r="J99" s="450"/>
      <c r="K99" s="450"/>
      <c r="L99" s="450"/>
      <c r="M99" s="450"/>
      <c r="N99" s="450"/>
      <c r="O99" s="450"/>
      <c r="P99" s="450"/>
      <c r="Q99" s="450"/>
      <c r="R99" s="514">
        <f>R95+R97+R96</f>
        <v>5772</v>
      </c>
      <c r="S99" s="450"/>
      <c r="T99" s="514">
        <f>T95+T97+T96+T98</f>
        <v>2556</v>
      </c>
      <c r="U99" s="452"/>
      <c r="V99" s="430"/>
    </row>
    <row r="100" spans="1:24" x14ac:dyDescent="0.3">
      <c r="A100" s="468"/>
      <c r="B100" s="529" t="s">
        <v>33</v>
      </c>
      <c r="C100" s="470"/>
      <c r="D100" s="470"/>
      <c r="E100" s="470"/>
      <c r="F100" s="470"/>
      <c r="G100" s="470"/>
      <c r="H100" s="470"/>
      <c r="I100" s="470"/>
      <c r="J100" s="470"/>
      <c r="K100" s="470"/>
      <c r="L100" s="470"/>
      <c r="M100" s="470"/>
      <c r="N100" s="470"/>
      <c r="O100" s="470"/>
      <c r="P100" s="470"/>
      <c r="Q100" s="470"/>
      <c r="R100" s="530"/>
      <c r="S100" s="470"/>
      <c r="T100" s="531"/>
      <c r="U100" s="476"/>
      <c r="V100" s="416"/>
    </row>
    <row r="101" spans="1:24" s="431" customFormat="1" x14ac:dyDescent="0.3">
      <c r="A101" s="449">
        <v>1</v>
      </c>
      <c r="B101" s="450" t="s">
        <v>34</v>
      </c>
      <c r="C101" s="450"/>
      <c r="D101" s="450"/>
      <c r="E101" s="450"/>
      <c r="F101" s="450"/>
      <c r="G101" s="450"/>
      <c r="H101" s="450"/>
      <c r="I101" s="450"/>
      <c r="J101" s="450"/>
      <c r="K101" s="450"/>
      <c r="L101" s="450"/>
      <c r="M101" s="450"/>
      <c r="N101" s="450"/>
      <c r="O101" s="450"/>
      <c r="P101" s="450"/>
      <c r="Q101" s="450"/>
      <c r="R101" s="450"/>
      <c r="S101" s="450"/>
      <c r="T101" s="515">
        <v>0</v>
      </c>
      <c r="U101" s="452"/>
      <c r="V101" s="430"/>
    </row>
    <row r="102" spans="1:24" s="431" customFormat="1" x14ac:dyDescent="0.3">
      <c r="A102" s="449">
        <f>+A101+1</f>
        <v>2</v>
      </c>
      <c r="B102" s="450" t="s">
        <v>312</v>
      </c>
      <c r="C102" s="450"/>
      <c r="D102" s="450"/>
      <c r="E102" s="450"/>
      <c r="F102" s="450"/>
      <c r="G102" s="450"/>
      <c r="H102" s="450"/>
      <c r="I102" s="450"/>
      <c r="J102" s="450"/>
      <c r="K102" s="450"/>
      <c r="L102" s="450"/>
      <c r="M102" s="450"/>
      <c r="N102" s="450"/>
      <c r="O102" s="450"/>
      <c r="P102" s="450"/>
      <c r="Q102" s="450"/>
      <c r="R102" s="450"/>
      <c r="S102" s="450"/>
      <c r="T102" s="515">
        <v>-2</v>
      </c>
      <c r="U102" s="452"/>
      <c r="V102" s="430"/>
    </row>
    <row r="103" spans="1:24" s="431" customFormat="1" x14ac:dyDescent="0.3">
      <c r="A103" s="449">
        <f>+A102+1</f>
        <v>3</v>
      </c>
      <c r="B103" s="532" t="s">
        <v>314</v>
      </c>
      <c r="C103" s="450"/>
      <c r="D103" s="450"/>
      <c r="E103" s="450"/>
      <c r="F103" s="450"/>
      <c r="G103" s="450"/>
      <c r="H103" s="450"/>
      <c r="I103" s="450"/>
      <c r="J103" s="450"/>
      <c r="K103" s="450"/>
      <c r="L103" s="450"/>
      <c r="M103" s="450"/>
      <c r="N103" s="450"/>
      <c r="O103" s="450"/>
      <c r="P103" s="450"/>
      <c r="Q103" s="450"/>
      <c r="R103" s="450"/>
      <c r="S103" s="450"/>
      <c r="T103" s="515">
        <f>-140-40-5</f>
        <v>-185</v>
      </c>
      <c r="U103" s="452"/>
      <c r="V103" s="430"/>
    </row>
    <row r="104" spans="1:24" s="431" customFormat="1" x14ac:dyDescent="0.3">
      <c r="A104" s="449" t="s">
        <v>133</v>
      </c>
      <c r="B104" s="450" t="s">
        <v>122</v>
      </c>
      <c r="C104" s="450"/>
      <c r="D104" s="450"/>
      <c r="E104" s="450"/>
      <c r="F104" s="450"/>
      <c r="G104" s="450"/>
      <c r="H104" s="450"/>
      <c r="I104" s="450"/>
      <c r="J104" s="450"/>
      <c r="K104" s="450"/>
      <c r="L104" s="450"/>
      <c r="M104" s="450"/>
      <c r="N104" s="450"/>
      <c r="O104" s="450"/>
      <c r="P104" s="450"/>
      <c r="Q104" s="450"/>
      <c r="R104" s="450"/>
      <c r="S104" s="450"/>
      <c r="T104" s="515">
        <v>0</v>
      </c>
      <c r="U104" s="452"/>
      <c r="V104" s="430"/>
    </row>
    <row r="105" spans="1:24" s="431" customFormat="1" x14ac:dyDescent="0.3">
      <c r="A105" s="449" t="s">
        <v>134</v>
      </c>
      <c r="B105" s="450" t="s">
        <v>348</v>
      </c>
      <c r="C105" s="450"/>
      <c r="D105" s="450"/>
      <c r="E105" s="450"/>
      <c r="F105" s="450"/>
      <c r="G105" s="450"/>
      <c r="H105" s="450"/>
      <c r="I105" s="450"/>
      <c r="J105" s="450"/>
      <c r="K105" s="450"/>
      <c r="L105" s="450"/>
      <c r="M105" s="450"/>
      <c r="N105" s="450"/>
      <c r="O105" s="450"/>
      <c r="P105" s="450"/>
      <c r="Q105" s="450"/>
      <c r="R105" s="450"/>
      <c r="S105" s="450"/>
      <c r="T105" s="515">
        <f>-390-119</f>
        <v>-509</v>
      </c>
      <c r="U105" s="452"/>
      <c r="V105" s="430"/>
      <c r="W105" s="533"/>
    </row>
    <row r="106" spans="1:24" s="431" customFormat="1" x14ac:dyDescent="0.3">
      <c r="A106" s="449" t="s">
        <v>156</v>
      </c>
      <c r="B106" s="450" t="s">
        <v>349</v>
      </c>
      <c r="C106" s="450"/>
      <c r="D106" s="450"/>
      <c r="E106" s="450"/>
      <c r="F106" s="450"/>
      <c r="G106" s="450"/>
      <c r="H106" s="450"/>
      <c r="I106" s="450"/>
      <c r="J106" s="450"/>
      <c r="K106" s="450"/>
      <c r="L106" s="450"/>
      <c r="M106" s="450"/>
      <c r="N106" s="450"/>
      <c r="O106" s="450"/>
      <c r="P106" s="450"/>
      <c r="Q106" s="450"/>
      <c r="R106" s="450"/>
      <c r="S106" s="450"/>
      <c r="T106" s="515">
        <f>-120</f>
        <v>-120</v>
      </c>
      <c r="U106" s="452"/>
      <c r="V106" s="430"/>
      <c r="W106" s="533"/>
    </row>
    <row r="107" spans="1:24" s="431" customFormat="1" x14ac:dyDescent="0.3">
      <c r="A107" s="449" t="s">
        <v>214</v>
      </c>
      <c r="B107" s="450" t="s">
        <v>192</v>
      </c>
      <c r="C107" s="450"/>
      <c r="D107" s="450"/>
      <c r="E107" s="450"/>
      <c r="F107" s="450"/>
      <c r="G107" s="450"/>
      <c r="H107" s="450"/>
      <c r="I107" s="450"/>
      <c r="J107" s="450"/>
      <c r="K107" s="450"/>
      <c r="L107" s="450"/>
      <c r="M107" s="450"/>
      <c r="N107" s="450"/>
      <c r="O107" s="450"/>
      <c r="P107" s="450"/>
      <c r="Q107" s="450"/>
      <c r="R107" s="450"/>
      <c r="S107" s="450"/>
      <c r="T107" s="515">
        <v>-135</v>
      </c>
      <c r="U107" s="452"/>
      <c r="V107" s="430"/>
      <c r="W107" s="533"/>
      <c r="X107" s="533"/>
    </row>
    <row r="108" spans="1:24" s="431" customFormat="1" x14ac:dyDescent="0.3">
      <c r="A108" s="449" t="s">
        <v>215</v>
      </c>
      <c r="B108" s="450" t="s">
        <v>193</v>
      </c>
      <c r="C108" s="450"/>
      <c r="D108" s="450"/>
      <c r="E108" s="450"/>
      <c r="F108" s="450"/>
      <c r="G108" s="450"/>
      <c r="H108" s="450"/>
      <c r="I108" s="450"/>
      <c r="J108" s="450"/>
      <c r="K108" s="450"/>
      <c r="L108" s="450"/>
      <c r="M108" s="450"/>
      <c r="N108" s="450"/>
      <c r="O108" s="450"/>
      <c r="P108" s="450"/>
      <c r="Q108" s="450"/>
      <c r="R108" s="450"/>
      <c r="S108" s="450"/>
      <c r="T108" s="515">
        <v>-37</v>
      </c>
      <c r="U108" s="452"/>
      <c r="V108" s="534"/>
      <c r="W108" s="533"/>
    </row>
    <row r="109" spans="1:24" s="431" customFormat="1" x14ac:dyDescent="0.3">
      <c r="A109" s="449" t="s">
        <v>216</v>
      </c>
      <c r="B109" s="450" t="s">
        <v>204</v>
      </c>
      <c r="C109" s="450"/>
      <c r="D109" s="450"/>
      <c r="E109" s="450"/>
      <c r="F109" s="450"/>
      <c r="G109" s="450"/>
      <c r="H109" s="450"/>
      <c r="I109" s="450"/>
      <c r="J109" s="450"/>
      <c r="K109" s="450"/>
      <c r="L109" s="450"/>
      <c r="M109" s="450"/>
      <c r="N109" s="450"/>
      <c r="O109" s="450"/>
      <c r="P109" s="450"/>
      <c r="Q109" s="450"/>
      <c r="R109" s="450"/>
      <c r="S109" s="450"/>
      <c r="T109" s="515">
        <v>-195</v>
      </c>
      <c r="U109" s="452"/>
      <c r="V109" s="430"/>
      <c r="W109" s="533"/>
    </row>
    <row r="110" spans="1:24" s="431" customFormat="1" x14ac:dyDescent="0.3">
      <c r="A110" s="535">
        <v>7</v>
      </c>
      <c r="B110" s="532" t="s">
        <v>313</v>
      </c>
      <c r="C110" s="532"/>
      <c r="D110" s="532"/>
      <c r="E110" s="532"/>
      <c r="F110" s="532"/>
      <c r="G110" s="450"/>
      <c r="H110" s="450"/>
      <c r="I110" s="450"/>
      <c r="J110" s="450"/>
      <c r="K110" s="450"/>
      <c r="L110" s="450"/>
      <c r="M110" s="450"/>
      <c r="N110" s="450"/>
      <c r="O110" s="450"/>
      <c r="P110" s="450"/>
      <c r="Q110" s="450"/>
      <c r="R110" s="450"/>
      <c r="S110" s="450"/>
      <c r="T110" s="515">
        <v>0</v>
      </c>
      <c r="U110" s="452"/>
      <c r="V110" s="430"/>
      <c r="W110" s="533"/>
    </row>
    <row r="111" spans="1:24" s="431" customFormat="1" x14ac:dyDescent="0.3">
      <c r="A111" s="449">
        <f t="shared" ref="A111:A120" si="0">+A110+1</f>
        <v>8</v>
      </c>
      <c r="B111" s="450" t="s">
        <v>35</v>
      </c>
      <c r="C111" s="450"/>
      <c r="D111" s="450"/>
      <c r="E111" s="450"/>
      <c r="F111" s="450"/>
      <c r="G111" s="450"/>
      <c r="H111" s="450"/>
      <c r="I111" s="450"/>
      <c r="J111" s="450"/>
      <c r="K111" s="450"/>
      <c r="L111" s="450"/>
      <c r="M111" s="450"/>
      <c r="N111" s="450"/>
      <c r="O111" s="450"/>
      <c r="P111" s="450"/>
      <c r="Q111" s="450"/>
      <c r="R111" s="450"/>
      <c r="S111" s="450"/>
      <c r="T111" s="515">
        <v>-10</v>
      </c>
      <c r="U111" s="452"/>
      <c r="V111" s="430"/>
    </row>
    <row r="112" spans="1:24" s="431" customFormat="1" x14ac:dyDescent="0.3">
      <c r="A112" s="449">
        <f t="shared" si="0"/>
        <v>9</v>
      </c>
      <c r="B112" s="450" t="s">
        <v>46</v>
      </c>
      <c r="C112" s="450"/>
      <c r="D112" s="450"/>
      <c r="E112" s="450"/>
      <c r="F112" s="450"/>
      <c r="G112" s="450"/>
      <c r="H112" s="450"/>
      <c r="I112" s="450"/>
      <c r="J112" s="450"/>
      <c r="K112" s="450"/>
      <c r="L112" s="450"/>
      <c r="M112" s="450"/>
      <c r="N112" s="450"/>
      <c r="O112" s="450"/>
      <c r="P112" s="450"/>
      <c r="Q112" s="450"/>
      <c r="R112" s="514">
        <f>-T112</f>
        <v>112</v>
      </c>
      <c r="S112" s="450"/>
      <c r="T112" s="515">
        <v>-112</v>
      </c>
      <c r="U112" s="452"/>
      <c r="V112" s="430"/>
    </row>
    <row r="113" spans="1:22" s="431" customFormat="1" x14ac:dyDescent="0.3">
      <c r="A113" s="449">
        <f t="shared" si="0"/>
        <v>10</v>
      </c>
      <c r="B113" s="450" t="s">
        <v>131</v>
      </c>
      <c r="C113" s="450"/>
      <c r="D113" s="450"/>
      <c r="E113" s="450"/>
      <c r="F113" s="450"/>
      <c r="G113" s="450"/>
      <c r="H113" s="450"/>
      <c r="I113" s="450"/>
      <c r="J113" s="450"/>
      <c r="K113" s="450"/>
      <c r="L113" s="450"/>
      <c r="M113" s="450"/>
      <c r="N113" s="450"/>
      <c r="O113" s="450"/>
      <c r="P113" s="450"/>
      <c r="Q113" s="450"/>
      <c r="R113" s="450"/>
      <c r="S113" s="450"/>
      <c r="T113" s="515">
        <v>0</v>
      </c>
      <c r="U113" s="452"/>
      <c r="V113" s="430"/>
    </row>
    <row r="114" spans="1:22" s="431" customFormat="1" x14ac:dyDescent="0.3">
      <c r="A114" s="449">
        <f t="shared" si="0"/>
        <v>11</v>
      </c>
      <c r="B114" s="450" t="s">
        <v>36</v>
      </c>
      <c r="C114" s="450"/>
      <c r="D114" s="450"/>
      <c r="E114" s="450"/>
      <c r="F114" s="450"/>
      <c r="G114" s="450"/>
      <c r="H114" s="450"/>
      <c r="I114" s="450"/>
      <c r="J114" s="450"/>
      <c r="K114" s="450"/>
      <c r="L114" s="450"/>
      <c r="M114" s="450"/>
      <c r="N114" s="450"/>
      <c r="O114" s="450"/>
      <c r="P114" s="450"/>
      <c r="Q114" s="450"/>
      <c r="R114" s="450"/>
      <c r="S114" s="450"/>
      <c r="T114" s="515">
        <v>0</v>
      </c>
      <c r="U114" s="452"/>
      <c r="V114" s="430"/>
    </row>
    <row r="115" spans="1:22" s="431" customFormat="1" x14ac:dyDescent="0.3">
      <c r="A115" s="449">
        <f t="shared" si="0"/>
        <v>12</v>
      </c>
      <c r="B115" s="450" t="s">
        <v>37</v>
      </c>
      <c r="C115" s="450"/>
      <c r="D115" s="450"/>
      <c r="E115" s="450"/>
      <c r="F115" s="450"/>
      <c r="G115" s="450"/>
      <c r="H115" s="450"/>
      <c r="I115" s="450"/>
      <c r="J115" s="450"/>
      <c r="K115" s="450"/>
      <c r="L115" s="450"/>
      <c r="M115" s="450"/>
      <c r="N115" s="450"/>
      <c r="O115" s="450"/>
      <c r="P115" s="450"/>
      <c r="Q115" s="450"/>
      <c r="R115" s="450"/>
      <c r="S115" s="450"/>
      <c r="T115" s="515">
        <v>0</v>
      </c>
      <c r="U115" s="452"/>
      <c r="V115" s="430"/>
    </row>
    <row r="116" spans="1:22" s="431" customFormat="1" x14ac:dyDescent="0.3">
      <c r="A116" s="449">
        <f t="shared" si="0"/>
        <v>13</v>
      </c>
      <c r="B116" s="450" t="s">
        <v>155</v>
      </c>
      <c r="C116" s="450"/>
      <c r="D116" s="450"/>
      <c r="E116" s="450"/>
      <c r="F116" s="450"/>
      <c r="G116" s="450"/>
      <c r="H116" s="450"/>
      <c r="I116" s="450"/>
      <c r="J116" s="450"/>
      <c r="K116" s="450"/>
      <c r="L116" s="450"/>
      <c r="M116" s="450"/>
      <c r="N116" s="450"/>
      <c r="O116" s="450"/>
      <c r="P116" s="450"/>
      <c r="Q116" s="450"/>
      <c r="R116" s="450"/>
      <c r="S116" s="450"/>
      <c r="T116" s="515">
        <v>-140</v>
      </c>
      <c r="U116" s="452"/>
      <c r="V116" s="430"/>
    </row>
    <row r="117" spans="1:22" s="431" customFormat="1" x14ac:dyDescent="0.3">
      <c r="A117" s="449">
        <f t="shared" si="0"/>
        <v>14</v>
      </c>
      <c r="B117" s="648" t="s">
        <v>368</v>
      </c>
      <c r="C117" s="450"/>
      <c r="D117" s="450"/>
      <c r="E117" s="450"/>
      <c r="F117" s="450"/>
      <c r="G117" s="450"/>
      <c r="H117" s="450"/>
      <c r="I117" s="450"/>
      <c r="J117" s="450"/>
      <c r="K117" s="450"/>
      <c r="L117" s="450"/>
      <c r="M117" s="450"/>
      <c r="N117" s="450"/>
      <c r="O117" s="450"/>
      <c r="P117" s="450"/>
      <c r="Q117" s="450"/>
      <c r="R117" s="450"/>
      <c r="S117" s="450"/>
      <c r="T117" s="515">
        <v>-230</v>
      </c>
      <c r="U117" s="452"/>
      <c r="V117" s="430"/>
    </row>
    <row r="118" spans="1:22" s="431" customFormat="1" x14ac:dyDescent="0.3">
      <c r="A118" s="449">
        <f t="shared" si="0"/>
        <v>15</v>
      </c>
      <c r="B118" s="649" t="s">
        <v>369</v>
      </c>
      <c r="C118" s="450"/>
      <c r="D118" s="450"/>
      <c r="E118" s="450"/>
      <c r="F118" s="450"/>
      <c r="G118" s="450"/>
      <c r="H118" s="450"/>
      <c r="I118" s="450"/>
      <c r="J118" s="450"/>
      <c r="K118" s="450"/>
      <c r="L118" s="450"/>
      <c r="M118" s="450"/>
      <c r="N118" s="450"/>
      <c r="O118" s="450"/>
      <c r="P118" s="450"/>
      <c r="Q118" s="450"/>
      <c r="R118" s="450"/>
      <c r="S118" s="450"/>
      <c r="T118" s="515">
        <v>-91</v>
      </c>
      <c r="U118" s="452"/>
      <c r="V118" s="430"/>
    </row>
    <row r="119" spans="1:22" s="431" customFormat="1" x14ac:dyDescent="0.3">
      <c r="A119" s="449">
        <f t="shared" si="0"/>
        <v>16</v>
      </c>
      <c r="B119" s="649" t="s">
        <v>370</v>
      </c>
      <c r="C119" s="450"/>
      <c r="D119" s="450"/>
      <c r="E119" s="450"/>
      <c r="F119" s="450"/>
      <c r="G119" s="450"/>
      <c r="H119" s="450"/>
      <c r="I119" s="450"/>
      <c r="J119" s="450"/>
      <c r="K119" s="450"/>
      <c r="L119" s="450"/>
      <c r="M119" s="450"/>
      <c r="N119" s="450"/>
      <c r="O119" s="450"/>
      <c r="P119" s="450"/>
      <c r="Q119" s="450"/>
      <c r="R119" s="450"/>
      <c r="S119" s="450"/>
      <c r="T119" s="515">
        <v>0</v>
      </c>
      <c r="U119" s="452"/>
      <c r="V119" s="430"/>
    </row>
    <row r="120" spans="1:22" s="431" customFormat="1" x14ac:dyDescent="0.3">
      <c r="A120" s="449">
        <f t="shared" si="0"/>
        <v>17</v>
      </c>
      <c r="B120" s="649" t="s">
        <v>371</v>
      </c>
      <c r="C120" s="450"/>
      <c r="D120" s="450"/>
      <c r="E120" s="450"/>
      <c r="F120" s="450"/>
      <c r="G120" s="450"/>
      <c r="H120" s="450"/>
      <c r="I120" s="450"/>
      <c r="J120" s="450"/>
      <c r="K120" s="450"/>
      <c r="L120" s="450"/>
      <c r="M120" s="450"/>
      <c r="N120" s="450"/>
      <c r="O120" s="450"/>
      <c r="P120" s="450"/>
      <c r="Q120" s="450"/>
      <c r="R120" s="450"/>
      <c r="S120" s="450"/>
      <c r="T120" s="515">
        <f>-T99-SUM(T101:T119)</f>
        <v>-790</v>
      </c>
      <c r="U120" s="452"/>
      <c r="V120" s="430"/>
    </row>
    <row r="121" spans="1:22" x14ac:dyDescent="0.3">
      <c r="A121" s="468"/>
      <c r="B121" s="529" t="s">
        <v>38</v>
      </c>
      <c r="C121" s="470"/>
      <c r="D121" s="470"/>
      <c r="E121" s="470"/>
      <c r="F121" s="470"/>
      <c r="G121" s="470"/>
      <c r="H121" s="470"/>
      <c r="I121" s="470"/>
      <c r="J121" s="470"/>
      <c r="K121" s="470"/>
      <c r="L121" s="470"/>
      <c r="M121" s="470"/>
      <c r="N121" s="470"/>
      <c r="O121" s="470"/>
      <c r="P121" s="470"/>
      <c r="Q121" s="470"/>
      <c r="R121" s="470"/>
      <c r="S121" s="470"/>
      <c r="T121" s="536"/>
      <c r="U121" s="476"/>
      <c r="V121" s="416"/>
    </row>
    <row r="122" spans="1:22" s="431" customFormat="1" x14ac:dyDescent="0.3">
      <c r="A122" s="449"/>
      <c r="B122" s="450" t="s">
        <v>180</v>
      </c>
      <c r="C122" s="450"/>
      <c r="D122" s="450"/>
      <c r="E122" s="450"/>
      <c r="F122" s="450"/>
      <c r="G122" s="450"/>
      <c r="H122" s="450"/>
      <c r="I122" s="450"/>
      <c r="J122" s="450"/>
      <c r="K122" s="450"/>
      <c r="L122" s="450"/>
      <c r="M122" s="450"/>
      <c r="N122" s="450"/>
      <c r="O122" s="450"/>
      <c r="P122" s="450"/>
      <c r="Q122" s="450"/>
      <c r="R122" s="514">
        <f>-R180</f>
        <v>0</v>
      </c>
      <c r="S122" s="514"/>
      <c r="T122" s="515"/>
      <c r="U122" s="452"/>
      <c r="V122" s="430"/>
    </row>
    <row r="123" spans="1:22" s="431" customFormat="1" x14ac:dyDescent="0.3">
      <c r="A123" s="449"/>
      <c r="B123" s="450" t="s">
        <v>181</v>
      </c>
      <c r="C123" s="450"/>
      <c r="D123" s="450"/>
      <c r="E123" s="450"/>
      <c r="F123" s="450"/>
      <c r="G123" s="450"/>
      <c r="H123" s="450"/>
      <c r="I123" s="450"/>
      <c r="J123" s="450"/>
      <c r="K123" s="450"/>
      <c r="L123" s="450"/>
      <c r="M123" s="450"/>
      <c r="N123" s="450"/>
      <c r="O123" s="450"/>
      <c r="P123" s="450"/>
      <c r="Q123" s="450"/>
      <c r="R123" s="514">
        <v>0</v>
      </c>
      <c r="S123" s="514"/>
      <c r="T123" s="515"/>
      <c r="U123" s="452"/>
      <c r="V123" s="430"/>
    </row>
    <row r="124" spans="1:22" s="431" customFormat="1" x14ac:dyDescent="0.3">
      <c r="A124" s="449"/>
      <c r="B124" s="450" t="s">
        <v>39</v>
      </c>
      <c r="C124" s="450"/>
      <c r="D124" s="450"/>
      <c r="E124" s="450"/>
      <c r="F124" s="450"/>
      <c r="G124" s="450"/>
      <c r="H124" s="450"/>
      <c r="I124" s="450"/>
      <c r="J124" s="450"/>
      <c r="K124" s="450"/>
      <c r="L124" s="450"/>
      <c r="M124" s="450"/>
      <c r="N124" s="450"/>
      <c r="O124" s="450"/>
      <c r="P124" s="450"/>
      <c r="Q124" s="450"/>
      <c r="R124" s="514">
        <f>-Q180</f>
        <v>0</v>
      </c>
      <c r="S124" s="514"/>
      <c r="T124" s="515"/>
      <c r="U124" s="452"/>
      <c r="V124" s="430"/>
    </row>
    <row r="125" spans="1:22" s="431" customFormat="1" x14ac:dyDescent="0.3">
      <c r="A125" s="449"/>
      <c r="B125" s="450" t="s">
        <v>372</v>
      </c>
      <c r="C125" s="450"/>
      <c r="D125" s="450"/>
      <c r="E125" s="450"/>
      <c r="F125" s="450"/>
      <c r="G125" s="450"/>
      <c r="H125" s="450"/>
      <c r="I125" s="450"/>
      <c r="J125" s="450"/>
      <c r="K125" s="450"/>
      <c r="L125" s="450"/>
      <c r="M125" s="450"/>
      <c r="N125" s="450"/>
      <c r="O125" s="450"/>
      <c r="P125" s="450"/>
      <c r="Q125" s="450"/>
      <c r="R125" s="514">
        <v>-2824</v>
      </c>
      <c r="S125" s="514"/>
      <c r="T125" s="515"/>
      <c r="U125" s="452"/>
      <c r="V125" s="430"/>
    </row>
    <row r="126" spans="1:22" s="431" customFormat="1" x14ac:dyDescent="0.3">
      <c r="A126" s="449"/>
      <c r="B126" s="450" t="s">
        <v>203</v>
      </c>
      <c r="C126" s="450"/>
      <c r="D126" s="450"/>
      <c r="E126" s="450"/>
      <c r="F126" s="450"/>
      <c r="G126" s="450"/>
      <c r="H126" s="450"/>
      <c r="I126" s="450"/>
      <c r="J126" s="450"/>
      <c r="K126" s="450"/>
      <c r="L126" s="450"/>
      <c r="M126" s="450"/>
      <c r="N126" s="450"/>
      <c r="O126" s="450"/>
      <c r="P126" s="450"/>
      <c r="Q126" s="450"/>
      <c r="R126" s="514">
        <v>-744</v>
      </c>
      <c r="S126" s="514"/>
      <c r="T126" s="515"/>
      <c r="U126" s="452"/>
      <c r="V126" s="430"/>
    </row>
    <row r="127" spans="1:22" s="431" customFormat="1" x14ac:dyDescent="0.3">
      <c r="A127" s="449"/>
      <c r="B127" s="450" t="s">
        <v>202</v>
      </c>
      <c r="C127" s="450"/>
      <c r="D127" s="450"/>
      <c r="E127" s="450"/>
      <c r="F127" s="450"/>
      <c r="G127" s="450"/>
      <c r="H127" s="450"/>
      <c r="I127" s="450"/>
      <c r="J127" s="450"/>
      <c r="K127" s="450"/>
      <c r="L127" s="450"/>
      <c r="M127" s="450"/>
      <c r="N127" s="450"/>
      <c r="O127" s="450"/>
      <c r="P127" s="450"/>
      <c r="Q127" s="450"/>
      <c r="R127" s="514">
        <v>-750</v>
      </c>
      <c r="S127" s="514"/>
      <c r="T127" s="515"/>
      <c r="U127" s="452"/>
      <c r="V127" s="430"/>
    </row>
    <row r="128" spans="1:22" s="431" customFormat="1" x14ac:dyDescent="0.3">
      <c r="A128" s="449"/>
      <c r="B128" s="450" t="s">
        <v>197</v>
      </c>
      <c r="C128" s="450"/>
      <c r="D128" s="450"/>
      <c r="E128" s="450"/>
      <c r="F128" s="450"/>
      <c r="G128" s="450"/>
      <c r="H128" s="450"/>
      <c r="I128" s="450"/>
      <c r="J128" s="450"/>
      <c r="K128" s="450"/>
      <c r="L128" s="450"/>
      <c r="M128" s="450"/>
      <c r="N128" s="450"/>
      <c r="O128" s="450"/>
      <c r="P128" s="450"/>
      <c r="Q128" s="450"/>
      <c r="R128" s="514">
        <v>-189</v>
      </c>
      <c r="S128" s="514"/>
      <c r="T128" s="515"/>
      <c r="U128" s="452"/>
      <c r="V128" s="430"/>
    </row>
    <row r="129" spans="1:22" s="431" customFormat="1" x14ac:dyDescent="0.3">
      <c r="A129" s="449"/>
      <c r="B129" s="450" t="s">
        <v>196</v>
      </c>
      <c r="C129" s="450"/>
      <c r="D129" s="450"/>
      <c r="E129" s="450"/>
      <c r="F129" s="450"/>
      <c r="G129" s="450"/>
      <c r="H129" s="450"/>
      <c r="I129" s="450"/>
      <c r="J129" s="450"/>
      <c r="K129" s="450"/>
      <c r="L129" s="450"/>
      <c r="M129" s="450"/>
      <c r="N129" s="450"/>
      <c r="O129" s="450"/>
      <c r="P129" s="450"/>
      <c r="Q129" s="450"/>
      <c r="R129" s="514">
        <v>-668</v>
      </c>
      <c r="S129" s="514"/>
      <c r="T129" s="515"/>
      <c r="U129" s="452"/>
      <c r="V129" s="430"/>
    </row>
    <row r="130" spans="1:22" s="431" customFormat="1" x14ac:dyDescent="0.3">
      <c r="A130" s="449"/>
      <c r="B130" s="450" t="s">
        <v>195</v>
      </c>
      <c r="C130" s="450"/>
      <c r="D130" s="450"/>
      <c r="E130" s="450"/>
      <c r="F130" s="450"/>
      <c r="G130" s="450"/>
      <c r="H130" s="450"/>
      <c r="I130" s="450"/>
      <c r="J130" s="450"/>
      <c r="K130" s="450"/>
      <c r="L130" s="450"/>
      <c r="M130" s="450"/>
      <c r="N130" s="450"/>
      <c r="O130" s="450"/>
      <c r="P130" s="450"/>
      <c r="Q130" s="450"/>
      <c r="R130" s="514">
        <v>-709</v>
      </c>
      <c r="S130" s="514"/>
      <c r="T130" s="515"/>
      <c r="U130" s="452"/>
      <c r="V130" s="430"/>
    </row>
    <row r="131" spans="1:22" s="431" customFormat="1" x14ac:dyDescent="0.3">
      <c r="A131" s="449"/>
      <c r="B131" s="450" t="s">
        <v>40</v>
      </c>
      <c r="C131" s="450"/>
      <c r="D131" s="450"/>
      <c r="E131" s="450"/>
      <c r="F131" s="450"/>
      <c r="G131" s="450"/>
      <c r="H131" s="450"/>
      <c r="I131" s="450"/>
      <c r="J131" s="450"/>
      <c r="K131" s="450"/>
      <c r="L131" s="450"/>
      <c r="M131" s="450"/>
      <c r="N131" s="450"/>
      <c r="O131" s="450"/>
      <c r="P131" s="450"/>
      <c r="Q131" s="450"/>
      <c r="R131" s="514">
        <f>SUM(R122:R130)</f>
        <v>-5884</v>
      </c>
      <c r="S131" s="514"/>
      <c r="T131" s="514">
        <f>SUM(T100:T129)</f>
        <v>-2556</v>
      </c>
      <c r="U131" s="452"/>
      <c r="V131" s="430"/>
    </row>
    <row r="132" spans="1:22" s="431" customFormat="1" x14ac:dyDescent="0.3">
      <c r="A132" s="449"/>
      <c r="B132" s="450" t="s">
        <v>41</v>
      </c>
      <c r="C132" s="450"/>
      <c r="D132" s="450"/>
      <c r="E132" s="450"/>
      <c r="F132" s="450"/>
      <c r="G132" s="450"/>
      <c r="H132" s="450"/>
      <c r="I132" s="450"/>
      <c r="J132" s="450"/>
      <c r="K132" s="450"/>
      <c r="L132" s="450"/>
      <c r="M132" s="450"/>
      <c r="N132" s="450"/>
      <c r="O132" s="450"/>
      <c r="P132" s="450"/>
      <c r="Q132" s="450"/>
      <c r="R132" s="514">
        <f>R99+R131+R112</f>
        <v>0</v>
      </c>
      <c r="S132" s="514"/>
      <c r="T132" s="514">
        <f>T99+T131</f>
        <v>0</v>
      </c>
      <c r="U132" s="452"/>
      <c r="V132" s="430"/>
    </row>
    <row r="133" spans="1:22" s="431" customFormat="1" x14ac:dyDescent="0.3">
      <c r="A133" s="432"/>
      <c r="B133" s="447"/>
      <c r="C133" s="447"/>
      <c r="D133" s="447"/>
      <c r="E133" s="447"/>
      <c r="F133" s="447"/>
      <c r="G133" s="447"/>
      <c r="H133" s="447"/>
      <c r="I133" s="447"/>
      <c r="J133" s="447"/>
      <c r="K133" s="447"/>
      <c r="L133" s="447"/>
      <c r="M133" s="447"/>
      <c r="N133" s="447"/>
      <c r="O133" s="447"/>
      <c r="P133" s="447"/>
      <c r="Q133" s="447"/>
      <c r="R133" s="525"/>
      <c r="S133" s="525"/>
      <c r="T133" s="525"/>
      <c r="U133" s="641"/>
      <c r="V133" s="430"/>
    </row>
    <row r="134" spans="1:22" s="431" customFormat="1" x14ac:dyDescent="0.3">
      <c r="A134" s="432"/>
      <c r="B134" s="433"/>
      <c r="C134" s="433"/>
      <c r="D134" s="433"/>
      <c r="E134" s="433"/>
      <c r="F134" s="433"/>
      <c r="G134" s="433"/>
      <c r="H134" s="433"/>
      <c r="I134" s="433"/>
      <c r="J134" s="433"/>
      <c r="K134" s="433"/>
      <c r="L134" s="433"/>
      <c r="M134" s="433"/>
      <c r="N134" s="433"/>
      <c r="O134" s="433"/>
      <c r="P134" s="433"/>
      <c r="Q134" s="433"/>
      <c r="R134" s="433"/>
      <c r="S134" s="433"/>
      <c r="T134" s="537"/>
      <c r="U134" s="641"/>
      <c r="V134" s="430"/>
    </row>
    <row r="135" spans="1:22" s="431" customFormat="1" ht="18.600000000000001" thickBot="1" x14ac:dyDescent="0.4">
      <c r="A135" s="500"/>
      <c r="B135" s="501" t="str">
        <f>B63</f>
        <v>PM11 INVESTOR REPORT QUARTER ENDING DECEMBER 2019</v>
      </c>
      <c r="C135" s="502"/>
      <c r="D135" s="502"/>
      <c r="E135" s="502"/>
      <c r="F135" s="502"/>
      <c r="G135" s="502"/>
      <c r="H135" s="502"/>
      <c r="I135" s="502"/>
      <c r="J135" s="502"/>
      <c r="K135" s="502"/>
      <c r="L135" s="502"/>
      <c r="M135" s="502"/>
      <c r="N135" s="502"/>
      <c r="O135" s="502"/>
      <c r="P135" s="502"/>
      <c r="Q135" s="502"/>
      <c r="R135" s="502"/>
      <c r="S135" s="502"/>
      <c r="T135" s="538"/>
      <c r="U135" s="504"/>
      <c r="V135" s="430"/>
    </row>
    <row r="136" spans="1:22" x14ac:dyDescent="0.3">
      <c r="A136" s="505"/>
      <c r="B136" s="506" t="s">
        <v>42</v>
      </c>
      <c r="C136" s="507"/>
      <c r="D136" s="507"/>
      <c r="E136" s="507"/>
      <c r="F136" s="507"/>
      <c r="G136" s="507"/>
      <c r="H136" s="507"/>
      <c r="I136" s="507"/>
      <c r="J136" s="507"/>
      <c r="K136" s="507"/>
      <c r="L136" s="507"/>
      <c r="M136" s="507"/>
      <c r="N136" s="507"/>
      <c r="O136" s="507"/>
      <c r="P136" s="507"/>
      <c r="Q136" s="507"/>
      <c r="R136" s="507"/>
      <c r="S136" s="507"/>
      <c r="T136" s="508"/>
      <c r="U136" s="509"/>
      <c r="V136" s="416"/>
    </row>
    <row r="137" spans="1:22" x14ac:dyDescent="0.3">
      <c r="A137" s="418"/>
      <c r="B137" s="539"/>
      <c r="C137" s="420"/>
      <c r="D137" s="420"/>
      <c r="E137" s="420"/>
      <c r="F137" s="420"/>
      <c r="G137" s="420"/>
      <c r="H137" s="420"/>
      <c r="I137" s="420"/>
      <c r="J137" s="420"/>
      <c r="K137" s="420"/>
      <c r="L137" s="420"/>
      <c r="M137" s="420"/>
      <c r="N137" s="420"/>
      <c r="O137" s="420"/>
      <c r="P137" s="420"/>
      <c r="Q137" s="420"/>
      <c r="R137" s="420"/>
      <c r="S137" s="420"/>
      <c r="T137" s="510"/>
      <c r="U137" s="639"/>
      <c r="V137" s="416"/>
    </row>
    <row r="138" spans="1:22" x14ac:dyDescent="0.3">
      <c r="A138" s="418"/>
      <c r="B138" s="540" t="s">
        <v>43</v>
      </c>
      <c r="C138" s="420"/>
      <c r="D138" s="420"/>
      <c r="E138" s="420"/>
      <c r="F138" s="420"/>
      <c r="G138" s="420"/>
      <c r="H138" s="420"/>
      <c r="I138" s="420"/>
      <c r="J138" s="420"/>
      <c r="K138" s="420"/>
      <c r="L138" s="420"/>
      <c r="M138" s="420"/>
      <c r="N138" s="420"/>
      <c r="O138" s="420"/>
      <c r="P138" s="420"/>
      <c r="Q138" s="420"/>
      <c r="R138" s="420"/>
      <c r="S138" s="420"/>
      <c r="T138" s="510"/>
      <c r="U138" s="639"/>
      <c r="V138" s="416"/>
    </row>
    <row r="139" spans="1:22" s="431" customFormat="1" x14ac:dyDescent="0.3">
      <c r="A139" s="449"/>
      <c r="B139" s="450" t="s">
        <v>44</v>
      </c>
      <c r="C139" s="450"/>
      <c r="D139" s="450"/>
      <c r="E139" s="450"/>
      <c r="F139" s="450"/>
      <c r="G139" s="450"/>
      <c r="H139" s="450"/>
      <c r="I139" s="450"/>
      <c r="J139" s="450"/>
      <c r="K139" s="450"/>
      <c r="L139" s="450"/>
      <c r="M139" s="450"/>
      <c r="N139" s="450"/>
      <c r="O139" s="450"/>
      <c r="P139" s="450"/>
      <c r="Q139" s="450"/>
      <c r="R139" s="450"/>
      <c r="S139" s="450"/>
      <c r="T139" s="515">
        <f>+T34*0.019</f>
        <v>19000.95</v>
      </c>
      <c r="U139" s="452"/>
      <c r="V139" s="430"/>
    </row>
    <row r="140" spans="1:22" s="431" customFormat="1" x14ac:dyDescent="0.3">
      <c r="A140" s="449"/>
      <c r="B140" s="450" t="s">
        <v>45</v>
      </c>
      <c r="C140" s="450"/>
      <c r="D140" s="450"/>
      <c r="E140" s="450"/>
      <c r="F140" s="450"/>
      <c r="G140" s="450"/>
      <c r="H140" s="450"/>
      <c r="I140" s="450"/>
      <c r="J140" s="450"/>
      <c r="K140" s="450"/>
      <c r="L140" s="450"/>
      <c r="M140" s="450"/>
      <c r="N140" s="450"/>
      <c r="O140" s="450"/>
      <c r="P140" s="450"/>
      <c r="Q140" s="450"/>
      <c r="R140" s="450"/>
      <c r="S140" s="450"/>
      <c r="T140" s="515">
        <v>19001</v>
      </c>
      <c r="U140" s="452"/>
      <c r="V140" s="430"/>
    </row>
    <row r="141" spans="1:22" s="431" customFormat="1" x14ac:dyDescent="0.3">
      <c r="A141" s="449"/>
      <c r="B141" s="450" t="s">
        <v>142</v>
      </c>
      <c r="C141" s="450"/>
      <c r="D141" s="450"/>
      <c r="E141" s="450"/>
      <c r="F141" s="450"/>
      <c r="G141" s="450"/>
      <c r="H141" s="450"/>
      <c r="I141" s="450"/>
      <c r="J141" s="450"/>
      <c r="K141" s="450"/>
      <c r="L141" s="450"/>
      <c r="M141" s="450"/>
      <c r="N141" s="450"/>
      <c r="O141" s="450"/>
      <c r="P141" s="450"/>
      <c r="Q141" s="450"/>
      <c r="R141" s="450"/>
      <c r="S141" s="450"/>
      <c r="T141" s="515">
        <v>0</v>
      </c>
      <c r="U141" s="452"/>
      <c r="V141" s="430"/>
    </row>
    <row r="142" spans="1:22" s="431" customFormat="1" x14ac:dyDescent="0.3">
      <c r="A142" s="449"/>
      <c r="B142" s="450" t="s">
        <v>129</v>
      </c>
      <c r="C142" s="450"/>
      <c r="D142" s="450"/>
      <c r="E142" s="450"/>
      <c r="F142" s="450"/>
      <c r="G142" s="450"/>
      <c r="H142" s="450"/>
      <c r="I142" s="450"/>
      <c r="J142" s="450"/>
      <c r="K142" s="450"/>
      <c r="L142" s="450"/>
      <c r="M142" s="450"/>
      <c r="N142" s="450"/>
      <c r="O142" s="450"/>
      <c r="P142" s="450"/>
      <c r="Q142" s="450"/>
      <c r="R142" s="450"/>
      <c r="S142" s="450"/>
      <c r="T142" s="515">
        <v>0</v>
      </c>
      <c r="U142" s="452"/>
      <c r="V142" s="430"/>
    </row>
    <row r="143" spans="1:22" s="431" customFormat="1" x14ac:dyDescent="0.3">
      <c r="A143" s="449"/>
      <c r="B143" s="450" t="s">
        <v>130</v>
      </c>
      <c r="C143" s="450"/>
      <c r="D143" s="450"/>
      <c r="E143" s="450"/>
      <c r="F143" s="450"/>
      <c r="G143" s="450"/>
      <c r="H143" s="450"/>
      <c r="I143" s="450"/>
      <c r="J143" s="450"/>
      <c r="K143" s="450"/>
      <c r="L143" s="450"/>
      <c r="M143" s="450"/>
      <c r="N143" s="450"/>
      <c r="O143" s="450"/>
      <c r="P143" s="450"/>
      <c r="Q143" s="450"/>
      <c r="R143" s="450"/>
      <c r="S143" s="450"/>
      <c r="T143" s="515">
        <v>0</v>
      </c>
      <c r="U143" s="452"/>
      <c r="V143" s="430"/>
    </row>
    <row r="144" spans="1:22" s="431" customFormat="1" x14ac:dyDescent="0.3">
      <c r="A144" s="449"/>
      <c r="B144" s="450" t="s">
        <v>182</v>
      </c>
      <c r="C144" s="450"/>
      <c r="D144" s="450"/>
      <c r="E144" s="450"/>
      <c r="F144" s="450"/>
      <c r="G144" s="450"/>
      <c r="H144" s="450"/>
      <c r="I144" s="450"/>
      <c r="J144" s="450"/>
      <c r="K144" s="450"/>
      <c r="L144" s="450"/>
      <c r="M144" s="450"/>
      <c r="N144" s="450"/>
      <c r="O144" s="450"/>
      <c r="P144" s="450"/>
      <c r="Q144" s="450"/>
      <c r="R144" s="450"/>
      <c r="S144" s="450"/>
      <c r="T144" s="515">
        <v>0</v>
      </c>
      <c r="U144" s="452"/>
      <c r="V144" s="430"/>
    </row>
    <row r="145" spans="1:23" s="431" customFormat="1" x14ac:dyDescent="0.3">
      <c r="A145" s="449"/>
      <c r="B145" s="450" t="s">
        <v>46</v>
      </c>
      <c r="C145" s="450"/>
      <c r="D145" s="450"/>
      <c r="E145" s="450"/>
      <c r="F145" s="450"/>
      <c r="G145" s="450"/>
      <c r="H145" s="450"/>
      <c r="I145" s="450"/>
      <c r="J145" s="450"/>
      <c r="K145" s="450"/>
      <c r="L145" s="450"/>
      <c r="M145" s="450"/>
      <c r="N145" s="450"/>
      <c r="O145" s="450"/>
      <c r="P145" s="450"/>
      <c r="Q145" s="450"/>
      <c r="R145" s="450"/>
      <c r="S145" s="450"/>
      <c r="T145" s="515">
        <v>0</v>
      </c>
      <c r="U145" s="452"/>
      <c r="V145" s="430"/>
    </row>
    <row r="146" spans="1:23" s="431" customFormat="1" x14ac:dyDescent="0.3">
      <c r="A146" s="449"/>
      <c r="B146" s="450" t="s">
        <v>135</v>
      </c>
      <c r="C146" s="450"/>
      <c r="D146" s="450"/>
      <c r="E146" s="450"/>
      <c r="F146" s="450"/>
      <c r="G146" s="450"/>
      <c r="H146" s="450"/>
      <c r="I146" s="450"/>
      <c r="J146" s="450"/>
      <c r="K146" s="450"/>
      <c r="L146" s="450"/>
      <c r="M146" s="450"/>
      <c r="N146" s="450"/>
      <c r="O146" s="450"/>
      <c r="P146" s="450"/>
      <c r="Q146" s="450"/>
      <c r="R146" s="450"/>
      <c r="S146" s="450"/>
      <c r="T146" s="515">
        <v>0</v>
      </c>
      <c r="U146" s="452"/>
      <c r="V146" s="430"/>
    </row>
    <row r="147" spans="1:23" s="431" customFormat="1" x14ac:dyDescent="0.3">
      <c r="A147" s="449"/>
      <c r="B147" s="450" t="s">
        <v>251</v>
      </c>
      <c r="C147" s="450"/>
      <c r="D147" s="450"/>
      <c r="E147" s="450"/>
      <c r="F147" s="450"/>
      <c r="G147" s="450"/>
      <c r="H147" s="450"/>
      <c r="I147" s="450"/>
      <c r="J147" s="450"/>
      <c r="K147" s="450"/>
      <c r="L147" s="450"/>
      <c r="M147" s="450"/>
      <c r="N147" s="450"/>
      <c r="O147" s="450"/>
      <c r="P147" s="450"/>
      <c r="Q147" s="450"/>
      <c r="R147" s="450"/>
      <c r="S147" s="450"/>
      <c r="T147" s="515">
        <v>0</v>
      </c>
      <c r="U147" s="452"/>
      <c r="V147" s="430"/>
      <c r="W147" s="533"/>
    </row>
    <row r="148" spans="1:23" s="431" customFormat="1" x14ac:dyDescent="0.3">
      <c r="A148" s="449"/>
      <c r="B148" s="450" t="s">
        <v>47</v>
      </c>
      <c r="C148" s="450"/>
      <c r="D148" s="450"/>
      <c r="E148" s="450"/>
      <c r="F148" s="450"/>
      <c r="G148" s="450"/>
      <c r="H148" s="450"/>
      <c r="I148" s="450"/>
      <c r="J148" s="450"/>
      <c r="K148" s="450"/>
      <c r="L148" s="450"/>
      <c r="M148" s="450"/>
      <c r="N148" s="450"/>
      <c r="O148" s="450"/>
      <c r="P148" s="450"/>
      <c r="Q148" s="450"/>
      <c r="R148" s="450"/>
      <c r="S148" s="450"/>
      <c r="T148" s="515">
        <f>SUM(T140:T147)</f>
        <v>19001</v>
      </c>
      <c r="U148" s="452"/>
      <c r="V148" s="430"/>
    </row>
    <row r="149" spans="1:23" x14ac:dyDescent="0.3">
      <c r="A149" s="468"/>
      <c r="B149" s="470"/>
      <c r="C149" s="470"/>
      <c r="D149" s="470"/>
      <c r="E149" s="470"/>
      <c r="F149" s="470"/>
      <c r="G149" s="470"/>
      <c r="H149" s="470"/>
      <c r="I149" s="470"/>
      <c r="J149" s="470"/>
      <c r="K149" s="470"/>
      <c r="L149" s="470"/>
      <c r="M149" s="470"/>
      <c r="N149" s="470"/>
      <c r="O149" s="470"/>
      <c r="P149" s="470"/>
      <c r="Q149" s="470"/>
      <c r="R149" s="470"/>
      <c r="S149" s="470"/>
      <c r="T149" s="531"/>
      <c r="U149" s="476"/>
      <c r="V149" s="416"/>
    </row>
    <row r="150" spans="1:23" x14ac:dyDescent="0.3">
      <c r="A150" s="468"/>
      <c r="B150" s="529" t="s">
        <v>262</v>
      </c>
      <c r="C150" s="470"/>
      <c r="D150" s="470"/>
      <c r="E150" s="470"/>
      <c r="F150" s="470"/>
      <c r="G150" s="470"/>
      <c r="H150" s="470"/>
      <c r="I150" s="470"/>
      <c r="J150" s="470"/>
      <c r="K150" s="470"/>
      <c r="L150" s="470"/>
      <c r="M150" s="470"/>
      <c r="N150" s="470"/>
      <c r="O150" s="470"/>
      <c r="P150" s="470"/>
      <c r="Q150" s="470"/>
      <c r="R150" s="470"/>
      <c r="S150" s="470"/>
      <c r="T150" s="531"/>
      <c r="U150" s="476"/>
      <c r="V150" s="416"/>
    </row>
    <row r="151" spans="1:23" s="431" customFormat="1" x14ac:dyDescent="0.3">
      <c r="A151" s="449"/>
      <c r="B151" s="450" t="s">
        <v>263</v>
      </c>
      <c r="C151" s="450"/>
      <c r="D151" s="450"/>
      <c r="E151" s="450"/>
      <c r="F151" s="450"/>
      <c r="G151" s="450"/>
      <c r="H151" s="450"/>
      <c r="I151" s="450"/>
      <c r="J151" s="450"/>
      <c r="K151" s="450"/>
      <c r="L151" s="450"/>
      <c r="M151" s="450"/>
      <c r="N151" s="450"/>
      <c r="O151" s="450"/>
      <c r="P151" s="450"/>
      <c r="Q151" s="450"/>
      <c r="R151" s="450"/>
      <c r="S151" s="450"/>
      <c r="T151" s="515">
        <v>0</v>
      </c>
      <c r="U151" s="452"/>
      <c r="V151" s="430"/>
    </row>
    <row r="152" spans="1:23" s="431" customFormat="1" x14ac:dyDescent="0.3">
      <c r="A152" s="449"/>
      <c r="B152" s="450" t="s">
        <v>179</v>
      </c>
      <c r="C152" s="450"/>
      <c r="D152" s="450"/>
      <c r="E152" s="450"/>
      <c r="F152" s="450"/>
      <c r="G152" s="450"/>
      <c r="H152" s="450"/>
      <c r="I152" s="450"/>
      <c r="J152" s="450"/>
      <c r="K152" s="450"/>
      <c r="L152" s="450"/>
      <c r="M152" s="450"/>
      <c r="N152" s="450"/>
      <c r="O152" s="450"/>
      <c r="P152" s="450"/>
      <c r="Q152" s="450"/>
      <c r="R152" s="450"/>
      <c r="S152" s="450"/>
      <c r="T152" s="515">
        <v>0</v>
      </c>
      <c r="U152" s="452"/>
      <c r="V152" s="430"/>
    </row>
    <row r="153" spans="1:23" s="431" customFormat="1" x14ac:dyDescent="0.3">
      <c r="A153" s="449"/>
      <c r="B153" s="450" t="s">
        <v>264</v>
      </c>
      <c r="C153" s="450"/>
      <c r="D153" s="450"/>
      <c r="E153" s="450"/>
      <c r="F153" s="450"/>
      <c r="G153" s="450"/>
      <c r="H153" s="450"/>
      <c r="I153" s="450"/>
      <c r="J153" s="450"/>
      <c r="K153" s="450"/>
      <c r="L153" s="450"/>
      <c r="M153" s="450"/>
      <c r="N153" s="450"/>
      <c r="O153" s="450"/>
      <c r="P153" s="450"/>
      <c r="Q153" s="450"/>
      <c r="R153" s="450"/>
      <c r="S153" s="450"/>
      <c r="T153" s="515">
        <v>0</v>
      </c>
      <c r="U153" s="452"/>
      <c r="V153" s="430"/>
    </row>
    <row r="154" spans="1:23" x14ac:dyDescent="0.3">
      <c r="A154" s="468"/>
      <c r="B154" s="541"/>
      <c r="C154" s="541"/>
      <c r="D154" s="541"/>
      <c r="E154" s="541"/>
      <c r="F154" s="541"/>
      <c r="G154" s="541"/>
      <c r="H154" s="541"/>
      <c r="I154" s="541"/>
      <c r="J154" s="541"/>
      <c r="K154" s="541"/>
      <c r="L154" s="541"/>
      <c r="M154" s="541"/>
      <c r="N154" s="541"/>
      <c r="O154" s="541"/>
      <c r="P154" s="541"/>
      <c r="Q154" s="541"/>
      <c r="R154" s="541"/>
      <c r="S154" s="541"/>
      <c r="T154" s="542"/>
      <c r="U154" s="543"/>
      <c r="V154" s="416"/>
    </row>
    <row r="155" spans="1:23" x14ac:dyDescent="0.3">
      <c r="A155" s="418"/>
      <c r="B155" s="516"/>
      <c r="C155" s="516"/>
      <c r="D155" s="516"/>
      <c r="E155" s="516"/>
      <c r="F155" s="516"/>
      <c r="G155" s="516"/>
      <c r="H155" s="516"/>
      <c r="I155" s="516"/>
      <c r="J155" s="516"/>
      <c r="K155" s="516"/>
      <c r="L155" s="516"/>
      <c r="M155" s="516"/>
      <c r="N155" s="516"/>
      <c r="O155" s="516"/>
      <c r="P155" s="516"/>
      <c r="Q155" s="516"/>
      <c r="R155" s="516"/>
      <c r="S155" s="516"/>
      <c r="T155" s="544"/>
      <c r="U155" s="639"/>
      <c r="V155" s="416"/>
    </row>
    <row r="156" spans="1:23" x14ac:dyDescent="0.3">
      <c r="A156" s="418"/>
      <c r="B156" s="540" t="s">
        <v>24</v>
      </c>
      <c r="C156" s="420"/>
      <c r="D156" s="420"/>
      <c r="E156" s="420"/>
      <c r="F156" s="420"/>
      <c r="G156" s="420"/>
      <c r="H156" s="420"/>
      <c r="I156" s="420"/>
      <c r="J156" s="420"/>
      <c r="K156" s="420"/>
      <c r="L156" s="420"/>
      <c r="M156" s="420"/>
      <c r="N156" s="420"/>
      <c r="O156" s="420"/>
      <c r="P156" s="420"/>
      <c r="Q156" s="420"/>
      <c r="R156" s="420"/>
      <c r="S156" s="420"/>
      <c r="T156" s="510"/>
      <c r="U156" s="639"/>
      <c r="V156" s="416"/>
    </row>
    <row r="157" spans="1:23" s="431" customFormat="1" x14ac:dyDescent="0.3">
      <c r="A157" s="449"/>
      <c r="B157" s="450" t="s">
        <v>48</v>
      </c>
      <c r="C157" s="450"/>
      <c r="D157" s="450"/>
      <c r="E157" s="450"/>
      <c r="F157" s="450"/>
      <c r="G157" s="450"/>
      <c r="H157" s="450"/>
      <c r="I157" s="450"/>
      <c r="J157" s="450"/>
      <c r="K157" s="450"/>
      <c r="L157" s="450"/>
      <c r="M157" s="450"/>
      <c r="N157" s="450"/>
      <c r="O157" s="450"/>
      <c r="P157" s="450"/>
      <c r="Q157" s="450"/>
      <c r="R157" s="450"/>
      <c r="S157" s="450"/>
      <c r="T157" s="545" t="s">
        <v>124</v>
      </c>
      <c r="U157" s="452"/>
      <c r="V157" s="430"/>
    </row>
    <row r="158" spans="1:23" s="431" customFormat="1" x14ac:dyDescent="0.3">
      <c r="A158" s="449"/>
      <c r="B158" s="450" t="s">
        <v>49</v>
      </c>
      <c r="C158" s="450"/>
      <c r="D158" s="450"/>
      <c r="E158" s="450"/>
      <c r="F158" s="450"/>
      <c r="G158" s="450"/>
      <c r="H158" s="450"/>
      <c r="I158" s="450"/>
      <c r="J158" s="450"/>
      <c r="K158" s="450"/>
      <c r="L158" s="450"/>
      <c r="M158" s="450"/>
      <c r="N158" s="450"/>
      <c r="O158" s="450"/>
      <c r="P158" s="450"/>
      <c r="Q158" s="450"/>
      <c r="R158" s="450"/>
      <c r="S158" s="450"/>
      <c r="T158" s="545" t="s">
        <v>124</v>
      </c>
      <c r="U158" s="452"/>
      <c r="V158" s="430"/>
    </row>
    <row r="159" spans="1:23" s="431" customFormat="1" x14ac:dyDescent="0.3">
      <c r="A159" s="449"/>
      <c r="B159" s="450" t="s">
        <v>50</v>
      </c>
      <c r="C159" s="450"/>
      <c r="D159" s="450"/>
      <c r="E159" s="450"/>
      <c r="F159" s="450"/>
      <c r="G159" s="450"/>
      <c r="H159" s="450"/>
      <c r="I159" s="450"/>
      <c r="J159" s="450"/>
      <c r="K159" s="450"/>
      <c r="L159" s="450"/>
      <c r="M159" s="450"/>
      <c r="N159" s="450"/>
      <c r="O159" s="450"/>
      <c r="P159" s="450"/>
      <c r="Q159" s="450"/>
      <c r="R159" s="450"/>
      <c r="S159" s="450"/>
      <c r="T159" s="545" t="s">
        <v>124</v>
      </c>
      <c r="U159" s="452"/>
      <c r="V159" s="430"/>
    </row>
    <row r="160" spans="1:23" s="431" customFormat="1" x14ac:dyDescent="0.3">
      <c r="A160" s="449"/>
      <c r="B160" s="450" t="s">
        <v>51</v>
      </c>
      <c r="C160" s="450"/>
      <c r="D160" s="450"/>
      <c r="E160" s="450"/>
      <c r="F160" s="450"/>
      <c r="G160" s="450"/>
      <c r="H160" s="450"/>
      <c r="I160" s="450"/>
      <c r="J160" s="450"/>
      <c r="K160" s="450"/>
      <c r="L160" s="450"/>
      <c r="M160" s="450"/>
      <c r="N160" s="450"/>
      <c r="O160" s="450"/>
      <c r="P160" s="450"/>
      <c r="Q160" s="450"/>
      <c r="R160" s="450"/>
      <c r="S160" s="450"/>
      <c r="T160" s="545" t="s">
        <v>124</v>
      </c>
      <c r="U160" s="452"/>
      <c r="V160" s="430"/>
    </row>
    <row r="161" spans="1:22" x14ac:dyDescent="0.3">
      <c r="A161" s="418"/>
      <c r="B161" s="516"/>
      <c r="C161" s="516"/>
      <c r="D161" s="516"/>
      <c r="E161" s="516"/>
      <c r="F161" s="516"/>
      <c r="G161" s="516"/>
      <c r="H161" s="516"/>
      <c r="I161" s="516"/>
      <c r="J161" s="516"/>
      <c r="K161" s="516"/>
      <c r="L161" s="516"/>
      <c r="M161" s="516"/>
      <c r="N161" s="516"/>
      <c r="O161" s="516"/>
      <c r="P161" s="516"/>
      <c r="Q161" s="516"/>
      <c r="R161" s="516"/>
      <c r="S161" s="516"/>
      <c r="T161" s="544"/>
      <c r="U161" s="639"/>
      <c r="V161" s="416"/>
    </row>
    <row r="162" spans="1:22" x14ac:dyDescent="0.3">
      <c r="A162" s="418"/>
      <c r="B162" s="540" t="s">
        <v>52</v>
      </c>
      <c r="C162" s="420"/>
      <c r="D162" s="420"/>
      <c r="E162" s="420"/>
      <c r="F162" s="420"/>
      <c r="G162" s="420"/>
      <c r="H162" s="420"/>
      <c r="I162" s="420"/>
      <c r="J162" s="420"/>
      <c r="K162" s="420"/>
      <c r="L162" s="420"/>
      <c r="M162" s="420"/>
      <c r="N162" s="420"/>
      <c r="O162" s="420"/>
      <c r="P162" s="420"/>
      <c r="Q162" s="420"/>
      <c r="R162" s="420"/>
      <c r="S162" s="420"/>
      <c r="T162" s="546"/>
      <c r="U162" s="639"/>
      <c r="V162" s="416"/>
    </row>
    <row r="163" spans="1:22" s="431" customFormat="1" x14ac:dyDescent="0.3">
      <c r="A163" s="449"/>
      <c r="B163" s="450" t="s">
        <v>53</v>
      </c>
      <c r="C163" s="450"/>
      <c r="D163" s="450"/>
      <c r="E163" s="450"/>
      <c r="F163" s="450"/>
      <c r="G163" s="450"/>
      <c r="H163" s="450"/>
      <c r="I163" s="450"/>
      <c r="J163" s="450"/>
      <c r="K163" s="450"/>
      <c r="L163" s="450"/>
      <c r="M163" s="450"/>
      <c r="N163" s="450"/>
      <c r="O163" s="450"/>
      <c r="P163" s="450"/>
      <c r="Q163" s="450"/>
      <c r="R163" s="450"/>
      <c r="S163" s="450"/>
      <c r="T163" s="515">
        <v>0</v>
      </c>
      <c r="U163" s="452"/>
      <c r="V163" s="430"/>
    </row>
    <row r="164" spans="1:22" s="431" customFormat="1" x14ac:dyDescent="0.3">
      <c r="A164" s="449"/>
      <c r="B164" s="450" t="s">
        <v>54</v>
      </c>
      <c r="C164" s="450"/>
      <c r="D164" s="450"/>
      <c r="E164" s="450"/>
      <c r="F164" s="450"/>
      <c r="G164" s="450"/>
      <c r="H164" s="450"/>
      <c r="I164" s="450"/>
      <c r="J164" s="450"/>
      <c r="K164" s="450"/>
      <c r="L164" s="450"/>
      <c r="M164" s="450"/>
      <c r="N164" s="450"/>
      <c r="O164" s="450"/>
      <c r="P164" s="450"/>
      <c r="Q164" s="450"/>
      <c r="R164" s="450"/>
      <c r="S164" s="450"/>
      <c r="T164" s="515">
        <f>R112</f>
        <v>112</v>
      </c>
      <c r="U164" s="452"/>
      <c r="V164" s="430"/>
    </row>
    <row r="165" spans="1:22" s="431" customFormat="1" x14ac:dyDescent="0.3">
      <c r="A165" s="449"/>
      <c r="B165" s="450" t="s">
        <v>55</v>
      </c>
      <c r="C165" s="450"/>
      <c r="D165" s="450"/>
      <c r="E165" s="450"/>
      <c r="F165" s="450"/>
      <c r="G165" s="450"/>
      <c r="H165" s="450"/>
      <c r="I165" s="450"/>
      <c r="J165" s="450"/>
      <c r="K165" s="450"/>
      <c r="L165" s="450"/>
      <c r="M165" s="450"/>
      <c r="N165" s="450"/>
      <c r="O165" s="450"/>
      <c r="P165" s="450"/>
      <c r="Q165" s="450"/>
      <c r="R165" s="450"/>
      <c r="S165" s="450"/>
      <c r="T165" s="515">
        <f>T164+T163</f>
        <v>112</v>
      </c>
      <c r="U165" s="452"/>
      <c r="V165" s="430"/>
    </row>
    <row r="166" spans="1:22" s="431" customFormat="1" x14ac:dyDescent="0.3">
      <c r="A166" s="449"/>
      <c r="B166" s="450" t="s">
        <v>301</v>
      </c>
      <c r="C166" s="450"/>
      <c r="D166" s="450"/>
      <c r="E166" s="450"/>
      <c r="F166" s="450"/>
      <c r="G166" s="450"/>
      <c r="H166" s="450"/>
      <c r="I166" s="450"/>
      <c r="J166" s="450"/>
      <c r="K166" s="450"/>
      <c r="L166" s="450"/>
      <c r="M166" s="450"/>
      <c r="N166" s="450"/>
      <c r="O166" s="450"/>
      <c r="P166" s="450"/>
      <c r="Q166" s="450"/>
      <c r="R166" s="450"/>
      <c r="S166" s="450"/>
      <c r="T166" s="515">
        <f>T112</f>
        <v>-112</v>
      </c>
      <c r="U166" s="452"/>
      <c r="V166" s="430"/>
    </row>
    <row r="167" spans="1:22" s="431" customFormat="1" x14ac:dyDescent="0.3">
      <c r="A167" s="449"/>
      <c r="B167" s="450" t="s">
        <v>56</v>
      </c>
      <c r="C167" s="450"/>
      <c r="D167" s="450"/>
      <c r="E167" s="450"/>
      <c r="F167" s="450"/>
      <c r="G167" s="450"/>
      <c r="H167" s="450"/>
      <c r="I167" s="450"/>
      <c r="J167" s="450"/>
      <c r="K167" s="450"/>
      <c r="L167" s="450"/>
      <c r="M167" s="450"/>
      <c r="N167" s="450"/>
      <c r="O167" s="450"/>
      <c r="P167" s="450"/>
      <c r="Q167" s="450"/>
      <c r="R167" s="450"/>
      <c r="S167" s="450"/>
      <c r="T167" s="515">
        <f>T165+T166</f>
        <v>0</v>
      </c>
      <c r="U167" s="452"/>
      <c r="V167" s="430"/>
    </row>
    <row r="168" spans="1:22" s="431" customFormat="1" x14ac:dyDescent="0.3">
      <c r="A168" s="449"/>
      <c r="B168" s="450" t="s">
        <v>273</v>
      </c>
      <c r="C168" s="450"/>
      <c r="D168" s="450"/>
      <c r="E168" s="450"/>
      <c r="F168" s="450"/>
      <c r="G168" s="450"/>
      <c r="H168" s="450"/>
      <c r="I168" s="450"/>
      <c r="J168" s="450"/>
      <c r="K168" s="450"/>
      <c r="L168" s="450"/>
      <c r="M168" s="450"/>
      <c r="N168" s="450"/>
      <c r="O168" s="450"/>
      <c r="P168" s="450"/>
      <c r="Q168" s="450"/>
      <c r="R168" s="450"/>
      <c r="S168" s="450"/>
      <c r="T168" s="515">
        <v>0</v>
      </c>
      <c r="U168" s="452"/>
      <c r="V168" s="430"/>
    </row>
    <row r="169" spans="1:22" ht="16.2" thickBot="1" x14ac:dyDescent="0.35">
      <c r="A169" s="418"/>
      <c r="B169" s="516"/>
      <c r="C169" s="516"/>
      <c r="D169" s="516"/>
      <c r="E169" s="516"/>
      <c r="F169" s="516"/>
      <c r="G169" s="516"/>
      <c r="H169" s="516"/>
      <c r="I169" s="516"/>
      <c r="J169" s="516"/>
      <c r="K169" s="516"/>
      <c r="L169" s="516"/>
      <c r="M169" s="516"/>
      <c r="N169" s="516"/>
      <c r="O169" s="516"/>
      <c r="P169" s="516"/>
      <c r="Q169" s="516"/>
      <c r="R169" s="516"/>
      <c r="S169" s="516"/>
      <c r="T169" s="544"/>
      <c r="U169" s="639"/>
      <c r="V169" s="416"/>
    </row>
    <row r="170" spans="1:22" x14ac:dyDescent="0.3">
      <c r="A170" s="547"/>
      <c r="B170" s="415"/>
      <c r="C170" s="415"/>
      <c r="D170" s="415"/>
      <c r="E170" s="415"/>
      <c r="F170" s="415"/>
      <c r="G170" s="415"/>
      <c r="H170" s="415"/>
      <c r="I170" s="415"/>
      <c r="J170" s="415"/>
      <c r="K170" s="415"/>
      <c r="L170" s="415"/>
      <c r="M170" s="415"/>
      <c r="N170" s="415"/>
      <c r="O170" s="415"/>
      <c r="P170" s="415"/>
      <c r="Q170" s="415"/>
      <c r="R170" s="415"/>
      <c r="S170" s="415"/>
      <c r="T170" s="548"/>
      <c r="U170" s="638"/>
      <c r="V170" s="416"/>
    </row>
    <row r="171" spans="1:22" x14ac:dyDescent="0.3">
      <c r="A171" s="418"/>
      <c r="B171" s="540" t="s">
        <v>57</v>
      </c>
      <c r="C171" s="420"/>
      <c r="D171" s="420"/>
      <c r="E171" s="420"/>
      <c r="F171" s="420"/>
      <c r="G171" s="420"/>
      <c r="H171" s="420"/>
      <c r="I171" s="420"/>
      <c r="J171" s="420"/>
      <c r="K171" s="420"/>
      <c r="L171" s="420"/>
      <c r="M171" s="420"/>
      <c r="N171" s="420"/>
      <c r="O171" s="420"/>
      <c r="P171" s="420"/>
      <c r="Q171" s="420"/>
      <c r="R171" s="420"/>
      <c r="S171" s="420"/>
      <c r="T171" s="510"/>
      <c r="U171" s="639"/>
      <c r="V171" s="416"/>
    </row>
    <row r="172" spans="1:22" x14ac:dyDescent="0.3">
      <c r="A172" s="418"/>
      <c r="B172" s="540"/>
      <c r="C172" s="420"/>
      <c r="D172" s="420"/>
      <c r="E172" s="420"/>
      <c r="F172" s="420"/>
      <c r="G172" s="420"/>
      <c r="H172" s="420"/>
      <c r="I172" s="420"/>
      <c r="J172" s="420"/>
      <c r="K172" s="420"/>
      <c r="L172" s="420"/>
      <c r="M172" s="420"/>
      <c r="N172" s="420"/>
      <c r="O172" s="420"/>
      <c r="P172" s="420"/>
      <c r="Q172" s="420"/>
      <c r="R172" s="420"/>
      <c r="S172" s="420"/>
      <c r="T172" s="510"/>
      <c r="U172" s="639"/>
      <c r="V172" s="416"/>
    </row>
    <row r="173" spans="1:22" s="431" customFormat="1" x14ac:dyDescent="0.3">
      <c r="A173" s="449"/>
      <c r="B173" s="450" t="s">
        <v>58</v>
      </c>
      <c r="C173" s="450"/>
      <c r="D173" s="450"/>
      <c r="E173" s="450"/>
      <c r="F173" s="450"/>
      <c r="G173" s="450"/>
      <c r="H173" s="450"/>
      <c r="I173" s="450"/>
      <c r="J173" s="450"/>
      <c r="K173" s="450"/>
      <c r="L173" s="450"/>
      <c r="M173" s="450"/>
      <c r="N173" s="450"/>
      <c r="O173" s="450"/>
      <c r="P173" s="450"/>
      <c r="Q173" s="450"/>
      <c r="R173" s="450"/>
      <c r="S173" s="450"/>
      <c r="T173" s="515">
        <f>T70</f>
        <v>358465</v>
      </c>
      <c r="U173" s="452"/>
      <c r="V173" s="430"/>
    </row>
    <row r="174" spans="1:22" s="431" customFormat="1" x14ac:dyDescent="0.3">
      <c r="A174" s="449"/>
      <c r="B174" s="450" t="s">
        <v>59</v>
      </c>
      <c r="C174" s="450"/>
      <c r="D174" s="450"/>
      <c r="E174" s="450"/>
      <c r="F174" s="450"/>
      <c r="G174" s="450"/>
      <c r="H174" s="450"/>
      <c r="I174" s="450"/>
      <c r="J174" s="450"/>
      <c r="K174" s="450"/>
      <c r="L174" s="450"/>
      <c r="M174" s="450"/>
      <c r="N174" s="450"/>
      <c r="O174" s="450"/>
      <c r="P174" s="450"/>
      <c r="Q174" s="450"/>
      <c r="R174" s="450"/>
      <c r="S174" s="450"/>
      <c r="T174" s="515">
        <f>T83</f>
        <v>358465</v>
      </c>
      <c r="U174" s="452"/>
      <c r="V174" s="430"/>
    </row>
    <row r="175" spans="1:22" ht="16.2" thickBot="1" x14ac:dyDescent="0.35">
      <c r="A175" s="418"/>
      <c r="B175" s="516"/>
      <c r="C175" s="516"/>
      <c r="D175" s="516"/>
      <c r="E175" s="516"/>
      <c r="F175" s="516"/>
      <c r="G175" s="516"/>
      <c r="H175" s="516"/>
      <c r="I175" s="516"/>
      <c r="J175" s="516"/>
      <c r="K175" s="516"/>
      <c r="L175" s="516"/>
      <c r="M175" s="516"/>
      <c r="N175" s="516"/>
      <c r="O175" s="516"/>
      <c r="P175" s="516"/>
      <c r="Q175" s="516"/>
      <c r="R175" s="516"/>
      <c r="S175" s="516"/>
      <c r="T175" s="544"/>
      <c r="U175" s="639"/>
      <c r="V175" s="416"/>
    </row>
    <row r="176" spans="1:22" x14ac:dyDescent="0.3">
      <c r="A176" s="547"/>
      <c r="B176" s="415"/>
      <c r="C176" s="415"/>
      <c r="D176" s="415"/>
      <c r="E176" s="415"/>
      <c r="F176" s="415"/>
      <c r="G176" s="415"/>
      <c r="H176" s="415"/>
      <c r="I176" s="415"/>
      <c r="J176" s="415"/>
      <c r="K176" s="415"/>
      <c r="L176" s="415"/>
      <c r="M176" s="415"/>
      <c r="N176" s="415"/>
      <c r="O176" s="415"/>
      <c r="P176" s="415"/>
      <c r="Q176" s="415"/>
      <c r="R176" s="415"/>
      <c r="S176" s="415"/>
      <c r="T176" s="548"/>
      <c r="U176" s="638"/>
      <c r="V176" s="416"/>
    </row>
    <row r="177" spans="1:22" x14ac:dyDescent="0.3">
      <c r="A177" s="418"/>
      <c r="B177" s="540" t="s">
        <v>60</v>
      </c>
      <c r="C177" s="549"/>
      <c r="D177" s="549"/>
      <c r="E177" s="549"/>
      <c r="F177" s="549"/>
      <c r="G177" s="549"/>
      <c r="H177" s="550"/>
      <c r="I177" s="550"/>
      <c r="J177" s="550"/>
      <c r="K177" s="550"/>
      <c r="L177" s="550"/>
      <c r="M177" s="550"/>
      <c r="N177" s="550"/>
      <c r="O177" s="550"/>
      <c r="P177" s="550"/>
      <c r="Q177" s="550" t="s">
        <v>104</v>
      </c>
      <c r="R177" s="550" t="s">
        <v>183</v>
      </c>
      <c r="S177" s="422"/>
      <c r="T177" s="551" t="s">
        <v>120</v>
      </c>
      <c r="U177" s="643"/>
      <c r="V177" s="416"/>
    </row>
    <row r="178" spans="1:22" s="431" customFormat="1" x14ac:dyDescent="0.3">
      <c r="A178" s="449"/>
      <c r="B178" s="450" t="s">
        <v>61</v>
      </c>
      <c r="C178" s="450"/>
      <c r="D178" s="450"/>
      <c r="E178" s="450"/>
      <c r="F178" s="450"/>
      <c r="G178" s="450"/>
      <c r="H178" s="450"/>
      <c r="I178" s="450"/>
      <c r="J178" s="450"/>
      <c r="K178" s="450"/>
      <c r="L178" s="450"/>
      <c r="M178" s="450"/>
      <c r="N178" s="450"/>
      <c r="O178" s="450"/>
      <c r="P178" s="450"/>
      <c r="Q178" s="515">
        <v>160008</v>
      </c>
      <c r="R178" s="486"/>
      <c r="S178" s="450"/>
      <c r="T178" s="515"/>
      <c r="U178" s="452"/>
      <c r="V178" s="430"/>
    </row>
    <row r="179" spans="1:22" s="431" customFormat="1" x14ac:dyDescent="0.3">
      <c r="A179" s="449"/>
      <c r="B179" s="450" t="s">
        <v>62</v>
      </c>
      <c r="C179" s="450"/>
      <c r="D179" s="450"/>
      <c r="E179" s="450"/>
      <c r="F179" s="450"/>
      <c r="G179" s="450"/>
      <c r="H179" s="450"/>
      <c r="I179" s="450"/>
      <c r="J179" s="450"/>
      <c r="K179" s="450"/>
      <c r="L179" s="450"/>
      <c r="M179" s="450"/>
      <c r="N179" s="450"/>
      <c r="O179" s="450"/>
      <c r="P179" s="450"/>
      <c r="Q179" s="515">
        <f>+'Sept 19'!Q181</f>
        <v>41034</v>
      </c>
      <c r="R179" s="515">
        <f>+'Sept 19'!R181</f>
        <v>3452</v>
      </c>
      <c r="S179" s="450"/>
      <c r="T179" s="515">
        <f>Q179+R179</f>
        <v>44486</v>
      </c>
      <c r="U179" s="452"/>
      <c r="V179" s="430"/>
    </row>
    <row r="180" spans="1:22" s="431" customFormat="1" x14ac:dyDescent="0.3">
      <c r="A180" s="449"/>
      <c r="B180" s="450" t="s">
        <v>63</v>
      </c>
      <c r="C180" s="450"/>
      <c r="D180" s="450"/>
      <c r="E180" s="450"/>
      <c r="F180" s="450"/>
      <c r="G180" s="450"/>
      <c r="H180" s="450"/>
      <c r="I180" s="450"/>
      <c r="J180" s="450"/>
      <c r="K180" s="450"/>
      <c r="L180" s="450"/>
      <c r="M180" s="450"/>
      <c r="N180" s="450"/>
      <c r="O180" s="450"/>
      <c r="P180" s="450"/>
      <c r="Q180" s="514">
        <v>0</v>
      </c>
      <c r="R180" s="514">
        <v>0</v>
      </c>
      <c r="S180" s="450"/>
      <c r="T180" s="515">
        <f>Q180+R180</f>
        <v>0</v>
      </c>
      <c r="U180" s="452"/>
      <c r="V180" s="430"/>
    </row>
    <row r="181" spans="1:22" s="431" customFormat="1" x14ac:dyDescent="0.3">
      <c r="A181" s="449"/>
      <c r="B181" s="450" t="s">
        <v>64</v>
      </c>
      <c r="C181" s="450"/>
      <c r="D181" s="450"/>
      <c r="E181" s="450"/>
      <c r="F181" s="450"/>
      <c r="G181" s="450"/>
      <c r="H181" s="450"/>
      <c r="I181" s="450"/>
      <c r="J181" s="450"/>
      <c r="K181" s="450"/>
      <c r="L181" s="450"/>
      <c r="M181" s="450"/>
      <c r="N181" s="450"/>
      <c r="O181" s="450"/>
      <c r="P181" s="450"/>
      <c r="Q181" s="515">
        <f>Q179+Q180</f>
        <v>41034</v>
      </c>
      <c r="R181" s="515">
        <f>R180+R179</f>
        <v>3452</v>
      </c>
      <c r="S181" s="450"/>
      <c r="T181" s="515">
        <f>Q181+R181</f>
        <v>44486</v>
      </c>
      <c r="U181" s="452"/>
      <c r="V181" s="430"/>
    </row>
    <row r="182" spans="1:22" s="431" customFormat="1" x14ac:dyDescent="0.3">
      <c r="A182" s="449"/>
      <c r="B182" s="450" t="s">
        <v>65</v>
      </c>
      <c r="C182" s="450"/>
      <c r="D182" s="450"/>
      <c r="E182" s="450"/>
      <c r="F182" s="450"/>
      <c r="G182" s="450"/>
      <c r="H182" s="450"/>
      <c r="I182" s="450"/>
      <c r="J182" s="450"/>
      <c r="K182" s="450"/>
      <c r="L182" s="450"/>
      <c r="M182" s="450"/>
      <c r="N182" s="450"/>
      <c r="O182" s="450"/>
      <c r="P182" s="450"/>
      <c r="Q182" s="515">
        <f>Q178-Q181-R181</f>
        <v>115522</v>
      </c>
      <c r="R182" s="486"/>
      <c r="S182" s="450"/>
      <c r="T182" s="515"/>
      <c r="U182" s="452"/>
      <c r="V182" s="430"/>
    </row>
    <row r="183" spans="1:22" ht="16.2" thickBot="1" x14ac:dyDescent="0.35">
      <c r="A183" s="418"/>
      <c r="B183" s="516"/>
      <c r="C183" s="516"/>
      <c r="D183" s="516"/>
      <c r="E183" s="516"/>
      <c r="F183" s="516"/>
      <c r="G183" s="516"/>
      <c r="H183" s="516"/>
      <c r="I183" s="516"/>
      <c r="J183" s="516"/>
      <c r="K183" s="516"/>
      <c r="L183" s="516"/>
      <c r="M183" s="516"/>
      <c r="N183" s="516"/>
      <c r="O183" s="516"/>
      <c r="P183" s="516"/>
      <c r="Q183" s="516"/>
      <c r="R183" s="516"/>
      <c r="S183" s="516"/>
      <c r="T183" s="544"/>
      <c r="U183" s="639"/>
      <c r="V183" s="416"/>
    </row>
    <row r="184" spans="1:22" x14ac:dyDescent="0.3">
      <c r="A184" s="547"/>
      <c r="B184" s="415"/>
      <c r="C184" s="415"/>
      <c r="D184" s="415"/>
      <c r="E184" s="415"/>
      <c r="F184" s="415"/>
      <c r="G184" s="415"/>
      <c r="H184" s="415"/>
      <c r="I184" s="415"/>
      <c r="J184" s="415"/>
      <c r="K184" s="415"/>
      <c r="L184" s="415"/>
      <c r="M184" s="415"/>
      <c r="N184" s="415"/>
      <c r="O184" s="415"/>
      <c r="P184" s="415"/>
      <c r="Q184" s="415"/>
      <c r="R184" s="415"/>
      <c r="S184" s="415"/>
      <c r="T184" s="548"/>
      <c r="U184" s="638"/>
      <c r="V184" s="416"/>
    </row>
    <row r="185" spans="1:22" x14ac:dyDescent="0.3">
      <c r="A185" s="418"/>
      <c r="B185" s="540" t="s">
        <v>66</v>
      </c>
      <c r="C185" s="420"/>
      <c r="D185" s="420"/>
      <c r="E185" s="420"/>
      <c r="F185" s="420"/>
      <c r="G185" s="420"/>
      <c r="H185" s="420"/>
      <c r="I185" s="420"/>
      <c r="J185" s="420"/>
      <c r="K185" s="420"/>
      <c r="L185" s="420"/>
      <c r="M185" s="420"/>
      <c r="N185" s="420"/>
      <c r="O185" s="420"/>
      <c r="P185" s="420"/>
      <c r="Q185" s="420"/>
      <c r="R185" s="420"/>
      <c r="S185" s="420"/>
      <c r="T185" s="552"/>
      <c r="U185" s="639"/>
      <c r="V185" s="416"/>
    </row>
    <row r="186" spans="1:22" s="431" customFormat="1" x14ac:dyDescent="0.3">
      <c r="A186" s="449"/>
      <c r="B186" s="450" t="s">
        <v>67</v>
      </c>
      <c r="C186" s="450"/>
      <c r="D186" s="450"/>
      <c r="E186" s="450"/>
      <c r="F186" s="450"/>
      <c r="G186" s="450"/>
      <c r="H186" s="450"/>
      <c r="I186" s="450"/>
      <c r="J186" s="450"/>
      <c r="K186" s="450"/>
      <c r="L186" s="450"/>
      <c r="M186" s="450"/>
      <c r="N186" s="450"/>
      <c r="O186" s="450"/>
      <c r="P186" s="450"/>
      <c r="Q186" s="450"/>
      <c r="R186" s="450"/>
      <c r="S186" s="450"/>
      <c r="T186" s="545">
        <f>(T99+T101+T102+T103+T104)/-(T105+T106)</f>
        <v>3.7662957074721781</v>
      </c>
      <c r="U186" s="452" t="s">
        <v>121</v>
      </c>
      <c r="V186" s="430"/>
    </row>
    <row r="187" spans="1:22" s="431" customFormat="1" x14ac:dyDescent="0.3">
      <c r="A187" s="449"/>
      <c r="B187" s="450" t="s">
        <v>68</v>
      </c>
      <c r="C187" s="450"/>
      <c r="D187" s="450"/>
      <c r="E187" s="450"/>
      <c r="F187" s="450"/>
      <c r="G187" s="450"/>
      <c r="H187" s="450"/>
      <c r="I187" s="450"/>
      <c r="J187" s="450"/>
      <c r="K187" s="450"/>
      <c r="L187" s="450"/>
      <c r="M187" s="450"/>
      <c r="N187" s="450"/>
      <c r="O187" s="450"/>
      <c r="P187" s="450"/>
      <c r="Q187" s="450"/>
      <c r="R187" s="450"/>
      <c r="S187" s="450"/>
      <c r="T187" s="553">
        <v>1.98</v>
      </c>
      <c r="U187" s="452" t="s">
        <v>121</v>
      </c>
      <c r="V187" s="430"/>
    </row>
    <row r="188" spans="1:22" s="431" customFormat="1" x14ac:dyDescent="0.3">
      <c r="A188" s="449"/>
      <c r="B188" s="450" t="s">
        <v>69</v>
      </c>
      <c r="C188" s="450"/>
      <c r="D188" s="450"/>
      <c r="E188" s="450"/>
      <c r="F188" s="450"/>
      <c r="G188" s="450"/>
      <c r="H188" s="450"/>
      <c r="I188" s="450"/>
      <c r="J188" s="450"/>
      <c r="K188" s="450"/>
      <c r="L188" s="450"/>
      <c r="M188" s="450"/>
      <c r="N188" s="450"/>
      <c r="O188" s="450"/>
      <c r="P188" s="450"/>
      <c r="Q188" s="450"/>
      <c r="R188" s="450"/>
      <c r="S188" s="450"/>
      <c r="T188" s="545">
        <f>(T99+T101+T102+T103+T104+T105+T106)/-(T107+T108)</f>
        <v>10.116279069767442</v>
      </c>
      <c r="U188" s="452" t="s">
        <v>121</v>
      </c>
      <c r="V188" s="430"/>
    </row>
    <row r="189" spans="1:22" s="431" customFormat="1" x14ac:dyDescent="0.3">
      <c r="A189" s="449"/>
      <c r="B189" s="450" t="s">
        <v>70</v>
      </c>
      <c r="C189" s="450"/>
      <c r="D189" s="450"/>
      <c r="E189" s="450"/>
      <c r="F189" s="450"/>
      <c r="G189" s="450"/>
      <c r="H189" s="450"/>
      <c r="I189" s="450"/>
      <c r="J189" s="450"/>
      <c r="K189" s="450"/>
      <c r="L189" s="450"/>
      <c r="M189" s="450"/>
      <c r="N189" s="450"/>
      <c r="O189" s="450"/>
      <c r="P189" s="450"/>
      <c r="Q189" s="450"/>
      <c r="R189" s="450"/>
      <c r="S189" s="450"/>
      <c r="T189" s="553">
        <v>7.26</v>
      </c>
      <c r="U189" s="452" t="s">
        <v>121</v>
      </c>
      <c r="V189" s="430"/>
    </row>
    <row r="190" spans="1:22" s="431" customFormat="1" x14ac:dyDescent="0.3">
      <c r="A190" s="449"/>
      <c r="B190" s="450" t="s">
        <v>206</v>
      </c>
      <c r="C190" s="450"/>
      <c r="D190" s="450"/>
      <c r="E190" s="450"/>
      <c r="F190" s="450"/>
      <c r="G190" s="450"/>
      <c r="H190" s="450"/>
      <c r="I190" s="450"/>
      <c r="J190" s="450"/>
      <c r="K190" s="450"/>
      <c r="L190" s="450"/>
      <c r="M190" s="450"/>
      <c r="N190" s="450"/>
      <c r="O190" s="450"/>
      <c r="P190" s="450"/>
      <c r="Q190" s="450"/>
      <c r="R190" s="450"/>
      <c r="S190" s="450"/>
      <c r="T190" s="545">
        <f>(T99+T101+T102+T103+T104+T105+T106+T107+T108)/-(T109)</f>
        <v>8.0410256410256409</v>
      </c>
      <c r="U190" s="452" t="s">
        <v>121</v>
      </c>
      <c r="V190" s="430"/>
    </row>
    <row r="191" spans="1:22" s="431" customFormat="1" x14ac:dyDescent="0.3">
      <c r="A191" s="449"/>
      <c r="B191" s="450" t="s">
        <v>207</v>
      </c>
      <c r="C191" s="450"/>
      <c r="D191" s="450"/>
      <c r="E191" s="450"/>
      <c r="F191" s="450"/>
      <c r="G191" s="450"/>
      <c r="H191" s="450"/>
      <c r="I191" s="450"/>
      <c r="J191" s="450"/>
      <c r="K191" s="450"/>
      <c r="L191" s="450"/>
      <c r="M191" s="450"/>
      <c r="N191" s="450"/>
      <c r="O191" s="450"/>
      <c r="P191" s="450"/>
      <c r="Q191" s="450"/>
      <c r="R191" s="450"/>
      <c r="S191" s="450"/>
      <c r="T191" s="553">
        <v>6.42</v>
      </c>
      <c r="U191" s="452" t="s">
        <v>121</v>
      </c>
      <c r="V191" s="430"/>
    </row>
    <row r="192" spans="1:22" x14ac:dyDescent="0.3">
      <c r="A192" s="468"/>
      <c r="B192" s="470"/>
      <c r="C192" s="470"/>
      <c r="D192" s="470"/>
      <c r="E192" s="470"/>
      <c r="F192" s="470"/>
      <c r="G192" s="470"/>
      <c r="H192" s="470"/>
      <c r="I192" s="470"/>
      <c r="J192" s="470"/>
      <c r="K192" s="470"/>
      <c r="L192" s="470"/>
      <c r="M192" s="470"/>
      <c r="N192" s="470"/>
      <c r="O192" s="470"/>
      <c r="P192" s="470"/>
      <c r="Q192" s="470"/>
      <c r="R192" s="470"/>
      <c r="S192" s="470"/>
      <c r="T192" s="470"/>
      <c r="U192" s="476"/>
      <c r="V192" s="416"/>
    </row>
    <row r="193" spans="1:22" x14ac:dyDescent="0.3">
      <c r="A193" s="418"/>
      <c r="B193" s="516"/>
      <c r="C193" s="516"/>
      <c r="D193" s="516"/>
      <c r="E193" s="516"/>
      <c r="F193" s="516"/>
      <c r="G193" s="516"/>
      <c r="H193" s="516"/>
      <c r="I193" s="516"/>
      <c r="J193" s="516"/>
      <c r="K193" s="516"/>
      <c r="L193" s="516"/>
      <c r="M193" s="516"/>
      <c r="N193" s="516"/>
      <c r="O193" s="516"/>
      <c r="P193" s="516"/>
      <c r="Q193" s="516"/>
      <c r="R193" s="516"/>
      <c r="S193" s="516"/>
      <c r="T193" s="516"/>
      <c r="U193" s="639"/>
      <c r="V193" s="416"/>
    </row>
    <row r="194" spans="1:22" x14ac:dyDescent="0.3">
      <c r="A194" s="418"/>
      <c r="B194" s="420"/>
      <c r="C194" s="420"/>
      <c r="D194" s="420"/>
      <c r="E194" s="420"/>
      <c r="F194" s="420"/>
      <c r="G194" s="420"/>
      <c r="H194" s="420"/>
      <c r="I194" s="420"/>
      <c r="J194" s="420"/>
      <c r="K194" s="420"/>
      <c r="L194" s="420"/>
      <c r="M194" s="420"/>
      <c r="N194" s="420"/>
      <c r="O194" s="420"/>
      <c r="P194" s="420"/>
      <c r="Q194" s="420"/>
      <c r="R194" s="420"/>
      <c r="S194" s="420"/>
      <c r="T194" s="420"/>
      <c r="U194" s="639"/>
      <c r="V194" s="416"/>
    </row>
    <row r="195" spans="1:22" ht="18.600000000000001" thickBot="1" x14ac:dyDescent="0.4">
      <c r="A195" s="554"/>
      <c r="B195" s="501" t="str">
        <f>B135</f>
        <v>PM11 INVESTOR REPORT QUARTER ENDING DECEMBER 2019</v>
      </c>
      <c r="C195" s="555"/>
      <c r="D195" s="555"/>
      <c r="E195" s="555"/>
      <c r="F195" s="555"/>
      <c r="G195" s="555"/>
      <c r="H195" s="555"/>
      <c r="I195" s="555"/>
      <c r="J195" s="555"/>
      <c r="K195" s="555"/>
      <c r="L195" s="555"/>
      <c r="M195" s="555"/>
      <c r="N195" s="555"/>
      <c r="O195" s="555"/>
      <c r="P195" s="555"/>
      <c r="Q195" s="555"/>
      <c r="R195" s="555"/>
      <c r="S195" s="555"/>
      <c r="T195" s="555"/>
      <c r="U195" s="556"/>
      <c r="V195" s="416"/>
    </row>
    <row r="196" spans="1:22" x14ac:dyDescent="0.3">
      <c r="A196" s="505"/>
      <c r="B196" s="506" t="s">
        <v>71</v>
      </c>
      <c r="C196" s="627"/>
      <c r="D196" s="627"/>
      <c r="E196" s="627"/>
      <c r="F196" s="627"/>
      <c r="G196" s="628"/>
      <c r="H196" s="628"/>
      <c r="I196" s="628"/>
      <c r="J196" s="628"/>
      <c r="K196" s="628"/>
      <c r="L196" s="628"/>
      <c r="M196" s="628"/>
      <c r="N196" s="628"/>
      <c r="O196" s="628"/>
      <c r="P196" s="628"/>
      <c r="Q196" s="628"/>
      <c r="R196" s="629">
        <v>43830</v>
      </c>
      <c r="S196" s="507"/>
      <c r="T196" s="507"/>
      <c r="U196" s="509"/>
      <c r="V196" s="416"/>
    </row>
    <row r="197" spans="1:22" x14ac:dyDescent="0.3">
      <c r="A197" s="557"/>
      <c r="B197" s="558"/>
      <c r="C197" s="559"/>
      <c r="D197" s="559"/>
      <c r="E197" s="559"/>
      <c r="F197" s="559"/>
      <c r="G197" s="560"/>
      <c r="H197" s="560"/>
      <c r="I197" s="560"/>
      <c r="J197" s="560"/>
      <c r="K197" s="560"/>
      <c r="L197" s="560"/>
      <c r="M197" s="560"/>
      <c r="N197" s="560"/>
      <c r="O197" s="560"/>
      <c r="P197" s="560"/>
      <c r="Q197" s="560"/>
      <c r="R197" s="560"/>
      <c r="S197" s="420"/>
      <c r="T197" s="420"/>
      <c r="U197" s="639"/>
      <c r="V197" s="416"/>
    </row>
    <row r="198" spans="1:22" s="431" customFormat="1" x14ac:dyDescent="0.3">
      <c r="A198" s="449"/>
      <c r="B198" s="450" t="s">
        <v>72</v>
      </c>
      <c r="C198" s="561"/>
      <c r="D198" s="561"/>
      <c r="E198" s="561"/>
      <c r="F198" s="561"/>
      <c r="G198" s="490"/>
      <c r="H198" s="490"/>
      <c r="I198" s="490"/>
      <c r="J198" s="490"/>
      <c r="K198" s="490"/>
      <c r="L198" s="490"/>
      <c r="M198" s="490"/>
      <c r="N198" s="490"/>
      <c r="O198" s="490"/>
      <c r="P198" s="490"/>
      <c r="Q198" s="490"/>
      <c r="R198" s="483">
        <v>5.1569999999999998E-2</v>
      </c>
      <c r="S198" s="450"/>
      <c r="T198" s="450"/>
      <c r="U198" s="452"/>
      <c r="V198" s="430"/>
    </row>
    <row r="199" spans="1:22" s="431" customFormat="1" x14ac:dyDescent="0.3">
      <c r="A199" s="449"/>
      <c r="B199" s="450" t="s">
        <v>157</v>
      </c>
      <c r="C199" s="561"/>
      <c r="D199" s="561"/>
      <c r="E199" s="561"/>
      <c r="F199" s="561"/>
      <c r="G199" s="490"/>
      <c r="H199" s="490"/>
      <c r="I199" s="490"/>
      <c r="J199" s="490"/>
      <c r="K199" s="490"/>
      <c r="L199" s="490"/>
      <c r="M199" s="490"/>
      <c r="N199" s="490"/>
      <c r="O199" s="490"/>
      <c r="P199" s="490"/>
      <c r="Q199" s="490"/>
      <c r="R199" s="483">
        <v>4.6899999999999997E-2</v>
      </c>
      <c r="S199" s="450"/>
      <c r="T199" s="450"/>
      <c r="U199" s="452"/>
      <c r="V199" s="430"/>
    </row>
    <row r="200" spans="1:22" s="431" customFormat="1" x14ac:dyDescent="0.3">
      <c r="A200" s="449"/>
      <c r="B200" s="450" t="s">
        <v>73</v>
      </c>
      <c r="C200" s="561"/>
      <c r="D200" s="561"/>
      <c r="E200" s="561"/>
      <c r="F200" s="561"/>
      <c r="G200" s="490"/>
      <c r="H200" s="490"/>
      <c r="I200" s="490"/>
      <c r="J200" s="490"/>
      <c r="K200" s="490"/>
      <c r="L200" s="490"/>
      <c r="M200" s="490"/>
      <c r="N200" s="490"/>
      <c r="O200" s="490"/>
      <c r="P200" s="490"/>
      <c r="Q200" s="490"/>
      <c r="R200" s="483">
        <f>R198-R199</f>
        <v>4.6700000000000005E-3</v>
      </c>
      <c r="S200" s="450"/>
      <c r="T200" s="450"/>
      <c r="U200" s="452"/>
      <c r="V200" s="430"/>
    </row>
    <row r="201" spans="1:22" s="431" customFormat="1" x14ac:dyDescent="0.3">
      <c r="A201" s="449"/>
      <c r="B201" s="450" t="s">
        <v>74</v>
      </c>
      <c r="C201" s="561"/>
      <c r="D201" s="561"/>
      <c r="E201" s="561"/>
      <c r="F201" s="561"/>
      <c r="G201" s="490"/>
      <c r="H201" s="490"/>
      <c r="I201" s="490"/>
      <c r="J201" s="490"/>
      <c r="K201" s="490"/>
      <c r="L201" s="490"/>
      <c r="M201" s="490"/>
      <c r="N201" s="490"/>
      <c r="O201" s="490"/>
      <c r="P201" s="490"/>
      <c r="Q201" s="490"/>
      <c r="R201" s="483">
        <v>2.5739999999999999E-2</v>
      </c>
      <c r="S201" s="450"/>
      <c r="T201" s="450"/>
      <c r="U201" s="452"/>
      <c r="V201" s="430"/>
    </row>
    <row r="202" spans="1:22" s="431" customFormat="1" x14ac:dyDescent="0.3">
      <c r="A202" s="449"/>
      <c r="B202" s="450" t="s">
        <v>257</v>
      </c>
      <c r="C202" s="561"/>
      <c r="D202" s="561"/>
      <c r="E202" s="561"/>
      <c r="F202" s="561"/>
      <c r="G202" s="490"/>
      <c r="H202" s="490"/>
      <c r="I202" s="490"/>
      <c r="J202" s="490"/>
      <c r="K202" s="490"/>
      <c r="L202" s="490"/>
      <c r="M202" s="490"/>
      <c r="N202" s="490"/>
      <c r="O202" s="490"/>
      <c r="P202" s="490"/>
      <c r="Q202" s="490"/>
      <c r="R202" s="483">
        <f>T43</f>
        <v>1.0854071975494994E-2</v>
      </c>
      <c r="S202" s="450"/>
      <c r="T202" s="450"/>
      <c r="U202" s="452"/>
      <c r="V202" s="430"/>
    </row>
    <row r="203" spans="1:22" s="431" customFormat="1" x14ac:dyDescent="0.3">
      <c r="A203" s="449"/>
      <c r="B203" s="450" t="s">
        <v>75</v>
      </c>
      <c r="C203" s="561"/>
      <c r="D203" s="561"/>
      <c r="E203" s="561"/>
      <c r="F203" s="561"/>
      <c r="G203" s="490"/>
      <c r="H203" s="490"/>
      <c r="I203" s="490"/>
      <c r="J203" s="490"/>
      <c r="K203" s="490"/>
      <c r="L203" s="490"/>
      <c r="M203" s="490"/>
      <c r="N203" s="490"/>
      <c r="O203" s="490"/>
      <c r="P203" s="490"/>
      <c r="Q203" s="490"/>
      <c r="R203" s="483">
        <f>R201-R202</f>
        <v>1.4885928024505005E-2</v>
      </c>
      <c r="S203" s="450"/>
      <c r="T203" s="450"/>
      <c r="U203" s="452"/>
      <c r="V203" s="430"/>
    </row>
    <row r="204" spans="1:22" s="431" customFormat="1" x14ac:dyDescent="0.3">
      <c r="A204" s="449"/>
      <c r="B204" s="450" t="s">
        <v>260</v>
      </c>
      <c r="C204" s="561"/>
      <c r="D204" s="561"/>
      <c r="E204" s="561"/>
      <c r="F204" s="561"/>
      <c r="G204" s="490"/>
      <c r="H204" s="490"/>
      <c r="I204" s="490"/>
      <c r="J204" s="490"/>
      <c r="K204" s="490"/>
      <c r="L204" s="490"/>
      <c r="M204" s="490"/>
      <c r="N204" s="490"/>
      <c r="O204" s="490"/>
      <c r="P204" s="490"/>
      <c r="Q204" s="490"/>
      <c r="R204" s="483">
        <f>+T99/L70</f>
        <v>7.0152518601670375E-3</v>
      </c>
      <c r="S204" s="450"/>
      <c r="T204" s="450"/>
      <c r="U204" s="452"/>
      <c r="V204" s="430"/>
    </row>
    <row r="205" spans="1:22" s="431" customFormat="1" x14ac:dyDescent="0.3">
      <c r="A205" s="449"/>
      <c r="B205" s="450" t="s">
        <v>217</v>
      </c>
      <c r="C205" s="561"/>
      <c r="D205" s="561"/>
      <c r="E205" s="561"/>
      <c r="F205" s="561"/>
      <c r="G205" s="490"/>
      <c r="H205" s="490"/>
      <c r="I205" s="490"/>
      <c r="J205" s="490"/>
      <c r="K205" s="490"/>
      <c r="L205" s="490"/>
      <c r="M205" s="490"/>
      <c r="N205" s="490"/>
      <c r="O205" s="490"/>
      <c r="P205" s="490"/>
      <c r="Q205" s="490"/>
      <c r="R205" s="562">
        <v>15250</v>
      </c>
      <c r="S205" s="450"/>
      <c r="T205" s="450"/>
      <c r="U205" s="452"/>
      <c r="V205" s="430"/>
    </row>
    <row r="206" spans="1:22" s="431" customFormat="1" x14ac:dyDescent="0.3">
      <c r="A206" s="449"/>
      <c r="B206" s="450" t="s">
        <v>218</v>
      </c>
      <c r="C206" s="561"/>
      <c r="D206" s="561"/>
      <c r="E206" s="561"/>
      <c r="F206" s="561"/>
      <c r="G206" s="490"/>
      <c r="H206" s="490"/>
      <c r="I206" s="490"/>
      <c r="J206" s="490"/>
      <c r="K206" s="490"/>
      <c r="L206" s="490"/>
      <c r="M206" s="490"/>
      <c r="N206" s="490"/>
      <c r="O206" s="490"/>
      <c r="P206" s="490"/>
      <c r="Q206" s="490"/>
      <c r="R206" s="562">
        <v>15250</v>
      </c>
      <c r="S206" s="450"/>
      <c r="T206" s="450"/>
      <c r="U206" s="452"/>
      <c r="V206" s="430"/>
    </row>
    <row r="207" spans="1:22" s="431" customFormat="1" x14ac:dyDescent="0.3">
      <c r="A207" s="449"/>
      <c r="B207" s="450" t="s">
        <v>219</v>
      </c>
      <c r="C207" s="561"/>
      <c r="D207" s="561"/>
      <c r="E207" s="561"/>
      <c r="F207" s="561"/>
      <c r="G207" s="490"/>
      <c r="H207" s="490"/>
      <c r="I207" s="490"/>
      <c r="J207" s="490"/>
      <c r="K207" s="490"/>
      <c r="L207" s="490"/>
      <c r="M207" s="490"/>
      <c r="N207" s="490"/>
      <c r="O207" s="490"/>
      <c r="P207" s="490"/>
      <c r="Q207" s="490"/>
      <c r="R207" s="562">
        <v>15250</v>
      </c>
      <c r="S207" s="450"/>
      <c r="T207" s="450"/>
      <c r="U207" s="452"/>
      <c r="V207" s="430"/>
    </row>
    <row r="208" spans="1:22" s="431" customFormat="1" x14ac:dyDescent="0.3">
      <c r="A208" s="449"/>
      <c r="B208" s="450" t="s">
        <v>76</v>
      </c>
      <c r="C208" s="561"/>
      <c r="D208" s="561"/>
      <c r="E208" s="561"/>
      <c r="F208" s="561"/>
      <c r="G208" s="490"/>
      <c r="H208" s="490"/>
      <c r="I208" s="490"/>
      <c r="J208" s="490"/>
      <c r="K208" s="490"/>
      <c r="L208" s="490"/>
      <c r="M208" s="490"/>
      <c r="N208" s="490"/>
      <c r="O208" s="490"/>
      <c r="P208" s="490"/>
      <c r="Q208" s="490"/>
      <c r="R208" s="488">
        <v>21.18</v>
      </c>
      <c r="S208" s="450" t="s">
        <v>116</v>
      </c>
      <c r="T208" s="450"/>
      <c r="U208" s="452"/>
      <c r="V208" s="430"/>
    </row>
    <row r="209" spans="1:22" s="431" customFormat="1" x14ac:dyDescent="0.3">
      <c r="A209" s="449"/>
      <c r="B209" s="450" t="s">
        <v>77</v>
      </c>
      <c r="C209" s="561"/>
      <c r="D209" s="561"/>
      <c r="E209" s="561"/>
      <c r="F209" s="561"/>
      <c r="G209" s="490"/>
      <c r="H209" s="490"/>
      <c r="I209" s="490"/>
      <c r="J209" s="490"/>
      <c r="K209" s="490"/>
      <c r="L209" s="490"/>
      <c r="M209" s="490"/>
      <c r="N209" s="490"/>
      <c r="O209" s="490"/>
      <c r="P209" s="490"/>
      <c r="Q209" s="490"/>
      <c r="R209" s="488">
        <v>8.4600000000000009</v>
      </c>
      <c r="S209" s="450" t="s">
        <v>116</v>
      </c>
      <c r="T209" s="450"/>
      <c r="U209" s="452"/>
      <c r="V209" s="430"/>
    </row>
    <row r="210" spans="1:22" s="431" customFormat="1" x14ac:dyDescent="0.3">
      <c r="A210" s="449"/>
      <c r="B210" s="450" t="s">
        <v>78</v>
      </c>
      <c r="C210" s="561"/>
      <c r="D210" s="561"/>
      <c r="E210" s="561"/>
      <c r="F210" s="561"/>
      <c r="G210" s="490"/>
      <c r="H210" s="490"/>
      <c r="I210" s="490"/>
      <c r="J210" s="490"/>
      <c r="K210" s="490"/>
      <c r="L210" s="490"/>
      <c r="M210" s="490"/>
      <c r="N210" s="490"/>
      <c r="O210" s="490"/>
      <c r="P210" s="490"/>
      <c r="Q210" s="490"/>
      <c r="R210" s="483">
        <f>N67/L67</f>
        <v>1.6149351308772632E-2</v>
      </c>
      <c r="S210" s="450"/>
      <c r="T210" s="450"/>
      <c r="U210" s="452"/>
      <c r="V210" s="430"/>
    </row>
    <row r="211" spans="1:22" s="431" customFormat="1" x14ac:dyDescent="0.3">
      <c r="A211" s="449"/>
      <c r="B211" s="450" t="s">
        <v>79</v>
      </c>
      <c r="C211" s="561"/>
      <c r="D211" s="561"/>
      <c r="E211" s="561"/>
      <c r="F211" s="561"/>
      <c r="G211" s="490"/>
      <c r="H211" s="490"/>
      <c r="I211" s="490"/>
      <c r="J211" s="490"/>
      <c r="K211" s="490"/>
      <c r="L211" s="490"/>
      <c r="M211" s="490"/>
      <c r="N211" s="490"/>
      <c r="O211" s="490"/>
      <c r="P211" s="490"/>
      <c r="Q211" s="490"/>
      <c r="R211" s="483">
        <v>7.5600000000000001E-2</v>
      </c>
      <c r="S211" s="450"/>
      <c r="T211" s="450"/>
      <c r="U211" s="452"/>
      <c r="V211" s="430"/>
    </row>
    <row r="212" spans="1:22" x14ac:dyDescent="0.3">
      <c r="A212" s="557"/>
      <c r="B212" s="563"/>
      <c r="C212" s="563"/>
      <c r="D212" s="563"/>
      <c r="E212" s="563"/>
      <c r="F212" s="563"/>
      <c r="G212" s="516"/>
      <c r="H212" s="516"/>
      <c r="I212" s="516"/>
      <c r="J212" s="516"/>
      <c r="K212" s="516"/>
      <c r="L212" s="516"/>
      <c r="M212" s="516"/>
      <c r="N212" s="516"/>
      <c r="O212" s="516"/>
      <c r="P212" s="516"/>
      <c r="Q212" s="516"/>
      <c r="R212" s="544"/>
      <c r="S212" s="516"/>
      <c r="T212" s="564"/>
      <c r="U212" s="639"/>
      <c r="V212" s="416"/>
    </row>
    <row r="213" spans="1:22" x14ac:dyDescent="0.3">
      <c r="A213" s="565"/>
      <c r="B213" s="521" t="s">
        <v>80</v>
      </c>
      <c r="C213" s="522"/>
      <c r="D213" s="522"/>
      <c r="E213" s="522"/>
      <c r="F213" s="566"/>
      <c r="G213" s="522"/>
      <c r="H213" s="522"/>
      <c r="I213" s="522"/>
      <c r="J213" s="522"/>
      <c r="K213" s="522"/>
      <c r="L213" s="522"/>
      <c r="M213" s="522"/>
      <c r="N213" s="522"/>
      <c r="O213" s="522"/>
      <c r="P213" s="522"/>
      <c r="Q213" s="522" t="s">
        <v>105</v>
      </c>
      <c r="R213" s="566" t="s">
        <v>112</v>
      </c>
      <c r="S213" s="443"/>
      <c r="T213" s="443"/>
      <c r="U213" s="446"/>
      <c r="V213" s="416"/>
    </row>
    <row r="214" spans="1:22" s="431" customFormat="1" x14ac:dyDescent="0.3">
      <c r="A214" s="567"/>
      <c r="B214" s="447" t="s">
        <v>81</v>
      </c>
      <c r="C214" s="525"/>
      <c r="D214" s="525"/>
      <c r="E214" s="525"/>
      <c r="F214" s="447"/>
      <c r="G214" s="447"/>
      <c r="H214" s="568"/>
      <c r="I214" s="568"/>
      <c r="J214" s="568"/>
      <c r="K214" s="568"/>
      <c r="L214" s="568"/>
      <c r="M214" s="568"/>
      <c r="N214" s="568"/>
      <c r="O214" s="568"/>
      <c r="P214" s="568"/>
      <c r="Q214" s="568">
        <v>0</v>
      </c>
      <c r="R214" s="569">
        <v>0</v>
      </c>
      <c r="S214" s="447"/>
      <c r="T214" s="570"/>
      <c r="U214" s="644"/>
      <c r="V214" s="430"/>
    </row>
    <row r="215" spans="1:22" s="431" customFormat="1" x14ac:dyDescent="0.3">
      <c r="A215" s="571"/>
      <c r="B215" s="450" t="s">
        <v>151</v>
      </c>
      <c r="C215" s="514"/>
      <c r="D215" s="514"/>
      <c r="E215" s="514"/>
      <c r="F215" s="450"/>
      <c r="G215" s="450"/>
      <c r="H215" s="456"/>
      <c r="I215" s="456"/>
      <c r="J215" s="456"/>
      <c r="K215" s="456"/>
      <c r="L215" s="456"/>
      <c r="M215" s="456"/>
      <c r="N215" s="456"/>
      <c r="O215" s="456"/>
      <c r="P215" s="456"/>
      <c r="Q215" s="572">
        <f>+P267</f>
        <v>26</v>
      </c>
      <c r="R215" s="573">
        <f>+R267</f>
        <v>3824</v>
      </c>
      <c r="S215" s="450"/>
      <c r="T215" s="574"/>
      <c r="U215" s="575"/>
      <c r="V215" s="430"/>
    </row>
    <row r="216" spans="1:22" s="431" customFormat="1" x14ac:dyDescent="0.3">
      <c r="A216" s="571"/>
      <c r="B216" s="450" t="s">
        <v>82</v>
      </c>
      <c r="C216" s="514"/>
      <c r="D216" s="514"/>
      <c r="E216" s="514"/>
      <c r="F216" s="450"/>
      <c r="G216" s="450"/>
      <c r="H216" s="456"/>
      <c r="I216" s="456"/>
      <c r="J216" s="456"/>
      <c r="K216" s="456"/>
      <c r="L216" s="456"/>
      <c r="M216" s="456"/>
      <c r="N216" s="456"/>
      <c r="O216" s="456"/>
      <c r="P216" s="456"/>
      <c r="Q216" s="572">
        <f>+P279</f>
        <v>0</v>
      </c>
      <c r="R216" s="573">
        <f>+R279</f>
        <v>0</v>
      </c>
      <c r="S216" s="450"/>
      <c r="T216" s="574"/>
      <c r="U216" s="575"/>
      <c r="V216" s="430"/>
    </row>
    <row r="217" spans="1:22" x14ac:dyDescent="0.3">
      <c r="A217" s="576"/>
      <c r="B217" s="577" t="s">
        <v>83</v>
      </c>
      <c r="C217" s="578"/>
      <c r="D217" s="578"/>
      <c r="E217" s="578"/>
      <c r="F217" s="470"/>
      <c r="G217" s="470"/>
      <c r="H217" s="470"/>
      <c r="I217" s="470"/>
      <c r="J217" s="470"/>
      <c r="K217" s="470"/>
      <c r="L217" s="470"/>
      <c r="M217" s="470"/>
      <c r="N217" s="470"/>
      <c r="O217" s="470"/>
      <c r="P217" s="470"/>
      <c r="Q217" s="541"/>
      <c r="R217" s="579">
        <v>0</v>
      </c>
      <c r="S217" s="470"/>
      <c r="T217" s="580"/>
      <c r="U217" s="581"/>
      <c r="V217" s="416"/>
    </row>
    <row r="218" spans="1:22" x14ac:dyDescent="0.3">
      <c r="A218" s="576"/>
      <c r="B218" s="577" t="s">
        <v>84</v>
      </c>
      <c r="C218" s="578"/>
      <c r="D218" s="578"/>
      <c r="E218" s="578"/>
      <c r="F218" s="470"/>
      <c r="G218" s="470"/>
      <c r="H218" s="470"/>
      <c r="I218" s="470"/>
      <c r="J218" s="470"/>
      <c r="K218" s="470"/>
      <c r="L218" s="470"/>
      <c r="M218" s="470"/>
      <c r="N218" s="470"/>
      <c r="O218" s="470"/>
      <c r="P218" s="470"/>
      <c r="Q218" s="450"/>
      <c r="R218" s="582" t="s">
        <v>113</v>
      </c>
      <c r="S218" s="470"/>
      <c r="T218" s="580"/>
      <c r="U218" s="581"/>
      <c r="V218" s="416"/>
    </row>
    <row r="219" spans="1:22" x14ac:dyDescent="0.3">
      <c r="A219" s="583"/>
      <c r="B219" s="577" t="s">
        <v>85</v>
      </c>
      <c r="C219" s="584"/>
      <c r="D219" s="584"/>
      <c r="E219" s="584"/>
      <c r="F219" s="584"/>
      <c r="G219" s="470"/>
      <c r="H219" s="470"/>
      <c r="I219" s="470"/>
      <c r="J219" s="470"/>
      <c r="K219" s="470"/>
      <c r="L219" s="470"/>
      <c r="M219" s="470"/>
      <c r="N219" s="470"/>
      <c r="O219" s="470"/>
      <c r="P219" s="470"/>
      <c r="Q219" s="450"/>
      <c r="R219" s="573"/>
      <c r="S219" s="470"/>
      <c r="T219" s="580"/>
      <c r="U219" s="585"/>
      <c r="V219" s="416"/>
    </row>
    <row r="220" spans="1:22" s="431" customFormat="1" x14ac:dyDescent="0.3">
      <c r="A220" s="586"/>
      <c r="B220" s="450" t="s">
        <v>86</v>
      </c>
      <c r="C220" s="450"/>
      <c r="D220" s="450"/>
      <c r="E220" s="450"/>
      <c r="F220" s="450"/>
      <c r="G220" s="450"/>
      <c r="H220" s="450"/>
      <c r="I220" s="450"/>
      <c r="J220" s="450"/>
      <c r="K220" s="450"/>
      <c r="L220" s="450"/>
      <c r="M220" s="450"/>
      <c r="N220" s="450"/>
      <c r="O220" s="450"/>
      <c r="P220" s="450"/>
      <c r="Q220" s="456"/>
      <c r="R220" s="573">
        <f>T164</f>
        <v>112</v>
      </c>
      <c r="S220" s="450"/>
      <c r="T220" s="574"/>
      <c r="U220" s="587"/>
      <c r="V220" s="430"/>
    </row>
    <row r="221" spans="1:22" s="431" customFormat="1" x14ac:dyDescent="0.3">
      <c r="A221" s="571"/>
      <c r="B221" s="450" t="s">
        <v>87</v>
      </c>
      <c r="C221" s="514"/>
      <c r="D221" s="514"/>
      <c r="E221" s="514"/>
      <c r="F221" s="514"/>
      <c r="G221" s="450"/>
      <c r="H221" s="450"/>
      <c r="I221" s="450"/>
      <c r="J221" s="450"/>
      <c r="K221" s="450"/>
      <c r="L221" s="450"/>
      <c r="M221" s="450"/>
      <c r="N221" s="450"/>
      <c r="O221" s="450"/>
      <c r="P221" s="450"/>
      <c r="Q221" s="456"/>
      <c r="R221" s="573">
        <f>'Sept 19'!R221+R220</f>
        <v>7976</v>
      </c>
      <c r="S221" s="450"/>
      <c r="T221" s="574"/>
      <c r="U221" s="587"/>
      <c r="V221" s="430"/>
    </row>
    <row r="222" spans="1:22" x14ac:dyDescent="0.3">
      <c r="A222" s="583"/>
      <c r="B222" s="577" t="s">
        <v>282</v>
      </c>
      <c r="C222" s="584"/>
      <c r="D222" s="584"/>
      <c r="E222" s="584"/>
      <c r="F222" s="584"/>
      <c r="G222" s="470"/>
      <c r="H222" s="470"/>
      <c r="I222" s="470"/>
      <c r="J222" s="470"/>
      <c r="K222" s="470"/>
      <c r="L222" s="470"/>
      <c r="M222" s="470"/>
      <c r="N222" s="470"/>
      <c r="O222" s="470"/>
      <c r="P222" s="470"/>
      <c r="Q222" s="456"/>
      <c r="R222" s="573"/>
      <c r="S222" s="470"/>
      <c r="T222" s="580"/>
      <c r="U222" s="585"/>
      <c r="V222" s="416"/>
    </row>
    <row r="223" spans="1:22" s="431" customFormat="1" x14ac:dyDescent="0.3">
      <c r="A223" s="586"/>
      <c r="B223" s="450" t="s">
        <v>280</v>
      </c>
      <c r="C223" s="450"/>
      <c r="D223" s="450"/>
      <c r="E223" s="450"/>
      <c r="F223" s="450"/>
      <c r="G223" s="450"/>
      <c r="H223" s="450"/>
      <c r="I223" s="450"/>
      <c r="J223" s="450"/>
      <c r="K223" s="450"/>
      <c r="L223" s="450"/>
      <c r="M223" s="450"/>
      <c r="N223" s="450"/>
      <c r="O223" s="450"/>
      <c r="P223" s="450"/>
      <c r="Q223" s="456">
        <v>0</v>
      </c>
      <c r="R223" s="573">
        <v>0</v>
      </c>
      <c r="S223" s="450"/>
      <c r="T223" s="574"/>
      <c r="U223" s="587"/>
      <c r="V223" s="430"/>
    </row>
    <row r="224" spans="1:22" s="431" customFormat="1" x14ac:dyDescent="0.3">
      <c r="A224" s="571"/>
      <c r="B224" s="450" t="s">
        <v>89</v>
      </c>
      <c r="C224" s="486"/>
      <c r="D224" s="486"/>
      <c r="E224" s="486"/>
      <c r="F224" s="588"/>
      <c r="G224" s="450"/>
      <c r="H224" s="450"/>
      <c r="I224" s="450"/>
      <c r="J224" s="450"/>
      <c r="K224" s="450"/>
      <c r="L224" s="450"/>
      <c r="M224" s="450"/>
      <c r="N224" s="450"/>
      <c r="O224" s="450"/>
      <c r="P224" s="450"/>
      <c r="Q224" s="450"/>
      <c r="R224" s="582">
        <v>0</v>
      </c>
      <c r="S224" s="450"/>
      <c r="T224" s="574"/>
      <c r="U224" s="587"/>
      <c r="V224" s="430"/>
    </row>
    <row r="225" spans="1:23" s="431" customFormat="1" x14ac:dyDescent="0.3">
      <c r="A225" s="571"/>
      <c r="B225" s="450" t="s">
        <v>90</v>
      </c>
      <c r="C225" s="486"/>
      <c r="D225" s="486"/>
      <c r="E225" s="486"/>
      <c r="F225" s="588"/>
      <c r="G225" s="450"/>
      <c r="H225" s="450"/>
      <c r="I225" s="450"/>
      <c r="J225" s="450"/>
      <c r="K225" s="450"/>
      <c r="L225" s="450"/>
      <c r="M225" s="450"/>
      <c r="N225" s="450"/>
      <c r="O225" s="450"/>
      <c r="P225" s="450"/>
      <c r="Q225" s="450"/>
      <c r="R225" s="582">
        <v>0</v>
      </c>
      <c r="S225" s="450"/>
      <c r="T225" s="574"/>
      <c r="U225" s="587"/>
      <c r="V225" s="430"/>
    </row>
    <row r="226" spans="1:23" x14ac:dyDescent="0.3">
      <c r="A226" s="576"/>
      <c r="B226" s="577" t="s">
        <v>226</v>
      </c>
      <c r="C226" s="589"/>
      <c r="D226" s="589"/>
      <c r="E226" s="589"/>
      <c r="F226" s="590"/>
      <c r="G226" s="470"/>
      <c r="H226" s="470"/>
      <c r="I226" s="470"/>
      <c r="J226" s="470"/>
      <c r="K226" s="470"/>
      <c r="L226" s="470"/>
      <c r="M226" s="470"/>
      <c r="N226" s="470"/>
      <c r="O226" s="470"/>
      <c r="P226" s="470"/>
      <c r="Q226" s="456"/>
      <c r="R226" s="591"/>
      <c r="S226" s="470"/>
      <c r="T226" s="580"/>
      <c r="U226" s="585"/>
      <c r="V226" s="416"/>
    </row>
    <row r="227" spans="1:23" s="431" customFormat="1" x14ac:dyDescent="0.3">
      <c r="A227" s="571"/>
      <c r="B227" s="450" t="s">
        <v>280</v>
      </c>
      <c r="C227" s="486"/>
      <c r="D227" s="486"/>
      <c r="E227" s="486"/>
      <c r="F227" s="588"/>
      <c r="G227" s="450"/>
      <c r="H227" s="450"/>
      <c r="I227" s="450"/>
      <c r="J227" s="450"/>
      <c r="K227" s="450"/>
      <c r="L227" s="450"/>
      <c r="M227" s="450"/>
      <c r="N227" s="450"/>
      <c r="O227" s="450"/>
      <c r="P227" s="450"/>
      <c r="Q227" s="456">
        <v>3</v>
      </c>
      <c r="R227" s="573">
        <v>290</v>
      </c>
      <c r="S227" s="450"/>
      <c r="T227" s="574"/>
      <c r="U227" s="587"/>
      <c r="V227" s="430"/>
    </row>
    <row r="228" spans="1:23" s="431" customFormat="1" x14ac:dyDescent="0.3">
      <c r="A228" s="571"/>
      <c r="B228" s="450" t="s">
        <v>227</v>
      </c>
      <c r="C228" s="486"/>
      <c r="D228" s="486"/>
      <c r="E228" s="486"/>
      <c r="F228" s="588"/>
      <c r="G228" s="450"/>
      <c r="H228" s="450"/>
      <c r="I228" s="450"/>
      <c r="J228" s="450"/>
      <c r="K228" s="450"/>
      <c r="L228" s="450"/>
      <c r="M228" s="450"/>
      <c r="N228" s="450"/>
      <c r="O228" s="450"/>
      <c r="P228" s="450"/>
      <c r="Q228" s="456"/>
      <c r="R228" s="582">
        <v>15.25</v>
      </c>
      <c r="S228" s="450"/>
      <c r="T228" s="574"/>
      <c r="U228" s="587"/>
      <c r="V228" s="430"/>
    </row>
    <row r="229" spans="1:23" x14ac:dyDescent="0.3">
      <c r="A229" s="576"/>
      <c r="B229" s="584"/>
      <c r="C229" s="589"/>
      <c r="D229" s="589"/>
      <c r="E229" s="589"/>
      <c r="F229" s="590"/>
      <c r="G229" s="470"/>
      <c r="H229" s="470"/>
      <c r="I229" s="470"/>
      <c r="J229" s="470"/>
      <c r="K229" s="470"/>
      <c r="L229" s="470"/>
      <c r="M229" s="470"/>
      <c r="N229" s="470"/>
      <c r="O229" s="470"/>
      <c r="P229" s="470"/>
      <c r="Q229" s="450"/>
      <c r="R229" s="591"/>
      <c r="S229" s="470"/>
      <c r="T229" s="580"/>
      <c r="U229" s="585"/>
      <c r="V229" s="416"/>
    </row>
    <row r="230" spans="1:23" x14ac:dyDescent="0.3">
      <c r="A230" s="576"/>
      <c r="B230" s="584"/>
      <c r="C230" s="589"/>
      <c r="D230" s="589"/>
      <c r="E230" s="589"/>
      <c r="F230" s="590"/>
      <c r="G230" s="470"/>
      <c r="H230" s="470"/>
      <c r="I230" s="470"/>
      <c r="J230" s="470"/>
      <c r="K230" s="470"/>
      <c r="L230" s="470"/>
      <c r="M230" s="470"/>
      <c r="N230" s="470"/>
      <c r="O230" s="470"/>
      <c r="P230" s="470"/>
      <c r="Q230" s="450"/>
      <c r="R230" s="591"/>
      <c r="S230" s="470"/>
      <c r="T230" s="580"/>
      <c r="U230" s="585"/>
      <c r="V230" s="416"/>
    </row>
    <row r="231" spans="1:23" ht="18" x14ac:dyDescent="0.35">
      <c r="A231" s="576"/>
      <c r="B231" s="592" t="s">
        <v>175</v>
      </c>
      <c r="C231" s="589"/>
      <c r="D231" s="589"/>
      <c r="E231" s="589"/>
      <c r="F231" s="590"/>
      <c r="G231" s="470"/>
      <c r="H231" s="470"/>
      <c r="I231" s="470"/>
      <c r="J231" s="470"/>
      <c r="K231" s="470"/>
      <c r="L231" s="470"/>
      <c r="M231" s="470"/>
      <c r="N231" s="647" t="s">
        <v>356</v>
      </c>
      <c r="O231" s="470"/>
      <c r="P231" s="470"/>
      <c r="Q231" s="470"/>
      <c r="R231" s="593"/>
      <c r="S231" s="470"/>
      <c r="T231" s="580"/>
      <c r="U231" s="585"/>
      <c r="V231" s="416"/>
    </row>
    <row r="232" spans="1:23" x14ac:dyDescent="0.3">
      <c r="A232" s="594"/>
      <c r="B232" s="563"/>
      <c r="C232" s="595"/>
      <c r="D232" s="595"/>
      <c r="E232" s="595"/>
      <c r="F232" s="596"/>
      <c r="G232" s="516"/>
      <c r="H232" s="516"/>
      <c r="I232" s="516"/>
      <c r="J232" s="516"/>
      <c r="K232" s="516"/>
      <c r="L232" s="516"/>
      <c r="M232" s="516"/>
      <c r="N232" s="516"/>
      <c r="O232" s="516"/>
      <c r="P232" s="516"/>
      <c r="Q232" s="516"/>
      <c r="R232" s="597"/>
      <c r="S232" s="516"/>
      <c r="T232" s="564"/>
      <c r="U232" s="645"/>
      <c r="V232" s="416"/>
    </row>
    <row r="233" spans="1:23" x14ac:dyDescent="0.3">
      <c r="A233" s="442"/>
      <c r="B233" s="598" t="s">
        <v>295</v>
      </c>
      <c r="C233" s="599"/>
      <c r="D233" s="599"/>
      <c r="E233" s="599"/>
      <c r="F233" s="600"/>
      <c r="G233" s="599"/>
      <c r="H233" s="599"/>
      <c r="I233" s="599"/>
      <c r="J233" s="599"/>
      <c r="K233" s="599"/>
      <c r="L233" s="599"/>
      <c r="M233" s="599"/>
      <c r="N233" s="599"/>
      <c r="O233" s="599"/>
      <c r="P233" s="600" t="s">
        <v>105</v>
      </c>
      <c r="Q233" s="599" t="s">
        <v>106</v>
      </c>
      <c r="R233" s="600" t="s">
        <v>114</v>
      </c>
      <c r="S233" s="599" t="s">
        <v>106</v>
      </c>
      <c r="T233" s="601"/>
      <c r="U233" s="605"/>
      <c r="V233" s="416"/>
    </row>
    <row r="234" spans="1:23" s="431" customFormat="1" x14ac:dyDescent="0.3">
      <c r="A234" s="632"/>
      <c r="B234" s="633" t="s">
        <v>91</v>
      </c>
      <c r="C234" s="634"/>
      <c r="D234" s="634"/>
      <c r="E234" s="634"/>
      <c r="F234" s="635"/>
      <c r="G234" s="634"/>
      <c r="H234" s="634"/>
      <c r="I234" s="634"/>
      <c r="J234" s="634"/>
      <c r="K234" s="634"/>
      <c r="L234" s="634"/>
      <c r="M234" s="634"/>
      <c r="N234" s="634"/>
      <c r="O234" s="634"/>
      <c r="P234" s="633">
        <f t="shared" ref="P234:P241" si="1">+P246+P258+P270</f>
        <v>2797</v>
      </c>
      <c r="Q234" s="636">
        <f t="shared" ref="Q234:Q241" si="2">P234/$P$243</f>
        <v>0.99325284090909094</v>
      </c>
      <c r="R234" s="637">
        <f t="shared" ref="R234:R241" si="3">+R246+R258+R270</f>
        <v>356389</v>
      </c>
      <c r="S234" s="636">
        <f t="shared" ref="S234:S241" si="4">R234/$R$243</f>
        <v>0.99420863961614103</v>
      </c>
      <c r="T234" s="630"/>
      <c r="U234" s="631"/>
      <c r="V234" s="430"/>
    </row>
    <row r="235" spans="1:23" s="431" customFormat="1" x14ac:dyDescent="0.3">
      <c r="A235" s="449"/>
      <c r="B235" s="514" t="s">
        <v>92</v>
      </c>
      <c r="C235" s="603"/>
      <c r="D235" s="603"/>
      <c r="E235" s="603"/>
      <c r="F235" s="450"/>
      <c r="G235" s="602"/>
      <c r="H235" s="603"/>
      <c r="I235" s="603"/>
      <c r="J235" s="603"/>
      <c r="K235" s="603"/>
      <c r="L235" s="603"/>
      <c r="M235" s="603"/>
      <c r="N235" s="603"/>
      <c r="O235" s="603"/>
      <c r="P235" s="514">
        <f t="shared" si="1"/>
        <v>11</v>
      </c>
      <c r="Q235" s="602">
        <f t="shared" si="2"/>
        <v>3.90625E-3</v>
      </c>
      <c r="R235" s="515">
        <f t="shared" si="3"/>
        <v>1250</v>
      </c>
      <c r="S235" s="602">
        <f t="shared" si="4"/>
        <v>3.4870907898958059E-3</v>
      </c>
      <c r="T235" s="574"/>
      <c r="U235" s="587"/>
      <c r="V235" s="430"/>
      <c r="W235" s="533"/>
    </row>
    <row r="236" spans="1:23" s="431" customFormat="1" x14ac:dyDescent="0.3">
      <c r="A236" s="449"/>
      <c r="B236" s="514" t="s">
        <v>93</v>
      </c>
      <c r="C236" s="603"/>
      <c r="D236" s="603"/>
      <c r="E236" s="603"/>
      <c r="F236" s="450"/>
      <c r="G236" s="602"/>
      <c r="H236" s="603"/>
      <c r="I236" s="603"/>
      <c r="J236" s="603"/>
      <c r="K236" s="603"/>
      <c r="L236" s="603"/>
      <c r="M236" s="603"/>
      <c r="N236" s="603"/>
      <c r="O236" s="603"/>
      <c r="P236" s="514">
        <f t="shared" si="1"/>
        <v>3</v>
      </c>
      <c r="Q236" s="602">
        <f t="shared" si="2"/>
        <v>1.065340909090909E-3</v>
      </c>
      <c r="R236" s="515">
        <f t="shared" si="3"/>
        <v>349</v>
      </c>
      <c r="S236" s="602">
        <f t="shared" si="4"/>
        <v>9.7359574853890898E-4</v>
      </c>
      <c r="T236" s="574"/>
      <c r="U236" s="587"/>
      <c r="V236" s="430"/>
    </row>
    <row r="237" spans="1:23" s="431" customFormat="1" x14ac:dyDescent="0.3">
      <c r="A237" s="449"/>
      <c r="B237" s="514" t="s">
        <v>163</v>
      </c>
      <c r="C237" s="603"/>
      <c r="D237" s="603"/>
      <c r="E237" s="603"/>
      <c r="F237" s="450"/>
      <c r="G237" s="602"/>
      <c r="H237" s="603"/>
      <c r="I237" s="603"/>
      <c r="J237" s="603"/>
      <c r="K237" s="603"/>
      <c r="L237" s="603"/>
      <c r="M237" s="603"/>
      <c r="N237" s="603"/>
      <c r="O237" s="603"/>
      <c r="P237" s="514">
        <f t="shared" si="1"/>
        <v>4</v>
      </c>
      <c r="Q237" s="602">
        <f t="shared" si="2"/>
        <v>1.4204545454545455E-3</v>
      </c>
      <c r="R237" s="515">
        <f t="shared" si="3"/>
        <v>373</v>
      </c>
      <c r="S237" s="602">
        <f t="shared" si="4"/>
        <v>1.0405478917049084E-3</v>
      </c>
      <c r="T237" s="574"/>
      <c r="U237" s="587"/>
      <c r="V237" s="430"/>
      <c r="W237" s="533"/>
    </row>
    <row r="238" spans="1:23" s="431" customFormat="1" x14ac:dyDescent="0.3">
      <c r="A238" s="449"/>
      <c r="B238" s="514" t="s">
        <v>164</v>
      </c>
      <c r="C238" s="603"/>
      <c r="D238" s="603"/>
      <c r="E238" s="603"/>
      <c r="F238" s="450"/>
      <c r="G238" s="602"/>
      <c r="H238" s="603"/>
      <c r="I238" s="603"/>
      <c r="J238" s="603"/>
      <c r="K238" s="603"/>
      <c r="L238" s="603"/>
      <c r="M238" s="603"/>
      <c r="N238" s="603"/>
      <c r="O238" s="603"/>
      <c r="P238" s="514">
        <f t="shared" si="1"/>
        <v>0</v>
      </c>
      <c r="Q238" s="602">
        <f t="shared" si="2"/>
        <v>0</v>
      </c>
      <c r="R238" s="515">
        <f t="shared" si="3"/>
        <v>0</v>
      </c>
      <c r="S238" s="602">
        <f t="shared" si="4"/>
        <v>0</v>
      </c>
      <c r="T238" s="574"/>
      <c r="U238" s="587"/>
      <c r="V238" s="430"/>
    </row>
    <row r="239" spans="1:23" s="431" customFormat="1" x14ac:dyDescent="0.3">
      <c r="A239" s="449"/>
      <c r="B239" s="514" t="s">
        <v>165</v>
      </c>
      <c r="C239" s="603"/>
      <c r="D239" s="603"/>
      <c r="E239" s="603"/>
      <c r="F239" s="450"/>
      <c r="G239" s="602"/>
      <c r="H239" s="603"/>
      <c r="I239" s="603"/>
      <c r="J239" s="603"/>
      <c r="K239" s="603"/>
      <c r="L239" s="603"/>
      <c r="M239" s="603"/>
      <c r="N239" s="603"/>
      <c r="O239" s="603"/>
      <c r="P239" s="514">
        <f t="shared" si="1"/>
        <v>0</v>
      </c>
      <c r="Q239" s="602">
        <f t="shared" si="2"/>
        <v>0</v>
      </c>
      <c r="R239" s="515">
        <f t="shared" si="3"/>
        <v>0</v>
      </c>
      <c r="S239" s="602">
        <f t="shared" si="4"/>
        <v>0</v>
      </c>
      <c r="T239" s="574"/>
      <c r="U239" s="587"/>
      <c r="V239" s="430"/>
      <c r="W239" s="533"/>
    </row>
    <row r="240" spans="1:23" s="431" customFormat="1" x14ac:dyDescent="0.3">
      <c r="A240" s="449"/>
      <c r="B240" s="514" t="s">
        <v>166</v>
      </c>
      <c r="C240" s="603"/>
      <c r="D240" s="603"/>
      <c r="E240" s="603"/>
      <c r="F240" s="450"/>
      <c r="G240" s="602"/>
      <c r="H240" s="603"/>
      <c r="I240" s="603"/>
      <c r="J240" s="603"/>
      <c r="K240" s="603"/>
      <c r="L240" s="603"/>
      <c r="M240" s="603"/>
      <c r="N240" s="603"/>
      <c r="O240" s="603"/>
      <c r="P240" s="514">
        <f t="shared" si="1"/>
        <v>1</v>
      </c>
      <c r="Q240" s="602">
        <f t="shared" si="2"/>
        <v>3.5511363636363637E-4</v>
      </c>
      <c r="R240" s="515">
        <f t="shared" si="3"/>
        <v>104</v>
      </c>
      <c r="S240" s="602">
        <f t="shared" si="4"/>
        <v>2.9012595371933101E-4</v>
      </c>
      <c r="T240" s="574"/>
      <c r="U240" s="587"/>
      <c r="V240" s="430"/>
    </row>
    <row r="241" spans="1:23" s="431" customFormat="1" x14ac:dyDescent="0.3">
      <c r="A241" s="449"/>
      <c r="B241" s="514" t="s">
        <v>167</v>
      </c>
      <c r="C241" s="603"/>
      <c r="D241" s="603"/>
      <c r="E241" s="603"/>
      <c r="F241" s="450"/>
      <c r="G241" s="602"/>
      <c r="H241" s="603"/>
      <c r="I241" s="603"/>
      <c r="J241" s="603"/>
      <c r="K241" s="603"/>
      <c r="L241" s="603"/>
      <c r="M241" s="603"/>
      <c r="N241" s="603"/>
      <c r="O241" s="603"/>
      <c r="P241" s="514">
        <f t="shared" si="1"/>
        <v>0</v>
      </c>
      <c r="Q241" s="602">
        <f t="shared" si="2"/>
        <v>0</v>
      </c>
      <c r="R241" s="515">
        <f t="shared" si="3"/>
        <v>0</v>
      </c>
      <c r="S241" s="602">
        <f t="shared" si="4"/>
        <v>0</v>
      </c>
      <c r="T241" s="574"/>
      <c r="U241" s="587"/>
      <c r="V241" s="430"/>
      <c r="W241" s="533"/>
    </row>
    <row r="242" spans="1:23" s="431" customFormat="1" x14ac:dyDescent="0.3">
      <c r="A242" s="449"/>
      <c r="B242" s="514"/>
      <c r="C242" s="603"/>
      <c r="D242" s="603"/>
      <c r="E242" s="603"/>
      <c r="F242" s="450"/>
      <c r="G242" s="602"/>
      <c r="H242" s="603"/>
      <c r="I242" s="603"/>
      <c r="J242" s="603"/>
      <c r="K242" s="603"/>
      <c r="L242" s="603"/>
      <c r="M242" s="603"/>
      <c r="N242" s="603"/>
      <c r="O242" s="603"/>
      <c r="P242" s="514"/>
      <c r="Q242" s="602"/>
      <c r="R242" s="515"/>
      <c r="S242" s="602"/>
      <c r="T242" s="574"/>
      <c r="U242" s="587"/>
      <c r="V242" s="430"/>
    </row>
    <row r="243" spans="1:23" s="431" customFormat="1" x14ac:dyDescent="0.3">
      <c r="A243" s="449"/>
      <c r="B243" s="450" t="s">
        <v>120</v>
      </c>
      <c r="C243" s="450"/>
      <c r="D243" s="450"/>
      <c r="E243" s="450"/>
      <c r="F243" s="450"/>
      <c r="G243" s="450"/>
      <c r="H243" s="604"/>
      <c r="I243" s="604"/>
      <c r="J243" s="604"/>
      <c r="K243" s="604"/>
      <c r="L243" s="604"/>
      <c r="M243" s="604"/>
      <c r="N243" s="604"/>
      <c r="O243" s="604"/>
      <c r="P243" s="514">
        <f>SUM(P234:P242)</f>
        <v>2816</v>
      </c>
      <c r="Q243" s="602">
        <f>SUM(Q234:Q242)</f>
        <v>1</v>
      </c>
      <c r="R243" s="515">
        <f>SUM(R234:R242)</f>
        <v>358465</v>
      </c>
      <c r="S243" s="602">
        <f>SUM(S234:S242)</f>
        <v>1</v>
      </c>
      <c r="T243" s="450"/>
      <c r="U243" s="452"/>
      <c r="V243" s="430"/>
    </row>
    <row r="244" spans="1:23" x14ac:dyDescent="0.3">
      <c r="A244" s="594"/>
      <c r="B244" s="563"/>
      <c r="C244" s="595"/>
      <c r="D244" s="595"/>
      <c r="E244" s="595"/>
      <c r="F244" s="596"/>
      <c r="G244" s="516"/>
      <c r="H244" s="516"/>
      <c r="I244" s="516"/>
      <c r="J244" s="516"/>
      <c r="K244" s="516"/>
      <c r="L244" s="516"/>
      <c r="M244" s="516"/>
      <c r="N244" s="516"/>
      <c r="O244" s="516"/>
      <c r="P244" s="516"/>
      <c r="Q244" s="516"/>
      <c r="R244" s="597"/>
      <c r="S244" s="516"/>
      <c r="T244" s="564"/>
      <c r="U244" s="645"/>
      <c r="V244" s="416"/>
    </row>
    <row r="245" spans="1:23" x14ac:dyDescent="0.3">
      <c r="A245" s="442"/>
      <c r="B245" s="521" t="s">
        <v>169</v>
      </c>
      <c r="C245" s="522"/>
      <c r="D245" s="522"/>
      <c r="E245" s="522"/>
      <c r="F245" s="566"/>
      <c r="G245" s="522"/>
      <c r="H245" s="522"/>
      <c r="I245" s="522"/>
      <c r="J245" s="522"/>
      <c r="K245" s="522"/>
      <c r="L245" s="522"/>
      <c r="M245" s="522"/>
      <c r="N245" s="522"/>
      <c r="O245" s="522"/>
      <c r="P245" s="566" t="s">
        <v>105</v>
      </c>
      <c r="Q245" s="522" t="s">
        <v>106</v>
      </c>
      <c r="R245" s="566" t="s">
        <v>114</v>
      </c>
      <c r="S245" s="522" t="s">
        <v>106</v>
      </c>
      <c r="T245" s="443"/>
      <c r="U245" s="605"/>
      <c r="V245" s="416"/>
    </row>
    <row r="246" spans="1:23" s="431" customFormat="1" x14ac:dyDescent="0.3">
      <c r="A246" s="432"/>
      <c r="B246" s="525" t="s">
        <v>91</v>
      </c>
      <c r="C246" s="606"/>
      <c r="D246" s="606"/>
      <c r="E246" s="606"/>
      <c r="F246" s="447"/>
      <c r="G246" s="606"/>
      <c r="H246" s="606"/>
      <c r="I246" s="606"/>
      <c r="J246" s="606"/>
      <c r="K246" s="606"/>
      <c r="L246" s="606"/>
      <c r="M246" s="606"/>
      <c r="N246" s="606"/>
      <c r="O246" s="606"/>
      <c r="P246" s="525">
        <v>2774</v>
      </c>
      <c r="Q246" s="607">
        <f t="shared" ref="Q246:Q253" si="5">P246/$P$255</f>
        <v>0.99426523297491043</v>
      </c>
      <c r="R246" s="526">
        <v>352969</v>
      </c>
      <c r="S246" s="607">
        <f t="shared" ref="S246:S253" si="6">R246/$R$255</f>
        <v>0.99528537309560938</v>
      </c>
      <c r="T246" s="570"/>
      <c r="U246" s="646"/>
      <c r="V246" s="430"/>
    </row>
    <row r="247" spans="1:23" s="431" customFormat="1" x14ac:dyDescent="0.3">
      <c r="A247" s="449"/>
      <c r="B247" s="514" t="s">
        <v>92</v>
      </c>
      <c r="C247" s="603"/>
      <c r="D247" s="603"/>
      <c r="E247" s="603"/>
      <c r="F247" s="450"/>
      <c r="G247" s="602"/>
      <c r="H247" s="603"/>
      <c r="I247" s="603"/>
      <c r="J247" s="603"/>
      <c r="K247" s="603"/>
      <c r="L247" s="603"/>
      <c r="M247" s="603"/>
      <c r="N247" s="603"/>
      <c r="O247" s="603"/>
      <c r="P247" s="514">
        <v>11</v>
      </c>
      <c r="Q247" s="602">
        <f t="shared" si="5"/>
        <v>3.9426523297491044E-3</v>
      </c>
      <c r="R247" s="515">
        <v>1250</v>
      </c>
      <c r="S247" s="602">
        <f t="shared" si="6"/>
        <v>3.5246911665599862E-3</v>
      </c>
      <c r="T247" s="574"/>
      <c r="U247" s="587"/>
      <c r="V247" s="430"/>
      <c r="W247" s="533"/>
    </row>
    <row r="248" spans="1:23" s="431" customFormat="1" x14ac:dyDescent="0.3">
      <c r="A248" s="449"/>
      <c r="B248" s="514" t="s">
        <v>93</v>
      </c>
      <c r="C248" s="603"/>
      <c r="D248" s="603"/>
      <c r="E248" s="603"/>
      <c r="F248" s="450"/>
      <c r="G248" s="602"/>
      <c r="H248" s="603"/>
      <c r="I248" s="603"/>
      <c r="J248" s="603"/>
      <c r="K248" s="603"/>
      <c r="L248" s="603"/>
      <c r="M248" s="603"/>
      <c r="N248" s="603"/>
      <c r="O248" s="603"/>
      <c r="P248" s="514">
        <v>1</v>
      </c>
      <c r="Q248" s="602">
        <f t="shared" si="5"/>
        <v>3.5842293906810036E-4</v>
      </c>
      <c r="R248" s="515">
        <v>49</v>
      </c>
      <c r="S248" s="602">
        <f t="shared" si="6"/>
        <v>1.3816789372915144E-4</v>
      </c>
      <c r="T248" s="574"/>
      <c r="U248" s="587"/>
      <c r="V248" s="430"/>
    </row>
    <row r="249" spans="1:23" s="431" customFormat="1" x14ac:dyDescent="0.3">
      <c r="A249" s="449"/>
      <c r="B249" s="514" t="s">
        <v>163</v>
      </c>
      <c r="C249" s="603"/>
      <c r="D249" s="603"/>
      <c r="E249" s="603"/>
      <c r="F249" s="450"/>
      <c r="G249" s="602"/>
      <c r="H249" s="603"/>
      <c r="I249" s="603"/>
      <c r="J249" s="603"/>
      <c r="K249" s="603"/>
      <c r="L249" s="603"/>
      <c r="M249" s="603"/>
      <c r="N249" s="603"/>
      <c r="O249" s="603"/>
      <c r="P249" s="514">
        <v>4</v>
      </c>
      <c r="Q249" s="602">
        <f t="shared" si="5"/>
        <v>1.4336917562724014E-3</v>
      </c>
      <c r="R249" s="515">
        <v>373</v>
      </c>
      <c r="S249" s="602">
        <f t="shared" si="6"/>
        <v>1.0517678441014997E-3</v>
      </c>
      <c r="T249" s="574"/>
      <c r="U249" s="587"/>
      <c r="V249" s="430"/>
      <c r="W249" s="533"/>
    </row>
    <row r="250" spans="1:23" s="431" customFormat="1" x14ac:dyDescent="0.3">
      <c r="A250" s="449"/>
      <c r="B250" s="514" t="s">
        <v>164</v>
      </c>
      <c r="C250" s="603"/>
      <c r="D250" s="603"/>
      <c r="E250" s="603"/>
      <c r="F250" s="450"/>
      <c r="G250" s="602"/>
      <c r="H250" s="603"/>
      <c r="I250" s="603"/>
      <c r="J250" s="603"/>
      <c r="K250" s="603"/>
      <c r="L250" s="603"/>
      <c r="M250" s="603"/>
      <c r="N250" s="603"/>
      <c r="O250" s="603"/>
      <c r="P250" s="514">
        <v>0</v>
      </c>
      <c r="Q250" s="602">
        <f t="shared" si="5"/>
        <v>0</v>
      </c>
      <c r="R250" s="515">
        <v>0</v>
      </c>
      <c r="S250" s="602">
        <f t="shared" si="6"/>
        <v>0</v>
      </c>
      <c r="T250" s="574"/>
      <c r="U250" s="587"/>
      <c r="V250" s="430"/>
    </row>
    <row r="251" spans="1:23" s="431" customFormat="1" x14ac:dyDescent="0.3">
      <c r="A251" s="449"/>
      <c r="B251" s="514" t="s">
        <v>165</v>
      </c>
      <c r="C251" s="603"/>
      <c r="D251" s="603"/>
      <c r="E251" s="603"/>
      <c r="F251" s="450"/>
      <c r="G251" s="602"/>
      <c r="H251" s="603"/>
      <c r="I251" s="603"/>
      <c r="J251" s="603"/>
      <c r="K251" s="603"/>
      <c r="L251" s="603"/>
      <c r="M251" s="603"/>
      <c r="N251" s="603"/>
      <c r="O251" s="603"/>
      <c r="P251" s="514">
        <v>0</v>
      </c>
      <c r="Q251" s="602">
        <f t="shared" si="5"/>
        <v>0</v>
      </c>
      <c r="R251" s="515">
        <v>0</v>
      </c>
      <c r="S251" s="602">
        <f t="shared" si="6"/>
        <v>0</v>
      </c>
      <c r="T251" s="574"/>
      <c r="U251" s="587"/>
      <c r="V251" s="430"/>
      <c r="W251" s="533"/>
    </row>
    <row r="252" spans="1:23" s="431" customFormat="1" x14ac:dyDescent="0.3">
      <c r="A252" s="449"/>
      <c r="B252" s="514" t="s">
        <v>166</v>
      </c>
      <c r="C252" s="603"/>
      <c r="D252" s="603"/>
      <c r="E252" s="603"/>
      <c r="F252" s="450"/>
      <c r="G252" s="602"/>
      <c r="H252" s="603"/>
      <c r="I252" s="603"/>
      <c r="J252" s="603"/>
      <c r="K252" s="603"/>
      <c r="L252" s="603"/>
      <c r="M252" s="603"/>
      <c r="N252" s="603"/>
      <c r="O252" s="603"/>
      <c r="P252" s="514">
        <v>0</v>
      </c>
      <c r="Q252" s="602">
        <f t="shared" si="5"/>
        <v>0</v>
      </c>
      <c r="R252" s="515">
        <v>0</v>
      </c>
      <c r="S252" s="602">
        <f t="shared" si="6"/>
        <v>0</v>
      </c>
      <c r="T252" s="574"/>
      <c r="U252" s="587"/>
      <c r="V252" s="430"/>
    </row>
    <row r="253" spans="1:23" s="431" customFormat="1" x14ac:dyDescent="0.3">
      <c r="A253" s="449"/>
      <c r="B253" s="514" t="s">
        <v>167</v>
      </c>
      <c r="C253" s="603"/>
      <c r="D253" s="603"/>
      <c r="E253" s="603"/>
      <c r="F253" s="450"/>
      <c r="G253" s="602"/>
      <c r="H253" s="603"/>
      <c r="I253" s="603"/>
      <c r="J253" s="603"/>
      <c r="K253" s="603"/>
      <c r="L253" s="603"/>
      <c r="M253" s="603"/>
      <c r="N253" s="603"/>
      <c r="O253" s="603"/>
      <c r="P253" s="514">
        <v>0</v>
      </c>
      <c r="Q253" s="602">
        <f t="shared" si="5"/>
        <v>0</v>
      </c>
      <c r="R253" s="515">
        <v>0</v>
      </c>
      <c r="S253" s="602">
        <f t="shared" si="6"/>
        <v>0</v>
      </c>
      <c r="T253" s="574"/>
      <c r="U253" s="587"/>
      <c r="V253" s="430"/>
      <c r="W253" s="533"/>
    </row>
    <row r="254" spans="1:23" s="431" customFormat="1" x14ac:dyDescent="0.3">
      <c r="A254" s="449"/>
      <c r="B254" s="514"/>
      <c r="C254" s="603"/>
      <c r="D254" s="603"/>
      <c r="E254" s="603"/>
      <c r="F254" s="450"/>
      <c r="G254" s="602"/>
      <c r="H254" s="603"/>
      <c r="I254" s="603"/>
      <c r="J254" s="603"/>
      <c r="K254" s="603"/>
      <c r="L254" s="603"/>
      <c r="M254" s="603"/>
      <c r="N254" s="603"/>
      <c r="O254" s="603"/>
      <c r="P254" s="514"/>
      <c r="Q254" s="602"/>
      <c r="R254" s="515"/>
      <c r="S254" s="602"/>
      <c r="T254" s="574"/>
      <c r="U254" s="587"/>
      <c r="V254" s="430"/>
    </row>
    <row r="255" spans="1:23" s="431" customFormat="1" x14ac:dyDescent="0.3">
      <c r="A255" s="449"/>
      <c r="B255" s="450" t="s">
        <v>120</v>
      </c>
      <c r="C255" s="450"/>
      <c r="D255" s="450"/>
      <c r="E255" s="450"/>
      <c r="F255" s="450"/>
      <c r="G255" s="450"/>
      <c r="H255" s="604"/>
      <c r="I255" s="604"/>
      <c r="J255" s="604"/>
      <c r="K255" s="604"/>
      <c r="L255" s="604"/>
      <c r="M255" s="604"/>
      <c r="N255" s="604"/>
      <c r="O255" s="604"/>
      <c r="P255" s="514">
        <f>SUM(P246:P254)</f>
        <v>2790</v>
      </c>
      <c r="Q255" s="602">
        <f>SUM(Q246:Q254)</f>
        <v>1</v>
      </c>
      <c r="R255" s="515">
        <f>SUM(R246:R254)</f>
        <v>354641</v>
      </c>
      <c r="S255" s="602">
        <f>SUM(S246:S254)</f>
        <v>1</v>
      </c>
      <c r="T255" s="450"/>
      <c r="U255" s="452"/>
      <c r="V255" s="430"/>
    </row>
    <row r="256" spans="1:23" x14ac:dyDescent="0.3">
      <c r="A256" s="418"/>
      <c r="B256" s="516"/>
      <c r="C256" s="516"/>
      <c r="D256" s="516"/>
      <c r="E256" s="516"/>
      <c r="F256" s="516"/>
      <c r="G256" s="516"/>
      <c r="H256" s="608"/>
      <c r="I256" s="608"/>
      <c r="J256" s="608"/>
      <c r="K256" s="608"/>
      <c r="L256" s="608"/>
      <c r="M256" s="608"/>
      <c r="N256" s="608"/>
      <c r="O256" s="608"/>
      <c r="P256" s="517"/>
      <c r="Q256" s="609"/>
      <c r="R256" s="610"/>
      <c r="S256" s="609"/>
      <c r="T256" s="516"/>
      <c r="U256" s="639"/>
      <c r="V256" s="416"/>
    </row>
    <row r="257" spans="1:22" x14ac:dyDescent="0.3">
      <c r="A257" s="442"/>
      <c r="B257" s="521" t="s">
        <v>267</v>
      </c>
      <c r="C257" s="522"/>
      <c r="D257" s="522"/>
      <c r="E257" s="522"/>
      <c r="F257" s="566"/>
      <c r="G257" s="522"/>
      <c r="H257" s="522"/>
      <c r="I257" s="522"/>
      <c r="J257" s="522"/>
      <c r="K257" s="522"/>
      <c r="L257" s="522"/>
      <c r="M257" s="522"/>
      <c r="N257" s="522"/>
      <c r="O257" s="522"/>
      <c r="P257" s="566" t="s">
        <v>105</v>
      </c>
      <c r="Q257" s="522" t="s">
        <v>106</v>
      </c>
      <c r="R257" s="566" t="s">
        <v>114</v>
      </c>
      <c r="S257" s="522" t="s">
        <v>106</v>
      </c>
      <c r="T257" s="443"/>
      <c r="U257" s="446"/>
      <c r="V257" s="416"/>
    </row>
    <row r="258" spans="1:22" s="431" customFormat="1" x14ac:dyDescent="0.3">
      <c r="A258" s="432"/>
      <c r="B258" s="525" t="s">
        <v>91</v>
      </c>
      <c r="C258" s="606"/>
      <c r="D258" s="606"/>
      <c r="E258" s="606"/>
      <c r="F258" s="447"/>
      <c r="G258" s="606"/>
      <c r="H258" s="606"/>
      <c r="I258" s="606"/>
      <c r="J258" s="606"/>
      <c r="K258" s="606"/>
      <c r="L258" s="606"/>
      <c r="M258" s="606"/>
      <c r="N258" s="606"/>
      <c r="O258" s="606"/>
      <c r="P258" s="525">
        <v>23</v>
      </c>
      <c r="Q258" s="607">
        <f t="shared" ref="Q258:Q265" si="7">P258/$P$267</f>
        <v>0.88461538461538458</v>
      </c>
      <c r="R258" s="526">
        <v>3420</v>
      </c>
      <c r="S258" s="607">
        <f>R258/$R$267</f>
        <v>0.89435146443514646</v>
      </c>
      <c r="T258" s="447"/>
      <c r="U258" s="641"/>
      <c r="V258" s="430"/>
    </row>
    <row r="259" spans="1:22" s="431" customFormat="1" x14ac:dyDescent="0.3">
      <c r="A259" s="449"/>
      <c r="B259" s="514" t="s">
        <v>92</v>
      </c>
      <c r="C259" s="603"/>
      <c r="D259" s="603"/>
      <c r="E259" s="603"/>
      <c r="F259" s="450"/>
      <c r="G259" s="602"/>
      <c r="H259" s="603"/>
      <c r="I259" s="603"/>
      <c r="J259" s="603"/>
      <c r="K259" s="603"/>
      <c r="L259" s="603"/>
      <c r="M259" s="603"/>
      <c r="N259" s="603"/>
      <c r="O259" s="603"/>
      <c r="P259" s="514">
        <v>0</v>
      </c>
      <c r="Q259" s="602">
        <f t="shared" si="7"/>
        <v>0</v>
      </c>
      <c r="R259" s="515">
        <v>0</v>
      </c>
      <c r="S259" s="602">
        <f t="shared" ref="S259:S265" si="8">R259/$R$267</f>
        <v>0</v>
      </c>
      <c r="T259" s="450"/>
      <c r="U259" s="452"/>
      <c r="V259" s="430"/>
    </row>
    <row r="260" spans="1:22" s="431" customFormat="1" x14ac:dyDescent="0.3">
      <c r="A260" s="449"/>
      <c r="B260" s="514" t="s">
        <v>93</v>
      </c>
      <c r="C260" s="603"/>
      <c r="D260" s="603"/>
      <c r="E260" s="603"/>
      <c r="F260" s="450"/>
      <c r="G260" s="602"/>
      <c r="H260" s="603"/>
      <c r="I260" s="603"/>
      <c r="J260" s="603"/>
      <c r="K260" s="603"/>
      <c r="L260" s="603"/>
      <c r="M260" s="603"/>
      <c r="N260" s="603"/>
      <c r="O260" s="603"/>
      <c r="P260" s="514">
        <v>2</v>
      </c>
      <c r="Q260" s="602">
        <f t="shared" si="7"/>
        <v>7.6923076923076927E-2</v>
      </c>
      <c r="R260" s="515">
        <v>300</v>
      </c>
      <c r="S260" s="602">
        <f t="shared" si="8"/>
        <v>7.8451882845188281E-2</v>
      </c>
      <c r="T260" s="450"/>
      <c r="U260" s="452"/>
      <c r="V260" s="430"/>
    </row>
    <row r="261" spans="1:22" s="431" customFormat="1" x14ac:dyDescent="0.3">
      <c r="A261" s="449"/>
      <c r="B261" s="514" t="s">
        <v>163</v>
      </c>
      <c r="C261" s="603"/>
      <c r="D261" s="603"/>
      <c r="E261" s="603"/>
      <c r="F261" s="450"/>
      <c r="G261" s="602"/>
      <c r="H261" s="603"/>
      <c r="I261" s="603"/>
      <c r="J261" s="603"/>
      <c r="K261" s="603"/>
      <c r="L261" s="603"/>
      <c r="M261" s="603"/>
      <c r="N261" s="603"/>
      <c r="O261" s="603"/>
      <c r="P261" s="514">
        <v>0</v>
      </c>
      <c r="Q261" s="602">
        <f t="shared" si="7"/>
        <v>0</v>
      </c>
      <c r="R261" s="515">
        <v>0</v>
      </c>
      <c r="S261" s="602">
        <f t="shared" si="8"/>
        <v>0</v>
      </c>
      <c r="T261" s="450"/>
      <c r="U261" s="452"/>
      <c r="V261" s="430"/>
    </row>
    <row r="262" spans="1:22" s="431" customFormat="1" x14ac:dyDescent="0.3">
      <c r="A262" s="449"/>
      <c r="B262" s="514" t="s">
        <v>164</v>
      </c>
      <c r="C262" s="603"/>
      <c r="D262" s="603"/>
      <c r="E262" s="603"/>
      <c r="F262" s="450"/>
      <c r="G262" s="602"/>
      <c r="H262" s="603"/>
      <c r="I262" s="603"/>
      <c r="J262" s="603"/>
      <c r="K262" s="603"/>
      <c r="L262" s="603"/>
      <c r="M262" s="603"/>
      <c r="N262" s="603"/>
      <c r="O262" s="603"/>
      <c r="P262" s="514">
        <v>0</v>
      </c>
      <c r="Q262" s="602">
        <f t="shared" si="7"/>
        <v>0</v>
      </c>
      <c r="R262" s="515">
        <v>0</v>
      </c>
      <c r="S262" s="602">
        <f t="shared" si="8"/>
        <v>0</v>
      </c>
      <c r="T262" s="450"/>
      <c r="U262" s="452"/>
      <c r="V262" s="430"/>
    </row>
    <row r="263" spans="1:22" s="431" customFormat="1" x14ac:dyDescent="0.3">
      <c r="A263" s="449"/>
      <c r="B263" s="514" t="s">
        <v>165</v>
      </c>
      <c r="C263" s="603"/>
      <c r="D263" s="603"/>
      <c r="E263" s="603"/>
      <c r="F263" s="450"/>
      <c r="G263" s="602"/>
      <c r="H263" s="603"/>
      <c r="I263" s="603"/>
      <c r="J263" s="603"/>
      <c r="K263" s="603"/>
      <c r="L263" s="603"/>
      <c r="M263" s="603"/>
      <c r="N263" s="603"/>
      <c r="O263" s="603"/>
      <c r="P263" s="514">
        <v>0</v>
      </c>
      <c r="Q263" s="602">
        <f t="shared" si="7"/>
        <v>0</v>
      </c>
      <c r="R263" s="515">
        <v>0</v>
      </c>
      <c r="S263" s="602">
        <f t="shared" si="8"/>
        <v>0</v>
      </c>
      <c r="T263" s="450"/>
      <c r="U263" s="452"/>
      <c r="V263" s="430"/>
    </row>
    <row r="264" spans="1:22" s="431" customFormat="1" x14ac:dyDescent="0.3">
      <c r="A264" s="449"/>
      <c r="B264" s="514" t="s">
        <v>166</v>
      </c>
      <c r="C264" s="603"/>
      <c r="D264" s="603"/>
      <c r="E264" s="603"/>
      <c r="F264" s="450"/>
      <c r="G264" s="602"/>
      <c r="H264" s="603"/>
      <c r="I264" s="603"/>
      <c r="J264" s="603"/>
      <c r="K264" s="603"/>
      <c r="L264" s="603"/>
      <c r="M264" s="603"/>
      <c r="N264" s="603"/>
      <c r="O264" s="603"/>
      <c r="P264" s="514">
        <v>1</v>
      </c>
      <c r="Q264" s="602">
        <f t="shared" si="7"/>
        <v>3.8461538461538464E-2</v>
      </c>
      <c r="R264" s="515">
        <v>104</v>
      </c>
      <c r="S264" s="602">
        <f t="shared" si="8"/>
        <v>2.7196652719665274E-2</v>
      </c>
      <c r="T264" s="450"/>
      <c r="U264" s="452"/>
      <c r="V264" s="430"/>
    </row>
    <row r="265" spans="1:22" s="431" customFormat="1" x14ac:dyDescent="0.3">
      <c r="A265" s="449"/>
      <c r="B265" s="514" t="s">
        <v>167</v>
      </c>
      <c r="C265" s="603"/>
      <c r="D265" s="603"/>
      <c r="E265" s="603"/>
      <c r="F265" s="450"/>
      <c r="G265" s="602"/>
      <c r="H265" s="603"/>
      <c r="I265" s="603"/>
      <c r="J265" s="603"/>
      <c r="K265" s="603"/>
      <c r="L265" s="603"/>
      <c r="M265" s="603"/>
      <c r="N265" s="603"/>
      <c r="O265" s="603"/>
      <c r="P265" s="514">
        <v>0</v>
      </c>
      <c r="Q265" s="602">
        <f t="shared" si="7"/>
        <v>0</v>
      </c>
      <c r="R265" s="515">
        <v>0</v>
      </c>
      <c r="S265" s="602">
        <f t="shared" si="8"/>
        <v>0</v>
      </c>
      <c r="T265" s="450"/>
      <c r="U265" s="452"/>
      <c r="V265" s="430"/>
    </row>
    <row r="266" spans="1:22" s="431" customFormat="1" x14ac:dyDescent="0.3">
      <c r="A266" s="449"/>
      <c r="B266" s="514"/>
      <c r="C266" s="603"/>
      <c r="D266" s="603"/>
      <c r="E266" s="603"/>
      <c r="F266" s="450"/>
      <c r="G266" s="602"/>
      <c r="H266" s="603"/>
      <c r="I266" s="603"/>
      <c r="J266" s="603"/>
      <c r="K266" s="603"/>
      <c r="L266" s="603"/>
      <c r="M266" s="603"/>
      <c r="N266" s="603"/>
      <c r="O266" s="603"/>
      <c r="P266" s="514"/>
      <c r="Q266" s="602"/>
      <c r="R266" s="515"/>
      <c r="S266" s="602"/>
      <c r="T266" s="450"/>
      <c r="U266" s="452"/>
      <c r="V266" s="430"/>
    </row>
    <row r="267" spans="1:22" s="431" customFormat="1" x14ac:dyDescent="0.3">
      <c r="A267" s="449"/>
      <c r="B267" s="450" t="s">
        <v>120</v>
      </c>
      <c r="C267" s="450"/>
      <c r="D267" s="450"/>
      <c r="E267" s="450"/>
      <c r="F267" s="450"/>
      <c r="G267" s="450"/>
      <c r="H267" s="604"/>
      <c r="I267" s="604"/>
      <c r="J267" s="604"/>
      <c r="K267" s="604"/>
      <c r="L267" s="604"/>
      <c r="M267" s="604"/>
      <c r="N267" s="604"/>
      <c r="O267" s="604"/>
      <c r="P267" s="514">
        <f>SUM(P258:P266)</f>
        <v>26</v>
      </c>
      <c r="Q267" s="602">
        <f>SUM(Q258:Q266)</f>
        <v>0.99999999999999989</v>
      </c>
      <c r="R267" s="515">
        <f>SUM(R258:R266)</f>
        <v>3824</v>
      </c>
      <c r="S267" s="602">
        <f>SUM(S258:S266)</f>
        <v>1</v>
      </c>
      <c r="T267" s="450"/>
      <c r="U267" s="452"/>
      <c r="V267" s="430"/>
    </row>
    <row r="268" spans="1:22" x14ac:dyDescent="0.3">
      <c r="A268" s="418"/>
      <c r="B268" s="516"/>
      <c r="C268" s="516"/>
      <c r="D268" s="516"/>
      <c r="E268" s="516"/>
      <c r="F268" s="516"/>
      <c r="G268" s="516"/>
      <c r="H268" s="608"/>
      <c r="I268" s="608"/>
      <c r="J268" s="608"/>
      <c r="K268" s="608"/>
      <c r="L268" s="608"/>
      <c r="M268" s="608"/>
      <c r="N268" s="608"/>
      <c r="O268" s="608"/>
      <c r="P268" s="517"/>
      <c r="Q268" s="609"/>
      <c r="R268" s="610"/>
      <c r="S268" s="609"/>
      <c r="T268" s="516"/>
      <c r="U268" s="639"/>
      <c r="V268" s="416"/>
    </row>
    <row r="269" spans="1:22" x14ac:dyDescent="0.3">
      <c r="A269" s="442"/>
      <c r="B269" s="521" t="s">
        <v>170</v>
      </c>
      <c r="C269" s="443"/>
      <c r="D269" s="443"/>
      <c r="E269" s="443"/>
      <c r="F269" s="443"/>
      <c r="G269" s="443"/>
      <c r="H269" s="611"/>
      <c r="I269" s="611"/>
      <c r="J269" s="611"/>
      <c r="K269" s="611"/>
      <c r="L269" s="611"/>
      <c r="M269" s="611"/>
      <c r="N269" s="611"/>
      <c r="O269" s="611"/>
      <c r="P269" s="566" t="s">
        <v>105</v>
      </c>
      <c r="Q269" s="522" t="s">
        <v>106</v>
      </c>
      <c r="R269" s="566" t="s">
        <v>114</v>
      </c>
      <c r="S269" s="522" t="s">
        <v>106</v>
      </c>
      <c r="T269" s="443"/>
      <c r="U269" s="446"/>
      <c r="V269" s="416"/>
    </row>
    <row r="270" spans="1:22" s="431" customFormat="1" x14ac:dyDescent="0.3">
      <c r="A270" s="432"/>
      <c r="B270" s="525" t="s">
        <v>91</v>
      </c>
      <c r="C270" s="447"/>
      <c r="D270" s="447"/>
      <c r="E270" s="447"/>
      <c r="F270" s="447"/>
      <c r="G270" s="447"/>
      <c r="H270" s="612"/>
      <c r="I270" s="612"/>
      <c r="J270" s="612"/>
      <c r="K270" s="612"/>
      <c r="L270" s="612"/>
      <c r="M270" s="612"/>
      <c r="N270" s="612"/>
      <c r="O270" s="612"/>
      <c r="P270" s="525">
        <v>0</v>
      </c>
      <c r="Q270" s="607">
        <v>0</v>
      </c>
      <c r="R270" s="526">
        <v>0</v>
      </c>
      <c r="S270" s="607">
        <v>0</v>
      </c>
      <c r="T270" s="447"/>
      <c r="U270" s="641"/>
      <c r="V270" s="430"/>
    </row>
    <row r="271" spans="1:22" s="431" customFormat="1" x14ac:dyDescent="0.3">
      <c r="A271" s="449"/>
      <c r="B271" s="514" t="s">
        <v>92</v>
      </c>
      <c r="C271" s="450"/>
      <c r="D271" s="450"/>
      <c r="E271" s="450"/>
      <c r="F271" s="450"/>
      <c r="G271" s="450"/>
      <c r="H271" s="604"/>
      <c r="I271" s="604"/>
      <c r="J271" s="604"/>
      <c r="K271" s="604"/>
      <c r="L271" s="604"/>
      <c r="M271" s="604"/>
      <c r="N271" s="604"/>
      <c r="O271" s="604"/>
      <c r="P271" s="514">
        <v>0</v>
      </c>
      <c r="Q271" s="602">
        <v>0</v>
      </c>
      <c r="R271" s="515">
        <v>0</v>
      </c>
      <c r="S271" s="602">
        <v>0</v>
      </c>
      <c r="T271" s="450"/>
      <c r="U271" s="452"/>
      <c r="V271" s="430"/>
    </row>
    <row r="272" spans="1:22" s="431" customFormat="1" x14ac:dyDescent="0.3">
      <c r="A272" s="449"/>
      <c r="B272" s="514" t="s">
        <v>93</v>
      </c>
      <c r="C272" s="450"/>
      <c r="D272" s="450"/>
      <c r="E272" s="450"/>
      <c r="F272" s="450"/>
      <c r="G272" s="450"/>
      <c r="H272" s="604"/>
      <c r="I272" s="604"/>
      <c r="J272" s="604"/>
      <c r="K272" s="604"/>
      <c r="L272" s="604"/>
      <c r="M272" s="604"/>
      <c r="N272" s="604"/>
      <c r="O272" s="604"/>
      <c r="P272" s="514">
        <v>0</v>
      </c>
      <c r="Q272" s="602">
        <v>0</v>
      </c>
      <c r="R272" s="515">
        <v>0</v>
      </c>
      <c r="S272" s="602">
        <v>0</v>
      </c>
      <c r="T272" s="450"/>
      <c r="U272" s="452"/>
      <c r="V272" s="430"/>
    </row>
    <row r="273" spans="1:22" s="431" customFormat="1" x14ac:dyDescent="0.3">
      <c r="A273" s="449"/>
      <c r="B273" s="514" t="s">
        <v>163</v>
      </c>
      <c r="C273" s="450"/>
      <c r="D273" s="450"/>
      <c r="E273" s="450"/>
      <c r="F273" s="450"/>
      <c r="G273" s="450"/>
      <c r="H273" s="604"/>
      <c r="I273" s="604"/>
      <c r="J273" s="604"/>
      <c r="K273" s="604"/>
      <c r="L273" s="604"/>
      <c r="M273" s="604"/>
      <c r="N273" s="604"/>
      <c r="O273" s="604"/>
      <c r="P273" s="514">
        <v>0</v>
      </c>
      <c r="Q273" s="602">
        <v>0</v>
      </c>
      <c r="R273" s="515">
        <v>0</v>
      </c>
      <c r="S273" s="602">
        <v>0</v>
      </c>
      <c r="T273" s="450"/>
      <c r="U273" s="452"/>
      <c r="V273" s="430"/>
    </row>
    <row r="274" spans="1:22" s="431" customFormat="1" x14ac:dyDescent="0.3">
      <c r="A274" s="449"/>
      <c r="B274" s="514" t="s">
        <v>164</v>
      </c>
      <c r="C274" s="450"/>
      <c r="D274" s="450"/>
      <c r="E274" s="450"/>
      <c r="F274" s="450"/>
      <c r="G274" s="450"/>
      <c r="H274" s="604"/>
      <c r="I274" s="604"/>
      <c r="J274" s="604"/>
      <c r="K274" s="604"/>
      <c r="L274" s="604"/>
      <c r="M274" s="604"/>
      <c r="N274" s="604"/>
      <c r="O274" s="604"/>
      <c r="P274" s="514">
        <v>0</v>
      </c>
      <c r="Q274" s="602">
        <v>0</v>
      </c>
      <c r="R274" s="515">
        <v>0</v>
      </c>
      <c r="S274" s="602">
        <v>0</v>
      </c>
      <c r="T274" s="450"/>
      <c r="U274" s="452"/>
      <c r="V274" s="430"/>
    </row>
    <row r="275" spans="1:22" s="431" customFormat="1" x14ac:dyDescent="0.3">
      <c r="A275" s="449"/>
      <c r="B275" s="514" t="s">
        <v>165</v>
      </c>
      <c r="C275" s="450"/>
      <c r="D275" s="450"/>
      <c r="E275" s="450"/>
      <c r="F275" s="450"/>
      <c r="G275" s="450"/>
      <c r="H275" s="604"/>
      <c r="I275" s="604"/>
      <c r="J275" s="604"/>
      <c r="K275" s="604"/>
      <c r="L275" s="604"/>
      <c r="M275" s="604"/>
      <c r="N275" s="604"/>
      <c r="O275" s="604"/>
      <c r="P275" s="514">
        <v>0</v>
      </c>
      <c r="Q275" s="602">
        <v>0</v>
      </c>
      <c r="R275" s="515">
        <v>0</v>
      </c>
      <c r="S275" s="602">
        <v>0</v>
      </c>
      <c r="T275" s="450"/>
      <c r="U275" s="452"/>
      <c r="V275" s="430"/>
    </row>
    <row r="276" spans="1:22" s="431" customFormat="1" x14ac:dyDescent="0.3">
      <c r="A276" s="449"/>
      <c r="B276" s="514" t="s">
        <v>166</v>
      </c>
      <c r="C276" s="450"/>
      <c r="D276" s="450"/>
      <c r="E276" s="450"/>
      <c r="F276" s="450"/>
      <c r="G276" s="450"/>
      <c r="H276" s="604"/>
      <c r="I276" s="604"/>
      <c r="J276" s="604"/>
      <c r="K276" s="604"/>
      <c r="L276" s="604"/>
      <c r="M276" s="604"/>
      <c r="N276" s="604"/>
      <c r="O276" s="604"/>
      <c r="P276" s="514">
        <v>0</v>
      </c>
      <c r="Q276" s="602">
        <v>0</v>
      </c>
      <c r="R276" s="515">
        <v>0</v>
      </c>
      <c r="S276" s="602">
        <v>0</v>
      </c>
      <c r="T276" s="450"/>
      <c r="U276" s="452"/>
      <c r="V276" s="430"/>
    </row>
    <row r="277" spans="1:22" s="431" customFormat="1" x14ac:dyDescent="0.3">
      <c r="A277" s="449"/>
      <c r="B277" s="514" t="s">
        <v>167</v>
      </c>
      <c r="C277" s="450"/>
      <c r="D277" s="450"/>
      <c r="E277" s="450"/>
      <c r="F277" s="450"/>
      <c r="G277" s="450"/>
      <c r="H277" s="604"/>
      <c r="I277" s="604"/>
      <c r="J277" s="604"/>
      <c r="K277" s="604"/>
      <c r="L277" s="604"/>
      <c r="M277" s="604"/>
      <c r="N277" s="604"/>
      <c r="O277" s="604"/>
      <c r="P277" s="514">
        <v>0</v>
      </c>
      <c r="Q277" s="602">
        <v>0</v>
      </c>
      <c r="R277" s="515">
        <v>0</v>
      </c>
      <c r="S277" s="602">
        <v>0</v>
      </c>
      <c r="T277" s="450"/>
      <c r="U277" s="452"/>
      <c r="V277" s="430"/>
    </row>
    <row r="278" spans="1:22" s="431" customFormat="1" x14ac:dyDescent="0.3">
      <c r="A278" s="449"/>
      <c r="B278" s="514"/>
      <c r="C278" s="450"/>
      <c r="D278" s="450"/>
      <c r="E278" s="450"/>
      <c r="F278" s="450"/>
      <c r="G278" s="450"/>
      <c r="H278" s="604"/>
      <c r="I278" s="604"/>
      <c r="J278" s="604"/>
      <c r="K278" s="604"/>
      <c r="L278" s="604"/>
      <c r="M278" s="604"/>
      <c r="N278" s="604"/>
      <c r="O278" s="604"/>
      <c r="P278" s="514"/>
      <c r="Q278" s="602"/>
      <c r="R278" s="515"/>
      <c r="S278" s="602"/>
      <c r="T278" s="450"/>
      <c r="U278" s="452"/>
      <c r="V278" s="430"/>
    </row>
    <row r="279" spans="1:22" s="431" customFormat="1" x14ac:dyDescent="0.3">
      <c r="A279" s="449"/>
      <c r="B279" s="450" t="s">
        <v>120</v>
      </c>
      <c r="C279" s="450"/>
      <c r="D279" s="450"/>
      <c r="E279" s="450"/>
      <c r="F279" s="450"/>
      <c r="G279" s="450"/>
      <c r="H279" s="604"/>
      <c r="I279" s="604"/>
      <c r="J279" s="604"/>
      <c r="K279" s="604"/>
      <c r="L279" s="604"/>
      <c r="M279" s="604"/>
      <c r="N279" s="604"/>
      <c r="O279" s="604"/>
      <c r="P279" s="514">
        <f>SUM(P270:P277)</f>
        <v>0</v>
      </c>
      <c r="Q279" s="602">
        <f>SUM(Q270:Q278)</f>
        <v>0</v>
      </c>
      <c r="R279" s="515">
        <f>SUM(R270:R277)</f>
        <v>0</v>
      </c>
      <c r="S279" s="602">
        <f>SUM(S270:S278)</f>
        <v>0</v>
      </c>
      <c r="T279" s="450"/>
      <c r="U279" s="452"/>
      <c r="V279" s="430"/>
    </row>
    <row r="280" spans="1:22" s="431" customFormat="1" x14ac:dyDescent="0.3">
      <c r="A280" s="449"/>
      <c r="B280" s="450"/>
      <c r="C280" s="450"/>
      <c r="D280" s="450"/>
      <c r="E280" s="450"/>
      <c r="F280" s="450"/>
      <c r="G280" s="450"/>
      <c r="H280" s="604"/>
      <c r="I280" s="604"/>
      <c r="J280" s="604"/>
      <c r="K280" s="604"/>
      <c r="L280" s="604"/>
      <c r="M280" s="604"/>
      <c r="N280" s="604"/>
      <c r="O280" s="604"/>
      <c r="P280" s="514"/>
      <c r="Q280" s="602"/>
      <c r="R280" s="515"/>
      <c r="S280" s="602"/>
      <c r="T280" s="450"/>
      <c r="U280" s="452"/>
      <c r="V280" s="430"/>
    </row>
    <row r="281" spans="1:22" s="431" customFormat="1" x14ac:dyDescent="0.3">
      <c r="A281" s="449"/>
      <c r="B281" s="455" t="s">
        <v>171</v>
      </c>
      <c r="C281" s="450"/>
      <c r="D281" s="450"/>
      <c r="E281" s="450"/>
      <c r="F281" s="450"/>
      <c r="G281" s="450"/>
      <c r="H281" s="604"/>
      <c r="I281" s="604"/>
      <c r="J281" s="604"/>
      <c r="K281" s="604"/>
      <c r="L281" s="604"/>
      <c r="M281" s="604"/>
      <c r="N281" s="604"/>
      <c r="O281" s="604"/>
      <c r="P281" s="613">
        <f>P279+P267+P255</f>
        <v>2816</v>
      </c>
      <c r="Q281" s="602"/>
      <c r="R281" s="614">
        <f>+R279+R267+R255</f>
        <v>358465</v>
      </c>
      <c r="S281" s="602"/>
      <c r="T281" s="450"/>
      <c r="U281" s="452"/>
      <c r="V281" s="430"/>
    </row>
    <row r="282" spans="1:22" s="431" customFormat="1" x14ac:dyDescent="0.3">
      <c r="A282" s="432"/>
      <c r="B282" s="447"/>
      <c r="C282" s="447"/>
      <c r="D282" s="447"/>
      <c r="E282" s="447"/>
      <c r="F282" s="447"/>
      <c r="G282" s="447"/>
      <c r="H282" s="612"/>
      <c r="I282" s="612"/>
      <c r="J282" s="612"/>
      <c r="K282" s="612"/>
      <c r="L282" s="612"/>
      <c r="M282" s="612"/>
      <c r="N282" s="612"/>
      <c r="O282" s="612"/>
      <c r="P282" s="612"/>
      <c r="Q282" s="612"/>
      <c r="R282" s="526"/>
      <c r="S282" s="612"/>
      <c r="T282" s="447"/>
      <c r="U282" s="641"/>
      <c r="V282" s="430"/>
    </row>
    <row r="283" spans="1:22" s="431" customFormat="1" x14ac:dyDescent="0.3">
      <c r="A283" s="432"/>
      <c r="B283" s="447"/>
      <c r="C283" s="433"/>
      <c r="D283" s="433"/>
      <c r="E283" s="433"/>
      <c r="F283" s="433"/>
      <c r="G283" s="433"/>
      <c r="H283" s="615"/>
      <c r="I283" s="615"/>
      <c r="J283" s="615"/>
      <c r="K283" s="615"/>
      <c r="L283" s="615"/>
      <c r="M283" s="615"/>
      <c r="N283" s="615"/>
      <c r="O283" s="615"/>
      <c r="P283" s="615"/>
      <c r="Q283" s="615"/>
      <c r="R283" s="616"/>
      <c r="S283" s="615"/>
      <c r="T283" s="433"/>
      <c r="U283" s="641"/>
      <c r="V283" s="430"/>
    </row>
    <row r="284" spans="1:22" s="431" customFormat="1" x14ac:dyDescent="0.3">
      <c r="A284" s="432"/>
      <c r="B284" s="428" t="s">
        <v>94</v>
      </c>
      <c r="C284" s="433"/>
      <c r="D284" s="433"/>
      <c r="E284" s="433"/>
      <c r="F284" s="437" t="s">
        <v>100</v>
      </c>
      <c r="G284" s="433"/>
      <c r="H284" s="428" t="s">
        <v>102</v>
      </c>
      <c r="I284" s="433"/>
      <c r="J284" s="433"/>
      <c r="K284" s="433"/>
      <c r="L284" s="433"/>
      <c r="M284" s="433"/>
      <c r="N284" s="433"/>
      <c r="O284" s="433"/>
      <c r="P284" s="433"/>
      <c r="Q284" s="433"/>
      <c r="R284" s="433"/>
      <c r="S284" s="433"/>
      <c r="T284" s="433"/>
      <c r="U284" s="641"/>
      <c r="V284" s="430"/>
    </row>
    <row r="285" spans="1:22" s="431" customFormat="1" x14ac:dyDescent="0.3">
      <c r="A285" s="432"/>
      <c r="B285" s="428" t="s">
        <v>317</v>
      </c>
      <c r="C285" s="428"/>
      <c r="D285" s="428"/>
      <c r="E285" s="428"/>
      <c r="F285" s="617" t="s">
        <v>269</v>
      </c>
      <c r="G285" s="428"/>
      <c r="H285" s="428" t="s">
        <v>357</v>
      </c>
      <c r="I285" s="433"/>
      <c r="J285" s="433"/>
      <c r="K285" s="433"/>
      <c r="L285" s="433"/>
      <c r="M285" s="433"/>
      <c r="N285" s="433"/>
      <c r="O285" s="433"/>
      <c r="P285" s="433"/>
      <c r="Q285" s="433"/>
      <c r="R285" s="433"/>
      <c r="S285" s="433"/>
      <c r="T285" s="433"/>
      <c r="U285" s="641"/>
      <c r="V285" s="430"/>
    </row>
    <row r="286" spans="1:22" s="431" customFormat="1" x14ac:dyDescent="0.3">
      <c r="A286" s="432"/>
      <c r="B286" s="428" t="s">
        <v>318</v>
      </c>
      <c r="C286" s="428"/>
      <c r="D286" s="428"/>
      <c r="E286" s="428"/>
      <c r="F286" s="617" t="s">
        <v>153</v>
      </c>
      <c r="G286" s="428"/>
      <c r="H286" s="428" t="s">
        <v>358</v>
      </c>
      <c r="I286" s="433"/>
      <c r="J286" s="433"/>
      <c r="K286" s="433"/>
      <c r="L286" s="433"/>
      <c r="M286" s="433"/>
      <c r="N286" s="433"/>
      <c r="O286" s="433"/>
      <c r="P286" s="433"/>
      <c r="Q286" s="433"/>
      <c r="R286" s="433"/>
      <c r="S286" s="433"/>
      <c r="T286" s="433"/>
      <c r="U286" s="641"/>
      <c r="V286" s="430"/>
    </row>
    <row r="287" spans="1:22" s="431" customFormat="1" x14ac:dyDescent="0.3">
      <c r="A287" s="432"/>
      <c r="B287" s="428"/>
      <c r="C287" s="428"/>
      <c r="D287" s="428"/>
      <c r="E287" s="428"/>
      <c r="F287" s="617"/>
      <c r="G287" s="428"/>
      <c r="H287" s="428"/>
      <c r="I287" s="433"/>
      <c r="J287" s="433"/>
      <c r="K287" s="433"/>
      <c r="L287" s="433"/>
      <c r="M287" s="433"/>
      <c r="N287" s="433"/>
      <c r="O287" s="433"/>
      <c r="P287" s="433"/>
      <c r="Q287" s="433"/>
      <c r="R287" s="433"/>
      <c r="S287" s="433"/>
      <c r="T287" s="433"/>
      <c r="U287" s="641"/>
      <c r="V287" s="430"/>
    </row>
    <row r="288" spans="1:22" s="431" customFormat="1" x14ac:dyDescent="0.3">
      <c r="A288" s="432"/>
      <c r="B288" s="447" t="s">
        <v>354</v>
      </c>
      <c r="C288" s="428"/>
      <c r="D288" s="428"/>
      <c r="E288" s="428"/>
      <c r="F288" s="617"/>
      <c r="G288" s="428"/>
      <c r="H288" s="428"/>
      <c r="I288" s="433"/>
      <c r="J288" s="433"/>
      <c r="K288" s="433"/>
      <c r="L288" s="433"/>
      <c r="M288" s="433"/>
      <c r="N288" s="433"/>
      <c r="O288" s="433"/>
      <c r="P288" s="433"/>
      <c r="Q288" s="433"/>
      <c r="R288" s="433"/>
      <c r="S288" s="433"/>
      <c r="T288" s="433"/>
      <c r="U288" s="641"/>
      <c r="V288" s="430"/>
    </row>
    <row r="289" spans="1:22" s="431" customFormat="1" x14ac:dyDescent="0.3">
      <c r="A289" s="432"/>
      <c r="B289" s="447" t="s">
        <v>359</v>
      </c>
      <c r="C289" s="428"/>
      <c r="D289" s="428"/>
      <c r="E289" s="428"/>
      <c r="F289" s="617"/>
      <c r="G289" s="428"/>
      <c r="H289" s="428"/>
      <c r="I289" s="433"/>
      <c r="J289" s="433"/>
      <c r="K289" s="433"/>
      <c r="L289" s="433"/>
      <c r="M289" s="433"/>
      <c r="N289" s="433"/>
      <c r="O289" s="433"/>
      <c r="P289" s="433"/>
      <c r="Q289" s="433"/>
      <c r="R289" s="433"/>
      <c r="S289" s="433"/>
      <c r="T289" s="433"/>
      <c r="U289" s="641"/>
      <c r="V289" s="430"/>
    </row>
    <row r="290" spans="1:22" s="431" customFormat="1" x14ac:dyDescent="0.3">
      <c r="A290" s="432"/>
      <c r="B290" s="447" t="s">
        <v>352</v>
      </c>
      <c r="C290" s="428"/>
      <c r="D290" s="428"/>
      <c r="E290" s="428"/>
      <c r="F290" s="617"/>
      <c r="G290" s="428"/>
      <c r="H290" s="428"/>
      <c r="I290" s="433"/>
      <c r="J290" s="433"/>
      <c r="K290" s="433"/>
      <c r="L290" s="433"/>
      <c r="M290" s="433"/>
      <c r="N290" s="433"/>
      <c r="O290" s="433"/>
      <c r="P290" s="433"/>
      <c r="Q290" s="433"/>
      <c r="R290" s="433"/>
      <c r="S290" s="433"/>
      <c r="T290" s="433"/>
      <c r="U290" s="641"/>
      <c r="V290" s="430"/>
    </row>
    <row r="291" spans="1:22" s="431" customFormat="1" x14ac:dyDescent="0.3">
      <c r="A291" s="432"/>
      <c r="B291" s="447" t="s">
        <v>351</v>
      </c>
      <c r="C291" s="428"/>
      <c r="D291" s="428"/>
      <c r="E291" s="428"/>
      <c r="F291" s="617"/>
      <c r="G291" s="428"/>
      <c r="H291" s="428"/>
      <c r="I291" s="433"/>
      <c r="J291" s="433"/>
      <c r="K291" s="433"/>
      <c r="L291" s="433"/>
      <c r="M291" s="433"/>
      <c r="N291" s="433"/>
      <c r="O291" s="433"/>
      <c r="P291" s="433"/>
      <c r="Q291" s="433"/>
      <c r="R291" s="433"/>
      <c r="S291" s="433"/>
      <c r="T291" s="433"/>
      <c r="U291" s="641"/>
      <c r="V291" s="430"/>
    </row>
    <row r="292" spans="1:22" x14ac:dyDescent="0.3">
      <c r="A292" s="418"/>
      <c r="B292" s="618"/>
      <c r="C292" s="619"/>
      <c r="D292" s="619"/>
      <c r="E292" s="619"/>
      <c r="F292" s="620"/>
      <c r="G292" s="619"/>
      <c r="H292" s="619"/>
      <c r="I292" s="621"/>
      <c r="J292" s="621"/>
      <c r="K292" s="621"/>
      <c r="L292" s="420"/>
      <c r="M292" s="420"/>
      <c r="N292" s="420"/>
      <c r="O292" s="420"/>
      <c r="P292" s="420"/>
      <c r="Q292" s="420"/>
      <c r="R292" s="420"/>
      <c r="S292" s="420"/>
      <c r="T292" s="420"/>
      <c r="U292" s="639"/>
      <c r="V292" s="416"/>
    </row>
    <row r="293" spans="1:22" ht="18" x14ac:dyDescent="0.35">
      <c r="A293" s="418"/>
      <c r="B293" s="622" t="s">
        <v>353</v>
      </c>
      <c r="C293" s="619"/>
      <c r="D293" s="619"/>
      <c r="E293" s="619"/>
      <c r="F293" s="619"/>
      <c r="G293" s="619"/>
      <c r="H293" s="621"/>
      <c r="I293" s="621"/>
      <c r="J293" s="621"/>
      <c r="K293" s="621"/>
      <c r="L293" s="420"/>
      <c r="M293" s="420"/>
      <c r="N293" s="623"/>
      <c r="O293" s="420"/>
      <c r="P293" s="624" t="s">
        <v>356</v>
      </c>
      <c r="Q293" s="420"/>
      <c r="R293" s="420"/>
      <c r="S293" s="420"/>
      <c r="T293" s="420"/>
      <c r="U293" s="639"/>
      <c r="V293" s="416"/>
    </row>
    <row r="294" spans="1:22" x14ac:dyDescent="0.3">
      <c r="A294" s="418"/>
      <c r="B294" s="619"/>
      <c r="C294" s="619"/>
      <c r="D294" s="619"/>
      <c r="E294" s="619"/>
      <c r="F294" s="619"/>
      <c r="G294" s="619"/>
      <c r="H294" s="621"/>
      <c r="I294" s="621"/>
      <c r="J294" s="621"/>
      <c r="K294" s="621"/>
      <c r="L294" s="420"/>
      <c r="M294" s="420"/>
      <c r="N294" s="420"/>
      <c r="O294" s="420"/>
      <c r="P294" s="420"/>
      <c r="Q294" s="420"/>
      <c r="R294" s="420"/>
      <c r="S294" s="420"/>
      <c r="T294" s="420"/>
      <c r="U294" s="639"/>
      <c r="V294" s="416"/>
    </row>
    <row r="295" spans="1:22" ht="18.600000000000001" thickBot="1" x14ac:dyDescent="0.4">
      <c r="A295" s="418"/>
      <c r="B295" s="625" t="str">
        <f>B195</f>
        <v>PM11 INVESTOR REPORT QUARTER ENDING DECEMBER 2019</v>
      </c>
      <c r="C295" s="619"/>
      <c r="D295" s="619"/>
      <c r="E295" s="619"/>
      <c r="F295" s="619"/>
      <c r="G295" s="619"/>
      <c r="H295" s="621"/>
      <c r="I295" s="621"/>
      <c r="J295" s="621"/>
      <c r="K295" s="621"/>
      <c r="L295" s="420"/>
      <c r="M295" s="420"/>
      <c r="N295" s="420"/>
      <c r="O295" s="420"/>
      <c r="P295" s="420"/>
      <c r="Q295" s="420"/>
      <c r="R295" s="420"/>
      <c r="S295" s="420"/>
      <c r="T295" s="420"/>
      <c r="U295" s="556"/>
      <c r="V295" s="416"/>
    </row>
    <row r="296" spans="1:22" x14ac:dyDescent="0.3">
      <c r="A296" s="626"/>
      <c r="B296" s="626"/>
      <c r="C296" s="626"/>
      <c r="D296" s="626"/>
      <c r="E296" s="626"/>
      <c r="F296" s="626"/>
      <c r="G296" s="626"/>
      <c r="H296" s="626"/>
      <c r="I296" s="626"/>
      <c r="J296" s="626"/>
      <c r="K296" s="626"/>
      <c r="L296" s="626"/>
      <c r="M296" s="626"/>
      <c r="N296" s="626"/>
      <c r="O296" s="626"/>
      <c r="P296" s="626"/>
      <c r="Q296" s="626"/>
      <c r="R296" s="626"/>
      <c r="S296" s="626"/>
      <c r="T296" s="626"/>
      <c r="U296" s="626"/>
    </row>
  </sheetData>
  <hyperlinks>
    <hyperlink ref="J9" r:id="rId1" display="http://www.paragon-group.co.uk" xr:uid="{BFBA9D9E-BCF1-499F-A64B-3C3268273928}"/>
    <hyperlink ref="P293" r:id="rId2" display="http://www.paragon-group.co.uk" xr:uid="{C109CB08-EC01-4939-A852-5F9678CD7D60}"/>
    <hyperlink ref="N231" r:id="rId3" display="http://www.paragon-group.co.uk" xr:uid="{9A16966A-0260-40A7-BC6D-428F5E2B914C}"/>
  </hyperlinks>
  <printOptions horizontalCentered="1" verticalCentered="1"/>
  <pageMargins left="0.19685039370078741" right="0.19685039370078741" top="0.27559055118110237" bottom="0.27559055118110237" header="0" footer="0"/>
  <pageSetup scale="40" orientation="landscape" r:id="rId4"/>
  <headerFooter alignWithMargins="0"/>
  <rowBreaks count="3" manualBreakCount="3">
    <brk id="63" max="20" man="1"/>
    <brk id="135" max="20" man="1"/>
    <brk id="195" max="20" man="1"/>
  </rowBreaks>
  <drawing r:id="rId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87900-BBC5-47F1-9DAE-E5F809A65932}">
  <sheetPr>
    <tabColor rgb="FF2D2926"/>
  </sheetPr>
  <dimension ref="A1:X310"/>
  <sheetViews>
    <sheetView showGridLines="0" showOutlineSymbols="0" zoomScale="80" zoomScaleNormal="80" workbookViewId="0"/>
  </sheetViews>
  <sheetFormatPr defaultColWidth="9.81640625" defaultRowHeight="15.6" x14ac:dyDescent="0.3"/>
  <cols>
    <col min="1" max="1" width="4" style="417" customWidth="1"/>
    <col min="2" max="2" width="71.08984375" style="417" customWidth="1"/>
    <col min="3" max="3" width="2.08984375" style="417" customWidth="1"/>
    <col min="4" max="4" width="19.1796875" style="417" customWidth="1"/>
    <col min="5" max="5" width="2.08984375" style="417" customWidth="1"/>
    <col min="6" max="6" width="25.08984375" style="417" customWidth="1"/>
    <col min="7" max="7" width="2.08984375" style="417" customWidth="1"/>
    <col min="8" max="8" width="16.08984375" style="417" customWidth="1"/>
    <col min="9" max="9" width="2.08984375" style="417" customWidth="1"/>
    <col min="10" max="10" width="17.81640625" style="417" customWidth="1"/>
    <col min="11" max="11" width="2.1796875" style="417" customWidth="1"/>
    <col min="12" max="12" width="14.81640625" style="417" customWidth="1"/>
    <col min="13" max="13" width="2.1796875" style="417" customWidth="1"/>
    <col min="14" max="14" width="15.54296875" style="417" customWidth="1"/>
    <col min="15" max="15" width="2.08984375" style="417" customWidth="1"/>
    <col min="16" max="16" width="15.54296875" style="417" customWidth="1"/>
    <col min="17" max="18" width="12.81640625" style="417" customWidth="1"/>
    <col min="19" max="19" width="7.81640625" style="417" customWidth="1"/>
    <col min="20" max="20" width="14.81640625" style="417" customWidth="1"/>
    <col min="21" max="21" width="11.81640625" style="417" customWidth="1"/>
    <col min="22" max="16384" width="9.81640625" style="417"/>
  </cols>
  <sheetData>
    <row r="1" spans="1:22" ht="21" x14ac:dyDescent="0.4">
      <c r="A1" s="413"/>
      <c r="B1" s="414" t="s">
        <v>228</v>
      </c>
      <c r="C1" s="415"/>
      <c r="D1" s="415"/>
      <c r="E1" s="415"/>
      <c r="F1" s="415"/>
      <c r="G1" s="415"/>
      <c r="H1" s="415"/>
      <c r="I1" s="415"/>
      <c r="J1" s="415"/>
      <c r="K1" s="415"/>
      <c r="L1" s="415"/>
      <c r="M1" s="415"/>
      <c r="N1" s="415"/>
      <c r="O1" s="415"/>
      <c r="P1" s="415"/>
      <c r="Q1" s="415"/>
      <c r="R1" s="415"/>
      <c r="S1" s="415"/>
      <c r="T1" s="415"/>
      <c r="U1" s="638"/>
      <c r="V1" s="416"/>
    </row>
    <row r="2" spans="1:22" x14ac:dyDescent="0.3">
      <c r="A2" s="418"/>
      <c r="B2" s="419"/>
      <c r="C2" s="420"/>
      <c r="D2" s="420"/>
      <c r="E2" s="420"/>
      <c r="F2" s="420"/>
      <c r="G2" s="420"/>
      <c r="H2" s="420"/>
      <c r="I2" s="420"/>
      <c r="J2" s="420"/>
      <c r="K2" s="420"/>
      <c r="L2" s="420"/>
      <c r="M2" s="420"/>
      <c r="N2" s="420"/>
      <c r="O2" s="420"/>
      <c r="P2" s="420"/>
      <c r="Q2" s="420"/>
      <c r="R2" s="420"/>
      <c r="S2" s="420"/>
      <c r="T2" s="420"/>
      <c r="U2" s="639"/>
      <c r="V2" s="416"/>
    </row>
    <row r="3" spans="1:22" x14ac:dyDescent="0.3">
      <c r="A3" s="421"/>
      <c r="B3" s="422" t="s">
        <v>229</v>
      </c>
      <c r="C3" s="420"/>
      <c r="D3" s="420"/>
      <c r="E3" s="420"/>
      <c r="F3" s="420"/>
      <c r="G3" s="420"/>
      <c r="H3" s="420"/>
      <c r="I3" s="420"/>
      <c r="J3" s="420"/>
      <c r="K3" s="420"/>
      <c r="L3" s="420"/>
      <c r="M3" s="420"/>
      <c r="N3" s="420"/>
      <c r="O3" s="420"/>
      <c r="P3" s="420"/>
      <c r="Q3" s="420"/>
      <c r="R3" s="420"/>
      <c r="S3" s="420"/>
      <c r="T3" s="420"/>
      <c r="U3" s="639"/>
      <c r="V3" s="416"/>
    </row>
    <row r="4" spans="1:22" x14ac:dyDescent="0.3">
      <c r="A4" s="418"/>
      <c r="B4" s="419"/>
      <c r="C4" s="420"/>
      <c r="D4" s="420"/>
      <c r="E4" s="420"/>
      <c r="F4" s="420"/>
      <c r="G4" s="420"/>
      <c r="H4" s="420"/>
      <c r="I4" s="420"/>
      <c r="J4" s="420"/>
      <c r="K4" s="420"/>
      <c r="L4" s="420"/>
      <c r="M4" s="420"/>
      <c r="N4" s="420"/>
      <c r="O4" s="420"/>
      <c r="P4" s="420"/>
      <c r="Q4" s="420"/>
      <c r="R4" s="420"/>
      <c r="S4" s="420"/>
      <c r="T4" s="420"/>
      <c r="U4" s="639"/>
      <c r="V4" s="416"/>
    </row>
    <row r="5" spans="1:22" x14ac:dyDescent="0.3">
      <c r="A5" s="418"/>
      <c r="B5" s="423" t="s">
        <v>143</v>
      </c>
      <c r="C5" s="420"/>
      <c r="D5" s="420"/>
      <c r="E5" s="420"/>
      <c r="F5" s="420"/>
      <c r="G5" s="420"/>
      <c r="H5" s="420"/>
      <c r="I5" s="420"/>
      <c r="J5" s="420"/>
      <c r="K5" s="420"/>
      <c r="L5" s="420"/>
      <c r="M5" s="420"/>
      <c r="N5" s="420"/>
      <c r="O5" s="420"/>
      <c r="P5" s="420"/>
      <c r="Q5" s="420"/>
      <c r="R5" s="420"/>
      <c r="S5" s="420"/>
      <c r="T5" s="420"/>
      <c r="U5" s="639"/>
      <c r="V5" s="416"/>
    </row>
    <row r="6" spans="1:22" x14ac:dyDescent="0.3">
      <c r="A6" s="418"/>
      <c r="B6" s="423" t="s">
        <v>145</v>
      </c>
      <c r="C6" s="420"/>
      <c r="D6" s="420"/>
      <c r="E6" s="420"/>
      <c r="F6" s="420"/>
      <c r="G6" s="420"/>
      <c r="H6" s="420"/>
      <c r="I6" s="420"/>
      <c r="J6" s="420"/>
      <c r="K6" s="420"/>
      <c r="L6" s="420"/>
      <c r="M6" s="420"/>
      <c r="N6" s="420"/>
      <c r="O6" s="420"/>
      <c r="P6" s="420"/>
      <c r="Q6" s="420"/>
      <c r="R6" s="420"/>
      <c r="S6" s="420"/>
      <c r="T6" s="420"/>
      <c r="U6" s="639"/>
      <c r="V6" s="416"/>
    </row>
    <row r="7" spans="1:22" x14ac:dyDescent="0.3">
      <c r="A7" s="418"/>
      <c r="B7" s="423" t="s">
        <v>144</v>
      </c>
      <c r="C7" s="420"/>
      <c r="D7" s="420"/>
      <c r="E7" s="420"/>
      <c r="F7" s="420"/>
      <c r="G7" s="420"/>
      <c r="H7" s="420"/>
      <c r="I7" s="420"/>
      <c r="J7" s="420"/>
      <c r="K7" s="420"/>
      <c r="L7" s="420"/>
      <c r="M7" s="420"/>
      <c r="N7" s="420"/>
      <c r="O7" s="420"/>
      <c r="P7" s="420"/>
      <c r="Q7" s="420"/>
      <c r="R7" s="420"/>
      <c r="S7" s="420"/>
      <c r="T7" s="420"/>
      <c r="U7" s="639"/>
      <c r="V7" s="416"/>
    </row>
    <row r="8" spans="1:22" x14ac:dyDescent="0.3">
      <c r="A8" s="418"/>
      <c r="B8" s="424"/>
      <c r="C8" s="420"/>
      <c r="D8" s="420"/>
      <c r="E8" s="420"/>
      <c r="F8" s="420"/>
      <c r="G8" s="420"/>
      <c r="H8" s="420"/>
      <c r="I8" s="420"/>
      <c r="J8" s="420"/>
      <c r="K8" s="420"/>
      <c r="L8" s="420"/>
      <c r="M8" s="420"/>
      <c r="N8" s="420"/>
      <c r="O8" s="420"/>
      <c r="P8" s="420"/>
      <c r="Q8" s="420"/>
      <c r="R8" s="420"/>
      <c r="S8" s="420"/>
      <c r="T8" s="420"/>
      <c r="U8" s="639"/>
      <c r="V8" s="416"/>
    </row>
    <row r="9" spans="1:22" x14ac:dyDescent="0.3">
      <c r="A9" s="418"/>
      <c r="B9" s="422" t="s">
        <v>173</v>
      </c>
      <c r="C9" s="420"/>
      <c r="D9" s="420"/>
      <c r="E9" s="420"/>
      <c r="F9" s="420"/>
      <c r="G9" s="420"/>
      <c r="H9" s="420"/>
      <c r="I9" s="420"/>
      <c r="J9" s="425" t="s">
        <v>356</v>
      </c>
      <c r="K9" s="420"/>
      <c r="L9" s="426"/>
      <c r="M9" s="420"/>
      <c r="N9" s="420"/>
      <c r="O9" s="420"/>
      <c r="P9" s="420"/>
      <c r="Q9" s="420"/>
      <c r="R9" s="420"/>
      <c r="S9" s="420"/>
      <c r="T9" s="420"/>
      <c r="U9" s="639"/>
      <c r="V9" s="416"/>
    </row>
    <row r="10" spans="1:22" x14ac:dyDescent="0.3">
      <c r="A10" s="418"/>
      <c r="B10" s="424"/>
      <c r="C10" s="427"/>
      <c r="D10" s="427"/>
      <c r="E10" s="427"/>
      <c r="F10" s="420"/>
      <c r="G10" s="420"/>
      <c r="H10" s="420"/>
      <c r="I10" s="420"/>
      <c r="J10" s="420"/>
      <c r="K10" s="420"/>
      <c r="L10" s="420"/>
      <c r="M10" s="420"/>
      <c r="N10" s="420"/>
      <c r="O10" s="420"/>
      <c r="P10" s="420"/>
      <c r="Q10" s="420"/>
      <c r="R10" s="420"/>
      <c r="S10" s="420"/>
      <c r="T10" s="420"/>
      <c r="U10" s="639"/>
      <c r="V10" s="416"/>
    </row>
    <row r="11" spans="1:22" x14ac:dyDescent="0.3">
      <c r="A11" s="418"/>
      <c r="B11" s="428" t="s">
        <v>0</v>
      </c>
      <c r="C11" s="420"/>
      <c r="D11" s="420"/>
      <c r="E11" s="420"/>
      <c r="F11" s="420"/>
      <c r="G11" s="420"/>
      <c r="H11" s="420"/>
      <c r="I11" s="420"/>
      <c r="J11" s="420"/>
      <c r="K11" s="420"/>
      <c r="L11" s="420"/>
      <c r="M11" s="420"/>
      <c r="N11" s="420"/>
      <c r="O11" s="420"/>
      <c r="P11" s="420"/>
      <c r="Q11" s="420"/>
      <c r="R11" s="420"/>
      <c r="S11" s="420"/>
      <c r="T11" s="420"/>
      <c r="U11" s="639"/>
      <c r="V11" s="416"/>
    </row>
    <row r="12" spans="1:22" ht="16.2" thickBot="1" x14ac:dyDescent="0.35">
      <c r="A12" s="418"/>
      <c r="B12" s="427"/>
      <c r="C12" s="420"/>
      <c r="D12" s="420"/>
      <c r="E12" s="420"/>
      <c r="F12" s="420"/>
      <c r="G12" s="420"/>
      <c r="H12" s="420"/>
      <c r="I12" s="420"/>
      <c r="J12" s="420"/>
      <c r="K12" s="420"/>
      <c r="L12" s="420"/>
      <c r="M12" s="420"/>
      <c r="N12" s="420"/>
      <c r="O12" s="420"/>
      <c r="P12" s="420"/>
      <c r="Q12" s="420"/>
      <c r="R12" s="420"/>
      <c r="S12" s="420"/>
      <c r="T12" s="420"/>
      <c r="U12" s="639"/>
      <c r="V12" s="416"/>
    </row>
    <row r="13" spans="1:22" s="431" customFormat="1" x14ac:dyDescent="0.3">
      <c r="A13" s="413"/>
      <c r="B13" s="429"/>
      <c r="C13" s="429"/>
      <c r="D13" s="429"/>
      <c r="E13" s="429"/>
      <c r="F13" s="429"/>
      <c r="G13" s="429"/>
      <c r="H13" s="429"/>
      <c r="I13" s="429"/>
      <c r="J13" s="429"/>
      <c r="K13" s="429"/>
      <c r="L13" s="429"/>
      <c r="M13" s="429"/>
      <c r="N13" s="429"/>
      <c r="O13" s="429"/>
      <c r="P13" s="429"/>
      <c r="Q13" s="429"/>
      <c r="R13" s="429"/>
      <c r="S13" s="429"/>
      <c r="T13" s="429"/>
      <c r="U13" s="640"/>
      <c r="V13" s="430"/>
    </row>
    <row r="14" spans="1:22" s="431" customFormat="1" x14ac:dyDescent="0.3">
      <c r="A14" s="432"/>
      <c r="B14" s="428" t="s">
        <v>1</v>
      </c>
      <c r="C14" s="433"/>
      <c r="D14" s="433"/>
      <c r="E14" s="433"/>
      <c r="F14" s="433"/>
      <c r="G14" s="433"/>
      <c r="H14" s="433"/>
      <c r="I14" s="433"/>
      <c r="J14" s="433"/>
      <c r="K14" s="433"/>
      <c r="L14" s="433"/>
      <c r="M14" s="433"/>
      <c r="N14" s="433"/>
      <c r="O14" s="433"/>
      <c r="P14" s="433"/>
      <c r="Q14" s="433"/>
      <c r="R14" s="433"/>
      <c r="S14" s="433"/>
      <c r="T14" s="434" t="s">
        <v>230</v>
      </c>
      <c r="U14" s="641"/>
      <c r="V14" s="430"/>
    </row>
    <row r="15" spans="1:22" s="431" customFormat="1" x14ac:dyDescent="0.3">
      <c r="A15" s="432"/>
      <c r="B15" s="428" t="s">
        <v>2</v>
      </c>
      <c r="C15" s="433"/>
      <c r="D15" s="433"/>
      <c r="E15" s="433"/>
      <c r="F15" s="433"/>
      <c r="G15" s="433"/>
      <c r="H15" s="435"/>
      <c r="I15" s="435"/>
      <c r="J15" s="435"/>
      <c r="K15" s="435"/>
      <c r="L15" s="435"/>
      <c r="M15" s="435"/>
      <c r="N15" s="435"/>
      <c r="O15" s="435"/>
      <c r="P15" s="435" t="s">
        <v>107</v>
      </c>
      <c r="Q15" s="436">
        <v>0.40749999999999997</v>
      </c>
      <c r="R15" s="437" t="s">
        <v>146</v>
      </c>
      <c r="S15" s="436">
        <v>0.59250000000000003</v>
      </c>
      <c r="T15" s="434"/>
      <c r="U15" s="641"/>
      <c r="V15" s="430"/>
    </row>
    <row r="16" spans="1:22" s="431" customFormat="1" x14ac:dyDescent="0.3">
      <c r="A16" s="432"/>
      <c r="B16" s="428" t="s">
        <v>3</v>
      </c>
      <c r="C16" s="433"/>
      <c r="D16" s="433"/>
      <c r="E16" s="433"/>
      <c r="F16" s="433"/>
      <c r="G16" s="433"/>
      <c r="H16" s="435"/>
      <c r="I16" s="435"/>
      <c r="J16" s="435"/>
      <c r="K16" s="435"/>
      <c r="L16" s="435"/>
      <c r="M16" s="435"/>
      <c r="N16" s="435"/>
      <c r="O16" s="435"/>
      <c r="P16" s="435" t="s">
        <v>107</v>
      </c>
      <c r="Q16" s="436">
        <v>0.50260000000000005</v>
      </c>
      <c r="R16" s="437" t="s">
        <v>146</v>
      </c>
      <c r="S16" s="436">
        <v>0.49740000000000001</v>
      </c>
      <c r="T16" s="434"/>
      <c r="U16" s="641"/>
      <c r="V16" s="430"/>
    </row>
    <row r="17" spans="1:22" s="431" customFormat="1" x14ac:dyDescent="0.3">
      <c r="A17" s="432"/>
      <c r="B17" s="428" t="s">
        <v>4</v>
      </c>
      <c r="C17" s="433"/>
      <c r="D17" s="433"/>
      <c r="E17" s="433"/>
      <c r="F17" s="433"/>
      <c r="G17" s="433"/>
      <c r="H17" s="433"/>
      <c r="I17" s="433"/>
      <c r="J17" s="433"/>
      <c r="K17" s="433"/>
      <c r="L17" s="433"/>
      <c r="M17" s="433"/>
      <c r="N17" s="433"/>
      <c r="O17" s="433"/>
      <c r="P17" s="433"/>
      <c r="Q17" s="433"/>
      <c r="R17" s="433"/>
      <c r="S17" s="433"/>
      <c r="T17" s="438">
        <v>38799</v>
      </c>
      <c r="U17" s="641"/>
      <c r="V17" s="430"/>
    </row>
    <row r="18" spans="1:22" s="431" customFormat="1" x14ac:dyDescent="0.3">
      <c r="A18" s="432"/>
      <c r="B18" s="428" t="s">
        <v>5</v>
      </c>
      <c r="C18" s="433"/>
      <c r="D18" s="433"/>
      <c r="E18" s="433"/>
      <c r="F18" s="433"/>
      <c r="G18" s="433"/>
      <c r="H18" s="433"/>
      <c r="I18" s="433"/>
      <c r="J18" s="433"/>
      <c r="K18" s="433"/>
      <c r="L18" s="433"/>
      <c r="M18" s="433"/>
      <c r="N18" s="433"/>
      <c r="O18" s="433"/>
      <c r="P18" s="433"/>
      <c r="Q18" s="433"/>
      <c r="R18" s="433"/>
      <c r="S18" s="433"/>
      <c r="T18" s="438">
        <v>43945</v>
      </c>
      <c r="U18" s="641"/>
      <c r="V18" s="430"/>
    </row>
    <row r="19" spans="1:22" s="431" customFormat="1" x14ac:dyDescent="0.3">
      <c r="A19" s="432"/>
      <c r="B19" s="433"/>
      <c r="C19" s="433"/>
      <c r="D19" s="433"/>
      <c r="E19" s="433"/>
      <c r="F19" s="433"/>
      <c r="G19" s="433"/>
      <c r="H19" s="433"/>
      <c r="I19" s="433"/>
      <c r="J19" s="433"/>
      <c r="K19" s="433"/>
      <c r="L19" s="433"/>
      <c r="M19" s="433"/>
      <c r="N19" s="433"/>
      <c r="O19" s="433"/>
      <c r="P19" s="433"/>
      <c r="Q19" s="433"/>
      <c r="R19" s="433"/>
      <c r="S19" s="433"/>
      <c r="T19" s="439"/>
      <c r="U19" s="641"/>
      <c r="V19" s="430"/>
    </row>
    <row r="20" spans="1:22" s="431" customFormat="1" x14ac:dyDescent="0.3">
      <c r="A20" s="432"/>
      <c r="B20" s="440" t="s">
        <v>6</v>
      </c>
      <c r="C20" s="433"/>
      <c r="D20" s="433"/>
      <c r="E20" s="433"/>
      <c r="F20" s="433"/>
      <c r="G20" s="433"/>
      <c r="H20" s="433"/>
      <c r="I20" s="433"/>
      <c r="J20" s="433"/>
      <c r="K20" s="433"/>
      <c r="L20" s="433"/>
      <c r="M20" s="433"/>
      <c r="N20" s="433"/>
      <c r="O20" s="433"/>
      <c r="P20" s="433"/>
      <c r="Q20" s="433"/>
      <c r="R20" s="439" t="s">
        <v>108</v>
      </c>
      <c r="S20" s="433"/>
      <c r="T20" s="433"/>
      <c r="U20" s="641"/>
      <c r="V20" s="430"/>
    </row>
    <row r="21" spans="1:22" x14ac:dyDescent="0.3">
      <c r="A21" s="418"/>
      <c r="B21" s="420"/>
      <c r="C21" s="420"/>
      <c r="D21" s="420"/>
      <c r="E21" s="420"/>
      <c r="F21" s="420"/>
      <c r="G21" s="420"/>
      <c r="H21" s="420"/>
      <c r="I21" s="420"/>
      <c r="J21" s="420"/>
      <c r="K21" s="420"/>
      <c r="L21" s="420"/>
      <c r="M21" s="420"/>
      <c r="N21" s="420"/>
      <c r="O21" s="420"/>
      <c r="P21" s="420"/>
      <c r="Q21" s="420"/>
      <c r="R21" s="420"/>
      <c r="S21" s="420"/>
      <c r="T21" s="441"/>
      <c r="U21" s="639"/>
      <c r="V21" s="416"/>
    </row>
    <row r="22" spans="1:22" x14ac:dyDescent="0.3">
      <c r="A22" s="442"/>
      <c r="B22" s="443"/>
      <c r="C22" s="444"/>
      <c r="D22" s="444" t="s">
        <v>184</v>
      </c>
      <c r="E22" s="444"/>
      <c r="F22" s="444" t="s">
        <v>185</v>
      </c>
      <c r="G22" s="444"/>
      <c r="H22" s="444" t="s">
        <v>186</v>
      </c>
      <c r="I22" s="444"/>
      <c r="J22" s="444" t="s">
        <v>187</v>
      </c>
      <c r="K22" s="444"/>
      <c r="L22" s="444" t="s">
        <v>188</v>
      </c>
      <c r="M22" s="444"/>
      <c r="N22" s="444" t="s">
        <v>189</v>
      </c>
      <c r="O22" s="444"/>
      <c r="P22" s="444"/>
      <c r="Q22" s="445"/>
      <c r="R22" s="445"/>
      <c r="S22" s="443"/>
      <c r="T22" s="443"/>
      <c r="U22" s="446"/>
      <c r="V22" s="416"/>
    </row>
    <row r="23" spans="1:22" s="431" customFormat="1" x14ac:dyDescent="0.3">
      <c r="A23" s="432"/>
      <c r="B23" s="447" t="s">
        <v>7</v>
      </c>
      <c r="C23" s="448"/>
      <c r="D23" s="448" t="s">
        <v>222</v>
      </c>
      <c r="E23" s="448"/>
      <c r="F23" s="448" t="s">
        <v>147</v>
      </c>
      <c r="G23" s="448"/>
      <c r="H23" s="448" t="s">
        <v>147</v>
      </c>
      <c r="I23" s="448"/>
      <c r="J23" s="448" t="s">
        <v>190</v>
      </c>
      <c r="K23" s="448"/>
      <c r="L23" s="448" t="s">
        <v>190</v>
      </c>
      <c r="M23" s="448"/>
      <c r="N23" s="448" t="s">
        <v>148</v>
      </c>
      <c r="O23" s="448"/>
      <c r="P23" s="448"/>
      <c r="Q23" s="448"/>
      <c r="R23" s="448"/>
      <c r="S23" s="447"/>
      <c r="T23" s="447"/>
      <c r="U23" s="641"/>
      <c r="V23" s="430"/>
    </row>
    <row r="24" spans="1:22" s="431" customFormat="1" x14ac:dyDescent="0.3">
      <c r="A24" s="449"/>
      <c r="B24" s="450" t="s">
        <v>8</v>
      </c>
      <c r="C24" s="451"/>
      <c r="D24" s="451" t="s">
        <v>223</v>
      </c>
      <c r="E24" s="451"/>
      <c r="F24" s="451" t="s">
        <v>149</v>
      </c>
      <c r="G24" s="451"/>
      <c r="H24" s="451" t="s">
        <v>149</v>
      </c>
      <c r="I24" s="451"/>
      <c r="J24" s="451" t="s">
        <v>172</v>
      </c>
      <c r="K24" s="451"/>
      <c r="L24" s="451" t="s">
        <v>172</v>
      </c>
      <c r="M24" s="451"/>
      <c r="N24" s="451" t="s">
        <v>150</v>
      </c>
      <c r="O24" s="451"/>
      <c r="P24" s="451"/>
      <c r="Q24" s="451"/>
      <c r="R24" s="451"/>
      <c r="S24" s="450"/>
      <c r="T24" s="450"/>
      <c r="U24" s="452"/>
      <c r="V24" s="430"/>
    </row>
    <row r="25" spans="1:22" s="431" customFormat="1" x14ac:dyDescent="0.3">
      <c r="A25" s="453"/>
      <c r="B25" s="450" t="s">
        <v>198</v>
      </c>
      <c r="C25" s="454"/>
      <c r="D25" s="451" t="s">
        <v>224</v>
      </c>
      <c r="E25" s="451"/>
      <c r="F25" s="451" t="s">
        <v>149</v>
      </c>
      <c r="G25" s="451"/>
      <c r="H25" s="451" t="s">
        <v>149</v>
      </c>
      <c r="I25" s="451"/>
      <c r="J25" s="451" t="s">
        <v>172</v>
      </c>
      <c r="K25" s="451"/>
      <c r="L25" s="451" t="s">
        <v>172</v>
      </c>
      <c r="M25" s="451"/>
      <c r="N25" s="451" t="s">
        <v>150</v>
      </c>
      <c r="O25" s="451"/>
      <c r="P25" s="451"/>
      <c r="Q25" s="454"/>
      <c r="R25" s="451"/>
      <c r="S25" s="450"/>
      <c r="T25" s="450"/>
      <c r="U25" s="452"/>
      <c r="V25" s="430"/>
    </row>
    <row r="26" spans="1:22" s="431" customFormat="1" x14ac:dyDescent="0.3">
      <c r="A26" s="453"/>
      <c r="B26" s="455" t="s">
        <v>9</v>
      </c>
      <c r="C26" s="454"/>
      <c r="D26" s="454" t="s">
        <v>147</v>
      </c>
      <c r="E26" s="454"/>
      <c r="F26" s="454" t="s">
        <v>147</v>
      </c>
      <c r="G26" s="454"/>
      <c r="H26" s="454" t="s">
        <v>147</v>
      </c>
      <c r="I26" s="454"/>
      <c r="J26" s="454" t="s">
        <v>190</v>
      </c>
      <c r="K26" s="454"/>
      <c r="L26" s="454" t="s">
        <v>190</v>
      </c>
      <c r="M26" s="454"/>
      <c r="N26" s="454" t="s">
        <v>148</v>
      </c>
      <c r="O26" s="454"/>
      <c r="P26" s="454"/>
      <c r="Q26" s="454"/>
      <c r="R26" s="451"/>
      <c r="S26" s="450"/>
      <c r="T26" s="450"/>
      <c r="U26" s="452"/>
      <c r="V26" s="430"/>
    </row>
    <row r="27" spans="1:22" s="431" customFormat="1" x14ac:dyDescent="0.3">
      <c r="A27" s="449"/>
      <c r="B27" s="455" t="s">
        <v>199</v>
      </c>
      <c r="C27" s="451"/>
      <c r="D27" s="454" t="s">
        <v>149</v>
      </c>
      <c r="E27" s="454"/>
      <c r="F27" s="454" t="s">
        <v>149</v>
      </c>
      <c r="G27" s="454"/>
      <c r="H27" s="454" t="s">
        <v>149</v>
      </c>
      <c r="I27" s="454"/>
      <c r="J27" s="454" t="s">
        <v>322</v>
      </c>
      <c r="K27" s="454"/>
      <c r="L27" s="454" t="s">
        <v>322</v>
      </c>
      <c r="M27" s="454"/>
      <c r="N27" s="454" t="s">
        <v>345</v>
      </c>
      <c r="O27" s="454"/>
      <c r="P27" s="454"/>
      <c r="Q27" s="451"/>
      <c r="R27" s="456"/>
      <c r="S27" s="450"/>
      <c r="T27" s="450"/>
      <c r="U27" s="452"/>
      <c r="V27" s="430"/>
    </row>
    <row r="28" spans="1:22" s="431" customFormat="1" x14ac:dyDescent="0.3">
      <c r="A28" s="449"/>
      <c r="B28" s="455" t="s">
        <v>200</v>
      </c>
      <c r="C28" s="451"/>
      <c r="D28" s="454" t="s">
        <v>149</v>
      </c>
      <c r="E28" s="454"/>
      <c r="F28" s="454" t="s">
        <v>149</v>
      </c>
      <c r="G28" s="454"/>
      <c r="H28" s="454" t="s">
        <v>149</v>
      </c>
      <c r="I28" s="454"/>
      <c r="J28" s="454" t="s">
        <v>149</v>
      </c>
      <c r="K28" s="454"/>
      <c r="L28" s="454" t="s">
        <v>149</v>
      </c>
      <c r="M28" s="454"/>
      <c r="N28" s="454" t="s">
        <v>346</v>
      </c>
      <c r="O28" s="454"/>
      <c r="P28" s="454"/>
      <c r="Q28" s="451"/>
      <c r="R28" s="456"/>
      <c r="S28" s="450"/>
      <c r="T28" s="450"/>
      <c r="U28" s="452"/>
      <c r="V28" s="430"/>
    </row>
    <row r="29" spans="1:22" s="431" customFormat="1" x14ac:dyDescent="0.3">
      <c r="A29" s="449"/>
      <c r="B29" s="450" t="s">
        <v>10</v>
      </c>
      <c r="C29" s="457"/>
      <c r="D29" s="451" t="s">
        <v>237</v>
      </c>
      <c r="E29" s="451"/>
      <c r="F29" s="456" t="s">
        <v>238</v>
      </c>
      <c r="G29" s="451"/>
      <c r="H29" s="451" t="s">
        <v>239</v>
      </c>
      <c r="I29" s="451"/>
      <c r="J29" s="451" t="s">
        <v>240</v>
      </c>
      <c r="K29" s="451"/>
      <c r="L29" s="451" t="s">
        <v>241</v>
      </c>
      <c r="M29" s="451"/>
      <c r="N29" s="451" t="s">
        <v>242</v>
      </c>
      <c r="O29" s="451"/>
      <c r="P29" s="451"/>
      <c r="Q29" s="458"/>
      <c r="R29" s="458"/>
      <c r="S29" s="457"/>
      <c r="T29" s="458"/>
      <c r="U29" s="459"/>
      <c r="V29" s="430"/>
    </row>
    <row r="30" spans="1:22" s="431" customFormat="1" x14ac:dyDescent="0.3">
      <c r="A30" s="449"/>
      <c r="B30" s="450" t="s">
        <v>10</v>
      </c>
      <c r="C30" s="457"/>
      <c r="D30" s="451" t="s">
        <v>236</v>
      </c>
      <c r="E30" s="451"/>
      <c r="F30" s="456" t="s">
        <v>124</v>
      </c>
      <c r="G30" s="451"/>
      <c r="H30" s="451" t="s">
        <v>124</v>
      </c>
      <c r="I30" s="451"/>
      <c r="J30" s="451" t="s">
        <v>124</v>
      </c>
      <c r="K30" s="451"/>
      <c r="L30" s="451" t="s">
        <v>124</v>
      </c>
      <c r="M30" s="451"/>
      <c r="N30" s="451" t="s">
        <v>124</v>
      </c>
      <c r="O30" s="451"/>
      <c r="P30" s="451"/>
      <c r="Q30" s="458"/>
      <c r="R30" s="458"/>
      <c r="S30" s="457"/>
      <c r="T30" s="458"/>
      <c r="U30" s="459"/>
      <c r="V30" s="430"/>
    </row>
    <row r="31" spans="1:22" s="431" customFormat="1" x14ac:dyDescent="0.3">
      <c r="A31" s="453"/>
      <c r="B31" s="450" t="s">
        <v>139</v>
      </c>
      <c r="C31" s="460"/>
      <c r="D31" s="461">
        <v>985000</v>
      </c>
      <c r="E31" s="457"/>
      <c r="F31" s="458">
        <v>149500</v>
      </c>
      <c r="G31" s="458"/>
      <c r="H31" s="462">
        <v>219700</v>
      </c>
      <c r="I31" s="458"/>
      <c r="J31" s="458">
        <v>16000</v>
      </c>
      <c r="K31" s="458"/>
      <c r="L31" s="462">
        <v>82400</v>
      </c>
      <c r="M31" s="458"/>
      <c r="N31" s="462">
        <v>87500</v>
      </c>
      <c r="O31" s="458"/>
      <c r="P31" s="462"/>
      <c r="Q31" s="463"/>
      <c r="R31" s="463"/>
      <c r="S31" s="460"/>
      <c r="T31" s="463"/>
      <c r="U31" s="459"/>
      <c r="V31" s="430"/>
    </row>
    <row r="32" spans="1:22" s="431" customFormat="1" x14ac:dyDescent="0.3">
      <c r="A32" s="449"/>
      <c r="B32" s="450" t="s">
        <v>138</v>
      </c>
      <c r="C32" s="457"/>
      <c r="D32" s="464">
        <f>D38*D34</f>
        <v>172056.80078460003</v>
      </c>
      <c r="E32" s="457"/>
      <c r="F32" s="458">
        <f>F38*F31</f>
        <v>45343.768599999996</v>
      </c>
      <c r="G32" s="458"/>
      <c r="H32" s="462">
        <f>H38*H31</f>
        <v>66635.625159999996</v>
      </c>
      <c r="I32" s="458"/>
      <c r="J32" s="458">
        <f>J31*J38</f>
        <v>11509.567999999999</v>
      </c>
      <c r="K32" s="458"/>
      <c r="L32" s="462">
        <f>L31*L38</f>
        <v>59274.275199999996</v>
      </c>
      <c r="M32" s="458"/>
      <c r="N32" s="462">
        <f>N31*N38</f>
        <v>62942.95</v>
      </c>
      <c r="O32" s="458"/>
      <c r="P32" s="462"/>
      <c r="Q32" s="458"/>
      <c r="R32" s="458"/>
      <c r="S32" s="457"/>
      <c r="T32" s="458"/>
      <c r="U32" s="459"/>
      <c r="V32" s="430"/>
    </row>
    <row r="33" spans="1:23" s="431" customFormat="1" x14ac:dyDescent="0.3">
      <c r="A33" s="449"/>
      <c r="B33" s="455" t="s">
        <v>140</v>
      </c>
      <c r="C33" s="457"/>
      <c r="D33" s="465">
        <f>D37*D34</f>
        <v>168445.25665979998</v>
      </c>
      <c r="E33" s="460"/>
      <c r="F33" s="463">
        <f>F37*F31</f>
        <v>44391.991799999996</v>
      </c>
      <c r="G33" s="463"/>
      <c r="H33" s="466">
        <f>H31*H37</f>
        <v>65236.927079999994</v>
      </c>
      <c r="I33" s="463"/>
      <c r="J33" s="463">
        <f>J31*J37</f>
        <v>11267.9776</v>
      </c>
      <c r="K33" s="463"/>
      <c r="L33" s="466">
        <f>L31*L37</f>
        <v>58030.084640000001</v>
      </c>
      <c r="M33" s="463"/>
      <c r="N33" s="466">
        <f>N31*N37</f>
        <v>61621.752500000002</v>
      </c>
      <c r="O33" s="463"/>
      <c r="P33" s="466"/>
      <c r="Q33" s="458"/>
      <c r="R33" s="458"/>
      <c r="S33" s="457"/>
      <c r="T33" s="458"/>
      <c r="U33" s="459"/>
      <c r="V33" s="430"/>
    </row>
    <row r="34" spans="1:23" s="431" customFormat="1" x14ac:dyDescent="0.3">
      <c r="A34" s="453"/>
      <c r="B34" s="450" t="s">
        <v>283</v>
      </c>
      <c r="C34" s="460"/>
      <c r="D34" s="458">
        <v>567282</v>
      </c>
      <c r="E34" s="457"/>
      <c r="F34" s="458">
        <v>149500</v>
      </c>
      <c r="G34" s="458"/>
      <c r="H34" s="458">
        <v>150716</v>
      </c>
      <c r="I34" s="458"/>
      <c r="J34" s="458">
        <v>16000</v>
      </c>
      <c r="K34" s="458"/>
      <c r="L34" s="458">
        <v>56527</v>
      </c>
      <c r="M34" s="458"/>
      <c r="N34" s="458">
        <v>60025</v>
      </c>
      <c r="O34" s="458"/>
      <c r="P34" s="458"/>
      <c r="Q34" s="463"/>
      <c r="R34" s="463"/>
      <c r="S34" s="460"/>
      <c r="T34" s="458">
        <f>SUM(C34:P34)</f>
        <v>1000050</v>
      </c>
      <c r="U34" s="459"/>
      <c r="V34" s="430"/>
    </row>
    <row r="35" spans="1:23" s="431" customFormat="1" x14ac:dyDescent="0.3">
      <c r="A35" s="453"/>
      <c r="B35" s="450" t="s">
        <v>284</v>
      </c>
      <c r="C35" s="460"/>
      <c r="D35" s="458">
        <f>D38*D34</f>
        <v>172056.80078460003</v>
      </c>
      <c r="E35" s="457"/>
      <c r="F35" s="458">
        <f>F38*F34</f>
        <v>45343.768599999996</v>
      </c>
      <c r="G35" s="458"/>
      <c r="H35" s="458">
        <f>H38*H34</f>
        <v>45712.584804799997</v>
      </c>
      <c r="I35" s="458"/>
      <c r="J35" s="458">
        <f>J34*J38</f>
        <v>11509.567999999999</v>
      </c>
      <c r="K35" s="458"/>
      <c r="L35" s="458">
        <f>L34*L38</f>
        <v>40662.584395999998</v>
      </c>
      <c r="M35" s="458"/>
      <c r="N35" s="458">
        <f>N34*N38</f>
        <v>43178.863700000002</v>
      </c>
      <c r="O35" s="458"/>
      <c r="P35" s="458"/>
      <c r="Q35" s="458"/>
      <c r="R35" s="458"/>
      <c r="S35" s="457"/>
      <c r="T35" s="458">
        <f>SUM(C35:P35)+1</f>
        <v>358465.1702854</v>
      </c>
      <c r="U35" s="459"/>
      <c r="V35" s="430"/>
    </row>
    <row r="36" spans="1:23" s="431" customFormat="1" x14ac:dyDescent="0.3">
      <c r="A36" s="453"/>
      <c r="B36" s="455" t="s">
        <v>285</v>
      </c>
      <c r="C36" s="460"/>
      <c r="D36" s="463">
        <f>D37*D34</f>
        <v>168445.25665979998</v>
      </c>
      <c r="E36" s="460"/>
      <c r="F36" s="463">
        <f>F37*F34</f>
        <v>44391.991799999996</v>
      </c>
      <c r="G36" s="463"/>
      <c r="H36" s="463">
        <f>H37*H34</f>
        <v>44753.066462399998</v>
      </c>
      <c r="I36" s="463"/>
      <c r="J36" s="463">
        <f>J37*J34</f>
        <v>11267.9776</v>
      </c>
      <c r="K36" s="463"/>
      <c r="L36" s="463">
        <f>L37*L34</f>
        <v>39809.060612200003</v>
      </c>
      <c r="M36" s="463"/>
      <c r="N36" s="463">
        <f>N37*N34</f>
        <v>42272.522214999997</v>
      </c>
      <c r="O36" s="463"/>
      <c r="P36" s="463"/>
      <c r="Q36" s="467"/>
      <c r="R36" s="467"/>
      <c r="S36" s="457"/>
      <c r="T36" s="463">
        <f>SUM(C36:P36)+1</f>
        <v>350940.87534939998</v>
      </c>
      <c r="U36" s="459"/>
      <c r="V36" s="430"/>
    </row>
    <row r="37" spans="1:23" x14ac:dyDescent="0.3">
      <c r="A37" s="468"/>
      <c r="B37" s="469" t="s">
        <v>136</v>
      </c>
      <c r="C37" s="470"/>
      <c r="D37" s="471">
        <v>0.29693389999999997</v>
      </c>
      <c r="E37" s="472"/>
      <c r="F37" s="471">
        <v>0.29693639999999999</v>
      </c>
      <c r="G37" s="473"/>
      <c r="H37" s="471">
        <v>0.29693639999999999</v>
      </c>
      <c r="I37" s="473"/>
      <c r="J37" s="471">
        <v>0.7042486</v>
      </c>
      <c r="K37" s="473"/>
      <c r="L37" s="471">
        <v>0.7042486</v>
      </c>
      <c r="M37" s="473"/>
      <c r="N37" s="471">
        <v>0.7042486</v>
      </c>
      <c r="O37" s="474"/>
      <c r="P37" s="474"/>
      <c r="Q37" s="475"/>
      <c r="R37" s="475"/>
      <c r="S37" s="470"/>
      <c r="T37" s="470"/>
      <c r="U37" s="476"/>
      <c r="V37" s="416"/>
      <c r="W37" s="477"/>
    </row>
    <row r="38" spans="1:23" x14ac:dyDescent="0.3">
      <c r="A38" s="468"/>
      <c r="B38" s="470" t="s">
        <v>137</v>
      </c>
      <c r="C38" s="470"/>
      <c r="D38" s="478">
        <v>0.30330030000000002</v>
      </c>
      <c r="E38" s="479"/>
      <c r="F38" s="478">
        <v>0.30330279999999998</v>
      </c>
      <c r="G38" s="480"/>
      <c r="H38" s="478">
        <v>0.30330279999999998</v>
      </c>
      <c r="I38" s="480"/>
      <c r="J38" s="478">
        <v>0.71934799999999999</v>
      </c>
      <c r="K38" s="480"/>
      <c r="L38" s="478">
        <v>0.71934799999999999</v>
      </c>
      <c r="M38" s="480"/>
      <c r="N38" s="478">
        <v>0.71934799999999999</v>
      </c>
      <c r="O38" s="474"/>
      <c r="P38" s="474"/>
      <c r="Q38" s="481"/>
      <c r="R38" s="482"/>
      <c r="S38" s="470"/>
      <c r="T38" s="481"/>
      <c r="U38" s="476"/>
      <c r="V38" s="416"/>
    </row>
    <row r="39" spans="1:23" s="431" customFormat="1" x14ac:dyDescent="0.3">
      <c r="A39" s="449"/>
      <c r="B39" s="450" t="s">
        <v>11</v>
      </c>
      <c r="C39" s="450"/>
      <c r="D39" s="456" t="s">
        <v>275</v>
      </c>
      <c r="E39" s="450"/>
      <c r="F39" s="456" t="s">
        <v>232</v>
      </c>
      <c r="G39" s="456"/>
      <c r="H39" s="456" t="s">
        <v>232</v>
      </c>
      <c r="I39" s="456"/>
      <c r="J39" s="456" t="s">
        <v>234</v>
      </c>
      <c r="K39" s="456"/>
      <c r="L39" s="456" t="s">
        <v>234</v>
      </c>
      <c r="M39" s="456"/>
      <c r="N39" s="456" t="s">
        <v>235</v>
      </c>
      <c r="O39" s="456"/>
      <c r="P39" s="456"/>
      <c r="Q39" s="483"/>
      <c r="R39" s="484"/>
      <c r="S39" s="450"/>
      <c r="T39" s="450"/>
      <c r="U39" s="452"/>
      <c r="V39" s="430"/>
    </row>
    <row r="40" spans="1:23" s="431" customFormat="1" x14ac:dyDescent="0.3">
      <c r="A40" s="449"/>
      <c r="B40" s="450" t="s">
        <v>12</v>
      </c>
      <c r="C40" s="450"/>
      <c r="D40" s="484">
        <v>8.2500000000000004E-3</v>
      </c>
      <c r="E40" s="450"/>
      <c r="F40" s="484">
        <v>9.6500000000000006E-3</v>
      </c>
      <c r="G40" s="483"/>
      <c r="H40" s="484">
        <v>0</v>
      </c>
      <c r="I40" s="483"/>
      <c r="J40" s="484">
        <v>1.205E-2</v>
      </c>
      <c r="K40" s="483"/>
      <c r="L40" s="484">
        <v>9.1E-4</v>
      </c>
      <c r="M40" s="483"/>
      <c r="N40" s="484">
        <v>5.11E-3</v>
      </c>
      <c r="O40" s="483"/>
      <c r="P40" s="484"/>
      <c r="Q40" s="483"/>
      <c r="R40" s="484"/>
      <c r="S40" s="450"/>
      <c r="T40" s="456"/>
      <c r="U40" s="452"/>
      <c r="V40" s="430"/>
    </row>
    <row r="41" spans="1:23" s="431" customFormat="1" x14ac:dyDescent="0.3">
      <c r="A41" s="449"/>
      <c r="B41" s="450" t="s">
        <v>13</v>
      </c>
      <c r="C41" s="450"/>
      <c r="D41" s="484">
        <v>8.8500000000000002E-3</v>
      </c>
      <c r="E41" s="450"/>
      <c r="F41" s="484">
        <v>1.025E-2</v>
      </c>
      <c r="G41" s="483"/>
      <c r="H41" s="484">
        <v>0</v>
      </c>
      <c r="I41" s="483"/>
      <c r="J41" s="484">
        <v>1.265E-2</v>
      </c>
      <c r="K41" s="483"/>
      <c r="L41" s="484">
        <v>6.2E-4</v>
      </c>
      <c r="M41" s="483"/>
      <c r="N41" s="484">
        <v>4.8199999999999996E-3</v>
      </c>
      <c r="O41" s="483"/>
      <c r="P41" s="484"/>
      <c r="Q41" s="483"/>
      <c r="R41" s="484"/>
      <c r="S41" s="450"/>
      <c r="T41" s="483" t="s">
        <v>201</v>
      </c>
      <c r="U41" s="452"/>
      <c r="V41" s="430"/>
    </row>
    <row r="42" spans="1:23" s="431" customFormat="1" x14ac:dyDescent="0.3">
      <c r="A42" s="449"/>
      <c r="B42" s="450" t="s">
        <v>286</v>
      </c>
      <c r="C42" s="450"/>
      <c r="D42" s="456" t="s">
        <v>275</v>
      </c>
      <c r="E42" s="450"/>
      <c r="F42" s="456" t="s">
        <v>232</v>
      </c>
      <c r="G42" s="456"/>
      <c r="H42" s="456" t="s">
        <v>232</v>
      </c>
      <c r="I42" s="456"/>
      <c r="J42" s="456" t="s">
        <v>234</v>
      </c>
      <c r="K42" s="456"/>
      <c r="L42" s="456" t="s">
        <v>245</v>
      </c>
      <c r="M42" s="456"/>
      <c r="N42" s="456" t="s">
        <v>247</v>
      </c>
      <c r="O42" s="456"/>
      <c r="P42" s="456"/>
      <c r="Q42" s="483"/>
      <c r="R42" s="484"/>
      <c r="S42" s="450"/>
      <c r="T42" s="450"/>
      <c r="U42" s="452"/>
      <c r="V42" s="430"/>
    </row>
    <row r="43" spans="1:23" s="431" customFormat="1" x14ac:dyDescent="0.3">
      <c r="A43" s="449"/>
      <c r="B43" s="450" t="s">
        <v>287</v>
      </c>
      <c r="C43" s="485"/>
      <c r="D43" s="484">
        <f>+D40</f>
        <v>8.2500000000000004E-3</v>
      </c>
      <c r="E43" s="484"/>
      <c r="F43" s="484">
        <f>+F40</f>
        <v>9.6500000000000006E-3</v>
      </c>
      <c r="G43" s="484"/>
      <c r="H43" s="484">
        <v>9.6460000000000001E-3</v>
      </c>
      <c r="I43" s="484"/>
      <c r="J43" s="484">
        <f>+J40</f>
        <v>1.205E-2</v>
      </c>
      <c r="K43" s="484"/>
      <c r="L43" s="484">
        <v>1.2356000000000001E-2</v>
      </c>
      <c r="M43" s="484"/>
      <c r="N43" s="484">
        <v>1.7059999999999999E-2</v>
      </c>
      <c r="O43" s="483"/>
      <c r="P43" s="484"/>
      <c r="Q43" s="456"/>
      <c r="R43" s="456"/>
      <c r="S43" s="450"/>
      <c r="T43" s="483">
        <f>SUMPRODUCT(D43:N43,D35:N35)/T35</f>
        <v>1.0254073402675397E-2</v>
      </c>
      <c r="U43" s="452"/>
      <c r="V43" s="430"/>
    </row>
    <row r="44" spans="1:23" s="431" customFormat="1" x14ac:dyDescent="0.3">
      <c r="A44" s="449"/>
      <c r="B44" s="450" t="s">
        <v>288</v>
      </c>
      <c r="C44" s="485"/>
      <c r="D44" s="484">
        <f>+D41</f>
        <v>8.8500000000000002E-3</v>
      </c>
      <c r="E44" s="484"/>
      <c r="F44" s="484">
        <f>+F41</f>
        <v>1.025E-2</v>
      </c>
      <c r="G44" s="484"/>
      <c r="H44" s="484">
        <v>1.0246E-2</v>
      </c>
      <c r="I44" s="484"/>
      <c r="J44" s="484">
        <f>+J41</f>
        <v>1.265E-2</v>
      </c>
      <c r="K44" s="484"/>
      <c r="L44" s="484">
        <v>1.2956000000000001E-2</v>
      </c>
      <c r="M44" s="484"/>
      <c r="N44" s="484">
        <v>1.7659999999999999E-2</v>
      </c>
      <c r="O44" s="483"/>
      <c r="P44" s="484"/>
      <c r="Q44" s="456"/>
      <c r="R44" s="456"/>
      <c r="S44" s="450"/>
      <c r="T44" s="450"/>
      <c r="U44" s="452"/>
      <c r="V44" s="430"/>
    </row>
    <row r="45" spans="1:23" s="431" customFormat="1" x14ac:dyDescent="0.3">
      <c r="A45" s="449"/>
      <c r="B45" s="450" t="s">
        <v>14</v>
      </c>
      <c r="C45" s="450"/>
      <c r="D45" s="485">
        <v>40283</v>
      </c>
      <c r="E45" s="485"/>
      <c r="F45" s="485">
        <v>40283</v>
      </c>
      <c r="G45" s="485"/>
      <c r="H45" s="485">
        <v>40283</v>
      </c>
      <c r="I45" s="485"/>
      <c r="J45" s="485">
        <v>40283</v>
      </c>
      <c r="K45" s="485"/>
      <c r="L45" s="485">
        <v>40283</v>
      </c>
      <c r="M45" s="485"/>
      <c r="N45" s="485">
        <v>40283</v>
      </c>
      <c r="O45" s="485"/>
      <c r="P45" s="485"/>
      <c r="Q45" s="456"/>
      <c r="R45" s="456"/>
      <c r="S45" s="450"/>
      <c r="T45" s="450"/>
      <c r="U45" s="452"/>
      <c r="V45" s="430"/>
    </row>
    <row r="46" spans="1:23" s="431" customFormat="1" x14ac:dyDescent="0.3">
      <c r="A46" s="449"/>
      <c r="B46" s="450" t="s">
        <v>15</v>
      </c>
      <c r="C46" s="450"/>
      <c r="D46" s="485">
        <v>40648</v>
      </c>
      <c r="E46" s="485"/>
      <c r="F46" s="485">
        <v>40648</v>
      </c>
      <c r="G46" s="485"/>
      <c r="H46" s="485">
        <v>40648</v>
      </c>
      <c r="I46" s="456"/>
      <c r="J46" s="485">
        <v>40648</v>
      </c>
      <c r="K46" s="456"/>
      <c r="L46" s="485">
        <v>40648</v>
      </c>
      <c r="M46" s="456"/>
      <c r="N46" s="485">
        <v>40648</v>
      </c>
      <c r="O46" s="456"/>
      <c r="P46" s="485"/>
      <c r="Q46" s="456"/>
      <c r="R46" s="456"/>
      <c r="S46" s="450"/>
      <c r="T46" s="450"/>
      <c r="U46" s="452"/>
      <c r="V46" s="430"/>
    </row>
    <row r="47" spans="1:23" s="431" customFormat="1" x14ac:dyDescent="0.3">
      <c r="A47" s="449"/>
      <c r="B47" s="450" t="s">
        <v>125</v>
      </c>
      <c r="C47" s="450"/>
      <c r="D47" s="456" t="s">
        <v>124</v>
      </c>
      <c r="E47" s="450"/>
      <c r="F47" s="456" t="s">
        <v>232</v>
      </c>
      <c r="G47" s="456"/>
      <c r="H47" s="456" t="s">
        <v>232</v>
      </c>
      <c r="I47" s="456"/>
      <c r="J47" s="456" t="s">
        <v>234</v>
      </c>
      <c r="K47" s="456"/>
      <c r="L47" s="456" t="s">
        <v>234</v>
      </c>
      <c r="M47" s="456"/>
      <c r="N47" s="456" t="s">
        <v>235</v>
      </c>
      <c r="O47" s="456"/>
      <c r="P47" s="456"/>
      <c r="Q47" s="486"/>
      <c r="R47" s="486"/>
      <c r="S47" s="486"/>
      <c r="T47" s="486"/>
      <c r="U47" s="452"/>
      <c r="V47" s="430"/>
    </row>
    <row r="48" spans="1:23" s="431" customFormat="1" x14ac:dyDescent="0.3">
      <c r="A48" s="449"/>
      <c r="B48" s="450" t="s">
        <v>289</v>
      </c>
      <c r="C48" s="450"/>
      <c r="D48" s="456" t="s">
        <v>124</v>
      </c>
      <c r="E48" s="450"/>
      <c r="F48" s="456" t="s">
        <v>232</v>
      </c>
      <c r="G48" s="456"/>
      <c r="H48" s="456" t="s">
        <v>232</v>
      </c>
      <c r="I48" s="456"/>
      <c r="J48" s="456" t="s">
        <v>234</v>
      </c>
      <c r="K48" s="456"/>
      <c r="L48" s="456" t="s">
        <v>245</v>
      </c>
      <c r="M48" s="456"/>
      <c r="N48" s="456" t="s">
        <v>247</v>
      </c>
      <c r="O48" s="456"/>
      <c r="P48" s="456"/>
      <c r="Q48" s="450"/>
      <c r="R48" s="450"/>
      <c r="S48" s="450"/>
      <c r="T48" s="483"/>
      <c r="U48" s="452"/>
      <c r="V48" s="430"/>
    </row>
    <row r="49" spans="1:23" s="431" customFormat="1" x14ac:dyDescent="0.3">
      <c r="A49" s="449"/>
      <c r="B49" s="450"/>
      <c r="C49" s="450"/>
      <c r="D49" s="456"/>
      <c r="E49" s="450"/>
      <c r="F49" s="456"/>
      <c r="G49" s="456"/>
      <c r="H49" s="456"/>
      <c r="I49" s="456"/>
      <c r="J49" s="456"/>
      <c r="K49" s="456"/>
      <c r="L49" s="456"/>
      <c r="M49" s="456"/>
      <c r="N49" s="456"/>
      <c r="O49" s="456"/>
      <c r="P49" s="456"/>
      <c r="Q49" s="450"/>
      <c r="R49" s="450"/>
      <c r="S49" s="450"/>
      <c r="T49" s="483" t="s">
        <v>201</v>
      </c>
      <c r="U49" s="452"/>
      <c r="V49" s="430"/>
    </row>
    <row r="50" spans="1:23" s="431" customFormat="1" x14ac:dyDescent="0.3">
      <c r="A50" s="449"/>
      <c r="B50" s="450" t="s">
        <v>176</v>
      </c>
      <c r="C50" s="450"/>
      <c r="D50" s="456"/>
      <c r="E50" s="450"/>
      <c r="F50" s="456"/>
      <c r="G50" s="456"/>
      <c r="H50" s="456"/>
      <c r="I50" s="456"/>
      <c r="J50" s="456"/>
      <c r="K50" s="456"/>
      <c r="L50" s="456"/>
      <c r="M50" s="456"/>
      <c r="N50" s="456"/>
      <c r="O50" s="456"/>
      <c r="P50" s="456"/>
      <c r="Q50" s="450"/>
      <c r="R50" s="450"/>
      <c r="S50" s="450"/>
      <c r="T50" s="483">
        <f>SUM(J34:P34)/SUM(D34:H34)</f>
        <v>0.15279804679664968</v>
      </c>
      <c r="U50" s="452"/>
      <c r="V50" s="430"/>
    </row>
    <row r="51" spans="1:23" s="431" customFormat="1" x14ac:dyDescent="0.3">
      <c r="A51" s="449"/>
      <c r="B51" s="450" t="s">
        <v>177</v>
      </c>
      <c r="C51" s="450"/>
      <c r="D51" s="450"/>
      <c r="E51" s="450"/>
      <c r="F51" s="487"/>
      <c r="G51" s="450"/>
      <c r="H51" s="450"/>
      <c r="I51" s="450"/>
      <c r="J51" s="450"/>
      <c r="K51" s="450"/>
      <c r="L51" s="450"/>
      <c r="M51" s="450"/>
      <c r="N51" s="450"/>
      <c r="O51" s="450"/>
      <c r="P51" s="450"/>
      <c r="Q51" s="450"/>
      <c r="R51" s="450"/>
      <c r="S51" s="450"/>
      <c r="T51" s="483">
        <f>SUM(J36:P36)/SUM(D36:H36)</f>
        <v>0.36239545906605369</v>
      </c>
      <c r="U51" s="452"/>
      <c r="V51" s="430"/>
    </row>
    <row r="52" spans="1:23" s="431" customFormat="1" x14ac:dyDescent="0.3">
      <c r="A52" s="449"/>
      <c r="B52" s="450" t="s">
        <v>178</v>
      </c>
      <c r="C52" s="450"/>
      <c r="D52" s="450"/>
      <c r="E52" s="450"/>
      <c r="F52" s="450"/>
      <c r="G52" s="450"/>
      <c r="H52" s="450"/>
      <c r="I52" s="450"/>
      <c r="J52" s="450"/>
      <c r="K52" s="450"/>
      <c r="L52" s="450"/>
      <c r="M52" s="450"/>
      <c r="N52" s="450"/>
      <c r="O52" s="450"/>
      <c r="P52" s="450"/>
      <c r="Q52" s="450"/>
      <c r="R52" s="456" t="s">
        <v>109</v>
      </c>
      <c r="S52" s="456" t="s">
        <v>115</v>
      </c>
      <c r="T52" s="458">
        <f>+T34/2-SUM(J34:P34)</f>
        <v>367473</v>
      </c>
      <c r="U52" s="452"/>
      <c r="V52" s="430"/>
    </row>
    <row r="53" spans="1:23" s="431" customFormat="1" x14ac:dyDescent="0.3">
      <c r="A53" s="449"/>
      <c r="B53" s="450"/>
      <c r="C53" s="450"/>
      <c r="D53" s="450"/>
      <c r="E53" s="450"/>
      <c r="F53" s="450"/>
      <c r="G53" s="450"/>
      <c r="H53" s="450"/>
      <c r="I53" s="450"/>
      <c r="J53" s="450"/>
      <c r="K53" s="450"/>
      <c r="L53" s="450"/>
      <c r="M53" s="450"/>
      <c r="N53" s="450"/>
      <c r="O53" s="450"/>
      <c r="P53" s="450"/>
      <c r="Q53" s="450"/>
      <c r="R53" s="450"/>
      <c r="S53" s="450"/>
      <c r="T53" s="488"/>
      <c r="U53" s="452"/>
      <c r="V53" s="430"/>
    </row>
    <row r="54" spans="1:23" s="431" customFormat="1" x14ac:dyDescent="0.3">
      <c r="A54" s="449"/>
      <c r="B54" s="450" t="s">
        <v>342</v>
      </c>
      <c r="C54" s="450"/>
      <c r="D54" s="450"/>
      <c r="E54" s="450"/>
      <c r="F54" s="450"/>
      <c r="G54" s="450"/>
      <c r="H54" s="450"/>
      <c r="I54" s="450"/>
      <c r="J54" s="450"/>
      <c r="K54" s="450"/>
      <c r="L54" s="450"/>
      <c r="M54" s="450"/>
      <c r="N54" s="450"/>
      <c r="O54" s="450"/>
      <c r="P54" s="450"/>
      <c r="Q54" s="450"/>
      <c r="R54" s="456"/>
      <c r="S54" s="456"/>
      <c r="T54" s="489" t="s">
        <v>117</v>
      </c>
      <c r="U54" s="452"/>
      <c r="V54" s="430"/>
    </row>
    <row r="55" spans="1:23" s="431" customFormat="1" x14ac:dyDescent="0.3">
      <c r="A55" s="449"/>
      <c r="B55" s="455" t="s">
        <v>210</v>
      </c>
      <c r="C55" s="455"/>
      <c r="D55" s="455"/>
      <c r="E55" s="455"/>
      <c r="F55" s="455"/>
      <c r="G55" s="455"/>
      <c r="H55" s="455"/>
      <c r="I55" s="455"/>
      <c r="J55" s="455"/>
      <c r="K55" s="455"/>
      <c r="L55" s="455"/>
      <c r="M55" s="455"/>
      <c r="N55" s="455"/>
      <c r="O55" s="455"/>
      <c r="P55" s="455"/>
      <c r="Q55" s="455"/>
      <c r="R55" s="490"/>
      <c r="S55" s="490"/>
      <c r="T55" s="491">
        <v>43936</v>
      </c>
      <c r="U55" s="452"/>
      <c r="V55" s="430"/>
    </row>
    <row r="56" spans="1:23" s="431" customFormat="1" x14ac:dyDescent="0.3">
      <c r="A56" s="449"/>
      <c r="B56" s="450" t="s">
        <v>127</v>
      </c>
      <c r="C56" s="450"/>
      <c r="D56" s="450"/>
      <c r="E56" s="450"/>
      <c r="F56" s="450"/>
      <c r="G56" s="450"/>
      <c r="H56" s="492"/>
      <c r="I56" s="492"/>
      <c r="J56" s="492"/>
      <c r="K56" s="492"/>
      <c r="L56" s="492"/>
      <c r="M56" s="492"/>
      <c r="N56" s="492"/>
      <c r="O56" s="492"/>
      <c r="P56" s="450">
        <f>+T56-R56+1</f>
        <v>92</v>
      </c>
      <c r="Q56" s="492"/>
      <c r="R56" s="493">
        <v>43753</v>
      </c>
      <c r="S56" s="494"/>
      <c r="T56" s="493">
        <v>43844</v>
      </c>
      <c r="U56" s="452"/>
      <c r="V56" s="430"/>
    </row>
    <row r="57" spans="1:23" s="431" customFormat="1" x14ac:dyDescent="0.3">
      <c r="A57" s="449"/>
      <c r="B57" s="450" t="s">
        <v>128</v>
      </c>
      <c r="C57" s="450"/>
      <c r="D57" s="450"/>
      <c r="E57" s="450"/>
      <c r="F57" s="450"/>
      <c r="G57" s="450"/>
      <c r="H57" s="450"/>
      <c r="I57" s="450"/>
      <c r="J57" s="450"/>
      <c r="K57" s="450"/>
      <c r="L57" s="450"/>
      <c r="M57" s="450"/>
      <c r="N57" s="450"/>
      <c r="O57" s="450"/>
      <c r="P57" s="450">
        <f>+T57-R57+1</f>
        <v>91</v>
      </c>
      <c r="Q57" s="450"/>
      <c r="R57" s="493">
        <v>43845</v>
      </c>
      <c r="S57" s="494"/>
      <c r="T57" s="493">
        <v>43935</v>
      </c>
      <c r="U57" s="452"/>
      <c r="V57" s="430"/>
    </row>
    <row r="58" spans="1:23" s="431" customFormat="1" x14ac:dyDescent="0.3">
      <c r="A58" s="449"/>
      <c r="B58" s="450" t="s">
        <v>344</v>
      </c>
      <c r="C58" s="450"/>
      <c r="D58" s="450"/>
      <c r="E58" s="450"/>
      <c r="F58" s="450"/>
      <c r="G58" s="450"/>
      <c r="H58" s="450"/>
      <c r="I58" s="450"/>
      <c r="J58" s="450"/>
      <c r="K58" s="450"/>
      <c r="L58" s="450"/>
      <c r="M58" s="450"/>
      <c r="N58" s="450"/>
      <c r="O58" s="450"/>
      <c r="P58" s="450"/>
      <c r="Q58" s="450"/>
      <c r="R58" s="493"/>
      <c r="S58" s="494"/>
      <c r="T58" s="493" t="s">
        <v>126</v>
      </c>
      <c r="U58" s="452"/>
      <c r="V58" s="430"/>
    </row>
    <row r="59" spans="1:23" s="431" customFormat="1" x14ac:dyDescent="0.3">
      <c r="A59" s="449"/>
      <c r="B59" s="450" t="s">
        <v>343</v>
      </c>
      <c r="C59" s="450"/>
      <c r="D59" s="450"/>
      <c r="E59" s="450"/>
      <c r="F59" s="450"/>
      <c r="G59" s="450"/>
      <c r="H59" s="450"/>
      <c r="I59" s="450"/>
      <c r="J59" s="450"/>
      <c r="K59" s="450"/>
      <c r="L59" s="450"/>
      <c r="M59" s="450"/>
      <c r="N59" s="450"/>
      <c r="O59" s="450"/>
      <c r="P59" s="450"/>
      <c r="Q59" s="450"/>
      <c r="R59" s="493"/>
      <c r="S59" s="494"/>
      <c r="T59" s="493" t="s">
        <v>160</v>
      </c>
      <c r="U59" s="452"/>
      <c r="V59" s="430"/>
      <c r="W59" s="495"/>
    </row>
    <row r="60" spans="1:23" s="431" customFormat="1" x14ac:dyDescent="0.3">
      <c r="A60" s="449"/>
      <c r="B60" s="450" t="s">
        <v>16</v>
      </c>
      <c r="C60" s="450"/>
      <c r="D60" s="450"/>
      <c r="E60" s="450"/>
      <c r="F60" s="450"/>
      <c r="G60" s="450"/>
      <c r="H60" s="450"/>
      <c r="I60" s="450"/>
      <c r="J60" s="450"/>
      <c r="K60" s="450"/>
      <c r="L60" s="450"/>
      <c r="M60" s="450"/>
      <c r="N60" s="450"/>
      <c r="O60" s="450"/>
      <c r="P60" s="450"/>
      <c r="Q60" s="450"/>
      <c r="R60" s="493"/>
      <c r="S60" s="494"/>
      <c r="T60" s="493">
        <v>43922</v>
      </c>
      <c r="U60" s="452"/>
      <c r="V60" s="430"/>
    </row>
    <row r="61" spans="1:23" s="431" customFormat="1" x14ac:dyDescent="0.3">
      <c r="A61" s="432"/>
      <c r="B61" s="447"/>
      <c r="C61" s="447"/>
      <c r="D61" s="447"/>
      <c r="E61" s="447"/>
      <c r="F61" s="447"/>
      <c r="G61" s="447"/>
      <c r="H61" s="447"/>
      <c r="I61" s="447"/>
      <c r="J61" s="447"/>
      <c r="K61" s="447"/>
      <c r="L61" s="447"/>
      <c r="M61" s="447"/>
      <c r="N61" s="447"/>
      <c r="O61" s="447"/>
      <c r="P61" s="447"/>
      <c r="Q61" s="447"/>
      <c r="R61" s="496"/>
      <c r="S61" s="497"/>
      <c r="T61" s="496"/>
      <c r="U61" s="641"/>
      <c r="V61" s="430"/>
    </row>
    <row r="62" spans="1:23" s="431" customFormat="1" x14ac:dyDescent="0.3">
      <c r="A62" s="432"/>
      <c r="B62" s="433"/>
      <c r="C62" s="433"/>
      <c r="D62" s="433"/>
      <c r="E62" s="433"/>
      <c r="F62" s="433"/>
      <c r="G62" s="433"/>
      <c r="H62" s="433"/>
      <c r="I62" s="433"/>
      <c r="J62" s="433"/>
      <c r="K62" s="433"/>
      <c r="L62" s="433"/>
      <c r="M62" s="433"/>
      <c r="N62" s="433"/>
      <c r="O62" s="433"/>
      <c r="P62" s="433"/>
      <c r="Q62" s="433"/>
      <c r="R62" s="498"/>
      <c r="S62" s="499"/>
      <c r="T62" s="498"/>
      <c r="U62" s="641"/>
      <c r="V62" s="430"/>
    </row>
    <row r="63" spans="1:23" s="431" customFormat="1" ht="18.600000000000001" thickBot="1" x14ac:dyDescent="0.4">
      <c r="A63" s="500"/>
      <c r="B63" s="501" t="s">
        <v>374</v>
      </c>
      <c r="C63" s="502"/>
      <c r="D63" s="502"/>
      <c r="E63" s="502"/>
      <c r="F63" s="502"/>
      <c r="G63" s="502"/>
      <c r="H63" s="502"/>
      <c r="I63" s="502"/>
      <c r="J63" s="502"/>
      <c r="K63" s="502"/>
      <c r="L63" s="502"/>
      <c r="M63" s="502"/>
      <c r="N63" s="502"/>
      <c r="O63" s="502"/>
      <c r="P63" s="502"/>
      <c r="Q63" s="502"/>
      <c r="R63" s="502"/>
      <c r="S63" s="502"/>
      <c r="T63" s="503"/>
      <c r="U63" s="504"/>
      <c r="V63" s="430"/>
    </row>
    <row r="64" spans="1:23" x14ac:dyDescent="0.3">
      <c r="A64" s="505"/>
      <c r="B64" s="506" t="s">
        <v>17</v>
      </c>
      <c r="C64" s="507"/>
      <c r="D64" s="507"/>
      <c r="E64" s="507"/>
      <c r="F64" s="507"/>
      <c r="G64" s="507"/>
      <c r="H64" s="507"/>
      <c r="I64" s="507"/>
      <c r="J64" s="507"/>
      <c r="K64" s="507"/>
      <c r="L64" s="507"/>
      <c r="M64" s="507"/>
      <c r="N64" s="507"/>
      <c r="O64" s="507"/>
      <c r="P64" s="507"/>
      <c r="Q64" s="507"/>
      <c r="R64" s="507"/>
      <c r="S64" s="507"/>
      <c r="T64" s="508"/>
      <c r="U64" s="509"/>
      <c r="V64" s="416"/>
    </row>
    <row r="65" spans="1:22" x14ac:dyDescent="0.3">
      <c r="A65" s="418"/>
      <c r="B65" s="427"/>
      <c r="C65" s="420"/>
      <c r="D65" s="420"/>
      <c r="E65" s="420"/>
      <c r="F65" s="420"/>
      <c r="G65" s="420"/>
      <c r="H65" s="420"/>
      <c r="I65" s="420"/>
      <c r="J65" s="420"/>
      <c r="K65" s="420"/>
      <c r="L65" s="420"/>
      <c r="M65" s="420"/>
      <c r="N65" s="420"/>
      <c r="O65" s="420"/>
      <c r="P65" s="420"/>
      <c r="Q65" s="420"/>
      <c r="R65" s="420"/>
      <c r="S65" s="420"/>
      <c r="T65" s="510"/>
      <c r="U65" s="639"/>
      <c r="V65" s="416"/>
    </row>
    <row r="66" spans="1:22" ht="46.8" x14ac:dyDescent="0.3">
      <c r="A66" s="418"/>
      <c r="B66" s="511" t="s">
        <v>18</v>
      </c>
      <c r="C66" s="512"/>
      <c r="D66" s="512"/>
      <c r="E66" s="512"/>
      <c r="F66" s="512"/>
      <c r="G66" s="512"/>
      <c r="H66" s="512"/>
      <c r="I66" s="512"/>
      <c r="J66" s="512" t="s">
        <v>97</v>
      </c>
      <c r="K66" s="512"/>
      <c r="L66" s="512" t="s">
        <v>99</v>
      </c>
      <c r="M66" s="512"/>
      <c r="N66" s="512" t="s">
        <v>101</v>
      </c>
      <c r="O66" s="512"/>
      <c r="P66" s="512" t="s">
        <v>103</v>
      </c>
      <c r="Q66" s="512"/>
      <c r="R66" s="512" t="s">
        <v>110</v>
      </c>
      <c r="S66" s="512"/>
      <c r="T66" s="513" t="s">
        <v>118</v>
      </c>
      <c r="U66" s="642"/>
      <c r="V66" s="416"/>
    </row>
    <row r="67" spans="1:22" s="431" customFormat="1" x14ac:dyDescent="0.3">
      <c r="A67" s="449"/>
      <c r="B67" s="450" t="s">
        <v>19</v>
      </c>
      <c r="C67" s="514"/>
      <c r="D67" s="514"/>
      <c r="E67" s="514"/>
      <c r="F67" s="514"/>
      <c r="G67" s="514"/>
      <c r="H67" s="514"/>
      <c r="I67" s="514"/>
      <c r="J67" s="514">
        <v>1000039</v>
      </c>
      <c r="K67" s="514"/>
      <c r="L67" s="515">
        <v>358465</v>
      </c>
      <c r="M67" s="514"/>
      <c r="N67" s="514">
        <v>7524</v>
      </c>
      <c r="O67" s="514"/>
      <c r="P67" s="514">
        <v>0</v>
      </c>
      <c r="Q67" s="514"/>
      <c r="R67" s="514">
        <v>0</v>
      </c>
      <c r="S67" s="514"/>
      <c r="T67" s="515">
        <f>+L67-N67+P67-R67</f>
        <v>350941</v>
      </c>
      <c r="U67" s="452"/>
      <c r="V67" s="430"/>
    </row>
    <row r="68" spans="1:22" s="431" customFormat="1" x14ac:dyDescent="0.3">
      <c r="A68" s="449"/>
      <c r="B68" s="450" t="s">
        <v>20</v>
      </c>
      <c r="C68" s="514"/>
      <c r="D68" s="514"/>
      <c r="E68" s="514"/>
      <c r="F68" s="514"/>
      <c r="G68" s="514"/>
      <c r="H68" s="514"/>
      <c r="I68" s="514"/>
      <c r="J68" s="514">
        <v>10</v>
      </c>
      <c r="K68" s="514"/>
      <c r="L68" s="515">
        <v>0</v>
      </c>
      <c r="M68" s="514"/>
      <c r="N68" s="514">
        <v>0</v>
      </c>
      <c r="O68" s="514"/>
      <c r="P68" s="514">
        <v>0</v>
      </c>
      <c r="Q68" s="514"/>
      <c r="R68" s="514">
        <v>0</v>
      </c>
      <c r="S68" s="514"/>
      <c r="T68" s="515">
        <v>0</v>
      </c>
      <c r="U68" s="452"/>
      <c r="V68" s="430"/>
    </row>
    <row r="69" spans="1:22" s="431" customFormat="1" x14ac:dyDescent="0.3">
      <c r="A69" s="449"/>
      <c r="B69" s="450"/>
      <c r="C69" s="514"/>
      <c r="D69" s="514"/>
      <c r="E69" s="514"/>
      <c r="F69" s="514"/>
      <c r="G69" s="514"/>
      <c r="H69" s="514"/>
      <c r="I69" s="514"/>
      <c r="J69" s="514"/>
      <c r="K69" s="514"/>
      <c r="L69" s="515"/>
      <c r="M69" s="514"/>
      <c r="N69" s="514"/>
      <c r="O69" s="514"/>
      <c r="P69" s="514"/>
      <c r="Q69" s="514"/>
      <c r="R69" s="514"/>
      <c r="S69" s="514"/>
      <c r="T69" s="515"/>
      <c r="U69" s="452"/>
      <c r="V69" s="430"/>
    </row>
    <row r="70" spans="1:22" s="431" customFormat="1" x14ac:dyDescent="0.3">
      <c r="A70" s="449"/>
      <c r="B70" s="450" t="s">
        <v>21</v>
      </c>
      <c r="C70" s="514"/>
      <c r="D70" s="514"/>
      <c r="E70" s="514"/>
      <c r="F70" s="514"/>
      <c r="G70" s="514"/>
      <c r="H70" s="514"/>
      <c r="I70" s="514"/>
      <c r="J70" s="514">
        <f>SUM(J67:J69)</f>
        <v>1000049</v>
      </c>
      <c r="K70" s="514"/>
      <c r="L70" s="514">
        <f>L67+L68</f>
        <v>358465</v>
      </c>
      <c r="M70" s="514"/>
      <c r="N70" s="514">
        <f>SUM(N67:N69)</f>
        <v>7524</v>
      </c>
      <c r="O70" s="514"/>
      <c r="P70" s="514">
        <f>SUM(P67:P69)</f>
        <v>0</v>
      </c>
      <c r="Q70" s="514"/>
      <c r="R70" s="514">
        <f>SUM(R67:R69)</f>
        <v>0</v>
      </c>
      <c r="S70" s="514"/>
      <c r="T70" s="514">
        <f>SUM(T67:T69)</f>
        <v>350941</v>
      </c>
      <c r="U70" s="452"/>
      <c r="V70" s="430"/>
    </row>
    <row r="71" spans="1:22" x14ac:dyDescent="0.3">
      <c r="A71" s="418"/>
      <c r="B71" s="516"/>
      <c r="C71" s="517"/>
      <c r="D71" s="517"/>
      <c r="E71" s="517"/>
      <c r="F71" s="517"/>
      <c r="G71" s="517"/>
      <c r="H71" s="517"/>
      <c r="I71" s="517"/>
      <c r="J71" s="517"/>
      <c r="K71" s="517"/>
      <c r="L71" s="517"/>
      <c r="M71" s="517"/>
      <c r="N71" s="517"/>
      <c r="O71" s="517"/>
      <c r="P71" s="517"/>
      <c r="Q71" s="517"/>
      <c r="R71" s="517"/>
      <c r="S71" s="517"/>
      <c r="T71" s="518"/>
      <c r="U71" s="639"/>
      <c r="V71" s="416"/>
    </row>
    <row r="72" spans="1:22" x14ac:dyDescent="0.3">
      <c r="A72" s="418"/>
      <c r="B72" s="422" t="s">
        <v>22</v>
      </c>
      <c r="C72" s="519"/>
      <c r="D72" s="519"/>
      <c r="E72" s="519"/>
      <c r="F72" s="519"/>
      <c r="G72" s="519"/>
      <c r="H72" s="519"/>
      <c r="I72" s="519"/>
      <c r="J72" s="519"/>
      <c r="K72" s="519"/>
      <c r="L72" s="519"/>
      <c r="M72" s="519"/>
      <c r="N72" s="519"/>
      <c r="O72" s="519"/>
      <c r="P72" s="519"/>
      <c r="Q72" s="519"/>
      <c r="R72" s="519"/>
      <c r="S72" s="519"/>
      <c r="T72" s="520"/>
      <c r="U72" s="639"/>
      <c r="V72" s="416"/>
    </row>
    <row r="73" spans="1:22" x14ac:dyDescent="0.3">
      <c r="A73" s="418"/>
      <c r="B73" s="420"/>
      <c r="C73" s="519"/>
      <c r="D73" s="519"/>
      <c r="E73" s="519"/>
      <c r="F73" s="519"/>
      <c r="G73" s="519"/>
      <c r="H73" s="519"/>
      <c r="I73" s="519"/>
      <c r="J73" s="519"/>
      <c r="K73" s="519"/>
      <c r="L73" s="519"/>
      <c r="M73" s="519"/>
      <c r="N73" s="519"/>
      <c r="O73" s="519"/>
      <c r="P73" s="519"/>
      <c r="Q73" s="519"/>
      <c r="R73" s="519"/>
      <c r="S73" s="519"/>
      <c r="T73" s="520"/>
      <c r="U73" s="639"/>
      <c r="V73" s="416"/>
    </row>
    <row r="74" spans="1:22" s="431" customFormat="1" x14ac:dyDescent="0.3">
      <c r="A74" s="449"/>
      <c r="B74" s="450" t="s">
        <v>19</v>
      </c>
      <c r="C74" s="514"/>
      <c r="D74" s="514"/>
      <c r="E74" s="514"/>
      <c r="F74" s="514"/>
      <c r="G74" s="514"/>
      <c r="H74" s="514"/>
      <c r="I74" s="514"/>
      <c r="J74" s="514"/>
      <c r="K74" s="514"/>
      <c r="L74" s="514"/>
      <c r="M74" s="514"/>
      <c r="N74" s="514"/>
      <c r="O74" s="514"/>
      <c r="P74" s="514"/>
      <c r="Q74" s="514"/>
      <c r="R74" s="514"/>
      <c r="S74" s="514"/>
      <c r="T74" s="514"/>
      <c r="U74" s="452"/>
      <c r="V74" s="430"/>
    </row>
    <row r="75" spans="1:22" s="431" customFormat="1" x14ac:dyDescent="0.3">
      <c r="A75" s="449"/>
      <c r="B75" s="450" t="s">
        <v>20</v>
      </c>
      <c r="C75" s="514"/>
      <c r="D75" s="514"/>
      <c r="E75" s="514"/>
      <c r="F75" s="514"/>
      <c r="G75" s="514"/>
      <c r="H75" s="514"/>
      <c r="I75" s="514"/>
      <c r="J75" s="514"/>
      <c r="K75" s="514"/>
      <c r="L75" s="514"/>
      <c r="M75" s="514"/>
      <c r="N75" s="514"/>
      <c r="O75" s="514"/>
      <c r="P75" s="514"/>
      <c r="Q75" s="514"/>
      <c r="R75" s="514"/>
      <c r="S75" s="514"/>
      <c r="T75" s="514"/>
      <c r="U75" s="452"/>
      <c r="V75" s="430"/>
    </row>
    <row r="76" spans="1:22" s="431" customFormat="1" x14ac:dyDescent="0.3">
      <c r="A76" s="449"/>
      <c r="B76" s="450"/>
      <c r="C76" s="514"/>
      <c r="D76" s="514"/>
      <c r="E76" s="514"/>
      <c r="F76" s="514"/>
      <c r="G76" s="514"/>
      <c r="H76" s="514"/>
      <c r="I76" s="514"/>
      <c r="J76" s="514"/>
      <c r="K76" s="514"/>
      <c r="L76" s="514"/>
      <c r="M76" s="514"/>
      <c r="N76" s="514"/>
      <c r="O76" s="514"/>
      <c r="P76" s="514"/>
      <c r="Q76" s="514"/>
      <c r="R76" s="514"/>
      <c r="S76" s="514"/>
      <c r="T76" s="514"/>
      <c r="U76" s="452"/>
      <c r="V76" s="430"/>
    </row>
    <row r="77" spans="1:22" s="431" customFormat="1" x14ac:dyDescent="0.3">
      <c r="A77" s="449"/>
      <c r="B77" s="450" t="s">
        <v>21</v>
      </c>
      <c r="C77" s="514"/>
      <c r="D77" s="514"/>
      <c r="E77" s="514"/>
      <c r="F77" s="514"/>
      <c r="G77" s="514"/>
      <c r="H77" s="514"/>
      <c r="I77" s="514"/>
      <c r="J77" s="514"/>
      <c r="K77" s="514"/>
      <c r="L77" s="514"/>
      <c r="M77" s="514"/>
      <c r="N77" s="514"/>
      <c r="O77" s="514"/>
      <c r="P77" s="514"/>
      <c r="Q77" s="514"/>
      <c r="R77" s="514"/>
      <c r="S77" s="514"/>
      <c r="T77" s="514"/>
      <c r="U77" s="452"/>
      <c r="V77" s="430"/>
    </row>
    <row r="78" spans="1:22" s="431" customFormat="1" x14ac:dyDescent="0.3">
      <c r="A78" s="449"/>
      <c r="B78" s="450"/>
      <c r="C78" s="514"/>
      <c r="D78" s="514"/>
      <c r="E78" s="514"/>
      <c r="F78" s="514"/>
      <c r="G78" s="514"/>
      <c r="H78" s="514"/>
      <c r="I78" s="514"/>
      <c r="J78" s="514"/>
      <c r="K78" s="514"/>
      <c r="L78" s="514"/>
      <c r="M78" s="514"/>
      <c r="N78" s="514"/>
      <c r="O78" s="514"/>
      <c r="P78" s="514"/>
      <c r="Q78" s="514"/>
      <c r="R78" s="514"/>
      <c r="S78" s="514"/>
      <c r="T78" s="514"/>
      <c r="U78" s="452"/>
      <c r="V78" s="430"/>
    </row>
    <row r="79" spans="1:22" s="431" customFormat="1" x14ac:dyDescent="0.3">
      <c r="A79" s="449"/>
      <c r="B79" s="450" t="s">
        <v>23</v>
      </c>
      <c r="C79" s="514"/>
      <c r="D79" s="514"/>
      <c r="E79" s="514"/>
      <c r="F79" s="514"/>
      <c r="G79" s="514"/>
      <c r="H79" s="514"/>
      <c r="I79" s="514"/>
      <c r="J79" s="514">
        <v>0</v>
      </c>
      <c r="K79" s="514"/>
      <c r="L79" s="514">
        <v>0</v>
      </c>
      <c r="M79" s="514"/>
      <c r="N79" s="514"/>
      <c r="O79" s="514"/>
      <c r="P79" s="514"/>
      <c r="Q79" s="514"/>
      <c r="R79" s="514"/>
      <c r="S79" s="514"/>
      <c r="T79" s="515">
        <v>0</v>
      </c>
      <c r="U79" s="452"/>
      <c r="V79" s="430"/>
    </row>
    <row r="80" spans="1:22" s="431" customFormat="1" x14ac:dyDescent="0.3">
      <c r="A80" s="449"/>
      <c r="B80" s="450" t="s">
        <v>123</v>
      </c>
      <c r="C80" s="514"/>
      <c r="D80" s="514"/>
      <c r="E80" s="514"/>
      <c r="F80" s="514"/>
      <c r="G80" s="514"/>
      <c r="H80" s="514"/>
      <c r="I80" s="514"/>
      <c r="J80" s="514">
        <v>0</v>
      </c>
      <c r="K80" s="514"/>
      <c r="L80" s="514">
        <v>0</v>
      </c>
      <c r="M80" s="514"/>
      <c r="N80" s="514"/>
      <c r="O80" s="514"/>
      <c r="P80" s="514"/>
      <c r="Q80" s="514"/>
      <c r="R80" s="514"/>
      <c r="S80" s="514"/>
      <c r="T80" s="514">
        <f>SUM(J80:P80)</f>
        <v>0</v>
      </c>
      <c r="U80" s="452"/>
      <c r="V80" s="430"/>
    </row>
    <row r="81" spans="1:22" s="431" customFormat="1" x14ac:dyDescent="0.3">
      <c r="A81" s="449"/>
      <c r="B81" s="450" t="s">
        <v>152</v>
      </c>
      <c r="C81" s="514"/>
      <c r="D81" s="514"/>
      <c r="E81" s="514"/>
      <c r="F81" s="514"/>
      <c r="G81" s="514"/>
      <c r="H81" s="514"/>
      <c r="I81" s="514"/>
      <c r="J81" s="514">
        <v>1</v>
      </c>
      <c r="K81" s="514"/>
      <c r="L81" s="514">
        <v>0</v>
      </c>
      <c r="M81" s="514"/>
      <c r="N81" s="514">
        <v>0</v>
      </c>
      <c r="O81" s="514"/>
      <c r="P81" s="514"/>
      <c r="Q81" s="514"/>
      <c r="R81" s="514"/>
      <c r="S81" s="514"/>
      <c r="T81" s="514">
        <f>+L81+N81</f>
        <v>0</v>
      </c>
      <c r="U81" s="452"/>
      <c r="V81" s="430"/>
    </row>
    <row r="82" spans="1:22" s="431" customFormat="1" x14ac:dyDescent="0.3">
      <c r="A82" s="449"/>
      <c r="B82" s="450" t="s">
        <v>25</v>
      </c>
      <c r="C82" s="514"/>
      <c r="D82" s="514"/>
      <c r="E82" s="514"/>
      <c r="F82" s="514"/>
      <c r="G82" s="514"/>
      <c r="H82" s="514"/>
      <c r="I82" s="514"/>
      <c r="J82" s="514">
        <v>0</v>
      </c>
      <c r="K82" s="514"/>
      <c r="L82" s="514">
        <v>0</v>
      </c>
      <c r="M82" s="514"/>
      <c r="N82" s="514"/>
      <c r="O82" s="514"/>
      <c r="P82" s="514"/>
      <c r="Q82" s="514"/>
      <c r="R82" s="514"/>
      <c r="S82" s="514"/>
      <c r="T82" s="514">
        <v>0</v>
      </c>
      <c r="U82" s="452"/>
      <c r="V82" s="430"/>
    </row>
    <row r="83" spans="1:22" s="431" customFormat="1" x14ac:dyDescent="0.3">
      <c r="A83" s="449"/>
      <c r="B83" s="450" t="s">
        <v>26</v>
      </c>
      <c r="C83" s="514"/>
      <c r="D83" s="514"/>
      <c r="E83" s="514"/>
      <c r="F83" s="514"/>
      <c r="G83" s="514"/>
      <c r="H83" s="514"/>
      <c r="I83" s="514"/>
      <c r="J83" s="514">
        <f>SUM(J70:J82)</f>
        <v>1000050</v>
      </c>
      <c r="K83" s="514"/>
      <c r="L83" s="514">
        <f>SUM(L70:L82)</f>
        <v>358465</v>
      </c>
      <c r="M83" s="514"/>
      <c r="N83" s="514"/>
      <c r="O83" s="514"/>
      <c r="P83" s="514"/>
      <c r="Q83" s="514"/>
      <c r="R83" s="514"/>
      <c r="S83" s="514"/>
      <c r="T83" s="514">
        <f>SUM(T70:T82)</f>
        <v>350941</v>
      </c>
      <c r="U83" s="452"/>
      <c r="V83" s="430"/>
    </row>
    <row r="84" spans="1:22" x14ac:dyDescent="0.3">
      <c r="A84" s="418"/>
      <c r="B84" s="516"/>
      <c r="C84" s="517"/>
      <c r="D84" s="517"/>
      <c r="E84" s="517"/>
      <c r="F84" s="517"/>
      <c r="G84" s="517"/>
      <c r="H84" s="517"/>
      <c r="I84" s="517"/>
      <c r="J84" s="517"/>
      <c r="K84" s="517"/>
      <c r="L84" s="517"/>
      <c r="M84" s="517"/>
      <c r="N84" s="517"/>
      <c r="O84" s="517"/>
      <c r="P84" s="517"/>
      <c r="Q84" s="517"/>
      <c r="R84" s="517"/>
      <c r="S84" s="517"/>
      <c r="T84" s="518"/>
      <c r="U84" s="639"/>
      <c r="V84" s="416"/>
    </row>
    <row r="85" spans="1:22" x14ac:dyDescent="0.3">
      <c r="A85" s="418"/>
      <c r="B85" s="420"/>
      <c r="C85" s="420"/>
      <c r="D85" s="420"/>
      <c r="E85" s="420"/>
      <c r="F85" s="420"/>
      <c r="G85" s="420"/>
      <c r="H85" s="420"/>
      <c r="I85" s="420"/>
      <c r="J85" s="420"/>
      <c r="K85" s="420"/>
      <c r="L85" s="420"/>
      <c r="M85" s="420"/>
      <c r="N85" s="420"/>
      <c r="O85" s="420"/>
      <c r="P85" s="420"/>
      <c r="Q85" s="420"/>
      <c r="R85" s="420"/>
      <c r="S85" s="420"/>
      <c r="T85" s="420"/>
      <c r="U85" s="639"/>
      <c r="V85" s="416"/>
    </row>
    <row r="86" spans="1:22" x14ac:dyDescent="0.3">
      <c r="A86" s="442"/>
      <c r="B86" s="521" t="s">
        <v>27</v>
      </c>
      <c r="C86" s="521"/>
      <c r="D86" s="521"/>
      <c r="E86" s="521"/>
      <c r="F86" s="521"/>
      <c r="G86" s="521"/>
      <c r="H86" s="522"/>
      <c r="I86" s="522"/>
      <c r="J86" s="523" t="s">
        <v>98</v>
      </c>
      <c r="K86" s="522"/>
      <c r="L86" s="524">
        <f>+R196</f>
        <v>43921</v>
      </c>
      <c r="M86" s="522"/>
      <c r="N86" s="522"/>
      <c r="O86" s="522"/>
      <c r="P86" s="522"/>
      <c r="Q86" s="522"/>
      <c r="R86" s="522" t="s">
        <v>111</v>
      </c>
      <c r="S86" s="522"/>
      <c r="T86" s="522" t="s">
        <v>119</v>
      </c>
      <c r="U86" s="446"/>
      <c r="V86" s="416"/>
    </row>
    <row r="87" spans="1:22" s="431" customFormat="1" x14ac:dyDescent="0.3">
      <c r="A87" s="432"/>
      <c r="B87" s="447" t="s">
        <v>28</v>
      </c>
      <c r="C87" s="447"/>
      <c r="D87" s="447"/>
      <c r="E87" s="447"/>
      <c r="F87" s="447"/>
      <c r="G87" s="447"/>
      <c r="H87" s="447"/>
      <c r="I87" s="447"/>
      <c r="J87" s="447"/>
      <c r="K87" s="447"/>
      <c r="L87" s="447"/>
      <c r="M87" s="447"/>
      <c r="N87" s="447"/>
      <c r="O87" s="447"/>
      <c r="P87" s="447"/>
      <c r="Q87" s="447"/>
      <c r="R87" s="525">
        <v>0</v>
      </c>
      <c r="S87" s="447"/>
      <c r="T87" s="526">
        <v>0</v>
      </c>
      <c r="U87" s="641"/>
      <c r="V87" s="430"/>
    </row>
    <row r="88" spans="1:22" s="431" customFormat="1" x14ac:dyDescent="0.3">
      <c r="A88" s="449"/>
      <c r="B88" s="450" t="s">
        <v>29</v>
      </c>
      <c r="C88" s="450"/>
      <c r="D88" s="450"/>
      <c r="E88" s="450"/>
      <c r="F88" s="450"/>
      <c r="G88" s="450"/>
      <c r="H88" s="486"/>
      <c r="I88" s="527"/>
      <c r="J88" s="486"/>
      <c r="K88" s="450"/>
      <c r="L88" s="528"/>
      <c r="M88" s="450"/>
      <c r="N88" s="450"/>
      <c r="O88" s="450"/>
      <c r="P88" s="450"/>
      <c r="Q88" s="450"/>
      <c r="R88" s="514">
        <f>7524-12</f>
        <v>7512</v>
      </c>
      <c r="S88" s="450"/>
      <c r="T88" s="515"/>
      <c r="U88" s="452"/>
      <c r="V88" s="430"/>
    </row>
    <row r="89" spans="1:22" s="431" customFormat="1" x14ac:dyDescent="0.3">
      <c r="A89" s="449"/>
      <c r="B89" s="450" t="s">
        <v>225</v>
      </c>
      <c r="C89" s="450"/>
      <c r="D89" s="450"/>
      <c r="E89" s="450"/>
      <c r="F89" s="450"/>
      <c r="G89" s="450"/>
      <c r="H89" s="486"/>
      <c r="I89" s="527"/>
      <c r="J89" s="486"/>
      <c r="K89" s="450"/>
      <c r="L89" s="528"/>
      <c r="M89" s="450"/>
      <c r="N89" s="450"/>
      <c r="O89" s="450"/>
      <c r="P89" s="450"/>
      <c r="Q89" s="450"/>
      <c r="R89" s="514"/>
      <c r="S89" s="450"/>
      <c r="T89" s="515">
        <f>1522+1586-391-456</f>
        <v>2261</v>
      </c>
      <c r="U89" s="452"/>
      <c r="V89" s="430"/>
    </row>
    <row r="90" spans="1:22" s="431" customFormat="1" x14ac:dyDescent="0.3">
      <c r="A90" s="449"/>
      <c r="B90" s="450" t="s">
        <v>220</v>
      </c>
      <c r="C90" s="450"/>
      <c r="D90" s="450"/>
      <c r="E90" s="450"/>
      <c r="F90" s="450"/>
      <c r="G90" s="450"/>
      <c r="H90" s="486"/>
      <c r="I90" s="527"/>
      <c r="J90" s="486"/>
      <c r="K90" s="450"/>
      <c r="L90" s="528"/>
      <c r="M90" s="450"/>
      <c r="N90" s="450"/>
      <c r="O90" s="450"/>
      <c r="P90" s="450"/>
      <c r="Q90" s="450"/>
      <c r="R90" s="514"/>
      <c r="S90" s="450"/>
      <c r="T90" s="515">
        <f>13+23</f>
        <v>36</v>
      </c>
      <c r="U90" s="452"/>
      <c r="V90" s="430"/>
    </row>
    <row r="91" spans="1:22" s="431" customFormat="1" x14ac:dyDescent="0.3">
      <c r="A91" s="449"/>
      <c r="B91" s="450" t="s">
        <v>221</v>
      </c>
      <c r="C91" s="450"/>
      <c r="D91" s="450"/>
      <c r="E91" s="450"/>
      <c r="F91" s="450"/>
      <c r="G91" s="450"/>
      <c r="H91" s="486"/>
      <c r="I91" s="527"/>
      <c r="J91" s="486"/>
      <c r="K91" s="450"/>
      <c r="L91" s="528"/>
      <c r="M91" s="450"/>
      <c r="N91" s="450"/>
      <c r="O91" s="450"/>
      <c r="P91" s="450"/>
      <c r="Q91" s="450"/>
      <c r="R91" s="514"/>
      <c r="S91" s="450"/>
      <c r="T91" s="515">
        <v>43</v>
      </c>
      <c r="U91" s="452"/>
      <c r="V91" s="430"/>
    </row>
    <row r="92" spans="1:22" s="431" customFormat="1" x14ac:dyDescent="0.3">
      <c r="A92" s="449"/>
      <c r="B92" s="450" t="s">
        <v>261</v>
      </c>
      <c r="C92" s="450"/>
      <c r="D92" s="450"/>
      <c r="E92" s="450"/>
      <c r="F92" s="450"/>
      <c r="G92" s="450"/>
      <c r="H92" s="486"/>
      <c r="I92" s="527"/>
      <c r="J92" s="486"/>
      <c r="K92" s="450"/>
      <c r="L92" s="528"/>
      <c r="M92" s="450"/>
      <c r="N92" s="450"/>
      <c r="O92" s="450"/>
      <c r="P92" s="450"/>
      <c r="Q92" s="450"/>
      <c r="R92" s="514"/>
      <c r="S92" s="450"/>
      <c r="T92" s="515">
        <v>0</v>
      </c>
      <c r="U92" s="452"/>
      <c r="V92" s="430"/>
    </row>
    <row r="93" spans="1:22" s="431" customFormat="1" x14ac:dyDescent="0.3">
      <c r="A93" s="449"/>
      <c r="B93" s="450" t="s">
        <v>141</v>
      </c>
      <c r="C93" s="450"/>
      <c r="D93" s="450"/>
      <c r="E93" s="450"/>
      <c r="F93" s="450"/>
      <c r="G93" s="450"/>
      <c r="H93" s="450"/>
      <c r="I93" s="450"/>
      <c r="J93" s="450"/>
      <c r="K93" s="450"/>
      <c r="L93" s="450"/>
      <c r="M93" s="450"/>
      <c r="N93" s="450"/>
      <c r="O93" s="450"/>
      <c r="P93" s="450"/>
      <c r="Q93" s="450"/>
      <c r="R93" s="514"/>
      <c r="S93" s="450"/>
      <c r="T93" s="515">
        <v>0</v>
      </c>
      <c r="U93" s="452"/>
      <c r="V93" s="430"/>
    </row>
    <row r="94" spans="1:22" s="431" customFormat="1" x14ac:dyDescent="0.3">
      <c r="A94" s="449"/>
      <c r="B94" s="450" t="s">
        <v>250</v>
      </c>
      <c r="C94" s="450"/>
      <c r="D94" s="450"/>
      <c r="E94" s="450"/>
      <c r="F94" s="450"/>
      <c r="G94" s="450"/>
      <c r="H94" s="450"/>
      <c r="I94" s="450"/>
      <c r="J94" s="450"/>
      <c r="K94" s="450"/>
      <c r="L94" s="450"/>
      <c r="M94" s="450"/>
      <c r="N94" s="450"/>
      <c r="O94" s="450"/>
      <c r="P94" s="450"/>
      <c r="Q94" s="450"/>
      <c r="R94" s="514"/>
      <c r="S94" s="450"/>
      <c r="T94" s="515">
        <v>82</v>
      </c>
      <c r="U94" s="452"/>
      <c r="V94" s="430"/>
    </row>
    <row r="95" spans="1:22" s="431" customFormat="1" x14ac:dyDescent="0.3">
      <c r="A95" s="449"/>
      <c r="B95" s="450" t="s">
        <v>30</v>
      </c>
      <c r="C95" s="450"/>
      <c r="D95" s="450"/>
      <c r="E95" s="450"/>
      <c r="F95" s="450"/>
      <c r="G95" s="450"/>
      <c r="H95" s="450"/>
      <c r="I95" s="450"/>
      <c r="J95" s="450"/>
      <c r="K95" s="450"/>
      <c r="L95" s="450"/>
      <c r="M95" s="450"/>
      <c r="N95" s="450"/>
      <c r="O95" s="450"/>
      <c r="P95" s="450"/>
      <c r="Q95" s="450"/>
      <c r="R95" s="514">
        <f>SUM(R87:R94)</f>
        <v>7512</v>
      </c>
      <c r="S95" s="450"/>
      <c r="T95" s="514">
        <f>SUM(T87:T94)</f>
        <v>2422</v>
      </c>
      <c r="U95" s="452"/>
      <c r="V95" s="430"/>
    </row>
    <row r="96" spans="1:22" s="431" customFormat="1" x14ac:dyDescent="0.3">
      <c r="A96" s="449"/>
      <c r="B96" s="450" t="s">
        <v>168</v>
      </c>
      <c r="C96" s="450"/>
      <c r="D96" s="450"/>
      <c r="E96" s="450"/>
      <c r="F96" s="450"/>
      <c r="G96" s="450"/>
      <c r="H96" s="450"/>
      <c r="I96" s="450"/>
      <c r="J96" s="450"/>
      <c r="K96" s="450"/>
      <c r="L96" s="450"/>
      <c r="M96" s="450"/>
      <c r="N96" s="450"/>
      <c r="O96" s="450"/>
      <c r="P96" s="450"/>
      <c r="Q96" s="450"/>
      <c r="R96" s="514">
        <v>0</v>
      </c>
      <c r="S96" s="450"/>
      <c r="T96" s="514">
        <f>-R96</f>
        <v>0</v>
      </c>
      <c r="U96" s="452"/>
      <c r="V96" s="430"/>
    </row>
    <row r="97" spans="1:24" s="431" customFormat="1" x14ac:dyDescent="0.3">
      <c r="A97" s="449"/>
      <c r="B97" s="450" t="s">
        <v>31</v>
      </c>
      <c r="C97" s="450"/>
      <c r="D97" s="450"/>
      <c r="E97" s="450"/>
      <c r="F97" s="450"/>
      <c r="G97" s="450"/>
      <c r="H97" s="450"/>
      <c r="I97" s="450"/>
      <c r="J97" s="450"/>
      <c r="K97" s="450"/>
      <c r="L97" s="450"/>
      <c r="M97" s="450"/>
      <c r="N97" s="450"/>
      <c r="O97" s="450"/>
      <c r="P97" s="450"/>
      <c r="Q97" s="450"/>
      <c r="R97" s="514">
        <f>-T97</f>
        <v>0</v>
      </c>
      <c r="S97" s="450"/>
      <c r="T97" s="515">
        <v>0</v>
      </c>
      <c r="U97" s="452"/>
      <c r="V97" s="430"/>
    </row>
    <row r="98" spans="1:24" s="431" customFormat="1" x14ac:dyDescent="0.3">
      <c r="A98" s="449"/>
      <c r="B98" s="450" t="s">
        <v>273</v>
      </c>
      <c r="C98" s="450"/>
      <c r="D98" s="450"/>
      <c r="E98" s="450"/>
      <c r="F98" s="450"/>
      <c r="G98" s="450"/>
      <c r="H98" s="450"/>
      <c r="I98" s="450"/>
      <c r="J98" s="450"/>
      <c r="K98" s="450"/>
      <c r="L98" s="450"/>
      <c r="M98" s="450"/>
      <c r="N98" s="450"/>
      <c r="O98" s="450"/>
      <c r="P98" s="450"/>
      <c r="Q98" s="450"/>
      <c r="R98" s="514"/>
      <c r="S98" s="450"/>
      <c r="T98" s="515">
        <v>3</v>
      </c>
      <c r="U98" s="452"/>
      <c r="V98" s="430"/>
    </row>
    <row r="99" spans="1:24" s="431" customFormat="1" x14ac:dyDescent="0.3">
      <c r="A99" s="449"/>
      <c r="B99" s="450" t="s">
        <v>32</v>
      </c>
      <c r="C99" s="450"/>
      <c r="D99" s="450"/>
      <c r="E99" s="450"/>
      <c r="F99" s="450"/>
      <c r="G99" s="450"/>
      <c r="H99" s="450"/>
      <c r="I99" s="450"/>
      <c r="J99" s="450"/>
      <c r="K99" s="450"/>
      <c r="L99" s="450"/>
      <c r="M99" s="450"/>
      <c r="N99" s="450"/>
      <c r="O99" s="450"/>
      <c r="P99" s="450"/>
      <c r="Q99" s="450"/>
      <c r="R99" s="514">
        <f>R95+R97+R96</f>
        <v>7512</v>
      </c>
      <c r="S99" s="450"/>
      <c r="T99" s="514">
        <f>T95+T97+T96+T98</f>
        <v>2425</v>
      </c>
      <c r="U99" s="452"/>
      <c r="V99" s="430"/>
    </row>
    <row r="100" spans="1:24" x14ac:dyDescent="0.3">
      <c r="A100" s="468"/>
      <c r="B100" s="529" t="s">
        <v>33</v>
      </c>
      <c r="C100" s="470"/>
      <c r="D100" s="470"/>
      <c r="E100" s="470"/>
      <c r="F100" s="470"/>
      <c r="G100" s="470"/>
      <c r="H100" s="470"/>
      <c r="I100" s="470"/>
      <c r="J100" s="470"/>
      <c r="K100" s="470"/>
      <c r="L100" s="470"/>
      <c r="M100" s="470"/>
      <c r="N100" s="470"/>
      <c r="O100" s="470"/>
      <c r="P100" s="470"/>
      <c r="Q100" s="470"/>
      <c r="R100" s="530"/>
      <c r="S100" s="470"/>
      <c r="T100" s="531"/>
      <c r="U100" s="476"/>
      <c r="V100" s="416"/>
    </row>
    <row r="101" spans="1:24" s="431" customFormat="1" x14ac:dyDescent="0.3">
      <c r="A101" s="449">
        <v>1</v>
      </c>
      <c r="B101" s="450" t="s">
        <v>34</v>
      </c>
      <c r="C101" s="450"/>
      <c r="D101" s="450"/>
      <c r="E101" s="450"/>
      <c r="F101" s="450"/>
      <c r="G101" s="450"/>
      <c r="H101" s="450"/>
      <c r="I101" s="450"/>
      <c r="J101" s="450"/>
      <c r="K101" s="450"/>
      <c r="L101" s="450"/>
      <c r="M101" s="450"/>
      <c r="N101" s="450"/>
      <c r="O101" s="450"/>
      <c r="P101" s="450"/>
      <c r="Q101" s="450"/>
      <c r="R101" s="450"/>
      <c r="S101" s="450"/>
      <c r="T101" s="515">
        <v>0</v>
      </c>
      <c r="U101" s="452"/>
      <c r="V101" s="430"/>
    </row>
    <row r="102" spans="1:24" s="431" customFormat="1" x14ac:dyDescent="0.3">
      <c r="A102" s="449">
        <f>+A101+1</f>
        <v>2</v>
      </c>
      <c r="B102" s="450" t="s">
        <v>312</v>
      </c>
      <c r="C102" s="450"/>
      <c r="D102" s="450"/>
      <c r="E102" s="450"/>
      <c r="F102" s="450"/>
      <c r="G102" s="450"/>
      <c r="H102" s="450"/>
      <c r="I102" s="450"/>
      <c r="J102" s="450"/>
      <c r="K102" s="450"/>
      <c r="L102" s="450"/>
      <c r="M102" s="450"/>
      <c r="N102" s="450"/>
      <c r="O102" s="450"/>
      <c r="P102" s="450"/>
      <c r="Q102" s="450"/>
      <c r="R102" s="450"/>
      <c r="S102" s="450"/>
      <c r="T102" s="515">
        <v>-2</v>
      </c>
      <c r="U102" s="452"/>
      <c r="V102" s="430"/>
    </row>
    <row r="103" spans="1:24" s="431" customFormat="1" x14ac:dyDescent="0.3">
      <c r="A103" s="449">
        <f>+A102+1</f>
        <v>3</v>
      </c>
      <c r="B103" s="532" t="s">
        <v>314</v>
      </c>
      <c r="C103" s="450"/>
      <c r="D103" s="450"/>
      <c r="E103" s="450"/>
      <c r="F103" s="450"/>
      <c r="G103" s="450"/>
      <c r="H103" s="450"/>
      <c r="I103" s="450"/>
      <c r="J103" s="450"/>
      <c r="K103" s="450"/>
      <c r="L103" s="450"/>
      <c r="M103" s="450"/>
      <c r="N103" s="450"/>
      <c r="O103" s="450"/>
      <c r="P103" s="450"/>
      <c r="Q103" s="450"/>
      <c r="R103" s="450"/>
      <c r="S103" s="450"/>
      <c r="T103" s="515">
        <f>-137-42-5</f>
        <v>-184</v>
      </c>
      <c r="U103" s="452"/>
      <c r="V103" s="430"/>
    </row>
    <row r="104" spans="1:24" s="431" customFormat="1" x14ac:dyDescent="0.3">
      <c r="A104" s="449" t="s">
        <v>133</v>
      </c>
      <c r="B104" s="450" t="s">
        <v>122</v>
      </c>
      <c r="C104" s="450"/>
      <c r="D104" s="450"/>
      <c r="E104" s="450"/>
      <c r="F104" s="450"/>
      <c r="G104" s="450"/>
      <c r="H104" s="450"/>
      <c r="I104" s="450"/>
      <c r="J104" s="450"/>
      <c r="K104" s="450"/>
      <c r="L104" s="450"/>
      <c r="M104" s="450"/>
      <c r="N104" s="450"/>
      <c r="O104" s="450"/>
      <c r="P104" s="450"/>
      <c r="Q104" s="450"/>
      <c r="R104" s="450"/>
      <c r="S104" s="450"/>
      <c r="T104" s="515">
        <v>0</v>
      </c>
      <c r="U104" s="452"/>
      <c r="V104" s="430"/>
    </row>
    <row r="105" spans="1:24" s="431" customFormat="1" x14ac:dyDescent="0.3">
      <c r="A105" s="449" t="s">
        <v>134</v>
      </c>
      <c r="B105" s="450" t="s">
        <v>348</v>
      </c>
      <c r="C105" s="450"/>
      <c r="D105" s="450"/>
      <c r="E105" s="450"/>
      <c r="F105" s="450"/>
      <c r="G105" s="450"/>
      <c r="H105" s="450"/>
      <c r="I105" s="450"/>
      <c r="J105" s="450"/>
      <c r="K105" s="450"/>
      <c r="L105" s="450"/>
      <c r="M105" s="450"/>
      <c r="N105" s="450"/>
      <c r="O105" s="450"/>
      <c r="P105" s="450"/>
      <c r="Q105" s="450"/>
      <c r="R105" s="450"/>
      <c r="S105" s="450"/>
      <c r="T105" s="515">
        <f>-354-109</f>
        <v>-463</v>
      </c>
      <c r="U105" s="452"/>
      <c r="V105" s="430"/>
      <c r="W105" s="533"/>
    </row>
    <row r="106" spans="1:24" s="431" customFormat="1" x14ac:dyDescent="0.3">
      <c r="A106" s="449" t="s">
        <v>156</v>
      </c>
      <c r="B106" s="450" t="s">
        <v>349</v>
      </c>
      <c r="C106" s="450"/>
      <c r="D106" s="450"/>
      <c r="E106" s="450"/>
      <c r="F106" s="450"/>
      <c r="G106" s="450"/>
      <c r="H106" s="450"/>
      <c r="I106" s="450"/>
      <c r="J106" s="450"/>
      <c r="K106" s="450"/>
      <c r="L106" s="450"/>
      <c r="M106" s="450"/>
      <c r="N106" s="450"/>
      <c r="O106" s="450"/>
      <c r="P106" s="450"/>
      <c r="Q106" s="450"/>
      <c r="R106" s="450"/>
      <c r="S106" s="450"/>
      <c r="T106" s="515">
        <v>-110</v>
      </c>
      <c r="U106" s="452"/>
      <c r="V106" s="430"/>
      <c r="W106" s="533"/>
    </row>
    <row r="107" spans="1:24" s="431" customFormat="1" x14ac:dyDescent="0.3">
      <c r="A107" s="449" t="s">
        <v>214</v>
      </c>
      <c r="B107" s="450" t="s">
        <v>192</v>
      </c>
      <c r="C107" s="450"/>
      <c r="D107" s="450"/>
      <c r="E107" s="450"/>
      <c r="F107" s="450"/>
      <c r="G107" s="450"/>
      <c r="H107" s="450"/>
      <c r="I107" s="450"/>
      <c r="J107" s="450"/>
      <c r="K107" s="450"/>
      <c r="L107" s="450"/>
      <c r="M107" s="450"/>
      <c r="N107" s="450"/>
      <c r="O107" s="450"/>
      <c r="P107" s="450"/>
      <c r="Q107" s="450"/>
      <c r="R107" s="450"/>
      <c r="S107" s="450"/>
      <c r="T107" s="515">
        <v>-125</v>
      </c>
      <c r="U107" s="452"/>
      <c r="V107" s="430"/>
      <c r="W107" s="533"/>
      <c r="X107" s="533"/>
    </row>
    <row r="108" spans="1:24" s="431" customFormat="1" x14ac:dyDescent="0.3">
      <c r="A108" s="449" t="s">
        <v>215</v>
      </c>
      <c r="B108" s="450" t="s">
        <v>193</v>
      </c>
      <c r="C108" s="450"/>
      <c r="D108" s="450"/>
      <c r="E108" s="450"/>
      <c r="F108" s="450"/>
      <c r="G108" s="450"/>
      <c r="H108" s="450"/>
      <c r="I108" s="450"/>
      <c r="J108" s="450"/>
      <c r="K108" s="450"/>
      <c r="L108" s="450"/>
      <c r="M108" s="450"/>
      <c r="N108" s="450"/>
      <c r="O108" s="450"/>
      <c r="P108" s="450"/>
      <c r="Q108" s="450"/>
      <c r="R108" s="450"/>
      <c r="S108" s="450"/>
      <c r="T108" s="515">
        <v>-35</v>
      </c>
      <c r="U108" s="452"/>
      <c r="V108" s="534"/>
      <c r="W108" s="533"/>
    </row>
    <row r="109" spans="1:24" s="431" customFormat="1" x14ac:dyDescent="0.3">
      <c r="A109" s="449" t="s">
        <v>216</v>
      </c>
      <c r="B109" s="450" t="s">
        <v>204</v>
      </c>
      <c r="C109" s="450"/>
      <c r="D109" s="450"/>
      <c r="E109" s="450"/>
      <c r="F109" s="450"/>
      <c r="G109" s="450"/>
      <c r="H109" s="450"/>
      <c r="I109" s="450"/>
      <c r="J109" s="450"/>
      <c r="K109" s="450"/>
      <c r="L109" s="450"/>
      <c r="M109" s="450"/>
      <c r="N109" s="450"/>
      <c r="O109" s="450"/>
      <c r="P109" s="450"/>
      <c r="Q109" s="450"/>
      <c r="R109" s="450"/>
      <c r="S109" s="450"/>
      <c r="T109" s="515">
        <v>-184</v>
      </c>
      <c r="U109" s="452"/>
      <c r="V109" s="430"/>
      <c r="W109" s="533"/>
    </row>
    <row r="110" spans="1:24" s="431" customFormat="1" x14ac:dyDescent="0.3">
      <c r="A110" s="535">
        <v>7</v>
      </c>
      <c r="B110" s="532" t="s">
        <v>313</v>
      </c>
      <c r="C110" s="532"/>
      <c r="D110" s="532"/>
      <c r="E110" s="532"/>
      <c r="F110" s="532"/>
      <c r="G110" s="450"/>
      <c r="H110" s="450"/>
      <c r="I110" s="450"/>
      <c r="J110" s="450"/>
      <c r="K110" s="450"/>
      <c r="L110" s="450"/>
      <c r="M110" s="450"/>
      <c r="N110" s="450"/>
      <c r="O110" s="450"/>
      <c r="P110" s="450"/>
      <c r="Q110" s="450"/>
      <c r="R110" s="450"/>
      <c r="S110" s="450"/>
      <c r="T110" s="515">
        <v>0</v>
      </c>
      <c r="U110" s="452"/>
      <c r="V110" s="430"/>
      <c r="W110" s="533"/>
    </row>
    <row r="111" spans="1:24" s="431" customFormat="1" x14ac:dyDescent="0.3">
      <c r="A111" s="449">
        <f t="shared" ref="A111:A120" si="0">+A110+1</f>
        <v>8</v>
      </c>
      <c r="B111" s="450" t="s">
        <v>35</v>
      </c>
      <c r="C111" s="450"/>
      <c r="D111" s="450"/>
      <c r="E111" s="450"/>
      <c r="F111" s="450"/>
      <c r="G111" s="450"/>
      <c r="H111" s="450"/>
      <c r="I111" s="450"/>
      <c r="J111" s="450"/>
      <c r="K111" s="450"/>
      <c r="L111" s="450"/>
      <c r="M111" s="450"/>
      <c r="N111" s="450"/>
      <c r="O111" s="450"/>
      <c r="P111" s="450"/>
      <c r="Q111" s="450"/>
      <c r="R111" s="450"/>
      <c r="S111" s="450"/>
      <c r="T111" s="515">
        <v>-10</v>
      </c>
      <c r="U111" s="452"/>
      <c r="V111" s="430"/>
    </row>
    <row r="112" spans="1:24" s="431" customFormat="1" x14ac:dyDescent="0.3">
      <c r="A112" s="449">
        <f t="shared" si="0"/>
        <v>9</v>
      </c>
      <c r="B112" s="450" t="s">
        <v>46</v>
      </c>
      <c r="C112" s="450"/>
      <c r="D112" s="450"/>
      <c r="E112" s="450"/>
      <c r="F112" s="450"/>
      <c r="G112" s="450"/>
      <c r="H112" s="450"/>
      <c r="I112" s="450"/>
      <c r="J112" s="450"/>
      <c r="K112" s="450"/>
      <c r="L112" s="450"/>
      <c r="M112" s="450"/>
      <c r="N112" s="450"/>
      <c r="O112" s="450"/>
      <c r="P112" s="450"/>
      <c r="Q112" s="450"/>
      <c r="R112" s="514">
        <f>-T112</f>
        <v>12</v>
      </c>
      <c r="S112" s="450"/>
      <c r="T112" s="515">
        <v>-12</v>
      </c>
      <c r="U112" s="452"/>
      <c r="V112" s="430"/>
    </row>
    <row r="113" spans="1:22" s="431" customFormat="1" x14ac:dyDescent="0.3">
      <c r="A113" s="449">
        <f t="shared" si="0"/>
        <v>10</v>
      </c>
      <c r="B113" s="450" t="s">
        <v>131</v>
      </c>
      <c r="C113" s="450"/>
      <c r="D113" s="450"/>
      <c r="E113" s="450"/>
      <c r="F113" s="450"/>
      <c r="G113" s="450"/>
      <c r="H113" s="450"/>
      <c r="I113" s="450"/>
      <c r="J113" s="450"/>
      <c r="K113" s="450"/>
      <c r="L113" s="450"/>
      <c r="M113" s="450"/>
      <c r="N113" s="450"/>
      <c r="O113" s="450"/>
      <c r="P113" s="450"/>
      <c r="Q113" s="450"/>
      <c r="R113" s="450"/>
      <c r="S113" s="450"/>
      <c r="T113" s="515">
        <v>0</v>
      </c>
      <c r="U113" s="452"/>
      <c r="V113" s="430"/>
    </row>
    <row r="114" spans="1:22" s="431" customFormat="1" x14ac:dyDescent="0.3">
      <c r="A114" s="449">
        <f t="shared" si="0"/>
        <v>11</v>
      </c>
      <c r="B114" s="450" t="s">
        <v>36</v>
      </c>
      <c r="C114" s="450"/>
      <c r="D114" s="450"/>
      <c r="E114" s="450"/>
      <c r="F114" s="450"/>
      <c r="G114" s="450"/>
      <c r="H114" s="450"/>
      <c r="I114" s="450"/>
      <c r="J114" s="450"/>
      <c r="K114" s="450"/>
      <c r="L114" s="450"/>
      <c r="M114" s="450"/>
      <c r="N114" s="450"/>
      <c r="O114" s="450"/>
      <c r="P114" s="450"/>
      <c r="Q114" s="450"/>
      <c r="R114" s="450"/>
      <c r="S114" s="450"/>
      <c r="T114" s="515">
        <v>0</v>
      </c>
      <c r="U114" s="452"/>
      <c r="V114" s="430"/>
    </row>
    <row r="115" spans="1:22" s="431" customFormat="1" x14ac:dyDescent="0.3">
      <c r="A115" s="449">
        <f t="shared" si="0"/>
        <v>12</v>
      </c>
      <c r="B115" s="450" t="s">
        <v>37</v>
      </c>
      <c r="C115" s="450"/>
      <c r="D115" s="450"/>
      <c r="E115" s="450"/>
      <c r="F115" s="450"/>
      <c r="G115" s="450"/>
      <c r="H115" s="450"/>
      <c r="I115" s="450"/>
      <c r="J115" s="450"/>
      <c r="K115" s="450"/>
      <c r="L115" s="450"/>
      <c r="M115" s="450"/>
      <c r="N115" s="450"/>
      <c r="O115" s="450"/>
      <c r="P115" s="450"/>
      <c r="Q115" s="450"/>
      <c r="R115" s="450"/>
      <c r="S115" s="450"/>
      <c r="T115" s="515">
        <v>0</v>
      </c>
      <c r="U115" s="452"/>
      <c r="V115" s="430"/>
    </row>
    <row r="116" spans="1:22" s="431" customFormat="1" x14ac:dyDescent="0.3">
      <c r="A116" s="449">
        <f t="shared" si="0"/>
        <v>13</v>
      </c>
      <c r="B116" s="450" t="s">
        <v>155</v>
      </c>
      <c r="C116" s="450"/>
      <c r="D116" s="450"/>
      <c r="E116" s="450"/>
      <c r="F116" s="450"/>
      <c r="G116" s="450"/>
      <c r="H116" s="450"/>
      <c r="I116" s="450"/>
      <c r="J116" s="450"/>
      <c r="K116" s="450"/>
      <c r="L116" s="450"/>
      <c r="M116" s="450"/>
      <c r="N116" s="450"/>
      <c r="O116" s="450"/>
      <c r="P116" s="450"/>
      <c r="Q116" s="450"/>
      <c r="R116" s="450"/>
      <c r="S116" s="450"/>
      <c r="T116" s="515">
        <v>-136</v>
      </c>
      <c r="U116" s="452"/>
      <c r="V116" s="430"/>
    </row>
    <row r="117" spans="1:22" s="431" customFormat="1" x14ac:dyDescent="0.3">
      <c r="A117" s="449">
        <f t="shared" si="0"/>
        <v>14</v>
      </c>
      <c r="B117" s="648" t="s">
        <v>368</v>
      </c>
      <c r="C117" s="450"/>
      <c r="D117" s="450"/>
      <c r="E117" s="450"/>
      <c r="F117" s="450"/>
      <c r="G117" s="450"/>
      <c r="H117" s="450"/>
      <c r="I117" s="450"/>
      <c r="J117" s="450"/>
      <c r="K117" s="450"/>
      <c r="L117" s="450"/>
      <c r="M117" s="450"/>
      <c r="N117" s="450"/>
      <c r="O117" s="450"/>
      <c r="P117" s="450"/>
      <c r="Q117" s="450"/>
      <c r="R117" s="450"/>
      <c r="S117" s="450"/>
      <c r="T117" s="515">
        <v>-224</v>
      </c>
      <c r="U117" s="452"/>
      <c r="V117" s="430"/>
    </row>
    <row r="118" spans="1:22" s="431" customFormat="1" x14ac:dyDescent="0.3">
      <c r="A118" s="449">
        <f t="shared" si="0"/>
        <v>15</v>
      </c>
      <c r="B118" s="649" t="s">
        <v>369</v>
      </c>
      <c r="C118" s="450"/>
      <c r="D118" s="450"/>
      <c r="E118" s="450"/>
      <c r="F118" s="450"/>
      <c r="G118" s="450"/>
      <c r="H118" s="450"/>
      <c r="I118" s="450"/>
      <c r="J118" s="450"/>
      <c r="K118" s="450"/>
      <c r="L118" s="450"/>
      <c r="M118" s="450"/>
      <c r="N118" s="450"/>
      <c r="O118" s="450"/>
      <c r="P118" s="450"/>
      <c r="Q118" s="450"/>
      <c r="R118" s="450"/>
      <c r="S118" s="450"/>
      <c r="T118" s="515">
        <v>-82</v>
      </c>
      <c r="U118" s="452"/>
      <c r="V118" s="430"/>
    </row>
    <row r="119" spans="1:22" s="431" customFormat="1" x14ac:dyDescent="0.3">
      <c r="A119" s="449">
        <f t="shared" si="0"/>
        <v>16</v>
      </c>
      <c r="B119" s="649" t="s">
        <v>370</v>
      </c>
      <c r="C119" s="450"/>
      <c r="D119" s="450"/>
      <c r="E119" s="450"/>
      <c r="F119" s="450"/>
      <c r="G119" s="450"/>
      <c r="H119" s="450"/>
      <c r="I119" s="450"/>
      <c r="J119" s="450"/>
      <c r="K119" s="450"/>
      <c r="L119" s="450"/>
      <c r="M119" s="450"/>
      <c r="N119" s="450"/>
      <c r="O119" s="450"/>
      <c r="P119" s="450"/>
      <c r="Q119" s="450"/>
      <c r="R119" s="450"/>
      <c r="S119" s="450"/>
      <c r="T119" s="515">
        <v>0</v>
      </c>
      <c r="U119" s="452"/>
      <c r="V119" s="430"/>
    </row>
    <row r="120" spans="1:22" s="431" customFormat="1" x14ac:dyDescent="0.3">
      <c r="A120" s="449">
        <f t="shared" si="0"/>
        <v>17</v>
      </c>
      <c r="B120" s="649" t="s">
        <v>371</v>
      </c>
      <c r="C120" s="450"/>
      <c r="D120" s="450"/>
      <c r="E120" s="450"/>
      <c r="F120" s="450"/>
      <c r="G120" s="450"/>
      <c r="H120" s="450"/>
      <c r="I120" s="450"/>
      <c r="J120" s="450"/>
      <c r="K120" s="450"/>
      <c r="L120" s="450"/>
      <c r="M120" s="450"/>
      <c r="N120" s="450"/>
      <c r="O120" s="450"/>
      <c r="P120" s="450"/>
      <c r="Q120" s="450"/>
      <c r="R120" s="450"/>
      <c r="S120" s="450"/>
      <c r="T120" s="515">
        <f>-T99-SUM(T101:T119)</f>
        <v>-858</v>
      </c>
      <c r="U120" s="452"/>
      <c r="V120" s="430"/>
    </row>
    <row r="121" spans="1:22" x14ac:dyDescent="0.3">
      <c r="A121" s="468"/>
      <c r="B121" s="529" t="s">
        <v>38</v>
      </c>
      <c r="C121" s="470"/>
      <c r="D121" s="470"/>
      <c r="E121" s="470"/>
      <c r="F121" s="470"/>
      <c r="G121" s="470"/>
      <c r="H121" s="470"/>
      <c r="I121" s="470"/>
      <c r="J121" s="470"/>
      <c r="K121" s="470"/>
      <c r="L121" s="470"/>
      <c r="M121" s="470"/>
      <c r="N121" s="470"/>
      <c r="O121" s="470"/>
      <c r="P121" s="470"/>
      <c r="Q121" s="470"/>
      <c r="R121" s="470"/>
      <c r="S121" s="470"/>
      <c r="T121" s="536"/>
      <c r="U121" s="476"/>
      <c r="V121" s="416"/>
    </row>
    <row r="122" spans="1:22" s="431" customFormat="1" x14ac:dyDescent="0.3">
      <c r="A122" s="449"/>
      <c r="B122" s="450" t="s">
        <v>180</v>
      </c>
      <c r="C122" s="450"/>
      <c r="D122" s="450"/>
      <c r="E122" s="450"/>
      <c r="F122" s="450"/>
      <c r="G122" s="450"/>
      <c r="H122" s="450"/>
      <c r="I122" s="450"/>
      <c r="J122" s="450"/>
      <c r="K122" s="450"/>
      <c r="L122" s="450"/>
      <c r="M122" s="450"/>
      <c r="N122" s="450"/>
      <c r="O122" s="450"/>
      <c r="P122" s="450"/>
      <c r="Q122" s="450"/>
      <c r="R122" s="514">
        <f>-R180</f>
        <v>0</v>
      </c>
      <c r="S122" s="514"/>
      <c r="T122" s="515"/>
      <c r="U122" s="452"/>
      <c r="V122" s="430"/>
    </row>
    <row r="123" spans="1:22" s="431" customFormat="1" x14ac:dyDescent="0.3">
      <c r="A123" s="449"/>
      <c r="B123" s="450" t="s">
        <v>181</v>
      </c>
      <c r="C123" s="450"/>
      <c r="D123" s="450"/>
      <c r="E123" s="450"/>
      <c r="F123" s="450"/>
      <c r="G123" s="450"/>
      <c r="H123" s="450"/>
      <c r="I123" s="450"/>
      <c r="J123" s="450"/>
      <c r="K123" s="450"/>
      <c r="L123" s="450"/>
      <c r="M123" s="450"/>
      <c r="N123" s="450"/>
      <c r="O123" s="450"/>
      <c r="P123" s="450"/>
      <c r="Q123" s="450"/>
      <c r="R123" s="514">
        <v>0</v>
      </c>
      <c r="S123" s="514"/>
      <c r="T123" s="515"/>
      <c r="U123" s="452"/>
      <c r="V123" s="430"/>
    </row>
    <row r="124" spans="1:22" s="431" customFormat="1" x14ac:dyDescent="0.3">
      <c r="A124" s="449"/>
      <c r="B124" s="450" t="s">
        <v>39</v>
      </c>
      <c r="C124" s="450"/>
      <c r="D124" s="450"/>
      <c r="E124" s="450"/>
      <c r="F124" s="450"/>
      <c r="G124" s="450"/>
      <c r="H124" s="450"/>
      <c r="I124" s="450"/>
      <c r="J124" s="450"/>
      <c r="K124" s="450"/>
      <c r="L124" s="450"/>
      <c r="M124" s="450"/>
      <c r="N124" s="450"/>
      <c r="O124" s="450"/>
      <c r="P124" s="450"/>
      <c r="Q124" s="450"/>
      <c r="R124" s="514">
        <f>-Q180</f>
        <v>0</v>
      </c>
      <c r="S124" s="514"/>
      <c r="T124" s="515"/>
      <c r="U124" s="452"/>
      <c r="V124" s="430"/>
    </row>
    <row r="125" spans="1:22" s="431" customFormat="1" x14ac:dyDescent="0.3">
      <c r="A125" s="449"/>
      <c r="B125" s="450" t="s">
        <v>372</v>
      </c>
      <c r="C125" s="450"/>
      <c r="D125" s="450"/>
      <c r="E125" s="450"/>
      <c r="F125" s="450"/>
      <c r="G125" s="450"/>
      <c r="H125" s="450"/>
      <c r="I125" s="450"/>
      <c r="J125" s="450"/>
      <c r="K125" s="450"/>
      <c r="L125" s="450"/>
      <c r="M125" s="450"/>
      <c r="N125" s="450"/>
      <c r="O125" s="450"/>
      <c r="P125" s="450"/>
      <c r="Q125" s="450"/>
      <c r="R125" s="514">
        <v>-3612</v>
      </c>
      <c r="S125" s="514"/>
      <c r="T125" s="515"/>
      <c r="U125" s="452"/>
      <c r="V125" s="430"/>
    </row>
    <row r="126" spans="1:22" s="431" customFormat="1" x14ac:dyDescent="0.3">
      <c r="A126" s="449"/>
      <c r="B126" s="450" t="s">
        <v>203</v>
      </c>
      <c r="C126" s="450"/>
      <c r="D126" s="450"/>
      <c r="E126" s="450"/>
      <c r="F126" s="450"/>
      <c r="G126" s="450"/>
      <c r="H126" s="450"/>
      <c r="I126" s="450"/>
      <c r="J126" s="450"/>
      <c r="K126" s="450"/>
      <c r="L126" s="450"/>
      <c r="M126" s="450"/>
      <c r="N126" s="450"/>
      <c r="O126" s="450"/>
      <c r="P126" s="450"/>
      <c r="Q126" s="450"/>
      <c r="R126" s="514">
        <v>-952</v>
      </c>
      <c r="S126" s="514"/>
      <c r="T126" s="515"/>
      <c r="U126" s="452"/>
      <c r="V126" s="430"/>
    </row>
    <row r="127" spans="1:22" s="431" customFormat="1" x14ac:dyDescent="0.3">
      <c r="A127" s="449"/>
      <c r="B127" s="450" t="s">
        <v>202</v>
      </c>
      <c r="C127" s="450"/>
      <c r="D127" s="450"/>
      <c r="E127" s="450"/>
      <c r="F127" s="450"/>
      <c r="G127" s="450"/>
      <c r="H127" s="450"/>
      <c r="I127" s="450"/>
      <c r="J127" s="450"/>
      <c r="K127" s="450"/>
      <c r="L127" s="450"/>
      <c r="M127" s="450"/>
      <c r="N127" s="450"/>
      <c r="O127" s="450"/>
      <c r="P127" s="450"/>
      <c r="Q127" s="450"/>
      <c r="R127" s="514">
        <v>-959</v>
      </c>
      <c r="S127" s="514"/>
      <c r="T127" s="515"/>
      <c r="U127" s="452"/>
      <c r="V127" s="430"/>
    </row>
    <row r="128" spans="1:22" s="431" customFormat="1" x14ac:dyDescent="0.3">
      <c r="A128" s="449"/>
      <c r="B128" s="450" t="s">
        <v>197</v>
      </c>
      <c r="C128" s="450"/>
      <c r="D128" s="450"/>
      <c r="E128" s="450"/>
      <c r="F128" s="450"/>
      <c r="G128" s="450"/>
      <c r="H128" s="450"/>
      <c r="I128" s="450"/>
      <c r="J128" s="450"/>
      <c r="K128" s="450"/>
      <c r="L128" s="450"/>
      <c r="M128" s="450"/>
      <c r="N128" s="450"/>
      <c r="O128" s="450"/>
      <c r="P128" s="450"/>
      <c r="Q128" s="450"/>
      <c r="R128" s="514">
        <v>-241</v>
      </c>
      <c r="S128" s="514"/>
      <c r="T128" s="515"/>
      <c r="U128" s="452"/>
      <c r="V128" s="430"/>
    </row>
    <row r="129" spans="1:22" s="431" customFormat="1" x14ac:dyDescent="0.3">
      <c r="A129" s="449"/>
      <c r="B129" s="450" t="s">
        <v>196</v>
      </c>
      <c r="C129" s="450"/>
      <c r="D129" s="450"/>
      <c r="E129" s="450"/>
      <c r="F129" s="450"/>
      <c r="G129" s="450"/>
      <c r="H129" s="450"/>
      <c r="I129" s="450"/>
      <c r="J129" s="450"/>
      <c r="K129" s="450"/>
      <c r="L129" s="450"/>
      <c r="M129" s="450"/>
      <c r="N129" s="450"/>
      <c r="O129" s="450"/>
      <c r="P129" s="450"/>
      <c r="Q129" s="450"/>
      <c r="R129" s="514">
        <v>-854</v>
      </c>
      <c r="S129" s="514"/>
      <c r="T129" s="515"/>
      <c r="U129" s="452"/>
      <c r="V129" s="430"/>
    </row>
    <row r="130" spans="1:22" s="431" customFormat="1" x14ac:dyDescent="0.3">
      <c r="A130" s="449"/>
      <c r="B130" s="450" t="s">
        <v>195</v>
      </c>
      <c r="C130" s="450"/>
      <c r="D130" s="450"/>
      <c r="E130" s="450"/>
      <c r="F130" s="450"/>
      <c r="G130" s="450"/>
      <c r="H130" s="450"/>
      <c r="I130" s="450"/>
      <c r="J130" s="450"/>
      <c r="K130" s="450"/>
      <c r="L130" s="450"/>
      <c r="M130" s="450"/>
      <c r="N130" s="450"/>
      <c r="O130" s="450"/>
      <c r="P130" s="450"/>
      <c r="Q130" s="450"/>
      <c r="R130" s="514">
        <v>-906</v>
      </c>
      <c r="S130" s="514"/>
      <c r="T130" s="515"/>
      <c r="U130" s="452"/>
      <c r="V130" s="430"/>
    </row>
    <row r="131" spans="1:22" s="431" customFormat="1" x14ac:dyDescent="0.3">
      <c r="A131" s="449"/>
      <c r="B131" s="450" t="s">
        <v>40</v>
      </c>
      <c r="C131" s="450"/>
      <c r="D131" s="450"/>
      <c r="E131" s="450"/>
      <c r="F131" s="450"/>
      <c r="G131" s="450"/>
      <c r="H131" s="450"/>
      <c r="I131" s="450"/>
      <c r="J131" s="450"/>
      <c r="K131" s="450"/>
      <c r="L131" s="450"/>
      <c r="M131" s="450"/>
      <c r="N131" s="450"/>
      <c r="O131" s="450"/>
      <c r="P131" s="450"/>
      <c r="Q131" s="450"/>
      <c r="R131" s="514">
        <f>SUM(R122:R130)</f>
        <v>-7524</v>
      </c>
      <c r="S131" s="514"/>
      <c r="T131" s="514">
        <f>SUM(T100:T129)</f>
        <v>-2425</v>
      </c>
      <c r="U131" s="452"/>
      <c r="V131" s="430"/>
    </row>
    <row r="132" spans="1:22" s="431" customFormat="1" x14ac:dyDescent="0.3">
      <c r="A132" s="449"/>
      <c r="B132" s="450" t="s">
        <v>41</v>
      </c>
      <c r="C132" s="450"/>
      <c r="D132" s="450"/>
      <c r="E132" s="450"/>
      <c r="F132" s="450"/>
      <c r="G132" s="450"/>
      <c r="H132" s="450"/>
      <c r="I132" s="450"/>
      <c r="J132" s="450"/>
      <c r="K132" s="450"/>
      <c r="L132" s="450"/>
      <c r="M132" s="450"/>
      <c r="N132" s="450"/>
      <c r="O132" s="450"/>
      <c r="P132" s="450"/>
      <c r="Q132" s="450"/>
      <c r="R132" s="514">
        <f>R99+R131+R112</f>
        <v>0</v>
      </c>
      <c r="S132" s="514"/>
      <c r="T132" s="514">
        <f>T99+T131</f>
        <v>0</v>
      </c>
      <c r="U132" s="452"/>
      <c r="V132" s="430"/>
    </row>
    <row r="133" spans="1:22" s="431" customFormat="1" x14ac:dyDescent="0.3">
      <c r="A133" s="432"/>
      <c r="B133" s="447"/>
      <c r="C133" s="447"/>
      <c r="D133" s="447"/>
      <c r="E133" s="447"/>
      <c r="F133" s="447"/>
      <c r="G133" s="447"/>
      <c r="H133" s="447"/>
      <c r="I133" s="447"/>
      <c r="J133" s="447"/>
      <c r="K133" s="447"/>
      <c r="L133" s="447"/>
      <c r="M133" s="447"/>
      <c r="N133" s="447"/>
      <c r="O133" s="447"/>
      <c r="P133" s="447"/>
      <c r="Q133" s="447"/>
      <c r="R133" s="525"/>
      <c r="S133" s="525"/>
      <c r="T133" s="525"/>
      <c r="U133" s="641"/>
      <c r="V133" s="430"/>
    </row>
    <row r="134" spans="1:22" s="431" customFormat="1" x14ac:dyDescent="0.3">
      <c r="A134" s="432"/>
      <c r="B134" s="433"/>
      <c r="C134" s="433"/>
      <c r="D134" s="433"/>
      <c r="E134" s="433"/>
      <c r="F134" s="433"/>
      <c r="G134" s="433"/>
      <c r="H134" s="433"/>
      <c r="I134" s="433"/>
      <c r="J134" s="433"/>
      <c r="K134" s="433"/>
      <c r="L134" s="433"/>
      <c r="M134" s="433"/>
      <c r="N134" s="433"/>
      <c r="O134" s="433"/>
      <c r="P134" s="433"/>
      <c r="Q134" s="433"/>
      <c r="R134" s="433"/>
      <c r="S134" s="433"/>
      <c r="T134" s="537"/>
      <c r="U134" s="641"/>
      <c r="V134" s="430"/>
    </row>
    <row r="135" spans="1:22" s="431" customFormat="1" ht="18.600000000000001" thickBot="1" x14ac:dyDescent="0.4">
      <c r="A135" s="500"/>
      <c r="B135" s="501" t="str">
        <f>B63</f>
        <v>PM11 INVESTOR REPORT QUARTER ENDING MARCH 2020</v>
      </c>
      <c r="C135" s="502"/>
      <c r="D135" s="502"/>
      <c r="E135" s="502"/>
      <c r="F135" s="502"/>
      <c r="G135" s="502"/>
      <c r="H135" s="502"/>
      <c r="I135" s="502"/>
      <c r="J135" s="502"/>
      <c r="K135" s="502"/>
      <c r="L135" s="502"/>
      <c r="M135" s="502"/>
      <c r="N135" s="502"/>
      <c r="O135" s="502"/>
      <c r="P135" s="502"/>
      <c r="Q135" s="502"/>
      <c r="R135" s="502"/>
      <c r="S135" s="502"/>
      <c r="T135" s="538"/>
      <c r="U135" s="504"/>
      <c r="V135" s="430"/>
    </row>
    <row r="136" spans="1:22" x14ac:dyDescent="0.3">
      <c r="A136" s="505"/>
      <c r="B136" s="506" t="s">
        <v>42</v>
      </c>
      <c r="C136" s="507"/>
      <c r="D136" s="507"/>
      <c r="E136" s="507"/>
      <c r="F136" s="507"/>
      <c r="G136" s="507"/>
      <c r="H136" s="507"/>
      <c r="I136" s="507"/>
      <c r="J136" s="507"/>
      <c r="K136" s="507"/>
      <c r="L136" s="507"/>
      <c r="M136" s="507"/>
      <c r="N136" s="507"/>
      <c r="O136" s="507"/>
      <c r="P136" s="507"/>
      <c r="Q136" s="507"/>
      <c r="R136" s="507"/>
      <c r="S136" s="507"/>
      <c r="T136" s="508"/>
      <c r="U136" s="509"/>
      <c r="V136" s="416"/>
    </row>
    <row r="137" spans="1:22" x14ac:dyDescent="0.3">
      <c r="A137" s="418"/>
      <c r="B137" s="539"/>
      <c r="C137" s="420"/>
      <c r="D137" s="420"/>
      <c r="E137" s="420"/>
      <c r="F137" s="420"/>
      <c r="G137" s="420"/>
      <c r="H137" s="420"/>
      <c r="I137" s="420"/>
      <c r="J137" s="420"/>
      <c r="K137" s="420"/>
      <c r="L137" s="420"/>
      <c r="M137" s="420"/>
      <c r="N137" s="420"/>
      <c r="O137" s="420"/>
      <c r="P137" s="420"/>
      <c r="Q137" s="420"/>
      <c r="R137" s="420"/>
      <c r="S137" s="420"/>
      <c r="T137" s="510"/>
      <c r="U137" s="639"/>
      <c r="V137" s="416"/>
    </row>
    <row r="138" spans="1:22" x14ac:dyDescent="0.3">
      <c r="A138" s="418"/>
      <c r="B138" s="540" t="s">
        <v>43</v>
      </c>
      <c r="C138" s="420"/>
      <c r="D138" s="420"/>
      <c r="E138" s="420"/>
      <c r="F138" s="420"/>
      <c r="G138" s="420"/>
      <c r="H138" s="420"/>
      <c r="I138" s="420"/>
      <c r="J138" s="420"/>
      <c r="K138" s="420"/>
      <c r="L138" s="420"/>
      <c r="M138" s="420"/>
      <c r="N138" s="420"/>
      <c r="O138" s="420"/>
      <c r="P138" s="420"/>
      <c r="Q138" s="420"/>
      <c r="R138" s="420"/>
      <c r="S138" s="420"/>
      <c r="T138" s="510"/>
      <c r="U138" s="639"/>
      <c r="V138" s="416"/>
    </row>
    <row r="139" spans="1:22" s="431" customFormat="1" x14ac:dyDescent="0.3">
      <c r="A139" s="449"/>
      <c r="B139" s="450" t="s">
        <v>44</v>
      </c>
      <c r="C139" s="450"/>
      <c r="D139" s="450"/>
      <c r="E139" s="450"/>
      <c r="F139" s="450"/>
      <c r="G139" s="450"/>
      <c r="H139" s="450"/>
      <c r="I139" s="450"/>
      <c r="J139" s="450"/>
      <c r="K139" s="450"/>
      <c r="L139" s="450"/>
      <c r="M139" s="450"/>
      <c r="N139" s="450"/>
      <c r="O139" s="450"/>
      <c r="P139" s="450"/>
      <c r="Q139" s="450"/>
      <c r="R139" s="450"/>
      <c r="S139" s="450"/>
      <c r="T139" s="515">
        <f>+T34*0.019</f>
        <v>19000.95</v>
      </c>
      <c r="U139" s="452"/>
      <c r="V139" s="430"/>
    </row>
    <row r="140" spans="1:22" s="431" customFormat="1" x14ac:dyDescent="0.3">
      <c r="A140" s="449"/>
      <c r="B140" s="450" t="s">
        <v>45</v>
      </c>
      <c r="C140" s="450"/>
      <c r="D140" s="450"/>
      <c r="E140" s="450"/>
      <c r="F140" s="450"/>
      <c r="G140" s="450"/>
      <c r="H140" s="450"/>
      <c r="I140" s="450"/>
      <c r="J140" s="450"/>
      <c r="K140" s="450"/>
      <c r="L140" s="450"/>
      <c r="M140" s="450"/>
      <c r="N140" s="450"/>
      <c r="O140" s="450"/>
      <c r="P140" s="450"/>
      <c r="Q140" s="450"/>
      <c r="R140" s="450"/>
      <c r="S140" s="450"/>
      <c r="T140" s="515">
        <v>19001</v>
      </c>
      <c r="U140" s="452"/>
      <c r="V140" s="430"/>
    </row>
    <row r="141" spans="1:22" s="431" customFormat="1" x14ac:dyDescent="0.3">
      <c r="A141" s="449"/>
      <c r="B141" s="450" t="s">
        <v>142</v>
      </c>
      <c r="C141" s="450"/>
      <c r="D141" s="450"/>
      <c r="E141" s="450"/>
      <c r="F141" s="450"/>
      <c r="G141" s="450"/>
      <c r="H141" s="450"/>
      <c r="I141" s="450"/>
      <c r="J141" s="450"/>
      <c r="K141" s="450"/>
      <c r="L141" s="450"/>
      <c r="M141" s="450"/>
      <c r="N141" s="450"/>
      <c r="O141" s="450"/>
      <c r="P141" s="450"/>
      <c r="Q141" s="450"/>
      <c r="R141" s="450"/>
      <c r="S141" s="450"/>
      <c r="T141" s="515">
        <v>0</v>
      </c>
      <c r="U141" s="452"/>
      <c r="V141" s="430"/>
    </row>
    <row r="142" spans="1:22" s="431" customFormat="1" x14ac:dyDescent="0.3">
      <c r="A142" s="449"/>
      <c r="B142" s="450" t="s">
        <v>129</v>
      </c>
      <c r="C142" s="450"/>
      <c r="D142" s="450"/>
      <c r="E142" s="450"/>
      <c r="F142" s="450"/>
      <c r="G142" s="450"/>
      <c r="H142" s="450"/>
      <c r="I142" s="450"/>
      <c r="J142" s="450"/>
      <c r="K142" s="450"/>
      <c r="L142" s="450"/>
      <c r="M142" s="450"/>
      <c r="N142" s="450"/>
      <c r="O142" s="450"/>
      <c r="P142" s="450"/>
      <c r="Q142" s="450"/>
      <c r="R142" s="450"/>
      <c r="S142" s="450"/>
      <c r="T142" s="515">
        <v>0</v>
      </c>
      <c r="U142" s="452"/>
      <c r="V142" s="430"/>
    </row>
    <row r="143" spans="1:22" s="431" customFormat="1" x14ac:dyDescent="0.3">
      <c r="A143" s="449"/>
      <c r="B143" s="450" t="s">
        <v>130</v>
      </c>
      <c r="C143" s="450"/>
      <c r="D143" s="450"/>
      <c r="E143" s="450"/>
      <c r="F143" s="450"/>
      <c r="G143" s="450"/>
      <c r="H143" s="450"/>
      <c r="I143" s="450"/>
      <c r="J143" s="450"/>
      <c r="K143" s="450"/>
      <c r="L143" s="450"/>
      <c r="M143" s="450"/>
      <c r="N143" s="450"/>
      <c r="O143" s="450"/>
      <c r="P143" s="450"/>
      <c r="Q143" s="450"/>
      <c r="R143" s="450"/>
      <c r="S143" s="450"/>
      <c r="T143" s="515">
        <v>0</v>
      </c>
      <c r="U143" s="452"/>
      <c r="V143" s="430"/>
    </row>
    <row r="144" spans="1:22" s="431" customFormat="1" x14ac:dyDescent="0.3">
      <c r="A144" s="449"/>
      <c r="B144" s="450" t="s">
        <v>182</v>
      </c>
      <c r="C144" s="450"/>
      <c r="D144" s="450"/>
      <c r="E144" s="450"/>
      <c r="F144" s="450"/>
      <c r="G144" s="450"/>
      <c r="H144" s="450"/>
      <c r="I144" s="450"/>
      <c r="J144" s="450"/>
      <c r="K144" s="450"/>
      <c r="L144" s="450"/>
      <c r="M144" s="450"/>
      <c r="N144" s="450"/>
      <c r="O144" s="450"/>
      <c r="P144" s="450"/>
      <c r="Q144" s="450"/>
      <c r="R144" s="450"/>
      <c r="S144" s="450"/>
      <c r="T144" s="515">
        <v>0</v>
      </c>
      <c r="U144" s="452"/>
      <c r="V144" s="430"/>
    </row>
    <row r="145" spans="1:23" s="431" customFormat="1" x14ac:dyDescent="0.3">
      <c r="A145" s="449"/>
      <c r="B145" s="450" t="s">
        <v>46</v>
      </c>
      <c r="C145" s="450"/>
      <c r="D145" s="450"/>
      <c r="E145" s="450"/>
      <c r="F145" s="450"/>
      <c r="G145" s="450"/>
      <c r="H145" s="450"/>
      <c r="I145" s="450"/>
      <c r="J145" s="450"/>
      <c r="K145" s="450"/>
      <c r="L145" s="450"/>
      <c r="M145" s="450"/>
      <c r="N145" s="450"/>
      <c r="O145" s="450"/>
      <c r="P145" s="450"/>
      <c r="Q145" s="450"/>
      <c r="R145" s="450"/>
      <c r="S145" s="450"/>
      <c r="T145" s="515">
        <v>0</v>
      </c>
      <c r="U145" s="452"/>
      <c r="V145" s="430"/>
    </row>
    <row r="146" spans="1:23" s="431" customFormat="1" x14ac:dyDescent="0.3">
      <c r="A146" s="449"/>
      <c r="B146" s="450" t="s">
        <v>135</v>
      </c>
      <c r="C146" s="450"/>
      <c r="D146" s="450"/>
      <c r="E146" s="450"/>
      <c r="F146" s="450"/>
      <c r="G146" s="450"/>
      <c r="H146" s="450"/>
      <c r="I146" s="450"/>
      <c r="J146" s="450"/>
      <c r="K146" s="450"/>
      <c r="L146" s="450"/>
      <c r="M146" s="450"/>
      <c r="N146" s="450"/>
      <c r="O146" s="450"/>
      <c r="P146" s="450"/>
      <c r="Q146" s="450"/>
      <c r="R146" s="450"/>
      <c r="S146" s="450"/>
      <c r="T146" s="515">
        <v>0</v>
      </c>
      <c r="U146" s="452"/>
      <c r="V146" s="430"/>
    </row>
    <row r="147" spans="1:23" s="431" customFormat="1" x14ac:dyDescent="0.3">
      <c r="A147" s="449"/>
      <c r="B147" s="450" t="s">
        <v>251</v>
      </c>
      <c r="C147" s="450"/>
      <c r="D147" s="450"/>
      <c r="E147" s="450"/>
      <c r="F147" s="450"/>
      <c r="G147" s="450"/>
      <c r="H147" s="450"/>
      <c r="I147" s="450"/>
      <c r="J147" s="450"/>
      <c r="K147" s="450"/>
      <c r="L147" s="450"/>
      <c r="M147" s="450"/>
      <c r="N147" s="450"/>
      <c r="O147" s="450"/>
      <c r="P147" s="450"/>
      <c r="Q147" s="450"/>
      <c r="R147" s="450"/>
      <c r="S147" s="450"/>
      <c r="T147" s="515">
        <v>0</v>
      </c>
      <c r="U147" s="452"/>
      <c r="V147" s="430"/>
      <c r="W147" s="533"/>
    </row>
    <row r="148" spans="1:23" s="431" customFormat="1" x14ac:dyDescent="0.3">
      <c r="A148" s="449"/>
      <c r="B148" s="450" t="s">
        <v>47</v>
      </c>
      <c r="C148" s="450"/>
      <c r="D148" s="450"/>
      <c r="E148" s="450"/>
      <c r="F148" s="450"/>
      <c r="G148" s="450"/>
      <c r="H148" s="450"/>
      <c r="I148" s="450"/>
      <c r="J148" s="450"/>
      <c r="K148" s="450"/>
      <c r="L148" s="450"/>
      <c r="M148" s="450"/>
      <c r="N148" s="450"/>
      <c r="O148" s="450"/>
      <c r="P148" s="450"/>
      <c r="Q148" s="450"/>
      <c r="R148" s="450"/>
      <c r="S148" s="450"/>
      <c r="T148" s="515">
        <f>SUM(T140:T147)</f>
        <v>19001</v>
      </c>
      <c r="U148" s="452"/>
      <c r="V148" s="430"/>
    </row>
    <row r="149" spans="1:23" x14ac:dyDescent="0.3">
      <c r="A149" s="468"/>
      <c r="B149" s="470"/>
      <c r="C149" s="470"/>
      <c r="D149" s="470"/>
      <c r="E149" s="470"/>
      <c r="F149" s="470"/>
      <c r="G149" s="470"/>
      <c r="H149" s="470"/>
      <c r="I149" s="470"/>
      <c r="J149" s="470"/>
      <c r="K149" s="470"/>
      <c r="L149" s="470"/>
      <c r="M149" s="470"/>
      <c r="N149" s="470"/>
      <c r="O149" s="470"/>
      <c r="P149" s="470"/>
      <c r="Q149" s="470"/>
      <c r="R149" s="470"/>
      <c r="S149" s="470"/>
      <c r="T149" s="531"/>
      <c r="U149" s="476"/>
      <c r="V149" s="416"/>
    </row>
    <row r="150" spans="1:23" x14ac:dyDescent="0.3">
      <c r="A150" s="468"/>
      <c r="B150" s="529" t="s">
        <v>262</v>
      </c>
      <c r="C150" s="470"/>
      <c r="D150" s="470"/>
      <c r="E150" s="470"/>
      <c r="F150" s="470"/>
      <c r="G150" s="470"/>
      <c r="H150" s="470"/>
      <c r="I150" s="470"/>
      <c r="J150" s="470"/>
      <c r="K150" s="470"/>
      <c r="L150" s="470"/>
      <c r="M150" s="470"/>
      <c r="N150" s="470"/>
      <c r="O150" s="470"/>
      <c r="P150" s="470"/>
      <c r="Q150" s="470"/>
      <c r="R150" s="470"/>
      <c r="S150" s="470"/>
      <c r="T150" s="531"/>
      <c r="U150" s="476"/>
      <c r="V150" s="416"/>
    </row>
    <row r="151" spans="1:23" s="431" customFormat="1" x14ac:dyDescent="0.3">
      <c r="A151" s="449"/>
      <c r="B151" s="450" t="s">
        <v>263</v>
      </c>
      <c r="C151" s="450"/>
      <c r="D151" s="450"/>
      <c r="E151" s="450"/>
      <c r="F151" s="450"/>
      <c r="G151" s="450"/>
      <c r="H151" s="450"/>
      <c r="I151" s="450"/>
      <c r="J151" s="450"/>
      <c r="K151" s="450"/>
      <c r="L151" s="450"/>
      <c r="M151" s="450"/>
      <c r="N151" s="450"/>
      <c r="O151" s="450"/>
      <c r="P151" s="450"/>
      <c r="Q151" s="450"/>
      <c r="R151" s="450"/>
      <c r="S151" s="450"/>
      <c r="T151" s="515">
        <v>0</v>
      </c>
      <c r="U151" s="452"/>
      <c r="V151" s="430"/>
    </row>
    <row r="152" spans="1:23" s="431" customFormat="1" x14ac:dyDescent="0.3">
      <c r="A152" s="449"/>
      <c r="B152" s="450" t="s">
        <v>179</v>
      </c>
      <c r="C152" s="450"/>
      <c r="D152" s="450"/>
      <c r="E152" s="450"/>
      <c r="F152" s="450"/>
      <c r="G152" s="450"/>
      <c r="H152" s="450"/>
      <c r="I152" s="450"/>
      <c r="J152" s="450"/>
      <c r="K152" s="450"/>
      <c r="L152" s="450"/>
      <c r="M152" s="450"/>
      <c r="N152" s="450"/>
      <c r="O152" s="450"/>
      <c r="P152" s="450"/>
      <c r="Q152" s="450"/>
      <c r="R152" s="450"/>
      <c r="S152" s="450"/>
      <c r="T152" s="515">
        <v>0</v>
      </c>
      <c r="U152" s="452"/>
      <c r="V152" s="430"/>
    </row>
    <row r="153" spans="1:23" s="431" customFormat="1" x14ac:dyDescent="0.3">
      <c r="A153" s="449"/>
      <c r="B153" s="450" t="s">
        <v>264</v>
      </c>
      <c r="C153" s="450"/>
      <c r="D153" s="450"/>
      <c r="E153" s="450"/>
      <c r="F153" s="450"/>
      <c r="G153" s="450"/>
      <c r="H153" s="450"/>
      <c r="I153" s="450"/>
      <c r="J153" s="450"/>
      <c r="K153" s="450"/>
      <c r="L153" s="450"/>
      <c r="M153" s="450"/>
      <c r="N153" s="450"/>
      <c r="O153" s="450"/>
      <c r="P153" s="450"/>
      <c r="Q153" s="450"/>
      <c r="R153" s="450"/>
      <c r="S153" s="450"/>
      <c r="T153" s="515">
        <v>0</v>
      </c>
      <c r="U153" s="452"/>
      <c r="V153" s="430"/>
    </row>
    <row r="154" spans="1:23" x14ac:dyDescent="0.3">
      <c r="A154" s="468"/>
      <c r="B154" s="541"/>
      <c r="C154" s="541"/>
      <c r="D154" s="541"/>
      <c r="E154" s="541"/>
      <c r="F154" s="541"/>
      <c r="G154" s="541"/>
      <c r="H154" s="541"/>
      <c r="I154" s="541"/>
      <c r="J154" s="541"/>
      <c r="K154" s="541"/>
      <c r="L154" s="541"/>
      <c r="M154" s="541"/>
      <c r="N154" s="541"/>
      <c r="O154" s="541"/>
      <c r="P154" s="541"/>
      <c r="Q154" s="541"/>
      <c r="R154" s="541"/>
      <c r="S154" s="541"/>
      <c r="T154" s="542"/>
      <c r="U154" s="543"/>
      <c r="V154" s="416"/>
    </row>
    <row r="155" spans="1:23" x14ac:dyDescent="0.3">
      <c r="A155" s="418"/>
      <c r="B155" s="516"/>
      <c r="C155" s="516"/>
      <c r="D155" s="516"/>
      <c r="E155" s="516"/>
      <c r="F155" s="516"/>
      <c r="G155" s="516"/>
      <c r="H155" s="516"/>
      <c r="I155" s="516"/>
      <c r="J155" s="516"/>
      <c r="K155" s="516"/>
      <c r="L155" s="516"/>
      <c r="M155" s="516"/>
      <c r="N155" s="516"/>
      <c r="O155" s="516"/>
      <c r="P155" s="516"/>
      <c r="Q155" s="516"/>
      <c r="R155" s="516"/>
      <c r="S155" s="516"/>
      <c r="T155" s="544"/>
      <c r="U155" s="639"/>
      <c r="V155" s="416"/>
    </row>
    <row r="156" spans="1:23" x14ac:dyDescent="0.3">
      <c r="A156" s="418"/>
      <c r="B156" s="540" t="s">
        <v>24</v>
      </c>
      <c r="C156" s="420"/>
      <c r="D156" s="420"/>
      <c r="E156" s="420"/>
      <c r="F156" s="420"/>
      <c r="G156" s="420"/>
      <c r="H156" s="420"/>
      <c r="I156" s="420"/>
      <c r="J156" s="420"/>
      <c r="K156" s="420"/>
      <c r="L156" s="420"/>
      <c r="M156" s="420"/>
      <c r="N156" s="420"/>
      <c r="O156" s="420"/>
      <c r="P156" s="420"/>
      <c r="Q156" s="420"/>
      <c r="R156" s="420"/>
      <c r="S156" s="420"/>
      <c r="T156" s="510"/>
      <c r="U156" s="639"/>
      <c r="V156" s="416"/>
    </row>
    <row r="157" spans="1:23" s="431" customFormat="1" x14ac:dyDescent="0.3">
      <c r="A157" s="449"/>
      <c r="B157" s="450" t="s">
        <v>48</v>
      </c>
      <c r="C157" s="450"/>
      <c r="D157" s="450"/>
      <c r="E157" s="450"/>
      <c r="F157" s="450"/>
      <c r="G157" s="450"/>
      <c r="H157" s="450"/>
      <c r="I157" s="450"/>
      <c r="J157" s="450"/>
      <c r="K157" s="450"/>
      <c r="L157" s="450"/>
      <c r="M157" s="450"/>
      <c r="N157" s="450"/>
      <c r="O157" s="450"/>
      <c r="P157" s="450"/>
      <c r="Q157" s="450"/>
      <c r="R157" s="450"/>
      <c r="S157" s="450"/>
      <c r="T157" s="545" t="s">
        <v>124</v>
      </c>
      <c r="U157" s="452"/>
      <c r="V157" s="430"/>
    </row>
    <row r="158" spans="1:23" s="431" customFormat="1" x14ac:dyDescent="0.3">
      <c r="A158" s="449"/>
      <c r="B158" s="450" t="s">
        <v>49</v>
      </c>
      <c r="C158" s="450"/>
      <c r="D158" s="450"/>
      <c r="E158" s="450"/>
      <c r="F158" s="450"/>
      <c r="G158" s="450"/>
      <c r="H158" s="450"/>
      <c r="I158" s="450"/>
      <c r="J158" s="450"/>
      <c r="K158" s="450"/>
      <c r="L158" s="450"/>
      <c r="M158" s="450"/>
      <c r="N158" s="450"/>
      <c r="O158" s="450"/>
      <c r="P158" s="450"/>
      <c r="Q158" s="450"/>
      <c r="R158" s="450"/>
      <c r="S158" s="450"/>
      <c r="T158" s="545" t="s">
        <v>124</v>
      </c>
      <c r="U158" s="452"/>
      <c r="V158" s="430"/>
    </row>
    <row r="159" spans="1:23" s="431" customFormat="1" x14ac:dyDescent="0.3">
      <c r="A159" s="449"/>
      <c r="B159" s="450" t="s">
        <v>50</v>
      </c>
      <c r="C159" s="450"/>
      <c r="D159" s="450"/>
      <c r="E159" s="450"/>
      <c r="F159" s="450"/>
      <c r="G159" s="450"/>
      <c r="H159" s="450"/>
      <c r="I159" s="450"/>
      <c r="J159" s="450"/>
      <c r="K159" s="450"/>
      <c r="L159" s="450"/>
      <c r="M159" s="450"/>
      <c r="N159" s="450"/>
      <c r="O159" s="450"/>
      <c r="P159" s="450"/>
      <c r="Q159" s="450"/>
      <c r="R159" s="450"/>
      <c r="S159" s="450"/>
      <c r="T159" s="545" t="s">
        <v>124</v>
      </c>
      <c r="U159" s="452"/>
      <c r="V159" s="430"/>
    </row>
    <row r="160" spans="1:23" s="431" customFormat="1" x14ac:dyDescent="0.3">
      <c r="A160" s="449"/>
      <c r="B160" s="450" t="s">
        <v>51</v>
      </c>
      <c r="C160" s="450"/>
      <c r="D160" s="450"/>
      <c r="E160" s="450"/>
      <c r="F160" s="450"/>
      <c r="G160" s="450"/>
      <c r="H160" s="450"/>
      <c r="I160" s="450"/>
      <c r="J160" s="450"/>
      <c r="K160" s="450"/>
      <c r="L160" s="450"/>
      <c r="M160" s="450"/>
      <c r="N160" s="450"/>
      <c r="O160" s="450"/>
      <c r="P160" s="450"/>
      <c r="Q160" s="450"/>
      <c r="R160" s="450"/>
      <c r="S160" s="450"/>
      <c r="T160" s="545" t="s">
        <v>124</v>
      </c>
      <c r="U160" s="452"/>
      <c r="V160" s="430"/>
    </row>
    <row r="161" spans="1:22" x14ac:dyDescent="0.3">
      <c r="A161" s="418"/>
      <c r="B161" s="516"/>
      <c r="C161" s="516"/>
      <c r="D161" s="516"/>
      <c r="E161" s="516"/>
      <c r="F161" s="516"/>
      <c r="G161" s="516"/>
      <c r="H161" s="516"/>
      <c r="I161" s="516"/>
      <c r="J161" s="516"/>
      <c r="K161" s="516"/>
      <c r="L161" s="516"/>
      <c r="M161" s="516"/>
      <c r="N161" s="516"/>
      <c r="O161" s="516"/>
      <c r="P161" s="516"/>
      <c r="Q161" s="516"/>
      <c r="R161" s="516"/>
      <c r="S161" s="516"/>
      <c r="T161" s="544"/>
      <c r="U161" s="639"/>
      <c r="V161" s="416"/>
    </row>
    <row r="162" spans="1:22" x14ac:dyDescent="0.3">
      <c r="A162" s="418"/>
      <c r="B162" s="540" t="s">
        <v>52</v>
      </c>
      <c r="C162" s="420"/>
      <c r="D162" s="420"/>
      <c r="E162" s="420"/>
      <c r="F162" s="420"/>
      <c r="G162" s="420"/>
      <c r="H162" s="420"/>
      <c r="I162" s="420"/>
      <c r="J162" s="420"/>
      <c r="K162" s="420"/>
      <c r="L162" s="420"/>
      <c r="M162" s="420"/>
      <c r="N162" s="420"/>
      <c r="O162" s="420"/>
      <c r="P162" s="420"/>
      <c r="Q162" s="420"/>
      <c r="R162" s="420"/>
      <c r="S162" s="420"/>
      <c r="T162" s="546"/>
      <c r="U162" s="639"/>
      <c r="V162" s="416"/>
    </row>
    <row r="163" spans="1:22" s="431" customFormat="1" x14ac:dyDescent="0.3">
      <c r="A163" s="449"/>
      <c r="B163" s="450" t="s">
        <v>53</v>
      </c>
      <c r="C163" s="450"/>
      <c r="D163" s="450"/>
      <c r="E163" s="450"/>
      <c r="F163" s="450"/>
      <c r="G163" s="450"/>
      <c r="H163" s="450"/>
      <c r="I163" s="450"/>
      <c r="J163" s="450"/>
      <c r="K163" s="450"/>
      <c r="L163" s="450"/>
      <c r="M163" s="450"/>
      <c r="N163" s="450"/>
      <c r="O163" s="450"/>
      <c r="P163" s="450"/>
      <c r="Q163" s="450"/>
      <c r="R163" s="450"/>
      <c r="S163" s="450"/>
      <c r="T163" s="515">
        <v>0</v>
      </c>
      <c r="U163" s="452"/>
      <c r="V163" s="430"/>
    </row>
    <row r="164" spans="1:22" s="431" customFormat="1" x14ac:dyDescent="0.3">
      <c r="A164" s="449"/>
      <c r="B164" s="450" t="s">
        <v>54</v>
      </c>
      <c r="C164" s="450"/>
      <c r="D164" s="450"/>
      <c r="E164" s="450"/>
      <c r="F164" s="450"/>
      <c r="G164" s="450"/>
      <c r="H164" s="450"/>
      <c r="I164" s="450"/>
      <c r="J164" s="450"/>
      <c r="K164" s="450"/>
      <c r="L164" s="450"/>
      <c r="M164" s="450"/>
      <c r="N164" s="450"/>
      <c r="O164" s="450"/>
      <c r="P164" s="450"/>
      <c r="Q164" s="450"/>
      <c r="R164" s="450"/>
      <c r="S164" s="450"/>
      <c r="T164" s="515">
        <f>R112</f>
        <v>12</v>
      </c>
      <c r="U164" s="452"/>
      <c r="V164" s="430"/>
    </row>
    <row r="165" spans="1:22" s="431" customFormat="1" x14ac:dyDescent="0.3">
      <c r="A165" s="449"/>
      <c r="B165" s="450" t="s">
        <v>55</v>
      </c>
      <c r="C165" s="450"/>
      <c r="D165" s="450"/>
      <c r="E165" s="450"/>
      <c r="F165" s="450"/>
      <c r="G165" s="450"/>
      <c r="H165" s="450"/>
      <c r="I165" s="450"/>
      <c r="J165" s="450"/>
      <c r="K165" s="450"/>
      <c r="L165" s="450"/>
      <c r="M165" s="450"/>
      <c r="N165" s="450"/>
      <c r="O165" s="450"/>
      <c r="P165" s="450"/>
      <c r="Q165" s="450"/>
      <c r="R165" s="450"/>
      <c r="S165" s="450"/>
      <c r="T165" s="515">
        <f>T164+T163</f>
        <v>12</v>
      </c>
      <c r="U165" s="452"/>
      <c r="V165" s="430"/>
    </row>
    <row r="166" spans="1:22" s="431" customFormat="1" x14ac:dyDescent="0.3">
      <c r="A166" s="449"/>
      <c r="B166" s="450" t="s">
        <v>301</v>
      </c>
      <c r="C166" s="450"/>
      <c r="D166" s="450"/>
      <c r="E166" s="450"/>
      <c r="F166" s="450"/>
      <c r="G166" s="450"/>
      <c r="H166" s="450"/>
      <c r="I166" s="450"/>
      <c r="J166" s="450"/>
      <c r="K166" s="450"/>
      <c r="L166" s="450"/>
      <c r="M166" s="450"/>
      <c r="N166" s="450"/>
      <c r="O166" s="450"/>
      <c r="P166" s="450"/>
      <c r="Q166" s="450"/>
      <c r="R166" s="450"/>
      <c r="S166" s="450"/>
      <c r="T166" s="515">
        <f>T112</f>
        <v>-12</v>
      </c>
      <c r="U166" s="452"/>
      <c r="V166" s="430"/>
    </row>
    <row r="167" spans="1:22" s="431" customFormat="1" x14ac:dyDescent="0.3">
      <c r="A167" s="449"/>
      <c r="B167" s="450" t="s">
        <v>56</v>
      </c>
      <c r="C167" s="450"/>
      <c r="D167" s="450"/>
      <c r="E167" s="450"/>
      <c r="F167" s="450"/>
      <c r="G167" s="450"/>
      <c r="H167" s="450"/>
      <c r="I167" s="450"/>
      <c r="J167" s="450"/>
      <c r="K167" s="450"/>
      <c r="L167" s="450"/>
      <c r="M167" s="450"/>
      <c r="N167" s="450"/>
      <c r="O167" s="450"/>
      <c r="P167" s="450"/>
      <c r="Q167" s="450"/>
      <c r="R167" s="450"/>
      <c r="S167" s="450"/>
      <c r="T167" s="515">
        <f>T165+T166</f>
        <v>0</v>
      </c>
      <c r="U167" s="452"/>
      <c r="V167" s="430"/>
    </row>
    <row r="168" spans="1:22" s="431" customFormat="1" x14ac:dyDescent="0.3">
      <c r="A168" s="449"/>
      <c r="B168" s="450" t="s">
        <v>273</v>
      </c>
      <c r="C168" s="450"/>
      <c r="D168" s="450"/>
      <c r="E168" s="450"/>
      <c r="F168" s="450"/>
      <c r="G168" s="450"/>
      <c r="H168" s="450"/>
      <c r="I168" s="450"/>
      <c r="J168" s="450"/>
      <c r="K168" s="450"/>
      <c r="L168" s="450"/>
      <c r="M168" s="450"/>
      <c r="N168" s="450"/>
      <c r="O168" s="450"/>
      <c r="P168" s="450"/>
      <c r="Q168" s="450"/>
      <c r="R168" s="450"/>
      <c r="S168" s="450"/>
      <c r="T168" s="515">
        <v>0</v>
      </c>
      <c r="U168" s="452"/>
      <c r="V168" s="430"/>
    </row>
    <row r="169" spans="1:22" ht="16.2" thickBot="1" x14ac:dyDescent="0.35">
      <c r="A169" s="418"/>
      <c r="B169" s="516"/>
      <c r="C169" s="516"/>
      <c r="D169" s="516"/>
      <c r="E169" s="516"/>
      <c r="F169" s="516"/>
      <c r="G169" s="516"/>
      <c r="H169" s="516"/>
      <c r="I169" s="516"/>
      <c r="J169" s="516"/>
      <c r="K169" s="516"/>
      <c r="L169" s="516"/>
      <c r="M169" s="516"/>
      <c r="N169" s="516"/>
      <c r="O169" s="516"/>
      <c r="P169" s="516"/>
      <c r="Q169" s="516"/>
      <c r="R169" s="516"/>
      <c r="S169" s="516"/>
      <c r="T169" s="544"/>
      <c r="U169" s="639"/>
      <c r="V169" s="416"/>
    </row>
    <row r="170" spans="1:22" x14ac:dyDescent="0.3">
      <c r="A170" s="547"/>
      <c r="B170" s="415"/>
      <c r="C170" s="415"/>
      <c r="D170" s="415"/>
      <c r="E170" s="415"/>
      <c r="F170" s="415"/>
      <c r="G170" s="415"/>
      <c r="H170" s="415"/>
      <c r="I170" s="415"/>
      <c r="J170" s="415"/>
      <c r="K170" s="415"/>
      <c r="L170" s="415"/>
      <c r="M170" s="415"/>
      <c r="N170" s="415"/>
      <c r="O170" s="415"/>
      <c r="P170" s="415"/>
      <c r="Q170" s="415"/>
      <c r="R170" s="415"/>
      <c r="S170" s="415"/>
      <c r="T170" s="548"/>
      <c r="U170" s="638"/>
      <c r="V170" s="416"/>
    </row>
    <row r="171" spans="1:22" x14ac:dyDescent="0.3">
      <c r="A171" s="418"/>
      <c r="B171" s="540" t="s">
        <v>57</v>
      </c>
      <c r="C171" s="420"/>
      <c r="D171" s="420"/>
      <c r="E171" s="420"/>
      <c r="F171" s="420"/>
      <c r="G171" s="420"/>
      <c r="H171" s="420"/>
      <c r="I171" s="420"/>
      <c r="J171" s="420"/>
      <c r="K171" s="420"/>
      <c r="L171" s="420"/>
      <c r="M171" s="420"/>
      <c r="N171" s="420"/>
      <c r="O171" s="420"/>
      <c r="P171" s="420"/>
      <c r="Q171" s="420"/>
      <c r="R171" s="420"/>
      <c r="S171" s="420"/>
      <c r="T171" s="510"/>
      <c r="U171" s="639"/>
      <c r="V171" s="416"/>
    </row>
    <row r="172" spans="1:22" x14ac:dyDescent="0.3">
      <c r="A172" s="418"/>
      <c r="B172" s="540"/>
      <c r="C172" s="420"/>
      <c r="D172" s="420"/>
      <c r="E172" s="420"/>
      <c r="F172" s="420"/>
      <c r="G172" s="420"/>
      <c r="H172" s="420"/>
      <c r="I172" s="420"/>
      <c r="J172" s="420"/>
      <c r="K172" s="420"/>
      <c r="L172" s="420"/>
      <c r="M172" s="420"/>
      <c r="N172" s="420"/>
      <c r="O172" s="420"/>
      <c r="P172" s="420"/>
      <c r="Q172" s="420"/>
      <c r="R172" s="420"/>
      <c r="S172" s="420"/>
      <c r="T172" s="510"/>
      <c r="U172" s="639"/>
      <c r="V172" s="416"/>
    </row>
    <row r="173" spans="1:22" s="431" customFormat="1" x14ac:dyDescent="0.3">
      <c r="A173" s="449"/>
      <c r="B173" s="450" t="s">
        <v>58</v>
      </c>
      <c r="C173" s="450"/>
      <c r="D173" s="450"/>
      <c r="E173" s="450"/>
      <c r="F173" s="450"/>
      <c r="G173" s="450"/>
      <c r="H173" s="450"/>
      <c r="I173" s="450"/>
      <c r="J173" s="450"/>
      <c r="K173" s="450"/>
      <c r="L173" s="450"/>
      <c r="M173" s="450"/>
      <c r="N173" s="450"/>
      <c r="O173" s="450"/>
      <c r="P173" s="450"/>
      <c r="Q173" s="450"/>
      <c r="R173" s="450"/>
      <c r="S173" s="450"/>
      <c r="T173" s="515">
        <f>T70</f>
        <v>350941</v>
      </c>
      <c r="U173" s="452"/>
      <c r="V173" s="430"/>
    </row>
    <row r="174" spans="1:22" s="431" customFormat="1" x14ac:dyDescent="0.3">
      <c r="A174" s="449"/>
      <c r="B174" s="450" t="s">
        <v>59</v>
      </c>
      <c r="C174" s="450"/>
      <c r="D174" s="450"/>
      <c r="E174" s="450"/>
      <c r="F174" s="450"/>
      <c r="G174" s="450"/>
      <c r="H174" s="450"/>
      <c r="I174" s="450"/>
      <c r="J174" s="450"/>
      <c r="K174" s="450"/>
      <c r="L174" s="450"/>
      <c r="M174" s="450"/>
      <c r="N174" s="450"/>
      <c r="O174" s="450"/>
      <c r="P174" s="450"/>
      <c r="Q174" s="450"/>
      <c r="R174" s="450"/>
      <c r="S174" s="450"/>
      <c r="T174" s="515">
        <f>T83</f>
        <v>350941</v>
      </c>
      <c r="U174" s="452"/>
      <c r="V174" s="430"/>
    </row>
    <row r="175" spans="1:22" ht="16.2" thickBot="1" x14ac:dyDescent="0.35">
      <c r="A175" s="418"/>
      <c r="B175" s="516"/>
      <c r="C175" s="516"/>
      <c r="D175" s="516"/>
      <c r="E175" s="516"/>
      <c r="F175" s="516"/>
      <c r="G175" s="516"/>
      <c r="H175" s="516"/>
      <c r="I175" s="516"/>
      <c r="J175" s="516"/>
      <c r="K175" s="516"/>
      <c r="L175" s="516"/>
      <c r="M175" s="516"/>
      <c r="N175" s="516"/>
      <c r="O175" s="516"/>
      <c r="P175" s="516"/>
      <c r="Q175" s="516"/>
      <c r="R175" s="516"/>
      <c r="S175" s="516"/>
      <c r="T175" s="544"/>
      <c r="U175" s="639"/>
      <c r="V175" s="416"/>
    </row>
    <row r="176" spans="1:22" x14ac:dyDescent="0.3">
      <c r="A176" s="547"/>
      <c r="B176" s="415"/>
      <c r="C176" s="415"/>
      <c r="D176" s="415"/>
      <c r="E176" s="415"/>
      <c r="F176" s="415"/>
      <c r="G176" s="415"/>
      <c r="H176" s="415"/>
      <c r="I176" s="415"/>
      <c r="J176" s="415"/>
      <c r="K176" s="415"/>
      <c r="L176" s="415"/>
      <c r="M176" s="415"/>
      <c r="N176" s="415"/>
      <c r="O176" s="415"/>
      <c r="P176" s="415"/>
      <c r="Q176" s="415"/>
      <c r="R176" s="415"/>
      <c r="S176" s="415"/>
      <c r="T176" s="548"/>
      <c r="U176" s="638"/>
      <c r="V176" s="416"/>
    </row>
    <row r="177" spans="1:22" x14ac:dyDescent="0.3">
      <c r="A177" s="418"/>
      <c r="B177" s="540" t="s">
        <v>60</v>
      </c>
      <c r="C177" s="549"/>
      <c r="D177" s="549"/>
      <c r="E177" s="549"/>
      <c r="F177" s="549"/>
      <c r="G177" s="549"/>
      <c r="H177" s="550"/>
      <c r="I177" s="550"/>
      <c r="J177" s="550"/>
      <c r="K177" s="550"/>
      <c r="L177" s="550"/>
      <c r="M177" s="550"/>
      <c r="N177" s="550"/>
      <c r="O177" s="550"/>
      <c r="P177" s="550"/>
      <c r="Q177" s="550" t="s">
        <v>104</v>
      </c>
      <c r="R177" s="550" t="s">
        <v>183</v>
      </c>
      <c r="S177" s="422"/>
      <c r="T177" s="551" t="s">
        <v>120</v>
      </c>
      <c r="U177" s="643"/>
      <c r="V177" s="416"/>
    </row>
    <row r="178" spans="1:22" s="431" customFormat="1" x14ac:dyDescent="0.3">
      <c r="A178" s="449"/>
      <c r="B178" s="450" t="s">
        <v>61</v>
      </c>
      <c r="C178" s="450"/>
      <c r="D178" s="450"/>
      <c r="E178" s="450"/>
      <c r="F178" s="450"/>
      <c r="G178" s="450"/>
      <c r="H178" s="450"/>
      <c r="I178" s="450"/>
      <c r="J178" s="450"/>
      <c r="K178" s="450"/>
      <c r="L178" s="450"/>
      <c r="M178" s="450"/>
      <c r="N178" s="450"/>
      <c r="O178" s="450"/>
      <c r="P178" s="450"/>
      <c r="Q178" s="515">
        <v>160008</v>
      </c>
      <c r="R178" s="486"/>
      <c r="S178" s="450"/>
      <c r="T178" s="515"/>
      <c r="U178" s="452"/>
      <c r="V178" s="430"/>
    </row>
    <row r="179" spans="1:22" s="431" customFormat="1" x14ac:dyDescent="0.3">
      <c r="A179" s="449"/>
      <c r="B179" s="450" t="s">
        <v>62</v>
      </c>
      <c r="C179" s="450"/>
      <c r="D179" s="450"/>
      <c r="E179" s="450"/>
      <c r="F179" s="450"/>
      <c r="G179" s="450"/>
      <c r="H179" s="450"/>
      <c r="I179" s="450"/>
      <c r="J179" s="450"/>
      <c r="K179" s="450"/>
      <c r="L179" s="450"/>
      <c r="M179" s="450"/>
      <c r="N179" s="450"/>
      <c r="O179" s="450"/>
      <c r="P179" s="450"/>
      <c r="Q179" s="515">
        <f>+'Dec 19'!Q181</f>
        <v>41034</v>
      </c>
      <c r="R179" s="515">
        <f>+'Dec 19'!R181</f>
        <v>3452</v>
      </c>
      <c r="S179" s="450"/>
      <c r="T179" s="515">
        <f>Q179+R179</f>
        <v>44486</v>
      </c>
      <c r="U179" s="452"/>
      <c r="V179" s="430"/>
    </row>
    <row r="180" spans="1:22" s="431" customFormat="1" x14ac:dyDescent="0.3">
      <c r="A180" s="449"/>
      <c r="B180" s="450" t="s">
        <v>63</v>
      </c>
      <c r="C180" s="450"/>
      <c r="D180" s="450"/>
      <c r="E180" s="450"/>
      <c r="F180" s="450"/>
      <c r="G180" s="450"/>
      <c r="H180" s="450"/>
      <c r="I180" s="450"/>
      <c r="J180" s="450"/>
      <c r="K180" s="450"/>
      <c r="L180" s="450"/>
      <c r="M180" s="450"/>
      <c r="N180" s="450"/>
      <c r="O180" s="450"/>
      <c r="P180" s="450"/>
      <c r="Q180" s="514">
        <v>0</v>
      </c>
      <c r="R180" s="514">
        <v>0</v>
      </c>
      <c r="S180" s="450"/>
      <c r="T180" s="515">
        <f>Q180+R180</f>
        <v>0</v>
      </c>
      <c r="U180" s="452"/>
      <c r="V180" s="430"/>
    </row>
    <row r="181" spans="1:22" s="431" customFormat="1" x14ac:dyDescent="0.3">
      <c r="A181" s="449"/>
      <c r="B181" s="450" t="s">
        <v>64</v>
      </c>
      <c r="C181" s="450"/>
      <c r="D181" s="450"/>
      <c r="E181" s="450"/>
      <c r="F181" s="450"/>
      <c r="G181" s="450"/>
      <c r="H181" s="450"/>
      <c r="I181" s="450"/>
      <c r="J181" s="450"/>
      <c r="K181" s="450"/>
      <c r="L181" s="450"/>
      <c r="M181" s="450"/>
      <c r="N181" s="450"/>
      <c r="O181" s="450"/>
      <c r="P181" s="450"/>
      <c r="Q181" s="515">
        <f>Q179+Q180</f>
        <v>41034</v>
      </c>
      <c r="R181" s="515">
        <f>R180+R179</f>
        <v>3452</v>
      </c>
      <c r="S181" s="450"/>
      <c r="T181" s="515">
        <f>Q181+R181</f>
        <v>44486</v>
      </c>
      <c r="U181" s="452"/>
      <c r="V181" s="430"/>
    </row>
    <row r="182" spans="1:22" s="431" customFormat="1" x14ac:dyDescent="0.3">
      <c r="A182" s="449"/>
      <c r="B182" s="450" t="s">
        <v>65</v>
      </c>
      <c r="C182" s="450"/>
      <c r="D182" s="450"/>
      <c r="E182" s="450"/>
      <c r="F182" s="450"/>
      <c r="G182" s="450"/>
      <c r="H182" s="450"/>
      <c r="I182" s="450"/>
      <c r="J182" s="450"/>
      <c r="K182" s="450"/>
      <c r="L182" s="450"/>
      <c r="M182" s="450"/>
      <c r="N182" s="450"/>
      <c r="O182" s="450"/>
      <c r="P182" s="450"/>
      <c r="Q182" s="515">
        <f>Q178-Q181-R181</f>
        <v>115522</v>
      </c>
      <c r="R182" s="486"/>
      <c r="S182" s="450"/>
      <c r="T182" s="515"/>
      <c r="U182" s="452"/>
      <c r="V182" s="430"/>
    </row>
    <row r="183" spans="1:22" ht="16.2" thickBot="1" x14ac:dyDescent="0.35">
      <c r="A183" s="418"/>
      <c r="B183" s="516"/>
      <c r="C183" s="516"/>
      <c r="D183" s="516"/>
      <c r="E183" s="516"/>
      <c r="F183" s="516"/>
      <c r="G183" s="516"/>
      <c r="H183" s="516"/>
      <c r="I183" s="516"/>
      <c r="J183" s="516"/>
      <c r="K183" s="516"/>
      <c r="L183" s="516"/>
      <c r="M183" s="516"/>
      <c r="N183" s="516"/>
      <c r="O183" s="516"/>
      <c r="P183" s="516"/>
      <c r="Q183" s="516"/>
      <c r="R183" s="516"/>
      <c r="S183" s="516"/>
      <c r="T183" s="544"/>
      <c r="U183" s="639"/>
      <c r="V183" s="416"/>
    </row>
    <row r="184" spans="1:22" x14ac:dyDescent="0.3">
      <c r="A184" s="547"/>
      <c r="B184" s="415"/>
      <c r="C184" s="415"/>
      <c r="D184" s="415"/>
      <c r="E184" s="415"/>
      <c r="F184" s="415"/>
      <c r="G184" s="415"/>
      <c r="H184" s="415"/>
      <c r="I184" s="415"/>
      <c r="J184" s="415"/>
      <c r="K184" s="415"/>
      <c r="L184" s="415"/>
      <c r="M184" s="415"/>
      <c r="N184" s="415"/>
      <c r="O184" s="415"/>
      <c r="P184" s="415"/>
      <c r="Q184" s="415"/>
      <c r="R184" s="415"/>
      <c r="S184" s="415"/>
      <c r="T184" s="548"/>
      <c r="U184" s="638"/>
      <c r="V184" s="416"/>
    </row>
    <row r="185" spans="1:22" x14ac:dyDescent="0.3">
      <c r="A185" s="418"/>
      <c r="B185" s="540" t="s">
        <v>66</v>
      </c>
      <c r="C185" s="420"/>
      <c r="D185" s="420"/>
      <c r="E185" s="420"/>
      <c r="F185" s="420"/>
      <c r="G185" s="420"/>
      <c r="H185" s="420"/>
      <c r="I185" s="420"/>
      <c r="J185" s="420"/>
      <c r="K185" s="420"/>
      <c r="L185" s="420"/>
      <c r="M185" s="420"/>
      <c r="N185" s="420"/>
      <c r="O185" s="420"/>
      <c r="P185" s="420"/>
      <c r="Q185" s="420"/>
      <c r="R185" s="420"/>
      <c r="S185" s="420"/>
      <c r="T185" s="552"/>
      <c r="U185" s="639"/>
      <c r="V185" s="416"/>
    </row>
    <row r="186" spans="1:22" s="431" customFormat="1" x14ac:dyDescent="0.3">
      <c r="A186" s="449"/>
      <c r="B186" s="450" t="s">
        <v>67</v>
      </c>
      <c r="C186" s="450"/>
      <c r="D186" s="450"/>
      <c r="E186" s="450"/>
      <c r="F186" s="450"/>
      <c r="G186" s="450"/>
      <c r="H186" s="450"/>
      <c r="I186" s="450"/>
      <c r="J186" s="450"/>
      <c r="K186" s="450"/>
      <c r="L186" s="450"/>
      <c r="M186" s="450"/>
      <c r="N186" s="450"/>
      <c r="O186" s="450"/>
      <c r="P186" s="450"/>
      <c r="Q186" s="450"/>
      <c r="R186" s="450"/>
      <c r="S186" s="450"/>
      <c r="T186" s="545">
        <f>(T99+T101+T102+T103+T104)/-(T105+T106)</f>
        <v>3.9075043630017454</v>
      </c>
      <c r="U186" s="452" t="s">
        <v>121</v>
      </c>
      <c r="V186" s="430"/>
    </row>
    <row r="187" spans="1:22" s="431" customFormat="1" x14ac:dyDescent="0.3">
      <c r="A187" s="449"/>
      <c r="B187" s="450" t="s">
        <v>68</v>
      </c>
      <c r="C187" s="450"/>
      <c r="D187" s="450"/>
      <c r="E187" s="450"/>
      <c r="F187" s="450"/>
      <c r="G187" s="450"/>
      <c r="H187" s="450"/>
      <c r="I187" s="450"/>
      <c r="J187" s="450"/>
      <c r="K187" s="450"/>
      <c r="L187" s="450"/>
      <c r="M187" s="450"/>
      <c r="N187" s="450"/>
      <c r="O187" s="450"/>
      <c r="P187" s="450"/>
      <c r="Q187" s="450"/>
      <c r="R187" s="450"/>
      <c r="S187" s="450"/>
      <c r="T187" s="553">
        <v>1.99</v>
      </c>
      <c r="U187" s="452" t="s">
        <v>121</v>
      </c>
      <c r="V187" s="430"/>
    </row>
    <row r="188" spans="1:22" s="431" customFormat="1" x14ac:dyDescent="0.3">
      <c r="A188" s="449"/>
      <c r="B188" s="450" t="s">
        <v>69</v>
      </c>
      <c r="C188" s="450"/>
      <c r="D188" s="450"/>
      <c r="E188" s="450"/>
      <c r="F188" s="450"/>
      <c r="G188" s="450"/>
      <c r="H188" s="450"/>
      <c r="I188" s="450"/>
      <c r="J188" s="450"/>
      <c r="K188" s="450"/>
      <c r="L188" s="450"/>
      <c r="M188" s="450"/>
      <c r="N188" s="450"/>
      <c r="O188" s="450"/>
      <c r="P188" s="450"/>
      <c r="Q188" s="450"/>
      <c r="R188" s="450"/>
      <c r="S188" s="450"/>
      <c r="T188" s="545">
        <f>(T99+T101+T102+T103+T104+T105+T106)/-(T107+T108)</f>
        <v>10.4125</v>
      </c>
      <c r="U188" s="452" t="s">
        <v>121</v>
      </c>
      <c r="V188" s="430"/>
    </row>
    <row r="189" spans="1:22" s="431" customFormat="1" x14ac:dyDescent="0.3">
      <c r="A189" s="449"/>
      <c r="B189" s="450" t="s">
        <v>70</v>
      </c>
      <c r="C189" s="450"/>
      <c r="D189" s="450"/>
      <c r="E189" s="450"/>
      <c r="F189" s="450"/>
      <c r="G189" s="450"/>
      <c r="H189" s="450"/>
      <c r="I189" s="450"/>
      <c r="J189" s="450"/>
      <c r="K189" s="450"/>
      <c r="L189" s="450"/>
      <c r="M189" s="450"/>
      <c r="N189" s="450"/>
      <c r="O189" s="450"/>
      <c r="P189" s="450"/>
      <c r="Q189" s="450"/>
      <c r="R189" s="450"/>
      <c r="S189" s="450"/>
      <c r="T189" s="553">
        <v>7.29</v>
      </c>
      <c r="U189" s="452" t="s">
        <v>121</v>
      </c>
      <c r="V189" s="430"/>
    </row>
    <row r="190" spans="1:22" s="431" customFormat="1" x14ac:dyDescent="0.3">
      <c r="A190" s="449"/>
      <c r="B190" s="450" t="s">
        <v>206</v>
      </c>
      <c r="C190" s="450"/>
      <c r="D190" s="450"/>
      <c r="E190" s="450"/>
      <c r="F190" s="450"/>
      <c r="G190" s="450"/>
      <c r="H190" s="450"/>
      <c r="I190" s="450"/>
      <c r="J190" s="450"/>
      <c r="K190" s="450"/>
      <c r="L190" s="450"/>
      <c r="M190" s="450"/>
      <c r="N190" s="450"/>
      <c r="O190" s="450"/>
      <c r="P190" s="450"/>
      <c r="Q190" s="450"/>
      <c r="R190" s="450"/>
      <c r="S190" s="450"/>
      <c r="T190" s="545">
        <f>(T99+T101+T102+T103+T104+T105+T106+T107+T108)/-(T109)</f>
        <v>8.1847826086956523</v>
      </c>
      <c r="U190" s="452" t="s">
        <v>121</v>
      </c>
      <c r="V190" s="430"/>
    </row>
    <row r="191" spans="1:22" s="431" customFormat="1" x14ac:dyDescent="0.3">
      <c r="A191" s="449"/>
      <c r="B191" s="450" t="s">
        <v>207</v>
      </c>
      <c r="C191" s="450"/>
      <c r="D191" s="450"/>
      <c r="E191" s="450"/>
      <c r="F191" s="450"/>
      <c r="G191" s="450"/>
      <c r="H191" s="450"/>
      <c r="I191" s="450"/>
      <c r="J191" s="450"/>
      <c r="K191" s="450"/>
      <c r="L191" s="450"/>
      <c r="M191" s="450"/>
      <c r="N191" s="450"/>
      <c r="O191" s="450"/>
      <c r="P191" s="450"/>
      <c r="Q191" s="450"/>
      <c r="R191" s="450"/>
      <c r="S191" s="450"/>
      <c r="T191" s="553">
        <v>6.43</v>
      </c>
      <c r="U191" s="452" t="s">
        <v>121</v>
      </c>
      <c r="V191" s="430"/>
    </row>
    <row r="192" spans="1:22" x14ac:dyDescent="0.3">
      <c r="A192" s="468"/>
      <c r="B192" s="470"/>
      <c r="C192" s="470"/>
      <c r="D192" s="470"/>
      <c r="E192" s="470"/>
      <c r="F192" s="470"/>
      <c r="G192" s="470"/>
      <c r="H192" s="470"/>
      <c r="I192" s="470"/>
      <c r="J192" s="470"/>
      <c r="K192" s="470"/>
      <c r="L192" s="470"/>
      <c r="M192" s="470"/>
      <c r="N192" s="470"/>
      <c r="O192" s="470"/>
      <c r="P192" s="470"/>
      <c r="Q192" s="470"/>
      <c r="R192" s="470"/>
      <c r="S192" s="470"/>
      <c r="T192" s="470"/>
      <c r="U192" s="476"/>
      <c r="V192" s="416"/>
    </row>
    <row r="193" spans="1:22" x14ac:dyDescent="0.3">
      <c r="A193" s="418"/>
      <c r="B193" s="516"/>
      <c r="C193" s="516"/>
      <c r="D193" s="516"/>
      <c r="E193" s="516"/>
      <c r="F193" s="516"/>
      <c r="G193" s="516"/>
      <c r="H193" s="516"/>
      <c r="I193" s="516"/>
      <c r="J193" s="516"/>
      <c r="K193" s="516"/>
      <c r="L193" s="516"/>
      <c r="M193" s="516"/>
      <c r="N193" s="516"/>
      <c r="O193" s="516"/>
      <c r="P193" s="516"/>
      <c r="Q193" s="516"/>
      <c r="R193" s="516"/>
      <c r="S193" s="516"/>
      <c r="T193" s="516"/>
      <c r="U193" s="639"/>
      <c r="V193" s="416"/>
    </row>
    <row r="194" spans="1:22" x14ac:dyDescent="0.3">
      <c r="A194" s="418"/>
      <c r="B194" s="420"/>
      <c r="C194" s="420"/>
      <c r="D194" s="420"/>
      <c r="E194" s="420"/>
      <c r="F194" s="420"/>
      <c r="G194" s="420"/>
      <c r="H194" s="420"/>
      <c r="I194" s="420"/>
      <c r="J194" s="420"/>
      <c r="K194" s="420"/>
      <c r="L194" s="420"/>
      <c r="M194" s="420"/>
      <c r="N194" s="420"/>
      <c r="O194" s="420"/>
      <c r="P194" s="420"/>
      <c r="Q194" s="420"/>
      <c r="R194" s="420"/>
      <c r="S194" s="420"/>
      <c r="T194" s="420"/>
      <c r="U194" s="639"/>
      <c r="V194" s="416"/>
    </row>
    <row r="195" spans="1:22" ht="18.600000000000001" thickBot="1" x14ac:dyDescent="0.4">
      <c r="A195" s="554"/>
      <c r="B195" s="501" t="str">
        <f>B135</f>
        <v>PM11 INVESTOR REPORT QUARTER ENDING MARCH 2020</v>
      </c>
      <c r="C195" s="555"/>
      <c r="D195" s="555"/>
      <c r="E195" s="555"/>
      <c r="F195" s="555"/>
      <c r="G195" s="555"/>
      <c r="H195" s="555"/>
      <c r="I195" s="555"/>
      <c r="J195" s="555"/>
      <c r="K195" s="555"/>
      <c r="L195" s="555"/>
      <c r="M195" s="555"/>
      <c r="N195" s="555"/>
      <c r="O195" s="555"/>
      <c r="P195" s="555"/>
      <c r="Q195" s="555"/>
      <c r="R195" s="555"/>
      <c r="S195" s="555"/>
      <c r="T195" s="555"/>
      <c r="U195" s="556"/>
      <c r="V195" s="416"/>
    </row>
    <row r="196" spans="1:22" x14ac:dyDescent="0.3">
      <c r="A196" s="505"/>
      <c r="B196" s="506" t="s">
        <v>71</v>
      </c>
      <c r="C196" s="627"/>
      <c r="D196" s="627"/>
      <c r="E196" s="627"/>
      <c r="F196" s="627"/>
      <c r="G196" s="628"/>
      <c r="H196" s="628"/>
      <c r="I196" s="628"/>
      <c r="J196" s="628"/>
      <c r="K196" s="628"/>
      <c r="L196" s="628"/>
      <c r="M196" s="628"/>
      <c r="N196" s="628"/>
      <c r="O196" s="628"/>
      <c r="P196" s="628"/>
      <c r="Q196" s="628"/>
      <c r="R196" s="629">
        <v>43921</v>
      </c>
      <c r="S196" s="507"/>
      <c r="T196" s="507"/>
      <c r="U196" s="509"/>
      <c r="V196" s="416"/>
    </row>
    <row r="197" spans="1:22" x14ac:dyDescent="0.3">
      <c r="A197" s="557"/>
      <c r="B197" s="558"/>
      <c r="C197" s="559"/>
      <c r="D197" s="559"/>
      <c r="E197" s="559"/>
      <c r="F197" s="559"/>
      <c r="G197" s="560"/>
      <c r="H197" s="560"/>
      <c r="I197" s="560"/>
      <c r="J197" s="560"/>
      <c r="K197" s="560"/>
      <c r="L197" s="560"/>
      <c r="M197" s="560"/>
      <c r="N197" s="560"/>
      <c r="O197" s="560"/>
      <c r="P197" s="560"/>
      <c r="Q197" s="560"/>
      <c r="R197" s="560"/>
      <c r="S197" s="420"/>
      <c r="T197" s="420"/>
      <c r="U197" s="639"/>
      <c r="V197" s="416"/>
    </row>
    <row r="198" spans="1:22" s="431" customFormat="1" x14ac:dyDescent="0.3">
      <c r="A198" s="449"/>
      <c r="B198" s="450" t="s">
        <v>72</v>
      </c>
      <c r="C198" s="561"/>
      <c r="D198" s="561"/>
      <c r="E198" s="561"/>
      <c r="F198" s="561"/>
      <c r="G198" s="490"/>
      <c r="H198" s="490"/>
      <c r="I198" s="490"/>
      <c r="J198" s="490"/>
      <c r="K198" s="490"/>
      <c r="L198" s="490"/>
      <c r="M198" s="490"/>
      <c r="N198" s="490"/>
      <c r="O198" s="490"/>
      <c r="P198" s="490"/>
      <c r="Q198" s="490"/>
      <c r="R198" s="483">
        <v>5.1569999999999998E-2</v>
      </c>
      <c r="S198" s="450"/>
      <c r="T198" s="450"/>
      <c r="U198" s="452"/>
      <c r="V198" s="430"/>
    </row>
    <row r="199" spans="1:22" s="431" customFormat="1" x14ac:dyDescent="0.3">
      <c r="A199" s="449"/>
      <c r="B199" s="450" t="s">
        <v>157</v>
      </c>
      <c r="C199" s="561"/>
      <c r="D199" s="561"/>
      <c r="E199" s="561"/>
      <c r="F199" s="561"/>
      <c r="G199" s="490"/>
      <c r="H199" s="490"/>
      <c r="I199" s="490"/>
      <c r="J199" s="490"/>
      <c r="K199" s="490"/>
      <c r="L199" s="490"/>
      <c r="M199" s="490"/>
      <c r="N199" s="490"/>
      <c r="O199" s="490"/>
      <c r="P199" s="490"/>
      <c r="Q199" s="490"/>
      <c r="R199" s="483">
        <v>4.6899999999999997E-2</v>
      </c>
      <c r="S199" s="450"/>
      <c r="T199" s="450"/>
      <c r="U199" s="452"/>
      <c r="V199" s="430"/>
    </row>
    <row r="200" spans="1:22" s="431" customFormat="1" x14ac:dyDescent="0.3">
      <c r="A200" s="449"/>
      <c r="B200" s="450" t="s">
        <v>73</v>
      </c>
      <c r="C200" s="561"/>
      <c r="D200" s="561"/>
      <c r="E200" s="561"/>
      <c r="F200" s="561"/>
      <c r="G200" s="490"/>
      <c r="H200" s="490"/>
      <c r="I200" s="490"/>
      <c r="J200" s="490"/>
      <c r="K200" s="490"/>
      <c r="L200" s="490"/>
      <c r="M200" s="490"/>
      <c r="N200" s="490"/>
      <c r="O200" s="490"/>
      <c r="P200" s="490"/>
      <c r="Q200" s="490"/>
      <c r="R200" s="483">
        <f>R198-R199</f>
        <v>4.6700000000000005E-3</v>
      </c>
      <c r="S200" s="450"/>
      <c r="T200" s="450"/>
      <c r="U200" s="452"/>
      <c r="V200" s="430"/>
    </row>
    <row r="201" spans="1:22" s="431" customFormat="1" x14ac:dyDescent="0.3">
      <c r="A201" s="449"/>
      <c r="B201" s="450" t="s">
        <v>74</v>
      </c>
      <c r="C201" s="561"/>
      <c r="D201" s="561"/>
      <c r="E201" s="561"/>
      <c r="F201" s="561"/>
      <c r="G201" s="490"/>
      <c r="H201" s="490"/>
      <c r="I201" s="490"/>
      <c r="J201" s="490"/>
      <c r="K201" s="490"/>
      <c r="L201" s="490"/>
      <c r="M201" s="490"/>
      <c r="N201" s="490"/>
      <c r="O201" s="490"/>
      <c r="P201" s="490"/>
      <c r="Q201" s="490"/>
      <c r="R201" s="483">
        <v>2.4799999999999999E-2</v>
      </c>
      <c r="S201" s="450"/>
      <c r="T201" s="450"/>
      <c r="U201" s="452"/>
      <c r="V201" s="430"/>
    </row>
    <row r="202" spans="1:22" s="431" customFormat="1" x14ac:dyDescent="0.3">
      <c r="A202" s="449"/>
      <c r="B202" s="450" t="s">
        <v>257</v>
      </c>
      <c r="C202" s="561"/>
      <c r="D202" s="561"/>
      <c r="E202" s="561"/>
      <c r="F202" s="561"/>
      <c r="G202" s="490"/>
      <c r="H202" s="490"/>
      <c r="I202" s="490"/>
      <c r="J202" s="490"/>
      <c r="K202" s="490"/>
      <c r="L202" s="490"/>
      <c r="M202" s="490"/>
      <c r="N202" s="490"/>
      <c r="O202" s="490"/>
      <c r="P202" s="490"/>
      <c r="Q202" s="490"/>
      <c r="R202" s="483">
        <f>T43</f>
        <v>1.0254073402675397E-2</v>
      </c>
      <c r="S202" s="450"/>
      <c r="T202" s="450"/>
      <c r="U202" s="452"/>
      <c r="V202" s="430"/>
    </row>
    <row r="203" spans="1:22" s="431" customFormat="1" x14ac:dyDescent="0.3">
      <c r="A203" s="449"/>
      <c r="B203" s="450" t="s">
        <v>75</v>
      </c>
      <c r="C203" s="561"/>
      <c r="D203" s="561"/>
      <c r="E203" s="561"/>
      <c r="F203" s="561"/>
      <c r="G203" s="490"/>
      <c r="H203" s="490"/>
      <c r="I203" s="490"/>
      <c r="J203" s="490"/>
      <c r="K203" s="490"/>
      <c r="L203" s="490"/>
      <c r="M203" s="490"/>
      <c r="N203" s="490"/>
      <c r="O203" s="490"/>
      <c r="P203" s="490"/>
      <c r="Q203" s="490"/>
      <c r="R203" s="483">
        <f>R201-R202</f>
        <v>1.4545926597324602E-2</v>
      </c>
      <c r="S203" s="450"/>
      <c r="T203" s="450"/>
      <c r="U203" s="452"/>
      <c r="V203" s="430"/>
    </row>
    <row r="204" spans="1:22" s="431" customFormat="1" x14ac:dyDescent="0.3">
      <c r="A204" s="449"/>
      <c r="B204" s="450" t="s">
        <v>260</v>
      </c>
      <c r="C204" s="561"/>
      <c r="D204" s="561"/>
      <c r="E204" s="561"/>
      <c r="F204" s="561"/>
      <c r="G204" s="490"/>
      <c r="H204" s="490"/>
      <c r="I204" s="490"/>
      <c r="J204" s="490"/>
      <c r="K204" s="490"/>
      <c r="L204" s="490"/>
      <c r="M204" s="490"/>
      <c r="N204" s="490"/>
      <c r="O204" s="490"/>
      <c r="P204" s="490"/>
      <c r="Q204" s="490"/>
      <c r="R204" s="483">
        <f>+T99/L70</f>
        <v>6.7649561323978634E-3</v>
      </c>
      <c r="S204" s="450"/>
      <c r="T204" s="450"/>
      <c r="U204" s="452"/>
      <c r="V204" s="430"/>
    </row>
    <row r="205" spans="1:22" s="431" customFormat="1" x14ac:dyDescent="0.3">
      <c r="A205" s="449"/>
      <c r="B205" s="450" t="s">
        <v>217</v>
      </c>
      <c r="C205" s="561"/>
      <c r="D205" s="561"/>
      <c r="E205" s="561"/>
      <c r="F205" s="561"/>
      <c r="G205" s="490"/>
      <c r="H205" s="490"/>
      <c r="I205" s="490"/>
      <c r="J205" s="490"/>
      <c r="K205" s="490"/>
      <c r="L205" s="490"/>
      <c r="M205" s="490"/>
      <c r="N205" s="490"/>
      <c r="O205" s="490"/>
      <c r="P205" s="490"/>
      <c r="Q205" s="490"/>
      <c r="R205" s="562">
        <v>15250</v>
      </c>
      <c r="S205" s="450"/>
      <c r="T205" s="450"/>
      <c r="U205" s="452"/>
      <c r="V205" s="430"/>
    </row>
    <row r="206" spans="1:22" s="431" customFormat="1" x14ac:dyDescent="0.3">
      <c r="A206" s="449"/>
      <c r="B206" s="450" t="s">
        <v>218</v>
      </c>
      <c r="C206" s="561"/>
      <c r="D206" s="561"/>
      <c r="E206" s="561"/>
      <c r="F206" s="561"/>
      <c r="G206" s="490"/>
      <c r="H206" s="490"/>
      <c r="I206" s="490"/>
      <c r="J206" s="490"/>
      <c r="K206" s="490"/>
      <c r="L206" s="490"/>
      <c r="M206" s="490"/>
      <c r="N206" s="490"/>
      <c r="O206" s="490"/>
      <c r="P206" s="490"/>
      <c r="Q206" s="490"/>
      <c r="R206" s="562">
        <v>15250</v>
      </c>
      <c r="S206" s="450"/>
      <c r="T206" s="450"/>
      <c r="U206" s="452"/>
      <c r="V206" s="430"/>
    </row>
    <row r="207" spans="1:22" s="431" customFormat="1" x14ac:dyDescent="0.3">
      <c r="A207" s="449"/>
      <c r="B207" s="450" t="s">
        <v>219</v>
      </c>
      <c r="C207" s="561"/>
      <c r="D207" s="561"/>
      <c r="E207" s="561"/>
      <c r="F207" s="561"/>
      <c r="G207" s="490"/>
      <c r="H207" s="490"/>
      <c r="I207" s="490"/>
      <c r="J207" s="490"/>
      <c r="K207" s="490"/>
      <c r="L207" s="490"/>
      <c r="M207" s="490"/>
      <c r="N207" s="490"/>
      <c r="O207" s="490"/>
      <c r="P207" s="490"/>
      <c r="Q207" s="490"/>
      <c r="R207" s="562">
        <v>15250</v>
      </c>
      <c r="S207" s="450"/>
      <c r="T207" s="450"/>
      <c r="U207" s="452"/>
      <c r="V207" s="430"/>
    </row>
    <row r="208" spans="1:22" s="431" customFormat="1" x14ac:dyDescent="0.3">
      <c r="A208" s="449"/>
      <c r="B208" s="450" t="s">
        <v>76</v>
      </c>
      <c r="C208" s="561"/>
      <c r="D208" s="561"/>
      <c r="E208" s="561"/>
      <c r="F208" s="561"/>
      <c r="G208" s="490"/>
      <c r="H208" s="490"/>
      <c r="I208" s="490"/>
      <c r="J208" s="490"/>
      <c r="K208" s="490"/>
      <c r="L208" s="490"/>
      <c r="M208" s="490"/>
      <c r="N208" s="490"/>
      <c r="O208" s="490"/>
      <c r="P208" s="490"/>
      <c r="Q208" s="490"/>
      <c r="R208" s="488">
        <v>21.18</v>
      </c>
      <c r="S208" s="450" t="s">
        <v>116</v>
      </c>
      <c r="T208" s="450"/>
      <c r="U208" s="452"/>
      <c r="V208" s="430"/>
    </row>
    <row r="209" spans="1:22" s="431" customFormat="1" x14ac:dyDescent="0.3">
      <c r="A209" s="449"/>
      <c r="B209" s="450" t="s">
        <v>77</v>
      </c>
      <c r="C209" s="561"/>
      <c r="D209" s="561"/>
      <c r="E209" s="561"/>
      <c r="F209" s="561"/>
      <c r="G209" s="490"/>
      <c r="H209" s="490"/>
      <c r="I209" s="490"/>
      <c r="J209" s="490"/>
      <c r="K209" s="490"/>
      <c r="L209" s="490"/>
      <c r="M209" s="490"/>
      <c r="N209" s="490"/>
      <c r="O209" s="490"/>
      <c r="P209" s="490"/>
      <c r="Q209" s="490"/>
      <c r="R209" s="488">
        <v>8.2200000000000006</v>
      </c>
      <c r="S209" s="450" t="s">
        <v>116</v>
      </c>
      <c r="T209" s="450"/>
      <c r="U209" s="452"/>
      <c r="V209" s="430"/>
    </row>
    <row r="210" spans="1:22" s="431" customFormat="1" x14ac:dyDescent="0.3">
      <c r="A210" s="449"/>
      <c r="B210" s="450" t="s">
        <v>78</v>
      </c>
      <c r="C210" s="561"/>
      <c r="D210" s="561"/>
      <c r="E210" s="561"/>
      <c r="F210" s="561"/>
      <c r="G210" s="490"/>
      <c r="H210" s="490"/>
      <c r="I210" s="490"/>
      <c r="J210" s="490"/>
      <c r="K210" s="490"/>
      <c r="L210" s="490"/>
      <c r="M210" s="490"/>
      <c r="N210" s="490"/>
      <c r="O210" s="490"/>
      <c r="P210" s="490"/>
      <c r="Q210" s="490"/>
      <c r="R210" s="483">
        <f>N67/L67</f>
        <v>2.0989496882540835E-2</v>
      </c>
      <c r="S210" s="450"/>
      <c r="T210" s="450"/>
      <c r="U210" s="452"/>
      <c r="V210" s="430"/>
    </row>
    <row r="211" spans="1:22" s="431" customFormat="1" x14ac:dyDescent="0.3">
      <c r="A211" s="449"/>
      <c r="B211" s="450" t="s">
        <v>79</v>
      </c>
      <c r="C211" s="561"/>
      <c r="D211" s="561"/>
      <c r="E211" s="561"/>
      <c r="F211" s="561"/>
      <c r="G211" s="490"/>
      <c r="H211" s="490"/>
      <c r="I211" s="490"/>
      <c r="J211" s="490"/>
      <c r="K211" s="490"/>
      <c r="L211" s="490"/>
      <c r="M211" s="490"/>
      <c r="N211" s="490"/>
      <c r="O211" s="490"/>
      <c r="P211" s="490"/>
      <c r="Q211" s="490"/>
      <c r="R211" s="483">
        <v>7.5700000000000003E-2</v>
      </c>
      <c r="S211" s="450"/>
      <c r="T211" s="450"/>
      <c r="U211" s="452"/>
      <c r="V211" s="430"/>
    </row>
    <row r="212" spans="1:22" x14ac:dyDescent="0.3">
      <c r="A212" s="557"/>
      <c r="B212" s="563"/>
      <c r="C212" s="563"/>
      <c r="D212" s="563"/>
      <c r="E212" s="563"/>
      <c r="F212" s="563"/>
      <c r="G212" s="516"/>
      <c r="H212" s="516"/>
      <c r="I212" s="516"/>
      <c r="J212" s="516"/>
      <c r="K212" s="516"/>
      <c r="L212" s="516"/>
      <c r="M212" s="516"/>
      <c r="N212" s="516"/>
      <c r="O212" s="516"/>
      <c r="P212" s="516"/>
      <c r="Q212" s="516"/>
      <c r="R212" s="544"/>
      <c r="S212" s="516"/>
      <c r="T212" s="564"/>
      <c r="U212" s="639"/>
      <c r="V212" s="416"/>
    </row>
    <row r="213" spans="1:22" x14ac:dyDescent="0.3">
      <c r="A213" s="565"/>
      <c r="B213" s="521" t="s">
        <v>80</v>
      </c>
      <c r="C213" s="522"/>
      <c r="D213" s="522"/>
      <c r="E213" s="522"/>
      <c r="F213" s="566"/>
      <c r="G213" s="522"/>
      <c r="H213" s="522"/>
      <c r="I213" s="522"/>
      <c r="J213" s="522"/>
      <c r="K213" s="522"/>
      <c r="L213" s="522"/>
      <c r="M213" s="522"/>
      <c r="N213" s="522"/>
      <c r="O213" s="522"/>
      <c r="P213" s="522"/>
      <c r="Q213" s="522" t="s">
        <v>105</v>
      </c>
      <c r="R213" s="566" t="s">
        <v>112</v>
      </c>
      <c r="S213" s="443"/>
      <c r="T213" s="443"/>
      <c r="U213" s="446"/>
      <c r="V213" s="416"/>
    </row>
    <row r="214" spans="1:22" s="431" customFormat="1" x14ac:dyDescent="0.3">
      <c r="A214" s="567"/>
      <c r="B214" s="447" t="s">
        <v>81</v>
      </c>
      <c r="C214" s="525"/>
      <c r="D214" s="525"/>
      <c r="E214" s="525"/>
      <c r="F214" s="447"/>
      <c r="G214" s="447"/>
      <c r="H214" s="568"/>
      <c r="I214" s="568"/>
      <c r="J214" s="568"/>
      <c r="K214" s="568"/>
      <c r="L214" s="568"/>
      <c r="M214" s="568"/>
      <c r="N214" s="568"/>
      <c r="O214" s="568"/>
      <c r="P214" s="568"/>
      <c r="Q214" s="568">
        <v>0</v>
      </c>
      <c r="R214" s="569">
        <v>0</v>
      </c>
      <c r="S214" s="447"/>
      <c r="T214" s="570"/>
      <c r="U214" s="644"/>
      <c r="V214" s="430"/>
    </row>
    <row r="215" spans="1:22" s="431" customFormat="1" x14ac:dyDescent="0.3">
      <c r="A215" s="571"/>
      <c r="B215" s="450" t="s">
        <v>151</v>
      </c>
      <c r="C215" s="514"/>
      <c r="D215" s="514"/>
      <c r="E215" s="514"/>
      <c r="F215" s="450"/>
      <c r="G215" s="450"/>
      <c r="H215" s="456"/>
      <c r="I215" s="456"/>
      <c r="J215" s="456"/>
      <c r="K215" s="456"/>
      <c r="L215" s="456"/>
      <c r="M215" s="456"/>
      <c r="N215" s="456"/>
      <c r="O215" s="456"/>
      <c r="P215" s="456"/>
      <c r="Q215" s="572">
        <f>+P267</f>
        <v>24</v>
      </c>
      <c r="R215" s="573">
        <f>+R267</f>
        <v>3602</v>
      </c>
      <c r="S215" s="450"/>
      <c r="T215" s="574"/>
      <c r="U215" s="575"/>
      <c r="V215" s="430"/>
    </row>
    <row r="216" spans="1:22" s="431" customFormat="1" x14ac:dyDescent="0.3">
      <c r="A216" s="571"/>
      <c r="B216" s="450" t="s">
        <v>82</v>
      </c>
      <c r="C216" s="514"/>
      <c r="D216" s="514"/>
      <c r="E216" s="514"/>
      <c r="F216" s="450"/>
      <c r="G216" s="450"/>
      <c r="H216" s="456"/>
      <c r="I216" s="456"/>
      <c r="J216" s="456"/>
      <c r="K216" s="456"/>
      <c r="L216" s="456"/>
      <c r="M216" s="456"/>
      <c r="N216" s="456"/>
      <c r="O216" s="456"/>
      <c r="P216" s="456"/>
      <c r="Q216" s="572">
        <f>+P279</f>
        <v>0</v>
      </c>
      <c r="R216" s="573">
        <f>+R279</f>
        <v>0</v>
      </c>
      <c r="S216" s="450"/>
      <c r="T216" s="574"/>
      <c r="U216" s="575"/>
      <c r="V216" s="430"/>
    </row>
    <row r="217" spans="1:22" x14ac:dyDescent="0.3">
      <c r="A217" s="576"/>
      <c r="B217" s="577" t="s">
        <v>83</v>
      </c>
      <c r="C217" s="578"/>
      <c r="D217" s="578"/>
      <c r="E217" s="578"/>
      <c r="F217" s="470"/>
      <c r="G217" s="470"/>
      <c r="H217" s="470"/>
      <c r="I217" s="470"/>
      <c r="J217" s="470"/>
      <c r="K217" s="470"/>
      <c r="L217" s="470"/>
      <c r="M217" s="470"/>
      <c r="N217" s="470"/>
      <c r="O217" s="470"/>
      <c r="P217" s="470"/>
      <c r="Q217" s="541"/>
      <c r="R217" s="579">
        <v>0</v>
      </c>
      <c r="S217" s="470"/>
      <c r="T217" s="580"/>
      <c r="U217" s="581"/>
      <c r="V217" s="416"/>
    </row>
    <row r="218" spans="1:22" x14ac:dyDescent="0.3">
      <c r="A218" s="576"/>
      <c r="B218" s="577" t="s">
        <v>84</v>
      </c>
      <c r="C218" s="578"/>
      <c r="D218" s="578"/>
      <c r="E218" s="578"/>
      <c r="F218" s="470"/>
      <c r="G218" s="470"/>
      <c r="H218" s="470"/>
      <c r="I218" s="470"/>
      <c r="J218" s="470"/>
      <c r="K218" s="470"/>
      <c r="L218" s="470"/>
      <c r="M218" s="470"/>
      <c r="N218" s="470"/>
      <c r="O218" s="470"/>
      <c r="P218" s="470"/>
      <c r="Q218" s="450"/>
      <c r="R218" s="582" t="s">
        <v>113</v>
      </c>
      <c r="S218" s="470"/>
      <c r="T218" s="580"/>
      <c r="U218" s="581"/>
      <c r="V218" s="416"/>
    </row>
    <row r="219" spans="1:22" x14ac:dyDescent="0.3">
      <c r="A219" s="583"/>
      <c r="B219" s="577" t="s">
        <v>85</v>
      </c>
      <c r="C219" s="584"/>
      <c r="D219" s="584"/>
      <c r="E219" s="584"/>
      <c r="F219" s="584"/>
      <c r="G219" s="470"/>
      <c r="H219" s="470"/>
      <c r="I219" s="470"/>
      <c r="J219" s="470"/>
      <c r="K219" s="470"/>
      <c r="L219" s="470"/>
      <c r="M219" s="470"/>
      <c r="N219" s="470"/>
      <c r="O219" s="470"/>
      <c r="P219" s="470"/>
      <c r="Q219" s="450"/>
      <c r="R219" s="573"/>
      <c r="S219" s="470"/>
      <c r="T219" s="580"/>
      <c r="U219" s="585"/>
      <c r="V219" s="416"/>
    </row>
    <row r="220" spans="1:22" s="431" customFormat="1" x14ac:dyDescent="0.3">
      <c r="A220" s="586"/>
      <c r="B220" s="450" t="s">
        <v>86</v>
      </c>
      <c r="C220" s="450"/>
      <c r="D220" s="450"/>
      <c r="E220" s="450"/>
      <c r="F220" s="450"/>
      <c r="G220" s="450"/>
      <c r="H220" s="450"/>
      <c r="I220" s="450"/>
      <c r="J220" s="450"/>
      <c r="K220" s="450"/>
      <c r="L220" s="450"/>
      <c r="M220" s="450"/>
      <c r="N220" s="450"/>
      <c r="O220" s="450"/>
      <c r="P220" s="450"/>
      <c r="Q220" s="456"/>
      <c r="R220" s="573">
        <f>T164</f>
        <v>12</v>
      </c>
      <c r="S220" s="450"/>
      <c r="T220" s="574"/>
      <c r="U220" s="587"/>
      <c r="V220" s="430"/>
    </row>
    <row r="221" spans="1:22" s="431" customFormat="1" x14ac:dyDescent="0.3">
      <c r="A221" s="571"/>
      <c r="B221" s="450" t="s">
        <v>87</v>
      </c>
      <c r="C221" s="514"/>
      <c r="D221" s="514"/>
      <c r="E221" s="514"/>
      <c r="F221" s="514"/>
      <c r="G221" s="450"/>
      <c r="H221" s="450"/>
      <c r="I221" s="450"/>
      <c r="J221" s="450"/>
      <c r="K221" s="450"/>
      <c r="L221" s="450"/>
      <c r="M221" s="450"/>
      <c r="N221" s="450"/>
      <c r="O221" s="450"/>
      <c r="P221" s="450"/>
      <c r="Q221" s="456"/>
      <c r="R221" s="573">
        <f>'Dec 19'!R221+R220</f>
        <v>7988</v>
      </c>
      <c r="S221" s="450"/>
      <c r="T221" s="574"/>
      <c r="U221" s="587"/>
      <c r="V221" s="430"/>
    </row>
    <row r="222" spans="1:22" x14ac:dyDescent="0.3">
      <c r="A222" s="583"/>
      <c r="B222" s="577" t="s">
        <v>282</v>
      </c>
      <c r="C222" s="584"/>
      <c r="D222" s="584"/>
      <c r="E222" s="584"/>
      <c r="F222" s="584"/>
      <c r="G222" s="470"/>
      <c r="H222" s="470"/>
      <c r="I222" s="470"/>
      <c r="J222" s="470"/>
      <c r="K222" s="470"/>
      <c r="L222" s="470"/>
      <c r="M222" s="470"/>
      <c r="N222" s="470"/>
      <c r="O222" s="470"/>
      <c r="P222" s="470"/>
      <c r="Q222" s="456"/>
      <c r="R222" s="573"/>
      <c r="S222" s="470"/>
      <c r="T222" s="580"/>
      <c r="U222" s="585"/>
      <c r="V222" s="416"/>
    </row>
    <row r="223" spans="1:22" s="431" customFormat="1" x14ac:dyDescent="0.3">
      <c r="A223" s="586"/>
      <c r="B223" s="450" t="s">
        <v>280</v>
      </c>
      <c r="C223" s="450"/>
      <c r="D223" s="450"/>
      <c r="E223" s="450"/>
      <c r="F223" s="450"/>
      <c r="G223" s="450"/>
      <c r="H223" s="450"/>
      <c r="I223" s="450"/>
      <c r="J223" s="450"/>
      <c r="K223" s="450"/>
      <c r="L223" s="450"/>
      <c r="M223" s="450"/>
      <c r="N223" s="450"/>
      <c r="O223" s="450"/>
      <c r="P223" s="450"/>
      <c r="Q223" s="456">
        <v>0</v>
      </c>
      <c r="R223" s="573">
        <v>0</v>
      </c>
      <c r="S223" s="450"/>
      <c r="T223" s="574"/>
      <c r="U223" s="587"/>
      <c r="V223" s="430"/>
    </row>
    <row r="224" spans="1:22" s="431" customFormat="1" x14ac:dyDescent="0.3">
      <c r="A224" s="571"/>
      <c r="B224" s="450" t="s">
        <v>89</v>
      </c>
      <c r="C224" s="486"/>
      <c r="D224" s="486"/>
      <c r="E224" s="486"/>
      <c r="F224" s="588"/>
      <c r="G224" s="450"/>
      <c r="H224" s="450"/>
      <c r="I224" s="450"/>
      <c r="J224" s="450"/>
      <c r="K224" s="450"/>
      <c r="L224" s="450"/>
      <c r="M224" s="450"/>
      <c r="N224" s="450"/>
      <c r="O224" s="450"/>
      <c r="P224" s="450"/>
      <c r="Q224" s="450"/>
      <c r="R224" s="582">
        <v>0</v>
      </c>
      <c r="S224" s="450"/>
      <c r="T224" s="574"/>
      <c r="U224" s="587"/>
      <c r="V224" s="430"/>
    </row>
    <row r="225" spans="1:23" s="431" customFormat="1" x14ac:dyDescent="0.3">
      <c r="A225" s="571"/>
      <c r="B225" s="450" t="s">
        <v>90</v>
      </c>
      <c r="C225" s="486"/>
      <c r="D225" s="486"/>
      <c r="E225" s="486"/>
      <c r="F225" s="588"/>
      <c r="G225" s="450"/>
      <c r="H225" s="450"/>
      <c r="I225" s="450"/>
      <c r="J225" s="450"/>
      <c r="K225" s="450"/>
      <c r="L225" s="450"/>
      <c r="M225" s="450"/>
      <c r="N225" s="450"/>
      <c r="O225" s="450"/>
      <c r="P225" s="450"/>
      <c r="Q225" s="450"/>
      <c r="R225" s="582">
        <v>0</v>
      </c>
      <c r="S225" s="450"/>
      <c r="T225" s="574"/>
      <c r="U225" s="587"/>
      <c r="V225" s="430"/>
    </row>
    <row r="226" spans="1:23" x14ac:dyDescent="0.3">
      <c r="A226" s="576"/>
      <c r="B226" s="577" t="s">
        <v>226</v>
      </c>
      <c r="C226" s="589"/>
      <c r="D226" s="589"/>
      <c r="E226" s="589"/>
      <c r="F226" s="590"/>
      <c r="G226" s="470"/>
      <c r="H226" s="470"/>
      <c r="I226" s="470"/>
      <c r="J226" s="470"/>
      <c r="K226" s="470"/>
      <c r="L226" s="470"/>
      <c r="M226" s="470"/>
      <c r="N226" s="470"/>
      <c r="O226" s="470"/>
      <c r="P226" s="470"/>
      <c r="Q226" s="456"/>
      <c r="R226" s="591"/>
      <c r="S226" s="470"/>
      <c r="T226" s="580"/>
      <c r="U226" s="585"/>
      <c r="V226" s="416"/>
    </row>
    <row r="227" spans="1:23" s="431" customFormat="1" x14ac:dyDescent="0.3">
      <c r="A227" s="571"/>
      <c r="B227" s="450" t="s">
        <v>280</v>
      </c>
      <c r="C227" s="486"/>
      <c r="D227" s="486"/>
      <c r="E227" s="486"/>
      <c r="F227" s="588"/>
      <c r="G227" s="450"/>
      <c r="H227" s="450"/>
      <c r="I227" s="450"/>
      <c r="J227" s="450"/>
      <c r="K227" s="450"/>
      <c r="L227" s="450"/>
      <c r="M227" s="450"/>
      <c r="N227" s="450"/>
      <c r="O227" s="450"/>
      <c r="P227" s="450"/>
      <c r="Q227" s="456">
        <v>1</v>
      </c>
      <c r="R227" s="573">
        <v>118</v>
      </c>
      <c r="S227" s="450"/>
      <c r="T227" s="574"/>
      <c r="U227" s="587"/>
      <c r="V227" s="430"/>
    </row>
    <row r="228" spans="1:23" s="431" customFormat="1" x14ac:dyDescent="0.3">
      <c r="A228" s="571"/>
      <c r="B228" s="450" t="s">
        <v>227</v>
      </c>
      <c r="C228" s="486"/>
      <c r="D228" s="486"/>
      <c r="E228" s="486"/>
      <c r="F228" s="588"/>
      <c r="G228" s="450"/>
      <c r="H228" s="450"/>
      <c r="I228" s="450"/>
      <c r="J228" s="450"/>
      <c r="K228" s="450"/>
      <c r="L228" s="450"/>
      <c r="M228" s="450"/>
      <c r="N228" s="450"/>
      <c r="O228" s="450"/>
      <c r="P228" s="450"/>
      <c r="Q228" s="456"/>
      <c r="R228" s="582">
        <v>0</v>
      </c>
      <c r="S228" s="450"/>
      <c r="T228" s="574"/>
      <c r="U228" s="587"/>
      <c r="V228" s="430"/>
    </row>
    <row r="229" spans="1:23" x14ac:dyDescent="0.3">
      <c r="A229" s="576"/>
      <c r="B229" s="584"/>
      <c r="C229" s="589"/>
      <c r="D229" s="589"/>
      <c r="E229" s="589"/>
      <c r="F229" s="590"/>
      <c r="G229" s="470"/>
      <c r="H229" s="470"/>
      <c r="I229" s="470"/>
      <c r="J229" s="470"/>
      <c r="K229" s="470"/>
      <c r="L229" s="470"/>
      <c r="M229" s="470"/>
      <c r="N229" s="470"/>
      <c r="O229" s="470"/>
      <c r="P229" s="470"/>
      <c r="Q229" s="450"/>
      <c r="R229" s="591"/>
      <c r="S229" s="470"/>
      <c r="T229" s="580"/>
      <c r="U229" s="585"/>
      <c r="V229" s="416"/>
    </row>
    <row r="230" spans="1:23" x14ac:dyDescent="0.3">
      <c r="A230" s="576"/>
      <c r="B230" s="584"/>
      <c r="C230" s="589"/>
      <c r="D230" s="589"/>
      <c r="E230" s="589"/>
      <c r="F230" s="590"/>
      <c r="G230" s="470"/>
      <c r="H230" s="470"/>
      <c r="I230" s="470"/>
      <c r="J230" s="470"/>
      <c r="K230" s="470"/>
      <c r="L230" s="470"/>
      <c r="M230" s="470"/>
      <c r="N230" s="470"/>
      <c r="O230" s="470"/>
      <c r="P230" s="470"/>
      <c r="Q230" s="450"/>
      <c r="R230" s="591"/>
      <c r="S230" s="470"/>
      <c r="T230" s="580"/>
      <c r="U230" s="585"/>
      <c r="V230" s="416"/>
    </row>
    <row r="231" spans="1:23" ht="18" x14ac:dyDescent="0.35">
      <c r="A231" s="576"/>
      <c r="B231" s="592" t="s">
        <v>175</v>
      </c>
      <c r="C231" s="589"/>
      <c r="D231" s="589"/>
      <c r="E231" s="589"/>
      <c r="F231" s="590"/>
      <c r="G231" s="470"/>
      <c r="H231" s="470"/>
      <c r="I231" s="470"/>
      <c r="J231" s="470"/>
      <c r="K231" s="470"/>
      <c r="L231" s="470"/>
      <c r="M231" s="470"/>
      <c r="N231" s="647" t="s">
        <v>356</v>
      </c>
      <c r="O231" s="470"/>
      <c r="P231" s="470"/>
      <c r="Q231" s="470"/>
      <c r="R231" s="593"/>
      <c r="S231" s="470"/>
      <c r="T231" s="580"/>
      <c r="U231" s="585"/>
      <c r="V231" s="416"/>
    </row>
    <row r="232" spans="1:23" x14ac:dyDescent="0.3">
      <c r="A232" s="594"/>
      <c r="B232" s="563"/>
      <c r="C232" s="595"/>
      <c r="D232" s="595"/>
      <c r="E232" s="595"/>
      <c r="F232" s="596"/>
      <c r="G232" s="516"/>
      <c r="H232" s="516"/>
      <c r="I232" s="516"/>
      <c r="J232" s="516"/>
      <c r="K232" s="516"/>
      <c r="L232" s="516"/>
      <c r="M232" s="516"/>
      <c r="N232" s="516"/>
      <c r="O232" s="516"/>
      <c r="P232" s="516"/>
      <c r="Q232" s="516"/>
      <c r="R232" s="597"/>
      <c r="S232" s="516"/>
      <c r="T232" s="564"/>
      <c r="U232" s="645"/>
      <c r="V232" s="416"/>
    </row>
    <row r="233" spans="1:23" x14ac:dyDescent="0.3">
      <c r="A233" s="442"/>
      <c r="B233" s="598" t="s">
        <v>295</v>
      </c>
      <c r="C233" s="599"/>
      <c r="D233" s="599"/>
      <c r="E233" s="599"/>
      <c r="F233" s="600"/>
      <c r="G233" s="599"/>
      <c r="H233" s="599"/>
      <c r="I233" s="599"/>
      <c r="J233" s="599"/>
      <c r="K233" s="599"/>
      <c r="L233" s="599"/>
      <c r="M233" s="599"/>
      <c r="N233" s="599"/>
      <c r="O233" s="599"/>
      <c r="P233" s="600" t="s">
        <v>105</v>
      </c>
      <c r="Q233" s="599" t="s">
        <v>106</v>
      </c>
      <c r="R233" s="600" t="s">
        <v>114</v>
      </c>
      <c r="S233" s="599" t="s">
        <v>106</v>
      </c>
      <c r="T233" s="601"/>
      <c r="U233" s="605"/>
      <c r="V233" s="416"/>
    </row>
    <row r="234" spans="1:23" s="431" customFormat="1" x14ac:dyDescent="0.3">
      <c r="A234" s="632"/>
      <c r="B234" s="633" t="s">
        <v>91</v>
      </c>
      <c r="C234" s="634"/>
      <c r="D234" s="634"/>
      <c r="E234" s="634"/>
      <c r="F234" s="635"/>
      <c r="G234" s="634"/>
      <c r="H234" s="634"/>
      <c r="I234" s="634"/>
      <c r="J234" s="634"/>
      <c r="K234" s="634"/>
      <c r="L234" s="634"/>
      <c r="M234" s="634"/>
      <c r="N234" s="634"/>
      <c r="O234" s="634"/>
      <c r="P234" s="633">
        <f t="shared" ref="P234:P241" si="1">+P246+P258+P270</f>
        <v>2730</v>
      </c>
      <c r="Q234" s="636">
        <f t="shared" ref="Q234:Q241" si="2">P234/$P$243</f>
        <v>0.98913043478260865</v>
      </c>
      <c r="R234" s="637">
        <f t="shared" ref="R234:R241" si="3">+R246+R258+R270</f>
        <v>346994</v>
      </c>
      <c r="S234" s="636">
        <f t="shared" ref="S234:S241" si="4">R234/$R$243</f>
        <v>0.98875309524962884</v>
      </c>
      <c r="T234" s="630"/>
      <c r="U234" s="631"/>
      <c r="V234" s="430"/>
    </row>
    <row r="235" spans="1:23" s="431" customFormat="1" x14ac:dyDescent="0.3">
      <c r="A235" s="449"/>
      <c r="B235" s="514" t="s">
        <v>92</v>
      </c>
      <c r="C235" s="603"/>
      <c r="D235" s="603"/>
      <c r="E235" s="603"/>
      <c r="F235" s="450"/>
      <c r="G235" s="602"/>
      <c r="H235" s="603"/>
      <c r="I235" s="603"/>
      <c r="J235" s="603"/>
      <c r="K235" s="603"/>
      <c r="L235" s="603"/>
      <c r="M235" s="603"/>
      <c r="N235" s="603"/>
      <c r="O235" s="603"/>
      <c r="P235" s="514">
        <f t="shared" si="1"/>
        <v>18</v>
      </c>
      <c r="Q235" s="602">
        <f t="shared" si="2"/>
        <v>6.5217391304347823E-3</v>
      </c>
      <c r="R235" s="515">
        <f t="shared" si="3"/>
        <v>2924</v>
      </c>
      <c r="S235" s="602">
        <f t="shared" si="4"/>
        <v>8.3318848467406198E-3</v>
      </c>
      <c r="T235" s="574"/>
      <c r="U235" s="587"/>
      <c r="V235" s="430"/>
      <c r="W235" s="533"/>
    </row>
    <row r="236" spans="1:23" s="431" customFormat="1" x14ac:dyDescent="0.3">
      <c r="A236" s="449"/>
      <c r="B236" s="514" t="s">
        <v>93</v>
      </c>
      <c r="C236" s="603"/>
      <c r="D236" s="603"/>
      <c r="E236" s="603"/>
      <c r="F236" s="450"/>
      <c r="G236" s="602"/>
      <c r="H236" s="603"/>
      <c r="I236" s="603"/>
      <c r="J236" s="603"/>
      <c r="K236" s="603"/>
      <c r="L236" s="603"/>
      <c r="M236" s="603"/>
      <c r="N236" s="603"/>
      <c r="O236" s="603"/>
      <c r="P236" s="514">
        <f t="shared" si="1"/>
        <v>8</v>
      </c>
      <c r="Q236" s="602">
        <f t="shared" si="2"/>
        <v>2.8985507246376812E-3</v>
      </c>
      <c r="R236" s="515">
        <f t="shared" si="3"/>
        <v>736</v>
      </c>
      <c r="S236" s="602">
        <f t="shared" si="4"/>
        <v>2.0972186207938088E-3</v>
      </c>
      <c r="T236" s="574"/>
      <c r="U236" s="587"/>
      <c r="V236" s="430"/>
    </row>
    <row r="237" spans="1:23" s="431" customFormat="1" x14ac:dyDescent="0.3">
      <c r="A237" s="449"/>
      <c r="B237" s="514" t="s">
        <v>163</v>
      </c>
      <c r="C237" s="603"/>
      <c r="D237" s="603"/>
      <c r="E237" s="603"/>
      <c r="F237" s="450"/>
      <c r="G237" s="602"/>
      <c r="H237" s="603"/>
      <c r="I237" s="603"/>
      <c r="J237" s="603"/>
      <c r="K237" s="603"/>
      <c r="L237" s="603"/>
      <c r="M237" s="603"/>
      <c r="N237" s="603"/>
      <c r="O237" s="603"/>
      <c r="P237" s="514">
        <f t="shared" si="1"/>
        <v>3</v>
      </c>
      <c r="Q237" s="602">
        <f t="shared" si="2"/>
        <v>1.0869565217391304E-3</v>
      </c>
      <c r="R237" s="515">
        <f t="shared" si="3"/>
        <v>183</v>
      </c>
      <c r="S237" s="602">
        <f t="shared" si="4"/>
        <v>5.214551733767215E-4</v>
      </c>
      <c r="T237" s="574"/>
      <c r="U237" s="587"/>
      <c r="V237" s="430"/>
      <c r="W237" s="533"/>
    </row>
    <row r="238" spans="1:23" s="431" customFormat="1" x14ac:dyDescent="0.3">
      <c r="A238" s="449"/>
      <c r="B238" s="514" t="s">
        <v>164</v>
      </c>
      <c r="C238" s="603"/>
      <c r="D238" s="603"/>
      <c r="E238" s="603"/>
      <c r="F238" s="450"/>
      <c r="G238" s="602"/>
      <c r="H238" s="603"/>
      <c r="I238" s="603"/>
      <c r="J238" s="603"/>
      <c r="K238" s="603"/>
      <c r="L238" s="603"/>
      <c r="M238" s="603"/>
      <c r="N238" s="603"/>
      <c r="O238" s="603"/>
      <c r="P238" s="514">
        <f t="shared" si="1"/>
        <v>1</v>
      </c>
      <c r="Q238" s="602">
        <f t="shared" si="2"/>
        <v>3.6231884057971015E-4</v>
      </c>
      <c r="R238" s="515">
        <f t="shared" si="3"/>
        <v>104</v>
      </c>
      <c r="S238" s="602">
        <f t="shared" si="4"/>
        <v>2.9634610945999468E-4</v>
      </c>
      <c r="T238" s="574"/>
      <c r="U238" s="587"/>
      <c r="V238" s="430"/>
    </row>
    <row r="239" spans="1:23" s="431" customFormat="1" x14ac:dyDescent="0.3">
      <c r="A239" s="449"/>
      <c r="B239" s="514" t="s">
        <v>165</v>
      </c>
      <c r="C239" s="603"/>
      <c r="D239" s="603"/>
      <c r="E239" s="603"/>
      <c r="F239" s="450"/>
      <c r="G239" s="602"/>
      <c r="H239" s="603"/>
      <c r="I239" s="603"/>
      <c r="J239" s="603"/>
      <c r="K239" s="603"/>
      <c r="L239" s="603"/>
      <c r="M239" s="603"/>
      <c r="N239" s="603"/>
      <c r="O239" s="603"/>
      <c r="P239" s="514">
        <f t="shared" si="1"/>
        <v>0</v>
      </c>
      <c r="Q239" s="602">
        <f t="shared" si="2"/>
        <v>0</v>
      </c>
      <c r="R239" s="515">
        <f t="shared" si="3"/>
        <v>0</v>
      </c>
      <c r="S239" s="602">
        <f t="shared" si="4"/>
        <v>0</v>
      </c>
      <c r="T239" s="574"/>
      <c r="U239" s="587"/>
      <c r="V239" s="430"/>
      <c r="W239" s="533"/>
    </row>
    <row r="240" spans="1:23" s="431" customFormat="1" x14ac:dyDescent="0.3">
      <c r="A240" s="449"/>
      <c r="B240" s="514" t="s">
        <v>166</v>
      </c>
      <c r="C240" s="603"/>
      <c r="D240" s="603"/>
      <c r="E240" s="603"/>
      <c r="F240" s="450"/>
      <c r="G240" s="602"/>
      <c r="H240" s="603"/>
      <c r="I240" s="603"/>
      <c r="J240" s="603"/>
      <c r="K240" s="603"/>
      <c r="L240" s="603"/>
      <c r="M240" s="603"/>
      <c r="N240" s="603"/>
      <c r="O240" s="603"/>
      <c r="P240" s="514">
        <f t="shared" si="1"/>
        <v>0</v>
      </c>
      <c r="Q240" s="602">
        <f t="shared" si="2"/>
        <v>0</v>
      </c>
      <c r="R240" s="515">
        <f t="shared" si="3"/>
        <v>0</v>
      </c>
      <c r="S240" s="602">
        <f t="shared" si="4"/>
        <v>0</v>
      </c>
      <c r="T240" s="574"/>
      <c r="U240" s="587"/>
      <c r="V240" s="430"/>
    </row>
    <row r="241" spans="1:23" s="431" customFormat="1" x14ac:dyDescent="0.3">
      <c r="A241" s="449"/>
      <c r="B241" s="514" t="s">
        <v>167</v>
      </c>
      <c r="C241" s="603"/>
      <c r="D241" s="603"/>
      <c r="E241" s="603"/>
      <c r="F241" s="450"/>
      <c r="G241" s="602"/>
      <c r="H241" s="603"/>
      <c r="I241" s="603"/>
      <c r="J241" s="603"/>
      <c r="K241" s="603"/>
      <c r="L241" s="603"/>
      <c r="M241" s="603"/>
      <c r="N241" s="603"/>
      <c r="O241" s="603"/>
      <c r="P241" s="514">
        <f t="shared" si="1"/>
        <v>0</v>
      </c>
      <c r="Q241" s="602">
        <f t="shared" si="2"/>
        <v>0</v>
      </c>
      <c r="R241" s="515">
        <f t="shared" si="3"/>
        <v>0</v>
      </c>
      <c r="S241" s="602">
        <f t="shared" si="4"/>
        <v>0</v>
      </c>
      <c r="T241" s="574"/>
      <c r="U241" s="587"/>
      <c r="V241" s="430"/>
      <c r="W241" s="533"/>
    </row>
    <row r="242" spans="1:23" s="431" customFormat="1" x14ac:dyDescent="0.3">
      <c r="A242" s="449"/>
      <c r="B242" s="514"/>
      <c r="C242" s="603"/>
      <c r="D242" s="603"/>
      <c r="E242" s="603"/>
      <c r="F242" s="450"/>
      <c r="G242" s="602"/>
      <c r="H242" s="603"/>
      <c r="I242" s="603"/>
      <c r="J242" s="603"/>
      <c r="K242" s="603"/>
      <c r="L242" s="603"/>
      <c r="M242" s="603"/>
      <c r="N242" s="603"/>
      <c r="O242" s="603"/>
      <c r="P242" s="514"/>
      <c r="Q242" s="602"/>
      <c r="R242" s="515"/>
      <c r="S242" s="602"/>
      <c r="T242" s="574"/>
      <c r="U242" s="587"/>
      <c r="V242" s="430"/>
    </row>
    <row r="243" spans="1:23" s="431" customFormat="1" x14ac:dyDescent="0.3">
      <c r="A243" s="449"/>
      <c r="B243" s="450" t="s">
        <v>120</v>
      </c>
      <c r="C243" s="450"/>
      <c r="D243" s="450"/>
      <c r="E243" s="450"/>
      <c r="F243" s="450"/>
      <c r="G243" s="450"/>
      <c r="H243" s="604"/>
      <c r="I243" s="604"/>
      <c r="J243" s="604"/>
      <c r="K243" s="604"/>
      <c r="L243" s="604"/>
      <c r="M243" s="604"/>
      <c r="N243" s="604"/>
      <c r="O243" s="604"/>
      <c r="P243" s="514">
        <f>SUM(P234:P242)</f>
        <v>2760</v>
      </c>
      <c r="Q243" s="602">
        <f>SUM(Q234:Q242)</f>
        <v>0.99999999999999989</v>
      </c>
      <c r="R243" s="515">
        <f>SUM(R234:R242)</f>
        <v>350941</v>
      </c>
      <c r="S243" s="602">
        <f>SUM(S234:S242)</f>
        <v>1</v>
      </c>
      <c r="T243" s="450"/>
      <c r="U243" s="452"/>
      <c r="V243" s="430"/>
    </row>
    <row r="244" spans="1:23" x14ac:dyDescent="0.3">
      <c r="A244" s="594"/>
      <c r="B244" s="563"/>
      <c r="C244" s="595"/>
      <c r="D244" s="595"/>
      <c r="E244" s="595"/>
      <c r="F244" s="596"/>
      <c r="G244" s="516"/>
      <c r="H244" s="516"/>
      <c r="I244" s="516"/>
      <c r="J244" s="516"/>
      <c r="K244" s="516"/>
      <c r="L244" s="516"/>
      <c r="M244" s="516"/>
      <c r="N244" s="516"/>
      <c r="O244" s="516"/>
      <c r="P244" s="516"/>
      <c r="Q244" s="516"/>
      <c r="R244" s="597"/>
      <c r="S244" s="516"/>
      <c r="T244" s="564"/>
      <c r="U244" s="645"/>
      <c r="V244" s="416"/>
    </row>
    <row r="245" spans="1:23" x14ac:dyDescent="0.3">
      <c r="A245" s="442"/>
      <c r="B245" s="521" t="s">
        <v>169</v>
      </c>
      <c r="C245" s="522"/>
      <c r="D245" s="522"/>
      <c r="E245" s="522"/>
      <c r="F245" s="566"/>
      <c r="G245" s="522"/>
      <c r="H245" s="522"/>
      <c r="I245" s="522"/>
      <c r="J245" s="522"/>
      <c r="K245" s="522"/>
      <c r="L245" s="522"/>
      <c r="M245" s="522"/>
      <c r="N245" s="522"/>
      <c r="O245" s="522"/>
      <c r="P245" s="566" t="s">
        <v>105</v>
      </c>
      <c r="Q245" s="522" t="s">
        <v>106</v>
      </c>
      <c r="R245" s="566" t="s">
        <v>114</v>
      </c>
      <c r="S245" s="522" t="s">
        <v>106</v>
      </c>
      <c r="T245" s="443"/>
      <c r="U245" s="605"/>
      <c r="V245" s="416"/>
    </row>
    <row r="246" spans="1:23" s="431" customFormat="1" x14ac:dyDescent="0.3">
      <c r="A246" s="432"/>
      <c r="B246" s="525" t="s">
        <v>91</v>
      </c>
      <c r="C246" s="606"/>
      <c r="D246" s="606"/>
      <c r="E246" s="606"/>
      <c r="F246" s="447"/>
      <c r="G246" s="606"/>
      <c r="H246" s="606"/>
      <c r="I246" s="606"/>
      <c r="J246" s="606"/>
      <c r="K246" s="606"/>
      <c r="L246" s="606"/>
      <c r="M246" s="606"/>
      <c r="N246" s="606"/>
      <c r="O246" s="606"/>
      <c r="P246" s="525">
        <v>2707</v>
      </c>
      <c r="Q246" s="607">
        <f t="shared" ref="Q246:Q253" si="5">P246/$P$255</f>
        <v>0.98940058479532167</v>
      </c>
      <c r="R246" s="526">
        <v>343499</v>
      </c>
      <c r="S246" s="607">
        <f t="shared" ref="S246:S253" si="6">R246/$R$255</f>
        <v>0.98894451817964579</v>
      </c>
      <c r="T246" s="570"/>
      <c r="U246" s="646"/>
      <c r="V246" s="430"/>
    </row>
    <row r="247" spans="1:23" s="431" customFormat="1" x14ac:dyDescent="0.3">
      <c r="A247" s="449"/>
      <c r="B247" s="514" t="s">
        <v>92</v>
      </c>
      <c r="C247" s="603"/>
      <c r="D247" s="603"/>
      <c r="E247" s="603"/>
      <c r="F247" s="450"/>
      <c r="G247" s="602"/>
      <c r="H247" s="603"/>
      <c r="I247" s="603"/>
      <c r="J247" s="603"/>
      <c r="K247" s="603"/>
      <c r="L247" s="603"/>
      <c r="M247" s="603"/>
      <c r="N247" s="603"/>
      <c r="O247" s="603"/>
      <c r="P247" s="514">
        <v>18</v>
      </c>
      <c r="Q247" s="602">
        <f t="shared" si="5"/>
        <v>6.5789473684210523E-3</v>
      </c>
      <c r="R247" s="515">
        <v>2924</v>
      </c>
      <c r="S247" s="602">
        <f t="shared" si="6"/>
        <v>8.4182887611238596E-3</v>
      </c>
      <c r="T247" s="574"/>
      <c r="U247" s="587"/>
      <c r="V247" s="430"/>
      <c r="W247" s="533"/>
    </row>
    <row r="248" spans="1:23" s="431" customFormat="1" x14ac:dyDescent="0.3">
      <c r="A248" s="449"/>
      <c r="B248" s="514" t="s">
        <v>93</v>
      </c>
      <c r="C248" s="603"/>
      <c r="D248" s="603"/>
      <c r="E248" s="603"/>
      <c r="F248" s="450"/>
      <c r="G248" s="602"/>
      <c r="H248" s="603"/>
      <c r="I248" s="603"/>
      <c r="J248" s="603"/>
      <c r="K248" s="603"/>
      <c r="L248" s="603"/>
      <c r="M248" s="603"/>
      <c r="N248" s="603"/>
      <c r="O248" s="603"/>
      <c r="P248" s="514">
        <v>7</v>
      </c>
      <c r="Q248" s="602">
        <f t="shared" si="5"/>
        <v>2.5584795321637425E-3</v>
      </c>
      <c r="R248" s="515">
        <v>629</v>
      </c>
      <c r="S248" s="602">
        <f t="shared" si="6"/>
        <v>1.8109109544278067E-3</v>
      </c>
      <c r="T248" s="574"/>
      <c r="U248" s="587"/>
      <c r="V248" s="430"/>
    </row>
    <row r="249" spans="1:23" s="431" customFormat="1" x14ac:dyDescent="0.3">
      <c r="A249" s="449"/>
      <c r="B249" s="514" t="s">
        <v>163</v>
      </c>
      <c r="C249" s="603"/>
      <c r="D249" s="603"/>
      <c r="E249" s="603"/>
      <c r="F249" s="450"/>
      <c r="G249" s="602"/>
      <c r="H249" s="603"/>
      <c r="I249" s="603"/>
      <c r="J249" s="603"/>
      <c r="K249" s="603"/>
      <c r="L249" s="603"/>
      <c r="M249" s="603"/>
      <c r="N249" s="603"/>
      <c r="O249" s="603"/>
      <c r="P249" s="514">
        <v>3</v>
      </c>
      <c r="Q249" s="602">
        <f t="shared" si="5"/>
        <v>1.0964912280701754E-3</v>
      </c>
      <c r="R249" s="515">
        <v>183</v>
      </c>
      <c r="S249" s="602">
        <f t="shared" si="6"/>
        <v>5.2686280550125382E-4</v>
      </c>
      <c r="T249" s="574"/>
      <c r="U249" s="587"/>
      <c r="V249" s="430"/>
      <c r="W249" s="533"/>
    </row>
    <row r="250" spans="1:23" s="431" customFormat="1" x14ac:dyDescent="0.3">
      <c r="A250" s="449"/>
      <c r="B250" s="514" t="s">
        <v>164</v>
      </c>
      <c r="C250" s="603"/>
      <c r="D250" s="603"/>
      <c r="E250" s="603"/>
      <c r="F250" s="450"/>
      <c r="G250" s="602"/>
      <c r="H250" s="603"/>
      <c r="I250" s="603"/>
      <c r="J250" s="603"/>
      <c r="K250" s="603"/>
      <c r="L250" s="603"/>
      <c r="M250" s="603"/>
      <c r="N250" s="603"/>
      <c r="O250" s="603"/>
      <c r="P250" s="514">
        <v>1</v>
      </c>
      <c r="Q250" s="602">
        <f t="shared" si="5"/>
        <v>3.6549707602339179E-4</v>
      </c>
      <c r="R250" s="515">
        <v>104</v>
      </c>
      <c r="S250" s="602">
        <f t="shared" si="6"/>
        <v>2.99419299301259E-4</v>
      </c>
      <c r="T250" s="574"/>
      <c r="U250" s="587"/>
      <c r="V250" s="430"/>
    </row>
    <row r="251" spans="1:23" s="431" customFormat="1" x14ac:dyDescent="0.3">
      <c r="A251" s="449"/>
      <c r="B251" s="514" t="s">
        <v>165</v>
      </c>
      <c r="C251" s="603"/>
      <c r="D251" s="603"/>
      <c r="E251" s="603"/>
      <c r="F251" s="450"/>
      <c r="G251" s="602"/>
      <c r="H251" s="603"/>
      <c r="I251" s="603"/>
      <c r="J251" s="603"/>
      <c r="K251" s="603"/>
      <c r="L251" s="603"/>
      <c r="M251" s="603"/>
      <c r="N251" s="603"/>
      <c r="O251" s="603"/>
      <c r="P251" s="514">
        <v>0</v>
      </c>
      <c r="Q251" s="602">
        <f t="shared" si="5"/>
        <v>0</v>
      </c>
      <c r="R251" s="515">
        <v>0</v>
      </c>
      <c r="S251" s="602">
        <f t="shared" si="6"/>
        <v>0</v>
      </c>
      <c r="T251" s="574"/>
      <c r="U251" s="587"/>
      <c r="V251" s="430"/>
      <c r="W251" s="533"/>
    </row>
    <row r="252" spans="1:23" s="431" customFormat="1" x14ac:dyDescent="0.3">
      <c r="A252" s="449"/>
      <c r="B252" s="514" t="s">
        <v>166</v>
      </c>
      <c r="C252" s="603"/>
      <c r="D252" s="603"/>
      <c r="E252" s="603"/>
      <c r="F252" s="450"/>
      <c r="G252" s="602"/>
      <c r="H252" s="603"/>
      <c r="I252" s="603"/>
      <c r="J252" s="603"/>
      <c r="K252" s="603"/>
      <c r="L252" s="603"/>
      <c r="M252" s="603"/>
      <c r="N252" s="603"/>
      <c r="O252" s="603"/>
      <c r="P252" s="514">
        <v>0</v>
      </c>
      <c r="Q252" s="602">
        <f t="shared" si="5"/>
        <v>0</v>
      </c>
      <c r="R252" s="515">
        <v>0</v>
      </c>
      <c r="S252" s="602">
        <f t="shared" si="6"/>
        <v>0</v>
      </c>
      <c r="T252" s="574"/>
      <c r="U252" s="587"/>
      <c r="V252" s="430"/>
    </row>
    <row r="253" spans="1:23" s="431" customFormat="1" x14ac:dyDescent="0.3">
      <c r="A253" s="449"/>
      <c r="B253" s="514" t="s">
        <v>167</v>
      </c>
      <c r="C253" s="603"/>
      <c r="D253" s="603"/>
      <c r="E253" s="603"/>
      <c r="F253" s="450"/>
      <c r="G253" s="602"/>
      <c r="H253" s="603"/>
      <c r="I253" s="603"/>
      <c r="J253" s="603"/>
      <c r="K253" s="603"/>
      <c r="L253" s="603"/>
      <c r="M253" s="603"/>
      <c r="N253" s="603"/>
      <c r="O253" s="603"/>
      <c r="P253" s="514">
        <v>0</v>
      </c>
      <c r="Q253" s="602">
        <f t="shared" si="5"/>
        <v>0</v>
      </c>
      <c r="R253" s="515">
        <v>0</v>
      </c>
      <c r="S253" s="602">
        <f t="shared" si="6"/>
        <v>0</v>
      </c>
      <c r="T253" s="574"/>
      <c r="U253" s="587"/>
      <c r="V253" s="430"/>
      <c r="W253" s="533"/>
    </row>
    <row r="254" spans="1:23" s="431" customFormat="1" x14ac:dyDescent="0.3">
      <c r="A254" s="449"/>
      <c r="B254" s="514"/>
      <c r="C254" s="603"/>
      <c r="D254" s="603"/>
      <c r="E254" s="603"/>
      <c r="F254" s="450"/>
      <c r="G254" s="602"/>
      <c r="H254" s="603"/>
      <c r="I254" s="603"/>
      <c r="J254" s="603"/>
      <c r="K254" s="603"/>
      <c r="L254" s="603"/>
      <c r="M254" s="603"/>
      <c r="N254" s="603"/>
      <c r="O254" s="603"/>
      <c r="P254" s="514"/>
      <c r="Q254" s="602"/>
      <c r="R254" s="515"/>
      <c r="S254" s="602"/>
      <c r="T254" s="574"/>
      <c r="U254" s="587"/>
      <c r="V254" s="430"/>
    </row>
    <row r="255" spans="1:23" s="431" customFormat="1" x14ac:dyDescent="0.3">
      <c r="A255" s="449"/>
      <c r="B255" s="450" t="s">
        <v>120</v>
      </c>
      <c r="C255" s="450"/>
      <c r="D255" s="450"/>
      <c r="E255" s="450"/>
      <c r="F255" s="450"/>
      <c r="G255" s="450"/>
      <c r="H255" s="604"/>
      <c r="I255" s="604"/>
      <c r="J255" s="604"/>
      <c r="K255" s="604"/>
      <c r="L255" s="604"/>
      <c r="M255" s="604"/>
      <c r="N255" s="604"/>
      <c r="O255" s="604"/>
      <c r="P255" s="514">
        <f>SUM(P246:P254)</f>
        <v>2736</v>
      </c>
      <c r="Q255" s="602">
        <f>SUM(Q246:Q254)</f>
        <v>1</v>
      </c>
      <c r="R255" s="515">
        <f>SUM(R246:R254)</f>
        <v>347339</v>
      </c>
      <c r="S255" s="602">
        <f>SUM(S246:S254)</f>
        <v>0.99999999999999989</v>
      </c>
      <c r="T255" s="450"/>
      <c r="U255" s="452"/>
      <c r="V255" s="430"/>
    </row>
    <row r="256" spans="1:23" x14ac:dyDescent="0.3">
      <c r="A256" s="418"/>
      <c r="B256" s="516"/>
      <c r="C256" s="516"/>
      <c r="D256" s="516"/>
      <c r="E256" s="516"/>
      <c r="F256" s="516"/>
      <c r="G256" s="516"/>
      <c r="H256" s="608"/>
      <c r="I256" s="608"/>
      <c r="J256" s="608"/>
      <c r="K256" s="608"/>
      <c r="L256" s="608"/>
      <c r="M256" s="608"/>
      <c r="N256" s="608"/>
      <c r="O256" s="608"/>
      <c r="P256" s="517"/>
      <c r="Q256" s="609"/>
      <c r="R256" s="610"/>
      <c r="S256" s="609"/>
      <c r="T256" s="516"/>
      <c r="U256" s="639"/>
      <c r="V256" s="416"/>
    </row>
    <row r="257" spans="1:22" x14ac:dyDescent="0.3">
      <c r="A257" s="442"/>
      <c r="B257" s="521" t="s">
        <v>267</v>
      </c>
      <c r="C257" s="522"/>
      <c r="D257" s="522"/>
      <c r="E257" s="522"/>
      <c r="F257" s="566"/>
      <c r="G257" s="522"/>
      <c r="H257" s="522"/>
      <c r="I257" s="522"/>
      <c r="J257" s="522"/>
      <c r="K257" s="522"/>
      <c r="L257" s="522"/>
      <c r="M257" s="522"/>
      <c r="N257" s="522"/>
      <c r="O257" s="522"/>
      <c r="P257" s="566" t="s">
        <v>105</v>
      </c>
      <c r="Q257" s="522" t="s">
        <v>106</v>
      </c>
      <c r="R257" s="566" t="s">
        <v>114</v>
      </c>
      <c r="S257" s="522" t="s">
        <v>106</v>
      </c>
      <c r="T257" s="443"/>
      <c r="U257" s="446"/>
      <c r="V257" s="416"/>
    </row>
    <row r="258" spans="1:22" s="431" customFormat="1" x14ac:dyDescent="0.3">
      <c r="A258" s="432"/>
      <c r="B258" s="525" t="s">
        <v>91</v>
      </c>
      <c r="C258" s="606"/>
      <c r="D258" s="606"/>
      <c r="E258" s="606"/>
      <c r="F258" s="447"/>
      <c r="G258" s="606"/>
      <c r="H258" s="606"/>
      <c r="I258" s="606"/>
      <c r="J258" s="606"/>
      <c r="K258" s="606"/>
      <c r="L258" s="606"/>
      <c r="M258" s="606"/>
      <c r="N258" s="606"/>
      <c r="O258" s="606"/>
      <c r="P258" s="525">
        <v>23</v>
      </c>
      <c r="Q258" s="607">
        <f t="shared" ref="Q258:Q265" si="7">P258/$P$267</f>
        <v>0.95833333333333337</v>
      </c>
      <c r="R258" s="526">
        <v>3495</v>
      </c>
      <c r="S258" s="607">
        <f>R258/$R$267</f>
        <v>0.97029428095502501</v>
      </c>
      <c r="T258" s="447"/>
      <c r="U258" s="641"/>
      <c r="V258" s="430"/>
    </row>
    <row r="259" spans="1:22" s="431" customFormat="1" x14ac:dyDescent="0.3">
      <c r="A259" s="449"/>
      <c r="B259" s="514" t="s">
        <v>92</v>
      </c>
      <c r="C259" s="603"/>
      <c r="D259" s="603"/>
      <c r="E259" s="603"/>
      <c r="F259" s="450"/>
      <c r="G259" s="602"/>
      <c r="H259" s="603"/>
      <c r="I259" s="603"/>
      <c r="J259" s="603"/>
      <c r="K259" s="603"/>
      <c r="L259" s="603"/>
      <c r="M259" s="603"/>
      <c r="N259" s="603"/>
      <c r="O259" s="603"/>
      <c r="P259" s="514">
        <v>0</v>
      </c>
      <c r="Q259" s="602">
        <f t="shared" si="7"/>
        <v>0</v>
      </c>
      <c r="R259" s="515">
        <v>0</v>
      </c>
      <c r="S259" s="602">
        <f t="shared" ref="S259:S265" si="8">R259/$R$267</f>
        <v>0</v>
      </c>
      <c r="T259" s="450"/>
      <c r="U259" s="452"/>
      <c r="V259" s="430"/>
    </row>
    <row r="260" spans="1:22" s="431" customFormat="1" x14ac:dyDescent="0.3">
      <c r="A260" s="449"/>
      <c r="B260" s="514" t="s">
        <v>93</v>
      </c>
      <c r="C260" s="603"/>
      <c r="D260" s="603"/>
      <c r="E260" s="603"/>
      <c r="F260" s="450"/>
      <c r="G260" s="602"/>
      <c r="H260" s="603"/>
      <c r="I260" s="603"/>
      <c r="J260" s="603"/>
      <c r="K260" s="603"/>
      <c r="L260" s="603"/>
      <c r="M260" s="603"/>
      <c r="N260" s="603"/>
      <c r="O260" s="603"/>
      <c r="P260" s="514">
        <v>1</v>
      </c>
      <c r="Q260" s="602">
        <f t="shared" si="7"/>
        <v>4.1666666666666664E-2</v>
      </c>
      <c r="R260" s="515">
        <v>107</v>
      </c>
      <c r="S260" s="602">
        <f t="shared" si="8"/>
        <v>2.9705719044975015E-2</v>
      </c>
      <c r="T260" s="450"/>
      <c r="U260" s="452"/>
      <c r="V260" s="430"/>
    </row>
    <row r="261" spans="1:22" s="431" customFormat="1" x14ac:dyDescent="0.3">
      <c r="A261" s="449"/>
      <c r="B261" s="514" t="s">
        <v>163</v>
      </c>
      <c r="C261" s="603"/>
      <c r="D261" s="603"/>
      <c r="E261" s="603"/>
      <c r="F261" s="450"/>
      <c r="G261" s="602"/>
      <c r="H261" s="603"/>
      <c r="I261" s="603"/>
      <c r="J261" s="603"/>
      <c r="K261" s="603"/>
      <c r="L261" s="603"/>
      <c r="M261" s="603"/>
      <c r="N261" s="603"/>
      <c r="O261" s="603"/>
      <c r="P261" s="514">
        <v>0</v>
      </c>
      <c r="Q261" s="602">
        <f t="shared" si="7"/>
        <v>0</v>
      </c>
      <c r="R261" s="515">
        <v>0</v>
      </c>
      <c r="S261" s="602">
        <f t="shared" si="8"/>
        <v>0</v>
      </c>
      <c r="T261" s="450"/>
      <c r="U261" s="452"/>
      <c r="V261" s="430"/>
    </row>
    <row r="262" spans="1:22" s="431" customFormat="1" x14ac:dyDescent="0.3">
      <c r="A262" s="449"/>
      <c r="B262" s="514" t="s">
        <v>164</v>
      </c>
      <c r="C262" s="603"/>
      <c r="D262" s="603"/>
      <c r="E262" s="603"/>
      <c r="F262" s="450"/>
      <c r="G262" s="602"/>
      <c r="H262" s="603"/>
      <c r="I262" s="603"/>
      <c r="J262" s="603"/>
      <c r="K262" s="603"/>
      <c r="L262" s="603"/>
      <c r="M262" s="603"/>
      <c r="N262" s="603"/>
      <c r="O262" s="603"/>
      <c r="P262" s="514">
        <v>0</v>
      </c>
      <c r="Q262" s="602">
        <f t="shared" si="7"/>
        <v>0</v>
      </c>
      <c r="R262" s="515">
        <v>0</v>
      </c>
      <c r="S262" s="602">
        <f t="shared" si="8"/>
        <v>0</v>
      </c>
      <c r="T262" s="450"/>
      <c r="U262" s="452"/>
      <c r="V262" s="430"/>
    </row>
    <row r="263" spans="1:22" s="431" customFormat="1" x14ac:dyDescent="0.3">
      <c r="A263" s="449"/>
      <c r="B263" s="514" t="s">
        <v>165</v>
      </c>
      <c r="C263" s="603"/>
      <c r="D263" s="603"/>
      <c r="E263" s="603"/>
      <c r="F263" s="450"/>
      <c r="G263" s="602"/>
      <c r="H263" s="603"/>
      <c r="I263" s="603"/>
      <c r="J263" s="603"/>
      <c r="K263" s="603"/>
      <c r="L263" s="603"/>
      <c r="M263" s="603"/>
      <c r="N263" s="603"/>
      <c r="O263" s="603"/>
      <c r="P263" s="514">
        <v>0</v>
      </c>
      <c r="Q263" s="602">
        <f t="shared" si="7"/>
        <v>0</v>
      </c>
      <c r="R263" s="515">
        <v>0</v>
      </c>
      <c r="S263" s="602">
        <f t="shared" si="8"/>
        <v>0</v>
      </c>
      <c r="T263" s="450"/>
      <c r="U263" s="452"/>
      <c r="V263" s="430"/>
    </row>
    <row r="264" spans="1:22" s="431" customFormat="1" x14ac:dyDescent="0.3">
      <c r="A264" s="449"/>
      <c r="B264" s="514" t="s">
        <v>166</v>
      </c>
      <c r="C264" s="603"/>
      <c r="D264" s="603"/>
      <c r="E264" s="603"/>
      <c r="F264" s="450"/>
      <c r="G264" s="602"/>
      <c r="H264" s="603"/>
      <c r="I264" s="603"/>
      <c r="J264" s="603"/>
      <c r="K264" s="603"/>
      <c r="L264" s="603"/>
      <c r="M264" s="603"/>
      <c r="N264" s="603"/>
      <c r="O264" s="603"/>
      <c r="P264" s="514">
        <v>0</v>
      </c>
      <c r="Q264" s="602">
        <f t="shared" si="7"/>
        <v>0</v>
      </c>
      <c r="R264" s="515">
        <v>0</v>
      </c>
      <c r="S264" s="602">
        <f t="shared" si="8"/>
        <v>0</v>
      </c>
      <c r="T264" s="450"/>
      <c r="U264" s="452"/>
      <c r="V264" s="430"/>
    </row>
    <row r="265" spans="1:22" s="431" customFormat="1" x14ac:dyDescent="0.3">
      <c r="A265" s="449"/>
      <c r="B265" s="514" t="s">
        <v>167</v>
      </c>
      <c r="C265" s="603"/>
      <c r="D265" s="603"/>
      <c r="E265" s="603"/>
      <c r="F265" s="450"/>
      <c r="G265" s="602"/>
      <c r="H265" s="603"/>
      <c r="I265" s="603"/>
      <c r="J265" s="603"/>
      <c r="K265" s="603"/>
      <c r="L265" s="603"/>
      <c r="M265" s="603"/>
      <c r="N265" s="603"/>
      <c r="O265" s="603"/>
      <c r="P265" s="514">
        <v>0</v>
      </c>
      <c r="Q265" s="602">
        <f t="shared" si="7"/>
        <v>0</v>
      </c>
      <c r="R265" s="515">
        <v>0</v>
      </c>
      <c r="S265" s="602">
        <f t="shared" si="8"/>
        <v>0</v>
      </c>
      <c r="T265" s="450"/>
      <c r="U265" s="452"/>
      <c r="V265" s="430"/>
    </row>
    <row r="266" spans="1:22" s="431" customFormat="1" x14ac:dyDescent="0.3">
      <c r="A266" s="449"/>
      <c r="B266" s="514"/>
      <c r="C266" s="603"/>
      <c r="D266" s="603"/>
      <c r="E266" s="603"/>
      <c r="F266" s="450"/>
      <c r="G266" s="602"/>
      <c r="H266" s="603"/>
      <c r="I266" s="603"/>
      <c r="J266" s="603"/>
      <c r="K266" s="603"/>
      <c r="L266" s="603"/>
      <c r="M266" s="603"/>
      <c r="N266" s="603"/>
      <c r="O266" s="603"/>
      <c r="P266" s="514"/>
      <c r="Q266" s="602"/>
      <c r="R266" s="515"/>
      <c r="S266" s="602"/>
      <c r="T266" s="450"/>
      <c r="U266" s="452"/>
      <c r="V266" s="430"/>
    </row>
    <row r="267" spans="1:22" s="431" customFormat="1" x14ac:dyDescent="0.3">
      <c r="A267" s="449"/>
      <c r="B267" s="450" t="s">
        <v>120</v>
      </c>
      <c r="C267" s="450"/>
      <c r="D267" s="450"/>
      <c r="E267" s="450"/>
      <c r="F267" s="450"/>
      <c r="G267" s="450"/>
      <c r="H267" s="604"/>
      <c r="I267" s="604"/>
      <c r="J267" s="604"/>
      <c r="K267" s="604"/>
      <c r="L267" s="604"/>
      <c r="M267" s="604"/>
      <c r="N267" s="604"/>
      <c r="O267" s="604"/>
      <c r="P267" s="514">
        <f>SUM(P258:P266)</f>
        <v>24</v>
      </c>
      <c r="Q267" s="602">
        <f>SUM(Q258:Q266)</f>
        <v>1</v>
      </c>
      <c r="R267" s="515">
        <f>SUM(R258:R266)</f>
        <v>3602</v>
      </c>
      <c r="S267" s="602">
        <f>SUM(S258:S266)</f>
        <v>1</v>
      </c>
      <c r="T267" s="450"/>
      <c r="U267" s="452"/>
      <c r="V267" s="430"/>
    </row>
    <row r="268" spans="1:22" x14ac:dyDescent="0.3">
      <c r="A268" s="418"/>
      <c r="B268" s="516"/>
      <c r="C268" s="516"/>
      <c r="D268" s="516"/>
      <c r="E268" s="516"/>
      <c r="F268" s="516"/>
      <c r="G268" s="516"/>
      <c r="H268" s="608"/>
      <c r="I268" s="608"/>
      <c r="J268" s="608"/>
      <c r="K268" s="608"/>
      <c r="L268" s="608"/>
      <c r="M268" s="608"/>
      <c r="N268" s="608"/>
      <c r="O268" s="608"/>
      <c r="P268" s="517"/>
      <c r="Q268" s="609"/>
      <c r="R268" s="610"/>
      <c r="S268" s="609"/>
      <c r="T268" s="516"/>
      <c r="U268" s="639"/>
      <c r="V268" s="416"/>
    </row>
    <row r="269" spans="1:22" x14ac:dyDescent="0.3">
      <c r="A269" s="442"/>
      <c r="B269" s="521" t="s">
        <v>170</v>
      </c>
      <c r="C269" s="443"/>
      <c r="D269" s="443"/>
      <c r="E269" s="443"/>
      <c r="F269" s="443"/>
      <c r="G269" s="443"/>
      <c r="H269" s="611"/>
      <c r="I269" s="611"/>
      <c r="J269" s="611"/>
      <c r="K269" s="611"/>
      <c r="L269" s="611"/>
      <c r="M269" s="611"/>
      <c r="N269" s="611"/>
      <c r="O269" s="611"/>
      <c r="P269" s="566" t="s">
        <v>105</v>
      </c>
      <c r="Q269" s="522" t="s">
        <v>106</v>
      </c>
      <c r="R269" s="566" t="s">
        <v>114</v>
      </c>
      <c r="S269" s="522" t="s">
        <v>106</v>
      </c>
      <c r="T269" s="443"/>
      <c r="U269" s="446"/>
      <c r="V269" s="416"/>
    </row>
    <row r="270" spans="1:22" s="431" customFormat="1" x14ac:dyDescent="0.3">
      <c r="A270" s="432"/>
      <c r="B270" s="525" t="s">
        <v>91</v>
      </c>
      <c r="C270" s="447"/>
      <c r="D270" s="447"/>
      <c r="E270" s="447"/>
      <c r="F270" s="447"/>
      <c r="G270" s="447"/>
      <c r="H270" s="612"/>
      <c r="I270" s="612"/>
      <c r="J270" s="612"/>
      <c r="K270" s="612"/>
      <c r="L270" s="612"/>
      <c r="M270" s="612"/>
      <c r="N270" s="612"/>
      <c r="O270" s="612"/>
      <c r="P270" s="525">
        <v>0</v>
      </c>
      <c r="Q270" s="607">
        <v>0</v>
      </c>
      <c r="R270" s="526">
        <v>0</v>
      </c>
      <c r="S270" s="607">
        <v>0</v>
      </c>
      <c r="T270" s="447"/>
      <c r="U270" s="641"/>
      <c r="V270" s="430"/>
    </row>
    <row r="271" spans="1:22" s="431" customFormat="1" x14ac:dyDescent="0.3">
      <c r="A271" s="449"/>
      <c r="B271" s="514" t="s">
        <v>92</v>
      </c>
      <c r="C271" s="450"/>
      <c r="D271" s="450"/>
      <c r="E271" s="450"/>
      <c r="F271" s="450"/>
      <c r="G271" s="450"/>
      <c r="H271" s="604"/>
      <c r="I271" s="604"/>
      <c r="J271" s="604"/>
      <c r="K271" s="604"/>
      <c r="L271" s="604"/>
      <c r="M271" s="604"/>
      <c r="N271" s="604"/>
      <c r="O271" s="604"/>
      <c r="P271" s="514">
        <v>0</v>
      </c>
      <c r="Q271" s="602">
        <v>0</v>
      </c>
      <c r="R271" s="515">
        <v>0</v>
      </c>
      <c r="S271" s="602">
        <v>0</v>
      </c>
      <c r="T271" s="450"/>
      <c r="U271" s="452"/>
      <c r="V271" s="430"/>
    </row>
    <row r="272" spans="1:22" s="431" customFormat="1" x14ac:dyDescent="0.3">
      <c r="A272" s="449"/>
      <c r="B272" s="514" t="s">
        <v>93</v>
      </c>
      <c r="C272" s="450"/>
      <c r="D272" s="450"/>
      <c r="E272" s="450"/>
      <c r="F272" s="450"/>
      <c r="G272" s="450"/>
      <c r="H272" s="604"/>
      <c r="I272" s="604"/>
      <c r="J272" s="604"/>
      <c r="K272" s="604"/>
      <c r="L272" s="604"/>
      <c r="M272" s="604"/>
      <c r="N272" s="604"/>
      <c r="O272" s="604"/>
      <c r="P272" s="514">
        <v>0</v>
      </c>
      <c r="Q272" s="602">
        <v>0</v>
      </c>
      <c r="R272" s="515">
        <v>0</v>
      </c>
      <c r="S272" s="602">
        <v>0</v>
      </c>
      <c r="T272" s="450"/>
      <c r="U272" s="452"/>
      <c r="V272" s="430"/>
    </row>
    <row r="273" spans="1:22" s="431" customFormat="1" x14ac:dyDescent="0.3">
      <c r="A273" s="449"/>
      <c r="B273" s="514" t="s">
        <v>163</v>
      </c>
      <c r="C273" s="450"/>
      <c r="D273" s="450"/>
      <c r="E273" s="450"/>
      <c r="F273" s="450"/>
      <c r="G273" s="450"/>
      <c r="H273" s="604"/>
      <c r="I273" s="604"/>
      <c r="J273" s="604"/>
      <c r="K273" s="604"/>
      <c r="L273" s="604"/>
      <c r="M273" s="604"/>
      <c r="N273" s="604"/>
      <c r="O273" s="604"/>
      <c r="P273" s="514">
        <v>0</v>
      </c>
      <c r="Q273" s="602">
        <v>0</v>
      </c>
      <c r="R273" s="515">
        <v>0</v>
      </c>
      <c r="S273" s="602">
        <v>0</v>
      </c>
      <c r="T273" s="450"/>
      <c r="U273" s="452"/>
      <c r="V273" s="430"/>
    </row>
    <row r="274" spans="1:22" s="431" customFormat="1" x14ac:dyDescent="0.3">
      <c r="A274" s="449"/>
      <c r="B274" s="514" t="s">
        <v>164</v>
      </c>
      <c r="C274" s="450"/>
      <c r="D274" s="450"/>
      <c r="E274" s="450"/>
      <c r="F274" s="450"/>
      <c r="G274" s="450"/>
      <c r="H274" s="604"/>
      <c r="I274" s="604"/>
      <c r="J274" s="604"/>
      <c r="K274" s="604"/>
      <c r="L274" s="604"/>
      <c r="M274" s="604"/>
      <c r="N274" s="604"/>
      <c r="O274" s="604"/>
      <c r="P274" s="514">
        <v>0</v>
      </c>
      <c r="Q274" s="602">
        <v>0</v>
      </c>
      <c r="R274" s="515">
        <v>0</v>
      </c>
      <c r="S274" s="602">
        <v>0</v>
      </c>
      <c r="T274" s="450"/>
      <c r="U274" s="452"/>
      <c r="V274" s="430"/>
    </row>
    <row r="275" spans="1:22" s="431" customFormat="1" x14ac:dyDescent="0.3">
      <c r="A275" s="449"/>
      <c r="B275" s="514" t="s">
        <v>165</v>
      </c>
      <c r="C275" s="450"/>
      <c r="D275" s="450"/>
      <c r="E275" s="450"/>
      <c r="F275" s="450"/>
      <c r="G275" s="450"/>
      <c r="H275" s="604"/>
      <c r="I275" s="604"/>
      <c r="J275" s="604"/>
      <c r="K275" s="604"/>
      <c r="L275" s="604"/>
      <c r="M275" s="604"/>
      <c r="N275" s="604"/>
      <c r="O275" s="604"/>
      <c r="P275" s="514">
        <v>0</v>
      </c>
      <c r="Q275" s="602">
        <v>0</v>
      </c>
      <c r="R275" s="515">
        <v>0</v>
      </c>
      <c r="S275" s="602">
        <v>0</v>
      </c>
      <c r="T275" s="450"/>
      <c r="U275" s="452"/>
      <c r="V275" s="430"/>
    </row>
    <row r="276" spans="1:22" s="431" customFormat="1" x14ac:dyDescent="0.3">
      <c r="A276" s="449"/>
      <c r="B276" s="514" t="s">
        <v>166</v>
      </c>
      <c r="C276" s="450"/>
      <c r="D276" s="450"/>
      <c r="E276" s="450"/>
      <c r="F276" s="450"/>
      <c r="G276" s="450"/>
      <c r="H276" s="604"/>
      <c r="I276" s="604"/>
      <c r="J276" s="604"/>
      <c r="K276" s="604"/>
      <c r="L276" s="604"/>
      <c r="M276" s="604"/>
      <c r="N276" s="604"/>
      <c r="O276" s="604"/>
      <c r="P276" s="514">
        <v>0</v>
      </c>
      <c r="Q276" s="602">
        <v>0</v>
      </c>
      <c r="R276" s="515">
        <v>0</v>
      </c>
      <c r="S276" s="602">
        <v>0</v>
      </c>
      <c r="T276" s="450"/>
      <c r="U276" s="452"/>
      <c r="V276" s="430"/>
    </row>
    <row r="277" spans="1:22" s="431" customFormat="1" x14ac:dyDescent="0.3">
      <c r="A277" s="449"/>
      <c r="B277" s="514" t="s">
        <v>167</v>
      </c>
      <c r="C277" s="450"/>
      <c r="D277" s="450"/>
      <c r="E277" s="450"/>
      <c r="F277" s="450"/>
      <c r="G277" s="450"/>
      <c r="H277" s="604"/>
      <c r="I277" s="604"/>
      <c r="J277" s="604"/>
      <c r="K277" s="604"/>
      <c r="L277" s="604"/>
      <c r="M277" s="604"/>
      <c r="N277" s="604"/>
      <c r="O277" s="604"/>
      <c r="P277" s="514">
        <v>0</v>
      </c>
      <c r="Q277" s="602">
        <v>0</v>
      </c>
      <c r="R277" s="515">
        <v>0</v>
      </c>
      <c r="S277" s="602">
        <v>0</v>
      </c>
      <c r="T277" s="450"/>
      <c r="U277" s="452"/>
      <c r="V277" s="430"/>
    </row>
    <row r="278" spans="1:22" s="431" customFormat="1" x14ac:dyDescent="0.3">
      <c r="A278" s="449"/>
      <c r="B278" s="514"/>
      <c r="C278" s="450"/>
      <c r="D278" s="450"/>
      <c r="E278" s="450"/>
      <c r="F278" s="450"/>
      <c r="G278" s="450"/>
      <c r="H278" s="604"/>
      <c r="I278" s="604"/>
      <c r="J278" s="604"/>
      <c r="K278" s="604"/>
      <c r="L278" s="604"/>
      <c r="M278" s="604"/>
      <c r="N278" s="604"/>
      <c r="O278" s="604"/>
      <c r="P278" s="514"/>
      <c r="Q278" s="602"/>
      <c r="R278" s="515"/>
      <c r="S278" s="602"/>
      <c r="T278" s="450"/>
      <c r="U278" s="452"/>
      <c r="V278" s="430"/>
    </row>
    <row r="279" spans="1:22" s="431" customFormat="1" x14ac:dyDescent="0.3">
      <c r="A279" s="449"/>
      <c r="B279" s="450" t="s">
        <v>120</v>
      </c>
      <c r="C279" s="450"/>
      <c r="D279" s="450"/>
      <c r="E279" s="450"/>
      <c r="F279" s="450"/>
      <c r="G279" s="450"/>
      <c r="H279" s="604"/>
      <c r="I279" s="604"/>
      <c r="J279" s="604"/>
      <c r="K279" s="604"/>
      <c r="L279" s="604"/>
      <c r="M279" s="604"/>
      <c r="N279" s="604"/>
      <c r="O279" s="604"/>
      <c r="P279" s="514">
        <f>SUM(P270:P277)</f>
        <v>0</v>
      </c>
      <c r="Q279" s="602">
        <f>SUM(Q270:Q278)</f>
        <v>0</v>
      </c>
      <c r="R279" s="515">
        <f>SUM(R270:R277)</f>
        <v>0</v>
      </c>
      <c r="S279" s="602">
        <f>SUM(S270:S278)</f>
        <v>0</v>
      </c>
      <c r="T279" s="450"/>
      <c r="U279" s="452"/>
      <c r="V279" s="430"/>
    </row>
    <row r="280" spans="1:22" s="431" customFormat="1" x14ac:dyDescent="0.3">
      <c r="A280" s="449"/>
      <c r="B280" s="450"/>
      <c r="C280" s="450"/>
      <c r="D280" s="450"/>
      <c r="E280" s="450"/>
      <c r="F280" s="450"/>
      <c r="G280" s="450"/>
      <c r="H280" s="604"/>
      <c r="I280" s="604"/>
      <c r="J280" s="604"/>
      <c r="K280" s="604"/>
      <c r="L280" s="604"/>
      <c r="M280" s="604"/>
      <c r="N280" s="604"/>
      <c r="O280" s="604"/>
      <c r="P280" s="514"/>
      <c r="Q280" s="602"/>
      <c r="R280" s="515"/>
      <c r="S280" s="602"/>
      <c r="T280" s="450"/>
      <c r="U280" s="452"/>
      <c r="V280" s="430"/>
    </row>
    <row r="281" spans="1:22" s="431" customFormat="1" x14ac:dyDescent="0.3">
      <c r="A281" s="449"/>
      <c r="B281" s="455" t="s">
        <v>171</v>
      </c>
      <c r="C281" s="450"/>
      <c r="D281" s="450"/>
      <c r="E281" s="450"/>
      <c r="F281" s="450"/>
      <c r="G281" s="450"/>
      <c r="H281" s="604"/>
      <c r="I281" s="604"/>
      <c r="J281" s="604"/>
      <c r="K281" s="604"/>
      <c r="L281" s="604"/>
      <c r="M281" s="604"/>
      <c r="N281" s="604"/>
      <c r="O281" s="604"/>
      <c r="P281" s="613">
        <f>P279+P267+P255</f>
        <v>2760</v>
      </c>
      <c r="Q281" s="602"/>
      <c r="R281" s="614">
        <f>+R279+R267+R255</f>
        <v>350941</v>
      </c>
      <c r="S281" s="602"/>
      <c r="T281" s="450"/>
      <c r="U281" s="452"/>
      <c r="V281" s="430"/>
    </row>
    <row r="282" spans="1:22" s="431" customFormat="1" x14ac:dyDescent="0.3">
      <c r="A282" s="418"/>
      <c r="B282" s="516"/>
      <c r="C282" s="516"/>
      <c r="D282" s="516"/>
      <c r="E282" s="516"/>
      <c r="F282" s="516"/>
      <c r="G282" s="516"/>
      <c r="H282" s="608"/>
      <c r="I282" s="608"/>
      <c r="J282" s="608"/>
      <c r="K282" s="608"/>
      <c r="L282" s="608"/>
      <c r="M282" s="608"/>
      <c r="N282" s="608"/>
      <c r="O282" s="608"/>
      <c r="P282" s="517"/>
      <c r="Q282" s="609"/>
      <c r="R282" s="610"/>
      <c r="S282" s="609"/>
      <c r="T282" s="516"/>
      <c r="U282" s="639"/>
      <c r="V282" s="430"/>
    </row>
    <row r="283" spans="1:22" s="431" customFormat="1" x14ac:dyDescent="0.3">
      <c r="A283" s="442" t="s">
        <v>376</v>
      </c>
      <c r="B283" s="521" t="s">
        <v>375</v>
      </c>
      <c r="C283" s="443"/>
      <c r="D283" s="443"/>
      <c r="E283" s="443"/>
      <c r="F283" s="443"/>
      <c r="G283" s="443"/>
      <c r="H283" s="611"/>
      <c r="I283" s="611"/>
      <c r="J283" s="611"/>
      <c r="K283" s="611"/>
      <c r="L283" s="611"/>
      <c r="M283" s="611"/>
      <c r="N283" s="611"/>
      <c r="O283" s="611"/>
      <c r="P283" s="566" t="s">
        <v>105</v>
      </c>
      <c r="Q283" s="522" t="s">
        <v>106</v>
      </c>
      <c r="R283" s="566" t="s">
        <v>114</v>
      </c>
      <c r="S283" s="522" t="s">
        <v>106</v>
      </c>
      <c r="T283" s="443"/>
      <c r="U283" s="446"/>
      <c r="V283" s="430"/>
    </row>
    <row r="284" spans="1:22" s="431" customFormat="1" x14ac:dyDescent="0.3">
      <c r="A284" s="432"/>
      <c r="B284" s="525" t="s">
        <v>91</v>
      </c>
      <c r="C284" s="447"/>
      <c r="D284" s="447"/>
      <c r="E284" s="447"/>
      <c r="F284" s="447"/>
      <c r="G284" s="447"/>
      <c r="H284" s="612"/>
      <c r="I284" s="612"/>
      <c r="J284" s="612"/>
      <c r="K284" s="612"/>
      <c r="L284" s="612"/>
      <c r="M284" s="612"/>
      <c r="N284" s="612"/>
      <c r="O284" s="612"/>
      <c r="P284" s="525">
        <v>179</v>
      </c>
      <c r="Q284" s="607">
        <f>P284/$P$293</f>
        <v>0.99444444444444446</v>
      </c>
      <c r="R284" s="526">
        <v>25610</v>
      </c>
      <c r="S284" s="607">
        <f>R284/$R$293</f>
        <v>0.99595551061678467</v>
      </c>
      <c r="T284" s="447"/>
      <c r="U284" s="641"/>
      <c r="V284" s="430"/>
    </row>
    <row r="285" spans="1:22" s="431" customFormat="1" x14ac:dyDescent="0.3">
      <c r="A285" s="449"/>
      <c r="B285" s="514" t="s">
        <v>92</v>
      </c>
      <c r="C285" s="450"/>
      <c r="D285" s="450"/>
      <c r="E285" s="450"/>
      <c r="F285" s="450"/>
      <c r="G285" s="450"/>
      <c r="H285" s="604"/>
      <c r="I285" s="604"/>
      <c r="J285" s="604"/>
      <c r="K285" s="604"/>
      <c r="L285" s="604"/>
      <c r="M285" s="604"/>
      <c r="N285" s="604"/>
      <c r="O285" s="604"/>
      <c r="P285" s="514">
        <v>0</v>
      </c>
      <c r="Q285" s="602">
        <f>P285/$P$293</f>
        <v>0</v>
      </c>
      <c r="R285" s="515">
        <v>0</v>
      </c>
      <c r="S285" s="650">
        <f t="shared" ref="S285:S291" si="9">R285/$R$293</f>
        <v>0</v>
      </c>
      <c r="T285" s="450"/>
      <c r="U285" s="452"/>
      <c r="V285" s="430"/>
    </row>
    <row r="286" spans="1:22" s="431" customFormat="1" x14ac:dyDescent="0.3">
      <c r="A286" s="449"/>
      <c r="B286" s="514" t="s">
        <v>93</v>
      </c>
      <c r="C286" s="450"/>
      <c r="D286" s="450"/>
      <c r="E286" s="450"/>
      <c r="F286" s="450"/>
      <c r="G286" s="450"/>
      <c r="H286" s="604"/>
      <c r="I286" s="604"/>
      <c r="J286" s="604"/>
      <c r="K286" s="604"/>
      <c r="L286" s="604"/>
      <c r="M286" s="604"/>
      <c r="N286" s="604"/>
      <c r="O286" s="604"/>
      <c r="P286" s="514">
        <v>0</v>
      </c>
      <c r="Q286" s="602">
        <f t="shared" ref="Q286:Q291" si="10">P286/$P$293</f>
        <v>0</v>
      </c>
      <c r="R286" s="515">
        <v>0</v>
      </c>
      <c r="S286" s="650">
        <f t="shared" si="9"/>
        <v>0</v>
      </c>
      <c r="T286" s="450"/>
      <c r="U286" s="452"/>
      <c r="V286" s="430"/>
    </row>
    <row r="287" spans="1:22" s="431" customFormat="1" x14ac:dyDescent="0.3">
      <c r="A287" s="449"/>
      <c r="B287" s="514" t="s">
        <v>163</v>
      </c>
      <c r="C287" s="450"/>
      <c r="D287" s="450"/>
      <c r="E287" s="450"/>
      <c r="F287" s="450"/>
      <c r="G287" s="450"/>
      <c r="H287" s="604"/>
      <c r="I287" s="604"/>
      <c r="J287" s="604"/>
      <c r="K287" s="604"/>
      <c r="L287" s="604"/>
      <c r="M287" s="604"/>
      <c r="N287" s="604"/>
      <c r="O287" s="604"/>
      <c r="P287" s="514">
        <v>0</v>
      </c>
      <c r="Q287" s="602">
        <f t="shared" si="10"/>
        <v>0</v>
      </c>
      <c r="R287" s="515">
        <v>0</v>
      </c>
      <c r="S287" s="650">
        <f t="shared" si="9"/>
        <v>0</v>
      </c>
      <c r="T287" s="450"/>
      <c r="U287" s="452"/>
      <c r="V287" s="430"/>
    </row>
    <row r="288" spans="1:22" s="431" customFormat="1" x14ac:dyDescent="0.3">
      <c r="A288" s="449"/>
      <c r="B288" s="514" t="s">
        <v>164</v>
      </c>
      <c r="C288" s="450"/>
      <c r="D288" s="450"/>
      <c r="E288" s="450"/>
      <c r="F288" s="450"/>
      <c r="G288" s="450"/>
      <c r="H288" s="604"/>
      <c r="I288" s="604"/>
      <c r="J288" s="604"/>
      <c r="K288" s="604"/>
      <c r="L288" s="604"/>
      <c r="M288" s="604"/>
      <c r="N288" s="604"/>
      <c r="O288" s="604"/>
      <c r="P288" s="514">
        <v>1</v>
      </c>
      <c r="Q288" s="602">
        <f t="shared" si="10"/>
        <v>5.5555555555555558E-3</v>
      </c>
      <c r="R288" s="515">
        <v>104</v>
      </c>
      <c r="S288" s="650">
        <f t="shared" si="9"/>
        <v>4.0444893832153692E-3</v>
      </c>
      <c r="T288" s="450"/>
      <c r="U288" s="452"/>
      <c r="V288" s="430"/>
    </row>
    <row r="289" spans="1:22" s="431" customFormat="1" x14ac:dyDescent="0.3">
      <c r="A289" s="449"/>
      <c r="B289" s="514" t="s">
        <v>165</v>
      </c>
      <c r="C289" s="450"/>
      <c r="D289" s="450"/>
      <c r="E289" s="450"/>
      <c r="F289" s="450"/>
      <c r="G289" s="450"/>
      <c r="H289" s="604"/>
      <c r="I289" s="604"/>
      <c r="J289" s="604"/>
      <c r="K289" s="604"/>
      <c r="L289" s="604"/>
      <c r="M289" s="604"/>
      <c r="N289" s="604"/>
      <c r="O289" s="604"/>
      <c r="P289" s="514">
        <v>0</v>
      </c>
      <c r="Q289" s="602">
        <f t="shared" si="10"/>
        <v>0</v>
      </c>
      <c r="R289" s="515">
        <v>0</v>
      </c>
      <c r="S289" s="650">
        <f t="shared" si="9"/>
        <v>0</v>
      </c>
      <c r="T289" s="450"/>
      <c r="U289" s="452"/>
      <c r="V289" s="430"/>
    </row>
    <row r="290" spans="1:22" s="431" customFormat="1" x14ac:dyDescent="0.3">
      <c r="A290" s="449"/>
      <c r="B290" s="514" t="s">
        <v>166</v>
      </c>
      <c r="C290" s="450"/>
      <c r="D290" s="450"/>
      <c r="E290" s="450"/>
      <c r="F290" s="450"/>
      <c r="G290" s="450"/>
      <c r="H290" s="604"/>
      <c r="I290" s="604"/>
      <c r="J290" s="604"/>
      <c r="K290" s="604"/>
      <c r="L290" s="604"/>
      <c r="M290" s="604"/>
      <c r="N290" s="604"/>
      <c r="O290" s="604"/>
      <c r="P290" s="514">
        <v>0</v>
      </c>
      <c r="Q290" s="602">
        <f t="shared" si="10"/>
        <v>0</v>
      </c>
      <c r="R290" s="515">
        <v>0</v>
      </c>
      <c r="S290" s="650">
        <f t="shared" si="9"/>
        <v>0</v>
      </c>
      <c r="T290" s="450"/>
      <c r="U290" s="452"/>
      <c r="V290" s="430"/>
    </row>
    <row r="291" spans="1:22" s="431" customFormat="1" x14ac:dyDescent="0.3">
      <c r="A291" s="449"/>
      <c r="B291" s="514" t="s">
        <v>167</v>
      </c>
      <c r="C291" s="450"/>
      <c r="D291" s="450"/>
      <c r="E291" s="450"/>
      <c r="F291" s="450"/>
      <c r="G291" s="450"/>
      <c r="H291" s="604"/>
      <c r="I291" s="604"/>
      <c r="J291" s="604"/>
      <c r="K291" s="604"/>
      <c r="L291" s="604"/>
      <c r="M291" s="604"/>
      <c r="N291" s="604"/>
      <c r="O291" s="604"/>
      <c r="P291" s="514">
        <v>0</v>
      </c>
      <c r="Q291" s="602">
        <f t="shared" si="10"/>
        <v>0</v>
      </c>
      <c r="R291" s="515">
        <v>0</v>
      </c>
      <c r="S291" s="607">
        <f t="shared" si="9"/>
        <v>0</v>
      </c>
      <c r="T291" s="450"/>
      <c r="U291" s="452"/>
      <c r="V291" s="430"/>
    </row>
    <row r="292" spans="1:22" s="431" customFormat="1" x14ac:dyDescent="0.3">
      <c r="A292" s="449"/>
      <c r="B292" s="514"/>
      <c r="C292" s="450"/>
      <c r="D292" s="450"/>
      <c r="E292" s="450"/>
      <c r="F292" s="450"/>
      <c r="G292" s="450"/>
      <c r="H292" s="604"/>
      <c r="I292" s="604"/>
      <c r="J292" s="604"/>
      <c r="K292" s="604"/>
      <c r="L292" s="604"/>
      <c r="M292" s="604"/>
      <c r="N292" s="604"/>
      <c r="O292" s="604"/>
      <c r="P292" s="514"/>
      <c r="Q292" s="602"/>
      <c r="R292" s="515"/>
      <c r="S292" s="602"/>
      <c r="T292" s="450"/>
      <c r="U292" s="452"/>
      <c r="V292" s="430"/>
    </row>
    <row r="293" spans="1:22" s="431" customFormat="1" x14ac:dyDescent="0.3">
      <c r="A293" s="449"/>
      <c r="B293" s="450" t="s">
        <v>120</v>
      </c>
      <c r="C293" s="450"/>
      <c r="D293" s="450"/>
      <c r="E293" s="450"/>
      <c r="F293" s="450"/>
      <c r="G293" s="450"/>
      <c r="H293" s="604"/>
      <c r="I293" s="604"/>
      <c r="J293" s="604"/>
      <c r="K293" s="604"/>
      <c r="L293" s="604"/>
      <c r="M293" s="604"/>
      <c r="N293" s="604"/>
      <c r="O293" s="604"/>
      <c r="P293" s="514">
        <f>SUM(P284:P291)</f>
        <v>180</v>
      </c>
      <c r="Q293" s="602">
        <f>SUM(Q284:Q292)</f>
        <v>1</v>
      </c>
      <c r="R293" s="515">
        <f>SUM(R284:R291)</f>
        <v>25714</v>
      </c>
      <c r="S293" s="602">
        <f>SUM(S284:S292)</f>
        <v>1</v>
      </c>
      <c r="T293" s="450"/>
      <c r="U293" s="452"/>
      <c r="V293" s="430"/>
    </row>
    <row r="294" spans="1:22" s="431" customFormat="1" x14ac:dyDescent="0.3">
      <c r="A294" s="449"/>
      <c r="B294" s="664" t="s">
        <v>397</v>
      </c>
      <c r="C294" s="450"/>
      <c r="D294" s="450"/>
      <c r="E294" s="450"/>
      <c r="F294" s="450"/>
      <c r="G294" s="450"/>
      <c r="H294" s="604"/>
      <c r="I294" s="604"/>
      <c r="J294" s="604"/>
      <c r="K294" s="604"/>
      <c r="L294" s="604"/>
      <c r="M294" s="604"/>
      <c r="N294" s="604"/>
      <c r="O294" s="604"/>
      <c r="P294" s="665">
        <f>+P293/P281</f>
        <v>6.5217391304347824E-2</v>
      </c>
      <c r="Q294" s="602"/>
      <c r="R294" s="668">
        <f>+R293/R281</f>
        <v>7.3271575563983685E-2</v>
      </c>
      <c r="S294" s="602"/>
      <c r="T294" s="450"/>
      <c r="U294" s="452"/>
      <c r="V294" s="430"/>
    </row>
    <row r="295" spans="1:22" s="431" customFormat="1" x14ac:dyDescent="0.3">
      <c r="A295" s="432"/>
      <c r="B295" s="447"/>
      <c r="C295" s="433"/>
      <c r="D295" s="433"/>
      <c r="E295" s="433"/>
      <c r="F295" s="433"/>
      <c r="G295" s="433"/>
      <c r="H295" s="615"/>
      <c r="I295" s="615"/>
      <c r="J295" s="615"/>
      <c r="K295" s="615"/>
      <c r="L295" s="615"/>
      <c r="M295" s="615"/>
      <c r="N295" s="615"/>
      <c r="O295" s="615"/>
      <c r="P295" s="615"/>
      <c r="Q295" s="615"/>
      <c r="R295" s="616"/>
      <c r="S295" s="615"/>
      <c r="T295" s="433"/>
      <c r="U295" s="641"/>
      <c r="V295" s="430"/>
    </row>
    <row r="296" spans="1:22" s="431" customFormat="1" x14ac:dyDescent="0.3">
      <c r="A296" s="432"/>
      <c r="B296" s="428" t="s">
        <v>94</v>
      </c>
      <c r="C296" s="433"/>
      <c r="D296" s="433"/>
      <c r="E296" s="433"/>
      <c r="F296" s="437" t="s">
        <v>100</v>
      </c>
      <c r="G296" s="433"/>
      <c r="H296" s="428" t="s">
        <v>102</v>
      </c>
      <c r="I296" s="433"/>
      <c r="J296" s="433"/>
      <c r="K296" s="433"/>
      <c r="L296" s="433"/>
      <c r="M296" s="433"/>
      <c r="N296" s="433"/>
      <c r="O296" s="433"/>
      <c r="P296" s="433"/>
      <c r="Q296" s="433"/>
      <c r="R296" s="433"/>
      <c r="S296" s="433"/>
      <c r="T296" s="433"/>
      <c r="U296" s="641"/>
      <c r="V296" s="430"/>
    </row>
    <row r="297" spans="1:22" s="431" customFormat="1" x14ac:dyDescent="0.3">
      <c r="A297" s="432"/>
      <c r="B297" s="428" t="s">
        <v>317</v>
      </c>
      <c r="C297" s="428"/>
      <c r="D297" s="428"/>
      <c r="E297" s="428"/>
      <c r="F297" s="617" t="s">
        <v>269</v>
      </c>
      <c r="G297" s="428"/>
      <c r="H297" s="428" t="s">
        <v>357</v>
      </c>
      <c r="I297" s="433"/>
      <c r="J297" s="433"/>
      <c r="K297" s="433"/>
      <c r="L297" s="433"/>
      <c r="M297" s="433"/>
      <c r="N297" s="433"/>
      <c r="O297" s="433"/>
      <c r="P297" s="433"/>
      <c r="Q297" s="433"/>
      <c r="R297" s="433"/>
      <c r="S297" s="433"/>
      <c r="T297" s="433"/>
      <c r="U297" s="641"/>
      <c r="V297" s="430"/>
    </row>
    <row r="298" spans="1:22" s="431" customFormat="1" x14ac:dyDescent="0.3">
      <c r="A298" s="432"/>
      <c r="B298" s="428" t="s">
        <v>318</v>
      </c>
      <c r="C298" s="428"/>
      <c r="D298" s="428"/>
      <c r="E298" s="428"/>
      <c r="F298" s="617" t="s">
        <v>153</v>
      </c>
      <c r="G298" s="428"/>
      <c r="H298" s="428" t="s">
        <v>358</v>
      </c>
      <c r="I298" s="433"/>
      <c r="J298" s="433"/>
      <c r="K298" s="433"/>
      <c r="L298" s="433"/>
      <c r="M298" s="433"/>
      <c r="N298" s="433"/>
      <c r="O298" s="433"/>
      <c r="P298" s="433"/>
      <c r="Q298" s="433"/>
      <c r="R298" s="433"/>
      <c r="S298" s="433"/>
      <c r="T298" s="433"/>
      <c r="U298" s="641"/>
      <c r="V298" s="430"/>
    </row>
    <row r="299" spans="1:22" s="431" customFormat="1" x14ac:dyDescent="0.3">
      <c r="A299" s="432"/>
      <c r="B299" s="428"/>
      <c r="C299" s="428"/>
      <c r="D299" s="428"/>
      <c r="E299" s="428"/>
      <c r="F299" s="617"/>
      <c r="G299" s="428"/>
      <c r="H299" s="428"/>
      <c r="I299" s="433"/>
      <c r="J299" s="433"/>
      <c r="K299" s="433"/>
      <c r="L299" s="433"/>
      <c r="M299" s="433"/>
      <c r="N299" s="433"/>
      <c r="O299" s="433"/>
      <c r="P299" s="433"/>
      <c r="Q299" s="433"/>
      <c r="R299" s="433"/>
      <c r="S299" s="433"/>
      <c r="T299" s="433"/>
      <c r="U299" s="641"/>
      <c r="V299" s="430"/>
    </row>
    <row r="300" spans="1:22" s="431" customFormat="1" x14ac:dyDescent="0.3">
      <c r="A300" s="432"/>
      <c r="B300" s="447" t="s">
        <v>354</v>
      </c>
      <c r="C300" s="428"/>
      <c r="D300" s="428"/>
      <c r="E300" s="428"/>
      <c r="F300" s="617"/>
      <c r="G300" s="428"/>
      <c r="H300" s="428"/>
      <c r="I300" s="433"/>
      <c r="J300" s="433"/>
      <c r="K300" s="433"/>
      <c r="L300" s="433"/>
      <c r="M300" s="433"/>
      <c r="N300" s="433"/>
      <c r="O300" s="433"/>
      <c r="P300" s="433"/>
      <c r="Q300" s="433"/>
      <c r="R300" s="433"/>
      <c r="S300" s="433"/>
      <c r="T300" s="433"/>
      <c r="U300" s="641"/>
      <c r="V300" s="430"/>
    </row>
    <row r="301" spans="1:22" s="431" customFormat="1" x14ac:dyDescent="0.3">
      <c r="A301" s="432"/>
      <c r="B301" s="447" t="s">
        <v>359</v>
      </c>
      <c r="C301" s="428"/>
      <c r="D301" s="428"/>
      <c r="E301" s="428"/>
      <c r="F301" s="617"/>
      <c r="G301" s="428"/>
      <c r="H301" s="428"/>
      <c r="I301" s="433"/>
      <c r="J301" s="433"/>
      <c r="K301" s="433"/>
      <c r="L301" s="433"/>
      <c r="M301" s="433"/>
      <c r="N301" s="433"/>
      <c r="O301" s="433"/>
      <c r="P301" s="433"/>
      <c r="Q301" s="433"/>
      <c r="R301" s="433"/>
      <c r="S301" s="433"/>
      <c r="T301" s="433"/>
      <c r="U301" s="641"/>
      <c r="V301" s="430"/>
    </row>
    <row r="302" spans="1:22" s="431" customFormat="1" x14ac:dyDescent="0.3">
      <c r="A302" s="432"/>
      <c r="B302" s="447" t="s">
        <v>352</v>
      </c>
      <c r="C302" s="428"/>
      <c r="D302" s="428"/>
      <c r="E302" s="428"/>
      <c r="F302" s="617"/>
      <c r="G302" s="428"/>
      <c r="H302" s="428"/>
      <c r="I302" s="433"/>
      <c r="J302" s="433"/>
      <c r="K302" s="433"/>
      <c r="L302" s="433"/>
      <c r="M302" s="433"/>
      <c r="N302" s="433"/>
      <c r="O302" s="433"/>
      <c r="P302" s="433"/>
      <c r="Q302" s="433"/>
      <c r="R302" s="433"/>
      <c r="S302" s="433"/>
      <c r="T302" s="433"/>
      <c r="U302" s="641"/>
      <c r="V302" s="430"/>
    </row>
    <row r="303" spans="1:22" s="431" customFormat="1" x14ac:dyDescent="0.3">
      <c r="A303" s="432"/>
      <c r="B303" s="447" t="s">
        <v>351</v>
      </c>
      <c r="C303" s="428"/>
      <c r="D303" s="428"/>
      <c r="E303" s="428"/>
      <c r="F303" s="617"/>
      <c r="G303" s="428"/>
      <c r="H303" s="428"/>
      <c r="I303" s="433"/>
      <c r="J303" s="433"/>
      <c r="K303" s="433"/>
      <c r="L303" s="433"/>
      <c r="M303" s="433"/>
      <c r="N303" s="433"/>
      <c r="O303" s="433"/>
      <c r="P303" s="433"/>
      <c r="Q303" s="433"/>
      <c r="R303" s="433"/>
      <c r="S303" s="433"/>
      <c r="T303" s="433"/>
      <c r="U303" s="641"/>
      <c r="V303" s="430"/>
    </row>
    <row r="304" spans="1:22" s="431" customFormat="1" x14ac:dyDescent="0.3">
      <c r="A304" s="432"/>
      <c r="B304" s="447"/>
      <c r="C304" s="428"/>
      <c r="D304" s="428"/>
      <c r="E304" s="428"/>
      <c r="F304" s="617"/>
      <c r="G304" s="428"/>
      <c r="H304" s="428"/>
      <c r="I304" s="433"/>
      <c r="J304" s="433"/>
      <c r="K304" s="433"/>
      <c r="L304" s="433"/>
      <c r="M304" s="433"/>
      <c r="N304" s="433"/>
      <c r="O304" s="433"/>
      <c r="P304" s="433"/>
      <c r="Q304" s="433"/>
      <c r="R304" s="433"/>
      <c r="S304" s="433"/>
      <c r="T304" s="433"/>
      <c r="U304" s="641"/>
      <c r="V304" s="430"/>
    </row>
    <row r="305" spans="1:22" s="431" customFormat="1" x14ac:dyDescent="0.3">
      <c r="A305" s="432"/>
      <c r="B305" s="651" t="s">
        <v>377</v>
      </c>
      <c r="C305" s="428"/>
      <c r="D305" s="428"/>
      <c r="E305" s="428"/>
      <c r="F305" s="617"/>
      <c r="G305" s="428"/>
      <c r="H305" s="428"/>
      <c r="I305" s="433"/>
      <c r="J305" s="433"/>
      <c r="K305" s="433"/>
      <c r="L305" s="433"/>
      <c r="M305" s="433"/>
      <c r="N305" s="433"/>
      <c r="O305" s="433"/>
      <c r="P305" s="433"/>
      <c r="Q305" s="433"/>
      <c r="R305" s="433"/>
      <c r="S305" s="433"/>
      <c r="T305" s="433"/>
      <c r="U305" s="641"/>
      <c r="V305" s="430"/>
    </row>
    <row r="306" spans="1:22" x14ac:dyDescent="0.3">
      <c r="A306" s="418"/>
      <c r="B306" s="618"/>
      <c r="C306" s="619"/>
      <c r="D306" s="619"/>
      <c r="E306" s="619"/>
      <c r="F306" s="620"/>
      <c r="G306" s="619"/>
      <c r="H306" s="619"/>
      <c r="I306" s="621"/>
      <c r="J306" s="621"/>
      <c r="K306" s="621"/>
      <c r="L306" s="420"/>
      <c r="M306" s="420"/>
      <c r="N306" s="420"/>
      <c r="O306" s="420"/>
      <c r="P306" s="420"/>
      <c r="Q306" s="420"/>
      <c r="R306" s="420"/>
      <c r="S306" s="420"/>
      <c r="T306" s="420"/>
      <c r="U306" s="639"/>
      <c r="V306" s="416"/>
    </row>
    <row r="307" spans="1:22" ht="18" x14ac:dyDescent="0.35">
      <c r="A307" s="418"/>
      <c r="B307" s="622" t="s">
        <v>353</v>
      </c>
      <c r="C307" s="619"/>
      <c r="D307" s="619"/>
      <c r="E307" s="619"/>
      <c r="F307" s="619"/>
      <c r="G307" s="619"/>
      <c r="H307" s="621"/>
      <c r="I307" s="621"/>
      <c r="J307" s="621"/>
      <c r="K307" s="621"/>
      <c r="L307" s="420"/>
      <c r="M307" s="420"/>
      <c r="N307" s="623"/>
      <c r="O307" s="420"/>
      <c r="P307" s="624" t="s">
        <v>356</v>
      </c>
      <c r="Q307" s="420"/>
      <c r="R307" s="420"/>
      <c r="S307" s="420"/>
      <c r="T307" s="420"/>
      <c r="U307" s="639"/>
      <c r="V307" s="416"/>
    </row>
    <row r="308" spans="1:22" x14ac:dyDescent="0.3">
      <c r="A308" s="418"/>
      <c r="B308" s="619"/>
      <c r="C308" s="619"/>
      <c r="D308" s="619"/>
      <c r="E308" s="619"/>
      <c r="F308" s="619"/>
      <c r="G308" s="619"/>
      <c r="H308" s="621"/>
      <c r="I308" s="621"/>
      <c r="J308" s="621"/>
      <c r="K308" s="621"/>
      <c r="L308" s="420"/>
      <c r="M308" s="420"/>
      <c r="N308" s="420"/>
      <c r="O308" s="420"/>
      <c r="P308" s="420"/>
      <c r="Q308" s="420"/>
      <c r="R308" s="420"/>
      <c r="S308" s="420"/>
      <c r="T308" s="420"/>
      <c r="U308" s="639"/>
      <c r="V308" s="416"/>
    </row>
    <row r="309" spans="1:22" ht="18.600000000000001" thickBot="1" x14ac:dyDescent="0.4">
      <c r="A309" s="418"/>
      <c r="B309" s="625" t="str">
        <f>B195</f>
        <v>PM11 INVESTOR REPORT QUARTER ENDING MARCH 2020</v>
      </c>
      <c r="C309" s="619"/>
      <c r="D309" s="619"/>
      <c r="E309" s="619"/>
      <c r="F309" s="619"/>
      <c r="G309" s="619"/>
      <c r="H309" s="621"/>
      <c r="I309" s="621"/>
      <c r="J309" s="621"/>
      <c r="K309" s="621"/>
      <c r="L309" s="420"/>
      <c r="M309" s="420"/>
      <c r="N309" s="420"/>
      <c r="O309" s="420"/>
      <c r="P309" s="420"/>
      <c r="Q309" s="420"/>
      <c r="R309" s="420"/>
      <c r="S309" s="420"/>
      <c r="T309" s="420"/>
      <c r="U309" s="556"/>
      <c r="V309" s="416"/>
    </row>
    <row r="310" spans="1:22" x14ac:dyDescent="0.3">
      <c r="A310" s="626"/>
      <c r="B310" s="626"/>
      <c r="C310" s="626"/>
      <c r="D310" s="626"/>
      <c r="E310" s="626"/>
      <c r="F310" s="626"/>
      <c r="G310" s="626"/>
      <c r="H310" s="626"/>
      <c r="I310" s="626"/>
      <c r="J310" s="626"/>
      <c r="K310" s="626"/>
      <c r="L310" s="626"/>
      <c r="M310" s="626"/>
      <c r="N310" s="626"/>
      <c r="O310" s="626"/>
      <c r="P310" s="626"/>
      <c r="Q310" s="626"/>
      <c r="R310" s="626"/>
      <c r="S310" s="626"/>
      <c r="T310" s="626"/>
      <c r="U310" s="626"/>
    </row>
  </sheetData>
  <hyperlinks>
    <hyperlink ref="J9" r:id="rId1" display="http://www.paragon-group.co.uk" xr:uid="{FD6B29E4-4C25-417E-A224-4241E5980FC8}"/>
    <hyperlink ref="P307" r:id="rId2" display="http://www.paragon-group.co.uk" xr:uid="{6B749AA9-2397-434B-9774-0A896A3BC78F}"/>
    <hyperlink ref="N231" r:id="rId3" display="http://www.paragon-group.co.uk" xr:uid="{573123C0-2E48-4201-BBF5-ACA3646E9CD9}"/>
  </hyperlinks>
  <printOptions horizontalCentered="1" verticalCentered="1"/>
  <pageMargins left="0.19685039370078741" right="0.19685039370078741" top="0.27559055118110237" bottom="0.27559055118110237" header="0" footer="0"/>
  <pageSetup scale="40" orientation="landscape" r:id="rId4"/>
  <headerFooter alignWithMargins="0"/>
  <rowBreaks count="3" manualBreakCount="3">
    <brk id="63" max="20" man="1"/>
    <brk id="135" max="20" man="1"/>
    <brk id="195" max="20" man="1"/>
  </rowBreaks>
  <drawing r:id="rId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0CBEE-4E1C-412F-A27E-695AC9541B15}">
  <sheetPr>
    <tabColor rgb="FF89CB31"/>
  </sheetPr>
  <dimension ref="A1:X339"/>
  <sheetViews>
    <sheetView showGridLines="0" showOutlineSymbols="0" zoomScale="80" zoomScaleNormal="80" workbookViewId="0"/>
  </sheetViews>
  <sheetFormatPr defaultColWidth="9.81640625" defaultRowHeight="15.6" x14ac:dyDescent="0.3"/>
  <cols>
    <col min="1" max="1" width="4" style="417" customWidth="1"/>
    <col min="2" max="2" width="71.08984375" style="417" customWidth="1"/>
    <col min="3" max="3" width="2.08984375" style="417" customWidth="1"/>
    <col min="4" max="4" width="19.1796875" style="417" customWidth="1"/>
    <col min="5" max="5" width="2.08984375" style="417" customWidth="1"/>
    <col min="6" max="6" width="25.08984375" style="417" customWidth="1"/>
    <col min="7" max="7" width="2.08984375" style="417" customWidth="1"/>
    <col min="8" max="8" width="16.08984375" style="417" customWidth="1"/>
    <col min="9" max="9" width="2.08984375" style="417" customWidth="1"/>
    <col min="10" max="10" width="17.81640625" style="417" customWidth="1"/>
    <col min="11" max="11" width="2.1796875" style="417" customWidth="1"/>
    <col min="12" max="12" width="14.81640625" style="417" customWidth="1"/>
    <col min="13" max="13" width="2.1796875" style="417" customWidth="1"/>
    <col min="14" max="14" width="15.54296875" style="417" customWidth="1"/>
    <col min="15" max="15" width="2.08984375" style="417" customWidth="1"/>
    <col min="16" max="16" width="15.54296875" style="417" customWidth="1"/>
    <col min="17" max="18" width="12.81640625" style="417" customWidth="1"/>
    <col min="19" max="19" width="7.81640625" style="417" customWidth="1"/>
    <col min="20" max="20" width="14.81640625" style="417" customWidth="1"/>
    <col min="21" max="21" width="11.81640625" style="417" customWidth="1"/>
    <col min="22" max="16384" width="9.81640625" style="417"/>
  </cols>
  <sheetData>
    <row r="1" spans="1:22" ht="21" x14ac:dyDescent="0.4">
      <c r="A1" s="413"/>
      <c r="B1" s="414" t="s">
        <v>228</v>
      </c>
      <c r="C1" s="415"/>
      <c r="D1" s="415"/>
      <c r="E1" s="415"/>
      <c r="F1" s="415"/>
      <c r="G1" s="415"/>
      <c r="H1" s="415"/>
      <c r="I1" s="415"/>
      <c r="J1" s="415"/>
      <c r="K1" s="415"/>
      <c r="L1" s="415"/>
      <c r="M1" s="415"/>
      <c r="N1" s="415"/>
      <c r="O1" s="415"/>
      <c r="P1" s="415"/>
      <c r="Q1" s="415"/>
      <c r="R1" s="415"/>
      <c r="S1" s="415"/>
      <c r="T1" s="415"/>
      <c r="U1" s="638"/>
      <c r="V1" s="416"/>
    </row>
    <row r="2" spans="1:22" x14ac:dyDescent="0.3">
      <c r="A2" s="418"/>
      <c r="B2" s="419"/>
      <c r="C2" s="420"/>
      <c r="D2" s="420"/>
      <c r="E2" s="420"/>
      <c r="F2" s="420"/>
      <c r="G2" s="420"/>
      <c r="H2" s="420"/>
      <c r="I2" s="420"/>
      <c r="J2" s="420"/>
      <c r="K2" s="420"/>
      <c r="L2" s="420"/>
      <c r="M2" s="420"/>
      <c r="N2" s="420"/>
      <c r="O2" s="420"/>
      <c r="P2" s="420"/>
      <c r="Q2" s="420"/>
      <c r="R2" s="420"/>
      <c r="S2" s="420"/>
      <c r="T2" s="420"/>
      <c r="U2" s="639"/>
      <c r="V2" s="416"/>
    </row>
    <row r="3" spans="1:22" x14ac:dyDescent="0.3">
      <c r="A3" s="421"/>
      <c r="B3" s="422" t="s">
        <v>229</v>
      </c>
      <c r="C3" s="420"/>
      <c r="D3" s="420"/>
      <c r="E3" s="420"/>
      <c r="F3" s="420"/>
      <c r="G3" s="420"/>
      <c r="H3" s="420"/>
      <c r="I3" s="420"/>
      <c r="J3" s="420"/>
      <c r="K3" s="420"/>
      <c r="L3" s="420"/>
      <c r="M3" s="420"/>
      <c r="N3" s="420"/>
      <c r="O3" s="420"/>
      <c r="P3" s="420"/>
      <c r="Q3" s="420"/>
      <c r="R3" s="420"/>
      <c r="S3" s="420"/>
      <c r="T3" s="420"/>
      <c r="U3" s="639"/>
      <c r="V3" s="416"/>
    </row>
    <row r="4" spans="1:22" x14ac:dyDescent="0.3">
      <c r="A4" s="418"/>
      <c r="B4" s="419"/>
      <c r="C4" s="420"/>
      <c r="D4" s="420"/>
      <c r="E4" s="420"/>
      <c r="F4" s="420"/>
      <c r="G4" s="420"/>
      <c r="H4" s="420"/>
      <c r="I4" s="420"/>
      <c r="J4" s="420"/>
      <c r="K4" s="420"/>
      <c r="L4" s="420"/>
      <c r="M4" s="420"/>
      <c r="N4" s="420"/>
      <c r="O4" s="420"/>
      <c r="P4" s="420"/>
      <c r="Q4" s="420"/>
      <c r="R4" s="420"/>
      <c r="S4" s="420"/>
      <c r="T4" s="420"/>
      <c r="U4" s="639"/>
      <c r="V4" s="416"/>
    </row>
    <row r="5" spans="1:22" x14ac:dyDescent="0.3">
      <c r="A5" s="418"/>
      <c r="B5" s="423" t="s">
        <v>143</v>
      </c>
      <c r="C5" s="420"/>
      <c r="D5" s="420"/>
      <c r="E5" s="420"/>
      <c r="F5" s="420"/>
      <c r="G5" s="420"/>
      <c r="H5" s="420"/>
      <c r="I5" s="420"/>
      <c r="J5" s="420"/>
      <c r="K5" s="420"/>
      <c r="L5" s="420"/>
      <c r="M5" s="420"/>
      <c r="N5" s="420"/>
      <c r="O5" s="420"/>
      <c r="P5" s="420"/>
      <c r="Q5" s="420"/>
      <c r="R5" s="420"/>
      <c r="S5" s="420"/>
      <c r="T5" s="420"/>
      <c r="U5" s="639"/>
      <c r="V5" s="416"/>
    </row>
    <row r="6" spans="1:22" x14ac:dyDescent="0.3">
      <c r="A6" s="418"/>
      <c r="B6" s="423" t="s">
        <v>145</v>
      </c>
      <c r="C6" s="420"/>
      <c r="D6" s="420"/>
      <c r="E6" s="420"/>
      <c r="F6" s="420"/>
      <c r="G6" s="420"/>
      <c r="H6" s="420"/>
      <c r="I6" s="420"/>
      <c r="J6" s="420"/>
      <c r="K6" s="420"/>
      <c r="L6" s="420"/>
      <c r="M6" s="420"/>
      <c r="N6" s="420"/>
      <c r="O6" s="420"/>
      <c r="P6" s="420"/>
      <c r="Q6" s="420"/>
      <c r="R6" s="420"/>
      <c r="S6" s="420"/>
      <c r="T6" s="420"/>
      <c r="U6" s="639"/>
      <c r="V6" s="416"/>
    </row>
    <row r="7" spans="1:22" x14ac:dyDescent="0.3">
      <c r="A7" s="418"/>
      <c r="B7" s="423" t="s">
        <v>144</v>
      </c>
      <c r="C7" s="420"/>
      <c r="D7" s="420"/>
      <c r="E7" s="420"/>
      <c r="F7" s="420"/>
      <c r="G7" s="420"/>
      <c r="H7" s="420"/>
      <c r="I7" s="420"/>
      <c r="J7" s="420"/>
      <c r="K7" s="420"/>
      <c r="L7" s="420"/>
      <c r="M7" s="420"/>
      <c r="N7" s="420"/>
      <c r="O7" s="420"/>
      <c r="P7" s="420"/>
      <c r="Q7" s="420"/>
      <c r="R7" s="420"/>
      <c r="S7" s="420"/>
      <c r="T7" s="420"/>
      <c r="U7" s="639"/>
      <c r="V7" s="416"/>
    </row>
    <row r="8" spans="1:22" x14ac:dyDescent="0.3">
      <c r="A8" s="418"/>
      <c r="B8" s="424"/>
      <c r="C8" s="420"/>
      <c r="D8" s="420"/>
      <c r="E8" s="420"/>
      <c r="F8" s="420"/>
      <c r="G8" s="420"/>
      <c r="H8" s="420"/>
      <c r="I8" s="420"/>
      <c r="J8" s="420"/>
      <c r="K8" s="420"/>
      <c r="L8" s="420"/>
      <c r="M8" s="420"/>
      <c r="N8" s="420"/>
      <c r="O8" s="420"/>
      <c r="P8" s="420"/>
      <c r="Q8" s="420"/>
      <c r="R8" s="420"/>
      <c r="S8" s="420"/>
      <c r="T8" s="420"/>
      <c r="U8" s="639"/>
      <c r="V8" s="416"/>
    </row>
    <row r="9" spans="1:22" x14ac:dyDescent="0.3">
      <c r="A9" s="418"/>
      <c r="B9" s="422" t="s">
        <v>173</v>
      </c>
      <c r="C9" s="420"/>
      <c r="D9" s="420"/>
      <c r="E9" s="420"/>
      <c r="F9" s="420"/>
      <c r="G9" s="420"/>
      <c r="H9" s="420"/>
      <c r="I9" s="420"/>
      <c r="J9" s="425" t="s">
        <v>356</v>
      </c>
      <c r="K9" s="420"/>
      <c r="L9" s="426"/>
      <c r="M9" s="420"/>
      <c r="N9" s="420"/>
      <c r="O9" s="420"/>
      <c r="P9" s="420"/>
      <c r="Q9" s="420"/>
      <c r="R9" s="420"/>
      <c r="S9" s="420"/>
      <c r="T9" s="420"/>
      <c r="U9" s="639"/>
      <c r="V9" s="416"/>
    </row>
    <row r="10" spans="1:22" x14ac:dyDescent="0.3">
      <c r="A10" s="418"/>
      <c r="B10" s="424"/>
      <c r="C10" s="427"/>
      <c r="D10" s="427"/>
      <c r="E10" s="427"/>
      <c r="F10" s="420"/>
      <c r="G10" s="420"/>
      <c r="H10" s="420"/>
      <c r="I10" s="420"/>
      <c r="J10" s="420"/>
      <c r="K10" s="420"/>
      <c r="L10" s="420"/>
      <c r="M10" s="420"/>
      <c r="N10" s="420"/>
      <c r="O10" s="420"/>
      <c r="P10" s="420"/>
      <c r="Q10" s="420"/>
      <c r="R10" s="420"/>
      <c r="S10" s="420"/>
      <c r="T10" s="420"/>
      <c r="U10" s="639"/>
      <c r="V10" s="416"/>
    </row>
    <row r="11" spans="1:22" x14ac:dyDescent="0.3">
      <c r="A11" s="418"/>
      <c r="B11" s="428" t="s">
        <v>0</v>
      </c>
      <c r="C11" s="420"/>
      <c r="D11" s="420"/>
      <c r="E11" s="420"/>
      <c r="F11" s="420"/>
      <c r="G11" s="420"/>
      <c r="H11" s="420"/>
      <c r="I11" s="420"/>
      <c r="J11" s="420"/>
      <c r="K11" s="420"/>
      <c r="L11" s="420"/>
      <c r="M11" s="420"/>
      <c r="N11" s="420"/>
      <c r="O11" s="420"/>
      <c r="P11" s="420"/>
      <c r="Q11" s="420"/>
      <c r="R11" s="420"/>
      <c r="S11" s="420"/>
      <c r="T11" s="420"/>
      <c r="U11" s="639"/>
      <c r="V11" s="416"/>
    </row>
    <row r="12" spans="1:22" ht="16.2" thickBot="1" x14ac:dyDescent="0.35">
      <c r="A12" s="418"/>
      <c r="B12" s="427"/>
      <c r="C12" s="420"/>
      <c r="D12" s="420"/>
      <c r="E12" s="420"/>
      <c r="F12" s="420"/>
      <c r="G12" s="420"/>
      <c r="H12" s="420"/>
      <c r="I12" s="420"/>
      <c r="J12" s="420"/>
      <c r="K12" s="420"/>
      <c r="L12" s="420"/>
      <c r="M12" s="420"/>
      <c r="N12" s="420"/>
      <c r="O12" s="420"/>
      <c r="P12" s="420"/>
      <c r="Q12" s="420"/>
      <c r="R12" s="420"/>
      <c r="S12" s="420"/>
      <c r="T12" s="420"/>
      <c r="U12" s="639"/>
      <c r="V12" s="416"/>
    </row>
    <row r="13" spans="1:22" s="431" customFormat="1" x14ac:dyDescent="0.3">
      <c r="A13" s="413"/>
      <c r="B13" s="429"/>
      <c r="C13" s="429"/>
      <c r="D13" s="429"/>
      <c r="E13" s="429"/>
      <c r="F13" s="429"/>
      <c r="G13" s="429"/>
      <c r="H13" s="429"/>
      <c r="I13" s="429"/>
      <c r="J13" s="429"/>
      <c r="K13" s="429"/>
      <c r="L13" s="429"/>
      <c r="M13" s="429"/>
      <c r="N13" s="429"/>
      <c r="O13" s="429"/>
      <c r="P13" s="429"/>
      <c r="Q13" s="429"/>
      <c r="R13" s="429"/>
      <c r="S13" s="429"/>
      <c r="T13" s="429"/>
      <c r="U13" s="640"/>
      <c r="V13" s="430"/>
    </row>
    <row r="14" spans="1:22" s="431" customFormat="1" x14ac:dyDescent="0.3">
      <c r="A14" s="432"/>
      <c r="B14" s="428" t="s">
        <v>1</v>
      </c>
      <c r="C14" s="433"/>
      <c r="D14" s="433"/>
      <c r="E14" s="433"/>
      <c r="F14" s="433"/>
      <c r="G14" s="433"/>
      <c r="H14" s="433"/>
      <c r="I14" s="433"/>
      <c r="J14" s="433"/>
      <c r="K14" s="433"/>
      <c r="L14" s="433"/>
      <c r="M14" s="433"/>
      <c r="N14" s="433"/>
      <c r="O14" s="433"/>
      <c r="P14" s="433"/>
      <c r="Q14" s="433"/>
      <c r="R14" s="433"/>
      <c r="S14" s="433"/>
      <c r="T14" s="434" t="s">
        <v>230</v>
      </c>
      <c r="U14" s="641"/>
      <c r="V14" s="430"/>
    </row>
    <row r="15" spans="1:22" s="431" customFormat="1" x14ac:dyDescent="0.3">
      <c r="A15" s="432"/>
      <c r="B15" s="428" t="s">
        <v>2</v>
      </c>
      <c r="C15" s="433"/>
      <c r="D15" s="433"/>
      <c r="E15" s="433"/>
      <c r="F15" s="433"/>
      <c r="G15" s="433"/>
      <c r="H15" s="435"/>
      <c r="I15" s="435"/>
      <c r="J15" s="435"/>
      <c r="K15" s="435"/>
      <c r="L15" s="435"/>
      <c r="M15" s="435"/>
      <c r="N15" s="435"/>
      <c r="O15" s="435"/>
      <c r="P15" s="435" t="s">
        <v>107</v>
      </c>
      <c r="Q15" s="436">
        <v>0.40749999999999997</v>
      </c>
      <c r="R15" s="437" t="s">
        <v>146</v>
      </c>
      <c r="S15" s="436">
        <v>0.59250000000000003</v>
      </c>
      <c r="T15" s="434"/>
      <c r="U15" s="641"/>
      <c r="V15" s="430"/>
    </row>
    <row r="16" spans="1:22" s="431" customFormat="1" x14ac:dyDescent="0.3">
      <c r="A16" s="432"/>
      <c r="B16" s="428" t="s">
        <v>3</v>
      </c>
      <c r="C16" s="433"/>
      <c r="D16" s="433"/>
      <c r="E16" s="433"/>
      <c r="F16" s="433"/>
      <c r="G16" s="433"/>
      <c r="H16" s="435"/>
      <c r="I16" s="435"/>
      <c r="J16" s="435"/>
      <c r="K16" s="435"/>
      <c r="L16" s="435"/>
      <c r="M16" s="435"/>
      <c r="N16" s="435"/>
      <c r="O16" s="435"/>
      <c r="P16" s="435" t="s">
        <v>107</v>
      </c>
      <c r="Q16" s="436">
        <v>0.50570000000000004</v>
      </c>
      <c r="R16" s="437" t="s">
        <v>146</v>
      </c>
      <c r="S16" s="436">
        <v>0.49430000000000002</v>
      </c>
      <c r="T16" s="434"/>
      <c r="U16" s="641"/>
      <c r="V16" s="430"/>
    </row>
    <row r="17" spans="1:22" s="431" customFormat="1" x14ac:dyDescent="0.3">
      <c r="A17" s="432"/>
      <c r="B17" s="428" t="s">
        <v>4</v>
      </c>
      <c r="C17" s="433"/>
      <c r="D17" s="433"/>
      <c r="E17" s="433"/>
      <c r="F17" s="433"/>
      <c r="G17" s="433"/>
      <c r="H17" s="433"/>
      <c r="I17" s="433"/>
      <c r="J17" s="433"/>
      <c r="K17" s="433"/>
      <c r="L17" s="433"/>
      <c r="M17" s="433"/>
      <c r="N17" s="433"/>
      <c r="O17" s="433"/>
      <c r="P17" s="433"/>
      <c r="Q17" s="433"/>
      <c r="R17" s="433"/>
      <c r="S17" s="433"/>
      <c r="T17" s="438">
        <v>38799</v>
      </c>
      <c r="U17" s="641"/>
      <c r="V17" s="430"/>
    </row>
    <row r="18" spans="1:22" s="431" customFormat="1" x14ac:dyDescent="0.3">
      <c r="A18" s="432"/>
      <c r="B18" s="428" t="s">
        <v>5</v>
      </c>
      <c r="C18" s="433"/>
      <c r="D18" s="433"/>
      <c r="E18" s="433"/>
      <c r="F18" s="433"/>
      <c r="G18" s="433"/>
      <c r="H18" s="433"/>
      <c r="I18" s="433"/>
      <c r="J18" s="433"/>
      <c r="K18" s="433"/>
      <c r="L18" s="433"/>
      <c r="M18" s="433"/>
      <c r="N18" s="433"/>
      <c r="O18" s="433"/>
      <c r="P18" s="433"/>
      <c r="Q18" s="433"/>
      <c r="R18" s="433"/>
      <c r="S18" s="433"/>
      <c r="T18" s="438">
        <v>44034</v>
      </c>
      <c r="U18" s="641"/>
      <c r="V18" s="430"/>
    </row>
    <row r="19" spans="1:22" s="431" customFormat="1" x14ac:dyDescent="0.3">
      <c r="A19" s="432"/>
      <c r="B19" s="433"/>
      <c r="C19" s="433"/>
      <c r="D19" s="433"/>
      <c r="E19" s="433"/>
      <c r="F19" s="433"/>
      <c r="G19" s="433"/>
      <c r="H19" s="433"/>
      <c r="I19" s="433"/>
      <c r="J19" s="433"/>
      <c r="K19" s="433"/>
      <c r="L19" s="433"/>
      <c r="M19" s="433"/>
      <c r="N19" s="433"/>
      <c r="O19" s="433"/>
      <c r="P19" s="433"/>
      <c r="Q19" s="433"/>
      <c r="R19" s="433"/>
      <c r="S19" s="433"/>
      <c r="T19" s="439"/>
      <c r="U19" s="641"/>
      <c r="V19" s="430"/>
    </row>
    <row r="20" spans="1:22" s="431" customFormat="1" x14ac:dyDescent="0.3">
      <c r="A20" s="432"/>
      <c r="B20" s="440" t="s">
        <v>6</v>
      </c>
      <c r="C20" s="433"/>
      <c r="D20" s="433"/>
      <c r="E20" s="433"/>
      <c r="F20" s="433"/>
      <c r="G20" s="433"/>
      <c r="H20" s="433"/>
      <c r="I20" s="433"/>
      <c r="J20" s="433"/>
      <c r="K20" s="433"/>
      <c r="L20" s="433"/>
      <c r="M20" s="433"/>
      <c r="N20" s="433"/>
      <c r="O20" s="433"/>
      <c r="P20" s="433"/>
      <c r="Q20" s="433"/>
      <c r="R20" s="439" t="s">
        <v>108</v>
      </c>
      <c r="S20" s="433"/>
      <c r="T20" s="433"/>
      <c r="U20" s="641"/>
      <c r="V20" s="430"/>
    </row>
    <row r="21" spans="1:22" x14ac:dyDescent="0.3">
      <c r="A21" s="418"/>
      <c r="B21" s="420"/>
      <c r="C21" s="420"/>
      <c r="D21" s="420"/>
      <c r="E21" s="420"/>
      <c r="F21" s="420"/>
      <c r="G21" s="420"/>
      <c r="H21" s="420"/>
      <c r="I21" s="420"/>
      <c r="J21" s="420"/>
      <c r="K21" s="420"/>
      <c r="L21" s="420"/>
      <c r="M21" s="420"/>
      <c r="N21" s="420"/>
      <c r="O21" s="420"/>
      <c r="P21" s="420"/>
      <c r="Q21" s="420"/>
      <c r="R21" s="420"/>
      <c r="S21" s="420"/>
      <c r="T21" s="441"/>
      <c r="U21" s="639"/>
      <c r="V21" s="416"/>
    </row>
    <row r="22" spans="1:22" x14ac:dyDescent="0.3">
      <c r="A22" s="442"/>
      <c r="B22" s="443"/>
      <c r="C22" s="444"/>
      <c r="D22" s="444" t="s">
        <v>184</v>
      </c>
      <c r="E22" s="444"/>
      <c r="F22" s="444" t="s">
        <v>185</v>
      </c>
      <c r="G22" s="444"/>
      <c r="H22" s="444" t="s">
        <v>186</v>
      </c>
      <c r="I22" s="444"/>
      <c r="J22" s="444" t="s">
        <v>187</v>
      </c>
      <c r="K22" s="444"/>
      <c r="L22" s="444" t="s">
        <v>188</v>
      </c>
      <c r="M22" s="444"/>
      <c r="N22" s="444" t="s">
        <v>189</v>
      </c>
      <c r="O22" s="444"/>
      <c r="P22" s="444"/>
      <c r="Q22" s="445"/>
      <c r="R22" s="445"/>
      <c r="S22" s="443"/>
      <c r="T22" s="443"/>
      <c r="U22" s="446"/>
      <c r="V22" s="416"/>
    </row>
    <row r="23" spans="1:22" s="431" customFormat="1" x14ac:dyDescent="0.3">
      <c r="A23" s="432"/>
      <c r="B23" s="447" t="s">
        <v>7</v>
      </c>
      <c r="C23" s="448"/>
      <c r="D23" s="448" t="s">
        <v>222</v>
      </c>
      <c r="E23" s="448"/>
      <c r="F23" s="448" t="s">
        <v>147</v>
      </c>
      <c r="G23" s="448"/>
      <c r="H23" s="448" t="s">
        <v>147</v>
      </c>
      <c r="I23" s="448"/>
      <c r="J23" s="448" t="s">
        <v>190</v>
      </c>
      <c r="K23" s="448"/>
      <c r="L23" s="448" t="s">
        <v>190</v>
      </c>
      <c r="M23" s="448"/>
      <c r="N23" s="448" t="s">
        <v>148</v>
      </c>
      <c r="O23" s="448"/>
      <c r="P23" s="448"/>
      <c r="Q23" s="448"/>
      <c r="R23" s="448"/>
      <c r="S23" s="447"/>
      <c r="T23" s="447"/>
      <c r="U23" s="641"/>
      <c r="V23" s="430"/>
    </row>
    <row r="24" spans="1:22" s="431" customFormat="1" x14ac:dyDescent="0.3">
      <c r="A24" s="449"/>
      <c r="B24" s="450" t="s">
        <v>8</v>
      </c>
      <c r="C24" s="451"/>
      <c r="D24" s="451" t="s">
        <v>223</v>
      </c>
      <c r="E24" s="451"/>
      <c r="F24" s="451" t="s">
        <v>149</v>
      </c>
      <c r="G24" s="451"/>
      <c r="H24" s="451" t="s">
        <v>149</v>
      </c>
      <c r="I24" s="451"/>
      <c r="J24" s="451" t="s">
        <v>172</v>
      </c>
      <c r="K24" s="451"/>
      <c r="L24" s="451" t="s">
        <v>172</v>
      </c>
      <c r="M24" s="451"/>
      <c r="N24" s="451" t="s">
        <v>150</v>
      </c>
      <c r="O24" s="451"/>
      <c r="P24" s="451"/>
      <c r="Q24" s="451"/>
      <c r="R24" s="451"/>
      <c r="S24" s="450"/>
      <c r="T24" s="450"/>
      <c r="U24" s="452"/>
      <c r="V24" s="430"/>
    </row>
    <row r="25" spans="1:22" s="431" customFormat="1" x14ac:dyDescent="0.3">
      <c r="A25" s="453"/>
      <c r="B25" s="450" t="s">
        <v>198</v>
      </c>
      <c r="C25" s="454"/>
      <c r="D25" s="451" t="s">
        <v>224</v>
      </c>
      <c r="E25" s="451"/>
      <c r="F25" s="451" t="s">
        <v>149</v>
      </c>
      <c r="G25" s="451"/>
      <c r="H25" s="451" t="s">
        <v>149</v>
      </c>
      <c r="I25" s="451"/>
      <c r="J25" s="451" t="s">
        <v>172</v>
      </c>
      <c r="K25" s="451"/>
      <c r="L25" s="451" t="s">
        <v>172</v>
      </c>
      <c r="M25" s="451"/>
      <c r="N25" s="451" t="s">
        <v>150</v>
      </c>
      <c r="O25" s="451"/>
      <c r="P25" s="451"/>
      <c r="Q25" s="454"/>
      <c r="R25" s="451"/>
      <c r="S25" s="450"/>
      <c r="T25" s="450"/>
      <c r="U25" s="452"/>
      <c r="V25" s="430"/>
    </row>
    <row r="26" spans="1:22" s="431" customFormat="1" x14ac:dyDescent="0.3">
      <c r="A26" s="453"/>
      <c r="B26" s="455" t="s">
        <v>9</v>
      </c>
      <c r="C26" s="454"/>
      <c r="D26" s="454" t="s">
        <v>147</v>
      </c>
      <c r="E26" s="454"/>
      <c r="F26" s="454" t="s">
        <v>147</v>
      </c>
      <c r="G26" s="454"/>
      <c r="H26" s="454" t="s">
        <v>147</v>
      </c>
      <c r="I26" s="454"/>
      <c r="J26" s="454" t="s">
        <v>190</v>
      </c>
      <c r="K26" s="454"/>
      <c r="L26" s="454" t="s">
        <v>190</v>
      </c>
      <c r="M26" s="454"/>
      <c r="N26" s="454" t="s">
        <v>148</v>
      </c>
      <c r="O26" s="454"/>
      <c r="P26" s="454"/>
      <c r="Q26" s="454"/>
      <c r="R26" s="451"/>
      <c r="S26" s="450"/>
      <c r="T26" s="450"/>
      <c r="U26" s="452"/>
      <c r="V26" s="430"/>
    </row>
    <row r="27" spans="1:22" s="431" customFormat="1" x14ac:dyDescent="0.3">
      <c r="A27" s="449"/>
      <c r="B27" s="455" t="s">
        <v>199</v>
      </c>
      <c r="C27" s="451"/>
      <c r="D27" s="454" t="s">
        <v>149</v>
      </c>
      <c r="E27" s="454"/>
      <c r="F27" s="454" t="s">
        <v>149</v>
      </c>
      <c r="G27" s="454"/>
      <c r="H27" s="454" t="s">
        <v>149</v>
      </c>
      <c r="I27" s="454"/>
      <c r="J27" s="454" t="s">
        <v>322</v>
      </c>
      <c r="K27" s="454"/>
      <c r="L27" s="454" t="s">
        <v>322</v>
      </c>
      <c r="M27" s="454"/>
      <c r="N27" s="454" t="s">
        <v>345</v>
      </c>
      <c r="O27" s="454"/>
      <c r="P27" s="454"/>
      <c r="Q27" s="451"/>
      <c r="R27" s="456"/>
      <c r="S27" s="450"/>
      <c r="T27" s="450"/>
      <c r="U27" s="452"/>
      <c r="V27" s="430"/>
    </row>
    <row r="28" spans="1:22" s="431" customFormat="1" x14ac:dyDescent="0.3">
      <c r="A28" s="449"/>
      <c r="B28" s="455" t="s">
        <v>200</v>
      </c>
      <c r="C28" s="451"/>
      <c r="D28" s="454" t="s">
        <v>149</v>
      </c>
      <c r="E28" s="454"/>
      <c r="F28" s="454" t="s">
        <v>149</v>
      </c>
      <c r="G28" s="454"/>
      <c r="H28" s="454" t="s">
        <v>149</v>
      </c>
      <c r="I28" s="454"/>
      <c r="J28" s="454" t="s">
        <v>149</v>
      </c>
      <c r="K28" s="454"/>
      <c r="L28" s="454" t="s">
        <v>149</v>
      </c>
      <c r="M28" s="454"/>
      <c r="N28" s="454" t="s">
        <v>346</v>
      </c>
      <c r="O28" s="454"/>
      <c r="P28" s="454"/>
      <c r="Q28" s="451"/>
      <c r="R28" s="456"/>
      <c r="S28" s="450"/>
      <c r="T28" s="450"/>
      <c r="U28" s="452"/>
      <c r="V28" s="430"/>
    </row>
    <row r="29" spans="1:22" s="431" customFormat="1" x14ac:dyDescent="0.3">
      <c r="A29" s="449"/>
      <c r="B29" s="450" t="s">
        <v>10</v>
      </c>
      <c r="C29" s="457"/>
      <c r="D29" s="451" t="s">
        <v>237</v>
      </c>
      <c r="E29" s="451"/>
      <c r="F29" s="456" t="s">
        <v>238</v>
      </c>
      <c r="G29" s="451"/>
      <c r="H29" s="451" t="s">
        <v>239</v>
      </c>
      <c r="I29" s="451"/>
      <c r="J29" s="451" t="s">
        <v>240</v>
      </c>
      <c r="K29" s="451"/>
      <c r="L29" s="451" t="s">
        <v>241</v>
      </c>
      <c r="M29" s="451"/>
      <c r="N29" s="451" t="s">
        <v>242</v>
      </c>
      <c r="O29" s="451"/>
      <c r="P29" s="451"/>
      <c r="Q29" s="458"/>
      <c r="R29" s="458"/>
      <c r="S29" s="457"/>
      <c r="T29" s="458"/>
      <c r="U29" s="459"/>
      <c r="V29" s="430"/>
    </row>
    <row r="30" spans="1:22" s="431" customFormat="1" x14ac:dyDescent="0.3">
      <c r="A30" s="449"/>
      <c r="B30" s="450" t="s">
        <v>10</v>
      </c>
      <c r="C30" s="457"/>
      <c r="D30" s="451" t="s">
        <v>236</v>
      </c>
      <c r="E30" s="451"/>
      <c r="F30" s="456" t="s">
        <v>124</v>
      </c>
      <c r="G30" s="451"/>
      <c r="H30" s="451" t="s">
        <v>124</v>
      </c>
      <c r="I30" s="451"/>
      <c r="J30" s="451" t="s">
        <v>124</v>
      </c>
      <c r="K30" s="451"/>
      <c r="L30" s="451" t="s">
        <v>124</v>
      </c>
      <c r="M30" s="451"/>
      <c r="N30" s="451" t="s">
        <v>124</v>
      </c>
      <c r="O30" s="451"/>
      <c r="P30" s="451"/>
      <c r="Q30" s="458"/>
      <c r="R30" s="458"/>
      <c r="S30" s="457"/>
      <c r="T30" s="458"/>
      <c r="U30" s="459"/>
      <c r="V30" s="430"/>
    </row>
    <row r="31" spans="1:22" s="431" customFormat="1" x14ac:dyDescent="0.3">
      <c r="A31" s="453"/>
      <c r="B31" s="450" t="s">
        <v>139</v>
      </c>
      <c r="C31" s="460"/>
      <c r="D31" s="461">
        <v>985000</v>
      </c>
      <c r="E31" s="457"/>
      <c r="F31" s="458">
        <v>149500</v>
      </c>
      <c r="G31" s="458"/>
      <c r="H31" s="462">
        <v>219700</v>
      </c>
      <c r="I31" s="458"/>
      <c r="J31" s="458">
        <v>16000</v>
      </c>
      <c r="K31" s="458"/>
      <c r="L31" s="462">
        <v>82400</v>
      </c>
      <c r="M31" s="458"/>
      <c r="N31" s="462">
        <v>87500</v>
      </c>
      <c r="O31" s="458"/>
      <c r="P31" s="462"/>
      <c r="Q31" s="463"/>
      <c r="R31" s="463"/>
      <c r="S31" s="460"/>
      <c r="T31" s="463"/>
      <c r="U31" s="459"/>
      <c r="V31" s="430"/>
    </row>
    <row r="32" spans="1:22" s="431" customFormat="1" x14ac:dyDescent="0.3">
      <c r="A32" s="449"/>
      <c r="B32" s="450" t="s">
        <v>138</v>
      </c>
      <c r="C32" s="457"/>
      <c r="D32" s="464">
        <f>D38*D34</f>
        <v>168445.25665979998</v>
      </c>
      <c r="E32" s="457"/>
      <c r="F32" s="458">
        <f>F38*F31</f>
        <v>44391.991799999996</v>
      </c>
      <c r="G32" s="458"/>
      <c r="H32" s="462">
        <f>H38*H31</f>
        <v>65236.927079999994</v>
      </c>
      <c r="I32" s="458"/>
      <c r="J32" s="458">
        <f>J31*J38</f>
        <v>11267.9776</v>
      </c>
      <c r="K32" s="458"/>
      <c r="L32" s="462">
        <f>L31*L38</f>
        <v>58030.084640000001</v>
      </c>
      <c r="M32" s="458"/>
      <c r="N32" s="462">
        <f>N31*N38</f>
        <v>61621.752500000002</v>
      </c>
      <c r="O32" s="458"/>
      <c r="P32" s="462"/>
      <c r="Q32" s="458"/>
      <c r="R32" s="458"/>
      <c r="S32" s="457"/>
      <c r="T32" s="458"/>
      <c r="U32" s="459"/>
      <c r="V32" s="430"/>
    </row>
    <row r="33" spans="1:23" s="431" customFormat="1" x14ac:dyDescent="0.3">
      <c r="A33" s="449"/>
      <c r="B33" s="455" t="s">
        <v>140</v>
      </c>
      <c r="C33" s="457"/>
      <c r="D33" s="465">
        <f>D37*D34</f>
        <v>166193.9980428</v>
      </c>
      <c r="E33" s="460"/>
      <c r="F33" s="463">
        <f>F37*F31</f>
        <v>43798.716</v>
      </c>
      <c r="G33" s="463"/>
      <c r="H33" s="466">
        <f>H31*H37</f>
        <v>64365.069600000003</v>
      </c>
      <c r="I33" s="463"/>
      <c r="J33" s="463">
        <f>J31*J37</f>
        <v>11117.3824</v>
      </c>
      <c r="K33" s="463"/>
      <c r="L33" s="466">
        <f>L31*L37</f>
        <v>57254.519359999998</v>
      </c>
      <c r="M33" s="463"/>
      <c r="N33" s="466">
        <f>N31*N37</f>
        <v>60798.185000000005</v>
      </c>
      <c r="O33" s="463"/>
      <c r="P33" s="466"/>
      <c r="Q33" s="458"/>
      <c r="R33" s="458"/>
      <c r="S33" s="457"/>
      <c r="T33" s="458"/>
      <c r="U33" s="459"/>
      <c r="V33" s="430"/>
    </row>
    <row r="34" spans="1:23" s="431" customFormat="1" x14ac:dyDescent="0.3">
      <c r="A34" s="453"/>
      <c r="B34" s="450" t="s">
        <v>283</v>
      </c>
      <c r="C34" s="460"/>
      <c r="D34" s="458">
        <v>567282</v>
      </c>
      <c r="E34" s="457"/>
      <c r="F34" s="458">
        <v>149500</v>
      </c>
      <c r="G34" s="458"/>
      <c r="H34" s="458">
        <v>150716</v>
      </c>
      <c r="I34" s="458"/>
      <c r="J34" s="458">
        <v>16000</v>
      </c>
      <c r="K34" s="458"/>
      <c r="L34" s="458">
        <v>56527</v>
      </c>
      <c r="M34" s="458"/>
      <c r="N34" s="458">
        <v>60025</v>
      </c>
      <c r="O34" s="458"/>
      <c r="P34" s="458"/>
      <c r="Q34" s="463"/>
      <c r="R34" s="463"/>
      <c r="S34" s="460"/>
      <c r="T34" s="458">
        <f>SUM(C34:P34)</f>
        <v>1000050</v>
      </c>
      <c r="U34" s="459"/>
      <c r="V34" s="430"/>
    </row>
    <row r="35" spans="1:23" s="431" customFormat="1" x14ac:dyDescent="0.3">
      <c r="A35" s="453"/>
      <c r="B35" s="450" t="s">
        <v>284</v>
      </c>
      <c r="C35" s="460"/>
      <c r="D35" s="458">
        <f>D38*D34</f>
        <v>168445.25665979998</v>
      </c>
      <c r="E35" s="457"/>
      <c r="F35" s="458">
        <f>F38*F34</f>
        <v>44391.991799999996</v>
      </c>
      <c r="G35" s="458"/>
      <c r="H35" s="458">
        <f>H38*H34</f>
        <v>44753.066462399998</v>
      </c>
      <c r="I35" s="458"/>
      <c r="J35" s="458">
        <f>J34*J38</f>
        <v>11267.9776</v>
      </c>
      <c r="K35" s="458"/>
      <c r="L35" s="458">
        <f>L34*L38</f>
        <v>39809.060612200003</v>
      </c>
      <c r="M35" s="458"/>
      <c r="N35" s="458">
        <f>N34*N38</f>
        <v>42272.522214999997</v>
      </c>
      <c r="O35" s="458"/>
      <c r="P35" s="458"/>
      <c r="Q35" s="458"/>
      <c r="R35" s="458"/>
      <c r="S35" s="457"/>
      <c r="T35" s="458">
        <f>SUM(C35:P35)+1</f>
        <v>350940.87534939998</v>
      </c>
      <c r="U35" s="459"/>
      <c r="V35" s="430"/>
    </row>
    <row r="36" spans="1:23" s="431" customFormat="1" x14ac:dyDescent="0.3">
      <c r="A36" s="453"/>
      <c r="B36" s="455" t="s">
        <v>285</v>
      </c>
      <c r="C36" s="460"/>
      <c r="D36" s="463">
        <f>D37*D34</f>
        <v>166193.9980428</v>
      </c>
      <c r="E36" s="460"/>
      <c r="F36" s="463">
        <f>F37*F34</f>
        <v>43798.716</v>
      </c>
      <c r="G36" s="463"/>
      <c r="H36" s="463">
        <f>H37*H34</f>
        <v>44154.965088000004</v>
      </c>
      <c r="I36" s="463"/>
      <c r="J36" s="463">
        <f>J37*J34</f>
        <v>11117.3824</v>
      </c>
      <c r="K36" s="463"/>
      <c r="L36" s="463">
        <f>L37*L34</f>
        <v>39277.017182800002</v>
      </c>
      <c r="M36" s="463"/>
      <c r="N36" s="463">
        <f>N37*N34</f>
        <v>41707.554909999999</v>
      </c>
      <c r="O36" s="463"/>
      <c r="P36" s="463"/>
      <c r="Q36" s="467"/>
      <c r="R36" s="467"/>
      <c r="S36" s="457"/>
      <c r="T36" s="463">
        <f>SUM(C36:P36)+1</f>
        <v>346250.63362360001</v>
      </c>
      <c r="U36" s="459"/>
      <c r="V36" s="430"/>
    </row>
    <row r="37" spans="1:23" x14ac:dyDescent="0.3">
      <c r="A37" s="468"/>
      <c r="B37" s="469" t="s">
        <v>136</v>
      </c>
      <c r="C37" s="470"/>
      <c r="D37" s="471">
        <v>0.29296539999999999</v>
      </c>
      <c r="E37" s="472"/>
      <c r="F37" s="471">
        <v>0.29296800000000001</v>
      </c>
      <c r="G37" s="473"/>
      <c r="H37" s="471">
        <v>0.29296800000000001</v>
      </c>
      <c r="I37" s="473"/>
      <c r="J37" s="471">
        <v>0.69483640000000002</v>
      </c>
      <c r="K37" s="473"/>
      <c r="L37" s="471">
        <v>0.69483640000000002</v>
      </c>
      <c r="M37" s="473"/>
      <c r="N37" s="471">
        <v>0.69483640000000002</v>
      </c>
      <c r="O37" s="474"/>
      <c r="P37" s="474"/>
      <c r="Q37" s="475"/>
      <c r="R37" s="475"/>
      <c r="S37" s="470"/>
      <c r="T37" s="470"/>
      <c r="U37" s="476"/>
      <c r="V37" s="416"/>
      <c r="W37" s="477"/>
    </row>
    <row r="38" spans="1:23" x14ac:dyDescent="0.3">
      <c r="A38" s="468"/>
      <c r="B38" s="470" t="s">
        <v>137</v>
      </c>
      <c r="C38" s="470"/>
      <c r="D38" s="478">
        <v>0.29693389999999997</v>
      </c>
      <c r="E38" s="479"/>
      <c r="F38" s="478">
        <v>0.29693639999999999</v>
      </c>
      <c r="G38" s="480"/>
      <c r="H38" s="478">
        <v>0.29693639999999999</v>
      </c>
      <c r="I38" s="480"/>
      <c r="J38" s="478">
        <v>0.7042486</v>
      </c>
      <c r="K38" s="480"/>
      <c r="L38" s="478">
        <v>0.7042486</v>
      </c>
      <c r="M38" s="480"/>
      <c r="N38" s="478">
        <v>0.7042486</v>
      </c>
      <c r="O38" s="474"/>
      <c r="P38" s="474"/>
      <c r="Q38" s="481"/>
      <c r="R38" s="482"/>
      <c r="S38" s="470"/>
      <c r="T38" s="481"/>
      <c r="U38" s="476"/>
      <c r="V38" s="416"/>
    </row>
    <row r="39" spans="1:23" s="431" customFormat="1" x14ac:dyDescent="0.3">
      <c r="A39" s="449"/>
      <c r="B39" s="450" t="s">
        <v>11</v>
      </c>
      <c r="C39" s="450"/>
      <c r="D39" s="456" t="s">
        <v>275</v>
      </c>
      <c r="E39" s="450"/>
      <c r="F39" s="456" t="s">
        <v>232</v>
      </c>
      <c r="G39" s="456"/>
      <c r="H39" s="456" t="s">
        <v>232</v>
      </c>
      <c r="I39" s="456"/>
      <c r="J39" s="456" t="s">
        <v>234</v>
      </c>
      <c r="K39" s="456"/>
      <c r="L39" s="456" t="s">
        <v>234</v>
      </c>
      <c r="M39" s="456"/>
      <c r="N39" s="456" t="s">
        <v>235</v>
      </c>
      <c r="O39" s="456"/>
      <c r="P39" s="456"/>
      <c r="Q39" s="483"/>
      <c r="R39" s="484"/>
      <c r="S39" s="450"/>
      <c r="T39" s="450"/>
      <c r="U39" s="452"/>
      <c r="V39" s="430"/>
    </row>
    <row r="40" spans="1:23" s="431" customFormat="1" x14ac:dyDescent="0.3">
      <c r="A40" s="449"/>
      <c r="B40" s="450" t="s">
        <v>12</v>
      </c>
      <c r="C40" s="450"/>
      <c r="D40" s="484">
        <v>7.6775000000000003E-3</v>
      </c>
      <c r="E40" s="450"/>
      <c r="F40" s="484">
        <v>9.0775000000000005E-3</v>
      </c>
      <c r="G40" s="483"/>
      <c r="H40" s="484">
        <v>2.0000000000000001E-4</v>
      </c>
      <c r="I40" s="483"/>
      <c r="J40" s="484">
        <v>1.14775E-2</v>
      </c>
      <c r="K40" s="483"/>
      <c r="L40" s="484">
        <v>2.5999999999999999E-3</v>
      </c>
      <c r="M40" s="483"/>
      <c r="N40" s="484">
        <v>6.7999999999999996E-3</v>
      </c>
      <c r="O40" s="483"/>
      <c r="P40" s="484"/>
      <c r="Q40" s="483"/>
      <c r="R40" s="484"/>
      <c r="S40" s="450"/>
      <c r="T40" s="456"/>
      <c r="U40" s="452"/>
      <c r="V40" s="430"/>
    </row>
    <row r="41" spans="1:23" s="431" customFormat="1" x14ac:dyDescent="0.3">
      <c r="A41" s="449"/>
      <c r="B41" s="450" t="s">
        <v>13</v>
      </c>
      <c r="C41" s="450"/>
      <c r="D41" s="484">
        <v>8.2500000000000004E-3</v>
      </c>
      <c r="E41" s="450"/>
      <c r="F41" s="484">
        <v>9.6500000000000006E-3</v>
      </c>
      <c r="G41" s="483"/>
      <c r="H41" s="484">
        <v>0</v>
      </c>
      <c r="I41" s="483"/>
      <c r="J41" s="484">
        <v>1.205E-2</v>
      </c>
      <c r="K41" s="483"/>
      <c r="L41" s="484">
        <v>9.1E-4</v>
      </c>
      <c r="M41" s="483"/>
      <c r="N41" s="484">
        <v>5.11E-3</v>
      </c>
      <c r="O41" s="483"/>
      <c r="P41" s="484"/>
      <c r="Q41" s="483"/>
      <c r="R41" s="484"/>
      <c r="S41" s="450"/>
      <c r="T41" s="483" t="s">
        <v>201</v>
      </c>
      <c r="U41" s="452"/>
      <c r="V41" s="430"/>
    </row>
    <row r="42" spans="1:23" s="431" customFormat="1" x14ac:dyDescent="0.3">
      <c r="A42" s="449"/>
      <c r="B42" s="450" t="s">
        <v>286</v>
      </c>
      <c r="C42" s="450"/>
      <c r="D42" s="456" t="s">
        <v>275</v>
      </c>
      <c r="E42" s="450"/>
      <c r="F42" s="456" t="s">
        <v>232</v>
      </c>
      <c r="G42" s="456"/>
      <c r="H42" s="456" t="s">
        <v>232</v>
      </c>
      <c r="I42" s="456"/>
      <c r="J42" s="456" t="s">
        <v>234</v>
      </c>
      <c r="K42" s="456"/>
      <c r="L42" s="456" t="s">
        <v>245</v>
      </c>
      <c r="M42" s="456"/>
      <c r="N42" s="456" t="s">
        <v>247</v>
      </c>
      <c r="O42" s="456"/>
      <c r="P42" s="456"/>
      <c r="Q42" s="483"/>
      <c r="R42" s="484"/>
      <c r="S42" s="450"/>
      <c r="T42" s="450"/>
      <c r="U42" s="452"/>
      <c r="V42" s="430"/>
    </row>
    <row r="43" spans="1:23" s="431" customFormat="1" x14ac:dyDescent="0.3">
      <c r="A43" s="449"/>
      <c r="B43" s="450" t="s">
        <v>287</v>
      </c>
      <c r="C43" s="485"/>
      <c r="D43" s="484">
        <f>+D40</f>
        <v>7.6775000000000003E-3</v>
      </c>
      <c r="E43" s="484"/>
      <c r="F43" s="484">
        <f>+F40</f>
        <v>9.0775000000000005E-3</v>
      </c>
      <c r="G43" s="484"/>
      <c r="H43" s="484">
        <v>9.0735E-3</v>
      </c>
      <c r="I43" s="484"/>
      <c r="J43" s="484">
        <f>+J40</f>
        <v>1.14775E-2</v>
      </c>
      <c r="K43" s="484"/>
      <c r="L43" s="484">
        <v>1.1783500000000001E-2</v>
      </c>
      <c r="M43" s="484"/>
      <c r="N43" s="484">
        <v>1.6487499999999999E-2</v>
      </c>
      <c r="O43" s="483"/>
      <c r="P43" s="484"/>
      <c r="Q43" s="456"/>
      <c r="R43" s="456"/>
      <c r="S43" s="450"/>
      <c r="T43" s="483">
        <f>SUMPRODUCT(D43:N43,D35:N35)/T35</f>
        <v>9.6815744172907454E-3</v>
      </c>
      <c r="U43" s="452"/>
      <c r="V43" s="430"/>
    </row>
    <row r="44" spans="1:23" s="431" customFormat="1" x14ac:dyDescent="0.3">
      <c r="A44" s="449"/>
      <c r="B44" s="450" t="s">
        <v>288</v>
      </c>
      <c r="C44" s="485"/>
      <c r="D44" s="484">
        <v>8.2500000000000004E-3</v>
      </c>
      <c r="E44" s="484"/>
      <c r="F44" s="484">
        <v>9.6500000000000006E-3</v>
      </c>
      <c r="G44" s="484"/>
      <c r="H44" s="484">
        <v>9.6460000000000001E-3</v>
      </c>
      <c r="I44" s="484"/>
      <c r="J44" s="484">
        <v>1.205E-2</v>
      </c>
      <c r="K44" s="484"/>
      <c r="L44" s="484">
        <v>1.2356000000000001E-2</v>
      </c>
      <c r="M44" s="484"/>
      <c r="N44" s="484">
        <v>1.7059999999999999E-2</v>
      </c>
      <c r="O44" s="483"/>
      <c r="P44" s="484"/>
      <c r="Q44" s="456"/>
      <c r="R44" s="456"/>
      <c r="S44" s="450"/>
      <c r="T44" s="450"/>
      <c r="U44" s="452"/>
      <c r="V44" s="430"/>
    </row>
    <row r="45" spans="1:23" s="431" customFormat="1" x14ac:dyDescent="0.3">
      <c r="A45" s="449"/>
      <c r="B45" s="450" t="s">
        <v>14</v>
      </c>
      <c r="C45" s="450"/>
      <c r="D45" s="485">
        <v>40283</v>
      </c>
      <c r="E45" s="485"/>
      <c r="F45" s="485">
        <v>40283</v>
      </c>
      <c r="G45" s="485"/>
      <c r="H45" s="485">
        <v>40283</v>
      </c>
      <c r="I45" s="485"/>
      <c r="J45" s="485">
        <v>40283</v>
      </c>
      <c r="K45" s="485"/>
      <c r="L45" s="485">
        <v>40283</v>
      </c>
      <c r="M45" s="485"/>
      <c r="N45" s="485">
        <v>40283</v>
      </c>
      <c r="O45" s="485"/>
      <c r="P45" s="485"/>
      <c r="Q45" s="456"/>
      <c r="R45" s="456"/>
      <c r="S45" s="450"/>
      <c r="T45" s="450"/>
      <c r="U45" s="452"/>
      <c r="V45" s="430"/>
    </row>
    <row r="46" spans="1:23" s="431" customFormat="1" x14ac:dyDescent="0.3">
      <c r="A46" s="449"/>
      <c r="B46" s="450" t="s">
        <v>15</v>
      </c>
      <c r="C46" s="450"/>
      <c r="D46" s="485">
        <v>40648</v>
      </c>
      <c r="E46" s="485"/>
      <c r="F46" s="485">
        <v>40648</v>
      </c>
      <c r="G46" s="485"/>
      <c r="H46" s="485">
        <v>40648</v>
      </c>
      <c r="I46" s="456"/>
      <c r="J46" s="485">
        <v>40648</v>
      </c>
      <c r="K46" s="456"/>
      <c r="L46" s="485">
        <v>40648</v>
      </c>
      <c r="M46" s="456"/>
      <c r="N46" s="485">
        <v>40648</v>
      </c>
      <c r="O46" s="456"/>
      <c r="P46" s="485"/>
      <c r="Q46" s="456"/>
      <c r="R46" s="456"/>
      <c r="S46" s="450"/>
      <c r="T46" s="450"/>
      <c r="U46" s="452"/>
      <c r="V46" s="430"/>
    </row>
    <row r="47" spans="1:23" s="431" customFormat="1" x14ac:dyDescent="0.3">
      <c r="A47" s="449"/>
      <c r="B47" s="450" t="s">
        <v>125</v>
      </c>
      <c r="C47" s="450"/>
      <c r="D47" s="456" t="s">
        <v>124</v>
      </c>
      <c r="E47" s="450"/>
      <c r="F47" s="456" t="s">
        <v>232</v>
      </c>
      <c r="G47" s="456"/>
      <c r="H47" s="456" t="s">
        <v>232</v>
      </c>
      <c r="I47" s="456"/>
      <c r="J47" s="456" t="s">
        <v>234</v>
      </c>
      <c r="K47" s="456"/>
      <c r="L47" s="456" t="s">
        <v>234</v>
      </c>
      <c r="M47" s="456"/>
      <c r="N47" s="456" t="s">
        <v>235</v>
      </c>
      <c r="O47" s="456"/>
      <c r="P47" s="456"/>
      <c r="Q47" s="486"/>
      <c r="R47" s="486"/>
      <c r="S47" s="486"/>
      <c r="T47" s="486"/>
      <c r="U47" s="452"/>
      <c r="V47" s="430"/>
    </row>
    <row r="48" spans="1:23" s="431" customFormat="1" x14ac:dyDescent="0.3">
      <c r="A48" s="449"/>
      <c r="B48" s="450" t="s">
        <v>289</v>
      </c>
      <c r="C48" s="450"/>
      <c r="D48" s="456" t="s">
        <v>124</v>
      </c>
      <c r="E48" s="450"/>
      <c r="F48" s="456" t="s">
        <v>232</v>
      </c>
      <c r="G48" s="456"/>
      <c r="H48" s="456" t="s">
        <v>232</v>
      </c>
      <c r="I48" s="456"/>
      <c r="J48" s="456" t="s">
        <v>234</v>
      </c>
      <c r="K48" s="456"/>
      <c r="L48" s="456" t="s">
        <v>245</v>
      </c>
      <c r="M48" s="456"/>
      <c r="N48" s="456" t="s">
        <v>247</v>
      </c>
      <c r="O48" s="456"/>
      <c r="P48" s="456"/>
      <c r="Q48" s="450"/>
      <c r="R48" s="450"/>
      <c r="S48" s="450"/>
      <c r="T48" s="483"/>
      <c r="U48" s="452"/>
      <c r="V48" s="430"/>
    </row>
    <row r="49" spans="1:23" s="431" customFormat="1" x14ac:dyDescent="0.3">
      <c r="A49" s="449"/>
      <c r="B49" s="450"/>
      <c r="C49" s="450"/>
      <c r="D49" s="456"/>
      <c r="E49" s="450"/>
      <c r="F49" s="456"/>
      <c r="G49" s="456"/>
      <c r="H49" s="456"/>
      <c r="I49" s="456"/>
      <c r="J49" s="456"/>
      <c r="K49" s="456"/>
      <c r="L49" s="456"/>
      <c r="M49" s="456"/>
      <c r="N49" s="456"/>
      <c r="O49" s="456"/>
      <c r="P49" s="456"/>
      <c r="Q49" s="450"/>
      <c r="R49" s="450"/>
      <c r="S49" s="450"/>
      <c r="T49" s="483" t="s">
        <v>201</v>
      </c>
      <c r="U49" s="452"/>
      <c r="V49" s="430"/>
    </row>
    <row r="50" spans="1:23" s="431" customFormat="1" x14ac:dyDescent="0.3">
      <c r="A50" s="449"/>
      <c r="B50" s="450" t="s">
        <v>176</v>
      </c>
      <c r="C50" s="450"/>
      <c r="D50" s="456"/>
      <c r="E50" s="450"/>
      <c r="F50" s="456"/>
      <c r="G50" s="456"/>
      <c r="H50" s="456"/>
      <c r="I50" s="456"/>
      <c r="J50" s="456"/>
      <c r="K50" s="456"/>
      <c r="L50" s="456"/>
      <c r="M50" s="456"/>
      <c r="N50" s="456"/>
      <c r="O50" s="456"/>
      <c r="P50" s="456"/>
      <c r="Q50" s="450"/>
      <c r="R50" s="450"/>
      <c r="S50" s="450"/>
      <c r="T50" s="483">
        <f>SUM(J34:P34)/SUM(D34:H34)</f>
        <v>0.15279804679664968</v>
      </c>
      <c r="U50" s="452"/>
      <c r="V50" s="430"/>
    </row>
    <row r="51" spans="1:23" s="431" customFormat="1" x14ac:dyDescent="0.3">
      <c r="A51" s="449"/>
      <c r="B51" s="450" t="s">
        <v>177</v>
      </c>
      <c r="C51" s="450"/>
      <c r="D51" s="450"/>
      <c r="E51" s="450"/>
      <c r="F51" s="487"/>
      <c r="G51" s="450"/>
      <c r="H51" s="450"/>
      <c r="I51" s="450"/>
      <c r="J51" s="450"/>
      <c r="K51" s="450"/>
      <c r="L51" s="450"/>
      <c r="M51" s="450"/>
      <c r="N51" s="450"/>
      <c r="O51" s="450"/>
      <c r="P51" s="450"/>
      <c r="Q51" s="450"/>
      <c r="R51" s="450"/>
      <c r="S51" s="450"/>
      <c r="T51" s="483">
        <f>SUM(J36:P36)/SUM(D36:H36)</f>
        <v>0.36239541831660271</v>
      </c>
      <c r="U51" s="452"/>
      <c r="V51" s="430"/>
    </row>
    <row r="52" spans="1:23" s="431" customFormat="1" x14ac:dyDescent="0.3">
      <c r="A52" s="449"/>
      <c r="B52" s="450" t="s">
        <v>178</v>
      </c>
      <c r="C52" s="450"/>
      <c r="D52" s="450"/>
      <c r="E52" s="450"/>
      <c r="F52" s="450"/>
      <c r="G52" s="450"/>
      <c r="H52" s="450"/>
      <c r="I52" s="450"/>
      <c r="J52" s="450"/>
      <c r="K52" s="450"/>
      <c r="L52" s="450"/>
      <c r="M52" s="450"/>
      <c r="N52" s="450"/>
      <c r="O52" s="450"/>
      <c r="P52" s="450"/>
      <c r="Q52" s="450"/>
      <c r="R52" s="456" t="s">
        <v>109</v>
      </c>
      <c r="S52" s="456" t="s">
        <v>115</v>
      </c>
      <c r="T52" s="458">
        <f>+T34/2-SUM(J34:P34)</f>
        <v>367473</v>
      </c>
      <c r="U52" s="452"/>
      <c r="V52" s="430"/>
    </row>
    <row r="53" spans="1:23" s="431" customFormat="1" x14ac:dyDescent="0.3">
      <c r="A53" s="449"/>
      <c r="B53" s="450"/>
      <c r="C53" s="450"/>
      <c r="D53" s="450"/>
      <c r="E53" s="450"/>
      <c r="F53" s="450"/>
      <c r="G53" s="450"/>
      <c r="H53" s="450"/>
      <c r="I53" s="450"/>
      <c r="J53" s="450"/>
      <c r="K53" s="450"/>
      <c r="L53" s="450"/>
      <c r="M53" s="450"/>
      <c r="N53" s="450"/>
      <c r="O53" s="450"/>
      <c r="P53" s="450"/>
      <c r="Q53" s="450"/>
      <c r="R53" s="450"/>
      <c r="S53" s="450"/>
      <c r="T53" s="488"/>
      <c r="U53" s="452"/>
      <c r="V53" s="430"/>
    </row>
    <row r="54" spans="1:23" s="431" customFormat="1" x14ac:dyDescent="0.3">
      <c r="A54" s="449"/>
      <c r="B54" s="450" t="s">
        <v>342</v>
      </c>
      <c r="C54" s="450"/>
      <c r="D54" s="450"/>
      <c r="E54" s="450"/>
      <c r="F54" s="450"/>
      <c r="G54" s="450"/>
      <c r="H54" s="450"/>
      <c r="I54" s="450"/>
      <c r="J54" s="450"/>
      <c r="K54" s="450"/>
      <c r="L54" s="450"/>
      <c r="M54" s="450"/>
      <c r="N54" s="450"/>
      <c r="O54" s="450"/>
      <c r="P54" s="450"/>
      <c r="Q54" s="450"/>
      <c r="R54" s="456"/>
      <c r="S54" s="456"/>
      <c r="T54" s="489" t="s">
        <v>117</v>
      </c>
      <c r="U54" s="452"/>
      <c r="V54" s="430"/>
    </row>
    <row r="55" spans="1:23" s="431" customFormat="1" x14ac:dyDescent="0.3">
      <c r="A55" s="449"/>
      <c r="B55" s="455" t="s">
        <v>210</v>
      </c>
      <c r="C55" s="455"/>
      <c r="D55" s="455"/>
      <c r="E55" s="455"/>
      <c r="F55" s="455"/>
      <c r="G55" s="455"/>
      <c r="H55" s="455"/>
      <c r="I55" s="455"/>
      <c r="J55" s="455"/>
      <c r="K55" s="455"/>
      <c r="L55" s="455"/>
      <c r="M55" s="455"/>
      <c r="N55" s="455"/>
      <c r="O55" s="455"/>
      <c r="P55" s="455"/>
      <c r="Q55" s="455"/>
      <c r="R55" s="490"/>
      <c r="S55" s="490"/>
      <c r="T55" s="491">
        <v>44027</v>
      </c>
      <c r="U55" s="452"/>
      <c r="V55" s="430"/>
    </row>
    <row r="56" spans="1:23" s="431" customFormat="1" x14ac:dyDescent="0.3">
      <c r="A56" s="449"/>
      <c r="B56" s="450" t="s">
        <v>127</v>
      </c>
      <c r="C56" s="450"/>
      <c r="D56" s="450"/>
      <c r="E56" s="450"/>
      <c r="F56" s="450"/>
      <c r="G56" s="450"/>
      <c r="H56" s="492"/>
      <c r="I56" s="492"/>
      <c r="J56" s="492"/>
      <c r="K56" s="492"/>
      <c r="L56" s="492"/>
      <c r="M56" s="492"/>
      <c r="N56" s="492"/>
      <c r="O56" s="492"/>
      <c r="P56" s="450">
        <f>+T56-R56+1</f>
        <v>91</v>
      </c>
      <c r="Q56" s="492"/>
      <c r="R56" s="493">
        <v>43845</v>
      </c>
      <c r="S56" s="494"/>
      <c r="T56" s="493">
        <v>43935</v>
      </c>
      <c r="U56" s="452"/>
      <c r="V56" s="430"/>
    </row>
    <row r="57" spans="1:23" s="431" customFormat="1" x14ac:dyDescent="0.3">
      <c r="A57" s="449"/>
      <c r="B57" s="450" t="s">
        <v>128</v>
      </c>
      <c r="C57" s="450"/>
      <c r="D57" s="450"/>
      <c r="E57" s="450"/>
      <c r="F57" s="450"/>
      <c r="G57" s="450"/>
      <c r="H57" s="450"/>
      <c r="I57" s="450"/>
      <c r="J57" s="450"/>
      <c r="K57" s="450"/>
      <c r="L57" s="450"/>
      <c r="M57" s="450"/>
      <c r="N57" s="450"/>
      <c r="O57" s="450"/>
      <c r="P57" s="450">
        <f>+T57-R57+1</f>
        <v>91</v>
      </c>
      <c r="Q57" s="450"/>
      <c r="R57" s="493">
        <v>43936</v>
      </c>
      <c r="S57" s="494"/>
      <c r="T57" s="493">
        <v>44026</v>
      </c>
      <c r="U57" s="452"/>
      <c r="V57" s="430"/>
    </row>
    <row r="58" spans="1:23" s="431" customFormat="1" x14ac:dyDescent="0.3">
      <c r="A58" s="449"/>
      <c r="B58" s="450" t="s">
        <v>344</v>
      </c>
      <c r="C58" s="450"/>
      <c r="D58" s="450"/>
      <c r="E58" s="450"/>
      <c r="F58" s="450"/>
      <c r="G58" s="450"/>
      <c r="H58" s="450"/>
      <c r="I58" s="450"/>
      <c r="J58" s="450"/>
      <c r="K58" s="450"/>
      <c r="L58" s="450"/>
      <c r="M58" s="450"/>
      <c r="N58" s="450"/>
      <c r="O58" s="450"/>
      <c r="P58" s="450"/>
      <c r="Q58" s="450"/>
      <c r="R58" s="493"/>
      <c r="S58" s="494"/>
      <c r="T58" s="493" t="s">
        <v>126</v>
      </c>
      <c r="U58" s="452"/>
      <c r="V58" s="430"/>
    </row>
    <row r="59" spans="1:23" s="431" customFormat="1" x14ac:dyDescent="0.3">
      <c r="A59" s="449"/>
      <c r="B59" s="450" t="s">
        <v>343</v>
      </c>
      <c r="C59" s="450"/>
      <c r="D59" s="450"/>
      <c r="E59" s="450"/>
      <c r="F59" s="450"/>
      <c r="G59" s="450"/>
      <c r="H59" s="450"/>
      <c r="I59" s="450"/>
      <c r="J59" s="450"/>
      <c r="K59" s="450"/>
      <c r="L59" s="450"/>
      <c r="M59" s="450"/>
      <c r="N59" s="450"/>
      <c r="O59" s="450"/>
      <c r="P59" s="450"/>
      <c r="Q59" s="450"/>
      <c r="R59" s="493"/>
      <c r="S59" s="494"/>
      <c r="T59" s="493" t="s">
        <v>160</v>
      </c>
      <c r="U59" s="452"/>
      <c r="V59" s="430"/>
      <c r="W59" s="495"/>
    </row>
    <row r="60" spans="1:23" s="431" customFormat="1" x14ac:dyDescent="0.3">
      <c r="A60" s="449"/>
      <c r="B60" s="450" t="s">
        <v>16</v>
      </c>
      <c r="C60" s="450"/>
      <c r="D60" s="450"/>
      <c r="E60" s="450"/>
      <c r="F60" s="450"/>
      <c r="G60" s="450"/>
      <c r="H60" s="450"/>
      <c r="I60" s="450"/>
      <c r="J60" s="450"/>
      <c r="K60" s="450"/>
      <c r="L60" s="450"/>
      <c r="M60" s="450"/>
      <c r="N60" s="450"/>
      <c r="O60" s="450"/>
      <c r="P60" s="450"/>
      <c r="Q60" s="450"/>
      <c r="R60" s="493"/>
      <c r="S60" s="494"/>
      <c r="T60" s="493">
        <v>44013</v>
      </c>
      <c r="U60" s="452"/>
      <c r="V60" s="430"/>
    </row>
    <row r="61" spans="1:23" s="431" customFormat="1" x14ac:dyDescent="0.3">
      <c r="A61" s="432"/>
      <c r="B61" s="447"/>
      <c r="C61" s="447"/>
      <c r="D61" s="447"/>
      <c r="E61" s="447"/>
      <c r="F61" s="447"/>
      <c r="G61" s="447"/>
      <c r="H61" s="447"/>
      <c r="I61" s="447"/>
      <c r="J61" s="447"/>
      <c r="K61" s="447"/>
      <c r="L61" s="447"/>
      <c r="M61" s="447"/>
      <c r="N61" s="447"/>
      <c r="O61" s="447"/>
      <c r="P61" s="447"/>
      <c r="Q61" s="447"/>
      <c r="R61" s="496"/>
      <c r="S61" s="497"/>
      <c r="T61" s="496"/>
      <c r="U61" s="641"/>
      <c r="V61" s="430"/>
    </row>
    <row r="62" spans="1:23" s="431" customFormat="1" x14ac:dyDescent="0.3">
      <c r="A62" s="432"/>
      <c r="B62" s="433"/>
      <c r="C62" s="433"/>
      <c r="D62" s="433"/>
      <c r="E62" s="433"/>
      <c r="F62" s="433"/>
      <c r="G62" s="433"/>
      <c r="H62" s="433"/>
      <c r="I62" s="433"/>
      <c r="J62" s="433"/>
      <c r="K62" s="433"/>
      <c r="L62" s="433"/>
      <c r="M62" s="433"/>
      <c r="N62" s="433"/>
      <c r="O62" s="433"/>
      <c r="P62" s="433"/>
      <c r="Q62" s="433"/>
      <c r="R62" s="498"/>
      <c r="S62" s="499"/>
      <c r="T62" s="498"/>
      <c r="U62" s="641"/>
      <c r="V62" s="430"/>
    </row>
    <row r="63" spans="1:23" s="431" customFormat="1" ht="18.600000000000001" thickBot="1" x14ac:dyDescent="0.4">
      <c r="A63" s="500"/>
      <c r="B63" s="501" t="s">
        <v>378</v>
      </c>
      <c r="C63" s="502"/>
      <c r="D63" s="502"/>
      <c r="E63" s="502"/>
      <c r="F63" s="502"/>
      <c r="G63" s="502"/>
      <c r="H63" s="502"/>
      <c r="I63" s="502"/>
      <c r="J63" s="502"/>
      <c r="K63" s="502"/>
      <c r="L63" s="502"/>
      <c r="M63" s="502"/>
      <c r="N63" s="502"/>
      <c r="O63" s="502"/>
      <c r="P63" s="502"/>
      <c r="Q63" s="502"/>
      <c r="R63" s="502"/>
      <c r="S63" s="502"/>
      <c r="T63" s="503"/>
      <c r="U63" s="504"/>
      <c r="V63" s="430"/>
    </row>
    <row r="64" spans="1:23" x14ac:dyDescent="0.3">
      <c r="A64" s="505"/>
      <c r="B64" s="506" t="s">
        <v>17</v>
      </c>
      <c r="C64" s="507"/>
      <c r="D64" s="507"/>
      <c r="E64" s="507"/>
      <c r="F64" s="507"/>
      <c r="G64" s="507"/>
      <c r="H64" s="507"/>
      <c r="I64" s="507"/>
      <c r="J64" s="507"/>
      <c r="K64" s="507"/>
      <c r="L64" s="507"/>
      <c r="M64" s="507"/>
      <c r="N64" s="507"/>
      <c r="O64" s="507"/>
      <c r="P64" s="507"/>
      <c r="Q64" s="507"/>
      <c r="R64" s="507"/>
      <c r="S64" s="507"/>
      <c r="T64" s="508"/>
      <c r="U64" s="509"/>
      <c r="V64" s="416"/>
    </row>
    <row r="65" spans="1:22" x14ac:dyDescent="0.3">
      <c r="A65" s="418"/>
      <c r="B65" s="427"/>
      <c r="C65" s="420"/>
      <c r="D65" s="420"/>
      <c r="E65" s="420"/>
      <c r="F65" s="420"/>
      <c r="G65" s="420"/>
      <c r="H65" s="420"/>
      <c r="I65" s="420"/>
      <c r="J65" s="420"/>
      <c r="K65" s="420"/>
      <c r="L65" s="420"/>
      <c r="M65" s="420"/>
      <c r="N65" s="420"/>
      <c r="O65" s="420"/>
      <c r="P65" s="420"/>
      <c r="Q65" s="420"/>
      <c r="R65" s="420"/>
      <c r="S65" s="420"/>
      <c r="T65" s="510"/>
      <c r="U65" s="639"/>
      <c r="V65" s="416"/>
    </row>
    <row r="66" spans="1:22" ht="46.8" x14ac:dyDescent="0.3">
      <c r="A66" s="418"/>
      <c r="B66" s="511" t="s">
        <v>18</v>
      </c>
      <c r="C66" s="512"/>
      <c r="D66" s="512"/>
      <c r="E66" s="512"/>
      <c r="F66" s="512"/>
      <c r="G66" s="512"/>
      <c r="H66" s="512"/>
      <c r="I66" s="512"/>
      <c r="J66" s="512" t="s">
        <v>97</v>
      </c>
      <c r="K66" s="512"/>
      <c r="L66" s="512" t="s">
        <v>99</v>
      </c>
      <c r="M66" s="512"/>
      <c r="N66" s="512" t="s">
        <v>101</v>
      </c>
      <c r="O66" s="512"/>
      <c r="P66" s="512" t="s">
        <v>103</v>
      </c>
      <c r="Q66" s="512"/>
      <c r="R66" s="512" t="s">
        <v>110</v>
      </c>
      <c r="S66" s="512"/>
      <c r="T66" s="513" t="s">
        <v>118</v>
      </c>
      <c r="U66" s="642"/>
      <c r="V66" s="416"/>
    </row>
    <row r="67" spans="1:22" s="431" customFormat="1" x14ac:dyDescent="0.3">
      <c r="A67" s="449"/>
      <c r="B67" s="450" t="s">
        <v>19</v>
      </c>
      <c r="C67" s="514"/>
      <c r="D67" s="514"/>
      <c r="E67" s="514"/>
      <c r="F67" s="514"/>
      <c r="G67" s="514"/>
      <c r="H67" s="514"/>
      <c r="I67" s="514"/>
      <c r="J67" s="514">
        <v>1000039</v>
      </c>
      <c r="K67" s="514"/>
      <c r="L67" s="515">
        <v>350941</v>
      </c>
      <c r="M67" s="514"/>
      <c r="N67" s="514">
        <v>4690</v>
      </c>
      <c r="O67" s="514"/>
      <c r="P67" s="514">
        <v>0</v>
      </c>
      <c r="Q67" s="514"/>
      <c r="R67" s="514">
        <v>0</v>
      </c>
      <c r="S67" s="514"/>
      <c r="T67" s="515">
        <f>+L67-N67+P67-R67</f>
        <v>346251</v>
      </c>
      <c r="U67" s="452"/>
      <c r="V67" s="430"/>
    </row>
    <row r="68" spans="1:22" s="431" customFormat="1" x14ac:dyDescent="0.3">
      <c r="A68" s="449"/>
      <c r="B68" s="450" t="s">
        <v>20</v>
      </c>
      <c r="C68" s="514"/>
      <c r="D68" s="514"/>
      <c r="E68" s="514"/>
      <c r="F68" s="514"/>
      <c r="G68" s="514"/>
      <c r="H68" s="514"/>
      <c r="I68" s="514"/>
      <c r="J68" s="514">
        <v>10</v>
      </c>
      <c r="K68" s="514"/>
      <c r="L68" s="515">
        <v>0</v>
      </c>
      <c r="M68" s="514"/>
      <c r="N68" s="514">
        <v>0</v>
      </c>
      <c r="O68" s="514"/>
      <c r="P68" s="514">
        <v>0</v>
      </c>
      <c r="Q68" s="514"/>
      <c r="R68" s="514">
        <v>0</v>
      </c>
      <c r="S68" s="514"/>
      <c r="T68" s="515">
        <v>0</v>
      </c>
      <c r="U68" s="452"/>
      <c r="V68" s="430"/>
    </row>
    <row r="69" spans="1:22" s="431" customFormat="1" x14ac:dyDescent="0.3">
      <c r="A69" s="449"/>
      <c r="B69" s="450"/>
      <c r="C69" s="514"/>
      <c r="D69" s="514"/>
      <c r="E69" s="514"/>
      <c r="F69" s="514"/>
      <c r="G69" s="514"/>
      <c r="H69" s="514"/>
      <c r="I69" s="514"/>
      <c r="J69" s="514"/>
      <c r="K69" s="514"/>
      <c r="L69" s="515"/>
      <c r="M69" s="514"/>
      <c r="N69" s="514"/>
      <c r="O69" s="514"/>
      <c r="P69" s="514"/>
      <c r="Q69" s="514"/>
      <c r="R69" s="514"/>
      <c r="S69" s="514"/>
      <c r="T69" s="515"/>
      <c r="U69" s="452"/>
      <c r="V69" s="430"/>
    </row>
    <row r="70" spans="1:22" s="431" customFormat="1" x14ac:dyDescent="0.3">
      <c r="A70" s="449"/>
      <c r="B70" s="450" t="s">
        <v>21</v>
      </c>
      <c r="C70" s="514"/>
      <c r="D70" s="514"/>
      <c r="E70" s="514"/>
      <c r="F70" s="514"/>
      <c r="G70" s="514"/>
      <c r="H70" s="514"/>
      <c r="I70" s="514"/>
      <c r="J70" s="514">
        <f>SUM(J67:J69)</f>
        <v>1000049</v>
      </c>
      <c r="K70" s="514"/>
      <c r="L70" s="514">
        <f>L67+L68</f>
        <v>350941</v>
      </c>
      <c r="M70" s="514"/>
      <c r="N70" s="514">
        <f>SUM(N67:N69)</f>
        <v>4690</v>
      </c>
      <c r="O70" s="514"/>
      <c r="P70" s="514">
        <f>SUM(P67:P69)</f>
        <v>0</v>
      </c>
      <c r="Q70" s="514"/>
      <c r="R70" s="514">
        <f>SUM(R67:R69)</f>
        <v>0</v>
      </c>
      <c r="S70" s="514"/>
      <c r="T70" s="514">
        <f>SUM(T67:T69)</f>
        <v>346251</v>
      </c>
      <c r="U70" s="452"/>
      <c r="V70" s="430"/>
    </row>
    <row r="71" spans="1:22" x14ac:dyDescent="0.3">
      <c r="A71" s="418"/>
      <c r="B71" s="516"/>
      <c r="C71" s="517"/>
      <c r="D71" s="517"/>
      <c r="E71" s="517"/>
      <c r="F71" s="517"/>
      <c r="G71" s="517"/>
      <c r="H71" s="517"/>
      <c r="I71" s="517"/>
      <c r="J71" s="517"/>
      <c r="K71" s="517"/>
      <c r="L71" s="517"/>
      <c r="M71" s="517"/>
      <c r="N71" s="517"/>
      <c r="O71" s="517"/>
      <c r="P71" s="517"/>
      <c r="Q71" s="517"/>
      <c r="R71" s="517"/>
      <c r="S71" s="517"/>
      <c r="T71" s="518"/>
      <c r="U71" s="639"/>
      <c r="V71" s="416"/>
    </row>
    <row r="72" spans="1:22" x14ac:dyDescent="0.3">
      <c r="A72" s="418"/>
      <c r="B72" s="422" t="s">
        <v>22</v>
      </c>
      <c r="C72" s="519"/>
      <c r="D72" s="519"/>
      <c r="E72" s="519"/>
      <c r="F72" s="519"/>
      <c r="G72" s="519"/>
      <c r="H72" s="519"/>
      <c r="I72" s="519"/>
      <c r="J72" s="519"/>
      <c r="K72" s="519"/>
      <c r="L72" s="519"/>
      <c r="M72" s="519"/>
      <c r="N72" s="519"/>
      <c r="O72" s="519"/>
      <c r="P72" s="519"/>
      <c r="Q72" s="519"/>
      <c r="R72" s="519"/>
      <c r="S72" s="519"/>
      <c r="T72" s="520"/>
      <c r="U72" s="639"/>
      <c r="V72" s="416"/>
    </row>
    <row r="73" spans="1:22" x14ac:dyDescent="0.3">
      <c r="A73" s="418"/>
      <c r="B73" s="420"/>
      <c r="C73" s="519"/>
      <c r="D73" s="519"/>
      <c r="E73" s="519"/>
      <c r="F73" s="519"/>
      <c r="G73" s="519"/>
      <c r="H73" s="519"/>
      <c r="I73" s="519"/>
      <c r="J73" s="519"/>
      <c r="K73" s="519"/>
      <c r="L73" s="519"/>
      <c r="M73" s="519"/>
      <c r="N73" s="519"/>
      <c r="O73" s="519"/>
      <c r="P73" s="519"/>
      <c r="Q73" s="519"/>
      <c r="R73" s="519"/>
      <c r="S73" s="519"/>
      <c r="T73" s="520"/>
      <c r="U73" s="639"/>
      <c r="V73" s="416"/>
    </row>
    <row r="74" spans="1:22" s="431" customFormat="1" x14ac:dyDescent="0.3">
      <c r="A74" s="449"/>
      <c r="B74" s="450" t="s">
        <v>19</v>
      </c>
      <c r="C74" s="514"/>
      <c r="D74" s="514"/>
      <c r="E74" s="514"/>
      <c r="F74" s="514"/>
      <c r="G74" s="514"/>
      <c r="H74" s="514"/>
      <c r="I74" s="514"/>
      <c r="J74" s="514"/>
      <c r="K74" s="514"/>
      <c r="L74" s="514"/>
      <c r="M74" s="514"/>
      <c r="N74" s="514"/>
      <c r="O74" s="514"/>
      <c r="P74" s="514"/>
      <c r="Q74" s="514"/>
      <c r="R74" s="514"/>
      <c r="S74" s="514"/>
      <c r="T74" s="514"/>
      <c r="U74" s="452"/>
      <c r="V74" s="430"/>
    </row>
    <row r="75" spans="1:22" s="431" customFormat="1" x14ac:dyDescent="0.3">
      <c r="A75" s="449"/>
      <c r="B75" s="450" t="s">
        <v>20</v>
      </c>
      <c r="C75" s="514"/>
      <c r="D75" s="514"/>
      <c r="E75" s="514"/>
      <c r="F75" s="514"/>
      <c r="G75" s="514"/>
      <c r="H75" s="514"/>
      <c r="I75" s="514"/>
      <c r="J75" s="514"/>
      <c r="K75" s="514"/>
      <c r="L75" s="514"/>
      <c r="M75" s="514"/>
      <c r="N75" s="514"/>
      <c r="O75" s="514"/>
      <c r="P75" s="514"/>
      <c r="Q75" s="514"/>
      <c r="R75" s="514"/>
      <c r="S75" s="514"/>
      <c r="T75" s="514"/>
      <c r="U75" s="452"/>
      <c r="V75" s="430"/>
    </row>
    <row r="76" spans="1:22" s="431" customFormat="1" x14ac:dyDescent="0.3">
      <c r="A76" s="449"/>
      <c r="B76" s="450"/>
      <c r="C76" s="514"/>
      <c r="D76" s="514"/>
      <c r="E76" s="514"/>
      <c r="F76" s="514"/>
      <c r="G76" s="514"/>
      <c r="H76" s="514"/>
      <c r="I76" s="514"/>
      <c r="J76" s="514"/>
      <c r="K76" s="514"/>
      <c r="L76" s="514"/>
      <c r="M76" s="514"/>
      <c r="N76" s="514"/>
      <c r="O76" s="514"/>
      <c r="P76" s="514"/>
      <c r="Q76" s="514"/>
      <c r="R76" s="514"/>
      <c r="S76" s="514"/>
      <c r="T76" s="514"/>
      <c r="U76" s="452"/>
      <c r="V76" s="430"/>
    </row>
    <row r="77" spans="1:22" s="431" customFormat="1" x14ac:dyDescent="0.3">
      <c r="A77" s="449"/>
      <c r="B77" s="450" t="s">
        <v>21</v>
      </c>
      <c r="C77" s="514"/>
      <c r="D77" s="514"/>
      <c r="E77" s="514"/>
      <c r="F77" s="514"/>
      <c r="G77" s="514"/>
      <c r="H77" s="514"/>
      <c r="I77" s="514"/>
      <c r="J77" s="514"/>
      <c r="K77" s="514"/>
      <c r="L77" s="514"/>
      <c r="M77" s="514"/>
      <c r="N77" s="514"/>
      <c r="O77" s="514"/>
      <c r="P77" s="514"/>
      <c r="Q77" s="514"/>
      <c r="R77" s="514"/>
      <c r="S77" s="514"/>
      <c r="T77" s="514"/>
      <c r="U77" s="452"/>
      <c r="V77" s="430"/>
    </row>
    <row r="78" spans="1:22" s="431" customFormat="1" x14ac:dyDescent="0.3">
      <c r="A78" s="449"/>
      <c r="B78" s="450"/>
      <c r="C78" s="514"/>
      <c r="D78" s="514"/>
      <c r="E78" s="514"/>
      <c r="F78" s="514"/>
      <c r="G78" s="514"/>
      <c r="H78" s="514"/>
      <c r="I78" s="514"/>
      <c r="J78" s="514"/>
      <c r="K78" s="514"/>
      <c r="L78" s="514"/>
      <c r="M78" s="514"/>
      <c r="N78" s="514"/>
      <c r="O78" s="514"/>
      <c r="P78" s="514"/>
      <c r="Q78" s="514"/>
      <c r="R78" s="514"/>
      <c r="S78" s="514"/>
      <c r="T78" s="514"/>
      <c r="U78" s="452"/>
      <c r="V78" s="430"/>
    </row>
    <row r="79" spans="1:22" s="431" customFormat="1" x14ac:dyDescent="0.3">
      <c r="A79" s="449"/>
      <c r="B79" s="450" t="s">
        <v>23</v>
      </c>
      <c r="C79" s="514"/>
      <c r="D79" s="514"/>
      <c r="E79" s="514"/>
      <c r="F79" s="514"/>
      <c r="G79" s="514"/>
      <c r="H79" s="514"/>
      <c r="I79" s="514"/>
      <c r="J79" s="514">
        <v>0</v>
      </c>
      <c r="K79" s="514"/>
      <c r="L79" s="514">
        <v>0</v>
      </c>
      <c r="M79" s="514"/>
      <c r="N79" s="514"/>
      <c r="O79" s="514"/>
      <c r="P79" s="514"/>
      <c r="Q79" s="514"/>
      <c r="R79" s="514"/>
      <c r="S79" s="514"/>
      <c r="T79" s="515">
        <v>0</v>
      </c>
      <c r="U79" s="452"/>
      <c r="V79" s="430"/>
    </row>
    <row r="80" spans="1:22" s="431" customFormat="1" x14ac:dyDescent="0.3">
      <c r="A80" s="449"/>
      <c r="B80" s="450" t="s">
        <v>123</v>
      </c>
      <c r="C80" s="514"/>
      <c r="D80" s="514"/>
      <c r="E80" s="514"/>
      <c r="F80" s="514"/>
      <c r="G80" s="514"/>
      <c r="H80" s="514"/>
      <c r="I80" s="514"/>
      <c r="J80" s="514">
        <v>0</v>
      </c>
      <c r="K80" s="514"/>
      <c r="L80" s="514">
        <v>0</v>
      </c>
      <c r="M80" s="514"/>
      <c r="N80" s="514"/>
      <c r="O80" s="514"/>
      <c r="P80" s="514"/>
      <c r="Q80" s="514"/>
      <c r="R80" s="514"/>
      <c r="S80" s="514"/>
      <c r="T80" s="514">
        <f>SUM(J80:P80)</f>
        <v>0</v>
      </c>
      <c r="U80" s="452"/>
      <c r="V80" s="430"/>
    </row>
    <row r="81" spans="1:22" s="431" customFormat="1" x14ac:dyDescent="0.3">
      <c r="A81" s="449"/>
      <c r="B81" s="450" t="s">
        <v>152</v>
      </c>
      <c r="C81" s="514"/>
      <c r="D81" s="514"/>
      <c r="E81" s="514"/>
      <c r="F81" s="514"/>
      <c r="G81" s="514"/>
      <c r="H81" s="514"/>
      <c r="I81" s="514"/>
      <c r="J81" s="514">
        <v>1</v>
      </c>
      <c r="K81" s="514"/>
      <c r="L81" s="514">
        <v>0</v>
      </c>
      <c r="M81" s="514"/>
      <c r="N81" s="514">
        <v>0</v>
      </c>
      <c r="O81" s="514"/>
      <c r="P81" s="514"/>
      <c r="Q81" s="514"/>
      <c r="R81" s="514"/>
      <c r="S81" s="514"/>
      <c r="T81" s="514">
        <f>+L81+N81</f>
        <v>0</v>
      </c>
      <c r="U81" s="452"/>
      <c r="V81" s="430"/>
    </row>
    <row r="82" spans="1:22" s="431" customFormat="1" x14ac:dyDescent="0.3">
      <c r="A82" s="449"/>
      <c r="B82" s="450" t="s">
        <v>25</v>
      </c>
      <c r="C82" s="514"/>
      <c r="D82" s="514"/>
      <c r="E82" s="514"/>
      <c r="F82" s="514"/>
      <c r="G82" s="514"/>
      <c r="H82" s="514"/>
      <c r="I82" s="514"/>
      <c r="J82" s="514">
        <v>0</v>
      </c>
      <c r="K82" s="514"/>
      <c r="L82" s="514">
        <v>0</v>
      </c>
      <c r="M82" s="514"/>
      <c r="N82" s="514"/>
      <c r="O82" s="514"/>
      <c r="P82" s="514"/>
      <c r="Q82" s="514"/>
      <c r="R82" s="514"/>
      <c r="S82" s="514"/>
      <c r="T82" s="514">
        <v>0</v>
      </c>
      <c r="U82" s="452"/>
      <c r="V82" s="430"/>
    </row>
    <row r="83" spans="1:22" s="431" customFormat="1" x14ac:dyDescent="0.3">
      <c r="A83" s="449"/>
      <c r="B83" s="450" t="s">
        <v>26</v>
      </c>
      <c r="C83" s="514"/>
      <c r="D83" s="514"/>
      <c r="E83" s="514"/>
      <c r="F83" s="514"/>
      <c r="G83" s="514"/>
      <c r="H83" s="514"/>
      <c r="I83" s="514"/>
      <c r="J83" s="514">
        <f>SUM(J70:J82)</f>
        <v>1000050</v>
      </c>
      <c r="K83" s="514"/>
      <c r="L83" s="514">
        <f>SUM(L70:L82)</f>
        <v>350941</v>
      </c>
      <c r="M83" s="514"/>
      <c r="N83" s="514"/>
      <c r="O83" s="514"/>
      <c r="P83" s="514"/>
      <c r="Q83" s="514"/>
      <c r="R83" s="514"/>
      <c r="S83" s="514"/>
      <c r="T83" s="514">
        <f>SUM(T70:T82)</f>
        <v>346251</v>
      </c>
      <c r="U83" s="452"/>
      <c r="V83" s="430"/>
    </row>
    <row r="84" spans="1:22" x14ac:dyDescent="0.3">
      <c r="A84" s="418"/>
      <c r="B84" s="516"/>
      <c r="C84" s="517"/>
      <c r="D84" s="517"/>
      <c r="E84" s="517"/>
      <c r="F84" s="517"/>
      <c r="G84" s="517"/>
      <c r="H84" s="517"/>
      <c r="I84" s="517"/>
      <c r="J84" s="517"/>
      <c r="K84" s="517"/>
      <c r="L84" s="517"/>
      <c r="M84" s="517"/>
      <c r="N84" s="517"/>
      <c r="O84" s="517"/>
      <c r="P84" s="517"/>
      <c r="Q84" s="517"/>
      <c r="R84" s="517"/>
      <c r="S84" s="517"/>
      <c r="T84" s="518"/>
      <c r="U84" s="639"/>
      <c r="V84" s="416"/>
    </row>
    <row r="85" spans="1:22" x14ac:dyDescent="0.3">
      <c r="A85" s="418"/>
      <c r="B85" s="420"/>
      <c r="C85" s="420"/>
      <c r="D85" s="420"/>
      <c r="E85" s="420"/>
      <c r="F85" s="420"/>
      <c r="G85" s="420"/>
      <c r="H85" s="420"/>
      <c r="I85" s="420"/>
      <c r="J85" s="420"/>
      <c r="K85" s="420"/>
      <c r="L85" s="420"/>
      <c r="M85" s="420"/>
      <c r="N85" s="420"/>
      <c r="O85" s="420"/>
      <c r="P85" s="420"/>
      <c r="Q85" s="420"/>
      <c r="R85" s="420"/>
      <c r="S85" s="420"/>
      <c r="T85" s="420"/>
      <c r="U85" s="639"/>
      <c r="V85" s="416"/>
    </row>
    <row r="86" spans="1:22" x14ac:dyDescent="0.3">
      <c r="A86" s="442"/>
      <c r="B86" s="521" t="s">
        <v>27</v>
      </c>
      <c r="C86" s="521"/>
      <c r="D86" s="521"/>
      <c r="E86" s="521"/>
      <c r="F86" s="521"/>
      <c r="G86" s="521"/>
      <c r="H86" s="522"/>
      <c r="I86" s="522"/>
      <c r="J86" s="523" t="s">
        <v>98</v>
      </c>
      <c r="K86" s="522"/>
      <c r="L86" s="524">
        <f>+R196</f>
        <v>44012</v>
      </c>
      <c r="M86" s="522"/>
      <c r="N86" s="522"/>
      <c r="O86" s="522"/>
      <c r="P86" s="522"/>
      <c r="Q86" s="522"/>
      <c r="R86" s="522" t="s">
        <v>111</v>
      </c>
      <c r="S86" s="522"/>
      <c r="T86" s="522" t="s">
        <v>119</v>
      </c>
      <c r="U86" s="446"/>
      <c r="V86" s="416"/>
    </row>
    <row r="87" spans="1:22" s="431" customFormat="1" x14ac:dyDescent="0.3">
      <c r="A87" s="432"/>
      <c r="B87" s="447" t="s">
        <v>28</v>
      </c>
      <c r="C87" s="447"/>
      <c r="D87" s="447"/>
      <c r="E87" s="447"/>
      <c r="F87" s="447"/>
      <c r="G87" s="447"/>
      <c r="H87" s="447"/>
      <c r="I87" s="447"/>
      <c r="J87" s="447"/>
      <c r="K87" s="447"/>
      <c r="L87" s="447"/>
      <c r="M87" s="447"/>
      <c r="N87" s="447"/>
      <c r="O87" s="447"/>
      <c r="P87" s="447"/>
      <c r="Q87" s="447"/>
      <c r="R87" s="525">
        <v>0</v>
      </c>
      <c r="S87" s="447"/>
      <c r="T87" s="526">
        <v>0</v>
      </c>
      <c r="U87" s="641"/>
      <c r="V87" s="430"/>
    </row>
    <row r="88" spans="1:22" s="431" customFormat="1" x14ac:dyDescent="0.3">
      <c r="A88" s="449"/>
      <c r="B88" s="450" t="s">
        <v>29</v>
      </c>
      <c r="C88" s="450"/>
      <c r="D88" s="450"/>
      <c r="E88" s="450"/>
      <c r="F88" s="450"/>
      <c r="G88" s="450"/>
      <c r="H88" s="486"/>
      <c r="I88" s="527"/>
      <c r="J88" s="486"/>
      <c r="K88" s="450"/>
      <c r="L88" s="528"/>
      <c r="M88" s="450"/>
      <c r="N88" s="450"/>
      <c r="O88" s="450"/>
      <c r="P88" s="450"/>
      <c r="Q88" s="450"/>
      <c r="R88" s="514">
        <f>4690+1</f>
        <v>4691</v>
      </c>
      <c r="S88" s="450"/>
      <c r="T88" s="515"/>
      <c r="U88" s="452"/>
      <c r="V88" s="430"/>
    </row>
    <row r="89" spans="1:22" s="431" customFormat="1" x14ac:dyDescent="0.3">
      <c r="A89" s="449"/>
      <c r="B89" s="450" t="s">
        <v>225</v>
      </c>
      <c r="C89" s="450"/>
      <c r="D89" s="450"/>
      <c r="E89" s="450"/>
      <c r="F89" s="450"/>
      <c r="G89" s="450"/>
      <c r="H89" s="486"/>
      <c r="I89" s="527"/>
      <c r="J89" s="486"/>
      <c r="K89" s="450"/>
      <c r="L89" s="528"/>
      <c r="M89" s="450"/>
      <c r="N89" s="450"/>
      <c r="O89" s="450"/>
      <c r="P89" s="450"/>
      <c r="Q89" s="450"/>
      <c r="R89" s="514"/>
      <c r="S89" s="450"/>
      <c r="T89" s="515">
        <f>1383+1319-633-328</f>
        <v>1741</v>
      </c>
      <c r="U89" s="452"/>
      <c r="V89" s="430"/>
    </row>
    <row r="90" spans="1:22" s="431" customFormat="1" x14ac:dyDescent="0.3">
      <c r="A90" s="449"/>
      <c r="B90" s="450" t="s">
        <v>220</v>
      </c>
      <c r="C90" s="450"/>
      <c r="D90" s="450"/>
      <c r="E90" s="450"/>
      <c r="F90" s="450"/>
      <c r="G90" s="450"/>
      <c r="H90" s="486"/>
      <c r="I90" s="527"/>
      <c r="J90" s="486"/>
      <c r="K90" s="450"/>
      <c r="L90" s="528"/>
      <c r="M90" s="450"/>
      <c r="N90" s="450"/>
      <c r="O90" s="450"/>
      <c r="P90" s="450"/>
      <c r="Q90" s="450"/>
      <c r="R90" s="514"/>
      <c r="S90" s="450"/>
      <c r="T90" s="515">
        <f>3+18</f>
        <v>21</v>
      </c>
      <c r="U90" s="452"/>
      <c r="V90" s="430"/>
    </row>
    <row r="91" spans="1:22" s="431" customFormat="1" x14ac:dyDescent="0.3">
      <c r="A91" s="449"/>
      <c r="B91" s="450" t="s">
        <v>221</v>
      </c>
      <c r="C91" s="450"/>
      <c r="D91" s="450"/>
      <c r="E91" s="450"/>
      <c r="F91" s="450"/>
      <c r="G91" s="450"/>
      <c r="H91" s="486"/>
      <c r="I91" s="527"/>
      <c r="J91" s="486"/>
      <c r="K91" s="450"/>
      <c r="L91" s="528"/>
      <c r="M91" s="450"/>
      <c r="N91" s="450"/>
      <c r="O91" s="450"/>
      <c r="P91" s="450"/>
      <c r="Q91" s="450"/>
      <c r="R91" s="514"/>
      <c r="S91" s="450"/>
      <c r="T91" s="515">
        <v>36</v>
      </c>
      <c r="U91" s="452"/>
      <c r="V91" s="430"/>
    </row>
    <row r="92" spans="1:22" s="431" customFormat="1" x14ac:dyDescent="0.3">
      <c r="A92" s="449"/>
      <c r="B92" s="450" t="s">
        <v>261</v>
      </c>
      <c r="C92" s="450"/>
      <c r="D92" s="450"/>
      <c r="E92" s="450"/>
      <c r="F92" s="450"/>
      <c r="G92" s="450"/>
      <c r="H92" s="486"/>
      <c r="I92" s="527"/>
      <c r="J92" s="486"/>
      <c r="K92" s="450"/>
      <c r="L92" s="528"/>
      <c r="M92" s="450"/>
      <c r="N92" s="450"/>
      <c r="O92" s="450"/>
      <c r="P92" s="450"/>
      <c r="Q92" s="450"/>
      <c r="R92" s="514"/>
      <c r="S92" s="450"/>
      <c r="T92" s="515">
        <v>0</v>
      </c>
      <c r="U92" s="452"/>
      <c r="V92" s="430"/>
    </row>
    <row r="93" spans="1:22" s="431" customFormat="1" x14ac:dyDescent="0.3">
      <c r="A93" s="449"/>
      <c r="B93" s="450" t="s">
        <v>141</v>
      </c>
      <c r="C93" s="450"/>
      <c r="D93" s="450"/>
      <c r="E93" s="450"/>
      <c r="F93" s="450"/>
      <c r="G93" s="450"/>
      <c r="H93" s="450"/>
      <c r="I93" s="450"/>
      <c r="J93" s="450"/>
      <c r="K93" s="450"/>
      <c r="L93" s="450"/>
      <c r="M93" s="450"/>
      <c r="N93" s="450"/>
      <c r="O93" s="450"/>
      <c r="P93" s="450"/>
      <c r="Q93" s="450"/>
      <c r="R93" s="514"/>
      <c r="S93" s="450"/>
      <c r="T93" s="515">
        <v>0</v>
      </c>
      <c r="U93" s="452"/>
      <c r="V93" s="430"/>
    </row>
    <row r="94" spans="1:22" s="431" customFormat="1" x14ac:dyDescent="0.3">
      <c r="A94" s="449"/>
      <c r="B94" s="450" t="s">
        <v>250</v>
      </c>
      <c r="C94" s="450"/>
      <c r="D94" s="450"/>
      <c r="E94" s="450"/>
      <c r="F94" s="450"/>
      <c r="G94" s="450"/>
      <c r="H94" s="450"/>
      <c r="I94" s="450"/>
      <c r="J94" s="450"/>
      <c r="K94" s="450"/>
      <c r="L94" s="450"/>
      <c r="M94" s="450"/>
      <c r="N94" s="450"/>
      <c r="O94" s="450"/>
      <c r="P94" s="450"/>
      <c r="Q94" s="450"/>
      <c r="R94" s="514"/>
      <c r="S94" s="450"/>
      <c r="T94" s="515">
        <v>256</v>
      </c>
      <c r="U94" s="452"/>
      <c r="V94" s="430"/>
    </row>
    <row r="95" spans="1:22" s="431" customFormat="1" x14ac:dyDescent="0.3">
      <c r="A95" s="449"/>
      <c r="B95" s="450" t="s">
        <v>30</v>
      </c>
      <c r="C95" s="450"/>
      <c r="D95" s="450"/>
      <c r="E95" s="450"/>
      <c r="F95" s="450"/>
      <c r="G95" s="450"/>
      <c r="H95" s="450"/>
      <c r="I95" s="450"/>
      <c r="J95" s="450"/>
      <c r="K95" s="450"/>
      <c r="L95" s="450"/>
      <c r="M95" s="450"/>
      <c r="N95" s="450"/>
      <c r="O95" s="450"/>
      <c r="P95" s="450"/>
      <c r="Q95" s="450"/>
      <c r="R95" s="514">
        <f>SUM(R87:R94)</f>
        <v>4691</v>
      </c>
      <c r="S95" s="450"/>
      <c r="T95" s="514">
        <f>SUM(T87:T94)</f>
        <v>2054</v>
      </c>
      <c r="U95" s="452"/>
      <c r="V95" s="430"/>
    </row>
    <row r="96" spans="1:22" s="431" customFormat="1" x14ac:dyDescent="0.3">
      <c r="A96" s="449"/>
      <c r="B96" s="450" t="s">
        <v>168</v>
      </c>
      <c r="C96" s="450"/>
      <c r="D96" s="450"/>
      <c r="E96" s="450"/>
      <c r="F96" s="450"/>
      <c r="G96" s="450"/>
      <c r="H96" s="450"/>
      <c r="I96" s="450"/>
      <c r="J96" s="450"/>
      <c r="K96" s="450"/>
      <c r="L96" s="450"/>
      <c r="M96" s="450"/>
      <c r="N96" s="450"/>
      <c r="O96" s="450"/>
      <c r="P96" s="450"/>
      <c r="Q96" s="450"/>
      <c r="R96" s="514">
        <v>0</v>
      </c>
      <c r="S96" s="450"/>
      <c r="T96" s="514">
        <f>-R96</f>
        <v>0</v>
      </c>
      <c r="U96" s="452"/>
      <c r="V96" s="430"/>
    </row>
    <row r="97" spans="1:24" s="431" customFormat="1" x14ac:dyDescent="0.3">
      <c r="A97" s="449"/>
      <c r="B97" s="450" t="s">
        <v>31</v>
      </c>
      <c r="C97" s="450"/>
      <c r="D97" s="450"/>
      <c r="E97" s="450"/>
      <c r="F97" s="450"/>
      <c r="G97" s="450"/>
      <c r="H97" s="450"/>
      <c r="I97" s="450"/>
      <c r="J97" s="450"/>
      <c r="K97" s="450"/>
      <c r="L97" s="450"/>
      <c r="M97" s="450"/>
      <c r="N97" s="450"/>
      <c r="O97" s="450"/>
      <c r="P97" s="450"/>
      <c r="Q97" s="450"/>
      <c r="R97" s="514">
        <f>-T97</f>
        <v>0</v>
      </c>
      <c r="S97" s="450"/>
      <c r="T97" s="515">
        <v>0</v>
      </c>
      <c r="U97" s="452"/>
      <c r="V97" s="430"/>
    </row>
    <row r="98" spans="1:24" s="431" customFormat="1" x14ac:dyDescent="0.3">
      <c r="A98" s="449"/>
      <c r="B98" s="450" t="s">
        <v>273</v>
      </c>
      <c r="C98" s="450"/>
      <c r="D98" s="450"/>
      <c r="E98" s="450"/>
      <c r="F98" s="450"/>
      <c r="G98" s="450"/>
      <c r="H98" s="450"/>
      <c r="I98" s="450"/>
      <c r="J98" s="450"/>
      <c r="K98" s="450"/>
      <c r="L98" s="450"/>
      <c r="M98" s="450"/>
      <c r="N98" s="450"/>
      <c r="O98" s="450"/>
      <c r="P98" s="450"/>
      <c r="Q98" s="450"/>
      <c r="R98" s="514"/>
      <c r="S98" s="450"/>
      <c r="T98" s="515">
        <v>0</v>
      </c>
      <c r="U98" s="452"/>
      <c r="V98" s="430"/>
    </row>
    <row r="99" spans="1:24" s="431" customFormat="1" x14ac:dyDescent="0.3">
      <c r="A99" s="449"/>
      <c r="B99" s="450" t="s">
        <v>32</v>
      </c>
      <c r="C99" s="450"/>
      <c r="D99" s="450"/>
      <c r="E99" s="450"/>
      <c r="F99" s="450"/>
      <c r="G99" s="450"/>
      <c r="H99" s="450"/>
      <c r="I99" s="450"/>
      <c r="J99" s="450"/>
      <c r="K99" s="450"/>
      <c r="L99" s="450"/>
      <c r="M99" s="450"/>
      <c r="N99" s="450"/>
      <c r="O99" s="450"/>
      <c r="P99" s="450"/>
      <c r="Q99" s="450"/>
      <c r="R99" s="514">
        <f>R95+R97+R96</f>
        <v>4691</v>
      </c>
      <c r="S99" s="450"/>
      <c r="T99" s="514">
        <f>T95+T97+T96+T98</f>
        <v>2054</v>
      </c>
      <c r="U99" s="452"/>
      <c r="V99" s="430"/>
    </row>
    <row r="100" spans="1:24" x14ac:dyDescent="0.3">
      <c r="A100" s="468"/>
      <c r="B100" s="529" t="s">
        <v>33</v>
      </c>
      <c r="C100" s="470"/>
      <c r="D100" s="470"/>
      <c r="E100" s="470"/>
      <c r="F100" s="470"/>
      <c r="G100" s="470"/>
      <c r="H100" s="470"/>
      <c r="I100" s="470"/>
      <c r="J100" s="470"/>
      <c r="K100" s="470"/>
      <c r="L100" s="470"/>
      <c r="M100" s="470"/>
      <c r="N100" s="470"/>
      <c r="O100" s="470"/>
      <c r="P100" s="470"/>
      <c r="Q100" s="470"/>
      <c r="R100" s="530"/>
      <c r="S100" s="470"/>
      <c r="T100" s="531"/>
      <c r="U100" s="476"/>
      <c r="V100" s="416"/>
    </row>
    <row r="101" spans="1:24" s="431" customFormat="1" x14ac:dyDescent="0.3">
      <c r="A101" s="449">
        <v>1</v>
      </c>
      <c r="B101" s="450" t="s">
        <v>34</v>
      </c>
      <c r="C101" s="450"/>
      <c r="D101" s="450"/>
      <c r="E101" s="450"/>
      <c r="F101" s="450"/>
      <c r="G101" s="450"/>
      <c r="H101" s="450"/>
      <c r="I101" s="450"/>
      <c r="J101" s="450"/>
      <c r="K101" s="450"/>
      <c r="L101" s="450"/>
      <c r="M101" s="450"/>
      <c r="N101" s="450"/>
      <c r="O101" s="450"/>
      <c r="P101" s="450"/>
      <c r="Q101" s="450"/>
      <c r="R101" s="450"/>
      <c r="S101" s="450"/>
      <c r="T101" s="515">
        <v>0</v>
      </c>
      <c r="U101" s="452"/>
      <c r="V101" s="430"/>
    </row>
    <row r="102" spans="1:24" s="431" customFormat="1" x14ac:dyDescent="0.3">
      <c r="A102" s="449">
        <f>+A101+1</f>
        <v>2</v>
      </c>
      <c r="B102" s="450" t="s">
        <v>312</v>
      </c>
      <c r="C102" s="450"/>
      <c r="D102" s="450"/>
      <c r="E102" s="450"/>
      <c r="F102" s="450"/>
      <c r="G102" s="450"/>
      <c r="H102" s="450"/>
      <c r="I102" s="450"/>
      <c r="J102" s="450"/>
      <c r="K102" s="450"/>
      <c r="L102" s="450"/>
      <c r="M102" s="450"/>
      <c r="N102" s="450"/>
      <c r="O102" s="450"/>
      <c r="P102" s="450"/>
      <c r="Q102" s="450"/>
      <c r="R102" s="450"/>
      <c r="S102" s="450"/>
      <c r="T102" s="515">
        <v>-2</v>
      </c>
      <c r="U102" s="452"/>
      <c r="V102" s="430"/>
    </row>
    <row r="103" spans="1:24" s="431" customFormat="1" x14ac:dyDescent="0.3">
      <c r="A103" s="449">
        <f>+A102+1</f>
        <v>3</v>
      </c>
      <c r="B103" s="532" t="s">
        <v>314</v>
      </c>
      <c r="C103" s="450"/>
      <c r="D103" s="450"/>
      <c r="E103" s="450"/>
      <c r="F103" s="450"/>
      <c r="G103" s="450"/>
      <c r="H103" s="450"/>
      <c r="I103" s="450"/>
      <c r="J103" s="450"/>
      <c r="K103" s="450"/>
      <c r="L103" s="450"/>
      <c r="M103" s="450"/>
      <c r="N103" s="450"/>
      <c r="O103" s="450"/>
      <c r="P103" s="450"/>
      <c r="Q103" s="450"/>
      <c r="R103" s="450"/>
      <c r="S103" s="450"/>
      <c r="T103" s="515">
        <f>-133-26-5</f>
        <v>-164</v>
      </c>
      <c r="U103" s="452"/>
      <c r="V103" s="430"/>
    </row>
    <row r="104" spans="1:24" s="431" customFormat="1" x14ac:dyDescent="0.3">
      <c r="A104" s="449" t="s">
        <v>133</v>
      </c>
      <c r="B104" s="450" t="s">
        <v>122</v>
      </c>
      <c r="C104" s="450"/>
      <c r="D104" s="450"/>
      <c r="E104" s="450"/>
      <c r="F104" s="450"/>
      <c r="G104" s="450"/>
      <c r="H104" s="450"/>
      <c r="I104" s="450"/>
      <c r="J104" s="450"/>
      <c r="K104" s="450"/>
      <c r="L104" s="450"/>
      <c r="M104" s="450"/>
      <c r="N104" s="450"/>
      <c r="O104" s="450"/>
      <c r="P104" s="450"/>
      <c r="Q104" s="450"/>
      <c r="R104" s="450"/>
      <c r="S104" s="450"/>
      <c r="T104" s="515">
        <v>0</v>
      </c>
      <c r="U104" s="452"/>
      <c r="V104" s="430"/>
    </row>
    <row r="105" spans="1:24" s="431" customFormat="1" x14ac:dyDescent="0.3">
      <c r="A105" s="449" t="s">
        <v>134</v>
      </c>
      <c r="B105" s="450" t="s">
        <v>348</v>
      </c>
      <c r="C105" s="450"/>
      <c r="D105" s="450"/>
      <c r="E105" s="450"/>
      <c r="F105" s="450"/>
      <c r="G105" s="450"/>
      <c r="H105" s="450"/>
      <c r="I105" s="450"/>
      <c r="J105" s="450"/>
      <c r="K105" s="450"/>
      <c r="L105" s="450"/>
      <c r="M105" s="450"/>
      <c r="N105" s="450"/>
      <c r="O105" s="450"/>
      <c r="P105" s="450"/>
      <c r="Q105" s="450"/>
      <c r="R105" s="450"/>
      <c r="S105" s="450"/>
      <c r="T105" s="515">
        <f>-322-101</f>
        <v>-423</v>
      </c>
      <c r="U105" s="452"/>
      <c r="V105" s="430"/>
      <c r="W105" s="533"/>
    </row>
    <row r="106" spans="1:24" s="431" customFormat="1" x14ac:dyDescent="0.3">
      <c r="A106" s="449" t="s">
        <v>156</v>
      </c>
      <c r="B106" s="450" t="s">
        <v>349</v>
      </c>
      <c r="C106" s="450"/>
      <c r="D106" s="450"/>
      <c r="E106" s="450"/>
      <c r="F106" s="450"/>
      <c r="G106" s="450"/>
      <c r="H106" s="450"/>
      <c r="I106" s="450"/>
      <c r="J106" s="450"/>
      <c r="K106" s="450"/>
      <c r="L106" s="450"/>
      <c r="M106" s="450"/>
      <c r="N106" s="450"/>
      <c r="O106" s="450"/>
      <c r="P106" s="450"/>
      <c r="Q106" s="450"/>
      <c r="R106" s="450"/>
      <c r="S106" s="450"/>
      <c r="T106" s="515">
        <v>-101</v>
      </c>
      <c r="U106" s="452"/>
      <c r="V106" s="430"/>
      <c r="W106" s="533"/>
    </row>
    <row r="107" spans="1:24" s="431" customFormat="1" x14ac:dyDescent="0.3">
      <c r="A107" s="449" t="s">
        <v>214</v>
      </c>
      <c r="B107" s="450" t="s">
        <v>192</v>
      </c>
      <c r="C107" s="450"/>
      <c r="D107" s="450"/>
      <c r="E107" s="450"/>
      <c r="F107" s="450"/>
      <c r="G107" s="450"/>
      <c r="H107" s="450"/>
      <c r="I107" s="450"/>
      <c r="J107" s="450"/>
      <c r="K107" s="450"/>
      <c r="L107" s="450"/>
      <c r="M107" s="450"/>
      <c r="N107" s="450"/>
      <c r="O107" s="450"/>
      <c r="P107" s="450"/>
      <c r="Q107" s="450"/>
      <c r="R107" s="450"/>
      <c r="S107" s="450"/>
      <c r="T107" s="515">
        <v>-117</v>
      </c>
      <c r="U107" s="452"/>
      <c r="V107" s="430"/>
      <c r="W107" s="533"/>
      <c r="X107" s="533"/>
    </row>
    <row r="108" spans="1:24" s="431" customFormat="1" x14ac:dyDescent="0.3">
      <c r="A108" s="449" t="s">
        <v>215</v>
      </c>
      <c r="B108" s="450" t="s">
        <v>193</v>
      </c>
      <c r="C108" s="450"/>
      <c r="D108" s="450"/>
      <c r="E108" s="450"/>
      <c r="F108" s="450"/>
      <c r="G108" s="450"/>
      <c r="H108" s="450"/>
      <c r="I108" s="450"/>
      <c r="J108" s="450"/>
      <c r="K108" s="450"/>
      <c r="L108" s="450"/>
      <c r="M108" s="450"/>
      <c r="N108" s="450"/>
      <c r="O108" s="450"/>
      <c r="P108" s="450"/>
      <c r="Q108" s="450"/>
      <c r="R108" s="450"/>
      <c r="S108" s="450"/>
      <c r="T108" s="515">
        <v>-32</v>
      </c>
      <c r="U108" s="452"/>
      <c r="V108" s="534"/>
      <c r="W108" s="533"/>
    </row>
    <row r="109" spans="1:24" s="431" customFormat="1" x14ac:dyDescent="0.3">
      <c r="A109" s="449" t="s">
        <v>216</v>
      </c>
      <c r="B109" s="450" t="s">
        <v>204</v>
      </c>
      <c r="C109" s="450"/>
      <c r="D109" s="450"/>
      <c r="E109" s="450"/>
      <c r="F109" s="450"/>
      <c r="G109" s="450"/>
      <c r="H109" s="450"/>
      <c r="I109" s="450"/>
      <c r="J109" s="450"/>
      <c r="K109" s="450"/>
      <c r="L109" s="450"/>
      <c r="M109" s="450"/>
      <c r="N109" s="450"/>
      <c r="O109" s="450"/>
      <c r="P109" s="450"/>
      <c r="Q109" s="450"/>
      <c r="R109" s="450"/>
      <c r="S109" s="450"/>
      <c r="T109" s="515">
        <v>-174</v>
      </c>
      <c r="U109" s="452"/>
      <c r="V109" s="430"/>
      <c r="W109" s="533"/>
    </row>
    <row r="110" spans="1:24" s="431" customFormat="1" x14ac:dyDescent="0.3">
      <c r="A110" s="535">
        <v>7</v>
      </c>
      <c r="B110" s="532" t="s">
        <v>313</v>
      </c>
      <c r="C110" s="532"/>
      <c r="D110" s="532"/>
      <c r="E110" s="532"/>
      <c r="F110" s="532"/>
      <c r="G110" s="450"/>
      <c r="H110" s="450"/>
      <c r="I110" s="450"/>
      <c r="J110" s="450"/>
      <c r="K110" s="450"/>
      <c r="L110" s="450"/>
      <c r="M110" s="450"/>
      <c r="N110" s="450"/>
      <c r="O110" s="450"/>
      <c r="P110" s="450"/>
      <c r="Q110" s="450"/>
      <c r="R110" s="450"/>
      <c r="S110" s="450"/>
      <c r="T110" s="515">
        <v>0</v>
      </c>
      <c r="U110" s="452"/>
      <c r="V110" s="430"/>
      <c r="W110" s="533"/>
    </row>
    <row r="111" spans="1:24" s="431" customFormat="1" x14ac:dyDescent="0.3">
      <c r="A111" s="449">
        <f t="shared" ref="A111:A120" si="0">+A110+1</f>
        <v>8</v>
      </c>
      <c r="B111" s="450" t="s">
        <v>35</v>
      </c>
      <c r="C111" s="450"/>
      <c r="D111" s="450"/>
      <c r="E111" s="450"/>
      <c r="F111" s="450"/>
      <c r="G111" s="450"/>
      <c r="H111" s="450"/>
      <c r="I111" s="450"/>
      <c r="J111" s="450"/>
      <c r="K111" s="450"/>
      <c r="L111" s="450"/>
      <c r="M111" s="450"/>
      <c r="N111" s="450"/>
      <c r="O111" s="450"/>
      <c r="P111" s="450"/>
      <c r="Q111" s="450"/>
      <c r="R111" s="450"/>
      <c r="S111" s="450"/>
      <c r="T111" s="515">
        <v>-10</v>
      </c>
      <c r="U111" s="452"/>
      <c r="V111" s="430"/>
    </row>
    <row r="112" spans="1:24" s="431" customFormat="1" x14ac:dyDescent="0.3">
      <c r="A112" s="449">
        <f t="shared" si="0"/>
        <v>9</v>
      </c>
      <c r="B112" s="450" t="s">
        <v>46</v>
      </c>
      <c r="C112" s="450"/>
      <c r="D112" s="450"/>
      <c r="E112" s="450"/>
      <c r="F112" s="450"/>
      <c r="G112" s="450"/>
      <c r="H112" s="450"/>
      <c r="I112" s="450"/>
      <c r="J112" s="450"/>
      <c r="K112" s="450"/>
      <c r="L112" s="450"/>
      <c r="M112" s="450"/>
      <c r="N112" s="450"/>
      <c r="O112" s="450"/>
      <c r="P112" s="450"/>
      <c r="Q112" s="450"/>
      <c r="R112" s="514">
        <f>-T112</f>
        <v>-1</v>
      </c>
      <c r="S112" s="450"/>
      <c r="T112" s="515">
        <v>1</v>
      </c>
      <c r="U112" s="452"/>
      <c r="V112" s="430"/>
    </row>
    <row r="113" spans="1:22" s="431" customFormat="1" x14ac:dyDescent="0.3">
      <c r="A113" s="449">
        <f t="shared" si="0"/>
        <v>10</v>
      </c>
      <c r="B113" s="450" t="s">
        <v>131</v>
      </c>
      <c r="C113" s="450"/>
      <c r="D113" s="450"/>
      <c r="E113" s="450"/>
      <c r="F113" s="450"/>
      <c r="G113" s="450"/>
      <c r="H113" s="450"/>
      <c r="I113" s="450"/>
      <c r="J113" s="450"/>
      <c r="K113" s="450"/>
      <c r="L113" s="450"/>
      <c r="M113" s="450"/>
      <c r="N113" s="450"/>
      <c r="O113" s="450"/>
      <c r="P113" s="450"/>
      <c r="Q113" s="450"/>
      <c r="R113" s="450"/>
      <c r="S113" s="450"/>
      <c r="T113" s="515">
        <v>0</v>
      </c>
      <c r="U113" s="452"/>
      <c r="V113" s="430"/>
    </row>
    <row r="114" spans="1:22" s="431" customFormat="1" x14ac:dyDescent="0.3">
      <c r="A114" s="449">
        <f t="shared" si="0"/>
        <v>11</v>
      </c>
      <c r="B114" s="450" t="s">
        <v>36</v>
      </c>
      <c r="C114" s="450"/>
      <c r="D114" s="450"/>
      <c r="E114" s="450"/>
      <c r="F114" s="450"/>
      <c r="G114" s="450"/>
      <c r="H114" s="450"/>
      <c r="I114" s="450"/>
      <c r="J114" s="450"/>
      <c r="K114" s="450"/>
      <c r="L114" s="450"/>
      <c r="M114" s="450"/>
      <c r="N114" s="450"/>
      <c r="O114" s="450"/>
      <c r="P114" s="450"/>
      <c r="Q114" s="450"/>
      <c r="R114" s="450"/>
      <c r="S114" s="450"/>
      <c r="T114" s="515">
        <v>0</v>
      </c>
      <c r="U114" s="452"/>
      <c r="V114" s="430"/>
    </row>
    <row r="115" spans="1:22" s="431" customFormat="1" x14ac:dyDescent="0.3">
      <c r="A115" s="449">
        <f t="shared" si="0"/>
        <v>12</v>
      </c>
      <c r="B115" s="450" t="s">
        <v>37</v>
      </c>
      <c r="C115" s="450"/>
      <c r="D115" s="450"/>
      <c r="E115" s="450"/>
      <c r="F115" s="450"/>
      <c r="G115" s="450"/>
      <c r="H115" s="450"/>
      <c r="I115" s="450"/>
      <c r="J115" s="450"/>
      <c r="K115" s="450"/>
      <c r="L115" s="450"/>
      <c r="M115" s="450"/>
      <c r="N115" s="450"/>
      <c r="O115" s="450"/>
      <c r="P115" s="450"/>
      <c r="Q115" s="450"/>
      <c r="R115" s="450"/>
      <c r="S115" s="450"/>
      <c r="T115" s="515">
        <v>0</v>
      </c>
      <c r="U115" s="452"/>
      <c r="V115" s="430"/>
    </row>
    <row r="116" spans="1:22" s="431" customFormat="1" x14ac:dyDescent="0.3">
      <c r="A116" s="449">
        <f t="shared" si="0"/>
        <v>13</v>
      </c>
      <c r="B116" s="450" t="s">
        <v>155</v>
      </c>
      <c r="C116" s="450"/>
      <c r="D116" s="450"/>
      <c r="E116" s="450"/>
      <c r="F116" s="450"/>
      <c r="G116" s="450"/>
      <c r="H116" s="450"/>
      <c r="I116" s="450"/>
      <c r="J116" s="450"/>
      <c r="K116" s="450"/>
      <c r="L116" s="450"/>
      <c r="M116" s="450"/>
      <c r="N116" s="450"/>
      <c r="O116" s="450"/>
      <c r="P116" s="450"/>
      <c r="Q116" s="450"/>
      <c r="R116" s="450"/>
      <c r="S116" s="450"/>
      <c r="T116" s="515">
        <v>-134</v>
      </c>
      <c r="U116" s="452"/>
      <c r="V116" s="430"/>
    </row>
    <row r="117" spans="1:22" s="431" customFormat="1" x14ac:dyDescent="0.3">
      <c r="A117" s="449">
        <f t="shared" si="0"/>
        <v>14</v>
      </c>
      <c r="B117" s="648" t="s">
        <v>368</v>
      </c>
      <c r="C117" s="450"/>
      <c r="D117" s="450"/>
      <c r="E117" s="450"/>
      <c r="F117" s="450"/>
      <c r="G117" s="450"/>
      <c r="H117" s="450"/>
      <c r="I117" s="450"/>
      <c r="J117" s="450"/>
      <c r="K117" s="450"/>
      <c r="L117" s="450"/>
      <c r="M117" s="450"/>
      <c r="N117" s="450"/>
      <c r="O117" s="450"/>
      <c r="P117" s="450"/>
      <c r="Q117" s="450"/>
      <c r="R117" s="450"/>
      <c r="S117" s="450"/>
      <c r="T117" s="515">
        <v>-221</v>
      </c>
      <c r="U117" s="452"/>
      <c r="V117" s="430"/>
    </row>
    <row r="118" spans="1:22" s="431" customFormat="1" x14ac:dyDescent="0.3">
      <c r="A118" s="449">
        <f t="shared" si="0"/>
        <v>15</v>
      </c>
      <c r="B118" s="649" t="s">
        <v>369</v>
      </c>
      <c r="C118" s="450"/>
      <c r="D118" s="450"/>
      <c r="E118" s="450"/>
      <c r="F118" s="450"/>
      <c r="G118" s="450"/>
      <c r="H118" s="450"/>
      <c r="I118" s="450"/>
      <c r="J118" s="450"/>
      <c r="K118" s="450"/>
      <c r="L118" s="450"/>
      <c r="M118" s="450"/>
      <c r="N118" s="450"/>
      <c r="O118" s="450"/>
      <c r="P118" s="450"/>
      <c r="Q118" s="450"/>
      <c r="R118" s="450"/>
      <c r="S118" s="450"/>
      <c r="T118" s="515">
        <v>-256</v>
      </c>
      <c r="U118" s="452"/>
      <c r="V118" s="430"/>
    </row>
    <row r="119" spans="1:22" s="431" customFormat="1" x14ac:dyDescent="0.3">
      <c r="A119" s="449">
        <f t="shared" si="0"/>
        <v>16</v>
      </c>
      <c r="B119" s="649" t="s">
        <v>370</v>
      </c>
      <c r="C119" s="450"/>
      <c r="D119" s="450"/>
      <c r="E119" s="450"/>
      <c r="F119" s="450"/>
      <c r="G119" s="450"/>
      <c r="H119" s="450"/>
      <c r="I119" s="450"/>
      <c r="J119" s="450"/>
      <c r="K119" s="450"/>
      <c r="L119" s="450"/>
      <c r="M119" s="450"/>
      <c r="N119" s="450"/>
      <c r="O119" s="450"/>
      <c r="P119" s="450"/>
      <c r="Q119" s="450"/>
      <c r="R119" s="450"/>
      <c r="S119" s="450"/>
      <c r="T119" s="515">
        <v>0</v>
      </c>
      <c r="U119" s="452"/>
      <c r="V119" s="430"/>
    </row>
    <row r="120" spans="1:22" s="431" customFormat="1" x14ac:dyDescent="0.3">
      <c r="A120" s="449">
        <f t="shared" si="0"/>
        <v>17</v>
      </c>
      <c r="B120" s="649" t="s">
        <v>371</v>
      </c>
      <c r="C120" s="450"/>
      <c r="D120" s="450"/>
      <c r="E120" s="450"/>
      <c r="F120" s="450"/>
      <c r="G120" s="450"/>
      <c r="H120" s="450"/>
      <c r="I120" s="450"/>
      <c r="J120" s="450"/>
      <c r="K120" s="450"/>
      <c r="L120" s="450"/>
      <c r="M120" s="450"/>
      <c r="N120" s="450"/>
      <c r="O120" s="450"/>
      <c r="P120" s="450"/>
      <c r="Q120" s="450"/>
      <c r="R120" s="450"/>
      <c r="S120" s="450"/>
      <c r="T120" s="515">
        <f>-T99-SUM(T101:T119)</f>
        <v>-421</v>
      </c>
      <c r="U120" s="452"/>
      <c r="V120" s="430"/>
    </row>
    <row r="121" spans="1:22" x14ac:dyDescent="0.3">
      <c r="A121" s="468"/>
      <c r="B121" s="529" t="s">
        <v>38</v>
      </c>
      <c r="C121" s="470"/>
      <c r="D121" s="470"/>
      <c r="E121" s="470"/>
      <c r="F121" s="470"/>
      <c r="G121" s="470"/>
      <c r="H121" s="470"/>
      <c r="I121" s="470"/>
      <c r="J121" s="470"/>
      <c r="K121" s="470"/>
      <c r="L121" s="470"/>
      <c r="M121" s="470"/>
      <c r="N121" s="470"/>
      <c r="O121" s="470"/>
      <c r="P121" s="470"/>
      <c r="Q121" s="470"/>
      <c r="R121" s="470"/>
      <c r="S121" s="470"/>
      <c r="T121" s="536"/>
      <c r="U121" s="476"/>
      <c r="V121" s="416"/>
    </row>
    <row r="122" spans="1:22" s="431" customFormat="1" x14ac:dyDescent="0.3">
      <c r="A122" s="449"/>
      <c r="B122" s="450" t="s">
        <v>180</v>
      </c>
      <c r="C122" s="450"/>
      <c r="D122" s="450"/>
      <c r="E122" s="450"/>
      <c r="F122" s="450"/>
      <c r="G122" s="450"/>
      <c r="H122" s="450"/>
      <c r="I122" s="450"/>
      <c r="J122" s="450"/>
      <c r="K122" s="450"/>
      <c r="L122" s="450"/>
      <c r="M122" s="450"/>
      <c r="N122" s="450"/>
      <c r="O122" s="450"/>
      <c r="P122" s="450"/>
      <c r="Q122" s="450"/>
      <c r="R122" s="514">
        <f>-R180</f>
        <v>0</v>
      </c>
      <c r="S122" s="514"/>
      <c r="T122" s="515"/>
      <c r="U122" s="452"/>
      <c r="V122" s="430"/>
    </row>
    <row r="123" spans="1:22" s="431" customFormat="1" x14ac:dyDescent="0.3">
      <c r="A123" s="449"/>
      <c r="B123" s="450" t="s">
        <v>181</v>
      </c>
      <c r="C123" s="450"/>
      <c r="D123" s="450"/>
      <c r="E123" s="450"/>
      <c r="F123" s="450"/>
      <c r="G123" s="450"/>
      <c r="H123" s="450"/>
      <c r="I123" s="450"/>
      <c r="J123" s="450"/>
      <c r="K123" s="450"/>
      <c r="L123" s="450"/>
      <c r="M123" s="450"/>
      <c r="N123" s="450"/>
      <c r="O123" s="450"/>
      <c r="P123" s="450"/>
      <c r="Q123" s="450"/>
      <c r="R123" s="514">
        <v>0</v>
      </c>
      <c r="S123" s="514"/>
      <c r="T123" s="515"/>
      <c r="U123" s="452"/>
      <c r="V123" s="430"/>
    </row>
    <row r="124" spans="1:22" s="431" customFormat="1" x14ac:dyDescent="0.3">
      <c r="A124" s="449"/>
      <c r="B124" s="450" t="s">
        <v>39</v>
      </c>
      <c r="C124" s="450"/>
      <c r="D124" s="450"/>
      <c r="E124" s="450"/>
      <c r="F124" s="450"/>
      <c r="G124" s="450"/>
      <c r="H124" s="450"/>
      <c r="I124" s="450"/>
      <c r="J124" s="450"/>
      <c r="K124" s="450"/>
      <c r="L124" s="450"/>
      <c r="M124" s="450"/>
      <c r="N124" s="450"/>
      <c r="O124" s="450"/>
      <c r="P124" s="450"/>
      <c r="Q124" s="450"/>
      <c r="R124" s="514">
        <f>-Q180</f>
        <v>0</v>
      </c>
      <c r="S124" s="514"/>
      <c r="T124" s="515"/>
      <c r="U124" s="452"/>
      <c r="V124" s="430"/>
    </row>
    <row r="125" spans="1:22" s="431" customFormat="1" x14ac:dyDescent="0.3">
      <c r="A125" s="449"/>
      <c r="B125" s="450" t="s">
        <v>372</v>
      </c>
      <c r="C125" s="450"/>
      <c r="D125" s="450"/>
      <c r="E125" s="450"/>
      <c r="F125" s="450"/>
      <c r="G125" s="450"/>
      <c r="H125" s="450"/>
      <c r="I125" s="450"/>
      <c r="J125" s="450"/>
      <c r="K125" s="450"/>
      <c r="L125" s="450"/>
      <c r="M125" s="450"/>
      <c r="N125" s="450"/>
      <c r="O125" s="450"/>
      <c r="P125" s="450"/>
      <c r="Q125" s="450"/>
      <c r="R125" s="514">
        <v>-2251</v>
      </c>
      <c r="S125" s="514"/>
      <c r="T125" s="515"/>
      <c r="U125" s="452"/>
      <c r="V125" s="430"/>
    </row>
    <row r="126" spans="1:22" s="431" customFormat="1" x14ac:dyDescent="0.3">
      <c r="A126" s="449"/>
      <c r="B126" s="450" t="s">
        <v>203</v>
      </c>
      <c r="C126" s="450"/>
      <c r="D126" s="450"/>
      <c r="E126" s="450"/>
      <c r="F126" s="450"/>
      <c r="G126" s="450"/>
      <c r="H126" s="450"/>
      <c r="I126" s="450"/>
      <c r="J126" s="450"/>
      <c r="K126" s="450"/>
      <c r="L126" s="450"/>
      <c r="M126" s="450"/>
      <c r="N126" s="450"/>
      <c r="O126" s="450"/>
      <c r="P126" s="450"/>
      <c r="Q126" s="450"/>
      <c r="R126" s="514">
        <v>-593</v>
      </c>
      <c r="S126" s="514"/>
      <c r="T126" s="515"/>
      <c r="U126" s="452"/>
      <c r="V126" s="430"/>
    </row>
    <row r="127" spans="1:22" s="431" customFormat="1" x14ac:dyDescent="0.3">
      <c r="A127" s="449"/>
      <c r="B127" s="450" t="s">
        <v>202</v>
      </c>
      <c r="C127" s="450"/>
      <c r="D127" s="450"/>
      <c r="E127" s="450"/>
      <c r="F127" s="450"/>
      <c r="G127" s="450"/>
      <c r="H127" s="450"/>
      <c r="I127" s="450"/>
      <c r="J127" s="450"/>
      <c r="K127" s="450"/>
      <c r="L127" s="450"/>
      <c r="M127" s="450"/>
      <c r="N127" s="450"/>
      <c r="O127" s="450"/>
      <c r="P127" s="450"/>
      <c r="Q127" s="450"/>
      <c r="R127" s="514">
        <v>-598</v>
      </c>
      <c r="S127" s="514"/>
      <c r="T127" s="515"/>
      <c r="U127" s="452"/>
      <c r="V127" s="430"/>
    </row>
    <row r="128" spans="1:22" s="431" customFormat="1" x14ac:dyDescent="0.3">
      <c r="A128" s="449"/>
      <c r="B128" s="450" t="s">
        <v>197</v>
      </c>
      <c r="C128" s="450"/>
      <c r="D128" s="450"/>
      <c r="E128" s="450"/>
      <c r="F128" s="450"/>
      <c r="G128" s="450"/>
      <c r="H128" s="450"/>
      <c r="I128" s="450"/>
      <c r="J128" s="450"/>
      <c r="K128" s="450"/>
      <c r="L128" s="450"/>
      <c r="M128" s="450"/>
      <c r="N128" s="450"/>
      <c r="O128" s="450"/>
      <c r="P128" s="450"/>
      <c r="Q128" s="450"/>
      <c r="R128" s="514">
        <v>-151</v>
      </c>
      <c r="S128" s="514"/>
      <c r="T128" s="515"/>
      <c r="U128" s="452"/>
      <c r="V128" s="430"/>
    </row>
    <row r="129" spans="1:22" s="431" customFormat="1" x14ac:dyDescent="0.3">
      <c r="A129" s="449"/>
      <c r="B129" s="450" t="s">
        <v>196</v>
      </c>
      <c r="C129" s="450"/>
      <c r="D129" s="450"/>
      <c r="E129" s="450"/>
      <c r="F129" s="450"/>
      <c r="G129" s="450"/>
      <c r="H129" s="450"/>
      <c r="I129" s="450"/>
      <c r="J129" s="450"/>
      <c r="K129" s="450"/>
      <c r="L129" s="450"/>
      <c r="M129" s="450"/>
      <c r="N129" s="450"/>
      <c r="O129" s="450"/>
      <c r="P129" s="450"/>
      <c r="Q129" s="450"/>
      <c r="R129" s="514">
        <v>-532</v>
      </c>
      <c r="S129" s="514"/>
      <c r="T129" s="515"/>
      <c r="U129" s="452"/>
      <c r="V129" s="430"/>
    </row>
    <row r="130" spans="1:22" s="431" customFormat="1" x14ac:dyDescent="0.3">
      <c r="A130" s="449"/>
      <c r="B130" s="450" t="s">
        <v>195</v>
      </c>
      <c r="C130" s="450"/>
      <c r="D130" s="450"/>
      <c r="E130" s="450"/>
      <c r="F130" s="450"/>
      <c r="G130" s="450"/>
      <c r="H130" s="450"/>
      <c r="I130" s="450"/>
      <c r="J130" s="450"/>
      <c r="K130" s="450"/>
      <c r="L130" s="450"/>
      <c r="M130" s="450"/>
      <c r="N130" s="450"/>
      <c r="O130" s="450"/>
      <c r="P130" s="450"/>
      <c r="Q130" s="450"/>
      <c r="R130" s="514">
        <v>-565</v>
      </c>
      <c r="S130" s="514"/>
      <c r="T130" s="515"/>
      <c r="U130" s="452"/>
      <c r="V130" s="430"/>
    </row>
    <row r="131" spans="1:22" s="431" customFormat="1" x14ac:dyDescent="0.3">
      <c r="A131" s="449"/>
      <c r="B131" s="450" t="s">
        <v>40</v>
      </c>
      <c r="C131" s="450"/>
      <c r="D131" s="450"/>
      <c r="E131" s="450"/>
      <c r="F131" s="450"/>
      <c r="G131" s="450"/>
      <c r="H131" s="450"/>
      <c r="I131" s="450"/>
      <c r="J131" s="450"/>
      <c r="K131" s="450"/>
      <c r="L131" s="450"/>
      <c r="M131" s="450"/>
      <c r="N131" s="450"/>
      <c r="O131" s="450"/>
      <c r="P131" s="450"/>
      <c r="Q131" s="450"/>
      <c r="R131" s="514">
        <f>SUM(R122:R130)</f>
        <v>-4690</v>
      </c>
      <c r="S131" s="514"/>
      <c r="T131" s="514">
        <f>SUM(T100:T129)</f>
        <v>-2054</v>
      </c>
      <c r="U131" s="452"/>
      <c r="V131" s="430"/>
    </row>
    <row r="132" spans="1:22" s="431" customFormat="1" x14ac:dyDescent="0.3">
      <c r="A132" s="449"/>
      <c r="B132" s="450" t="s">
        <v>41</v>
      </c>
      <c r="C132" s="450"/>
      <c r="D132" s="450"/>
      <c r="E132" s="450"/>
      <c r="F132" s="450"/>
      <c r="G132" s="450"/>
      <c r="H132" s="450"/>
      <c r="I132" s="450"/>
      <c r="J132" s="450"/>
      <c r="K132" s="450"/>
      <c r="L132" s="450"/>
      <c r="M132" s="450"/>
      <c r="N132" s="450"/>
      <c r="O132" s="450"/>
      <c r="P132" s="450"/>
      <c r="Q132" s="450"/>
      <c r="R132" s="514">
        <f>R99+R131+R112</f>
        <v>0</v>
      </c>
      <c r="S132" s="514"/>
      <c r="T132" s="514">
        <f>T99+T131</f>
        <v>0</v>
      </c>
      <c r="U132" s="452"/>
      <c r="V132" s="430"/>
    </row>
    <row r="133" spans="1:22" s="431" customFormat="1" x14ac:dyDescent="0.3">
      <c r="A133" s="432"/>
      <c r="B133" s="447"/>
      <c r="C133" s="447"/>
      <c r="D133" s="447"/>
      <c r="E133" s="447"/>
      <c r="F133" s="447"/>
      <c r="G133" s="447"/>
      <c r="H133" s="447"/>
      <c r="I133" s="447"/>
      <c r="J133" s="447"/>
      <c r="K133" s="447"/>
      <c r="L133" s="447"/>
      <c r="M133" s="447"/>
      <c r="N133" s="447"/>
      <c r="O133" s="447"/>
      <c r="P133" s="447"/>
      <c r="Q133" s="447"/>
      <c r="R133" s="525"/>
      <c r="S133" s="525"/>
      <c r="T133" s="525"/>
      <c r="U133" s="641"/>
      <c r="V133" s="430"/>
    </row>
    <row r="134" spans="1:22" s="431" customFormat="1" x14ac:dyDescent="0.3">
      <c r="A134" s="432"/>
      <c r="B134" s="433"/>
      <c r="C134" s="433"/>
      <c r="D134" s="433"/>
      <c r="E134" s="433"/>
      <c r="F134" s="433"/>
      <c r="G134" s="433"/>
      <c r="H134" s="433"/>
      <c r="I134" s="433"/>
      <c r="J134" s="433"/>
      <c r="K134" s="433"/>
      <c r="L134" s="433"/>
      <c r="M134" s="433"/>
      <c r="N134" s="433"/>
      <c r="O134" s="433"/>
      <c r="P134" s="433"/>
      <c r="Q134" s="433"/>
      <c r="R134" s="433"/>
      <c r="S134" s="433"/>
      <c r="T134" s="537"/>
      <c r="U134" s="641"/>
      <c r="V134" s="430"/>
    </row>
    <row r="135" spans="1:22" s="431" customFormat="1" ht="18.600000000000001" thickBot="1" x14ac:dyDescent="0.4">
      <c r="A135" s="500"/>
      <c r="B135" s="501" t="str">
        <f>B63</f>
        <v>PM11 INVESTOR REPORT QUARTER ENDING JUNE 2020</v>
      </c>
      <c r="C135" s="502"/>
      <c r="D135" s="502"/>
      <c r="E135" s="502"/>
      <c r="F135" s="502"/>
      <c r="G135" s="502"/>
      <c r="H135" s="502"/>
      <c r="I135" s="502"/>
      <c r="J135" s="502"/>
      <c r="K135" s="502"/>
      <c r="L135" s="502"/>
      <c r="M135" s="502"/>
      <c r="N135" s="502"/>
      <c r="O135" s="502"/>
      <c r="P135" s="502"/>
      <c r="Q135" s="502"/>
      <c r="R135" s="502"/>
      <c r="S135" s="502"/>
      <c r="T135" s="538"/>
      <c r="U135" s="504"/>
      <c r="V135" s="430"/>
    </row>
    <row r="136" spans="1:22" x14ac:dyDescent="0.3">
      <c r="A136" s="505"/>
      <c r="B136" s="506" t="s">
        <v>42</v>
      </c>
      <c r="C136" s="507"/>
      <c r="D136" s="507"/>
      <c r="E136" s="507"/>
      <c r="F136" s="507"/>
      <c r="G136" s="507"/>
      <c r="H136" s="507"/>
      <c r="I136" s="507"/>
      <c r="J136" s="507"/>
      <c r="K136" s="507"/>
      <c r="L136" s="507"/>
      <c r="M136" s="507"/>
      <c r="N136" s="507"/>
      <c r="O136" s="507"/>
      <c r="P136" s="507"/>
      <c r="Q136" s="507"/>
      <c r="R136" s="507"/>
      <c r="S136" s="507"/>
      <c r="T136" s="508"/>
      <c r="U136" s="509"/>
      <c r="V136" s="416"/>
    </row>
    <row r="137" spans="1:22" x14ac:dyDescent="0.3">
      <c r="A137" s="418"/>
      <c r="B137" s="539"/>
      <c r="C137" s="420"/>
      <c r="D137" s="420"/>
      <c r="E137" s="420"/>
      <c r="F137" s="420"/>
      <c r="G137" s="420"/>
      <c r="H137" s="420"/>
      <c r="I137" s="420"/>
      <c r="J137" s="420"/>
      <c r="K137" s="420"/>
      <c r="L137" s="420"/>
      <c r="M137" s="420"/>
      <c r="N137" s="420"/>
      <c r="O137" s="420"/>
      <c r="P137" s="420"/>
      <c r="Q137" s="420"/>
      <c r="R137" s="420"/>
      <c r="S137" s="420"/>
      <c r="T137" s="510"/>
      <c r="U137" s="639"/>
      <c r="V137" s="416"/>
    </row>
    <row r="138" spans="1:22" x14ac:dyDescent="0.3">
      <c r="A138" s="418"/>
      <c r="B138" s="540" t="s">
        <v>43</v>
      </c>
      <c r="C138" s="420"/>
      <c r="D138" s="420"/>
      <c r="E138" s="420"/>
      <c r="F138" s="420"/>
      <c r="G138" s="420"/>
      <c r="H138" s="420"/>
      <c r="I138" s="420"/>
      <c r="J138" s="420"/>
      <c r="K138" s="420"/>
      <c r="L138" s="420"/>
      <c r="M138" s="420"/>
      <c r="N138" s="420"/>
      <c r="O138" s="420"/>
      <c r="P138" s="420"/>
      <c r="Q138" s="420"/>
      <c r="R138" s="420"/>
      <c r="S138" s="420"/>
      <c r="T138" s="510"/>
      <c r="U138" s="639"/>
      <c r="V138" s="416"/>
    </row>
    <row r="139" spans="1:22" s="431" customFormat="1" x14ac:dyDescent="0.3">
      <c r="A139" s="449"/>
      <c r="B139" s="450" t="s">
        <v>44</v>
      </c>
      <c r="C139" s="450"/>
      <c r="D139" s="450"/>
      <c r="E139" s="450"/>
      <c r="F139" s="450"/>
      <c r="G139" s="450"/>
      <c r="H139" s="450"/>
      <c r="I139" s="450"/>
      <c r="J139" s="450"/>
      <c r="K139" s="450"/>
      <c r="L139" s="450"/>
      <c r="M139" s="450"/>
      <c r="N139" s="450"/>
      <c r="O139" s="450"/>
      <c r="P139" s="450"/>
      <c r="Q139" s="450"/>
      <c r="R139" s="450"/>
      <c r="S139" s="450"/>
      <c r="T139" s="515">
        <f>+T34*0.019</f>
        <v>19000.95</v>
      </c>
      <c r="U139" s="452"/>
      <c r="V139" s="430"/>
    </row>
    <row r="140" spans="1:22" s="431" customFormat="1" x14ac:dyDescent="0.3">
      <c r="A140" s="449"/>
      <c r="B140" s="450" t="s">
        <v>45</v>
      </c>
      <c r="C140" s="450"/>
      <c r="D140" s="450"/>
      <c r="E140" s="450"/>
      <c r="F140" s="450"/>
      <c r="G140" s="450"/>
      <c r="H140" s="450"/>
      <c r="I140" s="450"/>
      <c r="J140" s="450"/>
      <c r="K140" s="450"/>
      <c r="L140" s="450"/>
      <c r="M140" s="450"/>
      <c r="N140" s="450"/>
      <c r="O140" s="450"/>
      <c r="P140" s="450"/>
      <c r="Q140" s="450"/>
      <c r="R140" s="450"/>
      <c r="S140" s="450"/>
      <c r="T140" s="515">
        <v>19001</v>
      </c>
      <c r="U140" s="452"/>
      <c r="V140" s="430"/>
    </row>
    <row r="141" spans="1:22" s="431" customFormat="1" x14ac:dyDescent="0.3">
      <c r="A141" s="449"/>
      <c r="B141" s="450" t="s">
        <v>142</v>
      </c>
      <c r="C141" s="450"/>
      <c r="D141" s="450"/>
      <c r="E141" s="450"/>
      <c r="F141" s="450"/>
      <c r="G141" s="450"/>
      <c r="H141" s="450"/>
      <c r="I141" s="450"/>
      <c r="J141" s="450"/>
      <c r="K141" s="450"/>
      <c r="L141" s="450"/>
      <c r="M141" s="450"/>
      <c r="N141" s="450"/>
      <c r="O141" s="450"/>
      <c r="P141" s="450"/>
      <c r="Q141" s="450"/>
      <c r="R141" s="450"/>
      <c r="S141" s="450"/>
      <c r="T141" s="515">
        <v>0</v>
      </c>
      <c r="U141" s="452"/>
      <c r="V141" s="430"/>
    </row>
    <row r="142" spans="1:22" s="431" customFormat="1" x14ac:dyDescent="0.3">
      <c r="A142" s="449"/>
      <c r="B142" s="450" t="s">
        <v>129</v>
      </c>
      <c r="C142" s="450"/>
      <c r="D142" s="450"/>
      <c r="E142" s="450"/>
      <c r="F142" s="450"/>
      <c r="G142" s="450"/>
      <c r="H142" s="450"/>
      <c r="I142" s="450"/>
      <c r="J142" s="450"/>
      <c r="K142" s="450"/>
      <c r="L142" s="450"/>
      <c r="M142" s="450"/>
      <c r="N142" s="450"/>
      <c r="O142" s="450"/>
      <c r="P142" s="450"/>
      <c r="Q142" s="450"/>
      <c r="R142" s="450"/>
      <c r="S142" s="450"/>
      <c r="T142" s="515">
        <v>0</v>
      </c>
      <c r="U142" s="452"/>
      <c r="V142" s="430"/>
    </row>
    <row r="143" spans="1:22" s="431" customFormat="1" x14ac:dyDescent="0.3">
      <c r="A143" s="449"/>
      <c r="B143" s="450" t="s">
        <v>130</v>
      </c>
      <c r="C143" s="450"/>
      <c r="D143" s="450"/>
      <c r="E143" s="450"/>
      <c r="F143" s="450"/>
      <c r="G143" s="450"/>
      <c r="H143" s="450"/>
      <c r="I143" s="450"/>
      <c r="J143" s="450"/>
      <c r="K143" s="450"/>
      <c r="L143" s="450"/>
      <c r="M143" s="450"/>
      <c r="N143" s="450"/>
      <c r="O143" s="450"/>
      <c r="P143" s="450"/>
      <c r="Q143" s="450"/>
      <c r="R143" s="450"/>
      <c r="S143" s="450"/>
      <c r="T143" s="515">
        <v>0</v>
      </c>
      <c r="U143" s="452"/>
      <c r="V143" s="430"/>
    </row>
    <row r="144" spans="1:22" s="431" customFormat="1" x14ac:dyDescent="0.3">
      <c r="A144" s="449"/>
      <c r="B144" s="450" t="s">
        <v>182</v>
      </c>
      <c r="C144" s="450"/>
      <c r="D144" s="450"/>
      <c r="E144" s="450"/>
      <c r="F144" s="450"/>
      <c r="G144" s="450"/>
      <c r="H144" s="450"/>
      <c r="I144" s="450"/>
      <c r="J144" s="450"/>
      <c r="K144" s="450"/>
      <c r="L144" s="450"/>
      <c r="M144" s="450"/>
      <c r="N144" s="450"/>
      <c r="O144" s="450"/>
      <c r="P144" s="450"/>
      <c r="Q144" s="450"/>
      <c r="R144" s="450"/>
      <c r="S144" s="450"/>
      <c r="T144" s="515">
        <v>0</v>
      </c>
      <c r="U144" s="452"/>
      <c r="V144" s="430"/>
    </row>
    <row r="145" spans="1:23" s="431" customFormat="1" x14ac:dyDescent="0.3">
      <c r="A145" s="449"/>
      <c r="B145" s="450" t="s">
        <v>46</v>
      </c>
      <c r="C145" s="450"/>
      <c r="D145" s="450"/>
      <c r="E145" s="450"/>
      <c r="F145" s="450"/>
      <c r="G145" s="450"/>
      <c r="H145" s="450"/>
      <c r="I145" s="450"/>
      <c r="J145" s="450"/>
      <c r="K145" s="450"/>
      <c r="L145" s="450"/>
      <c r="M145" s="450"/>
      <c r="N145" s="450"/>
      <c r="O145" s="450"/>
      <c r="P145" s="450"/>
      <c r="Q145" s="450"/>
      <c r="R145" s="450"/>
      <c r="S145" s="450"/>
      <c r="T145" s="515">
        <v>0</v>
      </c>
      <c r="U145" s="452"/>
      <c r="V145" s="430"/>
    </row>
    <row r="146" spans="1:23" s="431" customFormat="1" x14ac:dyDescent="0.3">
      <c r="A146" s="449"/>
      <c r="B146" s="450" t="s">
        <v>135</v>
      </c>
      <c r="C146" s="450"/>
      <c r="D146" s="450"/>
      <c r="E146" s="450"/>
      <c r="F146" s="450"/>
      <c r="G146" s="450"/>
      <c r="H146" s="450"/>
      <c r="I146" s="450"/>
      <c r="J146" s="450"/>
      <c r="K146" s="450"/>
      <c r="L146" s="450"/>
      <c r="M146" s="450"/>
      <c r="N146" s="450"/>
      <c r="O146" s="450"/>
      <c r="P146" s="450"/>
      <c r="Q146" s="450"/>
      <c r="R146" s="450"/>
      <c r="S146" s="450"/>
      <c r="T146" s="515">
        <v>0</v>
      </c>
      <c r="U146" s="452"/>
      <c r="V146" s="430"/>
    </row>
    <row r="147" spans="1:23" s="431" customFormat="1" x14ac:dyDescent="0.3">
      <c r="A147" s="449"/>
      <c r="B147" s="450" t="s">
        <v>251</v>
      </c>
      <c r="C147" s="450"/>
      <c r="D147" s="450"/>
      <c r="E147" s="450"/>
      <c r="F147" s="450"/>
      <c r="G147" s="450"/>
      <c r="H147" s="450"/>
      <c r="I147" s="450"/>
      <c r="J147" s="450"/>
      <c r="K147" s="450"/>
      <c r="L147" s="450"/>
      <c r="M147" s="450"/>
      <c r="N147" s="450"/>
      <c r="O147" s="450"/>
      <c r="P147" s="450"/>
      <c r="Q147" s="450"/>
      <c r="R147" s="450"/>
      <c r="S147" s="450"/>
      <c r="T147" s="515">
        <v>0</v>
      </c>
      <c r="U147" s="452"/>
      <c r="V147" s="430"/>
      <c r="W147" s="533"/>
    </row>
    <row r="148" spans="1:23" s="431" customFormat="1" x14ac:dyDescent="0.3">
      <c r="A148" s="449"/>
      <c r="B148" s="450" t="s">
        <v>47</v>
      </c>
      <c r="C148" s="450"/>
      <c r="D148" s="450"/>
      <c r="E148" s="450"/>
      <c r="F148" s="450"/>
      <c r="G148" s="450"/>
      <c r="H148" s="450"/>
      <c r="I148" s="450"/>
      <c r="J148" s="450"/>
      <c r="K148" s="450"/>
      <c r="L148" s="450"/>
      <c r="M148" s="450"/>
      <c r="N148" s="450"/>
      <c r="O148" s="450"/>
      <c r="P148" s="450"/>
      <c r="Q148" s="450"/>
      <c r="R148" s="450"/>
      <c r="S148" s="450"/>
      <c r="T148" s="515">
        <f>SUM(T140:T147)</f>
        <v>19001</v>
      </c>
      <c r="U148" s="452"/>
      <c r="V148" s="430"/>
    </row>
    <row r="149" spans="1:23" x14ac:dyDescent="0.3">
      <c r="A149" s="468"/>
      <c r="B149" s="470"/>
      <c r="C149" s="470"/>
      <c r="D149" s="470"/>
      <c r="E149" s="470"/>
      <c r="F149" s="470"/>
      <c r="G149" s="470"/>
      <c r="H149" s="470"/>
      <c r="I149" s="470"/>
      <c r="J149" s="470"/>
      <c r="K149" s="470"/>
      <c r="L149" s="470"/>
      <c r="M149" s="470"/>
      <c r="N149" s="470"/>
      <c r="O149" s="470"/>
      <c r="P149" s="470"/>
      <c r="Q149" s="470"/>
      <c r="R149" s="470"/>
      <c r="S149" s="470"/>
      <c r="T149" s="531"/>
      <c r="U149" s="476"/>
      <c r="V149" s="416"/>
    </row>
    <row r="150" spans="1:23" x14ac:dyDescent="0.3">
      <c r="A150" s="468"/>
      <c r="B150" s="529" t="s">
        <v>401</v>
      </c>
      <c r="C150" s="470"/>
      <c r="D150" s="470"/>
      <c r="E150" s="470"/>
      <c r="F150" s="470"/>
      <c r="G150" s="470"/>
      <c r="H150" s="470"/>
      <c r="I150" s="470"/>
      <c r="J150" s="470"/>
      <c r="K150" s="470"/>
      <c r="L150" s="470"/>
      <c r="M150" s="470"/>
      <c r="N150" s="470"/>
      <c r="O150" s="470"/>
      <c r="P150" s="470"/>
      <c r="Q150" s="470"/>
      <c r="R150" s="470"/>
      <c r="S150" s="470"/>
      <c r="T150" s="531"/>
      <c r="U150" s="476"/>
      <c r="V150" s="416"/>
    </row>
    <row r="151" spans="1:23" s="431" customFormat="1" x14ac:dyDescent="0.3">
      <c r="A151" s="449"/>
      <c r="B151" s="450" t="s">
        <v>263</v>
      </c>
      <c r="C151" s="450"/>
      <c r="D151" s="450"/>
      <c r="E151" s="450"/>
      <c r="F151" s="450"/>
      <c r="G151" s="450"/>
      <c r="H151" s="450"/>
      <c r="I151" s="450"/>
      <c r="J151" s="450"/>
      <c r="K151" s="450"/>
      <c r="L151" s="450"/>
      <c r="M151" s="450"/>
      <c r="N151" s="450"/>
      <c r="O151" s="450"/>
      <c r="P151" s="450"/>
      <c r="Q151" s="450"/>
      <c r="R151" s="450"/>
      <c r="S151" s="450"/>
      <c r="T151" s="515">
        <v>0</v>
      </c>
      <c r="U151" s="452"/>
      <c r="V151" s="430"/>
    </row>
    <row r="152" spans="1:23" s="431" customFormat="1" x14ac:dyDescent="0.3">
      <c r="A152" s="449"/>
      <c r="B152" s="450" t="s">
        <v>179</v>
      </c>
      <c r="C152" s="450"/>
      <c r="D152" s="450"/>
      <c r="E152" s="450"/>
      <c r="F152" s="450"/>
      <c r="G152" s="450"/>
      <c r="H152" s="450"/>
      <c r="I152" s="450"/>
      <c r="J152" s="450"/>
      <c r="K152" s="450"/>
      <c r="L152" s="450"/>
      <c r="M152" s="450"/>
      <c r="N152" s="450"/>
      <c r="O152" s="450"/>
      <c r="P152" s="450"/>
      <c r="Q152" s="450"/>
      <c r="R152" s="450"/>
      <c r="S152" s="450"/>
      <c r="T152" s="515">
        <v>0</v>
      </c>
      <c r="U152" s="452"/>
      <c r="V152" s="430"/>
    </row>
    <row r="153" spans="1:23" s="431" customFormat="1" x14ac:dyDescent="0.3">
      <c r="A153" s="449"/>
      <c r="B153" s="450" t="s">
        <v>264</v>
      </c>
      <c r="C153" s="450"/>
      <c r="D153" s="450"/>
      <c r="E153" s="450"/>
      <c r="F153" s="450"/>
      <c r="G153" s="450"/>
      <c r="H153" s="450"/>
      <c r="I153" s="450"/>
      <c r="J153" s="450"/>
      <c r="K153" s="450"/>
      <c r="L153" s="450"/>
      <c r="M153" s="450"/>
      <c r="N153" s="450"/>
      <c r="O153" s="450"/>
      <c r="P153" s="450"/>
      <c r="Q153" s="450"/>
      <c r="R153" s="450"/>
      <c r="S153" s="450"/>
      <c r="T153" s="515">
        <v>0</v>
      </c>
      <c r="U153" s="452"/>
      <c r="V153" s="430"/>
    </row>
    <row r="154" spans="1:23" x14ac:dyDescent="0.3">
      <c r="A154" s="468"/>
      <c r="B154" s="541"/>
      <c r="C154" s="541"/>
      <c r="D154" s="541"/>
      <c r="E154" s="541"/>
      <c r="F154" s="541"/>
      <c r="G154" s="541"/>
      <c r="H154" s="541"/>
      <c r="I154" s="541"/>
      <c r="J154" s="541"/>
      <c r="K154" s="541"/>
      <c r="L154" s="541"/>
      <c r="M154" s="541"/>
      <c r="N154" s="541"/>
      <c r="O154" s="541"/>
      <c r="P154" s="541"/>
      <c r="Q154" s="541"/>
      <c r="R154" s="541"/>
      <c r="S154" s="541"/>
      <c r="T154" s="542"/>
      <c r="U154" s="543"/>
      <c r="V154" s="416"/>
    </row>
    <row r="155" spans="1:23" x14ac:dyDescent="0.3">
      <c r="A155" s="418"/>
      <c r="B155" s="516"/>
      <c r="C155" s="516"/>
      <c r="D155" s="516"/>
      <c r="E155" s="516"/>
      <c r="F155" s="516"/>
      <c r="G155" s="516"/>
      <c r="H155" s="516"/>
      <c r="I155" s="516"/>
      <c r="J155" s="516"/>
      <c r="K155" s="516"/>
      <c r="L155" s="516"/>
      <c r="M155" s="516"/>
      <c r="N155" s="516"/>
      <c r="O155" s="516"/>
      <c r="P155" s="516"/>
      <c r="Q155" s="516"/>
      <c r="R155" s="516"/>
      <c r="S155" s="516"/>
      <c r="T155" s="544"/>
      <c r="U155" s="639"/>
      <c r="V155" s="416"/>
    </row>
    <row r="156" spans="1:23" x14ac:dyDescent="0.3">
      <c r="A156" s="418"/>
      <c r="B156" s="540" t="s">
        <v>24</v>
      </c>
      <c r="C156" s="420"/>
      <c r="D156" s="420"/>
      <c r="E156" s="420"/>
      <c r="F156" s="420"/>
      <c r="G156" s="420"/>
      <c r="H156" s="420"/>
      <c r="I156" s="420"/>
      <c r="J156" s="420"/>
      <c r="K156" s="420"/>
      <c r="L156" s="420"/>
      <c r="M156" s="420"/>
      <c r="N156" s="420"/>
      <c r="O156" s="420"/>
      <c r="P156" s="420"/>
      <c r="Q156" s="420"/>
      <c r="R156" s="420"/>
      <c r="S156" s="420"/>
      <c r="T156" s="510"/>
      <c r="U156" s="639"/>
      <c r="V156" s="416"/>
    </row>
    <row r="157" spans="1:23" s="431" customFormat="1" x14ac:dyDescent="0.3">
      <c r="A157" s="449"/>
      <c r="B157" s="450" t="s">
        <v>48</v>
      </c>
      <c r="C157" s="450"/>
      <c r="D157" s="450"/>
      <c r="E157" s="450"/>
      <c r="F157" s="450"/>
      <c r="G157" s="450"/>
      <c r="H157" s="450"/>
      <c r="I157" s="450"/>
      <c r="J157" s="450"/>
      <c r="K157" s="450"/>
      <c r="L157" s="450"/>
      <c r="M157" s="450"/>
      <c r="N157" s="450"/>
      <c r="O157" s="450"/>
      <c r="P157" s="450"/>
      <c r="Q157" s="450"/>
      <c r="R157" s="450"/>
      <c r="S157" s="450"/>
      <c r="T157" s="545" t="s">
        <v>124</v>
      </c>
      <c r="U157" s="452"/>
      <c r="V157" s="430"/>
    </row>
    <row r="158" spans="1:23" s="431" customFormat="1" x14ac:dyDescent="0.3">
      <c r="A158" s="449"/>
      <c r="B158" s="450" t="s">
        <v>49</v>
      </c>
      <c r="C158" s="450"/>
      <c r="D158" s="450"/>
      <c r="E158" s="450"/>
      <c r="F158" s="450"/>
      <c r="G158" s="450"/>
      <c r="H158" s="450"/>
      <c r="I158" s="450"/>
      <c r="J158" s="450"/>
      <c r="K158" s="450"/>
      <c r="L158" s="450"/>
      <c r="M158" s="450"/>
      <c r="N158" s="450"/>
      <c r="O158" s="450"/>
      <c r="P158" s="450"/>
      <c r="Q158" s="450"/>
      <c r="R158" s="450"/>
      <c r="S158" s="450"/>
      <c r="T158" s="545" t="s">
        <v>124</v>
      </c>
      <c r="U158" s="452"/>
      <c r="V158" s="430"/>
    </row>
    <row r="159" spans="1:23" s="431" customFormat="1" x14ac:dyDescent="0.3">
      <c r="A159" s="449"/>
      <c r="B159" s="450" t="s">
        <v>50</v>
      </c>
      <c r="C159" s="450"/>
      <c r="D159" s="450"/>
      <c r="E159" s="450"/>
      <c r="F159" s="450"/>
      <c r="G159" s="450"/>
      <c r="H159" s="450"/>
      <c r="I159" s="450"/>
      <c r="J159" s="450"/>
      <c r="K159" s="450"/>
      <c r="L159" s="450"/>
      <c r="M159" s="450"/>
      <c r="N159" s="450"/>
      <c r="O159" s="450"/>
      <c r="P159" s="450"/>
      <c r="Q159" s="450"/>
      <c r="R159" s="450"/>
      <c r="S159" s="450"/>
      <c r="T159" s="545" t="s">
        <v>124</v>
      </c>
      <c r="U159" s="452"/>
      <c r="V159" s="430"/>
    </row>
    <row r="160" spans="1:23" s="431" customFormat="1" x14ac:dyDescent="0.3">
      <c r="A160" s="449"/>
      <c r="B160" s="450" t="s">
        <v>51</v>
      </c>
      <c r="C160" s="450"/>
      <c r="D160" s="450"/>
      <c r="E160" s="450"/>
      <c r="F160" s="450"/>
      <c r="G160" s="450"/>
      <c r="H160" s="450"/>
      <c r="I160" s="450"/>
      <c r="J160" s="450"/>
      <c r="K160" s="450"/>
      <c r="L160" s="450"/>
      <c r="M160" s="450"/>
      <c r="N160" s="450"/>
      <c r="O160" s="450"/>
      <c r="P160" s="450"/>
      <c r="Q160" s="450"/>
      <c r="R160" s="450"/>
      <c r="S160" s="450"/>
      <c r="T160" s="545" t="s">
        <v>124</v>
      </c>
      <c r="U160" s="452"/>
      <c r="V160" s="430"/>
    </row>
    <row r="161" spans="1:22" x14ac:dyDescent="0.3">
      <c r="A161" s="418"/>
      <c r="B161" s="516"/>
      <c r="C161" s="516"/>
      <c r="D161" s="516"/>
      <c r="E161" s="516"/>
      <c r="F161" s="516"/>
      <c r="G161" s="516"/>
      <c r="H161" s="516"/>
      <c r="I161" s="516"/>
      <c r="J161" s="516"/>
      <c r="K161" s="516"/>
      <c r="L161" s="516"/>
      <c r="M161" s="516"/>
      <c r="N161" s="516"/>
      <c r="O161" s="516"/>
      <c r="P161" s="516"/>
      <c r="Q161" s="516"/>
      <c r="R161" s="516"/>
      <c r="S161" s="516"/>
      <c r="T161" s="544"/>
      <c r="U161" s="639"/>
      <c r="V161" s="416"/>
    </row>
    <row r="162" spans="1:22" x14ac:dyDescent="0.3">
      <c r="A162" s="418"/>
      <c r="B162" s="540" t="s">
        <v>52</v>
      </c>
      <c r="C162" s="420"/>
      <c r="D162" s="420"/>
      <c r="E162" s="420"/>
      <c r="F162" s="420"/>
      <c r="G162" s="420"/>
      <c r="H162" s="420"/>
      <c r="I162" s="420"/>
      <c r="J162" s="420"/>
      <c r="K162" s="420"/>
      <c r="L162" s="420"/>
      <c r="M162" s="420"/>
      <c r="N162" s="420"/>
      <c r="O162" s="420"/>
      <c r="P162" s="420"/>
      <c r="Q162" s="420"/>
      <c r="R162" s="420"/>
      <c r="S162" s="420"/>
      <c r="T162" s="546"/>
      <c r="U162" s="639"/>
      <c r="V162" s="416"/>
    </row>
    <row r="163" spans="1:22" s="431" customFormat="1" x14ac:dyDescent="0.3">
      <c r="A163" s="449"/>
      <c r="B163" s="450" t="s">
        <v>53</v>
      </c>
      <c r="C163" s="450"/>
      <c r="D163" s="450"/>
      <c r="E163" s="450"/>
      <c r="F163" s="450"/>
      <c r="G163" s="450"/>
      <c r="H163" s="450"/>
      <c r="I163" s="450"/>
      <c r="J163" s="450"/>
      <c r="K163" s="450"/>
      <c r="L163" s="450"/>
      <c r="M163" s="450"/>
      <c r="N163" s="450"/>
      <c r="O163" s="450"/>
      <c r="P163" s="450"/>
      <c r="Q163" s="450"/>
      <c r="R163" s="450"/>
      <c r="S163" s="450"/>
      <c r="T163" s="515">
        <v>0</v>
      </c>
      <c r="U163" s="452"/>
      <c r="V163" s="430"/>
    </row>
    <row r="164" spans="1:22" s="431" customFormat="1" x14ac:dyDescent="0.3">
      <c r="A164" s="449"/>
      <c r="B164" s="450" t="s">
        <v>54</v>
      </c>
      <c r="C164" s="450"/>
      <c r="D164" s="450"/>
      <c r="E164" s="450"/>
      <c r="F164" s="450"/>
      <c r="G164" s="450"/>
      <c r="H164" s="450"/>
      <c r="I164" s="450"/>
      <c r="J164" s="450"/>
      <c r="K164" s="450"/>
      <c r="L164" s="450"/>
      <c r="M164" s="450"/>
      <c r="N164" s="450"/>
      <c r="O164" s="450"/>
      <c r="P164" s="450"/>
      <c r="Q164" s="450"/>
      <c r="R164" s="450"/>
      <c r="S164" s="450"/>
      <c r="T164" s="515">
        <f>R112</f>
        <v>-1</v>
      </c>
      <c r="U164" s="452"/>
      <c r="V164" s="430"/>
    </row>
    <row r="165" spans="1:22" s="431" customFormat="1" x14ac:dyDescent="0.3">
      <c r="A165" s="449"/>
      <c r="B165" s="450" t="s">
        <v>55</v>
      </c>
      <c r="C165" s="450"/>
      <c r="D165" s="450"/>
      <c r="E165" s="450"/>
      <c r="F165" s="450"/>
      <c r="G165" s="450"/>
      <c r="H165" s="450"/>
      <c r="I165" s="450"/>
      <c r="J165" s="450"/>
      <c r="K165" s="450"/>
      <c r="L165" s="450"/>
      <c r="M165" s="450"/>
      <c r="N165" s="450"/>
      <c r="O165" s="450"/>
      <c r="P165" s="450"/>
      <c r="Q165" s="450"/>
      <c r="R165" s="450"/>
      <c r="S165" s="450"/>
      <c r="T165" s="515">
        <f>T164+T163</f>
        <v>-1</v>
      </c>
      <c r="U165" s="452"/>
      <c r="V165" s="430"/>
    </row>
    <row r="166" spans="1:22" s="431" customFormat="1" x14ac:dyDescent="0.3">
      <c r="A166" s="449"/>
      <c r="B166" s="450" t="s">
        <v>301</v>
      </c>
      <c r="C166" s="450"/>
      <c r="D166" s="450"/>
      <c r="E166" s="450"/>
      <c r="F166" s="450"/>
      <c r="G166" s="450"/>
      <c r="H166" s="450"/>
      <c r="I166" s="450"/>
      <c r="J166" s="450"/>
      <c r="K166" s="450"/>
      <c r="L166" s="450"/>
      <c r="M166" s="450"/>
      <c r="N166" s="450"/>
      <c r="O166" s="450"/>
      <c r="P166" s="450"/>
      <c r="Q166" s="450"/>
      <c r="R166" s="450"/>
      <c r="S166" s="450"/>
      <c r="T166" s="515">
        <f>T112</f>
        <v>1</v>
      </c>
      <c r="U166" s="452"/>
      <c r="V166" s="430"/>
    </row>
    <row r="167" spans="1:22" s="431" customFormat="1" x14ac:dyDescent="0.3">
      <c r="A167" s="449"/>
      <c r="B167" s="450" t="s">
        <v>56</v>
      </c>
      <c r="C167" s="450"/>
      <c r="D167" s="450"/>
      <c r="E167" s="450"/>
      <c r="F167" s="450"/>
      <c r="G167" s="450"/>
      <c r="H167" s="450"/>
      <c r="I167" s="450"/>
      <c r="J167" s="450"/>
      <c r="K167" s="450"/>
      <c r="L167" s="450"/>
      <c r="M167" s="450"/>
      <c r="N167" s="450"/>
      <c r="O167" s="450"/>
      <c r="P167" s="450"/>
      <c r="Q167" s="450"/>
      <c r="R167" s="450"/>
      <c r="S167" s="450"/>
      <c r="T167" s="515">
        <f>T165+T166</f>
        <v>0</v>
      </c>
      <c r="U167" s="452"/>
      <c r="V167" s="430"/>
    </row>
    <row r="168" spans="1:22" s="431" customFormat="1" x14ac:dyDescent="0.3">
      <c r="A168" s="449"/>
      <c r="B168" s="450" t="s">
        <v>273</v>
      </c>
      <c r="C168" s="450"/>
      <c r="D168" s="450"/>
      <c r="E168" s="450"/>
      <c r="F168" s="450"/>
      <c r="G168" s="450"/>
      <c r="H168" s="450"/>
      <c r="I168" s="450"/>
      <c r="J168" s="450"/>
      <c r="K168" s="450"/>
      <c r="L168" s="450"/>
      <c r="M168" s="450"/>
      <c r="N168" s="450"/>
      <c r="O168" s="450"/>
      <c r="P168" s="450"/>
      <c r="Q168" s="450"/>
      <c r="R168" s="450"/>
      <c r="S168" s="450"/>
      <c r="T168" s="515">
        <v>0</v>
      </c>
      <c r="U168" s="452"/>
      <c r="V168" s="430"/>
    </row>
    <row r="169" spans="1:22" ht="16.2" thickBot="1" x14ac:dyDescent="0.35">
      <c r="A169" s="418"/>
      <c r="B169" s="516"/>
      <c r="C169" s="516"/>
      <c r="D169" s="516"/>
      <c r="E169" s="516"/>
      <c r="F169" s="516"/>
      <c r="G169" s="516"/>
      <c r="H169" s="516"/>
      <c r="I169" s="516"/>
      <c r="J169" s="516"/>
      <c r="K169" s="516"/>
      <c r="L169" s="516"/>
      <c r="M169" s="516"/>
      <c r="N169" s="516"/>
      <c r="O169" s="516"/>
      <c r="P169" s="516"/>
      <c r="Q169" s="516"/>
      <c r="R169" s="516"/>
      <c r="S169" s="516"/>
      <c r="T169" s="544"/>
      <c r="U169" s="639"/>
      <c r="V169" s="416"/>
    </row>
    <row r="170" spans="1:22" x14ac:dyDescent="0.3">
      <c r="A170" s="547"/>
      <c r="B170" s="415"/>
      <c r="C170" s="415"/>
      <c r="D170" s="415"/>
      <c r="E170" s="415"/>
      <c r="F170" s="415"/>
      <c r="G170" s="415"/>
      <c r="H170" s="415"/>
      <c r="I170" s="415"/>
      <c r="J170" s="415"/>
      <c r="K170" s="415"/>
      <c r="L170" s="415"/>
      <c r="M170" s="415"/>
      <c r="N170" s="415"/>
      <c r="O170" s="415"/>
      <c r="P170" s="415"/>
      <c r="Q170" s="415"/>
      <c r="R170" s="415"/>
      <c r="S170" s="415"/>
      <c r="T170" s="548"/>
      <c r="U170" s="638"/>
      <c r="V170" s="416"/>
    </row>
    <row r="171" spans="1:22" x14ac:dyDescent="0.3">
      <c r="A171" s="418"/>
      <c r="B171" s="540" t="s">
        <v>57</v>
      </c>
      <c r="C171" s="420"/>
      <c r="D171" s="420"/>
      <c r="E171" s="420"/>
      <c r="F171" s="420"/>
      <c r="G171" s="420"/>
      <c r="H171" s="420"/>
      <c r="I171" s="420"/>
      <c r="J171" s="420"/>
      <c r="K171" s="420"/>
      <c r="L171" s="420"/>
      <c r="M171" s="420"/>
      <c r="N171" s="420"/>
      <c r="O171" s="420"/>
      <c r="P171" s="420"/>
      <c r="Q171" s="420"/>
      <c r="R171" s="420"/>
      <c r="S171" s="420"/>
      <c r="T171" s="510"/>
      <c r="U171" s="639"/>
      <c r="V171" s="416"/>
    </row>
    <row r="172" spans="1:22" x14ac:dyDescent="0.3">
      <c r="A172" s="418"/>
      <c r="B172" s="540"/>
      <c r="C172" s="420"/>
      <c r="D172" s="420"/>
      <c r="E172" s="420"/>
      <c r="F172" s="420"/>
      <c r="G172" s="420"/>
      <c r="H172" s="420"/>
      <c r="I172" s="420"/>
      <c r="J172" s="420"/>
      <c r="K172" s="420"/>
      <c r="L172" s="420"/>
      <c r="M172" s="420"/>
      <c r="N172" s="420"/>
      <c r="O172" s="420"/>
      <c r="P172" s="420"/>
      <c r="Q172" s="420"/>
      <c r="R172" s="420"/>
      <c r="S172" s="420"/>
      <c r="T172" s="510"/>
      <c r="U172" s="639"/>
      <c r="V172" s="416"/>
    </row>
    <row r="173" spans="1:22" s="431" customFormat="1" x14ac:dyDescent="0.3">
      <c r="A173" s="449"/>
      <c r="B173" s="450" t="s">
        <v>58</v>
      </c>
      <c r="C173" s="450"/>
      <c r="D173" s="450"/>
      <c r="E173" s="450"/>
      <c r="F173" s="450"/>
      <c r="G173" s="450"/>
      <c r="H173" s="450"/>
      <c r="I173" s="450"/>
      <c r="J173" s="450"/>
      <c r="K173" s="450"/>
      <c r="L173" s="450"/>
      <c r="M173" s="450"/>
      <c r="N173" s="450"/>
      <c r="O173" s="450"/>
      <c r="P173" s="450"/>
      <c r="Q173" s="450"/>
      <c r="R173" s="450"/>
      <c r="S173" s="450"/>
      <c r="T173" s="515">
        <f>T70</f>
        <v>346251</v>
      </c>
      <c r="U173" s="452"/>
      <c r="V173" s="430"/>
    </row>
    <row r="174" spans="1:22" s="431" customFormat="1" x14ac:dyDescent="0.3">
      <c r="A174" s="449"/>
      <c r="B174" s="450" t="s">
        <v>59</v>
      </c>
      <c r="C174" s="450"/>
      <c r="D174" s="450"/>
      <c r="E174" s="450"/>
      <c r="F174" s="450"/>
      <c r="G174" s="450"/>
      <c r="H174" s="450"/>
      <c r="I174" s="450"/>
      <c r="J174" s="450"/>
      <c r="K174" s="450"/>
      <c r="L174" s="450"/>
      <c r="M174" s="450"/>
      <c r="N174" s="450"/>
      <c r="O174" s="450"/>
      <c r="P174" s="450"/>
      <c r="Q174" s="450"/>
      <c r="R174" s="450"/>
      <c r="S174" s="450"/>
      <c r="T174" s="515">
        <f>T83</f>
        <v>346251</v>
      </c>
      <c r="U174" s="452"/>
      <c r="V174" s="430"/>
    </row>
    <row r="175" spans="1:22" ht="16.2" thickBot="1" x14ac:dyDescent="0.35">
      <c r="A175" s="418"/>
      <c r="B175" s="516"/>
      <c r="C175" s="516"/>
      <c r="D175" s="516"/>
      <c r="E175" s="516"/>
      <c r="F175" s="516"/>
      <c r="G175" s="516"/>
      <c r="H175" s="516"/>
      <c r="I175" s="516"/>
      <c r="J175" s="516"/>
      <c r="K175" s="516"/>
      <c r="L175" s="516"/>
      <c r="M175" s="516"/>
      <c r="N175" s="516"/>
      <c r="O175" s="516"/>
      <c r="P175" s="516"/>
      <c r="Q175" s="516"/>
      <c r="R175" s="516"/>
      <c r="S175" s="516"/>
      <c r="T175" s="544"/>
      <c r="U175" s="639"/>
      <c r="V175" s="416"/>
    </row>
    <row r="176" spans="1:22" x14ac:dyDescent="0.3">
      <c r="A176" s="547"/>
      <c r="B176" s="415"/>
      <c r="C176" s="415"/>
      <c r="D176" s="415"/>
      <c r="E176" s="415"/>
      <c r="F176" s="415"/>
      <c r="G176" s="415"/>
      <c r="H176" s="415"/>
      <c r="I176" s="415"/>
      <c r="J176" s="415"/>
      <c r="K176" s="415"/>
      <c r="L176" s="415"/>
      <c r="M176" s="415"/>
      <c r="N176" s="415"/>
      <c r="O176" s="415"/>
      <c r="P176" s="415"/>
      <c r="Q176" s="415"/>
      <c r="R176" s="415"/>
      <c r="S176" s="415"/>
      <c r="T176" s="548"/>
      <c r="U176" s="638"/>
      <c r="V176" s="416"/>
    </row>
    <row r="177" spans="1:22" x14ac:dyDescent="0.3">
      <c r="A177" s="418"/>
      <c r="B177" s="540" t="s">
        <v>60</v>
      </c>
      <c r="C177" s="549"/>
      <c r="D177" s="549"/>
      <c r="E177" s="549"/>
      <c r="F177" s="549"/>
      <c r="G177" s="549"/>
      <c r="H177" s="550"/>
      <c r="I177" s="550"/>
      <c r="J177" s="550"/>
      <c r="K177" s="550"/>
      <c r="L177" s="550"/>
      <c r="M177" s="550"/>
      <c r="N177" s="550"/>
      <c r="O177" s="550"/>
      <c r="P177" s="550"/>
      <c r="Q177" s="550" t="s">
        <v>104</v>
      </c>
      <c r="R177" s="550" t="s">
        <v>183</v>
      </c>
      <c r="S177" s="422"/>
      <c r="T177" s="551" t="s">
        <v>120</v>
      </c>
      <c r="U177" s="643"/>
      <c r="V177" s="416"/>
    </row>
    <row r="178" spans="1:22" s="431" customFormat="1" x14ac:dyDescent="0.3">
      <c r="A178" s="449"/>
      <c r="B178" s="450" t="s">
        <v>61</v>
      </c>
      <c r="C178" s="450"/>
      <c r="D178" s="450"/>
      <c r="E178" s="450"/>
      <c r="F178" s="450"/>
      <c r="G178" s="450"/>
      <c r="H178" s="450"/>
      <c r="I178" s="450"/>
      <c r="J178" s="450"/>
      <c r="K178" s="450"/>
      <c r="L178" s="450"/>
      <c r="M178" s="450"/>
      <c r="N178" s="450"/>
      <c r="O178" s="450"/>
      <c r="P178" s="450"/>
      <c r="Q178" s="515">
        <v>160008</v>
      </c>
      <c r="R178" s="486"/>
      <c r="S178" s="450"/>
      <c r="T178" s="515"/>
      <c r="U178" s="452"/>
      <c r="V178" s="430"/>
    </row>
    <row r="179" spans="1:22" s="431" customFormat="1" x14ac:dyDescent="0.3">
      <c r="A179" s="449"/>
      <c r="B179" s="450" t="s">
        <v>62</v>
      </c>
      <c r="C179" s="450"/>
      <c r="D179" s="450"/>
      <c r="E179" s="450"/>
      <c r="F179" s="450"/>
      <c r="G179" s="450"/>
      <c r="H179" s="450"/>
      <c r="I179" s="450"/>
      <c r="J179" s="450"/>
      <c r="K179" s="450"/>
      <c r="L179" s="450"/>
      <c r="M179" s="450"/>
      <c r="N179" s="450"/>
      <c r="O179" s="450"/>
      <c r="P179" s="450"/>
      <c r="Q179" s="515">
        <f>+'Mar 20'!Q181</f>
        <v>41034</v>
      </c>
      <c r="R179" s="515">
        <f>+'Mar 20'!R181</f>
        <v>3452</v>
      </c>
      <c r="S179" s="450"/>
      <c r="T179" s="515">
        <f>Q179+R179</f>
        <v>44486</v>
      </c>
      <c r="U179" s="452"/>
      <c r="V179" s="430"/>
    </row>
    <row r="180" spans="1:22" s="431" customFormat="1" x14ac:dyDescent="0.3">
      <c r="A180" s="449"/>
      <c r="B180" s="450" t="s">
        <v>63</v>
      </c>
      <c r="C180" s="450"/>
      <c r="D180" s="450"/>
      <c r="E180" s="450"/>
      <c r="F180" s="450"/>
      <c r="G180" s="450"/>
      <c r="H180" s="450"/>
      <c r="I180" s="450"/>
      <c r="J180" s="450"/>
      <c r="K180" s="450"/>
      <c r="L180" s="450"/>
      <c r="M180" s="450"/>
      <c r="N180" s="450"/>
      <c r="O180" s="450"/>
      <c r="P180" s="450"/>
      <c r="Q180" s="514">
        <v>0</v>
      </c>
      <c r="R180" s="514">
        <v>0</v>
      </c>
      <c r="S180" s="450"/>
      <c r="T180" s="515">
        <f>Q180+R180</f>
        <v>0</v>
      </c>
      <c r="U180" s="452"/>
      <c r="V180" s="430"/>
    </row>
    <row r="181" spans="1:22" s="431" customFormat="1" x14ac:dyDescent="0.3">
      <c r="A181" s="449"/>
      <c r="B181" s="450" t="s">
        <v>64</v>
      </c>
      <c r="C181" s="450"/>
      <c r="D181" s="450"/>
      <c r="E181" s="450"/>
      <c r="F181" s="450"/>
      <c r="G181" s="450"/>
      <c r="H181" s="450"/>
      <c r="I181" s="450"/>
      <c r="J181" s="450"/>
      <c r="K181" s="450"/>
      <c r="L181" s="450"/>
      <c r="M181" s="450"/>
      <c r="N181" s="450"/>
      <c r="O181" s="450"/>
      <c r="P181" s="450"/>
      <c r="Q181" s="515">
        <f>Q179+Q180</f>
        <v>41034</v>
      </c>
      <c r="R181" s="515">
        <f>R180+R179</f>
        <v>3452</v>
      </c>
      <c r="S181" s="450"/>
      <c r="T181" s="515">
        <f>Q181+R181</f>
        <v>44486</v>
      </c>
      <c r="U181" s="452"/>
      <c r="V181" s="430"/>
    </row>
    <row r="182" spans="1:22" s="431" customFormat="1" x14ac:dyDescent="0.3">
      <c r="A182" s="449"/>
      <c r="B182" s="450" t="s">
        <v>65</v>
      </c>
      <c r="C182" s="450"/>
      <c r="D182" s="450"/>
      <c r="E182" s="450"/>
      <c r="F182" s="450"/>
      <c r="G182" s="450"/>
      <c r="H182" s="450"/>
      <c r="I182" s="450"/>
      <c r="J182" s="450"/>
      <c r="K182" s="450"/>
      <c r="L182" s="450"/>
      <c r="M182" s="450"/>
      <c r="N182" s="450"/>
      <c r="O182" s="450"/>
      <c r="P182" s="450"/>
      <c r="Q182" s="515">
        <f>Q178-Q181-R181</f>
        <v>115522</v>
      </c>
      <c r="R182" s="486"/>
      <c r="S182" s="450"/>
      <c r="T182" s="515"/>
      <c r="U182" s="452"/>
      <c r="V182" s="430"/>
    </row>
    <row r="183" spans="1:22" ht="16.2" thickBot="1" x14ac:dyDescent="0.35">
      <c r="A183" s="418"/>
      <c r="B183" s="516"/>
      <c r="C183" s="516"/>
      <c r="D183" s="516"/>
      <c r="E183" s="516"/>
      <c r="F183" s="516"/>
      <c r="G183" s="516"/>
      <c r="H183" s="516"/>
      <c r="I183" s="516"/>
      <c r="J183" s="516"/>
      <c r="K183" s="516"/>
      <c r="L183" s="516"/>
      <c r="M183" s="516"/>
      <c r="N183" s="516"/>
      <c r="O183" s="516"/>
      <c r="P183" s="516"/>
      <c r="Q183" s="516"/>
      <c r="R183" s="516"/>
      <c r="S183" s="516"/>
      <c r="T183" s="544"/>
      <c r="U183" s="639"/>
      <c r="V183" s="416"/>
    </row>
    <row r="184" spans="1:22" x14ac:dyDescent="0.3">
      <c r="A184" s="547"/>
      <c r="B184" s="415"/>
      <c r="C184" s="415"/>
      <c r="D184" s="415"/>
      <c r="E184" s="415"/>
      <c r="F184" s="415"/>
      <c r="G184" s="415"/>
      <c r="H184" s="415"/>
      <c r="I184" s="415"/>
      <c r="J184" s="415"/>
      <c r="K184" s="415"/>
      <c r="L184" s="415"/>
      <c r="M184" s="415"/>
      <c r="N184" s="415"/>
      <c r="O184" s="415"/>
      <c r="P184" s="415"/>
      <c r="Q184" s="415"/>
      <c r="R184" s="415"/>
      <c r="S184" s="415"/>
      <c r="T184" s="548"/>
      <c r="U184" s="638"/>
      <c r="V184" s="416"/>
    </row>
    <row r="185" spans="1:22" x14ac:dyDescent="0.3">
      <c r="A185" s="418"/>
      <c r="B185" s="540" t="s">
        <v>66</v>
      </c>
      <c r="C185" s="420"/>
      <c r="D185" s="420"/>
      <c r="E185" s="420"/>
      <c r="F185" s="420"/>
      <c r="G185" s="420"/>
      <c r="H185" s="420"/>
      <c r="I185" s="420"/>
      <c r="J185" s="420"/>
      <c r="K185" s="420"/>
      <c r="L185" s="420"/>
      <c r="M185" s="420"/>
      <c r="N185" s="420"/>
      <c r="O185" s="420"/>
      <c r="P185" s="420"/>
      <c r="Q185" s="420"/>
      <c r="R185" s="420"/>
      <c r="S185" s="420"/>
      <c r="T185" s="552"/>
      <c r="U185" s="639"/>
      <c r="V185" s="416"/>
    </row>
    <row r="186" spans="1:22" s="431" customFormat="1" x14ac:dyDescent="0.3">
      <c r="A186" s="449"/>
      <c r="B186" s="450" t="s">
        <v>67</v>
      </c>
      <c r="C186" s="450"/>
      <c r="D186" s="450"/>
      <c r="E186" s="450"/>
      <c r="F186" s="450"/>
      <c r="G186" s="450"/>
      <c r="H186" s="450"/>
      <c r="I186" s="450"/>
      <c r="J186" s="450"/>
      <c r="K186" s="450"/>
      <c r="L186" s="450"/>
      <c r="M186" s="450"/>
      <c r="N186" s="450"/>
      <c r="O186" s="450"/>
      <c r="P186" s="450"/>
      <c r="Q186" s="450"/>
      <c r="R186" s="450"/>
      <c r="S186" s="450"/>
      <c r="T186" s="545">
        <f>(T99+T101+T102+T103+T104)/-(T105+T106)</f>
        <v>3.6030534351145036</v>
      </c>
      <c r="U186" s="452" t="s">
        <v>121</v>
      </c>
      <c r="V186" s="430"/>
    </row>
    <row r="187" spans="1:22" s="431" customFormat="1" x14ac:dyDescent="0.3">
      <c r="A187" s="449"/>
      <c r="B187" s="450" t="s">
        <v>68</v>
      </c>
      <c r="C187" s="450"/>
      <c r="D187" s="450"/>
      <c r="E187" s="450"/>
      <c r="F187" s="450"/>
      <c r="G187" s="450"/>
      <c r="H187" s="450"/>
      <c r="I187" s="450"/>
      <c r="J187" s="450"/>
      <c r="K187" s="450"/>
      <c r="L187" s="450"/>
      <c r="M187" s="450"/>
      <c r="N187" s="450"/>
      <c r="O187" s="450"/>
      <c r="P187" s="450"/>
      <c r="Q187" s="450"/>
      <c r="R187" s="450"/>
      <c r="S187" s="450"/>
      <c r="T187" s="553">
        <v>1.99</v>
      </c>
      <c r="U187" s="452" t="s">
        <v>121</v>
      </c>
      <c r="V187" s="430"/>
    </row>
    <row r="188" spans="1:22" s="431" customFormat="1" x14ac:dyDescent="0.3">
      <c r="A188" s="449"/>
      <c r="B188" s="450" t="s">
        <v>69</v>
      </c>
      <c r="C188" s="450"/>
      <c r="D188" s="450"/>
      <c r="E188" s="450"/>
      <c r="F188" s="450"/>
      <c r="G188" s="450"/>
      <c r="H188" s="450"/>
      <c r="I188" s="450"/>
      <c r="J188" s="450"/>
      <c r="K188" s="450"/>
      <c r="L188" s="450"/>
      <c r="M188" s="450"/>
      <c r="N188" s="450"/>
      <c r="O188" s="450"/>
      <c r="P188" s="450"/>
      <c r="Q188" s="450"/>
      <c r="R188" s="450"/>
      <c r="S188" s="450"/>
      <c r="T188" s="545">
        <f>(T99+T101+T102+T103+T104+T105+T106)/-(T107+T108)</f>
        <v>9.1543624161073822</v>
      </c>
      <c r="U188" s="452" t="s">
        <v>121</v>
      </c>
      <c r="V188" s="430"/>
    </row>
    <row r="189" spans="1:22" s="431" customFormat="1" x14ac:dyDescent="0.3">
      <c r="A189" s="449"/>
      <c r="B189" s="450" t="s">
        <v>70</v>
      </c>
      <c r="C189" s="450"/>
      <c r="D189" s="450"/>
      <c r="E189" s="450"/>
      <c r="F189" s="450"/>
      <c r="G189" s="450"/>
      <c r="H189" s="450"/>
      <c r="I189" s="450"/>
      <c r="J189" s="450"/>
      <c r="K189" s="450"/>
      <c r="L189" s="450"/>
      <c r="M189" s="450"/>
      <c r="N189" s="450"/>
      <c r="O189" s="450"/>
      <c r="P189" s="450"/>
      <c r="Q189" s="450"/>
      <c r="R189" s="450"/>
      <c r="S189" s="450"/>
      <c r="T189" s="553">
        <v>7.3</v>
      </c>
      <c r="U189" s="452" t="s">
        <v>121</v>
      </c>
      <c r="V189" s="430"/>
    </row>
    <row r="190" spans="1:22" s="431" customFormat="1" x14ac:dyDescent="0.3">
      <c r="A190" s="449"/>
      <c r="B190" s="450" t="s">
        <v>206</v>
      </c>
      <c r="C190" s="450"/>
      <c r="D190" s="450"/>
      <c r="E190" s="450"/>
      <c r="F190" s="450"/>
      <c r="G190" s="450"/>
      <c r="H190" s="450"/>
      <c r="I190" s="450"/>
      <c r="J190" s="450"/>
      <c r="K190" s="450"/>
      <c r="L190" s="450"/>
      <c r="M190" s="450"/>
      <c r="N190" s="450"/>
      <c r="O190" s="450"/>
      <c r="P190" s="450"/>
      <c r="Q190" s="450"/>
      <c r="R190" s="450"/>
      <c r="S190" s="450"/>
      <c r="T190" s="545">
        <f>(T99+T101+T102+T103+T104+T105+T106+T107+T108)/-(T109)</f>
        <v>6.9827586206896548</v>
      </c>
      <c r="U190" s="452" t="s">
        <v>121</v>
      </c>
      <c r="V190" s="430"/>
    </row>
    <row r="191" spans="1:22" s="431" customFormat="1" x14ac:dyDescent="0.3">
      <c r="A191" s="449"/>
      <c r="B191" s="450" t="s">
        <v>207</v>
      </c>
      <c r="C191" s="450"/>
      <c r="D191" s="450"/>
      <c r="E191" s="450"/>
      <c r="F191" s="450"/>
      <c r="G191" s="450"/>
      <c r="H191" s="450"/>
      <c r="I191" s="450"/>
      <c r="J191" s="450"/>
      <c r="K191" s="450"/>
      <c r="L191" s="450"/>
      <c r="M191" s="450"/>
      <c r="N191" s="450"/>
      <c r="O191" s="450"/>
      <c r="P191" s="450"/>
      <c r="Q191" s="450"/>
      <c r="R191" s="450"/>
      <c r="S191" s="450"/>
      <c r="T191" s="553">
        <v>6.44</v>
      </c>
      <c r="U191" s="452" t="s">
        <v>121</v>
      </c>
      <c r="V191" s="430"/>
    </row>
    <row r="192" spans="1:22" x14ac:dyDescent="0.3">
      <c r="A192" s="468"/>
      <c r="B192" s="470"/>
      <c r="C192" s="470"/>
      <c r="D192" s="470"/>
      <c r="E192" s="470"/>
      <c r="F192" s="470"/>
      <c r="G192" s="470"/>
      <c r="H192" s="470"/>
      <c r="I192" s="470"/>
      <c r="J192" s="470"/>
      <c r="K192" s="470"/>
      <c r="L192" s="470"/>
      <c r="M192" s="470"/>
      <c r="N192" s="470"/>
      <c r="O192" s="470"/>
      <c r="P192" s="470"/>
      <c r="Q192" s="470"/>
      <c r="R192" s="470"/>
      <c r="S192" s="470"/>
      <c r="T192" s="470"/>
      <c r="U192" s="476"/>
      <c r="V192" s="416"/>
    </row>
    <row r="193" spans="1:22" x14ac:dyDescent="0.3">
      <c r="A193" s="418"/>
      <c r="B193" s="516"/>
      <c r="C193" s="516"/>
      <c r="D193" s="516"/>
      <c r="E193" s="516"/>
      <c r="F193" s="516"/>
      <c r="G193" s="516"/>
      <c r="H193" s="516"/>
      <c r="I193" s="516"/>
      <c r="J193" s="516"/>
      <c r="K193" s="516"/>
      <c r="L193" s="516"/>
      <c r="M193" s="516"/>
      <c r="N193" s="516"/>
      <c r="O193" s="516"/>
      <c r="P193" s="516"/>
      <c r="Q193" s="516"/>
      <c r="R193" s="516"/>
      <c r="S193" s="516"/>
      <c r="T193" s="516"/>
      <c r="U193" s="639"/>
      <c r="V193" s="416"/>
    </row>
    <row r="194" spans="1:22" x14ac:dyDescent="0.3">
      <c r="A194" s="418"/>
      <c r="B194" s="420"/>
      <c r="C194" s="420"/>
      <c r="D194" s="420"/>
      <c r="E194" s="420"/>
      <c r="F194" s="420"/>
      <c r="G194" s="420"/>
      <c r="H194" s="420"/>
      <c r="I194" s="420"/>
      <c r="J194" s="420"/>
      <c r="K194" s="420"/>
      <c r="L194" s="420"/>
      <c r="M194" s="420"/>
      <c r="N194" s="420"/>
      <c r="O194" s="420"/>
      <c r="P194" s="420"/>
      <c r="Q194" s="420"/>
      <c r="R194" s="420"/>
      <c r="S194" s="420"/>
      <c r="T194" s="420"/>
      <c r="U194" s="639"/>
      <c r="V194" s="416"/>
    </row>
    <row r="195" spans="1:22" ht="18.600000000000001" thickBot="1" x14ac:dyDescent="0.4">
      <c r="A195" s="554"/>
      <c r="B195" s="501" t="str">
        <f>B135</f>
        <v>PM11 INVESTOR REPORT QUARTER ENDING JUNE 2020</v>
      </c>
      <c r="C195" s="555"/>
      <c r="D195" s="555"/>
      <c r="E195" s="555"/>
      <c r="F195" s="555"/>
      <c r="G195" s="555"/>
      <c r="H195" s="555"/>
      <c r="I195" s="555"/>
      <c r="J195" s="555"/>
      <c r="K195" s="555"/>
      <c r="L195" s="555"/>
      <c r="M195" s="555"/>
      <c r="N195" s="555"/>
      <c r="O195" s="555"/>
      <c r="P195" s="555"/>
      <c r="Q195" s="555"/>
      <c r="R195" s="555"/>
      <c r="S195" s="555"/>
      <c r="T195" s="555"/>
      <c r="U195" s="556"/>
      <c r="V195" s="416"/>
    </row>
    <row r="196" spans="1:22" x14ac:dyDescent="0.3">
      <c r="A196" s="505"/>
      <c r="B196" s="506" t="s">
        <v>71</v>
      </c>
      <c r="C196" s="627"/>
      <c r="D196" s="627"/>
      <c r="E196" s="627"/>
      <c r="F196" s="627"/>
      <c r="G196" s="628"/>
      <c r="H196" s="628"/>
      <c r="I196" s="628"/>
      <c r="J196" s="628"/>
      <c r="K196" s="628"/>
      <c r="L196" s="628"/>
      <c r="M196" s="628"/>
      <c r="N196" s="628"/>
      <c r="O196" s="628"/>
      <c r="P196" s="628"/>
      <c r="Q196" s="628"/>
      <c r="R196" s="629">
        <v>44012</v>
      </c>
      <c r="S196" s="507"/>
      <c r="T196" s="507"/>
      <c r="U196" s="509"/>
      <c r="V196" s="416"/>
    </row>
    <row r="197" spans="1:22" x14ac:dyDescent="0.3">
      <c r="A197" s="557"/>
      <c r="B197" s="558"/>
      <c r="C197" s="559"/>
      <c r="D197" s="559"/>
      <c r="E197" s="559"/>
      <c r="F197" s="559"/>
      <c r="G197" s="560"/>
      <c r="H197" s="560"/>
      <c r="I197" s="560"/>
      <c r="J197" s="560"/>
      <c r="K197" s="560"/>
      <c r="L197" s="560"/>
      <c r="M197" s="560"/>
      <c r="N197" s="560"/>
      <c r="O197" s="560"/>
      <c r="P197" s="560"/>
      <c r="Q197" s="560"/>
      <c r="R197" s="560"/>
      <c r="S197" s="420"/>
      <c r="T197" s="420"/>
      <c r="U197" s="639"/>
      <c r="V197" s="416"/>
    </row>
    <row r="198" spans="1:22" s="431" customFormat="1" x14ac:dyDescent="0.3">
      <c r="A198" s="449"/>
      <c r="B198" s="450" t="s">
        <v>72</v>
      </c>
      <c r="C198" s="561"/>
      <c r="D198" s="561"/>
      <c r="E198" s="561"/>
      <c r="F198" s="561"/>
      <c r="G198" s="490"/>
      <c r="H198" s="490"/>
      <c r="I198" s="490"/>
      <c r="J198" s="490"/>
      <c r="K198" s="490"/>
      <c r="L198" s="490"/>
      <c r="M198" s="490"/>
      <c r="N198" s="490"/>
      <c r="O198" s="490"/>
      <c r="P198" s="490"/>
      <c r="Q198" s="490"/>
      <c r="R198" s="483">
        <v>5.1569999999999998E-2</v>
      </c>
      <c r="S198" s="450"/>
      <c r="T198" s="450"/>
      <c r="U198" s="452"/>
      <c r="V198" s="430"/>
    </row>
    <row r="199" spans="1:22" s="431" customFormat="1" x14ac:dyDescent="0.3">
      <c r="A199" s="449"/>
      <c r="B199" s="450" t="s">
        <v>157</v>
      </c>
      <c r="C199" s="561"/>
      <c r="D199" s="561"/>
      <c r="E199" s="561"/>
      <c r="F199" s="561"/>
      <c r="G199" s="490"/>
      <c r="H199" s="490"/>
      <c r="I199" s="490"/>
      <c r="J199" s="490"/>
      <c r="K199" s="490"/>
      <c r="L199" s="490"/>
      <c r="M199" s="490"/>
      <c r="N199" s="490"/>
      <c r="O199" s="490"/>
      <c r="P199" s="490"/>
      <c r="Q199" s="490"/>
      <c r="R199" s="483">
        <v>4.6899999999999997E-2</v>
      </c>
      <c r="S199" s="450"/>
      <c r="T199" s="450"/>
      <c r="U199" s="452"/>
      <c r="V199" s="430"/>
    </row>
    <row r="200" spans="1:22" s="431" customFormat="1" x14ac:dyDescent="0.3">
      <c r="A200" s="449"/>
      <c r="B200" s="450" t="s">
        <v>73</v>
      </c>
      <c r="C200" s="561"/>
      <c r="D200" s="561"/>
      <c r="E200" s="561"/>
      <c r="F200" s="561"/>
      <c r="G200" s="490"/>
      <c r="H200" s="490"/>
      <c r="I200" s="490"/>
      <c r="J200" s="490"/>
      <c r="K200" s="490"/>
      <c r="L200" s="490"/>
      <c r="M200" s="490"/>
      <c r="N200" s="490"/>
      <c r="O200" s="490"/>
      <c r="P200" s="490"/>
      <c r="Q200" s="490"/>
      <c r="R200" s="483">
        <f>R198-R199</f>
        <v>4.6700000000000005E-3</v>
      </c>
      <c r="S200" s="450"/>
      <c r="T200" s="450"/>
      <c r="U200" s="452"/>
      <c r="V200" s="430"/>
    </row>
    <row r="201" spans="1:22" s="431" customFormat="1" x14ac:dyDescent="0.3">
      <c r="A201" s="449"/>
      <c r="B201" s="450" t="s">
        <v>74</v>
      </c>
      <c r="C201" s="561"/>
      <c r="D201" s="561"/>
      <c r="E201" s="561"/>
      <c r="F201" s="561"/>
      <c r="G201" s="490"/>
      <c r="H201" s="490"/>
      <c r="I201" s="490"/>
      <c r="J201" s="490"/>
      <c r="K201" s="490"/>
      <c r="L201" s="490"/>
      <c r="M201" s="490"/>
      <c r="N201" s="490"/>
      <c r="O201" s="490"/>
      <c r="P201" s="490"/>
      <c r="Q201" s="490"/>
      <c r="R201" s="483">
        <v>2.181E-2</v>
      </c>
      <c r="S201" s="450"/>
      <c r="T201" s="450"/>
      <c r="U201" s="452"/>
      <c r="V201" s="430"/>
    </row>
    <row r="202" spans="1:22" s="431" customFormat="1" x14ac:dyDescent="0.3">
      <c r="A202" s="449"/>
      <c r="B202" s="450" t="s">
        <v>257</v>
      </c>
      <c r="C202" s="561"/>
      <c r="D202" s="561"/>
      <c r="E202" s="561"/>
      <c r="F202" s="561"/>
      <c r="G202" s="490"/>
      <c r="H202" s="490"/>
      <c r="I202" s="490"/>
      <c r="J202" s="490"/>
      <c r="K202" s="490"/>
      <c r="L202" s="490"/>
      <c r="M202" s="490"/>
      <c r="N202" s="490"/>
      <c r="O202" s="490"/>
      <c r="P202" s="490"/>
      <c r="Q202" s="490"/>
      <c r="R202" s="483">
        <f>T43</f>
        <v>9.6815744172907454E-3</v>
      </c>
      <c r="S202" s="450"/>
      <c r="T202" s="450"/>
      <c r="U202" s="452"/>
      <c r="V202" s="430"/>
    </row>
    <row r="203" spans="1:22" s="431" customFormat="1" x14ac:dyDescent="0.3">
      <c r="A203" s="449"/>
      <c r="B203" s="450" t="s">
        <v>75</v>
      </c>
      <c r="C203" s="561"/>
      <c r="D203" s="561"/>
      <c r="E203" s="561"/>
      <c r="F203" s="561"/>
      <c r="G203" s="490"/>
      <c r="H203" s="490"/>
      <c r="I203" s="490"/>
      <c r="J203" s="490"/>
      <c r="K203" s="490"/>
      <c r="L203" s="490"/>
      <c r="M203" s="490"/>
      <c r="N203" s="490"/>
      <c r="O203" s="490"/>
      <c r="P203" s="490"/>
      <c r="Q203" s="490"/>
      <c r="R203" s="483">
        <f>R201-R202</f>
        <v>1.2128425582709254E-2</v>
      </c>
      <c r="S203" s="450"/>
      <c r="T203" s="450"/>
      <c r="U203" s="452"/>
      <c r="V203" s="430"/>
    </row>
    <row r="204" spans="1:22" s="431" customFormat="1" x14ac:dyDescent="0.3">
      <c r="A204" s="449"/>
      <c r="B204" s="450" t="s">
        <v>260</v>
      </c>
      <c r="C204" s="561"/>
      <c r="D204" s="561"/>
      <c r="E204" s="561"/>
      <c r="F204" s="561"/>
      <c r="G204" s="490"/>
      <c r="H204" s="490"/>
      <c r="I204" s="490"/>
      <c r="J204" s="490"/>
      <c r="K204" s="490"/>
      <c r="L204" s="490"/>
      <c r="M204" s="490"/>
      <c r="N204" s="490"/>
      <c r="O204" s="490"/>
      <c r="P204" s="490"/>
      <c r="Q204" s="490"/>
      <c r="R204" s="483">
        <f>+T99/L70</f>
        <v>5.8528356618348957E-3</v>
      </c>
      <c r="S204" s="450"/>
      <c r="T204" s="450"/>
      <c r="U204" s="452"/>
      <c r="V204" s="430"/>
    </row>
    <row r="205" spans="1:22" s="431" customFormat="1" x14ac:dyDescent="0.3">
      <c r="A205" s="449"/>
      <c r="B205" s="450" t="s">
        <v>217</v>
      </c>
      <c r="C205" s="561"/>
      <c r="D205" s="561"/>
      <c r="E205" s="561"/>
      <c r="F205" s="561"/>
      <c r="G205" s="490"/>
      <c r="H205" s="490"/>
      <c r="I205" s="490"/>
      <c r="J205" s="490"/>
      <c r="K205" s="490"/>
      <c r="L205" s="490"/>
      <c r="M205" s="490"/>
      <c r="N205" s="490"/>
      <c r="O205" s="490"/>
      <c r="P205" s="490"/>
      <c r="Q205" s="490"/>
      <c r="R205" s="562">
        <v>15250</v>
      </c>
      <c r="S205" s="450"/>
      <c r="T205" s="450"/>
      <c r="U205" s="452"/>
      <c r="V205" s="430"/>
    </row>
    <row r="206" spans="1:22" s="431" customFormat="1" x14ac:dyDescent="0.3">
      <c r="A206" s="449"/>
      <c r="B206" s="450" t="s">
        <v>218</v>
      </c>
      <c r="C206" s="561"/>
      <c r="D206" s="561"/>
      <c r="E206" s="561"/>
      <c r="F206" s="561"/>
      <c r="G206" s="490"/>
      <c r="H206" s="490"/>
      <c r="I206" s="490"/>
      <c r="J206" s="490"/>
      <c r="K206" s="490"/>
      <c r="L206" s="490"/>
      <c r="M206" s="490"/>
      <c r="N206" s="490"/>
      <c r="O206" s="490"/>
      <c r="P206" s="490"/>
      <c r="Q206" s="490"/>
      <c r="R206" s="562">
        <v>15250</v>
      </c>
      <c r="S206" s="450"/>
      <c r="T206" s="450"/>
      <c r="U206" s="452"/>
      <c r="V206" s="430"/>
    </row>
    <row r="207" spans="1:22" s="431" customFormat="1" x14ac:dyDescent="0.3">
      <c r="A207" s="449"/>
      <c r="B207" s="450" t="s">
        <v>219</v>
      </c>
      <c r="C207" s="561"/>
      <c r="D207" s="561"/>
      <c r="E207" s="561"/>
      <c r="F207" s="561"/>
      <c r="G207" s="490"/>
      <c r="H207" s="490"/>
      <c r="I207" s="490"/>
      <c r="J207" s="490"/>
      <c r="K207" s="490"/>
      <c r="L207" s="490"/>
      <c r="M207" s="490"/>
      <c r="N207" s="490"/>
      <c r="O207" s="490"/>
      <c r="P207" s="490"/>
      <c r="Q207" s="490"/>
      <c r="R207" s="562">
        <v>15250</v>
      </c>
      <c r="S207" s="450"/>
      <c r="T207" s="450"/>
      <c r="U207" s="452"/>
      <c r="V207" s="430"/>
    </row>
    <row r="208" spans="1:22" s="431" customFormat="1" x14ac:dyDescent="0.3">
      <c r="A208" s="449"/>
      <c r="B208" s="450" t="s">
        <v>76</v>
      </c>
      <c r="C208" s="561"/>
      <c r="D208" s="561"/>
      <c r="E208" s="561"/>
      <c r="F208" s="561"/>
      <c r="G208" s="490"/>
      <c r="H208" s="490"/>
      <c r="I208" s="490"/>
      <c r="J208" s="490"/>
      <c r="K208" s="490"/>
      <c r="L208" s="490"/>
      <c r="M208" s="490"/>
      <c r="N208" s="490"/>
      <c r="O208" s="490"/>
      <c r="P208" s="490"/>
      <c r="Q208" s="490"/>
      <c r="R208" s="488">
        <v>21.18</v>
      </c>
      <c r="S208" s="450" t="s">
        <v>116</v>
      </c>
      <c r="T208" s="450"/>
      <c r="U208" s="452"/>
      <c r="V208" s="430"/>
    </row>
    <row r="209" spans="1:22" s="431" customFormat="1" x14ac:dyDescent="0.3">
      <c r="A209" s="449"/>
      <c r="B209" s="450" t="s">
        <v>77</v>
      </c>
      <c r="C209" s="561"/>
      <c r="D209" s="561"/>
      <c r="E209" s="561"/>
      <c r="F209" s="561"/>
      <c r="G209" s="490"/>
      <c r="H209" s="490"/>
      <c r="I209" s="490"/>
      <c r="J209" s="490"/>
      <c r="K209" s="490"/>
      <c r="L209" s="490"/>
      <c r="M209" s="490"/>
      <c r="N209" s="490"/>
      <c r="O209" s="490"/>
      <c r="P209" s="490"/>
      <c r="Q209" s="490"/>
      <c r="R209" s="488">
        <v>7.99</v>
      </c>
      <c r="S209" s="450" t="s">
        <v>116</v>
      </c>
      <c r="T209" s="450"/>
      <c r="U209" s="452"/>
      <c r="V209" s="430"/>
    </row>
    <row r="210" spans="1:22" s="431" customFormat="1" x14ac:dyDescent="0.3">
      <c r="A210" s="449"/>
      <c r="B210" s="450" t="s">
        <v>78</v>
      </c>
      <c r="C210" s="561"/>
      <c r="D210" s="561"/>
      <c r="E210" s="561"/>
      <c r="F210" s="561"/>
      <c r="G210" s="490"/>
      <c r="H210" s="490"/>
      <c r="I210" s="490"/>
      <c r="J210" s="490"/>
      <c r="K210" s="490"/>
      <c r="L210" s="490"/>
      <c r="M210" s="490"/>
      <c r="N210" s="490"/>
      <c r="O210" s="490"/>
      <c r="P210" s="490"/>
      <c r="Q210" s="490"/>
      <c r="R210" s="483">
        <f>N67/L67</f>
        <v>1.3364069743917068E-2</v>
      </c>
      <c r="S210" s="450"/>
      <c r="T210" s="450"/>
      <c r="U210" s="452"/>
      <c r="V210" s="430"/>
    </row>
    <row r="211" spans="1:22" s="431" customFormat="1" x14ac:dyDescent="0.3">
      <c r="A211" s="449"/>
      <c r="B211" s="450" t="s">
        <v>79</v>
      </c>
      <c r="C211" s="561"/>
      <c r="D211" s="561"/>
      <c r="E211" s="561"/>
      <c r="F211" s="561"/>
      <c r="G211" s="490"/>
      <c r="H211" s="490"/>
      <c r="I211" s="490"/>
      <c r="J211" s="490"/>
      <c r="K211" s="490"/>
      <c r="L211" s="490"/>
      <c r="M211" s="490"/>
      <c r="N211" s="490"/>
      <c r="O211" s="490"/>
      <c r="P211" s="490"/>
      <c r="Q211" s="490"/>
      <c r="R211" s="483">
        <v>7.5300000000000006E-2</v>
      </c>
      <c r="S211" s="450"/>
      <c r="T211" s="450"/>
      <c r="U211" s="452"/>
      <c r="V211" s="430"/>
    </row>
    <row r="212" spans="1:22" x14ac:dyDescent="0.3">
      <c r="A212" s="557"/>
      <c r="B212" s="563"/>
      <c r="C212" s="563"/>
      <c r="D212" s="563"/>
      <c r="E212" s="563"/>
      <c r="F212" s="563"/>
      <c r="G212" s="516"/>
      <c r="H212" s="516"/>
      <c r="I212" s="516"/>
      <c r="J212" s="516"/>
      <c r="K212" s="516"/>
      <c r="L212" s="516"/>
      <c r="M212" s="516"/>
      <c r="N212" s="516"/>
      <c r="O212" s="516"/>
      <c r="P212" s="516"/>
      <c r="Q212" s="516"/>
      <c r="R212" s="544"/>
      <c r="S212" s="516"/>
      <c r="T212" s="564"/>
      <c r="U212" s="639"/>
      <c r="V212" s="416"/>
    </row>
    <row r="213" spans="1:22" x14ac:dyDescent="0.3">
      <c r="A213" s="565"/>
      <c r="B213" s="521" t="s">
        <v>80</v>
      </c>
      <c r="C213" s="522"/>
      <c r="D213" s="522"/>
      <c r="E213" s="522"/>
      <c r="F213" s="566"/>
      <c r="G213" s="522"/>
      <c r="H213" s="522"/>
      <c r="I213" s="522"/>
      <c r="J213" s="522"/>
      <c r="K213" s="522"/>
      <c r="L213" s="522"/>
      <c r="M213" s="522"/>
      <c r="N213" s="522"/>
      <c r="O213" s="522"/>
      <c r="P213" s="522"/>
      <c r="Q213" s="522" t="s">
        <v>105</v>
      </c>
      <c r="R213" s="566" t="s">
        <v>112</v>
      </c>
      <c r="S213" s="443"/>
      <c r="T213" s="443"/>
      <c r="U213" s="446"/>
      <c r="V213" s="416"/>
    </row>
    <row r="214" spans="1:22" s="431" customFormat="1" x14ac:dyDescent="0.3">
      <c r="A214" s="567"/>
      <c r="B214" s="447" t="s">
        <v>81</v>
      </c>
      <c r="C214" s="525"/>
      <c r="D214" s="525"/>
      <c r="E214" s="525"/>
      <c r="F214" s="447"/>
      <c r="G214" s="447"/>
      <c r="H214" s="568"/>
      <c r="I214" s="568"/>
      <c r="J214" s="568"/>
      <c r="K214" s="568"/>
      <c r="L214" s="568"/>
      <c r="M214" s="568"/>
      <c r="N214" s="568"/>
      <c r="O214" s="568"/>
      <c r="P214" s="568"/>
      <c r="Q214" s="568">
        <v>0</v>
      </c>
      <c r="R214" s="569">
        <v>0</v>
      </c>
      <c r="S214" s="447"/>
      <c r="T214" s="570"/>
      <c r="U214" s="644"/>
      <c r="V214" s="430"/>
    </row>
    <row r="215" spans="1:22" s="431" customFormat="1" x14ac:dyDescent="0.3">
      <c r="A215" s="571"/>
      <c r="B215" s="450" t="s">
        <v>151</v>
      </c>
      <c r="C215" s="514"/>
      <c r="D215" s="514"/>
      <c r="E215" s="514"/>
      <c r="F215" s="450"/>
      <c r="G215" s="450"/>
      <c r="H215" s="456"/>
      <c r="I215" s="456"/>
      <c r="J215" s="456"/>
      <c r="K215" s="456"/>
      <c r="L215" s="456"/>
      <c r="M215" s="456"/>
      <c r="N215" s="456"/>
      <c r="O215" s="456"/>
      <c r="P215" s="456"/>
      <c r="Q215" s="572">
        <f>+P267</f>
        <v>24</v>
      </c>
      <c r="R215" s="573">
        <f>+R267</f>
        <v>3602</v>
      </c>
      <c r="S215" s="450"/>
      <c r="T215" s="574"/>
      <c r="U215" s="575"/>
      <c r="V215" s="430"/>
    </row>
    <row r="216" spans="1:22" s="431" customFormat="1" x14ac:dyDescent="0.3">
      <c r="A216" s="571"/>
      <c r="B216" s="450" t="s">
        <v>82</v>
      </c>
      <c r="C216" s="514"/>
      <c r="D216" s="514"/>
      <c r="E216" s="514"/>
      <c r="F216" s="450"/>
      <c r="G216" s="450"/>
      <c r="H216" s="456"/>
      <c r="I216" s="456"/>
      <c r="J216" s="456"/>
      <c r="K216" s="456"/>
      <c r="L216" s="456"/>
      <c r="M216" s="456"/>
      <c r="N216" s="456"/>
      <c r="O216" s="456"/>
      <c r="P216" s="456"/>
      <c r="Q216" s="572">
        <f>+P289</f>
        <v>0</v>
      </c>
      <c r="R216" s="573">
        <f>+R289</f>
        <v>0</v>
      </c>
      <c r="S216" s="450"/>
      <c r="T216" s="574"/>
      <c r="U216" s="575"/>
      <c r="V216" s="430"/>
    </row>
    <row r="217" spans="1:22" x14ac:dyDescent="0.3">
      <c r="A217" s="576"/>
      <c r="B217" s="577" t="s">
        <v>83</v>
      </c>
      <c r="C217" s="578"/>
      <c r="D217" s="578"/>
      <c r="E217" s="578"/>
      <c r="F217" s="470"/>
      <c r="G217" s="470"/>
      <c r="H217" s="470"/>
      <c r="I217" s="470"/>
      <c r="J217" s="470"/>
      <c r="K217" s="470"/>
      <c r="L217" s="470"/>
      <c r="M217" s="470"/>
      <c r="N217" s="470"/>
      <c r="O217" s="470"/>
      <c r="P217" s="470"/>
      <c r="Q217" s="541"/>
      <c r="R217" s="579">
        <v>0</v>
      </c>
      <c r="S217" s="470"/>
      <c r="T217" s="580"/>
      <c r="U217" s="581"/>
      <c r="V217" s="416"/>
    </row>
    <row r="218" spans="1:22" x14ac:dyDescent="0.3">
      <c r="A218" s="576"/>
      <c r="B218" s="577" t="s">
        <v>84</v>
      </c>
      <c r="C218" s="578"/>
      <c r="D218" s="578"/>
      <c r="E218" s="578"/>
      <c r="F218" s="470"/>
      <c r="G218" s="470"/>
      <c r="H218" s="470"/>
      <c r="I218" s="470"/>
      <c r="J218" s="470"/>
      <c r="K218" s="470"/>
      <c r="L218" s="470"/>
      <c r="M218" s="470"/>
      <c r="N218" s="470"/>
      <c r="O218" s="470"/>
      <c r="P218" s="470"/>
      <c r="Q218" s="450"/>
      <c r="R218" s="582" t="s">
        <v>113</v>
      </c>
      <c r="S218" s="470"/>
      <c r="T218" s="580"/>
      <c r="U218" s="581"/>
      <c r="V218" s="416"/>
    </row>
    <row r="219" spans="1:22" x14ac:dyDescent="0.3">
      <c r="A219" s="583"/>
      <c r="B219" s="577" t="s">
        <v>85</v>
      </c>
      <c r="C219" s="584"/>
      <c r="D219" s="584"/>
      <c r="E219" s="584"/>
      <c r="F219" s="584"/>
      <c r="G219" s="470"/>
      <c r="H219" s="470"/>
      <c r="I219" s="470"/>
      <c r="J219" s="470"/>
      <c r="K219" s="470"/>
      <c r="L219" s="470"/>
      <c r="M219" s="470"/>
      <c r="N219" s="470"/>
      <c r="O219" s="470"/>
      <c r="P219" s="470"/>
      <c r="Q219" s="450"/>
      <c r="R219" s="573"/>
      <c r="S219" s="470"/>
      <c r="T219" s="580"/>
      <c r="U219" s="585"/>
      <c r="V219" s="416"/>
    </row>
    <row r="220" spans="1:22" s="431" customFormat="1" x14ac:dyDescent="0.3">
      <c r="A220" s="586"/>
      <c r="B220" s="450" t="s">
        <v>86</v>
      </c>
      <c r="C220" s="450"/>
      <c r="D220" s="450"/>
      <c r="E220" s="450"/>
      <c r="F220" s="450"/>
      <c r="G220" s="450"/>
      <c r="H220" s="450"/>
      <c r="I220" s="450"/>
      <c r="J220" s="450"/>
      <c r="K220" s="450"/>
      <c r="L220" s="450"/>
      <c r="M220" s="450"/>
      <c r="N220" s="450"/>
      <c r="O220" s="450"/>
      <c r="P220" s="450"/>
      <c r="Q220" s="456"/>
      <c r="R220" s="573">
        <f>T164</f>
        <v>-1</v>
      </c>
      <c r="S220" s="450"/>
      <c r="T220" s="574"/>
      <c r="U220" s="587"/>
      <c r="V220" s="430"/>
    </row>
    <row r="221" spans="1:22" s="431" customFormat="1" x14ac:dyDescent="0.3">
      <c r="A221" s="571"/>
      <c r="B221" s="450" t="s">
        <v>87</v>
      </c>
      <c r="C221" s="514"/>
      <c r="D221" s="514"/>
      <c r="E221" s="514"/>
      <c r="F221" s="514"/>
      <c r="G221" s="450"/>
      <c r="H221" s="450"/>
      <c r="I221" s="450"/>
      <c r="J221" s="450"/>
      <c r="K221" s="450"/>
      <c r="L221" s="450"/>
      <c r="M221" s="450"/>
      <c r="N221" s="450"/>
      <c r="O221" s="450"/>
      <c r="P221" s="450"/>
      <c r="Q221" s="456"/>
      <c r="R221" s="573">
        <f>'Mar 20'!R221+R220</f>
        <v>7987</v>
      </c>
      <c r="S221" s="450"/>
      <c r="T221" s="574"/>
      <c r="U221" s="587"/>
      <c r="V221" s="430"/>
    </row>
    <row r="222" spans="1:22" x14ac:dyDescent="0.3">
      <c r="A222" s="583"/>
      <c r="B222" s="577" t="s">
        <v>282</v>
      </c>
      <c r="C222" s="584"/>
      <c r="D222" s="584"/>
      <c r="E222" s="584"/>
      <c r="F222" s="584"/>
      <c r="G222" s="470"/>
      <c r="H222" s="470"/>
      <c r="I222" s="470"/>
      <c r="J222" s="470"/>
      <c r="K222" s="470"/>
      <c r="L222" s="470"/>
      <c r="M222" s="470"/>
      <c r="N222" s="470"/>
      <c r="O222" s="470"/>
      <c r="P222" s="470"/>
      <c r="Q222" s="456"/>
      <c r="R222" s="573"/>
      <c r="S222" s="470"/>
      <c r="T222" s="580"/>
      <c r="U222" s="585"/>
      <c r="V222" s="416"/>
    </row>
    <row r="223" spans="1:22" s="431" customFormat="1" x14ac:dyDescent="0.3">
      <c r="A223" s="586"/>
      <c r="B223" s="450" t="s">
        <v>280</v>
      </c>
      <c r="C223" s="450"/>
      <c r="D223" s="450"/>
      <c r="E223" s="450"/>
      <c r="F223" s="450"/>
      <c r="G223" s="450"/>
      <c r="H223" s="450"/>
      <c r="I223" s="450"/>
      <c r="J223" s="450"/>
      <c r="K223" s="450"/>
      <c r="L223" s="450"/>
      <c r="M223" s="450"/>
      <c r="N223" s="450"/>
      <c r="O223" s="450"/>
      <c r="P223" s="450"/>
      <c r="Q223" s="456">
        <v>0</v>
      </c>
      <c r="R223" s="573">
        <v>0</v>
      </c>
      <c r="S223" s="450"/>
      <c r="T223" s="574"/>
      <c r="U223" s="587"/>
      <c r="V223" s="430"/>
    </row>
    <row r="224" spans="1:22" s="431" customFormat="1" x14ac:dyDescent="0.3">
      <c r="A224" s="571"/>
      <c r="B224" s="450" t="s">
        <v>89</v>
      </c>
      <c r="C224" s="486"/>
      <c r="D224" s="486"/>
      <c r="E224" s="486"/>
      <c r="F224" s="588"/>
      <c r="G224" s="450"/>
      <c r="H224" s="450"/>
      <c r="I224" s="450"/>
      <c r="J224" s="450"/>
      <c r="K224" s="450"/>
      <c r="L224" s="450"/>
      <c r="M224" s="450"/>
      <c r="N224" s="450"/>
      <c r="O224" s="450"/>
      <c r="P224" s="450"/>
      <c r="Q224" s="450"/>
      <c r="R224" s="582">
        <v>0</v>
      </c>
      <c r="S224" s="450"/>
      <c r="T224" s="574"/>
      <c r="U224" s="587"/>
      <c r="V224" s="430"/>
    </row>
    <row r="225" spans="1:23" s="431" customFormat="1" x14ac:dyDescent="0.3">
      <c r="A225" s="571"/>
      <c r="B225" s="450" t="s">
        <v>90</v>
      </c>
      <c r="C225" s="486"/>
      <c r="D225" s="486"/>
      <c r="E225" s="486"/>
      <c r="F225" s="588"/>
      <c r="G225" s="450"/>
      <c r="H225" s="450"/>
      <c r="I225" s="450"/>
      <c r="J225" s="450"/>
      <c r="K225" s="450"/>
      <c r="L225" s="450"/>
      <c r="M225" s="450"/>
      <c r="N225" s="450"/>
      <c r="O225" s="450"/>
      <c r="P225" s="450"/>
      <c r="Q225" s="450"/>
      <c r="R225" s="582">
        <v>0</v>
      </c>
      <c r="S225" s="450"/>
      <c r="T225" s="574"/>
      <c r="U225" s="587"/>
      <c r="V225" s="430"/>
    </row>
    <row r="226" spans="1:23" x14ac:dyDescent="0.3">
      <c r="A226" s="576"/>
      <c r="B226" s="577" t="s">
        <v>226</v>
      </c>
      <c r="C226" s="589"/>
      <c r="D226" s="589"/>
      <c r="E226" s="589"/>
      <c r="F226" s="590"/>
      <c r="G226" s="470"/>
      <c r="H226" s="470"/>
      <c r="I226" s="470"/>
      <c r="J226" s="470"/>
      <c r="K226" s="470"/>
      <c r="L226" s="470"/>
      <c r="M226" s="470"/>
      <c r="N226" s="470"/>
      <c r="O226" s="470"/>
      <c r="P226" s="470"/>
      <c r="Q226" s="456"/>
      <c r="R226" s="591"/>
      <c r="S226" s="470"/>
      <c r="T226" s="580"/>
      <c r="U226" s="585"/>
      <c r="V226" s="416"/>
    </row>
    <row r="227" spans="1:23" s="431" customFormat="1" x14ac:dyDescent="0.3">
      <c r="A227" s="571"/>
      <c r="B227" s="450" t="s">
        <v>280</v>
      </c>
      <c r="C227" s="486"/>
      <c r="D227" s="486"/>
      <c r="E227" s="486"/>
      <c r="F227" s="588"/>
      <c r="G227" s="450"/>
      <c r="H227" s="450"/>
      <c r="I227" s="450"/>
      <c r="J227" s="450"/>
      <c r="K227" s="450"/>
      <c r="L227" s="450"/>
      <c r="M227" s="450"/>
      <c r="N227" s="450"/>
      <c r="O227" s="450"/>
      <c r="P227" s="450"/>
      <c r="Q227" s="456">
        <v>0</v>
      </c>
      <c r="R227" s="573">
        <v>0</v>
      </c>
      <c r="S227" s="450"/>
      <c r="T227" s="574"/>
      <c r="U227" s="587"/>
      <c r="V227" s="430"/>
    </row>
    <row r="228" spans="1:23" s="431" customFormat="1" x14ac:dyDescent="0.3">
      <c r="A228" s="571"/>
      <c r="B228" s="450" t="s">
        <v>227</v>
      </c>
      <c r="C228" s="486"/>
      <c r="D228" s="486"/>
      <c r="E228" s="486"/>
      <c r="F228" s="588"/>
      <c r="G228" s="450"/>
      <c r="H228" s="450"/>
      <c r="I228" s="450"/>
      <c r="J228" s="450"/>
      <c r="K228" s="450"/>
      <c r="L228" s="450"/>
      <c r="M228" s="450"/>
      <c r="N228" s="450"/>
      <c r="O228" s="450"/>
      <c r="P228" s="450"/>
      <c r="Q228" s="456"/>
      <c r="R228" s="582">
        <v>0</v>
      </c>
      <c r="S228" s="450"/>
      <c r="T228" s="574"/>
      <c r="U228" s="587"/>
      <c r="V228" s="430"/>
    </row>
    <row r="229" spans="1:23" x14ac:dyDescent="0.3">
      <c r="A229" s="576"/>
      <c r="B229" s="584"/>
      <c r="C229" s="589"/>
      <c r="D229" s="589"/>
      <c r="E229" s="589"/>
      <c r="F229" s="590"/>
      <c r="G229" s="470"/>
      <c r="H229" s="470"/>
      <c r="I229" s="470"/>
      <c r="J229" s="470"/>
      <c r="K229" s="470"/>
      <c r="L229" s="470"/>
      <c r="M229" s="470"/>
      <c r="N229" s="470"/>
      <c r="O229" s="470"/>
      <c r="P229" s="470"/>
      <c r="Q229" s="450"/>
      <c r="R229" s="591"/>
      <c r="S229" s="470"/>
      <c r="T229" s="580"/>
      <c r="U229" s="585"/>
      <c r="V229" s="416"/>
    </row>
    <row r="230" spans="1:23" x14ac:dyDescent="0.3">
      <c r="A230" s="576"/>
      <c r="B230" s="584"/>
      <c r="C230" s="589"/>
      <c r="D230" s="589"/>
      <c r="E230" s="589"/>
      <c r="F230" s="590"/>
      <c r="G230" s="470"/>
      <c r="H230" s="470"/>
      <c r="I230" s="470"/>
      <c r="J230" s="470"/>
      <c r="K230" s="470"/>
      <c r="L230" s="470"/>
      <c r="M230" s="470"/>
      <c r="N230" s="470"/>
      <c r="O230" s="470"/>
      <c r="P230" s="470"/>
      <c r="Q230" s="450"/>
      <c r="R230" s="591"/>
      <c r="S230" s="470"/>
      <c r="T230" s="580"/>
      <c r="U230" s="585"/>
      <c r="V230" s="416"/>
    </row>
    <row r="231" spans="1:23" ht="18" x14ac:dyDescent="0.35">
      <c r="A231" s="576"/>
      <c r="B231" s="592" t="s">
        <v>175</v>
      </c>
      <c r="C231" s="589"/>
      <c r="D231" s="589"/>
      <c r="E231" s="589"/>
      <c r="F231" s="590"/>
      <c r="G231" s="470"/>
      <c r="H231" s="470"/>
      <c r="I231" s="470"/>
      <c r="J231" s="470"/>
      <c r="K231" s="470"/>
      <c r="L231" s="470"/>
      <c r="M231" s="470"/>
      <c r="N231" s="647" t="s">
        <v>356</v>
      </c>
      <c r="O231" s="470"/>
      <c r="P231" s="470"/>
      <c r="Q231" s="470"/>
      <c r="R231" s="593"/>
      <c r="S231" s="470"/>
      <c r="T231" s="580"/>
      <c r="U231" s="585"/>
      <c r="V231" s="416"/>
    </row>
    <row r="232" spans="1:23" x14ac:dyDescent="0.3">
      <c r="A232" s="594"/>
      <c r="B232" s="563"/>
      <c r="C232" s="595"/>
      <c r="D232" s="595"/>
      <c r="E232" s="595"/>
      <c r="F232" s="596"/>
      <c r="G232" s="516"/>
      <c r="H232" s="516"/>
      <c r="I232" s="516"/>
      <c r="J232" s="516"/>
      <c r="K232" s="516"/>
      <c r="L232" s="516"/>
      <c r="M232" s="516"/>
      <c r="N232" s="516"/>
      <c r="O232" s="516"/>
      <c r="P232" s="516"/>
      <c r="Q232" s="516"/>
      <c r="R232" s="597"/>
      <c r="S232" s="516"/>
      <c r="T232" s="564"/>
      <c r="U232" s="645"/>
      <c r="V232" s="416"/>
    </row>
    <row r="233" spans="1:23" x14ac:dyDescent="0.3">
      <c r="A233" s="442"/>
      <c r="B233" s="598" t="s">
        <v>295</v>
      </c>
      <c r="C233" s="599"/>
      <c r="D233" s="599"/>
      <c r="E233" s="599"/>
      <c r="F233" s="600"/>
      <c r="G233" s="599"/>
      <c r="H233" s="599"/>
      <c r="I233" s="599"/>
      <c r="J233" s="599"/>
      <c r="K233" s="599"/>
      <c r="L233" s="599"/>
      <c r="M233" s="599"/>
      <c r="N233" s="599"/>
      <c r="O233" s="599"/>
      <c r="P233" s="600" t="s">
        <v>105</v>
      </c>
      <c r="Q233" s="599" t="s">
        <v>106</v>
      </c>
      <c r="R233" s="600" t="s">
        <v>114</v>
      </c>
      <c r="S233" s="599" t="s">
        <v>106</v>
      </c>
      <c r="T233" s="601"/>
      <c r="U233" s="605"/>
      <c r="V233" s="416"/>
    </row>
    <row r="234" spans="1:23" s="431" customFormat="1" x14ac:dyDescent="0.3">
      <c r="A234" s="632"/>
      <c r="B234" s="633" t="s">
        <v>91</v>
      </c>
      <c r="C234" s="634"/>
      <c r="D234" s="634"/>
      <c r="E234" s="634"/>
      <c r="F234" s="635"/>
      <c r="G234" s="634"/>
      <c r="H234" s="634"/>
      <c r="I234" s="634"/>
      <c r="J234" s="634"/>
      <c r="K234" s="634"/>
      <c r="L234" s="634"/>
      <c r="M234" s="634"/>
      <c r="N234" s="634"/>
      <c r="O234" s="634"/>
      <c r="P234" s="633">
        <f t="shared" ref="P234:P241" si="1">+P246+P258+P280</f>
        <v>2693</v>
      </c>
      <c r="Q234" s="636">
        <f t="shared" ref="Q234:Q241" si="2">P234/$P$243</f>
        <v>0.9886196769456681</v>
      </c>
      <c r="R234" s="637">
        <f t="shared" ref="R234:R241" si="3">+R246+R258+R280</f>
        <v>341899</v>
      </c>
      <c r="S234" s="636">
        <f t="shared" ref="S234:S241" si="4">R234/$R$243</f>
        <v>0.98743108323152862</v>
      </c>
      <c r="T234" s="630"/>
      <c r="U234" s="631"/>
      <c r="V234" s="430"/>
    </row>
    <row r="235" spans="1:23" s="431" customFormat="1" x14ac:dyDescent="0.3">
      <c r="A235" s="449"/>
      <c r="B235" s="514" t="s">
        <v>92</v>
      </c>
      <c r="C235" s="603"/>
      <c r="D235" s="603"/>
      <c r="E235" s="603"/>
      <c r="F235" s="450"/>
      <c r="G235" s="602"/>
      <c r="H235" s="603"/>
      <c r="I235" s="603"/>
      <c r="J235" s="603"/>
      <c r="K235" s="603"/>
      <c r="L235" s="603"/>
      <c r="M235" s="603"/>
      <c r="N235" s="603"/>
      <c r="O235" s="603"/>
      <c r="P235" s="514">
        <f t="shared" si="1"/>
        <v>25</v>
      </c>
      <c r="Q235" s="602">
        <f t="shared" si="2"/>
        <v>9.1776798825256977E-3</v>
      </c>
      <c r="R235" s="515">
        <f t="shared" si="3"/>
        <v>3758</v>
      </c>
      <c r="S235" s="602">
        <f t="shared" si="4"/>
        <v>1.0853398257333552E-2</v>
      </c>
      <c r="T235" s="574"/>
      <c r="U235" s="587"/>
      <c r="V235" s="430"/>
      <c r="W235" s="533"/>
    </row>
    <row r="236" spans="1:23" s="431" customFormat="1" x14ac:dyDescent="0.3">
      <c r="A236" s="449"/>
      <c r="B236" s="514" t="s">
        <v>93</v>
      </c>
      <c r="C236" s="603"/>
      <c r="D236" s="603"/>
      <c r="E236" s="603"/>
      <c r="F236" s="450"/>
      <c r="G236" s="602"/>
      <c r="H236" s="603"/>
      <c r="I236" s="603"/>
      <c r="J236" s="603"/>
      <c r="K236" s="603"/>
      <c r="L236" s="603"/>
      <c r="M236" s="603"/>
      <c r="N236" s="603"/>
      <c r="O236" s="603"/>
      <c r="P236" s="514">
        <f t="shared" si="1"/>
        <v>2</v>
      </c>
      <c r="Q236" s="602">
        <f t="shared" si="2"/>
        <v>7.3421439060205576E-4</v>
      </c>
      <c r="R236" s="515">
        <f t="shared" si="3"/>
        <v>196</v>
      </c>
      <c r="S236" s="602">
        <f t="shared" si="4"/>
        <v>5.6606334710946683E-4</v>
      </c>
      <c r="T236" s="574"/>
      <c r="U236" s="587"/>
      <c r="V236" s="430"/>
    </row>
    <row r="237" spans="1:23" s="431" customFormat="1" x14ac:dyDescent="0.3">
      <c r="A237" s="449"/>
      <c r="B237" s="514" t="s">
        <v>163</v>
      </c>
      <c r="C237" s="603"/>
      <c r="D237" s="603"/>
      <c r="E237" s="603"/>
      <c r="F237" s="450"/>
      <c r="G237" s="602"/>
      <c r="H237" s="603"/>
      <c r="I237" s="603"/>
      <c r="J237" s="603"/>
      <c r="K237" s="603"/>
      <c r="L237" s="603"/>
      <c r="M237" s="603"/>
      <c r="N237" s="603"/>
      <c r="O237" s="603"/>
      <c r="P237" s="514">
        <f t="shared" si="1"/>
        <v>1</v>
      </c>
      <c r="Q237" s="602">
        <f t="shared" si="2"/>
        <v>3.6710719530102788E-4</v>
      </c>
      <c r="R237" s="515">
        <f t="shared" si="3"/>
        <v>112</v>
      </c>
      <c r="S237" s="602">
        <f t="shared" si="4"/>
        <v>3.2346476977683817E-4</v>
      </c>
      <c r="T237" s="574"/>
      <c r="U237" s="587"/>
      <c r="V237" s="430"/>
      <c r="W237" s="533"/>
    </row>
    <row r="238" spans="1:23" s="431" customFormat="1" x14ac:dyDescent="0.3">
      <c r="A238" s="449"/>
      <c r="B238" s="514" t="s">
        <v>164</v>
      </c>
      <c r="C238" s="603"/>
      <c r="D238" s="603"/>
      <c r="E238" s="603"/>
      <c r="F238" s="450"/>
      <c r="G238" s="602"/>
      <c r="H238" s="603"/>
      <c r="I238" s="603"/>
      <c r="J238" s="603"/>
      <c r="K238" s="603"/>
      <c r="L238" s="603"/>
      <c r="M238" s="603"/>
      <c r="N238" s="603"/>
      <c r="O238" s="603"/>
      <c r="P238" s="514">
        <f t="shared" si="1"/>
        <v>2</v>
      </c>
      <c r="Q238" s="602">
        <f t="shared" si="2"/>
        <v>7.3421439060205576E-4</v>
      </c>
      <c r="R238" s="515">
        <f t="shared" si="3"/>
        <v>182</v>
      </c>
      <c r="S238" s="602">
        <f t="shared" si="4"/>
        <v>5.2563025088736201E-4</v>
      </c>
      <c r="T238" s="574"/>
      <c r="U238" s="587"/>
      <c r="V238" s="430"/>
    </row>
    <row r="239" spans="1:23" s="431" customFormat="1" x14ac:dyDescent="0.3">
      <c r="A239" s="449"/>
      <c r="B239" s="514" t="s">
        <v>165</v>
      </c>
      <c r="C239" s="603"/>
      <c r="D239" s="603"/>
      <c r="E239" s="603"/>
      <c r="F239" s="450"/>
      <c r="G239" s="602"/>
      <c r="H239" s="603"/>
      <c r="I239" s="603"/>
      <c r="J239" s="603"/>
      <c r="K239" s="603"/>
      <c r="L239" s="603"/>
      <c r="M239" s="603"/>
      <c r="N239" s="603"/>
      <c r="O239" s="603"/>
      <c r="P239" s="514">
        <f t="shared" si="1"/>
        <v>0</v>
      </c>
      <c r="Q239" s="602">
        <f t="shared" si="2"/>
        <v>0</v>
      </c>
      <c r="R239" s="515">
        <f t="shared" si="3"/>
        <v>0</v>
      </c>
      <c r="S239" s="602">
        <f t="shared" si="4"/>
        <v>0</v>
      </c>
      <c r="T239" s="574"/>
      <c r="U239" s="587"/>
      <c r="V239" s="430"/>
      <c r="W239" s="533"/>
    </row>
    <row r="240" spans="1:23" s="431" customFormat="1" x14ac:dyDescent="0.3">
      <c r="A240" s="449"/>
      <c r="B240" s="514" t="s">
        <v>166</v>
      </c>
      <c r="C240" s="603"/>
      <c r="D240" s="603"/>
      <c r="E240" s="603"/>
      <c r="F240" s="450"/>
      <c r="G240" s="602"/>
      <c r="H240" s="603"/>
      <c r="I240" s="603"/>
      <c r="J240" s="603"/>
      <c r="K240" s="603"/>
      <c r="L240" s="603"/>
      <c r="M240" s="603"/>
      <c r="N240" s="603"/>
      <c r="O240" s="603"/>
      <c r="P240" s="514">
        <f t="shared" si="1"/>
        <v>1</v>
      </c>
      <c r="Q240" s="602">
        <f t="shared" si="2"/>
        <v>3.6710719530102788E-4</v>
      </c>
      <c r="R240" s="515">
        <f t="shared" si="3"/>
        <v>104</v>
      </c>
      <c r="S240" s="602">
        <f t="shared" si="4"/>
        <v>3.003601433642069E-4</v>
      </c>
      <c r="T240" s="574"/>
      <c r="U240" s="587"/>
      <c r="V240" s="430"/>
    </row>
    <row r="241" spans="1:23" s="431" customFormat="1" x14ac:dyDescent="0.3">
      <c r="A241" s="449"/>
      <c r="B241" s="514" t="s">
        <v>167</v>
      </c>
      <c r="C241" s="603"/>
      <c r="D241" s="603"/>
      <c r="E241" s="603"/>
      <c r="F241" s="450"/>
      <c r="G241" s="602"/>
      <c r="H241" s="603"/>
      <c r="I241" s="603"/>
      <c r="J241" s="603"/>
      <c r="K241" s="603"/>
      <c r="L241" s="603"/>
      <c r="M241" s="603"/>
      <c r="N241" s="603"/>
      <c r="O241" s="603"/>
      <c r="P241" s="514">
        <f t="shared" si="1"/>
        <v>0</v>
      </c>
      <c r="Q241" s="602">
        <f t="shared" si="2"/>
        <v>0</v>
      </c>
      <c r="R241" s="515">
        <f t="shared" si="3"/>
        <v>0</v>
      </c>
      <c r="S241" s="602">
        <f t="shared" si="4"/>
        <v>0</v>
      </c>
      <c r="T241" s="574"/>
      <c r="U241" s="587"/>
      <c r="V241" s="430"/>
      <c r="W241" s="533"/>
    </row>
    <row r="242" spans="1:23" s="431" customFormat="1" x14ac:dyDescent="0.3">
      <c r="A242" s="449"/>
      <c r="B242" s="514"/>
      <c r="C242" s="603"/>
      <c r="D242" s="603"/>
      <c r="E242" s="603"/>
      <c r="F242" s="450"/>
      <c r="G242" s="602"/>
      <c r="H242" s="603"/>
      <c r="I242" s="603"/>
      <c r="J242" s="603"/>
      <c r="K242" s="603"/>
      <c r="L242" s="603"/>
      <c r="M242" s="603"/>
      <c r="N242" s="603"/>
      <c r="O242" s="603"/>
      <c r="P242" s="514"/>
      <c r="Q242" s="602"/>
      <c r="R242" s="515"/>
      <c r="S242" s="602"/>
      <c r="T242" s="574"/>
      <c r="U242" s="587"/>
      <c r="V242" s="430"/>
    </row>
    <row r="243" spans="1:23" s="431" customFormat="1" x14ac:dyDescent="0.3">
      <c r="A243" s="449"/>
      <c r="B243" s="450" t="s">
        <v>120</v>
      </c>
      <c r="C243" s="450"/>
      <c r="D243" s="450"/>
      <c r="E243" s="450"/>
      <c r="F243" s="450"/>
      <c r="G243" s="450"/>
      <c r="H243" s="604"/>
      <c r="I243" s="604"/>
      <c r="J243" s="604"/>
      <c r="K243" s="604"/>
      <c r="L243" s="604"/>
      <c r="M243" s="604"/>
      <c r="N243" s="604"/>
      <c r="O243" s="604"/>
      <c r="P243" s="514">
        <f>SUM(P234:P242)</f>
        <v>2724</v>
      </c>
      <c r="Q243" s="602">
        <f>SUM(Q234:Q242)</f>
        <v>0.99999999999999989</v>
      </c>
      <c r="R243" s="515">
        <f>SUM(R234:R242)</f>
        <v>346251</v>
      </c>
      <c r="S243" s="602">
        <f>SUM(S234:S242)</f>
        <v>1</v>
      </c>
      <c r="T243" s="450"/>
      <c r="U243" s="452"/>
      <c r="V243" s="430"/>
    </row>
    <row r="244" spans="1:23" x14ac:dyDescent="0.3">
      <c r="A244" s="594"/>
      <c r="B244" s="563"/>
      <c r="C244" s="595"/>
      <c r="D244" s="595"/>
      <c r="E244" s="595"/>
      <c r="F244" s="596"/>
      <c r="G244" s="516"/>
      <c r="H244" s="516"/>
      <c r="I244" s="516"/>
      <c r="J244" s="516"/>
      <c r="K244" s="516"/>
      <c r="L244" s="516"/>
      <c r="M244" s="516"/>
      <c r="N244" s="516"/>
      <c r="O244" s="516"/>
      <c r="P244" s="516"/>
      <c r="Q244" s="516"/>
      <c r="R244" s="597"/>
      <c r="S244" s="516"/>
      <c r="T244" s="564"/>
      <c r="U244" s="645"/>
      <c r="V244" s="416"/>
    </row>
    <row r="245" spans="1:23" x14ac:dyDescent="0.3">
      <c r="A245" s="442"/>
      <c r="B245" s="521" t="s">
        <v>169</v>
      </c>
      <c r="C245" s="522"/>
      <c r="D245" s="522"/>
      <c r="E245" s="522"/>
      <c r="F245" s="566"/>
      <c r="G245" s="522"/>
      <c r="H245" s="522"/>
      <c r="I245" s="522"/>
      <c r="J245" s="522"/>
      <c r="K245" s="522"/>
      <c r="L245" s="522"/>
      <c r="M245" s="522"/>
      <c r="N245" s="522"/>
      <c r="O245" s="522"/>
      <c r="P245" s="566" t="s">
        <v>105</v>
      </c>
      <c r="Q245" s="522" t="s">
        <v>106</v>
      </c>
      <c r="R245" s="566" t="s">
        <v>114</v>
      </c>
      <c r="S245" s="522" t="s">
        <v>106</v>
      </c>
      <c r="T245" s="443"/>
      <c r="U245" s="605"/>
      <c r="V245" s="416"/>
    </row>
    <row r="246" spans="1:23" s="431" customFormat="1" x14ac:dyDescent="0.3">
      <c r="A246" s="432"/>
      <c r="B246" s="525" t="s">
        <v>91</v>
      </c>
      <c r="C246" s="606"/>
      <c r="D246" s="606"/>
      <c r="E246" s="606"/>
      <c r="F246" s="447"/>
      <c r="G246" s="606"/>
      <c r="H246" s="606"/>
      <c r="I246" s="606"/>
      <c r="J246" s="606"/>
      <c r="K246" s="606"/>
      <c r="L246" s="606"/>
      <c r="M246" s="606"/>
      <c r="N246" s="606"/>
      <c r="O246" s="606"/>
      <c r="P246" s="525">
        <v>2671</v>
      </c>
      <c r="Q246" s="607">
        <f t="shared" ref="Q246:Q253" si="5">P246/$P$255</f>
        <v>0.98925925925925928</v>
      </c>
      <c r="R246" s="526">
        <v>338516</v>
      </c>
      <c r="S246" s="607">
        <f t="shared" ref="S246:S253" si="6">R246/$R$255</f>
        <v>0.98793809408461719</v>
      </c>
      <c r="T246" s="570"/>
      <c r="U246" s="646"/>
      <c r="V246" s="430"/>
    </row>
    <row r="247" spans="1:23" s="431" customFormat="1" x14ac:dyDescent="0.3">
      <c r="A247" s="449"/>
      <c r="B247" s="514" t="s">
        <v>92</v>
      </c>
      <c r="C247" s="603"/>
      <c r="D247" s="603"/>
      <c r="E247" s="603"/>
      <c r="F247" s="450"/>
      <c r="G247" s="602"/>
      <c r="H247" s="603"/>
      <c r="I247" s="603"/>
      <c r="J247" s="603"/>
      <c r="K247" s="603"/>
      <c r="L247" s="603"/>
      <c r="M247" s="603"/>
      <c r="N247" s="603"/>
      <c r="O247" s="603"/>
      <c r="P247" s="514">
        <v>24</v>
      </c>
      <c r="Q247" s="602">
        <f t="shared" si="5"/>
        <v>8.8888888888888889E-3</v>
      </c>
      <c r="R247" s="515">
        <v>3651</v>
      </c>
      <c r="S247" s="602">
        <f t="shared" si="6"/>
        <v>1.06552186056285E-2</v>
      </c>
      <c r="T247" s="574"/>
      <c r="U247" s="587"/>
      <c r="V247" s="430"/>
      <c r="W247" s="533"/>
    </row>
    <row r="248" spans="1:23" s="431" customFormat="1" x14ac:dyDescent="0.3">
      <c r="A248" s="449"/>
      <c r="B248" s="514" t="s">
        <v>93</v>
      </c>
      <c r="C248" s="603"/>
      <c r="D248" s="603"/>
      <c r="E248" s="603"/>
      <c r="F248" s="450"/>
      <c r="G248" s="602"/>
      <c r="H248" s="603"/>
      <c r="I248" s="603"/>
      <c r="J248" s="603"/>
      <c r="K248" s="603"/>
      <c r="L248" s="603"/>
      <c r="M248" s="603"/>
      <c r="N248" s="603"/>
      <c r="O248" s="603"/>
      <c r="P248" s="514">
        <v>2</v>
      </c>
      <c r="Q248" s="602">
        <f t="shared" si="5"/>
        <v>7.407407407407407E-4</v>
      </c>
      <c r="R248" s="515">
        <v>196</v>
      </c>
      <c r="S248" s="602">
        <f t="shared" si="6"/>
        <v>5.720139267880543E-4</v>
      </c>
      <c r="T248" s="574"/>
      <c r="U248" s="587"/>
      <c r="V248" s="430"/>
    </row>
    <row r="249" spans="1:23" s="431" customFormat="1" x14ac:dyDescent="0.3">
      <c r="A249" s="449"/>
      <c r="B249" s="514" t="s">
        <v>163</v>
      </c>
      <c r="C249" s="603"/>
      <c r="D249" s="603"/>
      <c r="E249" s="603"/>
      <c r="F249" s="450"/>
      <c r="G249" s="602"/>
      <c r="H249" s="603"/>
      <c r="I249" s="603"/>
      <c r="J249" s="603"/>
      <c r="K249" s="603"/>
      <c r="L249" s="603"/>
      <c r="M249" s="603"/>
      <c r="N249" s="603"/>
      <c r="O249" s="603"/>
      <c r="P249" s="514">
        <v>0</v>
      </c>
      <c r="Q249" s="602">
        <f t="shared" si="5"/>
        <v>0</v>
      </c>
      <c r="R249" s="515">
        <v>0</v>
      </c>
      <c r="S249" s="602">
        <f t="shared" si="6"/>
        <v>0</v>
      </c>
      <c r="T249" s="574"/>
      <c r="U249" s="587"/>
      <c r="V249" s="430"/>
      <c r="W249" s="533"/>
    </row>
    <row r="250" spans="1:23" s="431" customFormat="1" x14ac:dyDescent="0.3">
      <c r="A250" s="449"/>
      <c r="B250" s="514" t="s">
        <v>164</v>
      </c>
      <c r="C250" s="603"/>
      <c r="D250" s="603"/>
      <c r="E250" s="603"/>
      <c r="F250" s="450"/>
      <c r="G250" s="602"/>
      <c r="H250" s="603"/>
      <c r="I250" s="603"/>
      <c r="J250" s="603"/>
      <c r="K250" s="603"/>
      <c r="L250" s="603"/>
      <c r="M250" s="603"/>
      <c r="N250" s="603"/>
      <c r="O250" s="603"/>
      <c r="P250" s="514">
        <v>2</v>
      </c>
      <c r="Q250" s="602">
        <f t="shared" si="5"/>
        <v>7.407407407407407E-4</v>
      </c>
      <c r="R250" s="515">
        <v>182</v>
      </c>
      <c r="S250" s="602">
        <f t="shared" si="6"/>
        <v>5.311557891603361E-4</v>
      </c>
      <c r="T250" s="574"/>
      <c r="U250" s="587"/>
      <c r="V250" s="430"/>
    </row>
    <row r="251" spans="1:23" s="431" customFormat="1" x14ac:dyDescent="0.3">
      <c r="A251" s="449"/>
      <c r="B251" s="514" t="s">
        <v>165</v>
      </c>
      <c r="C251" s="603"/>
      <c r="D251" s="603"/>
      <c r="E251" s="603"/>
      <c r="F251" s="450"/>
      <c r="G251" s="602"/>
      <c r="H251" s="603"/>
      <c r="I251" s="603"/>
      <c r="J251" s="603"/>
      <c r="K251" s="603"/>
      <c r="L251" s="603"/>
      <c r="M251" s="603"/>
      <c r="N251" s="603"/>
      <c r="O251" s="603"/>
      <c r="P251" s="514">
        <v>0</v>
      </c>
      <c r="Q251" s="602">
        <f t="shared" si="5"/>
        <v>0</v>
      </c>
      <c r="R251" s="515">
        <v>0</v>
      </c>
      <c r="S251" s="602">
        <f t="shared" si="6"/>
        <v>0</v>
      </c>
      <c r="T251" s="574"/>
      <c r="U251" s="587"/>
      <c r="V251" s="430"/>
      <c r="W251" s="533"/>
    </row>
    <row r="252" spans="1:23" s="431" customFormat="1" x14ac:dyDescent="0.3">
      <c r="A252" s="449"/>
      <c r="B252" s="514" t="s">
        <v>166</v>
      </c>
      <c r="C252" s="603"/>
      <c r="D252" s="603"/>
      <c r="E252" s="603"/>
      <c r="F252" s="450"/>
      <c r="G252" s="602"/>
      <c r="H252" s="603"/>
      <c r="I252" s="603"/>
      <c r="J252" s="603"/>
      <c r="K252" s="603"/>
      <c r="L252" s="603"/>
      <c r="M252" s="603"/>
      <c r="N252" s="603"/>
      <c r="O252" s="603"/>
      <c r="P252" s="514">
        <v>1</v>
      </c>
      <c r="Q252" s="602">
        <f t="shared" si="5"/>
        <v>3.7037037037037035E-4</v>
      </c>
      <c r="R252" s="515">
        <v>104</v>
      </c>
      <c r="S252" s="602">
        <f t="shared" si="6"/>
        <v>3.0351759380590636E-4</v>
      </c>
      <c r="T252" s="574"/>
      <c r="U252" s="587"/>
      <c r="V252" s="430"/>
    </row>
    <row r="253" spans="1:23" s="431" customFormat="1" x14ac:dyDescent="0.3">
      <c r="A253" s="449"/>
      <c r="B253" s="514" t="s">
        <v>167</v>
      </c>
      <c r="C253" s="603"/>
      <c r="D253" s="603"/>
      <c r="E253" s="603"/>
      <c r="F253" s="450"/>
      <c r="G253" s="602"/>
      <c r="H253" s="603"/>
      <c r="I253" s="603"/>
      <c r="J253" s="603"/>
      <c r="K253" s="603"/>
      <c r="L253" s="603"/>
      <c r="M253" s="603"/>
      <c r="N253" s="603"/>
      <c r="O253" s="603"/>
      <c r="P253" s="514">
        <v>0</v>
      </c>
      <c r="Q253" s="602">
        <f t="shared" si="5"/>
        <v>0</v>
      </c>
      <c r="R253" s="515">
        <v>0</v>
      </c>
      <c r="S253" s="602">
        <f t="shared" si="6"/>
        <v>0</v>
      </c>
      <c r="T253" s="574"/>
      <c r="U253" s="587"/>
      <c r="V253" s="430"/>
      <c r="W253" s="533"/>
    </row>
    <row r="254" spans="1:23" s="431" customFormat="1" x14ac:dyDescent="0.3">
      <c r="A254" s="449"/>
      <c r="B254" s="514"/>
      <c r="C254" s="603"/>
      <c r="D254" s="603"/>
      <c r="E254" s="603"/>
      <c r="F254" s="450"/>
      <c r="G254" s="602"/>
      <c r="H254" s="603"/>
      <c r="I254" s="603"/>
      <c r="J254" s="603"/>
      <c r="K254" s="603"/>
      <c r="L254" s="603"/>
      <c r="M254" s="603"/>
      <c r="N254" s="603"/>
      <c r="O254" s="603"/>
      <c r="P254" s="514"/>
      <c r="Q254" s="602"/>
      <c r="R254" s="515"/>
      <c r="S254" s="602"/>
      <c r="T254" s="574"/>
      <c r="U254" s="587"/>
      <c r="V254" s="430"/>
    </row>
    <row r="255" spans="1:23" s="431" customFormat="1" x14ac:dyDescent="0.3">
      <c r="A255" s="449"/>
      <c r="B255" s="450" t="s">
        <v>120</v>
      </c>
      <c r="C255" s="450"/>
      <c r="D255" s="450"/>
      <c r="E255" s="450"/>
      <c r="F255" s="450"/>
      <c r="G255" s="450"/>
      <c r="H255" s="604"/>
      <c r="I255" s="604"/>
      <c r="J255" s="604"/>
      <c r="K255" s="604"/>
      <c r="L255" s="604"/>
      <c r="M255" s="604"/>
      <c r="N255" s="604"/>
      <c r="O255" s="604"/>
      <c r="P255" s="514">
        <f>SUM(P246:P254)</f>
        <v>2700</v>
      </c>
      <c r="Q255" s="602">
        <f>SUM(Q246:Q254)</f>
        <v>0.99999999999999989</v>
      </c>
      <c r="R255" s="515">
        <f>SUM(R246:R254)</f>
        <v>342649</v>
      </c>
      <c r="S255" s="602">
        <f>SUM(S246:S254)</f>
        <v>0.99999999999999989</v>
      </c>
      <c r="T255" s="450"/>
      <c r="U255" s="452"/>
      <c r="V255" s="430"/>
    </row>
    <row r="256" spans="1:23" x14ac:dyDescent="0.3">
      <c r="A256" s="418"/>
      <c r="B256" s="516"/>
      <c r="C256" s="516"/>
      <c r="D256" s="516"/>
      <c r="E256" s="516"/>
      <c r="F256" s="516"/>
      <c r="G256" s="516"/>
      <c r="H256" s="608"/>
      <c r="I256" s="608"/>
      <c r="J256" s="608"/>
      <c r="K256" s="608"/>
      <c r="L256" s="608"/>
      <c r="M256" s="608"/>
      <c r="N256" s="608"/>
      <c r="O256" s="608"/>
      <c r="P256" s="517"/>
      <c r="Q256" s="609"/>
      <c r="R256" s="610"/>
      <c r="S256" s="609"/>
      <c r="T256" s="516"/>
      <c r="U256" s="639"/>
      <c r="V256" s="416"/>
    </row>
    <row r="257" spans="1:22" x14ac:dyDescent="0.3">
      <c r="A257" s="442"/>
      <c r="B257" s="521" t="s">
        <v>267</v>
      </c>
      <c r="C257" s="522"/>
      <c r="D257" s="522"/>
      <c r="E257" s="522"/>
      <c r="F257" s="566"/>
      <c r="G257" s="522"/>
      <c r="H257" s="522"/>
      <c r="I257" s="522"/>
      <c r="J257" s="522"/>
      <c r="K257" s="522"/>
      <c r="L257" s="522"/>
      <c r="M257" s="522"/>
      <c r="N257" s="522"/>
      <c r="O257" s="522"/>
      <c r="P257" s="566" t="s">
        <v>105</v>
      </c>
      <c r="Q257" s="522" t="s">
        <v>106</v>
      </c>
      <c r="R257" s="566" t="s">
        <v>114</v>
      </c>
      <c r="S257" s="522" t="s">
        <v>106</v>
      </c>
      <c r="T257" s="443"/>
      <c r="U257" s="446"/>
      <c r="V257" s="416"/>
    </row>
    <row r="258" spans="1:22" s="431" customFormat="1" x14ac:dyDescent="0.3">
      <c r="A258" s="432"/>
      <c r="B258" s="525" t="s">
        <v>91</v>
      </c>
      <c r="C258" s="606"/>
      <c r="D258" s="606"/>
      <c r="E258" s="606"/>
      <c r="F258" s="447"/>
      <c r="G258" s="606"/>
      <c r="H258" s="606"/>
      <c r="I258" s="606"/>
      <c r="J258" s="606"/>
      <c r="K258" s="606"/>
      <c r="L258" s="606"/>
      <c r="M258" s="606"/>
      <c r="N258" s="606"/>
      <c r="O258" s="606"/>
      <c r="P258" s="525">
        <v>22</v>
      </c>
      <c r="Q258" s="607">
        <f t="shared" ref="Q258:Q265" si="7">P258/$P$267</f>
        <v>0.91666666666666663</v>
      </c>
      <c r="R258" s="526">
        <v>3383</v>
      </c>
      <c r="S258" s="607">
        <f>R258/$R$267</f>
        <v>0.93920044419766802</v>
      </c>
      <c r="T258" s="447"/>
      <c r="U258" s="641"/>
      <c r="V258" s="430"/>
    </row>
    <row r="259" spans="1:22" s="431" customFormat="1" x14ac:dyDescent="0.3">
      <c r="A259" s="449"/>
      <c r="B259" s="514" t="s">
        <v>92</v>
      </c>
      <c r="C259" s="603"/>
      <c r="D259" s="603"/>
      <c r="E259" s="603"/>
      <c r="F259" s="450"/>
      <c r="G259" s="602"/>
      <c r="H259" s="603"/>
      <c r="I259" s="603"/>
      <c r="J259" s="603"/>
      <c r="K259" s="603"/>
      <c r="L259" s="603"/>
      <c r="M259" s="603"/>
      <c r="N259" s="603"/>
      <c r="O259" s="603"/>
      <c r="P259" s="514">
        <v>1</v>
      </c>
      <c r="Q259" s="602">
        <f t="shared" si="7"/>
        <v>4.1666666666666664E-2</v>
      </c>
      <c r="R259" s="515">
        <v>107</v>
      </c>
      <c r="S259" s="602">
        <f t="shared" ref="S259:S265" si="8">R259/$R$267</f>
        <v>2.9705719044975015E-2</v>
      </c>
      <c r="T259" s="450"/>
      <c r="U259" s="452"/>
      <c r="V259" s="430"/>
    </row>
    <row r="260" spans="1:22" s="431" customFormat="1" x14ac:dyDescent="0.3">
      <c r="A260" s="449"/>
      <c r="B260" s="514" t="s">
        <v>93</v>
      </c>
      <c r="C260" s="603"/>
      <c r="D260" s="603"/>
      <c r="E260" s="603"/>
      <c r="F260" s="450"/>
      <c r="G260" s="602"/>
      <c r="H260" s="603"/>
      <c r="I260" s="603"/>
      <c r="J260" s="603"/>
      <c r="K260" s="603"/>
      <c r="L260" s="603"/>
      <c r="M260" s="603"/>
      <c r="N260" s="603"/>
      <c r="O260" s="603"/>
      <c r="P260" s="514">
        <v>0</v>
      </c>
      <c r="Q260" s="602">
        <f t="shared" si="7"/>
        <v>0</v>
      </c>
      <c r="R260" s="515">
        <v>0</v>
      </c>
      <c r="S260" s="602">
        <f t="shared" si="8"/>
        <v>0</v>
      </c>
      <c r="T260" s="450"/>
      <c r="U260" s="452"/>
      <c r="V260" s="430"/>
    </row>
    <row r="261" spans="1:22" s="431" customFormat="1" x14ac:dyDescent="0.3">
      <c r="A261" s="449"/>
      <c r="B261" s="514" t="s">
        <v>163</v>
      </c>
      <c r="C261" s="603"/>
      <c r="D261" s="603"/>
      <c r="E261" s="603"/>
      <c r="F261" s="450"/>
      <c r="G261" s="602"/>
      <c r="H261" s="603"/>
      <c r="I261" s="603"/>
      <c r="J261" s="603"/>
      <c r="K261" s="603"/>
      <c r="L261" s="603"/>
      <c r="M261" s="603"/>
      <c r="N261" s="603"/>
      <c r="O261" s="603"/>
      <c r="P261" s="514">
        <v>1</v>
      </c>
      <c r="Q261" s="602">
        <f t="shared" si="7"/>
        <v>4.1666666666666664E-2</v>
      </c>
      <c r="R261" s="515">
        <v>112</v>
      </c>
      <c r="S261" s="602">
        <f t="shared" si="8"/>
        <v>3.1093836757357024E-2</v>
      </c>
      <c r="T261" s="450"/>
      <c r="U261" s="452"/>
      <c r="V261" s="430"/>
    </row>
    <row r="262" spans="1:22" s="431" customFormat="1" x14ac:dyDescent="0.3">
      <c r="A262" s="449"/>
      <c r="B262" s="514" t="s">
        <v>164</v>
      </c>
      <c r="C262" s="603"/>
      <c r="D262" s="603"/>
      <c r="E262" s="603"/>
      <c r="F262" s="450"/>
      <c r="G262" s="602"/>
      <c r="H262" s="603"/>
      <c r="I262" s="603"/>
      <c r="J262" s="603"/>
      <c r="K262" s="603"/>
      <c r="L262" s="603"/>
      <c r="M262" s="603"/>
      <c r="N262" s="603"/>
      <c r="O262" s="603"/>
      <c r="P262" s="514">
        <v>0</v>
      </c>
      <c r="Q262" s="602">
        <f t="shared" si="7"/>
        <v>0</v>
      </c>
      <c r="R262" s="515">
        <v>0</v>
      </c>
      <c r="S262" s="602">
        <f t="shared" si="8"/>
        <v>0</v>
      </c>
      <c r="T262" s="450"/>
      <c r="U262" s="452"/>
      <c r="V262" s="430"/>
    </row>
    <row r="263" spans="1:22" s="431" customFormat="1" x14ac:dyDescent="0.3">
      <c r="A263" s="449"/>
      <c r="B263" s="514" t="s">
        <v>165</v>
      </c>
      <c r="C263" s="603"/>
      <c r="D263" s="603"/>
      <c r="E263" s="603"/>
      <c r="F263" s="450"/>
      <c r="G263" s="602"/>
      <c r="H263" s="603"/>
      <c r="I263" s="603"/>
      <c r="J263" s="603"/>
      <c r="K263" s="603"/>
      <c r="L263" s="603"/>
      <c r="M263" s="603"/>
      <c r="N263" s="603"/>
      <c r="O263" s="603"/>
      <c r="P263" s="514">
        <v>0</v>
      </c>
      <c r="Q263" s="602">
        <f t="shared" si="7"/>
        <v>0</v>
      </c>
      <c r="R263" s="515">
        <v>0</v>
      </c>
      <c r="S263" s="602">
        <f t="shared" si="8"/>
        <v>0</v>
      </c>
      <c r="T263" s="450"/>
      <c r="U263" s="452"/>
      <c r="V263" s="430"/>
    </row>
    <row r="264" spans="1:22" s="431" customFormat="1" x14ac:dyDescent="0.3">
      <c r="A264" s="449"/>
      <c r="B264" s="514" t="s">
        <v>166</v>
      </c>
      <c r="C264" s="603"/>
      <c r="D264" s="603"/>
      <c r="E264" s="603"/>
      <c r="F264" s="450"/>
      <c r="G264" s="602"/>
      <c r="H264" s="603"/>
      <c r="I264" s="603"/>
      <c r="J264" s="603"/>
      <c r="K264" s="603"/>
      <c r="L264" s="603"/>
      <c r="M264" s="603"/>
      <c r="N264" s="603"/>
      <c r="O264" s="603"/>
      <c r="P264" s="514">
        <v>0</v>
      </c>
      <c r="Q264" s="602">
        <f t="shared" si="7"/>
        <v>0</v>
      </c>
      <c r="R264" s="515">
        <v>0</v>
      </c>
      <c r="S264" s="602">
        <f t="shared" si="8"/>
        <v>0</v>
      </c>
      <c r="T264" s="450"/>
      <c r="U264" s="452"/>
      <c r="V264" s="430"/>
    </row>
    <row r="265" spans="1:22" s="431" customFormat="1" x14ac:dyDescent="0.3">
      <c r="A265" s="449"/>
      <c r="B265" s="514" t="s">
        <v>167</v>
      </c>
      <c r="C265" s="603"/>
      <c r="D265" s="603"/>
      <c r="E265" s="603"/>
      <c r="F265" s="450"/>
      <c r="G265" s="602"/>
      <c r="H265" s="603"/>
      <c r="I265" s="603"/>
      <c r="J265" s="603"/>
      <c r="K265" s="603"/>
      <c r="L265" s="603"/>
      <c r="M265" s="603"/>
      <c r="N265" s="603"/>
      <c r="O265" s="603"/>
      <c r="P265" s="514">
        <v>0</v>
      </c>
      <c r="Q265" s="602">
        <f t="shared" si="7"/>
        <v>0</v>
      </c>
      <c r="R265" s="515">
        <v>0</v>
      </c>
      <c r="S265" s="602">
        <f t="shared" si="8"/>
        <v>0</v>
      </c>
      <c r="T265" s="450"/>
      <c r="U265" s="452"/>
      <c r="V265" s="430"/>
    </row>
    <row r="266" spans="1:22" s="431" customFormat="1" x14ac:dyDescent="0.3">
      <c r="A266" s="449"/>
      <c r="B266" s="514"/>
      <c r="C266" s="603"/>
      <c r="D266" s="603"/>
      <c r="E266" s="603"/>
      <c r="F266" s="450"/>
      <c r="G266" s="602"/>
      <c r="H266" s="603"/>
      <c r="I266" s="603"/>
      <c r="J266" s="603"/>
      <c r="K266" s="603"/>
      <c r="L266" s="603"/>
      <c r="M266" s="603"/>
      <c r="N266" s="603"/>
      <c r="O266" s="603"/>
      <c r="P266" s="514"/>
      <c r="Q266" s="602"/>
      <c r="R266" s="515"/>
      <c r="S266" s="602"/>
      <c r="T266" s="450"/>
      <c r="U266" s="452"/>
      <c r="V266" s="430"/>
    </row>
    <row r="267" spans="1:22" s="431" customFormat="1" x14ac:dyDescent="0.3">
      <c r="A267" s="449"/>
      <c r="B267" s="450" t="s">
        <v>120</v>
      </c>
      <c r="C267" s="450"/>
      <c r="D267" s="450"/>
      <c r="E267" s="450"/>
      <c r="F267" s="450"/>
      <c r="G267" s="450"/>
      <c r="H267" s="604"/>
      <c r="I267" s="604"/>
      <c r="J267" s="604"/>
      <c r="K267" s="604"/>
      <c r="L267" s="604"/>
      <c r="M267" s="604"/>
      <c r="N267" s="604"/>
      <c r="O267" s="604"/>
      <c r="P267" s="514">
        <f>SUM(P258:P266)</f>
        <v>24</v>
      </c>
      <c r="Q267" s="602">
        <f>SUM(Q258:Q266)</f>
        <v>0.99999999999999989</v>
      </c>
      <c r="R267" s="515">
        <f>SUM(R258:R266)</f>
        <v>3602</v>
      </c>
      <c r="S267" s="602">
        <f>SUM(S258:S266)</f>
        <v>1</v>
      </c>
      <c r="T267" s="450"/>
      <c r="U267" s="452"/>
      <c r="V267" s="430"/>
    </row>
    <row r="268" spans="1:22" x14ac:dyDescent="0.3">
      <c r="A268" s="418"/>
      <c r="B268" s="516"/>
      <c r="C268" s="516"/>
      <c r="D268" s="516"/>
      <c r="E268" s="516"/>
      <c r="F268" s="516"/>
      <c r="G268" s="516"/>
      <c r="H268" s="608"/>
      <c r="I268" s="608"/>
      <c r="J268" s="608"/>
      <c r="K268" s="608"/>
      <c r="L268" s="608"/>
      <c r="M268" s="608"/>
      <c r="N268" s="608"/>
      <c r="O268" s="608"/>
      <c r="P268" s="517"/>
      <c r="Q268" s="609"/>
      <c r="R268" s="610"/>
      <c r="S268" s="609"/>
      <c r="T268" s="516"/>
      <c r="U268" s="639"/>
      <c r="V268" s="416"/>
    </row>
    <row r="269" spans="1:22" x14ac:dyDescent="0.3">
      <c r="A269" s="654"/>
      <c r="B269" s="655" t="s">
        <v>390</v>
      </c>
      <c r="C269" s="656"/>
      <c r="D269" s="656"/>
      <c r="E269" s="656"/>
      <c r="F269" s="600"/>
      <c r="G269" s="656"/>
      <c r="H269" s="656"/>
      <c r="I269" s="656"/>
      <c r="J269" s="656"/>
      <c r="K269" s="656"/>
      <c r="L269" s="656"/>
      <c r="M269" s="656"/>
      <c r="N269" s="656"/>
      <c r="O269" s="656"/>
      <c r="P269" s="600" t="s">
        <v>105</v>
      </c>
      <c r="Q269" s="656" t="s">
        <v>106</v>
      </c>
      <c r="R269" s="600" t="s">
        <v>114</v>
      </c>
      <c r="S269" s="656" t="s">
        <v>106</v>
      </c>
      <c r="T269" s="656"/>
      <c r="U269" s="656"/>
      <c r="V269" s="416"/>
    </row>
    <row r="270" spans="1:22" x14ac:dyDescent="0.3">
      <c r="A270" s="657"/>
      <c r="B270" s="658" t="s">
        <v>391</v>
      </c>
      <c r="C270" s="658"/>
      <c r="D270" s="658"/>
      <c r="E270" s="658"/>
      <c r="F270" s="658"/>
      <c r="G270" s="658"/>
      <c r="H270" s="659"/>
      <c r="I270" s="659"/>
      <c r="J270" s="659"/>
      <c r="K270" s="659"/>
      <c r="L270" s="659"/>
      <c r="M270" s="659"/>
      <c r="N270" s="659"/>
      <c r="O270" s="659"/>
      <c r="P270" s="661">
        <v>16</v>
      </c>
      <c r="Q270" s="662">
        <f>P270/P277</f>
        <v>0.66666666666666663</v>
      </c>
      <c r="R270" s="663">
        <v>2292</v>
      </c>
      <c r="S270" s="662">
        <f>R270/R277</f>
        <v>0.63631315935591337</v>
      </c>
      <c r="T270" s="659"/>
      <c r="U270" s="659"/>
      <c r="V270" s="416"/>
    </row>
    <row r="271" spans="1:22" x14ac:dyDescent="0.3">
      <c r="A271" s="657"/>
      <c r="B271" s="658" t="s">
        <v>392</v>
      </c>
      <c r="C271" s="658"/>
      <c r="D271" s="658"/>
      <c r="E271" s="658"/>
      <c r="F271" s="658"/>
      <c r="G271" s="658"/>
      <c r="H271" s="659"/>
      <c r="I271" s="659"/>
      <c r="J271" s="659"/>
      <c r="K271" s="659"/>
      <c r="L271" s="659"/>
      <c r="M271" s="659"/>
      <c r="N271" s="659"/>
      <c r="O271" s="659"/>
      <c r="P271" s="661">
        <v>1</v>
      </c>
      <c r="Q271" s="662">
        <f>P271/P277</f>
        <v>4.1666666666666664E-2</v>
      </c>
      <c r="R271" s="663">
        <v>107</v>
      </c>
      <c r="S271" s="662">
        <f>R271/R277</f>
        <v>2.9705719044975015E-2</v>
      </c>
      <c r="T271" s="659"/>
      <c r="U271" s="659"/>
      <c r="V271" s="416"/>
    </row>
    <row r="272" spans="1:22" x14ac:dyDescent="0.3">
      <c r="A272" s="657"/>
      <c r="B272" s="658" t="s">
        <v>393</v>
      </c>
      <c r="C272" s="658"/>
      <c r="D272" s="658"/>
      <c r="E272" s="658"/>
      <c r="F272" s="658"/>
      <c r="G272" s="658"/>
      <c r="H272" s="659"/>
      <c r="I272" s="659"/>
      <c r="J272" s="659"/>
      <c r="K272" s="659"/>
      <c r="L272" s="659"/>
      <c r="M272" s="659"/>
      <c r="N272" s="659"/>
      <c r="O272" s="659"/>
      <c r="P272" s="661">
        <v>3</v>
      </c>
      <c r="Q272" s="662">
        <f>P272/P277</f>
        <v>0.125</v>
      </c>
      <c r="R272" s="663">
        <v>329</v>
      </c>
      <c r="S272" s="662">
        <f>R272/R277</f>
        <v>9.133814547473626E-2</v>
      </c>
      <c r="T272" s="659"/>
      <c r="U272" s="659"/>
      <c r="V272" s="416"/>
    </row>
    <row r="273" spans="1:22" x14ac:dyDescent="0.3">
      <c r="A273" s="657"/>
      <c r="B273" s="658" t="s">
        <v>394</v>
      </c>
      <c r="C273" s="658"/>
      <c r="D273" s="658"/>
      <c r="E273" s="658"/>
      <c r="F273" s="658"/>
      <c r="G273" s="658"/>
      <c r="H273" s="659"/>
      <c r="I273" s="659"/>
      <c r="J273" s="659"/>
      <c r="K273" s="659"/>
      <c r="L273" s="659"/>
      <c r="M273" s="659"/>
      <c r="N273" s="659"/>
      <c r="O273" s="659"/>
      <c r="P273" s="661">
        <v>3</v>
      </c>
      <c r="Q273" s="662">
        <f>P273/P277</f>
        <v>0.125</v>
      </c>
      <c r="R273" s="663">
        <v>780</v>
      </c>
      <c r="S273" s="662">
        <f>R273/R277</f>
        <v>0.21654636313159356</v>
      </c>
      <c r="T273" s="659"/>
      <c r="U273" s="659"/>
      <c r="V273" s="416"/>
    </row>
    <row r="274" spans="1:22" x14ac:dyDescent="0.3">
      <c r="A274" s="657"/>
      <c r="B274" s="658" t="s">
        <v>395</v>
      </c>
      <c r="C274" s="658"/>
      <c r="D274" s="658"/>
      <c r="E274" s="658"/>
      <c r="F274" s="658"/>
      <c r="G274" s="658"/>
      <c r="H274" s="659"/>
      <c r="I274" s="659"/>
      <c r="J274" s="659"/>
      <c r="K274" s="659"/>
      <c r="L274" s="659"/>
      <c r="M274" s="659"/>
      <c r="N274" s="659"/>
      <c r="O274" s="659"/>
      <c r="P274" s="661">
        <v>1</v>
      </c>
      <c r="Q274" s="662">
        <f>P274/P277</f>
        <v>4.1666666666666664E-2</v>
      </c>
      <c r="R274" s="663">
        <v>94</v>
      </c>
      <c r="S274" s="662">
        <f>R274/R277</f>
        <v>2.6096612992781789E-2</v>
      </c>
      <c r="T274" s="659"/>
      <c r="U274" s="659"/>
      <c r="V274" s="416"/>
    </row>
    <row r="275" spans="1:22" x14ac:dyDescent="0.3">
      <c r="A275" s="657"/>
      <c r="B275" s="660" t="s">
        <v>396</v>
      </c>
      <c r="C275" s="658"/>
      <c r="D275" s="658"/>
      <c r="E275" s="658"/>
      <c r="F275" s="658"/>
      <c r="G275" s="658"/>
      <c r="H275" s="659"/>
      <c r="I275" s="659"/>
      <c r="J275" s="659"/>
      <c r="K275" s="659"/>
      <c r="L275" s="659"/>
      <c r="M275" s="659"/>
      <c r="N275" s="659"/>
      <c r="O275" s="659"/>
      <c r="P275" s="661">
        <v>0</v>
      </c>
      <c r="Q275" s="662">
        <f>P275/P277</f>
        <v>0</v>
      </c>
      <c r="R275" s="663">
        <v>0</v>
      </c>
      <c r="S275" s="662">
        <f>R275/R277</f>
        <v>0</v>
      </c>
      <c r="T275" s="659"/>
      <c r="U275" s="659"/>
      <c r="V275" s="416"/>
    </row>
    <row r="276" spans="1:22" x14ac:dyDescent="0.3">
      <c r="A276" s="657"/>
      <c r="B276" s="658"/>
      <c r="C276" s="658"/>
      <c r="D276" s="658"/>
      <c r="E276" s="658"/>
      <c r="F276" s="658"/>
      <c r="G276" s="658"/>
      <c r="H276" s="659"/>
      <c r="I276" s="659"/>
      <c r="J276" s="659"/>
      <c r="K276" s="659"/>
      <c r="L276" s="659"/>
      <c r="M276" s="659"/>
      <c r="N276" s="659"/>
      <c r="O276" s="659"/>
      <c r="P276" s="661"/>
      <c r="Q276" s="662"/>
      <c r="R276" s="663"/>
      <c r="S276" s="662"/>
      <c r="T276" s="659"/>
      <c r="U276" s="659"/>
      <c r="V276" s="416"/>
    </row>
    <row r="277" spans="1:22" x14ac:dyDescent="0.3">
      <c r="A277" s="657"/>
      <c r="B277" s="658" t="s">
        <v>120</v>
      </c>
      <c r="C277" s="658"/>
      <c r="D277" s="658"/>
      <c r="E277" s="658"/>
      <c r="F277" s="658"/>
      <c r="G277" s="658"/>
      <c r="H277" s="659"/>
      <c r="I277" s="659"/>
      <c r="J277" s="659"/>
      <c r="K277" s="659"/>
      <c r="L277" s="659"/>
      <c r="M277" s="659"/>
      <c r="N277" s="659"/>
      <c r="O277" s="659"/>
      <c r="P277" s="661">
        <f>SUM(P270:P276)</f>
        <v>24</v>
      </c>
      <c r="Q277" s="662">
        <f>SUM(Q270:Q275)</f>
        <v>0.99999999999999989</v>
      </c>
      <c r="R277" s="663">
        <f>SUM(R270:R275)</f>
        <v>3602</v>
      </c>
      <c r="S277" s="662">
        <f>SUM(S270:S276)</f>
        <v>1</v>
      </c>
      <c r="T277" s="659"/>
      <c r="U277" s="659"/>
      <c r="V277" s="416"/>
    </row>
    <row r="278" spans="1:22" x14ac:dyDescent="0.3">
      <c r="A278" s="418"/>
      <c r="B278" s="516"/>
      <c r="C278" s="516"/>
      <c r="D278" s="516"/>
      <c r="E278" s="516"/>
      <c r="F278" s="516"/>
      <c r="G278" s="516"/>
      <c r="H278" s="608"/>
      <c r="I278" s="608"/>
      <c r="J278" s="608"/>
      <c r="K278" s="608"/>
      <c r="L278" s="608"/>
      <c r="M278" s="608"/>
      <c r="N278" s="608"/>
      <c r="O278" s="608"/>
      <c r="P278" s="517"/>
      <c r="Q278" s="609"/>
      <c r="R278" s="610"/>
      <c r="S278" s="609"/>
      <c r="T278" s="516"/>
      <c r="U278" s="639"/>
      <c r="V278" s="416"/>
    </row>
    <row r="279" spans="1:22" x14ac:dyDescent="0.3">
      <c r="A279" s="442"/>
      <c r="B279" s="521" t="s">
        <v>170</v>
      </c>
      <c r="C279" s="443"/>
      <c r="D279" s="443"/>
      <c r="E279" s="443"/>
      <c r="F279" s="443"/>
      <c r="G279" s="443"/>
      <c r="H279" s="611"/>
      <c r="I279" s="611"/>
      <c r="J279" s="611"/>
      <c r="K279" s="611"/>
      <c r="L279" s="611"/>
      <c r="M279" s="611"/>
      <c r="N279" s="611"/>
      <c r="O279" s="611"/>
      <c r="P279" s="566" t="s">
        <v>105</v>
      </c>
      <c r="Q279" s="522" t="s">
        <v>106</v>
      </c>
      <c r="R279" s="566" t="s">
        <v>114</v>
      </c>
      <c r="S279" s="522" t="s">
        <v>106</v>
      </c>
      <c r="T279" s="443"/>
      <c r="U279" s="446"/>
      <c r="V279" s="416"/>
    </row>
    <row r="280" spans="1:22" s="431" customFormat="1" x14ac:dyDescent="0.3">
      <c r="A280" s="432"/>
      <c r="B280" s="525" t="s">
        <v>91</v>
      </c>
      <c r="C280" s="447"/>
      <c r="D280" s="447"/>
      <c r="E280" s="447"/>
      <c r="F280" s="447"/>
      <c r="G280" s="447"/>
      <c r="H280" s="612"/>
      <c r="I280" s="612"/>
      <c r="J280" s="612"/>
      <c r="K280" s="612"/>
      <c r="L280" s="612"/>
      <c r="M280" s="612"/>
      <c r="N280" s="612"/>
      <c r="O280" s="612"/>
      <c r="P280" s="525">
        <v>0</v>
      </c>
      <c r="Q280" s="607">
        <v>0</v>
      </c>
      <c r="R280" s="526">
        <v>0</v>
      </c>
      <c r="S280" s="607">
        <v>0</v>
      </c>
      <c r="T280" s="447"/>
      <c r="U280" s="641"/>
      <c r="V280" s="430"/>
    </row>
    <row r="281" spans="1:22" s="431" customFormat="1" x14ac:dyDescent="0.3">
      <c r="A281" s="449"/>
      <c r="B281" s="514" t="s">
        <v>92</v>
      </c>
      <c r="C281" s="450"/>
      <c r="D281" s="450"/>
      <c r="E281" s="450"/>
      <c r="F281" s="450"/>
      <c r="G281" s="450"/>
      <c r="H281" s="604"/>
      <c r="I281" s="604"/>
      <c r="J281" s="604"/>
      <c r="K281" s="604"/>
      <c r="L281" s="604"/>
      <c r="M281" s="604"/>
      <c r="N281" s="604"/>
      <c r="O281" s="604"/>
      <c r="P281" s="514">
        <v>0</v>
      </c>
      <c r="Q281" s="602">
        <v>0</v>
      </c>
      <c r="R281" s="515">
        <v>0</v>
      </c>
      <c r="S281" s="602">
        <v>0</v>
      </c>
      <c r="T281" s="450"/>
      <c r="U281" s="452"/>
      <c r="V281" s="430"/>
    </row>
    <row r="282" spans="1:22" s="431" customFormat="1" x14ac:dyDescent="0.3">
      <c r="A282" s="449"/>
      <c r="B282" s="514" t="s">
        <v>93</v>
      </c>
      <c r="C282" s="450"/>
      <c r="D282" s="450"/>
      <c r="E282" s="450"/>
      <c r="F282" s="450"/>
      <c r="G282" s="450"/>
      <c r="H282" s="604"/>
      <c r="I282" s="604"/>
      <c r="J282" s="604"/>
      <c r="K282" s="604"/>
      <c r="L282" s="604"/>
      <c r="M282" s="604"/>
      <c r="N282" s="604"/>
      <c r="O282" s="604"/>
      <c r="P282" s="514">
        <v>0</v>
      </c>
      <c r="Q282" s="602">
        <v>0</v>
      </c>
      <c r="R282" s="515">
        <v>0</v>
      </c>
      <c r="S282" s="602">
        <v>0</v>
      </c>
      <c r="T282" s="450"/>
      <c r="U282" s="452"/>
      <c r="V282" s="430"/>
    </row>
    <row r="283" spans="1:22" s="431" customFormat="1" x14ac:dyDescent="0.3">
      <c r="A283" s="449"/>
      <c r="B283" s="514" t="s">
        <v>163</v>
      </c>
      <c r="C283" s="450"/>
      <c r="D283" s="450"/>
      <c r="E283" s="450"/>
      <c r="F283" s="450"/>
      <c r="G283" s="450"/>
      <c r="H283" s="604"/>
      <c r="I283" s="604"/>
      <c r="J283" s="604"/>
      <c r="K283" s="604"/>
      <c r="L283" s="604"/>
      <c r="M283" s="604"/>
      <c r="N283" s="604"/>
      <c r="O283" s="604"/>
      <c r="P283" s="514">
        <v>0</v>
      </c>
      <c r="Q283" s="602">
        <v>0</v>
      </c>
      <c r="R283" s="515">
        <v>0</v>
      </c>
      <c r="S283" s="602">
        <v>0</v>
      </c>
      <c r="T283" s="450"/>
      <c r="U283" s="452"/>
      <c r="V283" s="430"/>
    </row>
    <row r="284" spans="1:22" s="431" customFormat="1" x14ac:dyDescent="0.3">
      <c r="A284" s="449"/>
      <c r="B284" s="514" t="s">
        <v>164</v>
      </c>
      <c r="C284" s="450"/>
      <c r="D284" s="450"/>
      <c r="E284" s="450"/>
      <c r="F284" s="450"/>
      <c r="G284" s="450"/>
      <c r="H284" s="604"/>
      <c r="I284" s="604"/>
      <c r="J284" s="604"/>
      <c r="K284" s="604"/>
      <c r="L284" s="604"/>
      <c r="M284" s="604"/>
      <c r="N284" s="604"/>
      <c r="O284" s="604"/>
      <c r="P284" s="514">
        <v>0</v>
      </c>
      <c r="Q284" s="602">
        <v>0</v>
      </c>
      <c r="R284" s="515">
        <v>0</v>
      </c>
      <c r="S284" s="602">
        <v>0</v>
      </c>
      <c r="T284" s="450"/>
      <c r="U284" s="452"/>
      <c r="V284" s="430"/>
    </row>
    <row r="285" spans="1:22" s="431" customFormat="1" x14ac:dyDescent="0.3">
      <c r="A285" s="449"/>
      <c r="B285" s="514" t="s">
        <v>165</v>
      </c>
      <c r="C285" s="450"/>
      <c r="D285" s="450"/>
      <c r="E285" s="450"/>
      <c r="F285" s="450"/>
      <c r="G285" s="450"/>
      <c r="H285" s="604"/>
      <c r="I285" s="604"/>
      <c r="J285" s="604"/>
      <c r="K285" s="604"/>
      <c r="L285" s="604"/>
      <c r="M285" s="604"/>
      <c r="N285" s="604"/>
      <c r="O285" s="604"/>
      <c r="P285" s="514">
        <v>0</v>
      </c>
      <c r="Q285" s="602">
        <v>0</v>
      </c>
      <c r="R285" s="515">
        <v>0</v>
      </c>
      <c r="S285" s="602">
        <v>0</v>
      </c>
      <c r="T285" s="450"/>
      <c r="U285" s="452"/>
      <c r="V285" s="430"/>
    </row>
    <row r="286" spans="1:22" s="431" customFormat="1" x14ac:dyDescent="0.3">
      <c r="A286" s="449"/>
      <c r="B286" s="514" t="s">
        <v>166</v>
      </c>
      <c r="C286" s="450"/>
      <c r="D286" s="450"/>
      <c r="E286" s="450"/>
      <c r="F286" s="450"/>
      <c r="G286" s="450"/>
      <c r="H286" s="604"/>
      <c r="I286" s="604"/>
      <c r="J286" s="604"/>
      <c r="K286" s="604"/>
      <c r="L286" s="604"/>
      <c r="M286" s="604"/>
      <c r="N286" s="604"/>
      <c r="O286" s="604"/>
      <c r="P286" s="514">
        <v>0</v>
      </c>
      <c r="Q286" s="602">
        <v>0</v>
      </c>
      <c r="R286" s="515">
        <v>0</v>
      </c>
      <c r="S286" s="602">
        <v>0</v>
      </c>
      <c r="T286" s="450"/>
      <c r="U286" s="452"/>
      <c r="V286" s="430"/>
    </row>
    <row r="287" spans="1:22" s="431" customFormat="1" x14ac:dyDescent="0.3">
      <c r="A287" s="449"/>
      <c r="B287" s="514" t="s">
        <v>167</v>
      </c>
      <c r="C287" s="450"/>
      <c r="D287" s="450"/>
      <c r="E287" s="450"/>
      <c r="F287" s="450"/>
      <c r="G287" s="450"/>
      <c r="H287" s="604"/>
      <c r="I287" s="604"/>
      <c r="J287" s="604"/>
      <c r="K287" s="604"/>
      <c r="L287" s="604"/>
      <c r="M287" s="604"/>
      <c r="N287" s="604"/>
      <c r="O287" s="604"/>
      <c r="P287" s="514">
        <v>0</v>
      </c>
      <c r="Q287" s="602">
        <v>0</v>
      </c>
      <c r="R287" s="515">
        <v>0</v>
      </c>
      <c r="S287" s="602">
        <v>0</v>
      </c>
      <c r="T287" s="450"/>
      <c r="U287" s="452"/>
      <c r="V287" s="430"/>
    </row>
    <row r="288" spans="1:22" s="431" customFormat="1" x14ac:dyDescent="0.3">
      <c r="A288" s="449"/>
      <c r="B288" s="514"/>
      <c r="C288" s="450"/>
      <c r="D288" s="450"/>
      <c r="E288" s="450"/>
      <c r="F288" s="450"/>
      <c r="G288" s="450"/>
      <c r="H288" s="604"/>
      <c r="I288" s="604"/>
      <c r="J288" s="604"/>
      <c r="K288" s="604"/>
      <c r="L288" s="604"/>
      <c r="M288" s="604"/>
      <c r="N288" s="604"/>
      <c r="O288" s="604"/>
      <c r="P288" s="514"/>
      <c r="Q288" s="602"/>
      <c r="R288" s="515"/>
      <c r="S288" s="602"/>
      <c r="T288" s="450"/>
      <c r="U288" s="452"/>
      <c r="V288" s="430"/>
    </row>
    <row r="289" spans="1:22" s="431" customFormat="1" x14ac:dyDescent="0.3">
      <c r="A289" s="449"/>
      <c r="B289" s="450" t="s">
        <v>120</v>
      </c>
      <c r="C289" s="450"/>
      <c r="D289" s="450"/>
      <c r="E289" s="450"/>
      <c r="F289" s="450"/>
      <c r="G289" s="450"/>
      <c r="H289" s="604"/>
      <c r="I289" s="604"/>
      <c r="J289" s="604"/>
      <c r="K289" s="604"/>
      <c r="L289" s="604"/>
      <c r="M289" s="604"/>
      <c r="N289" s="604"/>
      <c r="O289" s="604"/>
      <c r="P289" s="514">
        <f>SUM(P280:P287)</f>
        <v>0</v>
      </c>
      <c r="Q289" s="602">
        <f>SUM(Q280:Q288)</f>
        <v>0</v>
      </c>
      <c r="R289" s="515">
        <f>SUM(R280:R287)</f>
        <v>0</v>
      </c>
      <c r="S289" s="602">
        <f>SUM(S280:S288)</f>
        <v>0</v>
      </c>
      <c r="T289" s="450"/>
      <c r="U289" s="452"/>
      <c r="V289" s="430"/>
    </row>
    <row r="290" spans="1:22" s="431" customFormat="1" x14ac:dyDescent="0.3">
      <c r="A290" s="449"/>
      <c r="B290" s="450"/>
      <c r="C290" s="450"/>
      <c r="D290" s="450"/>
      <c r="E290" s="450"/>
      <c r="F290" s="450"/>
      <c r="G290" s="450"/>
      <c r="H290" s="604"/>
      <c r="I290" s="604"/>
      <c r="J290" s="604"/>
      <c r="K290" s="604"/>
      <c r="L290" s="604"/>
      <c r="M290" s="604"/>
      <c r="N290" s="604"/>
      <c r="O290" s="604"/>
      <c r="P290" s="514"/>
      <c r="Q290" s="602"/>
      <c r="R290" s="515"/>
      <c r="S290" s="602"/>
      <c r="T290" s="450"/>
      <c r="U290" s="452"/>
      <c r="V290" s="430"/>
    </row>
    <row r="291" spans="1:22" s="431" customFormat="1" x14ac:dyDescent="0.3">
      <c r="A291" s="449"/>
      <c r="B291" s="455" t="s">
        <v>171</v>
      </c>
      <c r="C291" s="450"/>
      <c r="D291" s="450"/>
      <c r="E291" s="450"/>
      <c r="F291" s="450"/>
      <c r="G291" s="450"/>
      <c r="H291" s="604"/>
      <c r="I291" s="604"/>
      <c r="J291" s="604"/>
      <c r="K291" s="604"/>
      <c r="L291" s="604"/>
      <c r="M291" s="604"/>
      <c r="N291" s="604"/>
      <c r="O291" s="604"/>
      <c r="P291" s="613">
        <f>P289+P267+P255</f>
        <v>2724</v>
      </c>
      <c r="Q291" s="602"/>
      <c r="R291" s="614">
        <f>+R289+R267+R255</f>
        <v>346251</v>
      </c>
      <c r="S291" s="602"/>
      <c r="T291" s="450"/>
      <c r="U291" s="452"/>
      <c r="V291" s="430"/>
    </row>
    <row r="292" spans="1:22" s="431" customFormat="1" x14ac:dyDescent="0.3">
      <c r="A292" s="418"/>
      <c r="B292" s="516"/>
      <c r="C292" s="516"/>
      <c r="D292" s="516"/>
      <c r="E292" s="516"/>
      <c r="F292" s="516"/>
      <c r="G292" s="516"/>
      <c r="H292" s="608"/>
      <c r="I292" s="608"/>
      <c r="J292" s="608"/>
      <c r="K292" s="608"/>
      <c r="L292" s="608"/>
      <c r="M292" s="608"/>
      <c r="N292" s="608"/>
      <c r="O292" s="608"/>
      <c r="P292" s="517"/>
      <c r="Q292" s="609"/>
      <c r="R292" s="610"/>
      <c r="S292" s="609"/>
      <c r="T292" s="516"/>
      <c r="U292" s="639"/>
      <c r="V292" s="430"/>
    </row>
    <row r="293" spans="1:22" s="431" customFormat="1" x14ac:dyDescent="0.3">
      <c r="A293" s="442" t="s">
        <v>376</v>
      </c>
      <c r="B293" s="521" t="s">
        <v>375</v>
      </c>
      <c r="C293" s="443"/>
      <c r="D293" s="443"/>
      <c r="E293" s="443"/>
      <c r="F293" s="443"/>
      <c r="G293" s="443"/>
      <c r="H293" s="611"/>
      <c r="I293" s="611"/>
      <c r="J293" s="611"/>
      <c r="K293" s="611"/>
      <c r="L293" s="611"/>
      <c r="M293" s="611"/>
      <c r="N293" s="611"/>
      <c r="O293" s="611"/>
      <c r="P293" s="566" t="s">
        <v>105</v>
      </c>
      <c r="Q293" s="522" t="s">
        <v>106</v>
      </c>
      <c r="R293" s="566" t="s">
        <v>114</v>
      </c>
      <c r="S293" s="522" t="s">
        <v>106</v>
      </c>
      <c r="T293" s="521" t="s">
        <v>404</v>
      </c>
      <c r="U293" s="446"/>
      <c r="V293" s="430"/>
    </row>
    <row r="294" spans="1:22" s="431" customFormat="1" x14ac:dyDescent="0.3">
      <c r="A294" s="432"/>
      <c r="B294" s="525" t="s">
        <v>91</v>
      </c>
      <c r="C294" s="447"/>
      <c r="D294" s="447"/>
      <c r="E294" s="447"/>
      <c r="F294" s="447"/>
      <c r="G294" s="447"/>
      <c r="H294" s="612"/>
      <c r="I294" s="612"/>
      <c r="J294" s="612"/>
      <c r="K294" s="612"/>
      <c r="L294" s="612"/>
      <c r="M294" s="612"/>
      <c r="N294" s="612"/>
      <c r="O294" s="612"/>
      <c r="P294" s="525">
        <v>370</v>
      </c>
      <c r="Q294" s="607">
        <f>P294/$P$303</f>
        <v>0.95607235142118863</v>
      </c>
      <c r="R294" s="526">
        <v>55101</v>
      </c>
      <c r="S294" s="607">
        <f>R294/$R$303</f>
        <v>0.95077130137695409</v>
      </c>
      <c r="T294" s="447"/>
      <c r="U294" s="641"/>
      <c r="V294" s="430"/>
    </row>
    <row r="295" spans="1:22" s="431" customFormat="1" x14ac:dyDescent="0.3">
      <c r="A295" s="449"/>
      <c r="B295" s="514" t="s">
        <v>92</v>
      </c>
      <c r="C295" s="450"/>
      <c r="D295" s="450"/>
      <c r="E295" s="450"/>
      <c r="F295" s="450"/>
      <c r="G295" s="450"/>
      <c r="H295" s="604"/>
      <c r="I295" s="604"/>
      <c r="J295" s="604"/>
      <c r="K295" s="604"/>
      <c r="L295" s="604"/>
      <c r="M295" s="604"/>
      <c r="N295" s="604"/>
      <c r="O295" s="604"/>
      <c r="P295" s="514">
        <v>16</v>
      </c>
      <c r="Q295" s="602">
        <f>P295/$P$303</f>
        <v>4.1343669250645997E-2</v>
      </c>
      <c r="R295" s="515">
        <v>2725</v>
      </c>
      <c r="S295" s="650">
        <f t="shared" ref="S295:S301" si="9">R295/$R$303</f>
        <v>4.7020050384787938E-2</v>
      </c>
      <c r="T295" s="450"/>
      <c r="U295" s="452"/>
      <c r="V295" s="430"/>
    </row>
    <row r="296" spans="1:22" s="431" customFormat="1" x14ac:dyDescent="0.3">
      <c r="A296" s="449"/>
      <c r="B296" s="514" t="s">
        <v>93</v>
      </c>
      <c r="C296" s="450"/>
      <c r="D296" s="450"/>
      <c r="E296" s="450"/>
      <c r="F296" s="450"/>
      <c r="G296" s="450"/>
      <c r="H296" s="604"/>
      <c r="I296" s="604"/>
      <c r="J296" s="604"/>
      <c r="K296" s="604"/>
      <c r="L296" s="604"/>
      <c r="M296" s="604"/>
      <c r="N296" s="604"/>
      <c r="O296" s="604"/>
      <c r="P296" s="514">
        <v>1</v>
      </c>
      <c r="Q296" s="602">
        <f t="shared" ref="Q296:Q301" si="10">P296/$P$303</f>
        <v>2.5839793281653748E-3</v>
      </c>
      <c r="R296" s="515">
        <v>128</v>
      </c>
      <c r="S296" s="650">
        <f t="shared" si="9"/>
        <v>2.2086482382579287E-3</v>
      </c>
      <c r="T296" s="450"/>
      <c r="U296" s="452"/>
      <c r="V296" s="430"/>
    </row>
    <row r="297" spans="1:22" s="431" customFormat="1" x14ac:dyDescent="0.3">
      <c r="A297" s="449"/>
      <c r="B297" s="514" t="s">
        <v>163</v>
      </c>
      <c r="C297" s="450"/>
      <c r="D297" s="450"/>
      <c r="E297" s="450"/>
      <c r="F297" s="450"/>
      <c r="G297" s="450"/>
      <c r="H297" s="604"/>
      <c r="I297" s="604"/>
      <c r="J297" s="604"/>
      <c r="K297" s="604"/>
      <c r="L297" s="604"/>
      <c r="M297" s="604"/>
      <c r="N297" s="604"/>
      <c r="O297" s="604"/>
      <c r="P297" s="514">
        <v>0</v>
      </c>
      <c r="Q297" s="602">
        <f t="shared" si="10"/>
        <v>0</v>
      </c>
      <c r="R297" s="515">
        <v>0</v>
      </c>
      <c r="S297" s="650">
        <f t="shared" si="9"/>
        <v>0</v>
      </c>
      <c r="T297" s="450"/>
      <c r="U297" s="452"/>
      <c r="V297" s="430"/>
    </row>
    <row r="298" spans="1:22" s="431" customFormat="1" x14ac:dyDescent="0.3">
      <c r="A298" s="449"/>
      <c r="B298" s="514" t="s">
        <v>164</v>
      </c>
      <c r="C298" s="450"/>
      <c r="D298" s="450"/>
      <c r="E298" s="450"/>
      <c r="F298" s="450"/>
      <c r="G298" s="450"/>
      <c r="H298" s="604"/>
      <c r="I298" s="604"/>
      <c r="J298" s="604"/>
      <c r="K298" s="604"/>
      <c r="L298" s="604"/>
      <c r="M298" s="604"/>
      <c r="N298" s="604"/>
      <c r="O298" s="604"/>
      <c r="P298" s="514">
        <v>0</v>
      </c>
      <c r="Q298" s="602">
        <f t="shared" si="10"/>
        <v>0</v>
      </c>
      <c r="R298" s="515">
        <v>0</v>
      </c>
      <c r="S298" s="650">
        <f t="shared" si="9"/>
        <v>0</v>
      </c>
      <c r="T298" s="450"/>
      <c r="U298" s="452"/>
      <c r="V298" s="430"/>
    </row>
    <row r="299" spans="1:22" s="431" customFormat="1" x14ac:dyDescent="0.3">
      <c r="A299" s="449"/>
      <c r="B299" s="514" t="s">
        <v>165</v>
      </c>
      <c r="C299" s="450"/>
      <c r="D299" s="450"/>
      <c r="E299" s="450"/>
      <c r="F299" s="450"/>
      <c r="G299" s="450"/>
      <c r="H299" s="604"/>
      <c r="I299" s="604"/>
      <c r="J299" s="604"/>
      <c r="K299" s="604"/>
      <c r="L299" s="604"/>
      <c r="M299" s="604"/>
      <c r="N299" s="604"/>
      <c r="O299" s="604"/>
      <c r="P299" s="514">
        <v>0</v>
      </c>
      <c r="Q299" s="602">
        <f t="shared" si="10"/>
        <v>0</v>
      </c>
      <c r="R299" s="515">
        <v>0</v>
      </c>
      <c r="S299" s="650">
        <f t="shared" si="9"/>
        <v>0</v>
      </c>
      <c r="T299" s="450"/>
      <c r="U299" s="452"/>
      <c r="V299" s="430"/>
    </row>
    <row r="300" spans="1:22" s="431" customFormat="1" x14ac:dyDescent="0.3">
      <c r="A300" s="449"/>
      <c r="B300" s="514" t="s">
        <v>166</v>
      </c>
      <c r="C300" s="450"/>
      <c r="D300" s="450"/>
      <c r="E300" s="450"/>
      <c r="F300" s="450"/>
      <c r="G300" s="450"/>
      <c r="H300" s="604"/>
      <c r="I300" s="604"/>
      <c r="J300" s="604"/>
      <c r="K300" s="604"/>
      <c r="L300" s="604"/>
      <c r="M300" s="604"/>
      <c r="N300" s="604"/>
      <c r="O300" s="604"/>
      <c r="P300" s="514">
        <v>0</v>
      </c>
      <c r="Q300" s="602">
        <f t="shared" si="10"/>
        <v>0</v>
      </c>
      <c r="R300" s="515">
        <v>0</v>
      </c>
      <c r="S300" s="650">
        <f t="shared" si="9"/>
        <v>0</v>
      </c>
      <c r="T300" s="450"/>
      <c r="U300" s="452"/>
      <c r="V300" s="430"/>
    </row>
    <row r="301" spans="1:22" s="431" customFormat="1" x14ac:dyDescent="0.3">
      <c r="A301" s="449"/>
      <c r="B301" s="514" t="s">
        <v>167</v>
      </c>
      <c r="C301" s="450"/>
      <c r="D301" s="450"/>
      <c r="E301" s="450"/>
      <c r="F301" s="450"/>
      <c r="G301" s="450"/>
      <c r="H301" s="604"/>
      <c r="I301" s="604"/>
      <c r="J301" s="604"/>
      <c r="K301" s="604"/>
      <c r="L301" s="604"/>
      <c r="M301" s="604"/>
      <c r="N301" s="604"/>
      <c r="O301" s="604"/>
      <c r="P301" s="514">
        <v>0</v>
      </c>
      <c r="Q301" s="602">
        <f t="shared" si="10"/>
        <v>0</v>
      </c>
      <c r="R301" s="515">
        <v>0</v>
      </c>
      <c r="S301" s="607">
        <f t="shared" si="9"/>
        <v>0</v>
      </c>
      <c r="T301" s="450"/>
      <c r="U301" s="452"/>
      <c r="V301" s="430"/>
    </row>
    <row r="302" spans="1:22" s="431" customFormat="1" x14ac:dyDescent="0.3">
      <c r="A302" s="449"/>
      <c r="B302" s="514"/>
      <c r="C302" s="450"/>
      <c r="D302" s="450"/>
      <c r="E302" s="450"/>
      <c r="F302" s="450"/>
      <c r="G302" s="450"/>
      <c r="H302" s="604"/>
      <c r="I302" s="604"/>
      <c r="J302" s="604"/>
      <c r="K302" s="604"/>
      <c r="L302" s="604"/>
      <c r="M302" s="604"/>
      <c r="N302" s="604"/>
      <c r="O302" s="604"/>
      <c r="P302" s="514"/>
      <c r="Q302" s="602"/>
      <c r="R302" s="515"/>
      <c r="S302" s="602"/>
      <c r="T302" s="450"/>
      <c r="U302" s="452"/>
      <c r="V302" s="430"/>
    </row>
    <row r="303" spans="1:22" s="431" customFormat="1" x14ac:dyDescent="0.3">
      <c r="A303" s="449"/>
      <c r="B303" s="450" t="s">
        <v>120</v>
      </c>
      <c r="C303" s="450"/>
      <c r="D303" s="450"/>
      <c r="E303" s="450"/>
      <c r="F303" s="450"/>
      <c r="G303" s="450"/>
      <c r="H303" s="604"/>
      <c r="I303" s="604"/>
      <c r="J303" s="604"/>
      <c r="K303" s="604"/>
      <c r="L303" s="604"/>
      <c r="M303" s="604"/>
      <c r="N303" s="604"/>
      <c r="O303" s="604"/>
      <c r="P303" s="514">
        <f>SUM(P294:P301)</f>
        <v>387</v>
      </c>
      <c r="Q303" s="602">
        <f>SUM(Q294:Q302)</f>
        <v>1</v>
      </c>
      <c r="R303" s="515">
        <f>SUM(R294:R301)</f>
        <v>57954</v>
      </c>
      <c r="S303" s="602">
        <f>SUM(S294:S302)</f>
        <v>1</v>
      </c>
      <c r="T303" s="450"/>
      <c r="U303" s="452"/>
      <c r="V303" s="430"/>
    </row>
    <row r="304" spans="1:22" s="431" customFormat="1" x14ac:dyDescent="0.3">
      <c r="A304" s="449"/>
      <c r="B304" s="664" t="s">
        <v>397</v>
      </c>
      <c r="C304" s="450"/>
      <c r="D304" s="450"/>
      <c r="E304" s="450"/>
      <c r="F304" s="450"/>
      <c r="G304" s="450"/>
      <c r="H304" s="604"/>
      <c r="I304" s="604"/>
      <c r="J304" s="604"/>
      <c r="K304" s="604"/>
      <c r="L304" s="604"/>
      <c r="M304" s="604"/>
      <c r="N304" s="604"/>
      <c r="O304" s="604"/>
      <c r="P304" s="514"/>
      <c r="Q304" s="665">
        <f>P303/P291</f>
        <v>0.14207048458149779</v>
      </c>
      <c r="R304" s="614"/>
      <c r="S304" s="665">
        <f>R303/R291</f>
        <v>0.16737568988970428</v>
      </c>
      <c r="T304" s="450"/>
      <c r="U304" s="452"/>
      <c r="V304" s="430"/>
    </row>
    <row r="305" spans="1:22" s="431" customFormat="1" x14ac:dyDescent="0.3">
      <c r="A305" s="449"/>
      <c r="B305" s="664" t="s">
        <v>405</v>
      </c>
      <c r="C305" s="450"/>
      <c r="D305" s="450"/>
      <c r="E305" s="450"/>
      <c r="F305" s="450"/>
      <c r="G305" s="450"/>
      <c r="H305" s="604"/>
      <c r="I305" s="604"/>
      <c r="J305" s="604"/>
      <c r="K305" s="604"/>
      <c r="L305" s="604"/>
      <c r="M305" s="604"/>
      <c r="N305" s="604"/>
      <c r="O305" s="604"/>
      <c r="P305" s="514">
        <v>261</v>
      </c>
      <c r="Q305" s="602">
        <f>P305/P303</f>
        <v>0.67441860465116277</v>
      </c>
      <c r="R305" s="515">
        <v>39901</v>
      </c>
      <c r="S305" s="602">
        <f>R305/R303</f>
        <v>0.68849432308382508</v>
      </c>
      <c r="T305" s="667">
        <v>1.0049908703590993</v>
      </c>
      <c r="U305" s="452"/>
      <c r="V305" s="430"/>
    </row>
    <row r="306" spans="1:22" s="431" customFormat="1" x14ac:dyDescent="0.3">
      <c r="A306" s="449"/>
      <c r="B306" s="664" t="s">
        <v>406</v>
      </c>
      <c r="C306" s="450"/>
      <c r="D306" s="450"/>
      <c r="E306" s="450"/>
      <c r="F306" s="450"/>
      <c r="G306" s="450"/>
      <c r="H306" s="604"/>
      <c r="I306" s="604"/>
      <c r="J306" s="604"/>
      <c r="K306" s="604"/>
      <c r="L306" s="604"/>
      <c r="M306" s="604"/>
      <c r="N306" s="604"/>
      <c r="O306" s="604"/>
      <c r="P306" s="514">
        <v>126</v>
      </c>
      <c r="Q306" s="666">
        <f>P306/P303</f>
        <v>0.32558139534883723</v>
      </c>
      <c r="R306" s="515">
        <v>18053</v>
      </c>
      <c r="S306" s="602">
        <f>R306/R303</f>
        <v>0.31150567691617492</v>
      </c>
      <c r="T306" s="667">
        <v>2.4600614439324118</v>
      </c>
      <c r="U306" s="452"/>
      <c r="V306" s="430"/>
    </row>
    <row r="307" spans="1:22" s="431" customFormat="1" x14ac:dyDescent="0.3">
      <c r="A307" s="432"/>
      <c r="B307" s="447"/>
      <c r="C307" s="433"/>
      <c r="D307" s="433"/>
      <c r="E307" s="433"/>
      <c r="F307" s="433"/>
      <c r="G307" s="433"/>
      <c r="H307" s="615"/>
      <c r="I307" s="615"/>
      <c r="J307" s="615"/>
      <c r="K307" s="615"/>
      <c r="L307" s="615"/>
      <c r="M307" s="615"/>
      <c r="N307" s="615"/>
      <c r="O307" s="615"/>
      <c r="P307" s="615"/>
      <c r="Q307" s="615"/>
      <c r="R307" s="616"/>
      <c r="S307" s="615"/>
      <c r="T307" s="433"/>
      <c r="U307" s="641"/>
      <c r="V307" s="430"/>
    </row>
    <row r="308" spans="1:22" s="431" customFormat="1" x14ac:dyDescent="0.3">
      <c r="A308" s="432"/>
      <c r="B308" s="428" t="s">
        <v>94</v>
      </c>
      <c r="C308" s="433"/>
      <c r="D308" s="433"/>
      <c r="E308" s="433"/>
      <c r="F308" s="437" t="s">
        <v>100</v>
      </c>
      <c r="G308" s="433"/>
      <c r="H308" s="428" t="s">
        <v>102</v>
      </c>
      <c r="I308" s="433"/>
      <c r="J308" s="433"/>
      <c r="K308" s="433"/>
      <c r="L308" s="433"/>
      <c r="M308" s="433"/>
      <c r="N308" s="433"/>
      <c r="O308" s="433"/>
      <c r="P308" s="433"/>
      <c r="Q308" s="433"/>
      <c r="R308" s="433"/>
      <c r="S308" s="433"/>
      <c r="T308" s="433"/>
      <c r="U308" s="641"/>
      <c r="V308" s="430"/>
    </row>
    <row r="309" spans="1:22" s="431" customFormat="1" x14ac:dyDescent="0.3">
      <c r="A309" s="432"/>
      <c r="B309" s="428" t="s">
        <v>317</v>
      </c>
      <c r="C309" s="428"/>
      <c r="D309" s="428"/>
      <c r="E309" s="428"/>
      <c r="F309" s="617" t="s">
        <v>269</v>
      </c>
      <c r="G309" s="428"/>
      <c r="H309" s="428" t="s">
        <v>357</v>
      </c>
      <c r="I309" s="433"/>
      <c r="J309" s="433"/>
      <c r="K309" s="433"/>
      <c r="L309" s="433"/>
      <c r="M309" s="433"/>
      <c r="N309" s="433"/>
      <c r="O309" s="433"/>
      <c r="P309" s="433"/>
      <c r="Q309" s="433"/>
      <c r="R309" s="433"/>
      <c r="S309" s="433"/>
      <c r="T309" s="433"/>
      <c r="U309" s="641"/>
      <c r="V309" s="430"/>
    </row>
    <row r="310" spans="1:22" s="431" customFormat="1" x14ac:dyDescent="0.3">
      <c r="A310" s="432"/>
      <c r="B310" s="428" t="s">
        <v>318</v>
      </c>
      <c r="C310" s="428"/>
      <c r="D310" s="428"/>
      <c r="E310" s="428"/>
      <c r="F310" s="617" t="s">
        <v>153</v>
      </c>
      <c r="G310" s="428"/>
      <c r="H310" s="428" t="s">
        <v>358</v>
      </c>
      <c r="I310" s="433"/>
      <c r="J310" s="433"/>
      <c r="K310" s="433"/>
      <c r="L310" s="433"/>
      <c r="M310" s="433"/>
      <c r="N310" s="433"/>
      <c r="O310" s="433"/>
      <c r="P310" s="433"/>
      <c r="Q310" s="433"/>
      <c r="R310" s="433"/>
      <c r="S310" s="433"/>
      <c r="T310" s="433"/>
      <c r="U310" s="641"/>
      <c r="V310" s="430"/>
    </row>
    <row r="311" spans="1:22" s="431" customFormat="1" x14ac:dyDescent="0.3">
      <c r="A311" s="432"/>
      <c r="B311" s="428"/>
      <c r="C311" s="428"/>
      <c r="D311" s="428"/>
      <c r="E311" s="428"/>
      <c r="F311" s="617"/>
      <c r="G311" s="428"/>
      <c r="H311" s="428"/>
      <c r="I311" s="433"/>
      <c r="J311" s="433"/>
      <c r="K311" s="433"/>
      <c r="L311" s="433"/>
      <c r="M311" s="433"/>
      <c r="N311" s="433"/>
      <c r="O311" s="433"/>
      <c r="P311" s="433"/>
      <c r="Q311" s="433"/>
      <c r="R311" s="433"/>
      <c r="S311" s="433"/>
      <c r="T311" s="433"/>
      <c r="U311" s="641"/>
      <c r="V311" s="430"/>
    </row>
    <row r="312" spans="1:22" s="431" customFormat="1" x14ac:dyDescent="0.3">
      <c r="A312" s="432"/>
      <c r="B312" s="447" t="s">
        <v>354</v>
      </c>
      <c r="C312" s="428"/>
      <c r="D312" s="428"/>
      <c r="E312" s="428"/>
      <c r="F312" s="617"/>
      <c r="G312" s="428"/>
      <c r="H312" s="428"/>
      <c r="I312" s="433"/>
      <c r="J312" s="433"/>
      <c r="K312" s="433"/>
      <c r="L312" s="433"/>
      <c r="M312" s="433"/>
      <c r="N312" s="433"/>
      <c r="O312" s="433"/>
      <c r="P312" s="433"/>
      <c r="Q312" s="433"/>
      <c r="R312" s="433"/>
      <c r="S312" s="433"/>
      <c r="T312" s="433"/>
      <c r="U312" s="641"/>
      <c r="V312" s="430"/>
    </row>
    <row r="313" spans="1:22" s="431" customFormat="1" x14ac:dyDescent="0.3">
      <c r="A313" s="432"/>
      <c r="B313" s="447" t="s">
        <v>359</v>
      </c>
      <c r="C313" s="428"/>
      <c r="D313" s="428"/>
      <c r="E313" s="428"/>
      <c r="F313" s="617"/>
      <c r="G313" s="428"/>
      <c r="H313" s="428"/>
      <c r="I313" s="433"/>
      <c r="J313" s="433"/>
      <c r="K313" s="433"/>
      <c r="L313" s="433"/>
      <c r="M313" s="433"/>
      <c r="N313" s="433"/>
      <c r="O313" s="433"/>
      <c r="P313" s="433"/>
      <c r="Q313" s="433"/>
      <c r="R313" s="433"/>
      <c r="S313" s="433"/>
      <c r="T313" s="433"/>
      <c r="U313" s="641"/>
      <c r="V313" s="430"/>
    </row>
    <row r="314" spans="1:22" s="431" customFormat="1" x14ac:dyDescent="0.3">
      <c r="A314" s="432"/>
      <c r="B314" s="447" t="s">
        <v>352</v>
      </c>
      <c r="C314" s="428"/>
      <c r="D314" s="428"/>
      <c r="E314" s="428"/>
      <c r="F314" s="617"/>
      <c r="G314" s="428"/>
      <c r="H314" s="428"/>
      <c r="I314" s="433"/>
      <c r="J314" s="433"/>
      <c r="K314" s="433"/>
      <c r="L314" s="433"/>
      <c r="M314" s="433"/>
      <c r="N314" s="433"/>
      <c r="O314" s="433"/>
      <c r="P314" s="433"/>
      <c r="Q314" s="433"/>
      <c r="R314" s="433"/>
      <c r="S314" s="433"/>
      <c r="T314" s="433"/>
      <c r="U314" s="641"/>
      <c r="V314" s="430"/>
    </row>
    <row r="315" spans="1:22" s="431" customFormat="1" x14ac:dyDescent="0.3">
      <c r="A315" s="432"/>
      <c r="B315" s="447" t="s">
        <v>351</v>
      </c>
      <c r="C315" s="428"/>
      <c r="D315" s="428"/>
      <c r="E315" s="428"/>
      <c r="F315" s="617"/>
      <c r="G315" s="428"/>
      <c r="H315" s="428"/>
      <c r="I315" s="433"/>
      <c r="J315" s="433"/>
      <c r="K315" s="433"/>
      <c r="L315" s="433"/>
      <c r="M315" s="433"/>
      <c r="N315" s="433"/>
      <c r="O315" s="433"/>
      <c r="P315" s="433"/>
      <c r="Q315" s="433"/>
      <c r="R315" s="433"/>
      <c r="S315" s="433"/>
      <c r="T315" s="433"/>
      <c r="U315" s="641"/>
      <c r="V315" s="430"/>
    </row>
    <row r="316" spans="1:22" s="431" customFormat="1" x14ac:dyDescent="0.3">
      <c r="A316" s="432"/>
      <c r="B316" s="447"/>
      <c r="C316" s="428"/>
      <c r="D316" s="428"/>
      <c r="E316" s="428"/>
      <c r="F316" s="617"/>
      <c r="G316" s="428"/>
      <c r="H316" s="428"/>
      <c r="I316" s="433"/>
      <c r="J316" s="433"/>
      <c r="K316" s="433"/>
      <c r="L316" s="433"/>
      <c r="M316" s="433"/>
      <c r="N316" s="433"/>
      <c r="O316" s="433"/>
      <c r="P316" s="433"/>
      <c r="Q316" s="433"/>
      <c r="R316" s="433"/>
      <c r="S316" s="433"/>
      <c r="T316" s="433"/>
      <c r="U316" s="641"/>
      <c r="V316" s="430"/>
    </row>
    <row r="317" spans="1:22" s="431" customFormat="1" x14ac:dyDescent="0.3">
      <c r="A317" s="432"/>
      <c r="B317" s="651" t="s">
        <v>402</v>
      </c>
      <c r="C317" s="428"/>
      <c r="D317" s="428"/>
      <c r="E317" s="428"/>
      <c r="F317" s="617"/>
      <c r="G317" s="428"/>
      <c r="H317" s="428"/>
      <c r="I317" s="433"/>
      <c r="J317" s="433"/>
      <c r="K317" s="433"/>
      <c r="L317" s="433"/>
      <c r="M317" s="433"/>
      <c r="N317" s="433"/>
      <c r="O317" s="433"/>
      <c r="P317" s="433"/>
      <c r="Q317" s="433"/>
      <c r="R317" s="433"/>
      <c r="S317" s="433"/>
      <c r="T317" s="433"/>
      <c r="U317" s="641"/>
      <c r="V317" s="430"/>
    </row>
    <row r="318" spans="1:22" x14ac:dyDescent="0.3">
      <c r="A318" s="418"/>
      <c r="B318" s="618"/>
      <c r="C318" s="619"/>
      <c r="D318" s="619"/>
      <c r="E318" s="619"/>
      <c r="F318" s="620"/>
      <c r="G318" s="619"/>
      <c r="H318" s="619"/>
      <c r="I318" s="621"/>
      <c r="J318" s="621"/>
      <c r="K318" s="621"/>
      <c r="L318" s="420"/>
      <c r="M318" s="420"/>
      <c r="N318" s="420"/>
      <c r="O318" s="420"/>
      <c r="P318" s="420"/>
      <c r="Q318" s="420"/>
      <c r="R318" s="420"/>
      <c r="S318" s="420"/>
      <c r="T318" s="420"/>
      <c r="U318" s="639"/>
      <c r="V318" s="416"/>
    </row>
    <row r="319" spans="1:22" ht="18" x14ac:dyDescent="0.35">
      <c r="A319" s="418"/>
      <c r="B319" s="622" t="s">
        <v>353</v>
      </c>
      <c r="C319" s="619"/>
      <c r="D319" s="619"/>
      <c r="E319" s="619"/>
      <c r="F319" s="619"/>
      <c r="G319" s="619"/>
      <c r="H319" s="621"/>
      <c r="I319" s="621"/>
      <c r="J319" s="621"/>
      <c r="K319" s="621"/>
      <c r="L319" s="420"/>
      <c r="M319" s="420"/>
      <c r="N319" s="623"/>
      <c r="O319" s="420"/>
      <c r="P319" s="624" t="s">
        <v>356</v>
      </c>
      <c r="Q319" s="420"/>
      <c r="R319" s="420"/>
      <c r="S319" s="420"/>
      <c r="T319" s="420"/>
      <c r="U319" s="639"/>
      <c r="V319" s="416"/>
    </row>
    <row r="320" spans="1:22" x14ac:dyDescent="0.3">
      <c r="A320" s="418"/>
      <c r="B320" s="619"/>
      <c r="C320" s="619"/>
      <c r="D320" s="619"/>
      <c r="E320" s="619"/>
      <c r="F320" s="619"/>
      <c r="G320" s="619"/>
      <c r="H320" s="621"/>
      <c r="I320" s="621"/>
      <c r="J320" s="621"/>
      <c r="K320" s="621"/>
      <c r="L320" s="420"/>
      <c r="M320" s="420"/>
      <c r="N320" s="420"/>
      <c r="O320" s="420"/>
      <c r="P320" s="420"/>
      <c r="Q320" s="420"/>
      <c r="R320" s="420"/>
      <c r="S320" s="420"/>
      <c r="T320" s="420"/>
      <c r="U320" s="639"/>
      <c r="V320" s="416"/>
    </row>
    <row r="321" spans="1:22" ht="18.600000000000001" thickBot="1" x14ac:dyDescent="0.4">
      <c r="A321" s="418"/>
      <c r="B321" s="625" t="str">
        <f>B195</f>
        <v>PM11 INVESTOR REPORT QUARTER ENDING JUNE 2020</v>
      </c>
      <c r="C321" s="619"/>
      <c r="D321" s="619"/>
      <c r="E321" s="619"/>
      <c r="F321" s="619"/>
      <c r="G321" s="619"/>
      <c r="H321" s="621"/>
      <c r="I321" s="621"/>
      <c r="J321" s="621"/>
      <c r="K321" s="621"/>
      <c r="L321" s="420"/>
      <c r="M321" s="420"/>
      <c r="N321" s="420"/>
      <c r="O321" s="420"/>
      <c r="P321" s="420"/>
      <c r="Q321" s="420"/>
      <c r="R321" s="420"/>
      <c r="S321" s="420"/>
      <c r="T321" s="420"/>
      <c r="U321" s="556"/>
      <c r="V321" s="416"/>
    </row>
    <row r="322" spans="1:22" x14ac:dyDescent="0.3">
      <c r="A322" s="626"/>
      <c r="B322" s="626"/>
      <c r="C322" s="626"/>
      <c r="D322" s="626"/>
      <c r="E322" s="626"/>
      <c r="F322" s="626"/>
      <c r="G322" s="626"/>
      <c r="H322" s="626"/>
      <c r="I322" s="626"/>
      <c r="J322" s="626"/>
      <c r="K322" s="626"/>
      <c r="L322" s="626"/>
      <c r="M322" s="626"/>
      <c r="N322" s="626"/>
      <c r="O322" s="626"/>
      <c r="P322" s="626"/>
      <c r="Q322" s="626"/>
      <c r="R322" s="626"/>
      <c r="S322" s="626"/>
      <c r="T322" s="626"/>
      <c r="U322" s="626"/>
    </row>
    <row r="323" spans="1:22" x14ac:dyDescent="0.3">
      <c r="B323" s="652" t="s">
        <v>379</v>
      </c>
    </row>
    <row r="324" spans="1:22" x14ac:dyDescent="0.3">
      <c r="B324" s="653" t="s">
        <v>380</v>
      </c>
    </row>
    <row r="325" spans="1:22" x14ac:dyDescent="0.3">
      <c r="B325" s="653" t="s">
        <v>381</v>
      </c>
    </row>
    <row r="326" spans="1:22" x14ac:dyDescent="0.3">
      <c r="B326" s="653" t="s">
        <v>382</v>
      </c>
    </row>
    <row r="327" spans="1:22" x14ac:dyDescent="0.3">
      <c r="B327" s="653" t="s">
        <v>383</v>
      </c>
    </row>
    <row r="328" spans="1:22" x14ac:dyDescent="0.3">
      <c r="B328" s="653" t="s">
        <v>384</v>
      </c>
    </row>
    <row r="329" spans="1:22" x14ac:dyDescent="0.3">
      <c r="B329" s="653" t="s">
        <v>385</v>
      </c>
    </row>
    <row r="330" spans="1:22" x14ac:dyDescent="0.3">
      <c r="B330" s="653" t="s">
        <v>386</v>
      </c>
    </row>
    <row r="331" spans="1:22" x14ac:dyDescent="0.3">
      <c r="B331" s="653"/>
    </row>
    <row r="332" spans="1:22" x14ac:dyDescent="0.3">
      <c r="B332" s="652" t="s">
        <v>398</v>
      </c>
    </row>
    <row r="333" spans="1:22" x14ac:dyDescent="0.3">
      <c r="B333" s="653" t="s">
        <v>403</v>
      </c>
    </row>
    <row r="334" spans="1:22" x14ac:dyDescent="0.3">
      <c r="B334" s="653" t="s">
        <v>399</v>
      </c>
    </row>
    <row r="335" spans="1:22" x14ac:dyDescent="0.3">
      <c r="B335" s="653" t="s">
        <v>400</v>
      </c>
    </row>
    <row r="336" spans="1:22" x14ac:dyDescent="0.3">
      <c r="B336" s="653"/>
    </row>
    <row r="337" spans="2:2" x14ac:dyDescent="0.3">
      <c r="B337" s="652" t="s">
        <v>387</v>
      </c>
    </row>
    <row r="338" spans="2:2" x14ac:dyDescent="0.3">
      <c r="B338" s="653" t="s">
        <v>388</v>
      </c>
    </row>
    <row r="339" spans="2:2" x14ac:dyDescent="0.3">
      <c r="B339" s="653" t="s">
        <v>389</v>
      </c>
    </row>
  </sheetData>
  <hyperlinks>
    <hyperlink ref="J9" r:id="rId1" display="http://www.paragon-group.co.uk" xr:uid="{65B51561-5CEF-4EFB-8A56-49B0160DBE07}"/>
    <hyperlink ref="P319" r:id="rId2" display="http://www.paragon-group.co.uk" xr:uid="{9C6D24FC-578F-4139-AE7E-4092A051E3F3}"/>
    <hyperlink ref="N231" r:id="rId3" display="http://www.paragon-group.co.uk" xr:uid="{8AE78694-57D3-4E14-8155-9D4F9CD2CE23}"/>
  </hyperlinks>
  <printOptions horizontalCentered="1" verticalCentered="1"/>
  <pageMargins left="0.19685039370078741" right="0.19685039370078741" top="0.27559055118110237" bottom="0.27559055118110237" header="0" footer="0"/>
  <pageSetup scale="40" orientation="landscape" r:id="rId4"/>
  <headerFooter alignWithMargins="0"/>
  <rowBreaks count="3" manualBreakCount="3">
    <brk id="63" max="20" man="1"/>
    <brk id="135" max="20" man="1"/>
    <brk id="195" max="20" man="1"/>
  </rowBreaks>
  <drawing r:id="rId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5D316-BF67-480E-A7C0-639B59642E5C}">
  <sheetPr>
    <tabColor rgb="FF2D2926"/>
  </sheetPr>
  <dimension ref="A1:X340"/>
  <sheetViews>
    <sheetView showGridLines="0" tabSelected="1" showOutlineSymbols="0" zoomScale="80" zoomScaleNormal="80" workbookViewId="0"/>
  </sheetViews>
  <sheetFormatPr defaultColWidth="9.81640625" defaultRowHeight="15.6" x14ac:dyDescent="0.3"/>
  <cols>
    <col min="1" max="1" width="4" style="417" customWidth="1"/>
    <col min="2" max="2" width="71.08984375" style="417" customWidth="1"/>
    <col min="3" max="3" width="2.08984375" style="417" customWidth="1"/>
    <col min="4" max="4" width="19.1796875" style="417" customWidth="1"/>
    <col min="5" max="5" width="2.08984375" style="417" customWidth="1"/>
    <col min="6" max="6" width="25.08984375" style="417" customWidth="1"/>
    <col min="7" max="7" width="2.08984375" style="417" customWidth="1"/>
    <col min="8" max="8" width="16.08984375" style="417" customWidth="1"/>
    <col min="9" max="9" width="2.08984375" style="417" customWidth="1"/>
    <col min="10" max="10" width="17.81640625" style="417" customWidth="1"/>
    <col min="11" max="11" width="2.1796875" style="417" customWidth="1"/>
    <col min="12" max="12" width="14.81640625" style="417" customWidth="1"/>
    <col min="13" max="13" width="2.1796875" style="417" customWidth="1"/>
    <col min="14" max="14" width="15.54296875" style="417" customWidth="1"/>
    <col min="15" max="15" width="2.08984375" style="417" customWidth="1"/>
    <col min="16" max="16" width="15.54296875" style="417" customWidth="1"/>
    <col min="17" max="18" width="12.81640625" style="417" customWidth="1"/>
    <col min="19" max="19" width="7.81640625" style="417" customWidth="1"/>
    <col min="20" max="20" width="14.81640625" style="417" customWidth="1"/>
    <col min="21" max="21" width="11.81640625" style="417" customWidth="1"/>
    <col min="22" max="16384" width="9.81640625" style="417"/>
  </cols>
  <sheetData>
    <row r="1" spans="1:22" ht="21" x14ac:dyDescent="0.4">
      <c r="A1" s="413"/>
      <c r="B1" s="414" t="s">
        <v>228</v>
      </c>
      <c r="C1" s="415"/>
      <c r="D1" s="415"/>
      <c r="E1" s="415"/>
      <c r="F1" s="415"/>
      <c r="G1" s="415"/>
      <c r="H1" s="415"/>
      <c r="I1" s="415"/>
      <c r="J1" s="415"/>
      <c r="K1" s="415"/>
      <c r="L1" s="415"/>
      <c r="M1" s="415"/>
      <c r="N1" s="415"/>
      <c r="O1" s="415"/>
      <c r="P1" s="415"/>
      <c r="Q1" s="415"/>
      <c r="R1" s="415"/>
      <c r="S1" s="415"/>
      <c r="T1" s="415"/>
      <c r="U1" s="638"/>
      <c r="V1" s="416"/>
    </row>
    <row r="2" spans="1:22" x14ac:dyDescent="0.3">
      <c r="A2" s="418"/>
      <c r="B2" s="419"/>
      <c r="C2" s="420"/>
      <c r="D2" s="420"/>
      <c r="E2" s="420"/>
      <c r="F2" s="420"/>
      <c r="G2" s="420"/>
      <c r="H2" s="420"/>
      <c r="I2" s="420"/>
      <c r="J2" s="420"/>
      <c r="K2" s="420"/>
      <c r="L2" s="420"/>
      <c r="M2" s="420"/>
      <c r="N2" s="420"/>
      <c r="O2" s="420"/>
      <c r="P2" s="420"/>
      <c r="Q2" s="420"/>
      <c r="R2" s="420"/>
      <c r="S2" s="420"/>
      <c r="T2" s="420"/>
      <c r="U2" s="639"/>
      <c r="V2" s="416"/>
    </row>
    <row r="3" spans="1:22" x14ac:dyDescent="0.3">
      <c r="A3" s="421"/>
      <c r="B3" s="422" t="s">
        <v>229</v>
      </c>
      <c r="C3" s="420"/>
      <c r="D3" s="420"/>
      <c r="E3" s="420"/>
      <c r="F3" s="420"/>
      <c r="G3" s="420"/>
      <c r="H3" s="420"/>
      <c r="I3" s="420"/>
      <c r="J3" s="420"/>
      <c r="K3" s="420"/>
      <c r="L3" s="420"/>
      <c r="M3" s="420"/>
      <c r="N3" s="420"/>
      <c r="O3" s="420"/>
      <c r="P3" s="420"/>
      <c r="Q3" s="420"/>
      <c r="R3" s="420"/>
      <c r="S3" s="420"/>
      <c r="T3" s="420"/>
      <c r="U3" s="639"/>
      <c r="V3" s="416"/>
    </row>
    <row r="4" spans="1:22" x14ac:dyDescent="0.3">
      <c r="A4" s="418"/>
      <c r="B4" s="419"/>
      <c r="C4" s="420"/>
      <c r="D4" s="420"/>
      <c r="E4" s="420"/>
      <c r="F4" s="420"/>
      <c r="G4" s="420"/>
      <c r="H4" s="420"/>
      <c r="I4" s="420"/>
      <c r="J4" s="420"/>
      <c r="K4" s="420"/>
      <c r="L4" s="420"/>
      <c r="M4" s="420"/>
      <c r="N4" s="420"/>
      <c r="O4" s="420"/>
      <c r="P4" s="420"/>
      <c r="Q4" s="420"/>
      <c r="R4" s="420"/>
      <c r="S4" s="420"/>
      <c r="T4" s="420"/>
      <c r="U4" s="639"/>
      <c r="V4" s="416"/>
    </row>
    <row r="5" spans="1:22" x14ac:dyDescent="0.3">
      <c r="A5" s="418"/>
      <c r="B5" s="423" t="s">
        <v>143</v>
      </c>
      <c r="C5" s="420"/>
      <c r="D5" s="420"/>
      <c r="E5" s="420"/>
      <c r="F5" s="420"/>
      <c r="G5" s="420"/>
      <c r="H5" s="420"/>
      <c r="I5" s="420"/>
      <c r="J5" s="420"/>
      <c r="K5" s="420"/>
      <c r="L5" s="420"/>
      <c r="M5" s="420"/>
      <c r="N5" s="420"/>
      <c r="O5" s="420"/>
      <c r="P5" s="420"/>
      <c r="Q5" s="420"/>
      <c r="R5" s="420"/>
      <c r="S5" s="420"/>
      <c r="T5" s="420"/>
      <c r="U5" s="639"/>
      <c r="V5" s="416"/>
    </row>
    <row r="6" spans="1:22" x14ac:dyDescent="0.3">
      <c r="A6" s="418"/>
      <c r="B6" s="423" t="s">
        <v>145</v>
      </c>
      <c r="C6" s="420"/>
      <c r="D6" s="420"/>
      <c r="E6" s="420"/>
      <c r="F6" s="420"/>
      <c r="G6" s="420"/>
      <c r="H6" s="420"/>
      <c r="I6" s="420"/>
      <c r="J6" s="420"/>
      <c r="K6" s="420"/>
      <c r="L6" s="420"/>
      <c r="M6" s="420"/>
      <c r="N6" s="420"/>
      <c r="O6" s="420"/>
      <c r="P6" s="420"/>
      <c r="Q6" s="420"/>
      <c r="R6" s="420"/>
      <c r="S6" s="420"/>
      <c r="T6" s="420"/>
      <c r="U6" s="639"/>
      <c r="V6" s="416"/>
    </row>
    <row r="7" spans="1:22" x14ac:dyDescent="0.3">
      <c r="A7" s="418"/>
      <c r="B7" s="423" t="s">
        <v>144</v>
      </c>
      <c r="C7" s="420"/>
      <c r="D7" s="420"/>
      <c r="E7" s="420"/>
      <c r="F7" s="420"/>
      <c r="G7" s="420"/>
      <c r="H7" s="420"/>
      <c r="I7" s="420"/>
      <c r="J7" s="420"/>
      <c r="K7" s="420"/>
      <c r="L7" s="420"/>
      <c r="M7" s="420"/>
      <c r="N7" s="420"/>
      <c r="O7" s="420"/>
      <c r="P7" s="420"/>
      <c r="Q7" s="420"/>
      <c r="R7" s="420"/>
      <c r="S7" s="420"/>
      <c r="T7" s="420"/>
      <c r="U7" s="639"/>
      <c r="V7" s="416"/>
    </row>
    <row r="8" spans="1:22" x14ac:dyDescent="0.3">
      <c r="A8" s="418"/>
      <c r="B8" s="424"/>
      <c r="C8" s="420"/>
      <c r="D8" s="420"/>
      <c r="E8" s="420"/>
      <c r="F8" s="420"/>
      <c r="G8" s="420"/>
      <c r="H8" s="420"/>
      <c r="I8" s="420"/>
      <c r="J8" s="420"/>
      <c r="K8" s="420"/>
      <c r="L8" s="420"/>
      <c r="M8" s="420"/>
      <c r="N8" s="420"/>
      <c r="O8" s="420"/>
      <c r="P8" s="420"/>
      <c r="Q8" s="420"/>
      <c r="R8" s="420"/>
      <c r="S8" s="420"/>
      <c r="T8" s="420"/>
      <c r="U8" s="639"/>
      <c r="V8" s="416"/>
    </row>
    <row r="9" spans="1:22" x14ac:dyDescent="0.3">
      <c r="A9" s="418"/>
      <c r="B9" s="422" t="s">
        <v>173</v>
      </c>
      <c r="C9" s="420"/>
      <c r="D9" s="420"/>
      <c r="E9" s="420"/>
      <c r="F9" s="420"/>
      <c r="G9" s="420"/>
      <c r="H9" s="420"/>
      <c r="I9" s="420"/>
      <c r="J9" s="425" t="s">
        <v>356</v>
      </c>
      <c r="K9" s="420"/>
      <c r="L9" s="426"/>
      <c r="M9" s="420"/>
      <c r="N9" s="420"/>
      <c r="O9" s="420"/>
      <c r="P9" s="420"/>
      <c r="Q9" s="420"/>
      <c r="R9" s="420"/>
      <c r="S9" s="420"/>
      <c r="T9" s="420"/>
      <c r="U9" s="639"/>
      <c r="V9" s="416"/>
    </row>
    <row r="10" spans="1:22" x14ac:dyDescent="0.3">
      <c r="A10" s="418"/>
      <c r="B10" s="424"/>
      <c r="C10" s="427"/>
      <c r="D10" s="427"/>
      <c r="E10" s="427"/>
      <c r="F10" s="420"/>
      <c r="G10" s="420"/>
      <c r="H10" s="420"/>
      <c r="I10" s="420"/>
      <c r="J10" s="420"/>
      <c r="K10" s="420"/>
      <c r="L10" s="420"/>
      <c r="M10" s="420"/>
      <c r="N10" s="420"/>
      <c r="O10" s="420"/>
      <c r="P10" s="420"/>
      <c r="Q10" s="420"/>
      <c r="R10" s="420"/>
      <c r="S10" s="420"/>
      <c r="T10" s="420"/>
      <c r="U10" s="639"/>
      <c r="V10" s="416"/>
    </row>
    <row r="11" spans="1:22" x14ac:dyDescent="0.3">
      <c r="A11" s="418"/>
      <c r="B11" s="428" t="s">
        <v>0</v>
      </c>
      <c r="C11" s="420"/>
      <c r="D11" s="420"/>
      <c r="E11" s="420"/>
      <c r="F11" s="420"/>
      <c r="G11" s="420"/>
      <c r="H11" s="420"/>
      <c r="I11" s="420"/>
      <c r="J11" s="420"/>
      <c r="K11" s="420"/>
      <c r="L11" s="420"/>
      <c r="M11" s="420"/>
      <c r="N11" s="420"/>
      <c r="O11" s="420"/>
      <c r="P11" s="420"/>
      <c r="Q11" s="420"/>
      <c r="R11" s="420"/>
      <c r="S11" s="420"/>
      <c r="T11" s="420"/>
      <c r="U11" s="639"/>
      <c r="V11" s="416"/>
    </row>
    <row r="12" spans="1:22" ht="16.2" thickBot="1" x14ac:dyDescent="0.35">
      <c r="A12" s="418"/>
      <c r="B12" s="427"/>
      <c r="C12" s="420"/>
      <c r="D12" s="420"/>
      <c r="E12" s="420"/>
      <c r="F12" s="420"/>
      <c r="G12" s="420"/>
      <c r="H12" s="420"/>
      <c r="I12" s="420"/>
      <c r="J12" s="420"/>
      <c r="K12" s="420"/>
      <c r="L12" s="420"/>
      <c r="M12" s="420"/>
      <c r="N12" s="420"/>
      <c r="O12" s="420"/>
      <c r="P12" s="420"/>
      <c r="Q12" s="420"/>
      <c r="R12" s="420"/>
      <c r="S12" s="420"/>
      <c r="T12" s="420"/>
      <c r="U12" s="639"/>
      <c r="V12" s="416"/>
    </row>
    <row r="13" spans="1:22" s="431" customFormat="1" x14ac:dyDescent="0.3">
      <c r="A13" s="413"/>
      <c r="B13" s="429"/>
      <c r="C13" s="429"/>
      <c r="D13" s="429"/>
      <c r="E13" s="429"/>
      <c r="F13" s="429"/>
      <c r="G13" s="429"/>
      <c r="H13" s="429"/>
      <c r="I13" s="429"/>
      <c r="J13" s="429"/>
      <c r="K13" s="429"/>
      <c r="L13" s="429"/>
      <c r="M13" s="429"/>
      <c r="N13" s="429"/>
      <c r="O13" s="429"/>
      <c r="P13" s="429"/>
      <c r="Q13" s="429"/>
      <c r="R13" s="429"/>
      <c r="S13" s="429"/>
      <c r="T13" s="429"/>
      <c r="U13" s="640"/>
      <c r="V13" s="430"/>
    </row>
    <row r="14" spans="1:22" s="431" customFormat="1" x14ac:dyDescent="0.3">
      <c r="A14" s="432"/>
      <c r="B14" s="428" t="s">
        <v>1</v>
      </c>
      <c r="C14" s="433"/>
      <c r="D14" s="433"/>
      <c r="E14" s="433"/>
      <c r="F14" s="433"/>
      <c r="G14" s="433"/>
      <c r="H14" s="433"/>
      <c r="I14" s="433"/>
      <c r="J14" s="433"/>
      <c r="K14" s="433"/>
      <c r="L14" s="433"/>
      <c r="M14" s="433"/>
      <c r="N14" s="433"/>
      <c r="O14" s="433"/>
      <c r="P14" s="433"/>
      <c r="Q14" s="433"/>
      <c r="R14" s="433"/>
      <c r="S14" s="433"/>
      <c r="T14" s="434" t="s">
        <v>230</v>
      </c>
      <c r="U14" s="641"/>
      <c r="V14" s="430"/>
    </row>
    <row r="15" spans="1:22" s="431" customFormat="1" x14ac:dyDescent="0.3">
      <c r="A15" s="432"/>
      <c r="B15" s="428" t="s">
        <v>2</v>
      </c>
      <c r="C15" s="433"/>
      <c r="D15" s="433"/>
      <c r="E15" s="433"/>
      <c r="F15" s="433"/>
      <c r="G15" s="433"/>
      <c r="H15" s="435"/>
      <c r="I15" s="435"/>
      <c r="J15" s="435"/>
      <c r="K15" s="435"/>
      <c r="L15" s="435"/>
      <c r="M15" s="435"/>
      <c r="N15" s="435"/>
      <c r="O15" s="435"/>
      <c r="P15" s="435" t="s">
        <v>107</v>
      </c>
      <c r="Q15" s="436">
        <v>0.40749999999999997</v>
      </c>
      <c r="R15" s="437" t="s">
        <v>146</v>
      </c>
      <c r="S15" s="436">
        <v>0.59250000000000003</v>
      </c>
      <c r="T15" s="434"/>
      <c r="U15" s="641"/>
      <c r="V15" s="430"/>
    </row>
    <row r="16" spans="1:22" s="431" customFormat="1" x14ac:dyDescent="0.3">
      <c r="A16" s="432"/>
      <c r="B16" s="428" t="s">
        <v>3</v>
      </c>
      <c r="C16" s="433"/>
      <c r="D16" s="433"/>
      <c r="E16" s="433"/>
      <c r="F16" s="433"/>
      <c r="G16" s="433"/>
      <c r="H16" s="435"/>
      <c r="I16" s="435"/>
      <c r="J16" s="435"/>
      <c r="K16" s="435"/>
      <c r="L16" s="435"/>
      <c r="M16" s="435"/>
      <c r="N16" s="435"/>
      <c r="O16" s="435"/>
      <c r="P16" s="435" t="s">
        <v>107</v>
      </c>
      <c r="Q16" s="436">
        <v>0</v>
      </c>
      <c r="R16" s="437" t="s">
        <v>146</v>
      </c>
      <c r="S16" s="436">
        <v>0</v>
      </c>
      <c r="T16" s="434"/>
      <c r="U16" s="641"/>
      <c r="V16" s="430"/>
    </row>
    <row r="17" spans="1:22" s="431" customFormat="1" x14ac:dyDescent="0.3">
      <c r="A17" s="432"/>
      <c r="B17" s="428" t="s">
        <v>4</v>
      </c>
      <c r="C17" s="433"/>
      <c r="D17" s="433"/>
      <c r="E17" s="433"/>
      <c r="F17" s="433"/>
      <c r="G17" s="433"/>
      <c r="H17" s="433"/>
      <c r="I17" s="433"/>
      <c r="J17" s="433"/>
      <c r="K17" s="433"/>
      <c r="L17" s="433"/>
      <c r="M17" s="433"/>
      <c r="N17" s="433"/>
      <c r="O17" s="433"/>
      <c r="P17" s="433"/>
      <c r="Q17" s="433"/>
      <c r="R17" s="433"/>
      <c r="S17" s="433"/>
      <c r="T17" s="438">
        <v>38799</v>
      </c>
      <c r="U17" s="641"/>
      <c r="V17" s="430"/>
    </row>
    <row r="18" spans="1:22" s="431" customFormat="1" x14ac:dyDescent="0.3">
      <c r="A18" s="432"/>
      <c r="B18" s="428" t="s">
        <v>5</v>
      </c>
      <c r="C18" s="433"/>
      <c r="D18" s="433"/>
      <c r="E18" s="433"/>
      <c r="F18" s="433"/>
      <c r="G18" s="433"/>
      <c r="H18" s="433"/>
      <c r="I18" s="433"/>
      <c r="J18" s="433"/>
      <c r="K18" s="433"/>
      <c r="L18" s="433"/>
      <c r="M18" s="433"/>
      <c r="N18" s="433"/>
      <c r="O18" s="433"/>
      <c r="P18" s="433"/>
      <c r="Q18" s="433"/>
      <c r="R18" s="433"/>
      <c r="S18" s="433"/>
      <c r="T18" s="438">
        <v>44127</v>
      </c>
      <c r="U18" s="641"/>
      <c r="V18" s="430"/>
    </row>
    <row r="19" spans="1:22" s="431" customFormat="1" x14ac:dyDescent="0.3">
      <c r="A19" s="432"/>
      <c r="B19" s="433"/>
      <c r="C19" s="433"/>
      <c r="D19" s="433"/>
      <c r="E19" s="433"/>
      <c r="F19" s="433"/>
      <c r="G19" s="433"/>
      <c r="H19" s="433"/>
      <c r="I19" s="433"/>
      <c r="J19" s="433"/>
      <c r="K19" s="433"/>
      <c r="L19" s="433"/>
      <c r="M19" s="433"/>
      <c r="N19" s="433"/>
      <c r="O19" s="433"/>
      <c r="P19" s="433"/>
      <c r="Q19" s="433"/>
      <c r="R19" s="433"/>
      <c r="S19" s="433"/>
      <c r="T19" s="439"/>
      <c r="U19" s="641"/>
      <c r="V19" s="430"/>
    </row>
    <row r="20" spans="1:22" s="431" customFormat="1" x14ac:dyDescent="0.3">
      <c r="A20" s="432"/>
      <c r="B20" s="440" t="s">
        <v>6</v>
      </c>
      <c r="C20" s="433"/>
      <c r="D20" s="433"/>
      <c r="E20" s="433"/>
      <c r="F20" s="433"/>
      <c r="G20" s="433"/>
      <c r="H20" s="433"/>
      <c r="I20" s="433"/>
      <c r="J20" s="433"/>
      <c r="K20" s="433"/>
      <c r="L20" s="433"/>
      <c r="M20" s="433"/>
      <c r="N20" s="433"/>
      <c r="O20" s="433"/>
      <c r="P20" s="433"/>
      <c r="Q20" s="433"/>
      <c r="R20" s="439" t="s">
        <v>108</v>
      </c>
      <c r="S20" s="433"/>
      <c r="T20" s="433"/>
      <c r="U20" s="641"/>
      <c r="V20" s="430"/>
    </row>
    <row r="21" spans="1:22" x14ac:dyDescent="0.3">
      <c r="A21" s="418"/>
      <c r="B21" s="420"/>
      <c r="C21" s="420"/>
      <c r="D21" s="420"/>
      <c r="E21" s="420"/>
      <c r="F21" s="420"/>
      <c r="G21" s="420"/>
      <c r="H21" s="420"/>
      <c r="I21" s="420"/>
      <c r="J21" s="420"/>
      <c r="K21" s="420"/>
      <c r="L21" s="420"/>
      <c r="M21" s="420"/>
      <c r="N21" s="420"/>
      <c r="O21" s="420"/>
      <c r="P21" s="420"/>
      <c r="Q21" s="420"/>
      <c r="R21" s="420"/>
      <c r="S21" s="420"/>
      <c r="T21" s="441"/>
      <c r="U21" s="639"/>
      <c r="V21" s="416"/>
    </row>
    <row r="22" spans="1:22" x14ac:dyDescent="0.3">
      <c r="A22" s="442"/>
      <c r="B22" s="443"/>
      <c r="C22" s="444"/>
      <c r="D22" s="444" t="s">
        <v>184</v>
      </c>
      <c r="E22" s="444"/>
      <c r="F22" s="444" t="s">
        <v>185</v>
      </c>
      <c r="G22" s="444"/>
      <c r="H22" s="444" t="s">
        <v>186</v>
      </c>
      <c r="I22" s="444"/>
      <c r="J22" s="444" t="s">
        <v>187</v>
      </c>
      <c r="K22" s="444"/>
      <c r="L22" s="444" t="s">
        <v>188</v>
      </c>
      <c r="M22" s="444"/>
      <c r="N22" s="444" t="s">
        <v>189</v>
      </c>
      <c r="O22" s="444"/>
      <c r="P22" s="444"/>
      <c r="Q22" s="445"/>
      <c r="R22" s="445"/>
      <c r="S22" s="443"/>
      <c r="T22" s="443"/>
      <c r="U22" s="446"/>
      <c r="V22" s="416"/>
    </row>
    <row r="23" spans="1:22" s="431" customFormat="1" x14ac:dyDescent="0.3">
      <c r="A23" s="432"/>
      <c r="B23" s="447" t="s">
        <v>7</v>
      </c>
      <c r="C23" s="448"/>
      <c r="D23" s="448" t="s">
        <v>222</v>
      </c>
      <c r="E23" s="448"/>
      <c r="F23" s="448" t="s">
        <v>147</v>
      </c>
      <c r="G23" s="448"/>
      <c r="H23" s="448" t="s">
        <v>147</v>
      </c>
      <c r="I23" s="448"/>
      <c r="J23" s="448" t="s">
        <v>190</v>
      </c>
      <c r="K23" s="448"/>
      <c r="L23" s="448" t="s">
        <v>190</v>
      </c>
      <c r="M23" s="448"/>
      <c r="N23" s="448" t="s">
        <v>148</v>
      </c>
      <c r="O23" s="448"/>
      <c r="P23" s="448"/>
      <c r="Q23" s="448"/>
      <c r="R23" s="448"/>
      <c r="S23" s="447"/>
      <c r="T23" s="447"/>
      <c r="U23" s="641"/>
      <c r="V23" s="430"/>
    </row>
    <row r="24" spans="1:22" s="431" customFormat="1" x14ac:dyDescent="0.3">
      <c r="A24" s="449"/>
      <c r="B24" s="450" t="s">
        <v>8</v>
      </c>
      <c r="C24" s="451"/>
      <c r="D24" s="451" t="s">
        <v>223</v>
      </c>
      <c r="E24" s="451"/>
      <c r="F24" s="451" t="s">
        <v>149</v>
      </c>
      <c r="G24" s="451"/>
      <c r="H24" s="451" t="s">
        <v>149</v>
      </c>
      <c r="I24" s="451"/>
      <c r="J24" s="451" t="s">
        <v>172</v>
      </c>
      <c r="K24" s="451"/>
      <c r="L24" s="451" t="s">
        <v>172</v>
      </c>
      <c r="M24" s="451"/>
      <c r="N24" s="451" t="s">
        <v>150</v>
      </c>
      <c r="O24" s="451"/>
      <c r="P24" s="451"/>
      <c r="Q24" s="451"/>
      <c r="R24" s="451"/>
      <c r="S24" s="450"/>
      <c r="T24" s="450"/>
      <c r="U24" s="452"/>
      <c r="V24" s="430"/>
    </row>
    <row r="25" spans="1:22" s="431" customFormat="1" x14ac:dyDescent="0.3">
      <c r="A25" s="453"/>
      <c r="B25" s="450" t="s">
        <v>198</v>
      </c>
      <c r="C25" s="454"/>
      <c r="D25" s="451" t="s">
        <v>224</v>
      </c>
      <c r="E25" s="451"/>
      <c r="F25" s="451" t="s">
        <v>149</v>
      </c>
      <c r="G25" s="451"/>
      <c r="H25" s="451" t="s">
        <v>149</v>
      </c>
      <c r="I25" s="451"/>
      <c r="J25" s="451" t="s">
        <v>172</v>
      </c>
      <c r="K25" s="451"/>
      <c r="L25" s="451" t="s">
        <v>172</v>
      </c>
      <c r="M25" s="451"/>
      <c r="N25" s="451" t="s">
        <v>150</v>
      </c>
      <c r="O25" s="451"/>
      <c r="P25" s="451"/>
      <c r="Q25" s="454"/>
      <c r="R25" s="451"/>
      <c r="S25" s="450"/>
      <c r="T25" s="450"/>
      <c r="U25" s="452"/>
      <c r="V25" s="430"/>
    </row>
    <row r="26" spans="1:22" s="431" customFormat="1" x14ac:dyDescent="0.3">
      <c r="A26" s="453"/>
      <c r="B26" s="455" t="s">
        <v>9</v>
      </c>
      <c r="C26" s="454"/>
      <c r="D26" s="454" t="s">
        <v>147</v>
      </c>
      <c r="E26" s="454"/>
      <c r="F26" s="454" t="s">
        <v>147</v>
      </c>
      <c r="G26" s="454"/>
      <c r="H26" s="454" t="s">
        <v>147</v>
      </c>
      <c r="I26" s="454"/>
      <c r="J26" s="454" t="s">
        <v>190</v>
      </c>
      <c r="K26" s="454"/>
      <c r="L26" s="454" t="s">
        <v>190</v>
      </c>
      <c r="M26" s="454"/>
      <c r="N26" s="454" t="s">
        <v>148</v>
      </c>
      <c r="O26" s="454"/>
      <c r="P26" s="454"/>
      <c r="Q26" s="454"/>
      <c r="R26" s="451"/>
      <c r="S26" s="450"/>
      <c r="T26" s="450"/>
      <c r="U26" s="452"/>
      <c r="V26" s="430"/>
    </row>
    <row r="27" spans="1:22" s="431" customFormat="1" x14ac:dyDescent="0.3">
      <c r="A27" s="449"/>
      <c r="B27" s="455" t="s">
        <v>199</v>
      </c>
      <c r="C27" s="451"/>
      <c r="D27" s="454" t="s">
        <v>149</v>
      </c>
      <c r="E27" s="454"/>
      <c r="F27" s="454" t="s">
        <v>149</v>
      </c>
      <c r="G27" s="454"/>
      <c r="H27" s="454" t="s">
        <v>149</v>
      </c>
      <c r="I27" s="454"/>
      <c r="J27" s="454" t="s">
        <v>322</v>
      </c>
      <c r="K27" s="454"/>
      <c r="L27" s="454" t="s">
        <v>322</v>
      </c>
      <c r="M27" s="454"/>
      <c r="N27" s="454" t="s">
        <v>345</v>
      </c>
      <c r="O27" s="454"/>
      <c r="P27" s="454"/>
      <c r="Q27" s="451"/>
      <c r="R27" s="456"/>
      <c r="S27" s="450"/>
      <c r="T27" s="450"/>
      <c r="U27" s="452"/>
      <c r="V27" s="430"/>
    </row>
    <row r="28" spans="1:22" s="431" customFormat="1" x14ac:dyDescent="0.3">
      <c r="A28" s="449"/>
      <c r="B28" s="455" t="s">
        <v>200</v>
      </c>
      <c r="C28" s="451"/>
      <c r="D28" s="454" t="s">
        <v>149</v>
      </c>
      <c r="E28" s="454"/>
      <c r="F28" s="454" t="s">
        <v>149</v>
      </c>
      <c r="G28" s="454"/>
      <c r="H28" s="454" t="s">
        <v>149</v>
      </c>
      <c r="I28" s="454"/>
      <c r="J28" s="454" t="s">
        <v>149</v>
      </c>
      <c r="K28" s="454"/>
      <c r="L28" s="454" t="s">
        <v>149</v>
      </c>
      <c r="M28" s="454"/>
      <c r="N28" s="454" t="s">
        <v>346</v>
      </c>
      <c r="O28" s="454"/>
      <c r="P28" s="454"/>
      <c r="Q28" s="451"/>
      <c r="R28" s="456"/>
      <c r="S28" s="450"/>
      <c r="T28" s="450"/>
      <c r="U28" s="452"/>
      <c r="V28" s="430"/>
    </row>
    <row r="29" spans="1:22" s="431" customFormat="1" x14ac:dyDescent="0.3">
      <c r="A29" s="449"/>
      <c r="B29" s="450" t="s">
        <v>10</v>
      </c>
      <c r="C29" s="457"/>
      <c r="D29" s="451" t="s">
        <v>237</v>
      </c>
      <c r="E29" s="451"/>
      <c r="F29" s="456" t="s">
        <v>238</v>
      </c>
      <c r="G29" s="451"/>
      <c r="H29" s="451" t="s">
        <v>239</v>
      </c>
      <c r="I29" s="451"/>
      <c r="J29" s="451" t="s">
        <v>240</v>
      </c>
      <c r="K29" s="451"/>
      <c r="L29" s="451" t="s">
        <v>241</v>
      </c>
      <c r="M29" s="451"/>
      <c r="N29" s="451" t="s">
        <v>242</v>
      </c>
      <c r="O29" s="451"/>
      <c r="P29" s="451"/>
      <c r="Q29" s="458"/>
      <c r="R29" s="458"/>
      <c r="S29" s="457"/>
      <c r="T29" s="458"/>
      <c r="U29" s="459"/>
      <c r="V29" s="430"/>
    </row>
    <row r="30" spans="1:22" s="431" customFormat="1" x14ac:dyDescent="0.3">
      <c r="A30" s="449"/>
      <c r="B30" s="450" t="s">
        <v>10</v>
      </c>
      <c r="C30" s="457"/>
      <c r="D30" s="451" t="s">
        <v>236</v>
      </c>
      <c r="E30" s="451"/>
      <c r="F30" s="456" t="s">
        <v>124</v>
      </c>
      <c r="G30" s="451"/>
      <c r="H30" s="451" t="s">
        <v>124</v>
      </c>
      <c r="I30" s="451"/>
      <c r="J30" s="451" t="s">
        <v>124</v>
      </c>
      <c r="K30" s="451"/>
      <c r="L30" s="451" t="s">
        <v>124</v>
      </c>
      <c r="M30" s="451"/>
      <c r="N30" s="451" t="s">
        <v>124</v>
      </c>
      <c r="O30" s="451"/>
      <c r="P30" s="451"/>
      <c r="Q30" s="458"/>
      <c r="R30" s="458"/>
      <c r="S30" s="457"/>
      <c r="T30" s="458"/>
      <c r="U30" s="459"/>
      <c r="V30" s="430"/>
    </row>
    <row r="31" spans="1:22" s="431" customFormat="1" x14ac:dyDescent="0.3">
      <c r="A31" s="453"/>
      <c r="B31" s="450" t="s">
        <v>139</v>
      </c>
      <c r="C31" s="460"/>
      <c r="D31" s="461">
        <v>985000</v>
      </c>
      <c r="E31" s="457"/>
      <c r="F31" s="458">
        <v>149500</v>
      </c>
      <c r="G31" s="458"/>
      <c r="H31" s="462">
        <v>219700</v>
      </c>
      <c r="I31" s="458"/>
      <c r="J31" s="458">
        <v>16000</v>
      </c>
      <c r="K31" s="458"/>
      <c r="L31" s="462">
        <v>82400</v>
      </c>
      <c r="M31" s="458"/>
      <c r="N31" s="462">
        <v>87500</v>
      </c>
      <c r="O31" s="458"/>
      <c r="P31" s="462"/>
      <c r="Q31" s="463"/>
      <c r="R31" s="463"/>
      <c r="S31" s="460"/>
      <c r="T31" s="463"/>
      <c r="U31" s="459"/>
      <c r="V31" s="430"/>
    </row>
    <row r="32" spans="1:22" s="431" customFormat="1" x14ac:dyDescent="0.3">
      <c r="A32" s="449"/>
      <c r="B32" s="450" t="s">
        <v>138</v>
      </c>
      <c r="C32" s="457"/>
      <c r="D32" s="464">
        <f>D38*D34</f>
        <v>166193.9980428</v>
      </c>
      <c r="E32" s="457"/>
      <c r="F32" s="458">
        <f>F38*F31</f>
        <v>43798.716</v>
      </c>
      <c r="G32" s="458"/>
      <c r="H32" s="462">
        <f>H38*H31</f>
        <v>64365.069600000003</v>
      </c>
      <c r="I32" s="458"/>
      <c r="J32" s="458">
        <f>J31*J38</f>
        <v>11117.3824</v>
      </c>
      <c r="K32" s="458"/>
      <c r="L32" s="462">
        <f>L31*L38</f>
        <v>57254.519359999998</v>
      </c>
      <c r="M32" s="458"/>
      <c r="N32" s="462">
        <f>N31*N38</f>
        <v>60798.185000000005</v>
      </c>
      <c r="O32" s="458"/>
      <c r="P32" s="462"/>
      <c r="Q32" s="458"/>
      <c r="R32" s="458"/>
      <c r="S32" s="457"/>
      <c r="T32" s="458"/>
      <c r="U32" s="459"/>
      <c r="V32" s="430"/>
    </row>
    <row r="33" spans="1:23" s="431" customFormat="1" x14ac:dyDescent="0.3">
      <c r="A33" s="449"/>
      <c r="B33" s="455" t="s">
        <v>140</v>
      </c>
      <c r="C33" s="457"/>
      <c r="D33" s="465">
        <f>D37*D34</f>
        <v>0</v>
      </c>
      <c r="E33" s="460"/>
      <c r="F33" s="463">
        <f>F37*F31</f>
        <v>0</v>
      </c>
      <c r="G33" s="463"/>
      <c r="H33" s="466">
        <f>H31*H37</f>
        <v>0</v>
      </c>
      <c r="I33" s="463"/>
      <c r="J33" s="463">
        <f>J31*J37</f>
        <v>0</v>
      </c>
      <c r="K33" s="463"/>
      <c r="L33" s="466">
        <f>L31*L37</f>
        <v>0</v>
      </c>
      <c r="M33" s="463"/>
      <c r="N33" s="466">
        <f>N31*N37</f>
        <v>0</v>
      </c>
      <c r="O33" s="463"/>
      <c r="P33" s="466"/>
      <c r="Q33" s="458"/>
      <c r="R33" s="458"/>
      <c r="S33" s="457"/>
      <c r="T33" s="458"/>
      <c r="U33" s="459"/>
      <c r="V33" s="430"/>
    </row>
    <row r="34" spans="1:23" s="431" customFormat="1" x14ac:dyDescent="0.3">
      <c r="A34" s="453"/>
      <c r="B34" s="450" t="s">
        <v>283</v>
      </c>
      <c r="C34" s="460"/>
      <c r="D34" s="458">
        <v>567282</v>
      </c>
      <c r="E34" s="457"/>
      <c r="F34" s="458">
        <v>149500</v>
      </c>
      <c r="G34" s="458"/>
      <c r="H34" s="458">
        <v>150716</v>
      </c>
      <c r="I34" s="458"/>
      <c r="J34" s="458">
        <v>16000</v>
      </c>
      <c r="K34" s="458"/>
      <c r="L34" s="458">
        <v>56527</v>
      </c>
      <c r="M34" s="458"/>
      <c r="N34" s="458">
        <v>60025</v>
      </c>
      <c r="O34" s="458"/>
      <c r="P34" s="458"/>
      <c r="Q34" s="463"/>
      <c r="R34" s="463"/>
      <c r="S34" s="460"/>
      <c r="T34" s="458">
        <f>SUM(C34:P34)</f>
        <v>1000050</v>
      </c>
      <c r="U34" s="459"/>
      <c r="V34" s="430"/>
    </row>
    <row r="35" spans="1:23" s="431" customFormat="1" x14ac:dyDescent="0.3">
      <c r="A35" s="453"/>
      <c r="B35" s="450" t="s">
        <v>284</v>
      </c>
      <c r="C35" s="460"/>
      <c r="D35" s="458">
        <f>D38*D34</f>
        <v>166193.9980428</v>
      </c>
      <c r="E35" s="457"/>
      <c r="F35" s="458">
        <f>F38*F34</f>
        <v>43798.716</v>
      </c>
      <c r="G35" s="458"/>
      <c r="H35" s="458">
        <f>H38*H34</f>
        <v>44154.965088000004</v>
      </c>
      <c r="I35" s="458"/>
      <c r="J35" s="458">
        <f>J34*J38</f>
        <v>11117.3824</v>
      </c>
      <c r="K35" s="458"/>
      <c r="L35" s="458">
        <f>L34*L38</f>
        <v>39277.017182800002</v>
      </c>
      <c r="M35" s="458"/>
      <c r="N35" s="458">
        <f>N34*N38</f>
        <v>41707.554909999999</v>
      </c>
      <c r="O35" s="458"/>
      <c r="P35" s="458"/>
      <c r="Q35" s="458"/>
      <c r="R35" s="458"/>
      <c r="S35" s="457"/>
      <c r="T35" s="458">
        <f>SUM(C35:P35)+1</f>
        <v>346250.63362360001</v>
      </c>
      <c r="U35" s="459"/>
      <c r="V35" s="430"/>
    </row>
    <row r="36" spans="1:23" s="431" customFormat="1" x14ac:dyDescent="0.3">
      <c r="A36" s="453"/>
      <c r="B36" s="455" t="s">
        <v>285</v>
      </c>
      <c r="C36" s="460"/>
      <c r="D36" s="463">
        <f>D37*D34</f>
        <v>0</v>
      </c>
      <c r="E36" s="460"/>
      <c r="F36" s="463">
        <f>F37*F34</f>
        <v>0</v>
      </c>
      <c r="G36" s="463"/>
      <c r="H36" s="463">
        <f>H37*H34</f>
        <v>0</v>
      </c>
      <c r="I36" s="463"/>
      <c r="J36" s="463">
        <f>J37*J34</f>
        <v>0</v>
      </c>
      <c r="K36" s="463"/>
      <c r="L36" s="463">
        <f>L37*L34</f>
        <v>0</v>
      </c>
      <c r="M36" s="463"/>
      <c r="N36" s="463">
        <f>N37*N34</f>
        <v>0</v>
      </c>
      <c r="O36" s="463"/>
      <c r="P36" s="463"/>
      <c r="Q36" s="467"/>
      <c r="R36" s="467"/>
      <c r="S36" s="457"/>
      <c r="T36" s="463">
        <f>SUM(C36:P36)</f>
        <v>0</v>
      </c>
      <c r="U36" s="459"/>
      <c r="V36" s="430"/>
    </row>
    <row r="37" spans="1:23" x14ac:dyDescent="0.3">
      <c r="A37" s="468"/>
      <c r="B37" s="469" t="s">
        <v>136</v>
      </c>
      <c r="C37" s="470"/>
      <c r="D37" s="471">
        <v>0</v>
      </c>
      <c r="E37" s="472"/>
      <c r="F37" s="471">
        <v>0</v>
      </c>
      <c r="G37" s="473"/>
      <c r="H37" s="471">
        <v>0</v>
      </c>
      <c r="I37" s="473"/>
      <c r="J37" s="471">
        <v>0</v>
      </c>
      <c r="K37" s="473"/>
      <c r="L37" s="471">
        <v>0</v>
      </c>
      <c r="M37" s="473"/>
      <c r="N37" s="471">
        <v>0</v>
      </c>
      <c r="O37" s="474"/>
      <c r="P37" s="474"/>
      <c r="Q37" s="475"/>
      <c r="R37" s="475"/>
      <c r="S37" s="470"/>
      <c r="T37" s="470"/>
      <c r="U37" s="476"/>
      <c r="V37" s="416"/>
      <c r="W37" s="477"/>
    </row>
    <row r="38" spans="1:23" x14ac:dyDescent="0.3">
      <c r="A38" s="468"/>
      <c r="B38" s="470" t="s">
        <v>137</v>
      </c>
      <c r="C38" s="470"/>
      <c r="D38" s="478">
        <v>0.29296539999999999</v>
      </c>
      <c r="E38" s="479"/>
      <c r="F38" s="478">
        <v>0.29296800000000001</v>
      </c>
      <c r="G38" s="480"/>
      <c r="H38" s="478">
        <v>0.29296800000000001</v>
      </c>
      <c r="I38" s="480"/>
      <c r="J38" s="478">
        <v>0.69483640000000002</v>
      </c>
      <c r="K38" s="480"/>
      <c r="L38" s="478">
        <v>0.69483640000000002</v>
      </c>
      <c r="M38" s="473"/>
      <c r="N38" s="478">
        <v>0.69483640000000002</v>
      </c>
      <c r="O38" s="474"/>
      <c r="P38" s="474"/>
      <c r="Q38" s="481"/>
      <c r="R38" s="482"/>
      <c r="S38" s="470"/>
      <c r="T38" s="481"/>
      <c r="U38" s="476"/>
      <c r="V38" s="416"/>
    </row>
    <row r="39" spans="1:23" s="431" customFormat="1" x14ac:dyDescent="0.3">
      <c r="A39" s="449"/>
      <c r="B39" s="450" t="s">
        <v>11</v>
      </c>
      <c r="C39" s="450"/>
      <c r="D39" s="456" t="s">
        <v>275</v>
      </c>
      <c r="E39" s="450"/>
      <c r="F39" s="456" t="s">
        <v>232</v>
      </c>
      <c r="G39" s="456"/>
      <c r="H39" s="456" t="s">
        <v>232</v>
      </c>
      <c r="I39" s="456"/>
      <c r="J39" s="456" t="s">
        <v>234</v>
      </c>
      <c r="K39" s="456"/>
      <c r="L39" s="456" t="s">
        <v>234</v>
      </c>
      <c r="M39" s="456"/>
      <c r="N39" s="456" t="s">
        <v>235</v>
      </c>
      <c r="O39" s="456"/>
      <c r="P39" s="456"/>
      <c r="Q39" s="483"/>
      <c r="R39" s="484"/>
      <c r="S39" s="450"/>
      <c r="T39" s="450"/>
      <c r="U39" s="452"/>
      <c r="V39" s="430"/>
    </row>
    <row r="40" spans="1:23" s="431" customFormat="1" x14ac:dyDescent="0.3">
      <c r="A40" s="449"/>
      <c r="B40" s="450" t="s">
        <v>12</v>
      </c>
      <c r="C40" s="450"/>
      <c r="D40" s="484">
        <v>1.8238E-3</v>
      </c>
      <c r="E40" s="450"/>
      <c r="F40" s="484">
        <v>3.2238000000000002E-3</v>
      </c>
      <c r="G40" s="483"/>
      <c r="H40" s="484">
        <v>0</v>
      </c>
      <c r="I40" s="483"/>
      <c r="J40" s="484">
        <v>5.6238E-3</v>
      </c>
      <c r="K40" s="483"/>
      <c r="L40" s="484">
        <v>4.4999999999999999E-4</v>
      </c>
      <c r="M40" s="483"/>
      <c r="N40" s="484">
        <v>4.6499999999999996E-3</v>
      </c>
      <c r="O40" s="483"/>
      <c r="P40" s="484"/>
      <c r="Q40" s="483"/>
      <c r="R40" s="484"/>
      <c r="S40" s="450"/>
      <c r="T40" s="456"/>
      <c r="U40" s="452"/>
      <c r="V40" s="430"/>
    </row>
    <row r="41" spans="1:23" s="431" customFormat="1" x14ac:dyDescent="0.3">
      <c r="A41" s="449"/>
      <c r="B41" s="450" t="s">
        <v>13</v>
      </c>
      <c r="C41" s="450"/>
      <c r="D41" s="484">
        <v>7.6775000000000003E-3</v>
      </c>
      <c r="E41" s="450"/>
      <c r="F41" s="484">
        <v>9.0775000000000005E-3</v>
      </c>
      <c r="G41" s="483"/>
      <c r="H41" s="484">
        <v>2.0000000000000001E-4</v>
      </c>
      <c r="I41" s="483"/>
      <c r="J41" s="484">
        <v>1.14775E-2</v>
      </c>
      <c r="K41" s="483"/>
      <c r="L41" s="484">
        <v>2.5999999999999999E-3</v>
      </c>
      <c r="M41" s="483"/>
      <c r="N41" s="484">
        <v>6.7999999999999996E-3</v>
      </c>
      <c r="O41" s="483"/>
      <c r="P41" s="484"/>
      <c r="Q41" s="483"/>
      <c r="R41" s="484"/>
      <c r="S41" s="450"/>
      <c r="T41" s="483" t="s">
        <v>201</v>
      </c>
      <c r="U41" s="452"/>
      <c r="V41" s="430"/>
    </row>
    <row r="42" spans="1:23" s="431" customFormat="1" x14ac:dyDescent="0.3">
      <c r="A42" s="449"/>
      <c r="B42" s="450" t="s">
        <v>286</v>
      </c>
      <c r="C42" s="450"/>
      <c r="D42" s="456" t="s">
        <v>275</v>
      </c>
      <c r="E42" s="450"/>
      <c r="F42" s="456" t="s">
        <v>232</v>
      </c>
      <c r="G42" s="456"/>
      <c r="H42" s="456" t="s">
        <v>232</v>
      </c>
      <c r="I42" s="456"/>
      <c r="J42" s="456" t="s">
        <v>234</v>
      </c>
      <c r="K42" s="456"/>
      <c r="L42" s="456" t="s">
        <v>245</v>
      </c>
      <c r="M42" s="456"/>
      <c r="N42" s="456" t="s">
        <v>247</v>
      </c>
      <c r="O42" s="456"/>
      <c r="P42" s="456"/>
      <c r="Q42" s="483"/>
      <c r="R42" s="484"/>
      <c r="S42" s="450"/>
      <c r="T42" s="450"/>
      <c r="U42" s="452"/>
      <c r="V42" s="430"/>
    </row>
    <row r="43" spans="1:23" s="431" customFormat="1" x14ac:dyDescent="0.3">
      <c r="A43" s="449"/>
      <c r="B43" s="450" t="s">
        <v>287</v>
      </c>
      <c r="C43" s="485"/>
      <c r="D43" s="484">
        <f>+D40</f>
        <v>1.8238E-3</v>
      </c>
      <c r="E43" s="484"/>
      <c r="F43" s="484">
        <f>+F40</f>
        <v>3.2238000000000002E-3</v>
      </c>
      <c r="G43" s="484"/>
      <c r="H43" s="484">
        <v>3.2198000000000001E-3</v>
      </c>
      <c r="I43" s="484"/>
      <c r="J43" s="484">
        <f>+J40</f>
        <v>5.6238E-3</v>
      </c>
      <c r="K43" s="484"/>
      <c r="L43" s="484">
        <v>5.9297999999999998E-3</v>
      </c>
      <c r="M43" s="484"/>
      <c r="N43" s="484">
        <v>1.0633800000000001E-2</v>
      </c>
      <c r="O43" s="483"/>
      <c r="P43" s="484"/>
      <c r="Q43" s="456"/>
      <c r="R43" s="456"/>
      <c r="S43" s="450"/>
      <c r="T43" s="483">
        <f>SUMPRODUCT(D43:N43,D35:N35)/T35</f>
        <v>3.82789092982878E-3</v>
      </c>
      <c r="U43" s="452"/>
      <c r="V43" s="430"/>
    </row>
    <row r="44" spans="1:23" s="431" customFormat="1" x14ac:dyDescent="0.3">
      <c r="A44" s="449"/>
      <c r="B44" s="450" t="s">
        <v>288</v>
      </c>
      <c r="C44" s="485"/>
      <c r="D44" s="484">
        <f>+D41</f>
        <v>7.6775000000000003E-3</v>
      </c>
      <c r="E44" s="484"/>
      <c r="F44" s="484">
        <f>+F41</f>
        <v>9.0775000000000005E-3</v>
      </c>
      <c r="G44" s="484"/>
      <c r="H44" s="484">
        <v>9.0735E-3</v>
      </c>
      <c r="I44" s="484"/>
      <c r="J44" s="484">
        <f>+J41</f>
        <v>1.14775E-2</v>
      </c>
      <c r="K44" s="484"/>
      <c r="L44" s="484">
        <v>1.1783500000000001E-2</v>
      </c>
      <c r="M44" s="484"/>
      <c r="N44" s="484">
        <v>1.6487499999999999E-2</v>
      </c>
      <c r="O44" s="483"/>
      <c r="P44" s="484"/>
      <c r="Q44" s="456"/>
      <c r="R44" s="456"/>
      <c r="S44" s="450"/>
      <c r="T44" s="450"/>
      <c r="U44" s="452"/>
      <c r="V44" s="430"/>
    </row>
    <row r="45" spans="1:23" s="431" customFormat="1" x14ac:dyDescent="0.3">
      <c r="A45" s="449"/>
      <c r="B45" s="450" t="s">
        <v>14</v>
      </c>
      <c r="C45" s="450"/>
      <c r="D45" s="485">
        <v>40283</v>
      </c>
      <c r="E45" s="485"/>
      <c r="F45" s="485">
        <v>40283</v>
      </c>
      <c r="G45" s="485"/>
      <c r="H45" s="485">
        <v>40283</v>
      </c>
      <c r="I45" s="485"/>
      <c r="J45" s="485">
        <v>40283</v>
      </c>
      <c r="K45" s="485"/>
      <c r="L45" s="485">
        <v>40283</v>
      </c>
      <c r="M45" s="485"/>
      <c r="N45" s="485">
        <v>40283</v>
      </c>
      <c r="O45" s="485"/>
      <c r="P45" s="485"/>
      <c r="Q45" s="456"/>
      <c r="R45" s="456"/>
      <c r="S45" s="450"/>
      <c r="T45" s="450"/>
      <c r="U45" s="452"/>
      <c r="V45" s="430"/>
    </row>
    <row r="46" spans="1:23" s="431" customFormat="1" x14ac:dyDescent="0.3">
      <c r="A46" s="449"/>
      <c r="B46" s="450" t="s">
        <v>15</v>
      </c>
      <c r="C46" s="450"/>
      <c r="D46" s="485">
        <v>40648</v>
      </c>
      <c r="E46" s="485"/>
      <c r="F46" s="485">
        <v>40648</v>
      </c>
      <c r="G46" s="485"/>
      <c r="H46" s="485">
        <v>40648</v>
      </c>
      <c r="I46" s="456"/>
      <c r="J46" s="485">
        <v>40648</v>
      </c>
      <c r="K46" s="456"/>
      <c r="L46" s="485">
        <v>40648</v>
      </c>
      <c r="M46" s="456"/>
      <c r="N46" s="485">
        <v>40648</v>
      </c>
      <c r="O46" s="456"/>
      <c r="P46" s="485"/>
      <c r="Q46" s="456"/>
      <c r="R46" s="456"/>
      <c r="S46" s="450"/>
      <c r="T46" s="450"/>
      <c r="U46" s="452"/>
      <c r="V46" s="430"/>
    </row>
    <row r="47" spans="1:23" s="431" customFormat="1" x14ac:dyDescent="0.3">
      <c r="A47" s="449"/>
      <c r="B47" s="450" t="s">
        <v>125</v>
      </c>
      <c r="C47" s="450"/>
      <c r="D47" s="456" t="s">
        <v>124</v>
      </c>
      <c r="E47" s="450"/>
      <c r="F47" s="456" t="s">
        <v>232</v>
      </c>
      <c r="G47" s="456"/>
      <c r="H47" s="456" t="s">
        <v>232</v>
      </c>
      <c r="I47" s="456"/>
      <c r="J47" s="456" t="s">
        <v>234</v>
      </c>
      <c r="K47" s="456"/>
      <c r="L47" s="456" t="s">
        <v>234</v>
      </c>
      <c r="M47" s="456"/>
      <c r="N47" s="456" t="s">
        <v>235</v>
      </c>
      <c r="O47" s="456"/>
      <c r="P47" s="456"/>
      <c r="Q47" s="486"/>
      <c r="R47" s="486"/>
      <c r="S47" s="486"/>
      <c r="T47" s="486"/>
      <c r="U47" s="452"/>
      <c r="V47" s="430"/>
    </row>
    <row r="48" spans="1:23" s="431" customFormat="1" x14ac:dyDescent="0.3">
      <c r="A48" s="449"/>
      <c r="B48" s="450" t="s">
        <v>289</v>
      </c>
      <c r="C48" s="450"/>
      <c r="D48" s="456" t="s">
        <v>124</v>
      </c>
      <c r="E48" s="450"/>
      <c r="F48" s="456" t="s">
        <v>232</v>
      </c>
      <c r="G48" s="456"/>
      <c r="H48" s="456" t="s">
        <v>232</v>
      </c>
      <c r="I48" s="456"/>
      <c r="J48" s="456" t="s">
        <v>234</v>
      </c>
      <c r="K48" s="456"/>
      <c r="L48" s="456" t="s">
        <v>245</v>
      </c>
      <c r="M48" s="456"/>
      <c r="N48" s="456" t="s">
        <v>247</v>
      </c>
      <c r="O48" s="456"/>
      <c r="P48" s="456"/>
      <c r="Q48" s="450"/>
      <c r="R48" s="450"/>
      <c r="S48" s="450"/>
      <c r="T48" s="483"/>
      <c r="U48" s="452"/>
      <c r="V48" s="430"/>
    </row>
    <row r="49" spans="1:23" s="431" customFormat="1" x14ac:dyDescent="0.3">
      <c r="A49" s="449"/>
      <c r="B49" s="450"/>
      <c r="C49" s="450"/>
      <c r="D49" s="456"/>
      <c r="E49" s="450"/>
      <c r="F49" s="456"/>
      <c r="G49" s="456"/>
      <c r="H49" s="456"/>
      <c r="I49" s="456"/>
      <c r="J49" s="456"/>
      <c r="K49" s="456"/>
      <c r="L49" s="456"/>
      <c r="M49" s="456"/>
      <c r="N49" s="456"/>
      <c r="O49" s="456"/>
      <c r="P49" s="456"/>
      <c r="Q49" s="450"/>
      <c r="R49" s="450"/>
      <c r="S49" s="450"/>
      <c r="T49" s="483" t="s">
        <v>201</v>
      </c>
      <c r="U49" s="452"/>
      <c r="V49" s="430"/>
    </row>
    <row r="50" spans="1:23" s="431" customFormat="1" x14ac:dyDescent="0.3">
      <c r="A50" s="449"/>
      <c r="B50" s="450" t="s">
        <v>176</v>
      </c>
      <c r="C50" s="450"/>
      <c r="D50" s="456"/>
      <c r="E50" s="450"/>
      <c r="F50" s="456"/>
      <c r="G50" s="456"/>
      <c r="H50" s="456"/>
      <c r="I50" s="456"/>
      <c r="J50" s="456"/>
      <c r="K50" s="456"/>
      <c r="L50" s="456"/>
      <c r="M50" s="456"/>
      <c r="N50" s="456"/>
      <c r="O50" s="456"/>
      <c r="P50" s="456"/>
      <c r="Q50" s="450"/>
      <c r="R50" s="450"/>
      <c r="S50" s="450"/>
      <c r="T50" s="483">
        <f>SUM(J34:P34)/SUM(D34:H34)</f>
        <v>0.15279804679664968</v>
      </c>
      <c r="U50" s="452"/>
      <c r="V50" s="430"/>
    </row>
    <row r="51" spans="1:23" s="431" customFormat="1" x14ac:dyDescent="0.3">
      <c r="A51" s="449"/>
      <c r="B51" s="450" t="s">
        <v>177</v>
      </c>
      <c r="C51" s="450"/>
      <c r="D51" s="450"/>
      <c r="E51" s="450"/>
      <c r="F51" s="487"/>
      <c r="G51" s="450"/>
      <c r="H51" s="450"/>
      <c r="I51" s="450"/>
      <c r="J51" s="450"/>
      <c r="K51" s="450"/>
      <c r="L51" s="450"/>
      <c r="M51" s="450"/>
      <c r="N51" s="450"/>
      <c r="O51" s="450"/>
      <c r="P51" s="450"/>
      <c r="Q51" s="450"/>
      <c r="R51" s="450"/>
      <c r="S51" s="450"/>
      <c r="T51" s="483" t="s">
        <v>113</v>
      </c>
      <c r="U51" s="452"/>
      <c r="V51" s="430"/>
    </row>
    <row r="52" spans="1:23" s="431" customFormat="1" x14ac:dyDescent="0.3">
      <c r="A52" s="449"/>
      <c r="B52" s="450" t="s">
        <v>178</v>
      </c>
      <c r="C52" s="450"/>
      <c r="D52" s="450"/>
      <c r="E52" s="450"/>
      <c r="F52" s="450"/>
      <c r="G52" s="450"/>
      <c r="H52" s="450"/>
      <c r="I52" s="450"/>
      <c r="J52" s="450"/>
      <c r="K52" s="450"/>
      <c r="L52" s="450"/>
      <c r="M52" s="450"/>
      <c r="N52" s="450"/>
      <c r="O52" s="450"/>
      <c r="P52" s="450"/>
      <c r="Q52" s="450"/>
      <c r="R52" s="456" t="s">
        <v>109</v>
      </c>
      <c r="S52" s="456" t="s">
        <v>115</v>
      </c>
      <c r="T52" s="458">
        <f>+T34/2-SUM(J34:P34)</f>
        <v>367473</v>
      </c>
      <c r="U52" s="452"/>
      <c r="V52" s="430"/>
    </row>
    <row r="53" spans="1:23" s="431" customFormat="1" x14ac:dyDescent="0.3">
      <c r="A53" s="449"/>
      <c r="B53" s="450"/>
      <c r="C53" s="450"/>
      <c r="D53" s="450"/>
      <c r="E53" s="450"/>
      <c r="F53" s="450"/>
      <c r="G53" s="450"/>
      <c r="H53" s="450"/>
      <c r="I53" s="450"/>
      <c r="J53" s="450"/>
      <c r="K53" s="450"/>
      <c r="L53" s="450"/>
      <c r="M53" s="450"/>
      <c r="N53" s="450"/>
      <c r="O53" s="450"/>
      <c r="P53" s="450"/>
      <c r="Q53" s="450"/>
      <c r="R53" s="450"/>
      <c r="S53" s="450"/>
      <c r="T53" s="488"/>
      <c r="U53" s="452"/>
      <c r="V53" s="430"/>
    </row>
    <row r="54" spans="1:23" s="431" customFormat="1" x14ac:dyDescent="0.3">
      <c r="A54" s="449"/>
      <c r="B54" s="450" t="s">
        <v>342</v>
      </c>
      <c r="C54" s="450"/>
      <c r="D54" s="450"/>
      <c r="E54" s="450"/>
      <c r="F54" s="450"/>
      <c r="G54" s="450"/>
      <c r="H54" s="450"/>
      <c r="I54" s="450"/>
      <c r="J54" s="450"/>
      <c r="K54" s="450"/>
      <c r="L54" s="450"/>
      <c r="M54" s="450"/>
      <c r="N54" s="450"/>
      <c r="O54" s="450"/>
      <c r="P54" s="450"/>
      <c r="Q54" s="450"/>
      <c r="R54" s="456"/>
      <c r="S54" s="456"/>
      <c r="T54" s="489" t="s">
        <v>117</v>
      </c>
      <c r="U54" s="452"/>
      <c r="V54" s="430"/>
    </row>
    <row r="55" spans="1:23" s="431" customFormat="1" x14ac:dyDescent="0.3">
      <c r="A55" s="449"/>
      <c r="B55" s="455" t="s">
        <v>210</v>
      </c>
      <c r="C55" s="455"/>
      <c r="D55" s="455"/>
      <c r="E55" s="455"/>
      <c r="F55" s="455"/>
      <c r="G55" s="455"/>
      <c r="H55" s="455"/>
      <c r="I55" s="455"/>
      <c r="J55" s="455"/>
      <c r="K55" s="455"/>
      <c r="L55" s="455"/>
      <c r="M55" s="455"/>
      <c r="N55" s="455"/>
      <c r="O55" s="455"/>
      <c r="P55" s="455"/>
      <c r="Q55" s="455"/>
      <c r="R55" s="490"/>
      <c r="S55" s="490"/>
      <c r="T55" s="491">
        <v>44119</v>
      </c>
      <c r="U55" s="452"/>
      <c r="V55" s="430"/>
    </row>
    <row r="56" spans="1:23" s="431" customFormat="1" x14ac:dyDescent="0.3">
      <c r="A56" s="449"/>
      <c r="B56" s="450" t="s">
        <v>127</v>
      </c>
      <c r="C56" s="450"/>
      <c r="D56" s="450"/>
      <c r="E56" s="450"/>
      <c r="F56" s="450"/>
      <c r="G56" s="450"/>
      <c r="H56" s="492"/>
      <c r="I56" s="492"/>
      <c r="J56" s="492"/>
      <c r="K56" s="492"/>
      <c r="L56" s="492"/>
      <c r="M56" s="492"/>
      <c r="N56" s="492"/>
      <c r="O56" s="492"/>
      <c r="P56" s="450">
        <f>+T56-R56+1</f>
        <v>91</v>
      </c>
      <c r="Q56" s="492"/>
      <c r="R56" s="493">
        <v>43936</v>
      </c>
      <c r="S56" s="494"/>
      <c r="T56" s="493">
        <v>44026</v>
      </c>
      <c r="U56" s="452"/>
      <c r="V56" s="430"/>
    </row>
    <row r="57" spans="1:23" s="431" customFormat="1" x14ac:dyDescent="0.3">
      <c r="A57" s="449"/>
      <c r="B57" s="450" t="s">
        <v>128</v>
      </c>
      <c r="C57" s="450"/>
      <c r="D57" s="450"/>
      <c r="E57" s="450"/>
      <c r="F57" s="450"/>
      <c r="G57" s="450"/>
      <c r="H57" s="450"/>
      <c r="I57" s="450"/>
      <c r="J57" s="450"/>
      <c r="K57" s="450"/>
      <c r="L57" s="450"/>
      <c r="M57" s="450"/>
      <c r="N57" s="450"/>
      <c r="O57" s="450"/>
      <c r="P57" s="450">
        <f>+T57-R57+1</f>
        <v>92</v>
      </c>
      <c r="Q57" s="450"/>
      <c r="R57" s="493">
        <v>44027</v>
      </c>
      <c r="S57" s="494"/>
      <c r="T57" s="493">
        <v>44118</v>
      </c>
      <c r="U57" s="452"/>
      <c r="V57" s="430"/>
    </row>
    <row r="58" spans="1:23" s="431" customFormat="1" x14ac:dyDescent="0.3">
      <c r="A58" s="449"/>
      <c r="B58" s="450" t="s">
        <v>344</v>
      </c>
      <c r="C58" s="450"/>
      <c r="D58" s="450"/>
      <c r="E58" s="450"/>
      <c r="F58" s="450"/>
      <c r="G58" s="450"/>
      <c r="H58" s="450"/>
      <c r="I58" s="450"/>
      <c r="J58" s="450"/>
      <c r="K58" s="450"/>
      <c r="L58" s="450"/>
      <c r="M58" s="450"/>
      <c r="N58" s="450"/>
      <c r="O58" s="450"/>
      <c r="P58" s="450"/>
      <c r="Q58" s="450"/>
      <c r="R58" s="493"/>
      <c r="S58" s="494"/>
      <c r="T58" s="493" t="s">
        <v>126</v>
      </c>
      <c r="U58" s="452"/>
      <c r="V58" s="430"/>
    </row>
    <row r="59" spans="1:23" s="431" customFormat="1" x14ac:dyDescent="0.3">
      <c r="A59" s="449"/>
      <c r="B59" s="450" t="s">
        <v>343</v>
      </c>
      <c r="C59" s="450"/>
      <c r="D59" s="450"/>
      <c r="E59" s="450"/>
      <c r="F59" s="450"/>
      <c r="G59" s="450"/>
      <c r="H59" s="450"/>
      <c r="I59" s="450"/>
      <c r="J59" s="450"/>
      <c r="K59" s="450"/>
      <c r="L59" s="450"/>
      <c r="M59" s="450"/>
      <c r="N59" s="450"/>
      <c r="O59" s="450"/>
      <c r="P59" s="450"/>
      <c r="Q59" s="450"/>
      <c r="R59" s="493"/>
      <c r="S59" s="494"/>
      <c r="T59" s="493" t="s">
        <v>160</v>
      </c>
      <c r="U59" s="452"/>
      <c r="V59" s="430"/>
      <c r="W59" s="495"/>
    </row>
    <row r="60" spans="1:23" s="431" customFormat="1" x14ac:dyDescent="0.3">
      <c r="A60" s="449"/>
      <c r="B60" s="450" t="s">
        <v>16</v>
      </c>
      <c r="C60" s="450"/>
      <c r="D60" s="450"/>
      <c r="E60" s="450"/>
      <c r="F60" s="450"/>
      <c r="G60" s="450"/>
      <c r="H60" s="450"/>
      <c r="I60" s="450"/>
      <c r="J60" s="450"/>
      <c r="K60" s="450"/>
      <c r="L60" s="450"/>
      <c r="M60" s="450"/>
      <c r="N60" s="450"/>
      <c r="O60" s="450"/>
      <c r="P60" s="450"/>
      <c r="Q60" s="450"/>
      <c r="R60" s="493"/>
      <c r="S60" s="494"/>
      <c r="T60" s="493">
        <v>44105</v>
      </c>
      <c r="U60" s="452"/>
      <c r="V60" s="430"/>
    </row>
    <row r="61" spans="1:23" s="431" customFormat="1" x14ac:dyDescent="0.3">
      <c r="A61" s="432"/>
      <c r="B61" s="447"/>
      <c r="C61" s="447"/>
      <c r="D61" s="447"/>
      <c r="E61" s="447"/>
      <c r="F61" s="447"/>
      <c r="G61" s="447"/>
      <c r="H61" s="447"/>
      <c r="I61" s="447"/>
      <c r="J61" s="447"/>
      <c r="K61" s="447"/>
      <c r="L61" s="447"/>
      <c r="M61" s="447"/>
      <c r="N61" s="447"/>
      <c r="O61" s="447"/>
      <c r="P61" s="447"/>
      <c r="Q61" s="447"/>
      <c r="R61" s="496"/>
      <c r="S61" s="497"/>
      <c r="T61" s="496"/>
      <c r="U61" s="641"/>
      <c r="V61" s="430"/>
    </row>
    <row r="62" spans="1:23" s="431" customFormat="1" x14ac:dyDescent="0.3">
      <c r="A62" s="432"/>
      <c r="B62" s="433"/>
      <c r="C62" s="433"/>
      <c r="D62" s="433"/>
      <c r="E62" s="433"/>
      <c r="F62" s="433"/>
      <c r="G62" s="433"/>
      <c r="H62" s="433"/>
      <c r="I62" s="433"/>
      <c r="J62" s="433"/>
      <c r="K62" s="433"/>
      <c r="L62" s="433"/>
      <c r="M62" s="433"/>
      <c r="N62" s="433"/>
      <c r="O62" s="433"/>
      <c r="P62" s="433"/>
      <c r="Q62" s="433"/>
      <c r="R62" s="498"/>
      <c r="S62" s="499"/>
      <c r="T62" s="498"/>
      <c r="U62" s="641"/>
      <c r="V62" s="430"/>
    </row>
    <row r="63" spans="1:23" s="431" customFormat="1" ht="18.600000000000001" thickBot="1" x14ac:dyDescent="0.4">
      <c r="A63" s="500"/>
      <c r="B63" s="501" t="s">
        <v>407</v>
      </c>
      <c r="C63" s="502"/>
      <c r="D63" s="502"/>
      <c r="E63" s="502"/>
      <c r="F63" s="502"/>
      <c r="G63" s="502"/>
      <c r="H63" s="502"/>
      <c r="I63" s="502"/>
      <c r="J63" s="502"/>
      <c r="K63" s="502"/>
      <c r="L63" s="502"/>
      <c r="M63" s="502"/>
      <c r="N63" s="502"/>
      <c r="O63" s="502"/>
      <c r="P63" s="502"/>
      <c r="Q63" s="502"/>
      <c r="R63" s="502"/>
      <c r="S63" s="502"/>
      <c r="T63" s="503"/>
      <c r="U63" s="504"/>
      <c r="V63" s="430"/>
    </row>
    <row r="64" spans="1:23" x14ac:dyDescent="0.3">
      <c r="A64" s="505"/>
      <c r="B64" s="506" t="s">
        <v>17</v>
      </c>
      <c r="C64" s="507"/>
      <c r="D64" s="507"/>
      <c r="E64" s="507"/>
      <c r="F64" s="507"/>
      <c r="G64" s="507"/>
      <c r="H64" s="507"/>
      <c r="I64" s="507"/>
      <c r="J64" s="507"/>
      <c r="K64" s="507"/>
      <c r="L64" s="507"/>
      <c r="M64" s="507"/>
      <c r="N64" s="507"/>
      <c r="O64" s="507"/>
      <c r="P64" s="507"/>
      <c r="Q64" s="507"/>
      <c r="R64" s="507"/>
      <c r="S64" s="507"/>
      <c r="T64" s="508"/>
      <c r="U64" s="509"/>
      <c r="V64" s="416"/>
    </row>
    <row r="65" spans="1:22" x14ac:dyDescent="0.3">
      <c r="A65" s="418"/>
      <c r="B65" s="427"/>
      <c r="C65" s="420"/>
      <c r="D65" s="420"/>
      <c r="E65" s="420"/>
      <c r="F65" s="420"/>
      <c r="G65" s="420"/>
      <c r="H65" s="420"/>
      <c r="I65" s="420"/>
      <c r="J65" s="420"/>
      <c r="K65" s="420"/>
      <c r="L65" s="420"/>
      <c r="M65" s="420"/>
      <c r="N65" s="420"/>
      <c r="O65" s="420"/>
      <c r="P65" s="420"/>
      <c r="Q65" s="420"/>
      <c r="R65" s="420"/>
      <c r="S65" s="420"/>
      <c r="T65" s="510"/>
      <c r="U65" s="639"/>
      <c r="V65" s="416"/>
    </row>
    <row r="66" spans="1:22" ht="46.8" x14ac:dyDescent="0.3">
      <c r="A66" s="418"/>
      <c r="B66" s="511" t="s">
        <v>18</v>
      </c>
      <c r="C66" s="512"/>
      <c r="D66" s="512"/>
      <c r="E66" s="512"/>
      <c r="F66" s="512"/>
      <c r="G66" s="512"/>
      <c r="H66" s="512"/>
      <c r="I66" s="512"/>
      <c r="J66" s="512" t="s">
        <v>97</v>
      </c>
      <c r="K66" s="512"/>
      <c r="L66" s="512" t="s">
        <v>99</v>
      </c>
      <c r="M66" s="512"/>
      <c r="N66" s="512" t="s">
        <v>101</v>
      </c>
      <c r="O66" s="512"/>
      <c r="P66" s="512" t="s">
        <v>103</v>
      </c>
      <c r="Q66" s="512"/>
      <c r="R66" s="512" t="s">
        <v>110</v>
      </c>
      <c r="S66" s="512"/>
      <c r="T66" s="513" t="s">
        <v>118</v>
      </c>
      <c r="U66" s="642"/>
      <c r="V66" s="416"/>
    </row>
    <row r="67" spans="1:22" s="431" customFormat="1" x14ac:dyDescent="0.3">
      <c r="A67" s="449"/>
      <c r="B67" s="450" t="s">
        <v>19</v>
      </c>
      <c r="C67" s="514"/>
      <c r="D67" s="514"/>
      <c r="E67" s="514"/>
      <c r="F67" s="514"/>
      <c r="G67" s="514"/>
      <c r="H67" s="514"/>
      <c r="I67" s="514"/>
      <c r="J67" s="514">
        <v>1000039</v>
      </c>
      <c r="K67" s="514"/>
      <c r="L67" s="515">
        <v>346251</v>
      </c>
      <c r="M67" s="514"/>
      <c r="N67" s="514">
        <v>346251</v>
      </c>
      <c r="O67" s="514"/>
      <c r="P67" s="514">
        <v>0</v>
      </c>
      <c r="Q67" s="514"/>
      <c r="R67" s="514">
        <v>0</v>
      </c>
      <c r="S67" s="514"/>
      <c r="T67" s="515">
        <f>+L67-N67+P67-R67</f>
        <v>0</v>
      </c>
      <c r="U67" s="452"/>
      <c r="V67" s="430"/>
    </row>
    <row r="68" spans="1:22" s="431" customFormat="1" x14ac:dyDescent="0.3">
      <c r="A68" s="449"/>
      <c r="B68" s="450" t="s">
        <v>20</v>
      </c>
      <c r="C68" s="514"/>
      <c r="D68" s="514"/>
      <c r="E68" s="514"/>
      <c r="F68" s="514"/>
      <c r="G68" s="514"/>
      <c r="H68" s="514"/>
      <c r="I68" s="514"/>
      <c r="J68" s="514">
        <v>10</v>
      </c>
      <c r="K68" s="514"/>
      <c r="L68" s="515">
        <v>0</v>
      </c>
      <c r="M68" s="514"/>
      <c r="N68" s="514">
        <v>0</v>
      </c>
      <c r="O68" s="514"/>
      <c r="P68" s="514">
        <v>0</v>
      </c>
      <c r="Q68" s="514"/>
      <c r="R68" s="514">
        <v>0</v>
      </c>
      <c r="S68" s="514"/>
      <c r="T68" s="515">
        <v>0</v>
      </c>
      <c r="U68" s="452"/>
      <c r="V68" s="430"/>
    </row>
    <row r="69" spans="1:22" s="431" customFormat="1" x14ac:dyDescent="0.3">
      <c r="A69" s="449"/>
      <c r="B69" s="450"/>
      <c r="C69" s="514"/>
      <c r="D69" s="514"/>
      <c r="E69" s="514"/>
      <c r="F69" s="514"/>
      <c r="G69" s="514"/>
      <c r="H69" s="514"/>
      <c r="I69" s="514"/>
      <c r="J69" s="514"/>
      <c r="K69" s="514"/>
      <c r="L69" s="515"/>
      <c r="M69" s="514"/>
      <c r="N69" s="514"/>
      <c r="O69" s="514"/>
      <c r="P69" s="514"/>
      <c r="Q69" s="514"/>
      <c r="R69" s="514"/>
      <c r="S69" s="514"/>
      <c r="T69" s="515"/>
      <c r="U69" s="452"/>
      <c r="V69" s="430"/>
    </row>
    <row r="70" spans="1:22" s="431" customFormat="1" x14ac:dyDescent="0.3">
      <c r="A70" s="449"/>
      <c r="B70" s="450" t="s">
        <v>21</v>
      </c>
      <c r="C70" s="514"/>
      <c r="D70" s="514"/>
      <c r="E70" s="514"/>
      <c r="F70" s="514"/>
      <c r="G70" s="514"/>
      <c r="H70" s="514"/>
      <c r="I70" s="514"/>
      <c r="J70" s="514">
        <f>SUM(J67:J69)</f>
        <v>1000049</v>
      </c>
      <c r="K70" s="514"/>
      <c r="L70" s="514">
        <f>L67+L68</f>
        <v>346251</v>
      </c>
      <c r="M70" s="514"/>
      <c r="N70" s="514">
        <f>SUM(N67:N69)</f>
        <v>346251</v>
      </c>
      <c r="O70" s="514"/>
      <c r="P70" s="514">
        <f>SUM(P67:P69)</f>
        <v>0</v>
      </c>
      <c r="Q70" s="514"/>
      <c r="R70" s="514">
        <f>SUM(R67:R69)</f>
        <v>0</v>
      </c>
      <c r="S70" s="514"/>
      <c r="T70" s="514">
        <f>SUM(T67:T69)</f>
        <v>0</v>
      </c>
      <c r="U70" s="452"/>
      <c r="V70" s="430"/>
    </row>
    <row r="71" spans="1:22" x14ac:dyDescent="0.3">
      <c r="A71" s="418"/>
      <c r="B71" s="516"/>
      <c r="C71" s="517"/>
      <c r="D71" s="517"/>
      <c r="E71" s="517"/>
      <c r="F71" s="517"/>
      <c r="G71" s="517"/>
      <c r="H71" s="517"/>
      <c r="I71" s="517"/>
      <c r="J71" s="517"/>
      <c r="K71" s="517"/>
      <c r="L71" s="517"/>
      <c r="M71" s="517"/>
      <c r="N71" s="517"/>
      <c r="O71" s="517"/>
      <c r="P71" s="517"/>
      <c r="Q71" s="517"/>
      <c r="R71" s="517"/>
      <c r="S71" s="517"/>
      <c r="T71" s="518"/>
      <c r="U71" s="639"/>
      <c r="V71" s="416"/>
    </row>
    <row r="72" spans="1:22" x14ac:dyDescent="0.3">
      <c r="A72" s="418"/>
      <c r="B72" s="422" t="s">
        <v>22</v>
      </c>
      <c r="C72" s="519"/>
      <c r="D72" s="519"/>
      <c r="E72" s="519"/>
      <c r="F72" s="519"/>
      <c r="G72" s="519"/>
      <c r="H72" s="519"/>
      <c r="I72" s="519"/>
      <c r="J72" s="519"/>
      <c r="K72" s="519"/>
      <c r="L72" s="519"/>
      <c r="M72" s="519"/>
      <c r="N72" s="519"/>
      <c r="O72" s="519"/>
      <c r="P72" s="519"/>
      <c r="Q72" s="519"/>
      <c r="R72" s="519"/>
      <c r="S72" s="519"/>
      <c r="T72" s="520"/>
      <c r="U72" s="639"/>
      <c r="V72" s="416"/>
    </row>
    <row r="73" spans="1:22" x14ac:dyDescent="0.3">
      <c r="A73" s="418"/>
      <c r="B73" s="420"/>
      <c r="C73" s="519"/>
      <c r="D73" s="519"/>
      <c r="E73" s="519"/>
      <c r="F73" s="519"/>
      <c r="G73" s="519"/>
      <c r="H73" s="519"/>
      <c r="I73" s="519"/>
      <c r="J73" s="519"/>
      <c r="K73" s="519"/>
      <c r="L73" s="519"/>
      <c r="M73" s="519"/>
      <c r="N73" s="519"/>
      <c r="O73" s="519"/>
      <c r="P73" s="519"/>
      <c r="Q73" s="519"/>
      <c r="R73" s="519"/>
      <c r="S73" s="519"/>
      <c r="T73" s="520"/>
      <c r="U73" s="639"/>
      <c r="V73" s="416"/>
    </row>
    <row r="74" spans="1:22" s="431" customFormat="1" x14ac:dyDescent="0.3">
      <c r="A74" s="449"/>
      <c r="B74" s="450" t="s">
        <v>19</v>
      </c>
      <c r="C74" s="514"/>
      <c r="D74" s="514"/>
      <c r="E74" s="514"/>
      <c r="F74" s="514"/>
      <c r="G74" s="514"/>
      <c r="H74" s="514"/>
      <c r="I74" s="514"/>
      <c r="J74" s="514"/>
      <c r="K74" s="514"/>
      <c r="L74" s="514"/>
      <c r="M74" s="514"/>
      <c r="N74" s="514"/>
      <c r="O74" s="514"/>
      <c r="P74" s="514"/>
      <c r="Q74" s="514"/>
      <c r="R74" s="514"/>
      <c r="S74" s="514"/>
      <c r="T74" s="514"/>
      <c r="U74" s="452"/>
      <c r="V74" s="430"/>
    </row>
    <row r="75" spans="1:22" s="431" customFormat="1" x14ac:dyDescent="0.3">
      <c r="A75" s="449"/>
      <c r="B75" s="450" t="s">
        <v>20</v>
      </c>
      <c r="C75" s="514"/>
      <c r="D75" s="514"/>
      <c r="E75" s="514"/>
      <c r="F75" s="514"/>
      <c r="G75" s="514"/>
      <c r="H75" s="514"/>
      <c r="I75" s="514"/>
      <c r="J75" s="514"/>
      <c r="K75" s="514"/>
      <c r="L75" s="514"/>
      <c r="M75" s="514"/>
      <c r="N75" s="514"/>
      <c r="O75" s="514"/>
      <c r="P75" s="514"/>
      <c r="Q75" s="514"/>
      <c r="R75" s="514"/>
      <c r="S75" s="514"/>
      <c r="T75" s="514"/>
      <c r="U75" s="452"/>
      <c r="V75" s="430"/>
    </row>
    <row r="76" spans="1:22" s="431" customFormat="1" x14ac:dyDescent="0.3">
      <c r="A76" s="449"/>
      <c r="B76" s="450"/>
      <c r="C76" s="514"/>
      <c r="D76" s="514"/>
      <c r="E76" s="514"/>
      <c r="F76" s="514"/>
      <c r="G76" s="514"/>
      <c r="H76" s="514"/>
      <c r="I76" s="514"/>
      <c r="J76" s="514"/>
      <c r="K76" s="514"/>
      <c r="L76" s="514"/>
      <c r="M76" s="514"/>
      <c r="N76" s="514"/>
      <c r="O76" s="514"/>
      <c r="P76" s="514"/>
      <c r="Q76" s="514"/>
      <c r="R76" s="514"/>
      <c r="S76" s="514"/>
      <c r="T76" s="514"/>
      <c r="U76" s="452"/>
      <c r="V76" s="430"/>
    </row>
    <row r="77" spans="1:22" s="431" customFormat="1" x14ac:dyDescent="0.3">
      <c r="A77" s="449"/>
      <c r="B77" s="450" t="s">
        <v>21</v>
      </c>
      <c r="C77" s="514"/>
      <c r="D77" s="514"/>
      <c r="E77" s="514"/>
      <c r="F77" s="514"/>
      <c r="G77" s="514"/>
      <c r="H77" s="514"/>
      <c r="I77" s="514"/>
      <c r="J77" s="514"/>
      <c r="K77" s="514"/>
      <c r="L77" s="514"/>
      <c r="M77" s="514"/>
      <c r="N77" s="514"/>
      <c r="O77" s="514"/>
      <c r="P77" s="514"/>
      <c r="Q77" s="514"/>
      <c r="R77" s="514"/>
      <c r="S77" s="514"/>
      <c r="T77" s="514"/>
      <c r="U77" s="452"/>
      <c r="V77" s="430"/>
    </row>
    <row r="78" spans="1:22" s="431" customFormat="1" x14ac:dyDescent="0.3">
      <c r="A78" s="449"/>
      <c r="B78" s="450"/>
      <c r="C78" s="514"/>
      <c r="D78" s="514"/>
      <c r="E78" s="514"/>
      <c r="F78" s="514"/>
      <c r="G78" s="514"/>
      <c r="H78" s="514"/>
      <c r="I78" s="514"/>
      <c r="J78" s="514"/>
      <c r="K78" s="514"/>
      <c r="L78" s="514"/>
      <c r="M78" s="514"/>
      <c r="N78" s="514"/>
      <c r="O78" s="514"/>
      <c r="P78" s="514"/>
      <c r="Q78" s="514"/>
      <c r="R78" s="514"/>
      <c r="S78" s="514"/>
      <c r="T78" s="514"/>
      <c r="U78" s="452"/>
      <c r="V78" s="430"/>
    </row>
    <row r="79" spans="1:22" s="431" customFormat="1" x14ac:dyDescent="0.3">
      <c r="A79" s="449"/>
      <c r="B79" s="450" t="s">
        <v>23</v>
      </c>
      <c r="C79" s="514"/>
      <c r="D79" s="514"/>
      <c r="E79" s="514"/>
      <c r="F79" s="514"/>
      <c r="G79" s="514"/>
      <c r="H79" s="514"/>
      <c r="I79" s="514"/>
      <c r="J79" s="514">
        <v>0</v>
      </c>
      <c r="K79" s="514"/>
      <c r="L79" s="514">
        <v>0</v>
      </c>
      <c r="M79" s="514"/>
      <c r="N79" s="514"/>
      <c r="O79" s="514"/>
      <c r="P79" s="514"/>
      <c r="Q79" s="514"/>
      <c r="R79" s="514"/>
      <c r="S79" s="514"/>
      <c r="T79" s="515">
        <v>0</v>
      </c>
      <c r="U79" s="452"/>
      <c r="V79" s="430"/>
    </row>
    <row r="80" spans="1:22" s="431" customFormat="1" x14ac:dyDescent="0.3">
      <c r="A80" s="449"/>
      <c r="B80" s="450" t="s">
        <v>123</v>
      </c>
      <c r="C80" s="514"/>
      <c r="D80" s="514"/>
      <c r="E80" s="514"/>
      <c r="F80" s="514"/>
      <c r="G80" s="514"/>
      <c r="H80" s="514"/>
      <c r="I80" s="514"/>
      <c r="J80" s="514">
        <v>0</v>
      </c>
      <c r="K80" s="514"/>
      <c r="L80" s="514">
        <v>0</v>
      </c>
      <c r="M80" s="514"/>
      <c r="N80" s="514"/>
      <c r="O80" s="514"/>
      <c r="P80" s="514"/>
      <c r="Q80" s="514"/>
      <c r="R80" s="514"/>
      <c r="S80" s="514"/>
      <c r="T80" s="514">
        <f>SUM(J80:P80)</f>
        <v>0</v>
      </c>
      <c r="U80" s="452"/>
      <c r="V80" s="430"/>
    </row>
    <row r="81" spans="1:22" s="431" customFormat="1" x14ac:dyDescent="0.3">
      <c r="A81" s="449"/>
      <c r="B81" s="450" t="s">
        <v>152</v>
      </c>
      <c r="C81" s="514"/>
      <c r="D81" s="514"/>
      <c r="E81" s="514"/>
      <c r="F81" s="514"/>
      <c r="G81" s="514"/>
      <c r="H81" s="514"/>
      <c r="I81" s="514"/>
      <c r="J81" s="514">
        <v>1</v>
      </c>
      <c r="K81" s="514"/>
      <c r="L81" s="514">
        <v>0</v>
      </c>
      <c r="M81" s="514"/>
      <c r="N81" s="514">
        <v>0</v>
      </c>
      <c r="O81" s="514"/>
      <c r="P81" s="514"/>
      <c r="Q81" s="514"/>
      <c r="R81" s="514"/>
      <c r="S81" s="514"/>
      <c r="T81" s="514">
        <f>+L81+N81</f>
        <v>0</v>
      </c>
      <c r="U81" s="452"/>
      <c r="V81" s="430"/>
    </row>
    <row r="82" spans="1:22" s="431" customFormat="1" x14ac:dyDescent="0.3">
      <c r="A82" s="449"/>
      <c r="B82" s="450" t="s">
        <v>25</v>
      </c>
      <c r="C82" s="514"/>
      <c r="D82" s="514"/>
      <c r="E82" s="514"/>
      <c r="F82" s="514"/>
      <c r="G82" s="514"/>
      <c r="H82" s="514"/>
      <c r="I82" s="514"/>
      <c r="J82" s="514">
        <v>0</v>
      </c>
      <c r="K82" s="514"/>
      <c r="L82" s="514">
        <v>0</v>
      </c>
      <c r="M82" s="514"/>
      <c r="N82" s="514"/>
      <c r="O82" s="514"/>
      <c r="P82" s="514"/>
      <c r="Q82" s="514"/>
      <c r="R82" s="514"/>
      <c r="S82" s="514"/>
      <c r="T82" s="514">
        <v>0</v>
      </c>
      <c r="U82" s="452"/>
      <c r="V82" s="430"/>
    </row>
    <row r="83" spans="1:22" s="431" customFormat="1" x14ac:dyDescent="0.3">
      <c r="A83" s="449"/>
      <c r="B83" s="450" t="s">
        <v>26</v>
      </c>
      <c r="C83" s="514"/>
      <c r="D83" s="514"/>
      <c r="E83" s="514"/>
      <c r="F83" s="514"/>
      <c r="G83" s="514"/>
      <c r="H83" s="514"/>
      <c r="I83" s="514"/>
      <c r="J83" s="514">
        <f>SUM(J70:J82)</f>
        <v>1000050</v>
      </c>
      <c r="K83" s="514"/>
      <c r="L83" s="514">
        <f>SUM(L70:L82)</f>
        <v>346251</v>
      </c>
      <c r="M83" s="514"/>
      <c r="N83" s="514"/>
      <c r="O83" s="514"/>
      <c r="P83" s="514"/>
      <c r="Q83" s="514"/>
      <c r="R83" s="514"/>
      <c r="S83" s="514"/>
      <c r="T83" s="514">
        <f>SUM(T70:T82)</f>
        <v>0</v>
      </c>
      <c r="U83" s="452"/>
      <c r="V83" s="430"/>
    </row>
    <row r="84" spans="1:22" x14ac:dyDescent="0.3">
      <c r="A84" s="418"/>
      <c r="B84" s="516"/>
      <c r="C84" s="517"/>
      <c r="D84" s="517"/>
      <c r="E84" s="517"/>
      <c r="F84" s="517"/>
      <c r="G84" s="517"/>
      <c r="H84" s="517"/>
      <c r="I84" s="517"/>
      <c r="J84" s="517"/>
      <c r="K84" s="517"/>
      <c r="L84" s="517"/>
      <c r="M84" s="517"/>
      <c r="N84" s="517"/>
      <c r="O84" s="517"/>
      <c r="P84" s="517"/>
      <c r="Q84" s="517"/>
      <c r="R84" s="517"/>
      <c r="S84" s="517"/>
      <c r="T84" s="518"/>
      <c r="U84" s="639"/>
      <c r="V84" s="416"/>
    </row>
    <row r="85" spans="1:22" x14ac:dyDescent="0.3">
      <c r="A85" s="418"/>
      <c r="B85" s="420"/>
      <c r="C85" s="420"/>
      <c r="D85" s="420"/>
      <c r="E85" s="420"/>
      <c r="F85" s="420"/>
      <c r="G85" s="420"/>
      <c r="H85" s="420"/>
      <c r="I85" s="420"/>
      <c r="J85" s="420"/>
      <c r="K85" s="420"/>
      <c r="L85" s="420"/>
      <c r="M85" s="420"/>
      <c r="N85" s="420"/>
      <c r="O85" s="420"/>
      <c r="P85" s="420"/>
      <c r="Q85" s="420"/>
      <c r="R85" s="420"/>
      <c r="S85" s="420"/>
      <c r="T85" s="420"/>
      <c r="U85" s="639"/>
      <c r="V85" s="416"/>
    </row>
    <row r="86" spans="1:22" x14ac:dyDescent="0.3">
      <c r="A86" s="442"/>
      <c r="B86" s="521" t="s">
        <v>27</v>
      </c>
      <c r="C86" s="521"/>
      <c r="D86" s="521"/>
      <c r="E86" s="521"/>
      <c r="F86" s="521"/>
      <c r="G86" s="521"/>
      <c r="H86" s="522"/>
      <c r="I86" s="522"/>
      <c r="J86" s="523" t="s">
        <v>98</v>
      </c>
      <c r="K86" s="522"/>
      <c r="L86" s="524">
        <f>+R197</f>
        <v>44104</v>
      </c>
      <c r="M86" s="522"/>
      <c r="N86" s="522"/>
      <c r="O86" s="522"/>
      <c r="P86" s="522"/>
      <c r="Q86" s="522"/>
      <c r="R86" s="522" t="s">
        <v>111</v>
      </c>
      <c r="S86" s="522"/>
      <c r="T86" s="522" t="s">
        <v>119</v>
      </c>
      <c r="U86" s="446"/>
      <c r="V86" s="416"/>
    </row>
    <row r="87" spans="1:22" s="431" customFormat="1" x14ac:dyDescent="0.3">
      <c r="A87" s="432"/>
      <c r="B87" s="447" t="s">
        <v>28</v>
      </c>
      <c r="C87" s="447"/>
      <c r="D87" s="447"/>
      <c r="E87" s="447"/>
      <c r="F87" s="447"/>
      <c r="G87" s="447"/>
      <c r="H87" s="447"/>
      <c r="I87" s="447"/>
      <c r="J87" s="447"/>
      <c r="K87" s="447"/>
      <c r="L87" s="447"/>
      <c r="M87" s="447"/>
      <c r="N87" s="447"/>
      <c r="O87" s="447"/>
      <c r="P87" s="447"/>
      <c r="Q87" s="447"/>
      <c r="R87" s="525">
        <v>0</v>
      </c>
      <c r="S87" s="447"/>
      <c r="T87" s="526">
        <v>0</v>
      </c>
      <c r="U87" s="641"/>
      <c r="V87" s="430"/>
    </row>
    <row r="88" spans="1:22" s="431" customFormat="1" x14ac:dyDescent="0.3">
      <c r="A88" s="449"/>
      <c r="B88" s="450" t="s">
        <v>29</v>
      </c>
      <c r="C88" s="450"/>
      <c r="D88" s="450"/>
      <c r="E88" s="450"/>
      <c r="F88" s="450"/>
      <c r="G88" s="450"/>
      <c r="H88" s="486"/>
      <c r="I88" s="527"/>
      <c r="J88" s="486"/>
      <c r="K88" s="450"/>
      <c r="L88" s="528"/>
      <c r="M88" s="450"/>
      <c r="N88" s="450"/>
      <c r="O88" s="450"/>
      <c r="P88" s="450"/>
      <c r="Q88" s="450"/>
      <c r="R88" s="514">
        <f>346251-74</f>
        <v>346177</v>
      </c>
      <c r="S88" s="450"/>
      <c r="T88" s="515"/>
      <c r="U88" s="452"/>
      <c r="V88" s="430"/>
    </row>
    <row r="89" spans="1:22" s="431" customFormat="1" x14ac:dyDescent="0.3">
      <c r="A89" s="449"/>
      <c r="B89" s="450" t="s">
        <v>225</v>
      </c>
      <c r="C89" s="450"/>
      <c r="D89" s="450"/>
      <c r="E89" s="450"/>
      <c r="F89" s="450"/>
      <c r="G89" s="450"/>
      <c r="H89" s="486"/>
      <c r="I89" s="527"/>
      <c r="J89" s="486"/>
      <c r="K89" s="450"/>
      <c r="L89" s="528"/>
      <c r="M89" s="450"/>
      <c r="N89" s="450"/>
      <c r="O89" s="450"/>
      <c r="P89" s="450"/>
      <c r="Q89" s="450"/>
      <c r="R89" s="514"/>
      <c r="S89" s="450"/>
      <c r="T89" s="515">
        <f>1227+1091-474-270</f>
        <v>1574</v>
      </c>
      <c r="U89" s="452"/>
      <c r="V89" s="430"/>
    </row>
    <row r="90" spans="1:22" s="431" customFormat="1" x14ac:dyDescent="0.3">
      <c r="A90" s="449"/>
      <c r="B90" s="450" t="s">
        <v>220</v>
      </c>
      <c r="C90" s="450"/>
      <c r="D90" s="450"/>
      <c r="E90" s="450"/>
      <c r="F90" s="450"/>
      <c r="G90" s="450"/>
      <c r="H90" s="486"/>
      <c r="I90" s="527"/>
      <c r="J90" s="486"/>
      <c r="K90" s="450"/>
      <c r="L90" s="528"/>
      <c r="M90" s="450"/>
      <c r="N90" s="450"/>
      <c r="O90" s="450"/>
      <c r="P90" s="450"/>
      <c r="Q90" s="450"/>
      <c r="R90" s="514"/>
      <c r="S90" s="450"/>
      <c r="T90" s="515">
        <f>27+72</f>
        <v>99</v>
      </c>
      <c r="U90" s="452"/>
      <c r="V90" s="430"/>
    </row>
    <row r="91" spans="1:22" s="431" customFormat="1" x14ac:dyDescent="0.3">
      <c r="A91" s="449"/>
      <c r="B91" s="450" t="s">
        <v>221</v>
      </c>
      <c r="C91" s="450"/>
      <c r="D91" s="450"/>
      <c r="E91" s="450"/>
      <c r="F91" s="450"/>
      <c r="G91" s="450"/>
      <c r="H91" s="486"/>
      <c r="I91" s="527"/>
      <c r="J91" s="486"/>
      <c r="K91" s="450"/>
      <c r="L91" s="528"/>
      <c r="M91" s="450"/>
      <c r="N91" s="450"/>
      <c r="O91" s="450"/>
      <c r="P91" s="450"/>
      <c r="Q91" s="450"/>
      <c r="R91" s="514"/>
      <c r="S91" s="450"/>
      <c r="T91" s="515">
        <v>35</v>
      </c>
      <c r="U91" s="452"/>
      <c r="V91" s="430"/>
    </row>
    <row r="92" spans="1:22" s="431" customFormat="1" x14ac:dyDescent="0.3">
      <c r="A92" s="449"/>
      <c r="B92" s="450" t="s">
        <v>261</v>
      </c>
      <c r="C92" s="450"/>
      <c r="D92" s="450"/>
      <c r="E92" s="450"/>
      <c r="F92" s="450"/>
      <c r="G92" s="450"/>
      <c r="H92" s="486"/>
      <c r="I92" s="527"/>
      <c r="J92" s="486"/>
      <c r="K92" s="450"/>
      <c r="L92" s="528"/>
      <c r="M92" s="450"/>
      <c r="N92" s="450"/>
      <c r="O92" s="450"/>
      <c r="P92" s="450"/>
      <c r="Q92" s="450"/>
      <c r="R92" s="514"/>
      <c r="S92" s="450"/>
      <c r="T92" s="515">
        <v>0</v>
      </c>
      <c r="U92" s="452"/>
      <c r="V92" s="430"/>
    </row>
    <row r="93" spans="1:22" s="431" customFormat="1" x14ac:dyDescent="0.3">
      <c r="A93" s="449"/>
      <c r="B93" s="450" t="s">
        <v>141</v>
      </c>
      <c r="C93" s="450"/>
      <c r="D93" s="450"/>
      <c r="E93" s="450"/>
      <c r="F93" s="450"/>
      <c r="G93" s="450"/>
      <c r="H93" s="450"/>
      <c r="I93" s="450"/>
      <c r="J93" s="450"/>
      <c r="K93" s="450"/>
      <c r="L93" s="450"/>
      <c r="M93" s="450"/>
      <c r="N93" s="450"/>
      <c r="O93" s="450"/>
      <c r="P93" s="450"/>
      <c r="Q93" s="450"/>
      <c r="R93" s="514"/>
      <c r="S93" s="450"/>
      <c r="T93" s="515">
        <v>0</v>
      </c>
      <c r="U93" s="452"/>
      <c r="V93" s="430"/>
    </row>
    <row r="94" spans="1:22" s="431" customFormat="1" x14ac:dyDescent="0.3">
      <c r="A94" s="449"/>
      <c r="B94" s="450" t="s">
        <v>250</v>
      </c>
      <c r="C94" s="450"/>
      <c r="D94" s="450"/>
      <c r="E94" s="450"/>
      <c r="F94" s="450"/>
      <c r="G94" s="450"/>
      <c r="H94" s="450"/>
      <c r="I94" s="450"/>
      <c r="J94" s="450"/>
      <c r="K94" s="450"/>
      <c r="L94" s="450"/>
      <c r="M94" s="450"/>
      <c r="N94" s="450"/>
      <c r="O94" s="450"/>
      <c r="P94" s="450"/>
      <c r="Q94" s="450"/>
      <c r="R94" s="514"/>
      <c r="S94" s="450"/>
      <c r="T94" s="515">
        <v>0</v>
      </c>
      <c r="U94" s="452"/>
      <c r="V94" s="430"/>
    </row>
    <row r="95" spans="1:22" s="431" customFormat="1" x14ac:dyDescent="0.3">
      <c r="A95" s="449"/>
      <c r="B95" s="669" t="s">
        <v>408</v>
      </c>
      <c r="C95" s="450"/>
      <c r="D95" s="450"/>
      <c r="E95" s="450"/>
      <c r="F95" s="450"/>
      <c r="G95" s="450"/>
      <c r="H95" s="450"/>
      <c r="I95" s="450"/>
      <c r="J95" s="450"/>
      <c r="K95" s="450"/>
      <c r="L95" s="450"/>
      <c r="M95" s="450"/>
      <c r="N95" s="450"/>
      <c r="O95" s="450"/>
      <c r="P95" s="450"/>
      <c r="Q95" s="450"/>
      <c r="R95" s="514"/>
      <c r="S95" s="450"/>
      <c r="T95" s="515">
        <f>-T142</f>
        <v>19001</v>
      </c>
      <c r="U95" s="452"/>
      <c r="V95" s="430"/>
    </row>
    <row r="96" spans="1:22" s="431" customFormat="1" x14ac:dyDescent="0.3">
      <c r="A96" s="449"/>
      <c r="B96" s="450" t="s">
        <v>30</v>
      </c>
      <c r="C96" s="450"/>
      <c r="D96" s="450"/>
      <c r="E96" s="450"/>
      <c r="F96" s="450"/>
      <c r="G96" s="450"/>
      <c r="H96" s="450"/>
      <c r="I96" s="450"/>
      <c r="J96" s="450"/>
      <c r="K96" s="450"/>
      <c r="L96" s="450"/>
      <c r="M96" s="450"/>
      <c r="N96" s="450"/>
      <c r="O96" s="450"/>
      <c r="P96" s="450"/>
      <c r="Q96" s="450"/>
      <c r="R96" s="514">
        <f>SUM(R87:R94)</f>
        <v>346177</v>
      </c>
      <c r="S96" s="450"/>
      <c r="T96" s="514">
        <f>SUM(T87:T95)</f>
        <v>20709</v>
      </c>
      <c r="U96" s="452"/>
      <c r="V96" s="430"/>
    </row>
    <row r="97" spans="1:24" s="431" customFormat="1" x14ac:dyDescent="0.3">
      <c r="A97" s="449"/>
      <c r="B97" s="450" t="s">
        <v>168</v>
      </c>
      <c r="C97" s="450"/>
      <c r="D97" s="450"/>
      <c r="E97" s="450"/>
      <c r="F97" s="450"/>
      <c r="G97" s="450"/>
      <c r="H97" s="450"/>
      <c r="I97" s="450"/>
      <c r="J97" s="450"/>
      <c r="K97" s="450"/>
      <c r="L97" s="450"/>
      <c r="M97" s="450"/>
      <c r="N97" s="450"/>
      <c r="O97" s="450"/>
      <c r="P97" s="450"/>
      <c r="Q97" s="450"/>
      <c r="R97" s="514">
        <v>0</v>
      </c>
      <c r="S97" s="450"/>
      <c r="T97" s="514">
        <f>-R97</f>
        <v>0</v>
      </c>
      <c r="U97" s="452"/>
      <c r="V97" s="430"/>
    </row>
    <row r="98" spans="1:24" s="431" customFormat="1" x14ac:dyDescent="0.3">
      <c r="A98" s="449"/>
      <c r="B98" s="450" t="s">
        <v>31</v>
      </c>
      <c r="C98" s="450"/>
      <c r="D98" s="450"/>
      <c r="E98" s="450"/>
      <c r="F98" s="450"/>
      <c r="G98" s="450"/>
      <c r="H98" s="450"/>
      <c r="I98" s="450"/>
      <c r="J98" s="450"/>
      <c r="K98" s="450"/>
      <c r="L98" s="450"/>
      <c r="M98" s="450"/>
      <c r="N98" s="450"/>
      <c r="O98" s="450"/>
      <c r="P98" s="450"/>
      <c r="Q98" s="450"/>
      <c r="R98" s="514">
        <f>-T98</f>
        <v>0</v>
      </c>
      <c r="S98" s="450"/>
      <c r="T98" s="515">
        <v>0</v>
      </c>
      <c r="U98" s="452"/>
      <c r="V98" s="430"/>
    </row>
    <row r="99" spans="1:24" s="431" customFormat="1" x14ac:dyDescent="0.3">
      <c r="A99" s="449"/>
      <c r="B99" s="450" t="s">
        <v>273</v>
      </c>
      <c r="C99" s="450"/>
      <c r="D99" s="450"/>
      <c r="E99" s="450"/>
      <c r="F99" s="450"/>
      <c r="G99" s="450"/>
      <c r="H99" s="450"/>
      <c r="I99" s="450"/>
      <c r="J99" s="450"/>
      <c r="K99" s="450"/>
      <c r="L99" s="450"/>
      <c r="M99" s="450"/>
      <c r="N99" s="450"/>
      <c r="O99" s="450"/>
      <c r="P99" s="450"/>
      <c r="Q99" s="450"/>
      <c r="R99" s="514"/>
      <c r="S99" s="450"/>
      <c r="T99" s="515">
        <v>44</v>
      </c>
      <c r="U99" s="452"/>
      <c r="V99" s="430"/>
    </row>
    <row r="100" spans="1:24" s="431" customFormat="1" x14ac:dyDescent="0.3">
      <c r="A100" s="449"/>
      <c r="B100" s="450" t="s">
        <v>32</v>
      </c>
      <c r="C100" s="450"/>
      <c r="D100" s="450"/>
      <c r="E100" s="450"/>
      <c r="F100" s="450"/>
      <c r="G100" s="450"/>
      <c r="H100" s="450"/>
      <c r="I100" s="450"/>
      <c r="J100" s="450"/>
      <c r="K100" s="450"/>
      <c r="L100" s="450"/>
      <c r="M100" s="450"/>
      <c r="N100" s="450"/>
      <c r="O100" s="450"/>
      <c r="P100" s="450"/>
      <c r="Q100" s="450"/>
      <c r="R100" s="514">
        <f>R96+R98+R97</f>
        <v>346177</v>
      </c>
      <c r="S100" s="450"/>
      <c r="T100" s="514">
        <f>T96+T98+T97+T99</f>
        <v>20753</v>
      </c>
      <c r="U100" s="452"/>
      <c r="V100" s="430"/>
    </row>
    <row r="101" spans="1:24" x14ac:dyDescent="0.3">
      <c r="A101" s="468"/>
      <c r="B101" s="529" t="s">
        <v>33</v>
      </c>
      <c r="C101" s="470"/>
      <c r="D101" s="470"/>
      <c r="E101" s="470"/>
      <c r="F101" s="470"/>
      <c r="G101" s="470"/>
      <c r="H101" s="470"/>
      <c r="I101" s="470"/>
      <c r="J101" s="470"/>
      <c r="K101" s="470"/>
      <c r="L101" s="470"/>
      <c r="M101" s="470"/>
      <c r="N101" s="470"/>
      <c r="O101" s="470"/>
      <c r="P101" s="470"/>
      <c r="Q101" s="470"/>
      <c r="R101" s="530"/>
      <c r="S101" s="470"/>
      <c r="T101" s="531"/>
      <c r="U101" s="476"/>
      <c r="V101" s="416"/>
    </row>
    <row r="102" spans="1:24" s="431" customFormat="1" x14ac:dyDescent="0.3">
      <c r="A102" s="449">
        <v>1</v>
      </c>
      <c r="B102" s="450" t="s">
        <v>34</v>
      </c>
      <c r="C102" s="450"/>
      <c r="D102" s="450"/>
      <c r="E102" s="450"/>
      <c r="F102" s="450"/>
      <c r="G102" s="450"/>
      <c r="H102" s="450"/>
      <c r="I102" s="450"/>
      <c r="J102" s="450"/>
      <c r="K102" s="450"/>
      <c r="L102" s="450"/>
      <c r="M102" s="450"/>
      <c r="N102" s="450"/>
      <c r="O102" s="450"/>
      <c r="P102" s="450"/>
      <c r="Q102" s="450"/>
      <c r="R102" s="450"/>
      <c r="S102" s="450"/>
      <c r="T102" s="515">
        <v>0</v>
      </c>
      <c r="U102" s="452"/>
      <c r="V102" s="430"/>
    </row>
    <row r="103" spans="1:24" s="431" customFormat="1" x14ac:dyDescent="0.3">
      <c r="A103" s="449">
        <f>+A102+1</f>
        <v>2</v>
      </c>
      <c r="B103" s="450" t="s">
        <v>312</v>
      </c>
      <c r="C103" s="450"/>
      <c r="D103" s="450"/>
      <c r="E103" s="450"/>
      <c r="F103" s="450"/>
      <c r="G103" s="450"/>
      <c r="H103" s="450"/>
      <c r="I103" s="450"/>
      <c r="J103" s="450"/>
      <c r="K103" s="450"/>
      <c r="L103" s="450"/>
      <c r="M103" s="450"/>
      <c r="N103" s="450"/>
      <c r="O103" s="450"/>
      <c r="P103" s="450"/>
      <c r="Q103" s="450"/>
      <c r="R103" s="450"/>
      <c r="S103" s="450"/>
      <c r="T103" s="515">
        <v>-2</v>
      </c>
      <c r="U103" s="452"/>
      <c r="V103" s="430"/>
    </row>
    <row r="104" spans="1:24" s="431" customFormat="1" x14ac:dyDescent="0.3">
      <c r="A104" s="449">
        <f>+A103+1</f>
        <v>3</v>
      </c>
      <c r="B104" s="532" t="s">
        <v>314</v>
      </c>
      <c r="C104" s="450"/>
      <c r="D104" s="450"/>
      <c r="E104" s="450"/>
      <c r="F104" s="450"/>
      <c r="G104" s="450"/>
      <c r="H104" s="450"/>
      <c r="I104" s="450"/>
      <c r="J104" s="450"/>
      <c r="K104" s="450"/>
      <c r="L104" s="450"/>
      <c r="M104" s="450"/>
      <c r="N104" s="450"/>
      <c r="O104" s="450"/>
      <c r="P104" s="450"/>
      <c r="Q104" s="450"/>
      <c r="R104" s="450"/>
      <c r="S104" s="450"/>
      <c r="T104" s="515">
        <f>-133-52-5</f>
        <v>-190</v>
      </c>
      <c r="U104" s="452"/>
      <c r="V104" s="430"/>
    </row>
    <row r="105" spans="1:24" s="431" customFormat="1" x14ac:dyDescent="0.3">
      <c r="A105" s="449" t="s">
        <v>133</v>
      </c>
      <c r="B105" s="450" t="s">
        <v>122</v>
      </c>
      <c r="C105" s="450"/>
      <c r="D105" s="450"/>
      <c r="E105" s="450"/>
      <c r="F105" s="450"/>
      <c r="G105" s="450"/>
      <c r="H105" s="450"/>
      <c r="I105" s="450"/>
      <c r="J105" s="450"/>
      <c r="K105" s="450"/>
      <c r="L105" s="450"/>
      <c r="M105" s="450"/>
      <c r="N105" s="450"/>
      <c r="O105" s="450"/>
      <c r="P105" s="450"/>
      <c r="Q105" s="450"/>
      <c r="R105" s="450"/>
      <c r="S105" s="450"/>
      <c r="T105" s="515">
        <v>0</v>
      </c>
      <c r="U105" s="452"/>
      <c r="V105" s="430"/>
    </row>
    <row r="106" spans="1:24" s="431" customFormat="1" x14ac:dyDescent="0.3">
      <c r="A106" s="449" t="s">
        <v>134</v>
      </c>
      <c r="B106" s="450" t="s">
        <v>348</v>
      </c>
      <c r="C106" s="450"/>
      <c r="D106" s="450"/>
      <c r="E106" s="450"/>
      <c r="F106" s="450"/>
      <c r="G106" s="450"/>
      <c r="H106" s="450"/>
      <c r="I106" s="450"/>
      <c r="J106" s="450"/>
      <c r="K106" s="450"/>
      <c r="L106" s="450"/>
      <c r="M106" s="450"/>
      <c r="N106" s="450"/>
      <c r="O106" s="450"/>
      <c r="P106" s="450"/>
      <c r="Q106" s="450"/>
      <c r="R106" s="450"/>
      <c r="S106" s="450"/>
      <c r="T106" s="515">
        <f>-76-35</f>
        <v>-111</v>
      </c>
      <c r="U106" s="452"/>
      <c r="V106" s="430"/>
      <c r="W106" s="533"/>
    </row>
    <row r="107" spans="1:24" s="431" customFormat="1" x14ac:dyDescent="0.3">
      <c r="A107" s="449" t="s">
        <v>156</v>
      </c>
      <c r="B107" s="450" t="s">
        <v>349</v>
      </c>
      <c r="C107" s="450"/>
      <c r="D107" s="450"/>
      <c r="E107" s="450"/>
      <c r="F107" s="450"/>
      <c r="G107" s="450"/>
      <c r="H107" s="450"/>
      <c r="I107" s="450"/>
      <c r="J107" s="450"/>
      <c r="K107" s="450"/>
      <c r="L107" s="450"/>
      <c r="M107" s="450"/>
      <c r="N107" s="450"/>
      <c r="O107" s="450"/>
      <c r="P107" s="450"/>
      <c r="Q107" s="450"/>
      <c r="R107" s="450"/>
      <c r="S107" s="450"/>
      <c r="T107" s="515">
        <v>-37</v>
      </c>
      <c r="U107" s="452"/>
      <c r="V107" s="430"/>
      <c r="W107" s="533"/>
    </row>
    <row r="108" spans="1:24" s="431" customFormat="1" x14ac:dyDescent="0.3">
      <c r="A108" s="449" t="s">
        <v>214</v>
      </c>
      <c r="B108" s="450" t="s">
        <v>192</v>
      </c>
      <c r="C108" s="450"/>
      <c r="D108" s="450"/>
      <c r="E108" s="450"/>
      <c r="F108" s="450"/>
      <c r="G108" s="450"/>
      <c r="H108" s="450"/>
      <c r="I108" s="450"/>
      <c r="J108" s="450"/>
      <c r="K108" s="450"/>
      <c r="L108" s="450"/>
      <c r="M108" s="450"/>
      <c r="N108" s="450"/>
      <c r="O108" s="450"/>
      <c r="P108" s="450"/>
      <c r="Q108" s="450"/>
      <c r="R108" s="450"/>
      <c r="S108" s="450"/>
      <c r="T108" s="515">
        <v>-59</v>
      </c>
      <c r="U108" s="452"/>
      <c r="V108" s="430"/>
      <c r="W108" s="533"/>
      <c r="X108" s="533"/>
    </row>
    <row r="109" spans="1:24" s="431" customFormat="1" x14ac:dyDescent="0.3">
      <c r="A109" s="449" t="s">
        <v>215</v>
      </c>
      <c r="B109" s="450" t="s">
        <v>193</v>
      </c>
      <c r="C109" s="450"/>
      <c r="D109" s="450"/>
      <c r="E109" s="450"/>
      <c r="F109" s="450"/>
      <c r="G109" s="450"/>
      <c r="H109" s="450"/>
      <c r="I109" s="450"/>
      <c r="J109" s="450"/>
      <c r="K109" s="450"/>
      <c r="L109" s="450"/>
      <c r="M109" s="450"/>
      <c r="N109" s="450"/>
      <c r="O109" s="450"/>
      <c r="P109" s="450"/>
      <c r="Q109" s="450"/>
      <c r="R109" s="450"/>
      <c r="S109" s="450"/>
      <c r="T109" s="515">
        <v>-15</v>
      </c>
      <c r="U109" s="452"/>
      <c r="V109" s="534"/>
      <c r="W109" s="533"/>
    </row>
    <row r="110" spans="1:24" s="431" customFormat="1" x14ac:dyDescent="0.3">
      <c r="A110" s="449" t="s">
        <v>216</v>
      </c>
      <c r="B110" s="450" t="s">
        <v>204</v>
      </c>
      <c r="C110" s="450"/>
      <c r="D110" s="450"/>
      <c r="E110" s="450"/>
      <c r="F110" s="450"/>
      <c r="G110" s="450"/>
      <c r="H110" s="450"/>
      <c r="I110" s="450"/>
      <c r="J110" s="450"/>
      <c r="K110" s="450"/>
      <c r="L110" s="450"/>
      <c r="M110" s="450"/>
      <c r="N110" s="450"/>
      <c r="O110" s="450"/>
      <c r="P110" s="450"/>
      <c r="Q110" s="450"/>
      <c r="R110" s="450"/>
      <c r="S110" s="450"/>
      <c r="T110" s="515">
        <v>-112</v>
      </c>
      <c r="U110" s="452"/>
      <c r="V110" s="430"/>
      <c r="W110" s="533"/>
    </row>
    <row r="111" spans="1:24" s="431" customFormat="1" x14ac:dyDescent="0.3">
      <c r="A111" s="535">
        <v>7</v>
      </c>
      <c r="B111" s="532" t="s">
        <v>313</v>
      </c>
      <c r="C111" s="532"/>
      <c r="D111" s="532"/>
      <c r="E111" s="532"/>
      <c r="F111" s="532"/>
      <c r="G111" s="450"/>
      <c r="H111" s="450"/>
      <c r="I111" s="450"/>
      <c r="J111" s="450"/>
      <c r="K111" s="450"/>
      <c r="L111" s="450"/>
      <c r="M111" s="450"/>
      <c r="N111" s="450"/>
      <c r="O111" s="450"/>
      <c r="P111" s="450"/>
      <c r="Q111" s="450"/>
      <c r="R111" s="450"/>
      <c r="S111" s="450"/>
      <c r="T111" s="515">
        <v>0</v>
      </c>
      <c r="U111" s="452"/>
      <c r="V111" s="430"/>
      <c r="W111" s="533"/>
    </row>
    <row r="112" spans="1:24" s="431" customFormat="1" x14ac:dyDescent="0.3">
      <c r="A112" s="449">
        <f t="shared" ref="A112:A121" si="0">+A111+1</f>
        <v>8</v>
      </c>
      <c r="B112" s="450" t="s">
        <v>35</v>
      </c>
      <c r="C112" s="450"/>
      <c r="D112" s="450"/>
      <c r="E112" s="450"/>
      <c r="F112" s="450"/>
      <c r="G112" s="450"/>
      <c r="H112" s="450"/>
      <c r="I112" s="450"/>
      <c r="J112" s="450"/>
      <c r="K112" s="450"/>
      <c r="L112" s="450"/>
      <c r="M112" s="450"/>
      <c r="N112" s="450"/>
      <c r="O112" s="450"/>
      <c r="P112" s="450"/>
      <c r="Q112" s="450"/>
      <c r="R112" s="450"/>
      <c r="S112" s="450"/>
      <c r="T112" s="515">
        <v>-11</v>
      </c>
      <c r="U112" s="452"/>
      <c r="V112" s="430"/>
    </row>
    <row r="113" spans="1:22" s="431" customFormat="1" x14ac:dyDescent="0.3">
      <c r="A113" s="449">
        <f t="shared" si="0"/>
        <v>9</v>
      </c>
      <c r="B113" s="450" t="s">
        <v>46</v>
      </c>
      <c r="C113" s="450"/>
      <c r="D113" s="450"/>
      <c r="E113" s="450"/>
      <c r="F113" s="450"/>
      <c r="G113" s="450"/>
      <c r="H113" s="450"/>
      <c r="I113" s="450"/>
      <c r="J113" s="450"/>
      <c r="K113" s="450"/>
      <c r="L113" s="450"/>
      <c r="M113" s="450"/>
      <c r="N113" s="450"/>
      <c r="O113" s="450"/>
      <c r="P113" s="450"/>
      <c r="Q113" s="450"/>
      <c r="R113" s="514">
        <f>-T113</f>
        <v>74</v>
      </c>
      <c r="S113" s="450"/>
      <c r="T113" s="515">
        <v>-74</v>
      </c>
      <c r="U113" s="452"/>
      <c r="V113" s="430"/>
    </row>
    <row r="114" spans="1:22" s="431" customFormat="1" x14ac:dyDescent="0.3">
      <c r="A114" s="449">
        <f t="shared" si="0"/>
        <v>10</v>
      </c>
      <c r="B114" s="450" t="s">
        <v>131</v>
      </c>
      <c r="C114" s="450"/>
      <c r="D114" s="450"/>
      <c r="E114" s="450"/>
      <c r="F114" s="450"/>
      <c r="G114" s="450"/>
      <c r="H114" s="450"/>
      <c r="I114" s="450"/>
      <c r="J114" s="450"/>
      <c r="K114" s="450"/>
      <c r="L114" s="450"/>
      <c r="M114" s="450"/>
      <c r="N114" s="450"/>
      <c r="O114" s="450"/>
      <c r="P114" s="450"/>
      <c r="Q114" s="450"/>
      <c r="R114" s="450"/>
      <c r="S114" s="450"/>
      <c r="T114" s="515">
        <v>0</v>
      </c>
      <c r="U114" s="452"/>
      <c r="V114" s="430"/>
    </row>
    <row r="115" spans="1:22" s="431" customFormat="1" x14ac:dyDescent="0.3">
      <c r="A115" s="449">
        <f t="shared" si="0"/>
        <v>11</v>
      </c>
      <c r="B115" s="450" t="s">
        <v>36</v>
      </c>
      <c r="C115" s="450"/>
      <c r="D115" s="450"/>
      <c r="E115" s="450"/>
      <c r="F115" s="450"/>
      <c r="G115" s="450"/>
      <c r="H115" s="450"/>
      <c r="I115" s="450"/>
      <c r="J115" s="450"/>
      <c r="K115" s="450"/>
      <c r="L115" s="450"/>
      <c r="M115" s="450"/>
      <c r="N115" s="450"/>
      <c r="O115" s="450"/>
      <c r="P115" s="450"/>
      <c r="Q115" s="450"/>
      <c r="R115" s="450"/>
      <c r="S115" s="450"/>
      <c r="T115" s="515">
        <v>0</v>
      </c>
      <c r="U115" s="452"/>
      <c r="V115" s="430"/>
    </row>
    <row r="116" spans="1:22" s="431" customFormat="1" x14ac:dyDescent="0.3">
      <c r="A116" s="449">
        <f t="shared" si="0"/>
        <v>12</v>
      </c>
      <c r="B116" s="450" t="s">
        <v>37</v>
      </c>
      <c r="C116" s="450"/>
      <c r="D116" s="450"/>
      <c r="E116" s="450"/>
      <c r="F116" s="450"/>
      <c r="G116" s="450"/>
      <c r="H116" s="450"/>
      <c r="I116" s="450"/>
      <c r="J116" s="450"/>
      <c r="K116" s="450"/>
      <c r="L116" s="450"/>
      <c r="M116" s="450"/>
      <c r="N116" s="450"/>
      <c r="O116" s="450"/>
      <c r="P116" s="450"/>
      <c r="Q116" s="450"/>
      <c r="R116" s="450"/>
      <c r="S116" s="450"/>
      <c r="T116" s="515">
        <v>0</v>
      </c>
      <c r="U116" s="452"/>
      <c r="V116" s="430"/>
    </row>
    <row r="117" spans="1:22" s="431" customFormat="1" x14ac:dyDescent="0.3">
      <c r="A117" s="449">
        <f t="shared" si="0"/>
        <v>13</v>
      </c>
      <c r="B117" s="450" t="s">
        <v>155</v>
      </c>
      <c r="C117" s="450"/>
      <c r="D117" s="450"/>
      <c r="E117" s="450"/>
      <c r="F117" s="450"/>
      <c r="G117" s="450"/>
      <c r="H117" s="450"/>
      <c r="I117" s="450"/>
      <c r="J117" s="450"/>
      <c r="K117" s="450"/>
      <c r="L117" s="450"/>
      <c r="M117" s="450"/>
      <c r="N117" s="450"/>
      <c r="O117" s="450"/>
      <c r="P117" s="450"/>
      <c r="Q117" s="450"/>
      <c r="R117" s="450"/>
      <c r="S117" s="450"/>
      <c r="T117" s="515">
        <v>-134</v>
      </c>
      <c r="U117" s="452"/>
      <c r="V117" s="430"/>
    </row>
    <row r="118" spans="1:22" s="431" customFormat="1" x14ac:dyDescent="0.3">
      <c r="A118" s="449">
        <f t="shared" si="0"/>
        <v>14</v>
      </c>
      <c r="B118" s="648" t="s">
        <v>368</v>
      </c>
      <c r="C118" s="450"/>
      <c r="D118" s="450"/>
      <c r="E118" s="450"/>
      <c r="F118" s="450"/>
      <c r="G118" s="450"/>
      <c r="H118" s="450"/>
      <c r="I118" s="450"/>
      <c r="J118" s="450"/>
      <c r="K118" s="450"/>
      <c r="L118" s="450"/>
      <c r="M118" s="450"/>
      <c r="N118" s="450"/>
      <c r="O118" s="450"/>
      <c r="P118" s="450"/>
      <c r="Q118" s="450"/>
      <c r="R118" s="450"/>
      <c r="S118" s="450"/>
      <c r="T118" s="515">
        <v>-196</v>
      </c>
      <c r="U118" s="452"/>
      <c r="V118" s="430"/>
    </row>
    <row r="119" spans="1:22" s="431" customFormat="1" x14ac:dyDescent="0.3">
      <c r="A119" s="449">
        <f t="shared" si="0"/>
        <v>15</v>
      </c>
      <c r="B119" s="649" t="s">
        <v>369</v>
      </c>
      <c r="C119" s="450"/>
      <c r="D119" s="450"/>
      <c r="E119" s="450"/>
      <c r="F119" s="450"/>
      <c r="G119" s="450"/>
      <c r="H119" s="450"/>
      <c r="I119" s="450"/>
      <c r="J119" s="450"/>
      <c r="K119" s="450"/>
      <c r="L119" s="450"/>
      <c r="M119" s="450"/>
      <c r="N119" s="450"/>
      <c r="O119" s="450"/>
      <c r="P119" s="450"/>
      <c r="Q119" s="450"/>
      <c r="R119" s="450"/>
      <c r="S119" s="450"/>
      <c r="T119" s="515">
        <v>0</v>
      </c>
      <c r="U119" s="452"/>
      <c r="V119" s="430"/>
    </row>
    <row r="120" spans="1:22" s="431" customFormat="1" x14ac:dyDescent="0.3">
      <c r="A120" s="449">
        <f t="shared" si="0"/>
        <v>16</v>
      </c>
      <c r="B120" s="649" t="s">
        <v>370</v>
      </c>
      <c r="C120" s="450"/>
      <c r="D120" s="450"/>
      <c r="E120" s="450"/>
      <c r="F120" s="450"/>
      <c r="G120" s="450"/>
      <c r="H120" s="450"/>
      <c r="I120" s="450"/>
      <c r="J120" s="450"/>
      <c r="K120" s="450"/>
      <c r="L120" s="450"/>
      <c r="M120" s="450"/>
      <c r="N120" s="450"/>
      <c r="O120" s="450"/>
      <c r="P120" s="450"/>
      <c r="Q120" s="450"/>
      <c r="R120" s="450"/>
      <c r="S120" s="450"/>
      <c r="T120" s="515">
        <v>0</v>
      </c>
      <c r="U120" s="452"/>
      <c r="V120" s="430"/>
    </row>
    <row r="121" spans="1:22" s="431" customFormat="1" x14ac:dyDescent="0.3">
      <c r="A121" s="449">
        <f t="shared" si="0"/>
        <v>17</v>
      </c>
      <c r="B121" s="649" t="s">
        <v>371</v>
      </c>
      <c r="C121" s="450"/>
      <c r="D121" s="450"/>
      <c r="E121" s="450"/>
      <c r="F121" s="450"/>
      <c r="G121" s="450"/>
      <c r="H121" s="450"/>
      <c r="I121" s="450"/>
      <c r="J121" s="450"/>
      <c r="K121" s="450"/>
      <c r="L121" s="450"/>
      <c r="M121" s="450"/>
      <c r="N121" s="450"/>
      <c r="O121" s="450"/>
      <c r="P121" s="450"/>
      <c r="Q121" s="450"/>
      <c r="R121" s="450"/>
      <c r="S121" s="450"/>
      <c r="T121" s="515">
        <f>-T100-SUM(T102:T120)</f>
        <v>-19812</v>
      </c>
      <c r="U121" s="452"/>
      <c r="V121" s="430"/>
    </row>
    <row r="122" spans="1:22" x14ac:dyDescent="0.3">
      <c r="A122" s="468"/>
      <c r="B122" s="529" t="s">
        <v>38</v>
      </c>
      <c r="C122" s="470"/>
      <c r="D122" s="470"/>
      <c r="E122" s="470"/>
      <c r="F122" s="470"/>
      <c r="G122" s="470"/>
      <c r="H122" s="470"/>
      <c r="I122" s="470"/>
      <c r="J122" s="470"/>
      <c r="K122" s="470"/>
      <c r="L122" s="470"/>
      <c r="M122" s="470"/>
      <c r="N122" s="470"/>
      <c r="O122" s="470"/>
      <c r="P122" s="470"/>
      <c r="Q122" s="470"/>
      <c r="R122" s="470"/>
      <c r="S122" s="470"/>
      <c r="T122" s="536"/>
      <c r="U122" s="476"/>
      <c r="V122" s="416"/>
    </row>
    <row r="123" spans="1:22" s="431" customFormat="1" x14ac:dyDescent="0.3">
      <c r="A123" s="449"/>
      <c r="B123" s="450" t="s">
        <v>180</v>
      </c>
      <c r="C123" s="450"/>
      <c r="D123" s="450"/>
      <c r="E123" s="450"/>
      <c r="F123" s="450"/>
      <c r="G123" s="450"/>
      <c r="H123" s="450"/>
      <c r="I123" s="450"/>
      <c r="J123" s="450"/>
      <c r="K123" s="450"/>
      <c r="L123" s="450"/>
      <c r="M123" s="450"/>
      <c r="N123" s="450"/>
      <c r="O123" s="450"/>
      <c r="P123" s="450"/>
      <c r="Q123" s="450"/>
      <c r="R123" s="514">
        <f>-R181</f>
        <v>0</v>
      </c>
      <c r="S123" s="514"/>
      <c r="T123" s="515"/>
      <c r="U123" s="452"/>
      <c r="V123" s="430"/>
    </row>
    <row r="124" spans="1:22" s="431" customFormat="1" x14ac:dyDescent="0.3">
      <c r="A124" s="449"/>
      <c r="B124" s="450" t="s">
        <v>181</v>
      </c>
      <c r="C124" s="450"/>
      <c r="D124" s="450"/>
      <c r="E124" s="450"/>
      <c r="F124" s="450"/>
      <c r="G124" s="450"/>
      <c r="H124" s="450"/>
      <c r="I124" s="450"/>
      <c r="J124" s="450"/>
      <c r="K124" s="450"/>
      <c r="L124" s="450"/>
      <c r="M124" s="450"/>
      <c r="N124" s="450"/>
      <c r="O124" s="450"/>
      <c r="P124" s="450"/>
      <c r="Q124" s="450"/>
      <c r="R124" s="514">
        <v>0</v>
      </c>
      <c r="S124" s="514"/>
      <c r="T124" s="515"/>
      <c r="U124" s="452"/>
      <c r="V124" s="430"/>
    </row>
    <row r="125" spans="1:22" s="431" customFormat="1" x14ac:dyDescent="0.3">
      <c r="A125" s="449"/>
      <c r="B125" s="450" t="s">
        <v>39</v>
      </c>
      <c r="C125" s="450"/>
      <c r="D125" s="450"/>
      <c r="E125" s="450"/>
      <c r="F125" s="450"/>
      <c r="G125" s="450"/>
      <c r="H125" s="450"/>
      <c r="I125" s="450"/>
      <c r="J125" s="450"/>
      <c r="K125" s="450"/>
      <c r="L125" s="450"/>
      <c r="M125" s="450"/>
      <c r="N125" s="450"/>
      <c r="O125" s="450"/>
      <c r="P125" s="450"/>
      <c r="Q125" s="450"/>
      <c r="R125" s="514">
        <f>-Q181</f>
        <v>0</v>
      </c>
      <c r="S125" s="514"/>
      <c r="T125" s="515"/>
      <c r="U125" s="452"/>
      <c r="V125" s="430"/>
    </row>
    <row r="126" spans="1:22" s="431" customFormat="1" x14ac:dyDescent="0.3">
      <c r="A126" s="449"/>
      <c r="B126" s="450" t="s">
        <v>372</v>
      </c>
      <c r="C126" s="450"/>
      <c r="D126" s="450"/>
      <c r="E126" s="450"/>
      <c r="F126" s="450"/>
      <c r="G126" s="450"/>
      <c r="H126" s="450"/>
      <c r="I126" s="450"/>
      <c r="J126" s="450"/>
      <c r="K126" s="450"/>
      <c r="L126" s="450"/>
      <c r="M126" s="450"/>
      <c r="N126" s="450"/>
      <c r="O126" s="450"/>
      <c r="P126" s="450"/>
      <c r="Q126" s="450"/>
      <c r="R126" s="514">
        <v>-166194</v>
      </c>
      <c r="S126" s="514"/>
      <c r="T126" s="515"/>
      <c r="U126" s="452"/>
      <c r="V126" s="430"/>
    </row>
    <row r="127" spans="1:22" s="431" customFormat="1" x14ac:dyDescent="0.3">
      <c r="A127" s="449"/>
      <c r="B127" s="450" t="s">
        <v>203</v>
      </c>
      <c r="C127" s="450"/>
      <c r="D127" s="450"/>
      <c r="E127" s="450"/>
      <c r="F127" s="450"/>
      <c r="G127" s="450"/>
      <c r="H127" s="450"/>
      <c r="I127" s="450"/>
      <c r="J127" s="450"/>
      <c r="K127" s="450"/>
      <c r="L127" s="450"/>
      <c r="M127" s="450"/>
      <c r="N127" s="450"/>
      <c r="O127" s="450"/>
      <c r="P127" s="450"/>
      <c r="Q127" s="450"/>
      <c r="R127" s="514">
        <v>-43799</v>
      </c>
      <c r="S127" s="514"/>
      <c r="T127" s="515"/>
      <c r="U127" s="452"/>
      <c r="V127" s="430"/>
    </row>
    <row r="128" spans="1:22" s="431" customFormat="1" x14ac:dyDescent="0.3">
      <c r="A128" s="449"/>
      <c r="B128" s="450" t="s">
        <v>202</v>
      </c>
      <c r="C128" s="450"/>
      <c r="D128" s="450"/>
      <c r="E128" s="450"/>
      <c r="F128" s="450"/>
      <c r="G128" s="450"/>
      <c r="H128" s="450"/>
      <c r="I128" s="450"/>
      <c r="J128" s="450"/>
      <c r="K128" s="450"/>
      <c r="L128" s="450"/>
      <c r="M128" s="450"/>
      <c r="N128" s="450"/>
      <c r="O128" s="450"/>
      <c r="P128" s="450"/>
      <c r="Q128" s="450"/>
      <c r="R128" s="514">
        <v>-44155</v>
      </c>
      <c r="S128" s="514"/>
      <c r="T128" s="515"/>
      <c r="U128" s="452"/>
      <c r="V128" s="430"/>
    </row>
    <row r="129" spans="1:22" s="431" customFormat="1" x14ac:dyDescent="0.3">
      <c r="A129" s="449"/>
      <c r="B129" s="450" t="s">
        <v>197</v>
      </c>
      <c r="C129" s="450"/>
      <c r="D129" s="450"/>
      <c r="E129" s="450"/>
      <c r="F129" s="450"/>
      <c r="G129" s="450"/>
      <c r="H129" s="450"/>
      <c r="I129" s="450"/>
      <c r="J129" s="450"/>
      <c r="K129" s="450"/>
      <c r="L129" s="450"/>
      <c r="M129" s="450"/>
      <c r="N129" s="450"/>
      <c r="O129" s="450"/>
      <c r="P129" s="450"/>
      <c r="Q129" s="450"/>
      <c r="R129" s="514">
        <v>-11117</v>
      </c>
      <c r="S129" s="514"/>
      <c r="T129" s="515"/>
      <c r="U129" s="452"/>
      <c r="V129" s="430"/>
    </row>
    <row r="130" spans="1:22" s="431" customFormat="1" x14ac:dyDescent="0.3">
      <c r="A130" s="449"/>
      <c r="B130" s="450" t="s">
        <v>196</v>
      </c>
      <c r="C130" s="450"/>
      <c r="D130" s="450"/>
      <c r="E130" s="450"/>
      <c r="F130" s="450"/>
      <c r="G130" s="450"/>
      <c r="H130" s="450"/>
      <c r="I130" s="450"/>
      <c r="J130" s="450"/>
      <c r="K130" s="450"/>
      <c r="L130" s="450"/>
      <c r="M130" s="450"/>
      <c r="N130" s="450"/>
      <c r="O130" s="450"/>
      <c r="P130" s="450"/>
      <c r="Q130" s="450"/>
      <c r="R130" s="514">
        <v>-39278</v>
      </c>
      <c r="S130" s="514"/>
      <c r="T130" s="515"/>
      <c r="U130" s="452"/>
      <c r="V130" s="430"/>
    </row>
    <row r="131" spans="1:22" s="431" customFormat="1" x14ac:dyDescent="0.3">
      <c r="A131" s="449"/>
      <c r="B131" s="450" t="s">
        <v>195</v>
      </c>
      <c r="C131" s="450"/>
      <c r="D131" s="450"/>
      <c r="E131" s="450"/>
      <c r="F131" s="450"/>
      <c r="G131" s="450"/>
      <c r="H131" s="450"/>
      <c r="I131" s="450"/>
      <c r="J131" s="450"/>
      <c r="K131" s="450"/>
      <c r="L131" s="450"/>
      <c r="M131" s="450"/>
      <c r="N131" s="450"/>
      <c r="O131" s="450"/>
      <c r="P131" s="450"/>
      <c r="Q131" s="450"/>
      <c r="R131" s="514">
        <v>-41708</v>
      </c>
      <c r="S131" s="514"/>
      <c r="T131" s="515"/>
      <c r="U131" s="452"/>
      <c r="V131" s="430"/>
    </row>
    <row r="132" spans="1:22" s="431" customFormat="1" x14ac:dyDescent="0.3">
      <c r="A132" s="449"/>
      <c r="B132" s="450" t="s">
        <v>40</v>
      </c>
      <c r="C132" s="450"/>
      <c r="D132" s="450"/>
      <c r="E132" s="450"/>
      <c r="F132" s="450"/>
      <c r="G132" s="450"/>
      <c r="H132" s="450"/>
      <c r="I132" s="450"/>
      <c r="J132" s="450"/>
      <c r="K132" s="450"/>
      <c r="L132" s="450"/>
      <c r="M132" s="450"/>
      <c r="N132" s="450"/>
      <c r="O132" s="450"/>
      <c r="P132" s="450"/>
      <c r="Q132" s="450"/>
      <c r="R132" s="514">
        <f>SUM(R123:R131)</f>
        <v>-346251</v>
      </c>
      <c r="S132" s="514"/>
      <c r="T132" s="514">
        <f>SUM(T101:T130)</f>
        <v>-20753</v>
      </c>
      <c r="U132" s="452"/>
      <c r="V132" s="430"/>
    </row>
    <row r="133" spans="1:22" s="431" customFormat="1" x14ac:dyDescent="0.3">
      <c r="A133" s="449"/>
      <c r="B133" s="450" t="s">
        <v>41</v>
      </c>
      <c r="C133" s="450"/>
      <c r="D133" s="450"/>
      <c r="E133" s="450"/>
      <c r="F133" s="450"/>
      <c r="G133" s="450"/>
      <c r="H133" s="450"/>
      <c r="I133" s="450"/>
      <c r="J133" s="450"/>
      <c r="K133" s="450"/>
      <c r="L133" s="450"/>
      <c r="M133" s="450"/>
      <c r="N133" s="450"/>
      <c r="O133" s="450"/>
      <c r="P133" s="450"/>
      <c r="Q133" s="450"/>
      <c r="R133" s="514">
        <f>R100+R132+R113</f>
        <v>0</v>
      </c>
      <c r="S133" s="514"/>
      <c r="T133" s="514">
        <f>T100+T132</f>
        <v>0</v>
      </c>
      <c r="U133" s="452"/>
      <c r="V133" s="430"/>
    </row>
    <row r="134" spans="1:22" s="431" customFormat="1" x14ac:dyDescent="0.3">
      <c r="A134" s="432"/>
      <c r="B134" s="447"/>
      <c r="C134" s="447"/>
      <c r="D134" s="447"/>
      <c r="E134" s="447"/>
      <c r="F134" s="447"/>
      <c r="G134" s="447"/>
      <c r="H134" s="447"/>
      <c r="I134" s="447"/>
      <c r="J134" s="447"/>
      <c r="K134" s="447"/>
      <c r="L134" s="447"/>
      <c r="M134" s="447"/>
      <c r="N134" s="447"/>
      <c r="O134" s="447"/>
      <c r="P134" s="447"/>
      <c r="Q134" s="447"/>
      <c r="R134" s="525"/>
      <c r="S134" s="525"/>
      <c r="T134" s="525"/>
      <c r="U134" s="641"/>
      <c r="V134" s="430"/>
    </row>
    <row r="135" spans="1:22" s="431" customFormat="1" x14ac:dyDescent="0.3">
      <c r="A135" s="432"/>
      <c r="B135" s="433"/>
      <c r="C135" s="433"/>
      <c r="D135" s="433"/>
      <c r="E135" s="433"/>
      <c r="F135" s="433"/>
      <c r="G135" s="433"/>
      <c r="H135" s="433"/>
      <c r="I135" s="433"/>
      <c r="J135" s="433"/>
      <c r="K135" s="433"/>
      <c r="L135" s="433"/>
      <c r="M135" s="433"/>
      <c r="N135" s="433"/>
      <c r="O135" s="433"/>
      <c r="P135" s="433"/>
      <c r="Q135" s="433"/>
      <c r="R135" s="433"/>
      <c r="S135" s="433"/>
      <c r="T135" s="537"/>
      <c r="U135" s="641"/>
      <c r="V135" s="430"/>
    </row>
    <row r="136" spans="1:22" s="431" customFormat="1" ht="18.600000000000001" thickBot="1" x14ac:dyDescent="0.4">
      <c r="A136" s="500"/>
      <c r="B136" s="501" t="str">
        <f>B63</f>
        <v>PM11 INVESTOR REPORT QUARTER ENDING SEPTEMBER 2020</v>
      </c>
      <c r="C136" s="502"/>
      <c r="D136" s="502"/>
      <c r="E136" s="502"/>
      <c r="F136" s="502"/>
      <c r="G136" s="502"/>
      <c r="H136" s="502"/>
      <c r="I136" s="502"/>
      <c r="J136" s="502"/>
      <c r="K136" s="502"/>
      <c r="L136" s="502"/>
      <c r="M136" s="502"/>
      <c r="N136" s="502"/>
      <c r="O136" s="502"/>
      <c r="P136" s="502"/>
      <c r="Q136" s="502"/>
      <c r="R136" s="502"/>
      <c r="S136" s="502"/>
      <c r="T136" s="538"/>
      <c r="U136" s="504"/>
      <c r="V136" s="430"/>
    </row>
    <row r="137" spans="1:22" x14ac:dyDescent="0.3">
      <c r="A137" s="505"/>
      <c r="B137" s="506" t="s">
        <v>42</v>
      </c>
      <c r="C137" s="507"/>
      <c r="D137" s="507"/>
      <c r="E137" s="507"/>
      <c r="F137" s="507"/>
      <c r="G137" s="507"/>
      <c r="H137" s="507"/>
      <c r="I137" s="507"/>
      <c r="J137" s="507"/>
      <c r="K137" s="507"/>
      <c r="L137" s="507"/>
      <c r="M137" s="507"/>
      <c r="N137" s="507"/>
      <c r="O137" s="507"/>
      <c r="P137" s="507"/>
      <c r="Q137" s="507"/>
      <c r="R137" s="507"/>
      <c r="S137" s="507"/>
      <c r="T137" s="508"/>
      <c r="U137" s="509"/>
      <c r="V137" s="416"/>
    </row>
    <row r="138" spans="1:22" x14ac:dyDescent="0.3">
      <c r="A138" s="418"/>
      <c r="B138" s="539"/>
      <c r="C138" s="420"/>
      <c r="D138" s="420"/>
      <c r="E138" s="420"/>
      <c r="F138" s="420"/>
      <c r="G138" s="420"/>
      <c r="H138" s="420"/>
      <c r="I138" s="420"/>
      <c r="J138" s="420"/>
      <c r="K138" s="420"/>
      <c r="L138" s="420"/>
      <c r="M138" s="420"/>
      <c r="N138" s="420"/>
      <c r="O138" s="420"/>
      <c r="P138" s="420"/>
      <c r="Q138" s="420"/>
      <c r="R138" s="420"/>
      <c r="S138" s="420"/>
      <c r="T138" s="510"/>
      <c r="U138" s="639"/>
      <c r="V138" s="416"/>
    </row>
    <row r="139" spans="1:22" x14ac:dyDescent="0.3">
      <c r="A139" s="418"/>
      <c r="B139" s="540" t="s">
        <v>43</v>
      </c>
      <c r="C139" s="420"/>
      <c r="D139" s="420"/>
      <c r="E139" s="420"/>
      <c r="F139" s="420"/>
      <c r="G139" s="420"/>
      <c r="H139" s="420"/>
      <c r="I139" s="420"/>
      <c r="J139" s="420"/>
      <c r="K139" s="420"/>
      <c r="L139" s="420"/>
      <c r="M139" s="420"/>
      <c r="N139" s="420"/>
      <c r="O139" s="420"/>
      <c r="P139" s="420"/>
      <c r="Q139" s="420"/>
      <c r="R139" s="420"/>
      <c r="S139" s="420"/>
      <c r="T139" s="510"/>
      <c r="U139" s="639"/>
      <c r="V139" s="416"/>
    </row>
    <row r="140" spans="1:22" s="431" customFormat="1" x14ac:dyDescent="0.3">
      <c r="A140" s="449"/>
      <c r="B140" s="450" t="s">
        <v>44</v>
      </c>
      <c r="C140" s="450"/>
      <c r="D140" s="450"/>
      <c r="E140" s="450"/>
      <c r="F140" s="450"/>
      <c r="G140" s="450"/>
      <c r="H140" s="450"/>
      <c r="I140" s="450"/>
      <c r="J140" s="450"/>
      <c r="K140" s="450"/>
      <c r="L140" s="450"/>
      <c r="M140" s="450"/>
      <c r="N140" s="450"/>
      <c r="O140" s="450"/>
      <c r="P140" s="450"/>
      <c r="Q140" s="450"/>
      <c r="R140" s="450"/>
      <c r="S140" s="450"/>
      <c r="T140" s="515">
        <f>+T34*0.019</f>
        <v>19000.95</v>
      </c>
      <c r="U140" s="452"/>
      <c r="V140" s="430"/>
    </row>
    <row r="141" spans="1:22" s="431" customFormat="1" x14ac:dyDescent="0.3">
      <c r="A141" s="449"/>
      <c r="B141" s="450" t="s">
        <v>45</v>
      </c>
      <c r="C141" s="450"/>
      <c r="D141" s="450"/>
      <c r="E141" s="450"/>
      <c r="F141" s="450"/>
      <c r="G141" s="450"/>
      <c r="H141" s="450"/>
      <c r="I141" s="450"/>
      <c r="J141" s="450"/>
      <c r="K141" s="450"/>
      <c r="L141" s="450"/>
      <c r="M141" s="450"/>
      <c r="N141" s="450"/>
      <c r="O141" s="450"/>
      <c r="P141" s="450"/>
      <c r="Q141" s="450"/>
      <c r="R141" s="450"/>
      <c r="S141" s="450"/>
      <c r="T141" s="515">
        <v>19001</v>
      </c>
      <c r="U141" s="452"/>
      <c r="V141" s="430"/>
    </row>
    <row r="142" spans="1:22" s="431" customFormat="1" x14ac:dyDescent="0.3">
      <c r="A142" s="449"/>
      <c r="B142" s="669" t="s">
        <v>409</v>
      </c>
      <c r="C142" s="450"/>
      <c r="D142" s="450"/>
      <c r="E142" s="450"/>
      <c r="F142" s="450"/>
      <c r="G142" s="450"/>
      <c r="H142" s="450"/>
      <c r="I142" s="450"/>
      <c r="J142" s="450"/>
      <c r="K142" s="450"/>
      <c r="L142" s="450"/>
      <c r="M142" s="450"/>
      <c r="N142" s="450"/>
      <c r="O142" s="450"/>
      <c r="P142" s="450"/>
      <c r="Q142" s="450"/>
      <c r="R142" s="450"/>
      <c r="S142" s="450"/>
      <c r="T142" s="515">
        <v>-19001</v>
      </c>
      <c r="U142" s="452"/>
      <c r="V142" s="430"/>
    </row>
    <row r="143" spans="1:22" s="431" customFormat="1" x14ac:dyDescent="0.3">
      <c r="A143" s="449"/>
      <c r="B143" s="450" t="s">
        <v>129</v>
      </c>
      <c r="C143" s="450"/>
      <c r="D143" s="450"/>
      <c r="E143" s="450"/>
      <c r="F143" s="450"/>
      <c r="G143" s="450"/>
      <c r="H143" s="450"/>
      <c r="I143" s="450"/>
      <c r="J143" s="450"/>
      <c r="K143" s="450"/>
      <c r="L143" s="450"/>
      <c r="M143" s="450"/>
      <c r="N143" s="450"/>
      <c r="O143" s="450"/>
      <c r="P143" s="450"/>
      <c r="Q143" s="450"/>
      <c r="R143" s="450"/>
      <c r="S143" s="450"/>
      <c r="T143" s="515">
        <v>0</v>
      </c>
      <c r="U143" s="452"/>
      <c r="V143" s="430"/>
    </row>
    <row r="144" spans="1:22" s="431" customFormat="1" x14ac:dyDescent="0.3">
      <c r="A144" s="449"/>
      <c r="B144" s="450" t="s">
        <v>130</v>
      </c>
      <c r="C144" s="450"/>
      <c r="D144" s="450"/>
      <c r="E144" s="450"/>
      <c r="F144" s="450"/>
      <c r="G144" s="450"/>
      <c r="H144" s="450"/>
      <c r="I144" s="450"/>
      <c r="J144" s="450"/>
      <c r="K144" s="450"/>
      <c r="L144" s="450"/>
      <c r="M144" s="450"/>
      <c r="N144" s="450"/>
      <c r="O144" s="450"/>
      <c r="P144" s="450"/>
      <c r="Q144" s="450"/>
      <c r="R144" s="450"/>
      <c r="S144" s="450"/>
      <c r="T144" s="515">
        <v>0</v>
      </c>
      <c r="U144" s="452"/>
      <c r="V144" s="430"/>
    </row>
    <row r="145" spans="1:23" s="431" customFormat="1" x14ac:dyDescent="0.3">
      <c r="A145" s="449"/>
      <c r="B145" s="450" t="s">
        <v>182</v>
      </c>
      <c r="C145" s="450"/>
      <c r="D145" s="450"/>
      <c r="E145" s="450"/>
      <c r="F145" s="450"/>
      <c r="G145" s="450"/>
      <c r="H145" s="450"/>
      <c r="I145" s="450"/>
      <c r="J145" s="450"/>
      <c r="K145" s="450"/>
      <c r="L145" s="450"/>
      <c r="M145" s="450"/>
      <c r="N145" s="450"/>
      <c r="O145" s="450"/>
      <c r="P145" s="450"/>
      <c r="Q145" s="450"/>
      <c r="R145" s="450"/>
      <c r="S145" s="450"/>
      <c r="T145" s="515">
        <v>0</v>
      </c>
      <c r="U145" s="452"/>
      <c r="V145" s="430"/>
    </row>
    <row r="146" spans="1:23" s="431" customFormat="1" x14ac:dyDescent="0.3">
      <c r="A146" s="449"/>
      <c r="B146" s="450" t="s">
        <v>46</v>
      </c>
      <c r="C146" s="450"/>
      <c r="D146" s="450"/>
      <c r="E146" s="450"/>
      <c r="F146" s="450"/>
      <c r="G146" s="450"/>
      <c r="H146" s="450"/>
      <c r="I146" s="450"/>
      <c r="J146" s="450"/>
      <c r="K146" s="450"/>
      <c r="L146" s="450"/>
      <c r="M146" s="450"/>
      <c r="N146" s="450"/>
      <c r="O146" s="450"/>
      <c r="P146" s="450"/>
      <c r="Q146" s="450"/>
      <c r="R146" s="450"/>
      <c r="S146" s="450"/>
      <c r="T146" s="515">
        <v>0</v>
      </c>
      <c r="U146" s="452"/>
      <c r="V146" s="430"/>
    </row>
    <row r="147" spans="1:23" s="431" customFormat="1" x14ac:dyDescent="0.3">
      <c r="A147" s="449"/>
      <c r="B147" s="450" t="s">
        <v>135</v>
      </c>
      <c r="C147" s="450"/>
      <c r="D147" s="450"/>
      <c r="E147" s="450"/>
      <c r="F147" s="450"/>
      <c r="G147" s="450"/>
      <c r="H147" s="450"/>
      <c r="I147" s="450"/>
      <c r="J147" s="450"/>
      <c r="K147" s="450"/>
      <c r="L147" s="450"/>
      <c r="M147" s="450"/>
      <c r="N147" s="450"/>
      <c r="O147" s="450"/>
      <c r="P147" s="450"/>
      <c r="Q147" s="450"/>
      <c r="R147" s="450"/>
      <c r="S147" s="450"/>
      <c r="T147" s="515">
        <v>0</v>
      </c>
      <c r="U147" s="452"/>
      <c r="V147" s="430"/>
    </row>
    <row r="148" spans="1:23" s="431" customFormat="1" x14ac:dyDescent="0.3">
      <c r="A148" s="449"/>
      <c r="B148" s="450" t="s">
        <v>251</v>
      </c>
      <c r="C148" s="450"/>
      <c r="D148" s="450"/>
      <c r="E148" s="450"/>
      <c r="F148" s="450"/>
      <c r="G148" s="450"/>
      <c r="H148" s="450"/>
      <c r="I148" s="450"/>
      <c r="J148" s="450"/>
      <c r="K148" s="450"/>
      <c r="L148" s="450"/>
      <c r="M148" s="450"/>
      <c r="N148" s="450"/>
      <c r="O148" s="450"/>
      <c r="P148" s="450"/>
      <c r="Q148" s="450"/>
      <c r="R148" s="450"/>
      <c r="S148" s="450"/>
      <c r="T148" s="515">
        <v>0</v>
      </c>
      <c r="U148" s="452"/>
      <c r="V148" s="430"/>
      <c r="W148" s="533"/>
    </row>
    <row r="149" spans="1:23" s="431" customFormat="1" x14ac:dyDescent="0.3">
      <c r="A149" s="449"/>
      <c r="B149" s="450" t="s">
        <v>47</v>
      </c>
      <c r="C149" s="450"/>
      <c r="D149" s="450"/>
      <c r="E149" s="450"/>
      <c r="F149" s="450"/>
      <c r="G149" s="450"/>
      <c r="H149" s="450"/>
      <c r="I149" s="450"/>
      <c r="J149" s="450"/>
      <c r="K149" s="450"/>
      <c r="L149" s="450"/>
      <c r="M149" s="450"/>
      <c r="N149" s="450"/>
      <c r="O149" s="450"/>
      <c r="P149" s="450"/>
      <c r="Q149" s="450"/>
      <c r="R149" s="450"/>
      <c r="S149" s="450"/>
      <c r="T149" s="515">
        <f>SUM(T141:T148)</f>
        <v>0</v>
      </c>
      <c r="U149" s="452"/>
      <c r="V149" s="430"/>
    </row>
    <row r="150" spans="1:23" x14ac:dyDescent="0.3">
      <c r="A150" s="468"/>
      <c r="B150" s="470"/>
      <c r="C150" s="470"/>
      <c r="D150" s="470"/>
      <c r="E150" s="470"/>
      <c r="F150" s="470"/>
      <c r="G150" s="470"/>
      <c r="H150" s="470"/>
      <c r="I150" s="470"/>
      <c r="J150" s="470"/>
      <c r="K150" s="470"/>
      <c r="L150" s="470"/>
      <c r="M150" s="470"/>
      <c r="N150" s="470"/>
      <c r="O150" s="470"/>
      <c r="P150" s="470"/>
      <c r="Q150" s="470"/>
      <c r="R150" s="470"/>
      <c r="S150" s="470"/>
      <c r="T150" s="531"/>
      <c r="U150" s="476"/>
      <c r="V150" s="416"/>
    </row>
    <row r="151" spans="1:23" x14ac:dyDescent="0.3">
      <c r="A151" s="468"/>
      <c r="B151" s="529" t="s">
        <v>401</v>
      </c>
      <c r="C151" s="470"/>
      <c r="D151" s="470"/>
      <c r="E151" s="470"/>
      <c r="F151" s="470"/>
      <c r="G151" s="470"/>
      <c r="H151" s="470"/>
      <c r="I151" s="470"/>
      <c r="J151" s="470"/>
      <c r="K151" s="470"/>
      <c r="L151" s="470"/>
      <c r="M151" s="470"/>
      <c r="N151" s="470"/>
      <c r="O151" s="470"/>
      <c r="P151" s="470"/>
      <c r="Q151" s="470"/>
      <c r="R151" s="470"/>
      <c r="S151" s="470"/>
      <c r="T151" s="531"/>
      <c r="U151" s="476"/>
      <c r="V151" s="416"/>
    </row>
    <row r="152" spans="1:23" s="431" customFormat="1" x14ac:dyDescent="0.3">
      <c r="A152" s="449"/>
      <c r="B152" s="450" t="s">
        <v>263</v>
      </c>
      <c r="C152" s="450"/>
      <c r="D152" s="450"/>
      <c r="E152" s="450"/>
      <c r="F152" s="450"/>
      <c r="G152" s="450"/>
      <c r="H152" s="450"/>
      <c r="I152" s="450"/>
      <c r="J152" s="450"/>
      <c r="K152" s="450"/>
      <c r="L152" s="450"/>
      <c r="M152" s="450"/>
      <c r="N152" s="450"/>
      <c r="O152" s="450"/>
      <c r="P152" s="450"/>
      <c r="Q152" s="450"/>
      <c r="R152" s="450"/>
      <c r="S152" s="450"/>
      <c r="T152" s="515">
        <v>0</v>
      </c>
      <c r="U152" s="452"/>
      <c r="V152" s="430"/>
    </row>
    <row r="153" spans="1:23" s="431" customFormat="1" x14ac:dyDescent="0.3">
      <c r="A153" s="449"/>
      <c r="B153" s="450" t="s">
        <v>179</v>
      </c>
      <c r="C153" s="450"/>
      <c r="D153" s="450"/>
      <c r="E153" s="450"/>
      <c r="F153" s="450"/>
      <c r="G153" s="450"/>
      <c r="H153" s="450"/>
      <c r="I153" s="450"/>
      <c r="J153" s="450"/>
      <c r="K153" s="450"/>
      <c r="L153" s="450"/>
      <c r="M153" s="450"/>
      <c r="N153" s="450"/>
      <c r="O153" s="450"/>
      <c r="P153" s="450"/>
      <c r="Q153" s="450"/>
      <c r="R153" s="450"/>
      <c r="S153" s="450"/>
      <c r="T153" s="515">
        <v>0</v>
      </c>
      <c r="U153" s="452"/>
      <c r="V153" s="430"/>
    </row>
    <row r="154" spans="1:23" s="431" customFormat="1" x14ac:dyDescent="0.3">
      <c r="A154" s="449"/>
      <c r="B154" s="450" t="s">
        <v>264</v>
      </c>
      <c r="C154" s="450"/>
      <c r="D154" s="450"/>
      <c r="E154" s="450"/>
      <c r="F154" s="450"/>
      <c r="G154" s="450"/>
      <c r="H154" s="450"/>
      <c r="I154" s="450"/>
      <c r="J154" s="450"/>
      <c r="K154" s="450"/>
      <c r="L154" s="450"/>
      <c r="M154" s="450"/>
      <c r="N154" s="450"/>
      <c r="O154" s="450"/>
      <c r="P154" s="450"/>
      <c r="Q154" s="450"/>
      <c r="R154" s="450"/>
      <c r="S154" s="450"/>
      <c r="T154" s="515">
        <v>0</v>
      </c>
      <c r="U154" s="452"/>
      <c r="V154" s="430"/>
    </row>
    <row r="155" spans="1:23" x14ac:dyDescent="0.3">
      <c r="A155" s="468"/>
      <c r="B155" s="541"/>
      <c r="C155" s="541"/>
      <c r="D155" s="541"/>
      <c r="E155" s="541"/>
      <c r="F155" s="541"/>
      <c r="G155" s="541"/>
      <c r="H155" s="541"/>
      <c r="I155" s="541"/>
      <c r="J155" s="541"/>
      <c r="K155" s="541"/>
      <c r="L155" s="541"/>
      <c r="M155" s="541"/>
      <c r="N155" s="541"/>
      <c r="O155" s="541"/>
      <c r="P155" s="541"/>
      <c r="Q155" s="541"/>
      <c r="R155" s="541"/>
      <c r="S155" s="541"/>
      <c r="T155" s="542"/>
      <c r="U155" s="543"/>
      <c r="V155" s="416"/>
    </row>
    <row r="156" spans="1:23" x14ac:dyDescent="0.3">
      <c r="A156" s="418"/>
      <c r="B156" s="516"/>
      <c r="C156" s="516"/>
      <c r="D156" s="516"/>
      <c r="E156" s="516"/>
      <c r="F156" s="516"/>
      <c r="G156" s="516"/>
      <c r="H156" s="516"/>
      <c r="I156" s="516"/>
      <c r="J156" s="516"/>
      <c r="K156" s="516"/>
      <c r="L156" s="516"/>
      <c r="M156" s="516"/>
      <c r="N156" s="516"/>
      <c r="O156" s="516"/>
      <c r="P156" s="516"/>
      <c r="Q156" s="516"/>
      <c r="R156" s="516"/>
      <c r="S156" s="516"/>
      <c r="T156" s="544"/>
      <c r="U156" s="639"/>
      <c r="V156" s="416"/>
    </row>
    <row r="157" spans="1:23" x14ac:dyDescent="0.3">
      <c r="A157" s="418"/>
      <c r="B157" s="540" t="s">
        <v>24</v>
      </c>
      <c r="C157" s="420"/>
      <c r="D157" s="420"/>
      <c r="E157" s="420"/>
      <c r="F157" s="420"/>
      <c r="G157" s="420"/>
      <c r="H157" s="420"/>
      <c r="I157" s="420"/>
      <c r="J157" s="420"/>
      <c r="K157" s="420"/>
      <c r="L157" s="420"/>
      <c r="M157" s="420"/>
      <c r="N157" s="420"/>
      <c r="O157" s="420"/>
      <c r="P157" s="420"/>
      <c r="Q157" s="420"/>
      <c r="R157" s="420"/>
      <c r="S157" s="420"/>
      <c r="T157" s="510"/>
      <c r="U157" s="639"/>
      <c r="V157" s="416"/>
    </row>
    <row r="158" spans="1:23" s="431" customFormat="1" x14ac:dyDescent="0.3">
      <c r="A158" s="449"/>
      <c r="B158" s="450" t="s">
        <v>48</v>
      </c>
      <c r="C158" s="450"/>
      <c r="D158" s="450"/>
      <c r="E158" s="450"/>
      <c r="F158" s="450"/>
      <c r="G158" s="450"/>
      <c r="H158" s="450"/>
      <c r="I158" s="450"/>
      <c r="J158" s="450"/>
      <c r="K158" s="450"/>
      <c r="L158" s="450"/>
      <c r="M158" s="450"/>
      <c r="N158" s="450"/>
      <c r="O158" s="450"/>
      <c r="P158" s="450"/>
      <c r="Q158" s="450"/>
      <c r="R158" s="450"/>
      <c r="S158" s="450"/>
      <c r="T158" s="545" t="s">
        <v>124</v>
      </c>
      <c r="U158" s="452"/>
      <c r="V158" s="430"/>
    </row>
    <row r="159" spans="1:23" s="431" customFormat="1" x14ac:dyDescent="0.3">
      <c r="A159" s="449"/>
      <c r="B159" s="450" t="s">
        <v>49</v>
      </c>
      <c r="C159" s="450"/>
      <c r="D159" s="450"/>
      <c r="E159" s="450"/>
      <c r="F159" s="450"/>
      <c r="G159" s="450"/>
      <c r="H159" s="450"/>
      <c r="I159" s="450"/>
      <c r="J159" s="450"/>
      <c r="K159" s="450"/>
      <c r="L159" s="450"/>
      <c r="M159" s="450"/>
      <c r="N159" s="450"/>
      <c r="O159" s="450"/>
      <c r="P159" s="450"/>
      <c r="Q159" s="450"/>
      <c r="R159" s="450"/>
      <c r="S159" s="450"/>
      <c r="T159" s="545" t="s">
        <v>124</v>
      </c>
      <c r="U159" s="452"/>
      <c r="V159" s="430"/>
    </row>
    <row r="160" spans="1:23" s="431" customFormat="1" x14ac:dyDescent="0.3">
      <c r="A160" s="449"/>
      <c r="B160" s="450" t="s">
        <v>50</v>
      </c>
      <c r="C160" s="450"/>
      <c r="D160" s="450"/>
      <c r="E160" s="450"/>
      <c r="F160" s="450"/>
      <c r="G160" s="450"/>
      <c r="H160" s="450"/>
      <c r="I160" s="450"/>
      <c r="J160" s="450"/>
      <c r="K160" s="450"/>
      <c r="L160" s="450"/>
      <c r="M160" s="450"/>
      <c r="N160" s="450"/>
      <c r="O160" s="450"/>
      <c r="P160" s="450"/>
      <c r="Q160" s="450"/>
      <c r="R160" s="450"/>
      <c r="S160" s="450"/>
      <c r="T160" s="545" t="s">
        <v>124</v>
      </c>
      <c r="U160" s="452"/>
      <c r="V160" s="430"/>
    </row>
    <row r="161" spans="1:22" s="431" customFormat="1" x14ac:dyDescent="0.3">
      <c r="A161" s="449"/>
      <c r="B161" s="450" t="s">
        <v>51</v>
      </c>
      <c r="C161" s="450"/>
      <c r="D161" s="450"/>
      <c r="E161" s="450"/>
      <c r="F161" s="450"/>
      <c r="G161" s="450"/>
      <c r="H161" s="450"/>
      <c r="I161" s="450"/>
      <c r="J161" s="450"/>
      <c r="K161" s="450"/>
      <c r="L161" s="450"/>
      <c r="M161" s="450"/>
      <c r="N161" s="450"/>
      <c r="O161" s="450"/>
      <c r="P161" s="450"/>
      <c r="Q161" s="450"/>
      <c r="R161" s="450"/>
      <c r="S161" s="450"/>
      <c r="T161" s="545" t="s">
        <v>124</v>
      </c>
      <c r="U161" s="452"/>
      <c r="V161" s="430"/>
    </row>
    <row r="162" spans="1:22" x14ac:dyDescent="0.3">
      <c r="A162" s="418"/>
      <c r="B162" s="516"/>
      <c r="C162" s="516"/>
      <c r="D162" s="516"/>
      <c r="E162" s="516"/>
      <c r="F162" s="516"/>
      <c r="G162" s="516"/>
      <c r="H162" s="516"/>
      <c r="I162" s="516"/>
      <c r="J162" s="516"/>
      <c r="K162" s="516"/>
      <c r="L162" s="516"/>
      <c r="M162" s="516"/>
      <c r="N162" s="516"/>
      <c r="O162" s="516"/>
      <c r="P162" s="516"/>
      <c r="Q162" s="516"/>
      <c r="R162" s="516"/>
      <c r="S162" s="516"/>
      <c r="T162" s="544"/>
      <c r="U162" s="639"/>
      <c r="V162" s="416"/>
    </row>
    <row r="163" spans="1:22" x14ac:dyDescent="0.3">
      <c r="A163" s="418"/>
      <c r="B163" s="540" t="s">
        <v>52</v>
      </c>
      <c r="C163" s="420"/>
      <c r="D163" s="420"/>
      <c r="E163" s="420"/>
      <c r="F163" s="420"/>
      <c r="G163" s="420"/>
      <c r="H163" s="420"/>
      <c r="I163" s="420"/>
      <c r="J163" s="420"/>
      <c r="K163" s="420"/>
      <c r="L163" s="420"/>
      <c r="M163" s="420"/>
      <c r="N163" s="420"/>
      <c r="O163" s="420"/>
      <c r="P163" s="420"/>
      <c r="Q163" s="420"/>
      <c r="R163" s="420"/>
      <c r="S163" s="420"/>
      <c r="T163" s="546"/>
      <c r="U163" s="639"/>
      <c r="V163" s="416"/>
    </row>
    <row r="164" spans="1:22" s="431" customFormat="1" x14ac:dyDescent="0.3">
      <c r="A164" s="449"/>
      <c r="B164" s="450" t="s">
        <v>53</v>
      </c>
      <c r="C164" s="450"/>
      <c r="D164" s="450"/>
      <c r="E164" s="450"/>
      <c r="F164" s="450"/>
      <c r="G164" s="450"/>
      <c r="H164" s="450"/>
      <c r="I164" s="450"/>
      <c r="J164" s="450"/>
      <c r="K164" s="450"/>
      <c r="L164" s="450"/>
      <c r="M164" s="450"/>
      <c r="N164" s="450"/>
      <c r="O164" s="450"/>
      <c r="P164" s="450"/>
      <c r="Q164" s="450"/>
      <c r="R164" s="450"/>
      <c r="S164" s="450"/>
      <c r="T164" s="515">
        <v>0</v>
      </c>
      <c r="U164" s="452"/>
      <c r="V164" s="430"/>
    </row>
    <row r="165" spans="1:22" s="431" customFormat="1" x14ac:dyDescent="0.3">
      <c r="A165" s="449"/>
      <c r="B165" s="450" t="s">
        <v>54</v>
      </c>
      <c r="C165" s="450"/>
      <c r="D165" s="450"/>
      <c r="E165" s="450"/>
      <c r="F165" s="450"/>
      <c r="G165" s="450"/>
      <c r="H165" s="450"/>
      <c r="I165" s="450"/>
      <c r="J165" s="450"/>
      <c r="K165" s="450"/>
      <c r="L165" s="450"/>
      <c r="M165" s="450"/>
      <c r="N165" s="450"/>
      <c r="O165" s="450"/>
      <c r="P165" s="450"/>
      <c r="Q165" s="450"/>
      <c r="R165" s="450"/>
      <c r="S165" s="450"/>
      <c r="T165" s="515">
        <f>R113</f>
        <v>74</v>
      </c>
      <c r="U165" s="452"/>
      <c r="V165" s="430"/>
    </row>
    <row r="166" spans="1:22" s="431" customFormat="1" x14ac:dyDescent="0.3">
      <c r="A166" s="449"/>
      <c r="B166" s="450" t="s">
        <v>55</v>
      </c>
      <c r="C166" s="450"/>
      <c r="D166" s="450"/>
      <c r="E166" s="450"/>
      <c r="F166" s="450"/>
      <c r="G166" s="450"/>
      <c r="H166" s="450"/>
      <c r="I166" s="450"/>
      <c r="J166" s="450"/>
      <c r="K166" s="450"/>
      <c r="L166" s="450"/>
      <c r="M166" s="450"/>
      <c r="N166" s="450"/>
      <c r="O166" s="450"/>
      <c r="P166" s="450"/>
      <c r="Q166" s="450"/>
      <c r="R166" s="450"/>
      <c r="S166" s="450"/>
      <c r="T166" s="515">
        <f>T165+T164</f>
        <v>74</v>
      </c>
      <c r="U166" s="452"/>
      <c r="V166" s="430"/>
    </row>
    <row r="167" spans="1:22" s="431" customFormat="1" x14ac:dyDescent="0.3">
      <c r="A167" s="449"/>
      <c r="B167" s="450" t="s">
        <v>301</v>
      </c>
      <c r="C167" s="450"/>
      <c r="D167" s="450"/>
      <c r="E167" s="450"/>
      <c r="F167" s="450"/>
      <c r="G167" s="450"/>
      <c r="H167" s="450"/>
      <c r="I167" s="450"/>
      <c r="J167" s="450"/>
      <c r="K167" s="450"/>
      <c r="L167" s="450"/>
      <c r="M167" s="450"/>
      <c r="N167" s="450"/>
      <c r="O167" s="450"/>
      <c r="P167" s="450"/>
      <c r="Q167" s="450"/>
      <c r="R167" s="450"/>
      <c r="S167" s="450"/>
      <c r="T167" s="515">
        <f>T113</f>
        <v>-74</v>
      </c>
      <c r="U167" s="452"/>
      <c r="V167" s="430"/>
    </row>
    <row r="168" spans="1:22" s="431" customFormat="1" x14ac:dyDescent="0.3">
      <c r="A168" s="449"/>
      <c r="B168" s="450" t="s">
        <v>56</v>
      </c>
      <c r="C168" s="450"/>
      <c r="D168" s="450"/>
      <c r="E168" s="450"/>
      <c r="F168" s="450"/>
      <c r="G168" s="450"/>
      <c r="H168" s="450"/>
      <c r="I168" s="450"/>
      <c r="J168" s="450"/>
      <c r="K168" s="450"/>
      <c r="L168" s="450"/>
      <c r="M168" s="450"/>
      <c r="N168" s="450"/>
      <c r="O168" s="450"/>
      <c r="P168" s="450"/>
      <c r="Q168" s="450"/>
      <c r="R168" s="450"/>
      <c r="S168" s="450"/>
      <c r="T168" s="515">
        <f>T166+T167</f>
        <v>0</v>
      </c>
      <c r="U168" s="452"/>
      <c r="V168" s="430"/>
    </row>
    <row r="169" spans="1:22" s="431" customFormat="1" x14ac:dyDescent="0.3">
      <c r="A169" s="449"/>
      <c r="B169" s="450" t="s">
        <v>273</v>
      </c>
      <c r="C169" s="450"/>
      <c r="D169" s="450"/>
      <c r="E169" s="450"/>
      <c r="F169" s="450"/>
      <c r="G169" s="450"/>
      <c r="H169" s="450"/>
      <c r="I169" s="450"/>
      <c r="J169" s="450"/>
      <c r="K169" s="450"/>
      <c r="L169" s="450"/>
      <c r="M169" s="450"/>
      <c r="N169" s="450"/>
      <c r="O169" s="450"/>
      <c r="P169" s="450"/>
      <c r="Q169" s="450"/>
      <c r="R169" s="450"/>
      <c r="S169" s="450"/>
      <c r="T169" s="515">
        <v>0</v>
      </c>
      <c r="U169" s="452"/>
      <c r="V169" s="430"/>
    </row>
    <row r="170" spans="1:22" ht="16.2" thickBot="1" x14ac:dyDescent="0.35">
      <c r="A170" s="418"/>
      <c r="B170" s="516"/>
      <c r="C170" s="516"/>
      <c r="D170" s="516"/>
      <c r="E170" s="516"/>
      <c r="F170" s="516"/>
      <c r="G170" s="516"/>
      <c r="H170" s="516"/>
      <c r="I170" s="516"/>
      <c r="J170" s="516"/>
      <c r="K170" s="516"/>
      <c r="L170" s="516"/>
      <c r="M170" s="516"/>
      <c r="N170" s="516"/>
      <c r="O170" s="516"/>
      <c r="P170" s="516"/>
      <c r="Q170" s="516"/>
      <c r="R170" s="516"/>
      <c r="S170" s="516"/>
      <c r="T170" s="544"/>
      <c r="U170" s="639"/>
      <c r="V170" s="416"/>
    </row>
    <row r="171" spans="1:22" x14ac:dyDescent="0.3">
      <c r="A171" s="547"/>
      <c r="B171" s="415"/>
      <c r="C171" s="415"/>
      <c r="D171" s="415"/>
      <c r="E171" s="415"/>
      <c r="F171" s="415"/>
      <c r="G171" s="415"/>
      <c r="H171" s="415"/>
      <c r="I171" s="415"/>
      <c r="J171" s="415"/>
      <c r="K171" s="415"/>
      <c r="L171" s="415"/>
      <c r="M171" s="415"/>
      <c r="N171" s="415"/>
      <c r="O171" s="415"/>
      <c r="P171" s="415"/>
      <c r="Q171" s="415"/>
      <c r="R171" s="415"/>
      <c r="S171" s="415"/>
      <c r="T171" s="548"/>
      <c r="U171" s="638"/>
      <c r="V171" s="416"/>
    </row>
    <row r="172" spans="1:22" x14ac:dyDescent="0.3">
      <c r="A172" s="418"/>
      <c r="B172" s="540" t="s">
        <v>57</v>
      </c>
      <c r="C172" s="420"/>
      <c r="D172" s="420"/>
      <c r="E172" s="420"/>
      <c r="F172" s="420"/>
      <c r="G172" s="420"/>
      <c r="H172" s="420"/>
      <c r="I172" s="420"/>
      <c r="J172" s="420"/>
      <c r="K172" s="420"/>
      <c r="L172" s="420"/>
      <c r="M172" s="420"/>
      <c r="N172" s="420"/>
      <c r="O172" s="420"/>
      <c r="P172" s="420"/>
      <c r="Q172" s="420"/>
      <c r="R172" s="420"/>
      <c r="S172" s="420"/>
      <c r="T172" s="510"/>
      <c r="U172" s="639"/>
      <c r="V172" s="416"/>
    </row>
    <row r="173" spans="1:22" x14ac:dyDescent="0.3">
      <c r="A173" s="418"/>
      <c r="B173" s="540"/>
      <c r="C173" s="420"/>
      <c r="D173" s="420"/>
      <c r="E173" s="420"/>
      <c r="F173" s="420"/>
      <c r="G173" s="420"/>
      <c r="H173" s="420"/>
      <c r="I173" s="420"/>
      <c r="J173" s="420"/>
      <c r="K173" s="420"/>
      <c r="L173" s="420"/>
      <c r="M173" s="420"/>
      <c r="N173" s="420"/>
      <c r="O173" s="420"/>
      <c r="P173" s="420"/>
      <c r="Q173" s="420"/>
      <c r="R173" s="420"/>
      <c r="S173" s="420"/>
      <c r="T173" s="510"/>
      <c r="U173" s="639"/>
      <c r="V173" s="416"/>
    </row>
    <row r="174" spans="1:22" s="431" customFormat="1" x14ac:dyDescent="0.3">
      <c r="A174" s="449"/>
      <c r="B174" s="450" t="s">
        <v>58</v>
      </c>
      <c r="C174" s="450"/>
      <c r="D174" s="450"/>
      <c r="E174" s="450"/>
      <c r="F174" s="450"/>
      <c r="G174" s="450"/>
      <c r="H174" s="450"/>
      <c r="I174" s="450"/>
      <c r="J174" s="450"/>
      <c r="K174" s="450"/>
      <c r="L174" s="450"/>
      <c r="M174" s="450"/>
      <c r="N174" s="450"/>
      <c r="O174" s="450"/>
      <c r="P174" s="450"/>
      <c r="Q174" s="450"/>
      <c r="R174" s="450"/>
      <c r="S174" s="450"/>
      <c r="T174" s="515">
        <f>T70</f>
        <v>0</v>
      </c>
      <c r="U174" s="452"/>
      <c r="V174" s="430"/>
    </row>
    <row r="175" spans="1:22" s="431" customFormat="1" x14ac:dyDescent="0.3">
      <c r="A175" s="449"/>
      <c r="B175" s="450" t="s">
        <v>59</v>
      </c>
      <c r="C175" s="450"/>
      <c r="D175" s="450"/>
      <c r="E175" s="450"/>
      <c r="F175" s="450"/>
      <c r="G175" s="450"/>
      <c r="H175" s="450"/>
      <c r="I175" s="450"/>
      <c r="J175" s="450"/>
      <c r="K175" s="450"/>
      <c r="L175" s="450"/>
      <c r="M175" s="450"/>
      <c r="N175" s="450"/>
      <c r="O175" s="450"/>
      <c r="P175" s="450"/>
      <c r="Q175" s="450"/>
      <c r="R175" s="450"/>
      <c r="S175" s="450"/>
      <c r="T175" s="515">
        <f>T83</f>
        <v>0</v>
      </c>
      <c r="U175" s="452"/>
      <c r="V175" s="430"/>
    </row>
    <row r="176" spans="1:22" ht="16.2" thickBot="1" x14ac:dyDescent="0.35">
      <c r="A176" s="418"/>
      <c r="B176" s="516"/>
      <c r="C176" s="516"/>
      <c r="D176" s="516"/>
      <c r="E176" s="516"/>
      <c r="F176" s="516"/>
      <c r="G176" s="516"/>
      <c r="H176" s="516"/>
      <c r="I176" s="516"/>
      <c r="J176" s="516"/>
      <c r="K176" s="516"/>
      <c r="L176" s="516"/>
      <c r="M176" s="516"/>
      <c r="N176" s="516"/>
      <c r="O176" s="516"/>
      <c r="P176" s="516"/>
      <c r="Q176" s="516"/>
      <c r="R176" s="516"/>
      <c r="S176" s="516"/>
      <c r="T176" s="544"/>
      <c r="U176" s="639"/>
      <c r="V176" s="416"/>
    </row>
    <row r="177" spans="1:22" x14ac:dyDescent="0.3">
      <c r="A177" s="547"/>
      <c r="B177" s="415"/>
      <c r="C177" s="415"/>
      <c r="D177" s="415"/>
      <c r="E177" s="415"/>
      <c r="F177" s="415"/>
      <c r="G177" s="415"/>
      <c r="H177" s="415"/>
      <c r="I177" s="415"/>
      <c r="J177" s="415"/>
      <c r="K177" s="415"/>
      <c r="L177" s="415"/>
      <c r="M177" s="415"/>
      <c r="N177" s="415"/>
      <c r="O177" s="415"/>
      <c r="P177" s="415"/>
      <c r="Q177" s="415"/>
      <c r="R177" s="415"/>
      <c r="S177" s="415"/>
      <c r="T177" s="548"/>
      <c r="U177" s="638"/>
      <c r="V177" s="416"/>
    </row>
    <row r="178" spans="1:22" x14ac:dyDescent="0.3">
      <c r="A178" s="418"/>
      <c r="B178" s="540" t="s">
        <v>60</v>
      </c>
      <c r="C178" s="549"/>
      <c r="D178" s="549"/>
      <c r="E178" s="549"/>
      <c r="F178" s="549"/>
      <c r="G178" s="549"/>
      <c r="H178" s="550"/>
      <c r="I178" s="550"/>
      <c r="J178" s="550"/>
      <c r="K178" s="550"/>
      <c r="L178" s="550"/>
      <c r="M178" s="550"/>
      <c r="N178" s="550"/>
      <c r="O178" s="550"/>
      <c r="P178" s="550"/>
      <c r="Q178" s="550" t="s">
        <v>104</v>
      </c>
      <c r="R178" s="550" t="s">
        <v>183</v>
      </c>
      <c r="S178" s="422"/>
      <c r="T178" s="551" t="s">
        <v>120</v>
      </c>
      <c r="U178" s="643"/>
      <c r="V178" s="416"/>
    </row>
    <row r="179" spans="1:22" s="431" customFormat="1" x14ac:dyDescent="0.3">
      <c r="A179" s="449"/>
      <c r="B179" s="450" t="s">
        <v>61</v>
      </c>
      <c r="C179" s="450"/>
      <c r="D179" s="450"/>
      <c r="E179" s="450"/>
      <c r="F179" s="450"/>
      <c r="G179" s="450"/>
      <c r="H179" s="450"/>
      <c r="I179" s="450"/>
      <c r="J179" s="450"/>
      <c r="K179" s="450"/>
      <c r="L179" s="450"/>
      <c r="M179" s="450"/>
      <c r="N179" s="450"/>
      <c r="O179" s="450"/>
      <c r="P179" s="450"/>
      <c r="Q179" s="515">
        <v>160008</v>
      </c>
      <c r="R179" s="486"/>
      <c r="S179" s="450"/>
      <c r="T179" s="515"/>
      <c r="U179" s="452"/>
      <c r="V179" s="430"/>
    </row>
    <row r="180" spans="1:22" s="431" customFormat="1" x14ac:dyDescent="0.3">
      <c r="A180" s="449"/>
      <c r="B180" s="450" t="s">
        <v>62</v>
      </c>
      <c r="C180" s="450"/>
      <c r="D180" s="450"/>
      <c r="E180" s="450"/>
      <c r="F180" s="450"/>
      <c r="G180" s="450"/>
      <c r="H180" s="450"/>
      <c r="I180" s="450"/>
      <c r="J180" s="450"/>
      <c r="K180" s="450"/>
      <c r="L180" s="450"/>
      <c r="M180" s="450"/>
      <c r="N180" s="450"/>
      <c r="O180" s="450"/>
      <c r="P180" s="450"/>
      <c r="Q180" s="515">
        <f>+'June 20'!Q181</f>
        <v>41034</v>
      </c>
      <c r="R180" s="515">
        <f>+'June 20'!R181</f>
        <v>3452</v>
      </c>
      <c r="S180" s="450"/>
      <c r="T180" s="515">
        <f>Q180+R180</f>
        <v>44486</v>
      </c>
      <c r="U180" s="452"/>
      <c r="V180" s="430"/>
    </row>
    <row r="181" spans="1:22" s="431" customFormat="1" x14ac:dyDescent="0.3">
      <c r="A181" s="449"/>
      <c r="B181" s="450" t="s">
        <v>63</v>
      </c>
      <c r="C181" s="450"/>
      <c r="D181" s="450"/>
      <c r="E181" s="450"/>
      <c r="F181" s="450"/>
      <c r="G181" s="450"/>
      <c r="H181" s="450"/>
      <c r="I181" s="450"/>
      <c r="J181" s="450"/>
      <c r="K181" s="450"/>
      <c r="L181" s="450"/>
      <c r="M181" s="450"/>
      <c r="N181" s="450"/>
      <c r="O181" s="450"/>
      <c r="P181" s="450"/>
      <c r="Q181" s="514">
        <v>0</v>
      </c>
      <c r="R181" s="514">
        <v>0</v>
      </c>
      <c r="S181" s="450"/>
      <c r="T181" s="515">
        <f>Q181+R181</f>
        <v>0</v>
      </c>
      <c r="U181" s="452"/>
      <c r="V181" s="430"/>
    </row>
    <row r="182" spans="1:22" s="431" customFormat="1" x14ac:dyDescent="0.3">
      <c r="A182" s="449"/>
      <c r="B182" s="450" t="s">
        <v>64</v>
      </c>
      <c r="C182" s="450"/>
      <c r="D182" s="450"/>
      <c r="E182" s="450"/>
      <c r="F182" s="450"/>
      <c r="G182" s="450"/>
      <c r="H182" s="450"/>
      <c r="I182" s="450"/>
      <c r="J182" s="450"/>
      <c r="K182" s="450"/>
      <c r="L182" s="450"/>
      <c r="M182" s="450"/>
      <c r="N182" s="450"/>
      <c r="O182" s="450"/>
      <c r="P182" s="450"/>
      <c r="Q182" s="515">
        <f>Q180+Q181</f>
        <v>41034</v>
      </c>
      <c r="R182" s="515">
        <f>R181+R180</f>
        <v>3452</v>
      </c>
      <c r="S182" s="450"/>
      <c r="T182" s="515">
        <f>Q182+R182</f>
        <v>44486</v>
      </c>
      <c r="U182" s="452"/>
      <c r="V182" s="430"/>
    </row>
    <row r="183" spans="1:22" s="431" customFormat="1" x14ac:dyDescent="0.3">
      <c r="A183" s="449"/>
      <c r="B183" s="450" t="s">
        <v>65</v>
      </c>
      <c r="C183" s="450"/>
      <c r="D183" s="450"/>
      <c r="E183" s="450"/>
      <c r="F183" s="450"/>
      <c r="G183" s="450"/>
      <c r="H183" s="450"/>
      <c r="I183" s="450"/>
      <c r="J183" s="450"/>
      <c r="K183" s="450"/>
      <c r="L183" s="450"/>
      <c r="M183" s="450"/>
      <c r="N183" s="450"/>
      <c r="O183" s="450"/>
      <c r="P183" s="450"/>
      <c r="Q183" s="515">
        <f>Q179-Q182-R182</f>
        <v>115522</v>
      </c>
      <c r="R183" s="486"/>
      <c r="S183" s="450"/>
      <c r="T183" s="515"/>
      <c r="U183" s="452"/>
      <c r="V183" s="430"/>
    </row>
    <row r="184" spans="1:22" ht="16.2" thickBot="1" x14ac:dyDescent="0.35">
      <c r="A184" s="418"/>
      <c r="B184" s="516"/>
      <c r="C184" s="516"/>
      <c r="D184" s="516"/>
      <c r="E184" s="516"/>
      <c r="F184" s="516"/>
      <c r="G184" s="516"/>
      <c r="H184" s="516"/>
      <c r="I184" s="516"/>
      <c r="J184" s="516"/>
      <c r="K184" s="516"/>
      <c r="L184" s="516"/>
      <c r="M184" s="516"/>
      <c r="N184" s="516"/>
      <c r="O184" s="516"/>
      <c r="P184" s="516"/>
      <c r="Q184" s="516"/>
      <c r="R184" s="516"/>
      <c r="S184" s="516"/>
      <c r="T184" s="544"/>
      <c r="U184" s="639"/>
      <c r="V184" s="416"/>
    </row>
    <row r="185" spans="1:22" x14ac:dyDescent="0.3">
      <c r="A185" s="547"/>
      <c r="B185" s="415"/>
      <c r="C185" s="415"/>
      <c r="D185" s="415"/>
      <c r="E185" s="415"/>
      <c r="F185" s="415"/>
      <c r="G185" s="415"/>
      <c r="H185" s="415"/>
      <c r="I185" s="415"/>
      <c r="J185" s="415"/>
      <c r="K185" s="415"/>
      <c r="L185" s="415"/>
      <c r="M185" s="415"/>
      <c r="N185" s="415"/>
      <c r="O185" s="415"/>
      <c r="P185" s="415"/>
      <c r="Q185" s="415"/>
      <c r="R185" s="415"/>
      <c r="S185" s="415"/>
      <c r="T185" s="548"/>
      <c r="U185" s="638"/>
      <c r="V185" s="416"/>
    </row>
    <row r="186" spans="1:22" x14ac:dyDescent="0.3">
      <c r="A186" s="418"/>
      <c r="B186" s="540" t="s">
        <v>66</v>
      </c>
      <c r="C186" s="420"/>
      <c r="D186" s="420"/>
      <c r="E186" s="420"/>
      <c r="F186" s="420"/>
      <c r="G186" s="420"/>
      <c r="H186" s="420"/>
      <c r="I186" s="420"/>
      <c r="J186" s="420"/>
      <c r="K186" s="420"/>
      <c r="L186" s="420"/>
      <c r="M186" s="420"/>
      <c r="N186" s="420"/>
      <c r="O186" s="420"/>
      <c r="P186" s="420"/>
      <c r="Q186" s="420"/>
      <c r="R186" s="420"/>
      <c r="S186" s="420"/>
      <c r="T186" s="552"/>
      <c r="U186" s="639"/>
      <c r="V186" s="416"/>
    </row>
    <row r="187" spans="1:22" s="431" customFormat="1" x14ac:dyDescent="0.3">
      <c r="A187" s="449"/>
      <c r="B187" s="450" t="s">
        <v>67</v>
      </c>
      <c r="C187" s="450"/>
      <c r="D187" s="450"/>
      <c r="E187" s="450"/>
      <c r="F187" s="450"/>
      <c r="G187" s="450"/>
      <c r="H187" s="450"/>
      <c r="I187" s="450"/>
      <c r="J187" s="450"/>
      <c r="K187" s="450"/>
      <c r="L187" s="450"/>
      <c r="M187" s="450"/>
      <c r="N187" s="450"/>
      <c r="O187" s="450"/>
      <c r="P187" s="450"/>
      <c r="Q187" s="450"/>
      <c r="R187" s="450"/>
      <c r="S187" s="450"/>
      <c r="T187" s="545">
        <v>0</v>
      </c>
      <c r="U187" s="452"/>
      <c r="V187" s="430"/>
    </row>
    <row r="188" spans="1:22" s="431" customFormat="1" x14ac:dyDescent="0.3">
      <c r="A188" s="449"/>
      <c r="B188" s="450" t="s">
        <v>68</v>
      </c>
      <c r="C188" s="450"/>
      <c r="D188" s="450"/>
      <c r="E188" s="450"/>
      <c r="F188" s="450"/>
      <c r="G188" s="450"/>
      <c r="H188" s="450"/>
      <c r="I188" s="450"/>
      <c r="J188" s="450"/>
      <c r="K188" s="450"/>
      <c r="L188" s="450"/>
      <c r="M188" s="450"/>
      <c r="N188" s="450"/>
      <c r="O188" s="450"/>
      <c r="P188" s="450"/>
      <c r="Q188" s="450"/>
      <c r="R188" s="450"/>
      <c r="S188" s="450"/>
      <c r="T188" s="553">
        <v>0</v>
      </c>
      <c r="U188" s="452"/>
      <c r="V188" s="430"/>
    </row>
    <row r="189" spans="1:22" s="431" customFormat="1" x14ac:dyDescent="0.3">
      <c r="A189" s="449"/>
      <c r="B189" s="450" t="s">
        <v>69</v>
      </c>
      <c r="C189" s="450"/>
      <c r="D189" s="450"/>
      <c r="E189" s="450"/>
      <c r="F189" s="450"/>
      <c r="G189" s="450"/>
      <c r="H189" s="450"/>
      <c r="I189" s="450"/>
      <c r="J189" s="450"/>
      <c r="K189" s="450"/>
      <c r="L189" s="450"/>
      <c r="M189" s="450"/>
      <c r="N189" s="450"/>
      <c r="O189" s="450"/>
      <c r="P189" s="450"/>
      <c r="Q189" s="450"/>
      <c r="R189" s="450"/>
      <c r="S189" s="450"/>
      <c r="T189" s="545">
        <v>0</v>
      </c>
      <c r="U189" s="452"/>
      <c r="V189" s="430"/>
    </row>
    <row r="190" spans="1:22" s="431" customFormat="1" x14ac:dyDescent="0.3">
      <c r="A190" s="449"/>
      <c r="B190" s="450" t="s">
        <v>70</v>
      </c>
      <c r="C190" s="450"/>
      <c r="D190" s="450"/>
      <c r="E190" s="450"/>
      <c r="F190" s="450"/>
      <c r="G190" s="450"/>
      <c r="H190" s="450"/>
      <c r="I190" s="450"/>
      <c r="J190" s="450"/>
      <c r="K190" s="450"/>
      <c r="L190" s="450"/>
      <c r="M190" s="450"/>
      <c r="N190" s="450"/>
      <c r="O190" s="450"/>
      <c r="P190" s="450"/>
      <c r="Q190" s="450"/>
      <c r="R190" s="450"/>
      <c r="S190" s="450"/>
      <c r="T190" s="553">
        <v>0</v>
      </c>
      <c r="U190" s="452"/>
      <c r="V190" s="430"/>
    </row>
    <row r="191" spans="1:22" s="431" customFormat="1" x14ac:dyDescent="0.3">
      <c r="A191" s="449"/>
      <c r="B191" s="450" t="s">
        <v>206</v>
      </c>
      <c r="C191" s="450"/>
      <c r="D191" s="450"/>
      <c r="E191" s="450"/>
      <c r="F191" s="450"/>
      <c r="G191" s="450"/>
      <c r="H191" s="450"/>
      <c r="I191" s="450"/>
      <c r="J191" s="450"/>
      <c r="K191" s="450"/>
      <c r="L191" s="450"/>
      <c r="M191" s="450"/>
      <c r="N191" s="450"/>
      <c r="O191" s="450"/>
      <c r="P191" s="450"/>
      <c r="Q191" s="450"/>
      <c r="R191" s="450"/>
      <c r="S191" s="450"/>
      <c r="T191" s="545">
        <v>0</v>
      </c>
      <c r="U191" s="452"/>
      <c r="V191" s="430"/>
    </row>
    <row r="192" spans="1:22" s="431" customFormat="1" x14ac:dyDescent="0.3">
      <c r="A192" s="449"/>
      <c r="B192" s="450" t="s">
        <v>207</v>
      </c>
      <c r="C192" s="450"/>
      <c r="D192" s="450"/>
      <c r="E192" s="450"/>
      <c r="F192" s="450"/>
      <c r="G192" s="450"/>
      <c r="H192" s="450"/>
      <c r="I192" s="450"/>
      <c r="J192" s="450"/>
      <c r="K192" s="450"/>
      <c r="L192" s="450"/>
      <c r="M192" s="450"/>
      <c r="N192" s="450"/>
      <c r="O192" s="450"/>
      <c r="P192" s="450"/>
      <c r="Q192" s="450"/>
      <c r="R192" s="450"/>
      <c r="S192" s="450"/>
      <c r="T192" s="553">
        <v>0</v>
      </c>
      <c r="U192" s="452"/>
      <c r="V192" s="430"/>
    </row>
    <row r="193" spans="1:22" x14ac:dyDescent="0.3">
      <c r="A193" s="468"/>
      <c r="B193" s="470"/>
      <c r="C193" s="470"/>
      <c r="D193" s="470"/>
      <c r="E193" s="470"/>
      <c r="F193" s="470"/>
      <c r="G193" s="470"/>
      <c r="H193" s="470"/>
      <c r="I193" s="470"/>
      <c r="J193" s="470"/>
      <c r="K193" s="470"/>
      <c r="L193" s="470"/>
      <c r="M193" s="470"/>
      <c r="N193" s="470"/>
      <c r="O193" s="470"/>
      <c r="P193" s="470"/>
      <c r="Q193" s="470"/>
      <c r="R193" s="470"/>
      <c r="S193" s="470"/>
      <c r="T193" s="470"/>
      <c r="U193" s="476"/>
      <c r="V193" s="416"/>
    </row>
    <row r="194" spans="1:22" x14ac:dyDescent="0.3">
      <c r="A194" s="418"/>
      <c r="B194" s="516"/>
      <c r="C194" s="516"/>
      <c r="D194" s="516"/>
      <c r="E194" s="516"/>
      <c r="F194" s="516"/>
      <c r="G194" s="516"/>
      <c r="H194" s="516"/>
      <c r="I194" s="516"/>
      <c r="J194" s="516"/>
      <c r="K194" s="516"/>
      <c r="L194" s="516"/>
      <c r="M194" s="516"/>
      <c r="N194" s="516"/>
      <c r="O194" s="516"/>
      <c r="P194" s="516"/>
      <c r="Q194" s="516"/>
      <c r="R194" s="516"/>
      <c r="S194" s="516"/>
      <c r="T194" s="516"/>
      <c r="U194" s="639"/>
      <c r="V194" s="416"/>
    </row>
    <row r="195" spans="1:22" x14ac:dyDescent="0.3">
      <c r="A195" s="418"/>
      <c r="B195" s="420"/>
      <c r="C195" s="420"/>
      <c r="D195" s="420"/>
      <c r="E195" s="420"/>
      <c r="F195" s="420"/>
      <c r="G195" s="420"/>
      <c r="H195" s="420"/>
      <c r="I195" s="420"/>
      <c r="J195" s="420"/>
      <c r="K195" s="420"/>
      <c r="L195" s="420"/>
      <c r="M195" s="420"/>
      <c r="N195" s="420"/>
      <c r="O195" s="420"/>
      <c r="P195" s="420"/>
      <c r="Q195" s="420"/>
      <c r="R195" s="420"/>
      <c r="S195" s="420"/>
      <c r="T195" s="420"/>
      <c r="U195" s="639"/>
      <c r="V195" s="416"/>
    </row>
    <row r="196" spans="1:22" ht="18.600000000000001" thickBot="1" x14ac:dyDescent="0.4">
      <c r="A196" s="554"/>
      <c r="B196" s="501" t="str">
        <f>B136</f>
        <v>PM11 INVESTOR REPORT QUARTER ENDING SEPTEMBER 2020</v>
      </c>
      <c r="C196" s="555"/>
      <c r="D196" s="555"/>
      <c r="E196" s="555"/>
      <c r="F196" s="555"/>
      <c r="G196" s="555"/>
      <c r="H196" s="555"/>
      <c r="I196" s="555"/>
      <c r="J196" s="555"/>
      <c r="K196" s="555"/>
      <c r="L196" s="555"/>
      <c r="M196" s="555"/>
      <c r="N196" s="555"/>
      <c r="O196" s="555"/>
      <c r="P196" s="555"/>
      <c r="Q196" s="555"/>
      <c r="R196" s="555"/>
      <c r="S196" s="555"/>
      <c r="T196" s="555"/>
      <c r="U196" s="556"/>
      <c r="V196" s="416"/>
    </row>
    <row r="197" spans="1:22" x14ac:dyDescent="0.3">
      <c r="A197" s="505"/>
      <c r="B197" s="506" t="s">
        <v>71</v>
      </c>
      <c r="C197" s="627"/>
      <c r="D197" s="627"/>
      <c r="E197" s="627"/>
      <c r="F197" s="627"/>
      <c r="G197" s="628"/>
      <c r="H197" s="628"/>
      <c r="I197" s="628"/>
      <c r="J197" s="628"/>
      <c r="K197" s="628"/>
      <c r="L197" s="628"/>
      <c r="M197" s="628"/>
      <c r="N197" s="628"/>
      <c r="O197" s="628"/>
      <c r="P197" s="628"/>
      <c r="Q197" s="628"/>
      <c r="R197" s="629">
        <v>44104</v>
      </c>
      <c r="S197" s="507"/>
      <c r="T197" s="507"/>
      <c r="U197" s="509"/>
      <c r="V197" s="416"/>
    </row>
    <row r="198" spans="1:22" x14ac:dyDescent="0.3">
      <c r="A198" s="557"/>
      <c r="B198" s="558"/>
      <c r="C198" s="559"/>
      <c r="D198" s="559"/>
      <c r="E198" s="559"/>
      <c r="F198" s="559"/>
      <c r="G198" s="560"/>
      <c r="H198" s="560"/>
      <c r="I198" s="560"/>
      <c r="J198" s="560"/>
      <c r="K198" s="560"/>
      <c r="L198" s="560"/>
      <c r="M198" s="560"/>
      <c r="N198" s="560"/>
      <c r="O198" s="560"/>
      <c r="P198" s="560"/>
      <c r="Q198" s="560"/>
      <c r="R198" s="560"/>
      <c r="S198" s="420"/>
      <c r="T198" s="420"/>
      <c r="U198" s="639"/>
      <c r="V198" s="416"/>
    </row>
    <row r="199" spans="1:22" s="431" customFormat="1" x14ac:dyDescent="0.3">
      <c r="A199" s="449"/>
      <c r="B199" s="450" t="s">
        <v>72</v>
      </c>
      <c r="C199" s="561"/>
      <c r="D199" s="561"/>
      <c r="E199" s="561"/>
      <c r="F199" s="561"/>
      <c r="G199" s="490"/>
      <c r="H199" s="490"/>
      <c r="I199" s="490"/>
      <c r="J199" s="490"/>
      <c r="K199" s="490"/>
      <c r="L199" s="490"/>
      <c r="M199" s="490"/>
      <c r="N199" s="490"/>
      <c r="O199" s="490"/>
      <c r="P199" s="490"/>
      <c r="Q199" s="490"/>
      <c r="R199" s="483">
        <v>5.1569999999999998E-2</v>
      </c>
      <c r="S199" s="450"/>
      <c r="T199" s="450"/>
      <c r="U199" s="452"/>
      <c r="V199" s="430"/>
    </row>
    <row r="200" spans="1:22" s="431" customFormat="1" x14ac:dyDescent="0.3">
      <c r="A200" s="449"/>
      <c r="B200" s="450" t="s">
        <v>157</v>
      </c>
      <c r="C200" s="561"/>
      <c r="D200" s="561"/>
      <c r="E200" s="561"/>
      <c r="F200" s="561"/>
      <c r="G200" s="490"/>
      <c r="H200" s="490"/>
      <c r="I200" s="490"/>
      <c r="J200" s="490"/>
      <c r="K200" s="490"/>
      <c r="L200" s="490"/>
      <c r="M200" s="490"/>
      <c r="N200" s="490"/>
      <c r="O200" s="490"/>
      <c r="P200" s="490"/>
      <c r="Q200" s="490"/>
      <c r="R200" s="483">
        <v>4.6899999999999997E-2</v>
      </c>
      <c r="S200" s="450"/>
      <c r="T200" s="450"/>
      <c r="U200" s="452"/>
      <c r="V200" s="430"/>
    </row>
    <row r="201" spans="1:22" s="431" customFormat="1" x14ac:dyDescent="0.3">
      <c r="A201" s="449"/>
      <c r="B201" s="450" t="s">
        <v>73</v>
      </c>
      <c r="C201" s="561"/>
      <c r="D201" s="561"/>
      <c r="E201" s="561"/>
      <c r="F201" s="561"/>
      <c r="G201" s="490"/>
      <c r="H201" s="490"/>
      <c r="I201" s="490"/>
      <c r="J201" s="490"/>
      <c r="K201" s="490"/>
      <c r="L201" s="490"/>
      <c r="M201" s="490"/>
      <c r="N201" s="490"/>
      <c r="O201" s="490"/>
      <c r="P201" s="490"/>
      <c r="Q201" s="490"/>
      <c r="R201" s="483">
        <f>R199-R200</f>
        <v>4.6700000000000005E-3</v>
      </c>
      <c r="S201" s="450"/>
      <c r="T201" s="450"/>
      <c r="U201" s="452"/>
      <c r="V201" s="430"/>
    </row>
    <row r="202" spans="1:22" s="431" customFormat="1" x14ac:dyDescent="0.3">
      <c r="A202" s="449"/>
      <c r="B202" s="450" t="s">
        <v>74</v>
      </c>
      <c r="C202" s="561"/>
      <c r="D202" s="561"/>
      <c r="E202" s="561"/>
      <c r="F202" s="561"/>
      <c r="G202" s="490"/>
      <c r="H202" s="490"/>
      <c r="I202" s="490"/>
      <c r="J202" s="490"/>
      <c r="K202" s="490"/>
      <c r="L202" s="490"/>
      <c r="M202" s="490"/>
      <c r="N202" s="490"/>
      <c r="O202" s="490"/>
      <c r="P202" s="490"/>
      <c r="Q202" s="490"/>
      <c r="R202" s="483">
        <v>0</v>
      </c>
      <c r="S202" s="450"/>
      <c r="T202" s="450"/>
      <c r="U202" s="452"/>
      <c r="V202" s="430"/>
    </row>
    <row r="203" spans="1:22" s="431" customFormat="1" x14ac:dyDescent="0.3">
      <c r="A203" s="449"/>
      <c r="B203" s="450" t="s">
        <v>257</v>
      </c>
      <c r="C203" s="561"/>
      <c r="D203" s="561"/>
      <c r="E203" s="561"/>
      <c r="F203" s="561"/>
      <c r="G203" s="490"/>
      <c r="H203" s="490"/>
      <c r="I203" s="490"/>
      <c r="J203" s="490"/>
      <c r="K203" s="490"/>
      <c r="L203" s="490"/>
      <c r="M203" s="490"/>
      <c r="N203" s="490"/>
      <c r="O203" s="490"/>
      <c r="P203" s="490"/>
      <c r="Q203" s="490"/>
      <c r="R203" s="483">
        <v>0</v>
      </c>
      <c r="S203" s="450"/>
      <c r="T203" s="450"/>
      <c r="U203" s="452"/>
      <c r="V203" s="430"/>
    </row>
    <row r="204" spans="1:22" s="431" customFormat="1" x14ac:dyDescent="0.3">
      <c r="A204" s="449"/>
      <c r="B204" s="450" t="s">
        <v>75</v>
      </c>
      <c r="C204" s="561"/>
      <c r="D204" s="561"/>
      <c r="E204" s="561"/>
      <c r="F204" s="561"/>
      <c r="G204" s="490"/>
      <c r="H204" s="490"/>
      <c r="I204" s="490"/>
      <c r="J204" s="490"/>
      <c r="K204" s="490"/>
      <c r="L204" s="490"/>
      <c r="M204" s="490"/>
      <c r="N204" s="490"/>
      <c r="O204" s="490"/>
      <c r="P204" s="490"/>
      <c r="Q204" s="490"/>
      <c r="R204" s="483">
        <v>0</v>
      </c>
      <c r="S204" s="450"/>
      <c r="T204" s="450"/>
      <c r="U204" s="452"/>
      <c r="V204" s="430"/>
    </row>
    <row r="205" spans="1:22" s="431" customFormat="1" x14ac:dyDescent="0.3">
      <c r="A205" s="449"/>
      <c r="B205" s="450" t="s">
        <v>260</v>
      </c>
      <c r="C205" s="561"/>
      <c r="D205" s="561"/>
      <c r="E205" s="561"/>
      <c r="F205" s="561"/>
      <c r="G205" s="490"/>
      <c r="H205" s="490"/>
      <c r="I205" s="490"/>
      <c r="J205" s="490"/>
      <c r="K205" s="490"/>
      <c r="L205" s="490"/>
      <c r="M205" s="490"/>
      <c r="N205" s="490"/>
      <c r="O205" s="490"/>
      <c r="P205" s="490"/>
      <c r="Q205" s="490"/>
      <c r="R205" s="483">
        <v>0</v>
      </c>
      <c r="S205" s="450"/>
      <c r="T205" s="450"/>
      <c r="U205" s="452"/>
      <c r="V205" s="430"/>
    </row>
    <row r="206" spans="1:22" s="431" customFormat="1" x14ac:dyDescent="0.3">
      <c r="A206" s="449"/>
      <c r="B206" s="450" t="s">
        <v>217</v>
      </c>
      <c r="C206" s="561"/>
      <c r="D206" s="561"/>
      <c r="E206" s="561"/>
      <c r="F206" s="561"/>
      <c r="G206" s="490"/>
      <c r="H206" s="490"/>
      <c r="I206" s="490"/>
      <c r="J206" s="490"/>
      <c r="K206" s="490"/>
      <c r="L206" s="490"/>
      <c r="M206" s="490"/>
      <c r="N206" s="490"/>
      <c r="O206" s="490"/>
      <c r="P206" s="490"/>
      <c r="Q206" s="490"/>
      <c r="R206" s="562">
        <v>15250</v>
      </c>
      <c r="S206" s="450"/>
      <c r="T206" s="450"/>
      <c r="U206" s="452"/>
      <c r="V206" s="430"/>
    </row>
    <row r="207" spans="1:22" s="431" customFormat="1" x14ac:dyDescent="0.3">
      <c r="A207" s="449"/>
      <c r="B207" s="450" t="s">
        <v>218</v>
      </c>
      <c r="C207" s="561"/>
      <c r="D207" s="561"/>
      <c r="E207" s="561"/>
      <c r="F207" s="561"/>
      <c r="G207" s="490"/>
      <c r="H207" s="490"/>
      <c r="I207" s="490"/>
      <c r="J207" s="490"/>
      <c r="K207" s="490"/>
      <c r="L207" s="490"/>
      <c r="M207" s="490"/>
      <c r="N207" s="490"/>
      <c r="O207" s="490"/>
      <c r="P207" s="490"/>
      <c r="Q207" s="490"/>
      <c r="R207" s="562">
        <v>15250</v>
      </c>
      <c r="S207" s="450"/>
      <c r="T207" s="450"/>
      <c r="U207" s="452"/>
      <c r="V207" s="430"/>
    </row>
    <row r="208" spans="1:22" s="431" customFormat="1" x14ac:dyDescent="0.3">
      <c r="A208" s="449"/>
      <c r="B208" s="450" t="s">
        <v>219</v>
      </c>
      <c r="C208" s="561"/>
      <c r="D208" s="561"/>
      <c r="E208" s="561"/>
      <c r="F208" s="561"/>
      <c r="G208" s="490"/>
      <c r="H208" s="490"/>
      <c r="I208" s="490"/>
      <c r="J208" s="490"/>
      <c r="K208" s="490"/>
      <c r="L208" s="490"/>
      <c r="M208" s="490"/>
      <c r="N208" s="490"/>
      <c r="O208" s="490"/>
      <c r="P208" s="490"/>
      <c r="Q208" s="490"/>
      <c r="R208" s="562">
        <v>15250</v>
      </c>
      <c r="S208" s="450"/>
      <c r="T208" s="450"/>
      <c r="U208" s="452"/>
      <c r="V208" s="430"/>
    </row>
    <row r="209" spans="1:22" s="431" customFormat="1" x14ac:dyDescent="0.3">
      <c r="A209" s="449"/>
      <c r="B209" s="450" t="s">
        <v>76</v>
      </c>
      <c r="C209" s="561"/>
      <c r="D209" s="561"/>
      <c r="E209" s="561"/>
      <c r="F209" s="561"/>
      <c r="G209" s="490"/>
      <c r="H209" s="490"/>
      <c r="I209" s="490"/>
      <c r="J209" s="490"/>
      <c r="K209" s="490"/>
      <c r="L209" s="490"/>
      <c r="M209" s="490"/>
      <c r="N209" s="490"/>
      <c r="O209" s="490"/>
      <c r="P209" s="490"/>
      <c r="Q209" s="490"/>
      <c r="R209" s="488">
        <v>21.18</v>
      </c>
      <c r="S209" s="450" t="s">
        <v>116</v>
      </c>
      <c r="T209" s="450"/>
      <c r="U209" s="452"/>
      <c r="V209" s="430"/>
    </row>
    <row r="210" spans="1:22" s="431" customFormat="1" x14ac:dyDescent="0.3">
      <c r="A210" s="449"/>
      <c r="B210" s="450" t="s">
        <v>77</v>
      </c>
      <c r="C210" s="561"/>
      <c r="D210" s="561"/>
      <c r="E210" s="561"/>
      <c r="F210" s="561"/>
      <c r="G210" s="490"/>
      <c r="H210" s="490"/>
      <c r="I210" s="490"/>
      <c r="J210" s="490"/>
      <c r="K210" s="490"/>
      <c r="L210" s="490"/>
      <c r="M210" s="490"/>
      <c r="N210" s="490"/>
      <c r="O210" s="490"/>
      <c r="P210" s="490"/>
      <c r="Q210" s="490"/>
      <c r="R210" s="488">
        <v>0</v>
      </c>
      <c r="S210" s="450" t="s">
        <v>116</v>
      </c>
      <c r="T210" s="450"/>
      <c r="U210" s="452"/>
      <c r="V210" s="430"/>
    </row>
    <row r="211" spans="1:22" s="431" customFormat="1" x14ac:dyDescent="0.3">
      <c r="A211" s="449"/>
      <c r="B211" s="450" t="s">
        <v>78</v>
      </c>
      <c r="C211" s="561"/>
      <c r="D211" s="561"/>
      <c r="E211" s="561"/>
      <c r="F211" s="561"/>
      <c r="G211" s="490"/>
      <c r="H211" s="490"/>
      <c r="I211" s="490"/>
      <c r="J211" s="490"/>
      <c r="K211" s="490"/>
      <c r="L211" s="490"/>
      <c r="M211" s="490"/>
      <c r="N211" s="490"/>
      <c r="O211" s="490"/>
      <c r="P211" s="490"/>
      <c r="Q211" s="490"/>
      <c r="R211" s="483">
        <v>1</v>
      </c>
      <c r="S211" s="450"/>
      <c r="T211" s="450"/>
      <c r="U211" s="452"/>
      <c r="V211" s="430"/>
    </row>
    <row r="212" spans="1:22" s="431" customFormat="1" x14ac:dyDescent="0.3">
      <c r="A212" s="449"/>
      <c r="B212" s="450" t="s">
        <v>79</v>
      </c>
      <c r="C212" s="561"/>
      <c r="D212" s="561"/>
      <c r="E212" s="561"/>
      <c r="F212" s="561"/>
      <c r="G212" s="490"/>
      <c r="H212" s="490"/>
      <c r="I212" s="490"/>
      <c r="J212" s="490"/>
      <c r="K212" s="490"/>
      <c r="L212" s="490"/>
      <c r="M212" s="490"/>
      <c r="N212" s="490"/>
      <c r="O212" s="490"/>
      <c r="P212" s="490"/>
      <c r="Q212" s="490"/>
      <c r="R212" s="483">
        <v>1</v>
      </c>
      <c r="S212" s="450"/>
      <c r="T212" s="450"/>
      <c r="U212" s="452"/>
      <c r="V212" s="430"/>
    </row>
    <row r="213" spans="1:22" x14ac:dyDescent="0.3">
      <c r="A213" s="557"/>
      <c r="B213" s="563"/>
      <c r="C213" s="563"/>
      <c r="D213" s="563"/>
      <c r="E213" s="563"/>
      <c r="F213" s="563"/>
      <c r="G213" s="516"/>
      <c r="H213" s="516"/>
      <c r="I213" s="516"/>
      <c r="J213" s="516"/>
      <c r="K213" s="516"/>
      <c r="L213" s="516"/>
      <c r="M213" s="516"/>
      <c r="N213" s="516"/>
      <c r="O213" s="516"/>
      <c r="P213" s="516"/>
      <c r="Q213" s="516"/>
      <c r="R213" s="544"/>
      <c r="S213" s="516"/>
      <c r="T213" s="564"/>
      <c r="U213" s="639"/>
      <c r="V213" s="416"/>
    </row>
    <row r="214" spans="1:22" x14ac:dyDescent="0.3">
      <c r="A214" s="565"/>
      <c r="B214" s="521" t="s">
        <v>80</v>
      </c>
      <c r="C214" s="522"/>
      <c r="D214" s="522"/>
      <c r="E214" s="522"/>
      <c r="F214" s="566"/>
      <c r="G214" s="522"/>
      <c r="H214" s="522"/>
      <c r="I214" s="522"/>
      <c r="J214" s="522"/>
      <c r="K214" s="522"/>
      <c r="L214" s="522"/>
      <c r="M214" s="522"/>
      <c r="N214" s="522"/>
      <c r="O214" s="522"/>
      <c r="P214" s="522"/>
      <c r="Q214" s="522" t="s">
        <v>105</v>
      </c>
      <c r="R214" s="566" t="s">
        <v>112</v>
      </c>
      <c r="S214" s="443"/>
      <c r="T214" s="443"/>
      <c r="U214" s="446"/>
      <c r="V214" s="416"/>
    </row>
    <row r="215" spans="1:22" s="431" customFormat="1" x14ac:dyDescent="0.3">
      <c r="A215" s="567"/>
      <c r="B215" s="447" t="s">
        <v>81</v>
      </c>
      <c r="C215" s="525"/>
      <c r="D215" s="525"/>
      <c r="E215" s="525"/>
      <c r="F215" s="447"/>
      <c r="G215" s="447"/>
      <c r="H215" s="568"/>
      <c r="I215" s="568"/>
      <c r="J215" s="568"/>
      <c r="K215" s="568"/>
      <c r="L215" s="568"/>
      <c r="M215" s="568"/>
      <c r="N215" s="568"/>
      <c r="O215" s="568"/>
      <c r="P215" s="568"/>
      <c r="Q215" s="568">
        <v>0</v>
      </c>
      <c r="R215" s="569">
        <v>0</v>
      </c>
      <c r="S215" s="447"/>
      <c r="T215" s="570"/>
      <c r="U215" s="644"/>
      <c r="V215" s="430"/>
    </row>
    <row r="216" spans="1:22" s="431" customFormat="1" x14ac:dyDescent="0.3">
      <c r="A216" s="571"/>
      <c r="B216" s="450" t="s">
        <v>151</v>
      </c>
      <c r="C216" s="514"/>
      <c r="D216" s="514"/>
      <c r="E216" s="514"/>
      <c r="F216" s="450"/>
      <c r="G216" s="450"/>
      <c r="H216" s="456"/>
      <c r="I216" s="456"/>
      <c r="J216" s="456"/>
      <c r="K216" s="456"/>
      <c r="L216" s="456"/>
      <c r="M216" s="456"/>
      <c r="N216" s="456"/>
      <c r="O216" s="456"/>
      <c r="P216" s="456"/>
      <c r="Q216" s="572">
        <f>+P268</f>
        <v>0</v>
      </c>
      <c r="R216" s="573">
        <f>+R268</f>
        <v>0</v>
      </c>
      <c r="S216" s="450"/>
      <c r="T216" s="574"/>
      <c r="U216" s="575"/>
      <c r="V216" s="430"/>
    </row>
    <row r="217" spans="1:22" s="431" customFormat="1" x14ac:dyDescent="0.3">
      <c r="A217" s="571"/>
      <c r="B217" s="450" t="s">
        <v>82</v>
      </c>
      <c r="C217" s="514"/>
      <c r="D217" s="514"/>
      <c r="E217" s="514"/>
      <c r="F217" s="450"/>
      <c r="G217" s="450"/>
      <c r="H217" s="456"/>
      <c r="I217" s="456"/>
      <c r="J217" s="456"/>
      <c r="K217" s="456"/>
      <c r="L217" s="456"/>
      <c r="M217" s="456"/>
      <c r="N217" s="456"/>
      <c r="O217" s="456"/>
      <c r="P217" s="456"/>
      <c r="Q217" s="572">
        <f>+P290</f>
        <v>0</v>
      </c>
      <c r="R217" s="573">
        <f>+R290</f>
        <v>0</v>
      </c>
      <c r="S217" s="450"/>
      <c r="T217" s="574"/>
      <c r="U217" s="575"/>
      <c r="V217" s="430"/>
    </row>
    <row r="218" spans="1:22" x14ac:dyDescent="0.3">
      <c r="A218" s="576"/>
      <c r="B218" s="577" t="s">
        <v>83</v>
      </c>
      <c r="C218" s="578"/>
      <c r="D218" s="578"/>
      <c r="E218" s="578"/>
      <c r="F218" s="470"/>
      <c r="G218" s="470"/>
      <c r="H218" s="470"/>
      <c r="I218" s="470"/>
      <c r="J218" s="470"/>
      <c r="K218" s="470"/>
      <c r="L218" s="470"/>
      <c r="M218" s="470"/>
      <c r="N218" s="470"/>
      <c r="O218" s="470"/>
      <c r="P218" s="470"/>
      <c r="Q218" s="541"/>
      <c r="R218" s="579">
        <v>0</v>
      </c>
      <c r="S218" s="470"/>
      <c r="T218" s="580"/>
      <c r="U218" s="581"/>
      <c r="V218" s="416"/>
    </row>
    <row r="219" spans="1:22" x14ac:dyDescent="0.3">
      <c r="A219" s="576"/>
      <c r="B219" s="577" t="s">
        <v>84</v>
      </c>
      <c r="C219" s="578"/>
      <c r="D219" s="578"/>
      <c r="E219" s="578"/>
      <c r="F219" s="470"/>
      <c r="G219" s="470"/>
      <c r="H219" s="470"/>
      <c r="I219" s="470"/>
      <c r="J219" s="470"/>
      <c r="K219" s="470"/>
      <c r="L219" s="470"/>
      <c r="M219" s="470"/>
      <c r="N219" s="470"/>
      <c r="O219" s="470"/>
      <c r="P219" s="470"/>
      <c r="Q219" s="450"/>
      <c r="R219" s="582" t="s">
        <v>113</v>
      </c>
      <c r="S219" s="470"/>
      <c r="T219" s="580"/>
      <c r="U219" s="581"/>
      <c r="V219" s="416"/>
    </row>
    <row r="220" spans="1:22" x14ac:dyDescent="0.3">
      <c r="A220" s="583"/>
      <c r="B220" s="577" t="s">
        <v>85</v>
      </c>
      <c r="C220" s="584"/>
      <c r="D220" s="584"/>
      <c r="E220" s="584"/>
      <c r="F220" s="584"/>
      <c r="G220" s="470"/>
      <c r="H220" s="470"/>
      <c r="I220" s="470"/>
      <c r="J220" s="470"/>
      <c r="K220" s="470"/>
      <c r="L220" s="470"/>
      <c r="M220" s="470"/>
      <c r="N220" s="470"/>
      <c r="O220" s="470"/>
      <c r="P220" s="470"/>
      <c r="Q220" s="450"/>
      <c r="R220" s="573"/>
      <c r="S220" s="470"/>
      <c r="T220" s="580"/>
      <c r="U220" s="585"/>
      <c r="V220" s="416"/>
    </row>
    <row r="221" spans="1:22" s="431" customFormat="1" x14ac:dyDescent="0.3">
      <c r="A221" s="586"/>
      <c r="B221" s="450" t="s">
        <v>86</v>
      </c>
      <c r="C221" s="450"/>
      <c r="D221" s="450"/>
      <c r="E221" s="450"/>
      <c r="F221" s="450"/>
      <c r="G221" s="450"/>
      <c r="H221" s="450"/>
      <c r="I221" s="450"/>
      <c r="J221" s="450"/>
      <c r="K221" s="450"/>
      <c r="L221" s="450"/>
      <c r="M221" s="450"/>
      <c r="N221" s="450"/>
      <c r="O221" s="450"/>
      <c r="P221" s="450"/>
      <c r="Q221" s="456"/>
      <c r="R221" s="573">
        <f>T165</f>
        <v>74</v>
      </c>
      <c r="S221" s="450"/>
      <c r="T221" s="574"/>
      <c r="U221" s="587"/>
      <c r="V221" s="430"/>
    </row>
    <row r="222" spans="1:22" s="431" customFormat="1" x14ac:dyDescent="0.3">
      <c r="A222" s="571"/>
      <c r="B222" s="450" t="s">
        <v>87</v>
      </c>
      <c r="C222" s="514"/>
      <c r="D222" s="514"/>
      <c r="E222" s="514"/>
      <c r="F222" s="514"/>
      <c r="G222" s="450"/>
      <c r="H222" s="450"/>
      <c r="I222" s="450"/>
      <c r="J222" s="450"/>
      <c r="K222" s="450"/>
      <c r="L222" s="450"/>
      <c r="M222" s="450"/>
      <c r="N222" s="450"/>
      <c r="O222" s="450"/>
      <c r="P222" s="450"/>
      <c r="Q222" s="456"/>
      <c r="R222" s="573">
        <f>'June 20'!R221+R221</f>
        <v>8061</v>
      </c>
      <c r="S222" s="450"/>
      <c r="T222" s="574"/>
      <c r="U222" s="587"/>
      <c r="V222" s="430"/>
    </row>
    <row r="223" spans="1:22" x14ac:dyDescent="0.3">
      <c r="A223" s="583"/>
      <c r="B223" s="577" t="s">
        <v>282</v>
      </c>
      <c r="C223" s="584"/>
      <c r="D223" s="584"/>
      <c r="E223" s="584"/>
      <c r="F223" s="584"/>
      <c r="G223" s="470"/>
      <c r="H223" s="470"/>
      <c r="I223" s="470"/>
      <c r="J223" s="470"/>
      <c r="K223" s="470"/>
      <c r="L223" s="470"/>
      <c r="M223" s="470"/>
      <c r="N223" s="470"/>
      <c r="O223" s="470"/>
      <c r="P223" s="470"/>
      <c r="Q223" s="456"/>
      <c r="R223" s="573"/>
      <c r="S223" s="470"/>
      <c r="T223" s="580"/>
      <c r="U223" s="585"/>
      <c r="V223" s="416"/>
    </row>
    <row r="224" spans="1:22" s="431" customFormat="1" x14ac:dyDescent="0.3">
      <c r="A224" s="586"/>
      <c r="B224" s="450" t="s">
        <v>280</v>
      </c>
      <c r="C224" s="450"/>
      <c r="D224" s="450"/>
      <c r="E224" s="450"/>
      <c r="F224" s="450"/>
      <c r="G224" s="450"/>
      <c r="H224" s="450"/>
      <c r="I224" s="450"/>
      <c r="J224" s="450"/>
      <c r="K224" s="450"/>
      <c r="L224" s="450"/>
      <c r="M224" s="450"/>
      <c r="N224" s="450"/>
      <c r="O224" s="450"/>
      <c r="P224" s="450"/>
      <c r="Q224" s="456">
        <v>0</v>
      </c>
      <c r="R224" s="573">
        <v>0</v>
      </c>
      <c r="S224" s="450"/>
      <c r="T224" s="574"/>
      <c r="U224" s="587"/>
      <c r="V224" s="430"/>
    </row>
    <row r="225" spans="1:23" s="431" customFormat="1" x14ac:dyDescent="0.3">
      <c r="A225" s="571"/>
      <c r="B225" s="450" t="s">
        <v>89</v>
      </c>
      <c r="C225" s="486"/>
      <c r="D225" s="486"/>
      <c r="E225" s="486"/>
      <c r="F225" s="588"/>
      <c r="G225" s="450"/>
      <c r="H225" s="450"/>
      <c r="I225" s="450"/>
      <c r="J225" s="450"/>
      <c r="K225" s="450"/>
      <c r="L225" s="450"/>
      <c r="M225" s="450"/>
      <c r="N225" s="450"/>
      <c r="O225" s="450"/>
      <c r="P225" s="450"/>
      <c r="Q225" s="450"/>
      <c r="R225" s="582">
        <v>0</v>
      </c>
      <c r="S225" s="450"/>
      <c r="T225" s="574"/>
      <c r="U225" s="587"/>
      <c r="V225" s="430"/>
    </row>
    <row r="226" spans="1:23" s="431" customFormat="1" x14ac:dyDescent="0.3">
      <c r="A226" s="571"/>
      <c r="B226" s="450" t="s">
        <v>90</v>
      </c>
      <c r="C226" s="486"/>
      <c r="D226" s="486"/>
      <c r="E226" s="486"/>
      <c r="F226" s="588"/>
      <c r="G226" s="450"/>
      <c r="H226" s="450"/>
      <c r="I226" s="450"/>
      <c r="J226" s="450"/>
      <c r="K226" s="450"/>
      <c r="L226" s="450"/>
      <c r="M226" s="450"/>
      <c r="N226" s="450"/>
      <c r="O226" s="450"/>
      <c r="P226" s="450"/>
      <c r="Q226" s="450"/>
      <c r="R226" s="582">
        <v>0</v>
      </c>
      <c r="S226" s="450"/>
      <c r="T226" s="574"/>
      <c r="U226" s="587"/>
      <c r="V226" s="430"/>
    </row>
    <row r="227" spans="1:23" x14ac:dyDescent="0.3">
      <c r="A227" s="576"/>
      <c r="B227" s="577" t="s">
        <v>226</v>
      </c>
      <c r="C227" s="589"/>
      <c r="D227" s="589"/>
      <c r="E227" s="589"/>
      <c r="F227" s="590"/>
      <c r="G227" s="470"/>
      <c r="H227" s="470"/>
      <c r="I227" s="470"/>
      <c r="J227" s="470"/>
      <c r="K227" s="470"/>
      <c r="L227" s="470"/>
      <c r="M227" s="470"/>
      <c r="N227" s="470"/>
      <c r="O227" s="470"/>
      <c r="P227" s="470"/>
      <c r="Q227" s="456"/>
      <c r="R227" s="591"/>
      <c r="S227" s="470"/>
      <c r="T227" s="580"/>
      <c r="U227" s="585"/>
      <c r="V227" s="416"/>
    </row>
    <row r="228" spans="1:23" s="431" customFormat="1" x14ac:dyDescent="0.3">
      <c r="A228" s="571"/>
      <c r="B228" s="450" t="s">
        <v>280</v>
      </c>
      <c r="C228" s="486"/>
      <c r="D228" s="486"/>
      <c r="E228" s="486"/>
      <c r="F228" s="588"/>
      <c r="G228" s="450"/>
      <c r="H228" s="450"/>
      <c r="I228" s="450"/>
      <c r="J228" s="450"/>
      <c r="K228" s="450"/>
      <c r="L228" s="450"/>
      <c r="M228" s="450"/>
      <c r="N228" s="450"/>
      <c r="O228" s="450"/>
      <c r="P228" s="450"/>
      <c r="Q228" s="456">
        <v>1</v>
      </c>
      <c r="R228" s="573">
        <v>94</v>
      </c>
      <c r="S228" s="450"/>
      <c r="T228" s="574"/>
      <c r="U228" s="587"/>
      <c r="V228" s="430"/>
    </row>
    <row r="229" spans="1:23" s="431" customFormat="1" x14ac:dyDescent="0.3">
      <c r="A229" s="571"/>
      <c r="B229" s="450" t="s">
        <v>227</v>
      </c>
      <c r="C229" s="486"/>
      <c r="D229" s="486"/>
      <c r="E229" s="486"/>
      <c r="F229" s="588"/>
      <c r="G229" s="450"/>
      <c r="H229" s="450"/>
      <c r="I229" s="450"/>
      <c r="J229" s="450"/>
      <c r="K229" s="450"/>
      <c r="L229" s="450"/>
      <c r="M229" s="450"/>
      <c r="N229" s="450"/>
      <c r="O229" s="450"/>
      <c r="P229" s="450"/>
      <c r="Q229" s="456"/>
      <c r="R229" s="582">
        <v>0</v>
      </c>
      <c r="S229" s="450"/>
      <c r="T229" s="574"/>
      <c r="U229" s="587"/>
      <c r="V229" s="430"/>
    </row>
    <row r="230" spans="1:23" x14ac:dyDescent="0.3">
      <c r="A230" s="576"/>
      <c r="B230" s="584"/>
      <c r="C230" s="589"/>
      <c r="D230" s="589"/>
      <c r="E230" s="589"/>
      <c r="F230" s="590"/>
      <c r="G230" s="470"/>
      <c r="H230" s="470"/>
      <c r="I230" s="470"/>
      <c r="J230" s="470"/>
      <c r="K230" s="470"/>
      <c r="L230" s="470"/>
      <c r="M230" s="470"/>
      <c r="N230" s="470"/>
      <c r="O230" s="470"/>
      <c r="P230" s="470"/>
      <c r="Q230" s="450"/>
      <c r="R230" s="591"/>
      <c r="S230" s="470"/>
      <c r="T230" s="580"/>
      <c r="U230" s="585"/>
      <c r="V230" s="416"/>
    </row>
    <row r="231" spans="1:23" x14ac:dyDescent="0.3">
      <c r="A231" s="576"/>
      <c r="B231" s="584"/>
      <c r="C231" s="589"/>
      <c r="D231" s="589"/>
      <c r="E231" s="589"/>
      <c r="F231" s="590"/>
      <c r="G231" s="470"/>
      <c r="H231" s="470"/>
      <c r="I231" s="470"/>
      <c r="J231" s="470"/>
      <c r="K231" s="470"/>
      <c r="L231" s="470"/>
      <c r="M231" s="470"/>
      <c r="N231" s="470"/>
      <c r="O231" s="470"/>
      <c r="P231" s="470"/>
      <c r="Q231" s="450"/>
      <c r="R231" s="591"/>
      <c r="S231" s="470"/>
      <c r="T231" s="580"/>
      <c r="U231" s="585"/>
      <c r="V231" s="416"/>
    </row>
    <row r="232" spans="1:23" ht="18" x14ac:dyDescent="0.35">
      <c r="A232" s="576"/>
      <c r="B232" s="592" t="s">
        <v>175</v>
      </c>
      <c r="C232" s="589"/>
      <c r="D232" s="589"/>
      <c r="E232" s="589"/>
      <c r="F232" s="590"/>
      <c r="G232" s="470"/>
      <c r="H232" s="470"/>
      <c r="I232" s="470"/>
      <c r="J232" s="470"/>
      <c r="K232" s="470"/>
      <c r="L232" s="470"/>
      <c r="M232" s="470"/>
      <c r="N232" s="647" t="s">
        <v>356</v>
      </c>
      <c r="O232" s="470"/>
      <c r="P232" s="470"/>
      <c r="Q232" s="470"/>
      <c r="R232" s="593"/>
      <c r="S232" s="470"/>
      <c r="T232" s="580"/>
      <c r="U232" s="585"/>
      <c r="V232" s="416"/>
    </row>
    <row r="233" spans="1:23" x14ac:dyDescent="0.3">
      <c r="A233" s="594"/>
      <c r="B233" s="563"/>
      <c r="C233" s="595"/>
      <c r="D233" s="595"/>
      <c r="E233" s="595"/>
      <c r="F233" s="596"/>
      <c r="G233" s="516"/>
      <c r="H233" s="516"/>
      <c r="I233" s="516"/>
      <c r="J233" s="516"/>
      <c r="K233" s="516"/>
      <c r="L233" s="516"/>
      <c r="M233" s="516"/>
      <c r="N233" s="516"/>
      <c r="O233" s="516"/>
      <c r="P233" s="516"/>
      <c r="Q233" s="516"/>
      <c r="R233" s="597"/>
      <c r="S233" s="516"/>
      <c r="T233" s="564"/>
      <c r="U233" s="645"/>
      <c r="V233" s="416"/>
    </row>
    <row r="234" spans="1:23" x14ac:dyDescent="0.3">
      <c r="A234" s="442"/>
      <c r="B234" s="598" t="s">
        <v>295</v>
      </c>
      <c r="C234" s="599"/>
      <c r="D234" s="599"/>
      <c r="E234" s="599"/>
      <c r="F234" s="600"/>
      <c r="G234" s="599"/>
      <c r="H234" s="599"/>
      <c r="I234" s="599"/>
      <c r="J234" s="599"/>
      <c r="K234" s="599"/>
      <c r="L234" s="599"/>
      <c r="M234" s="599"/>
      <c r="N234" s="599"/>
      <c r="O234" s="599"/>
      <c r="P234" s="600" t="s">
        <v>105</v>
      </c>
      <c r="Q234" s="599" t="s">
        <v>106</v>
      </c>
      <c r="R234" s="600" t="s">
        <v>114</v>
      </c>
      <c r="S234" s="599" t="s">
        <v>106</v>
      </c>
      <c r="T234" s="601"/>
      <c r="U234" s="605"/>
      <c r="V234" s="416"/>
    </row>
    <row r="235" spans="1:23" s="431" customFormat="1" x14ac:dyDescent="0.3">
      <c r="A235" s="632"/>
      <c r="B235" s="633" t="s">
        <v>91</v>
      </c>
      <c r="C235" s="634"/>
      <c r="D235" s="634"/>
      <c r="E235" s="634"/>
      <c r="F235" s="635"/>
      <c r="G235" s="634"/>
      <c r="H235" s="634"/>
      <c r="I235" s="634"/>
      <c r="J235" s="634"/>
      <c r="K235" s="634"/>
      <c r="L235" s="634"/>
      <c r="M235" s="634"/>
      <c r="N235" s="634"/>
      <c r="O235" s="634"/>
      <c r="P235" s="633">
        <f t="shared" ref="P235:P242" si="1">+P247+P259+P281</f>
        <v>0</v>
      </c>
      <c r="Q235" s="636">
        <v>0</v>
      </c>
      <c r="R235" s="637">
        <f t="shared" ref="R235:R242" si="2">+R247+R259+R281</f>
        <v>0</v>
      </c>
      <c r="S235" s="636">
        <v>0</v>
      </c>
      <c r="T235" s="630"/>
      <c r="U235" s="631"/>
      <c r="V235" s="430"/>
    </row>
    <row r="236" spans="1:23" s="431" customFormat="1" x14ac:dyDescent="0.3">
      <c r="A236" s="449"/>
      <c r="B236" s="514" t="s">
        <v>92</v>
      </c>
      <c r="C236" s="603"/>
      <c r="D236" s="603"/>
      <c r="E236" s="603"/>
      <c r="F236" s="450"/>
      <c r="G236" s="602"/>
      <c r="H236" s="603"/>
      <c r="I236" s="603"/>
      <c r="J236" s="603"/>
      <c r="K236" s="603"/>
      <c r="L236" s="603"/>
      <c r="M236" s="603"/>
      <c r="N236" s="603"/>
      <c r="O236" s="603"/>
      <c r="P236" s="514">
        <f t="shared" si="1"/>
        <v>0</v>
      </c>
      <c r="Q236" s="602">
        <v>0</v>
      </c>
      <c r="R236" s="515">
        <f t="shared" si="2"/>
        <v>0</v>
      </c>
      <c r="S236" s="602">
        <v>0</v>
      </c>
      <c r="T236" s="574"/>
      <c r="U236" s="587"/>
      <c r="V236" s="430"/>
      <c r="W236" s="533"/>
    </row>
    <row r="237" spans="1:23" s="431" customFormat="1" x14ac:dyDescent="0.3">
      <c r="A237" s="449"/>
      <c r="B237" s="514" t="s">
        <v>93</v>
      </c>
      <c r="C237" s="603"/>
      <c r="D237" s="603"/>
      <c r="E237" s="603"/>
      <c r="F237" s="450"/>
      <c r="G237" s="602"/>
      <c r="H237" s="603"/>
      <c r="I237" s="603"/>
      <c r="J237" s="603"/>
      <c r="K237" s="603"/>
      <c r="L237" s="603"/>
      <c r="M237" s="603"/>
      <c r="N237" s="603"/>
      <c r="O237" s="603"/>
      <c r="P237" s="514">
        <f t="shared" si="1"/>
        <v>0</v>
      </c>
      <c r="Q237" s="602">
        <v>0</v>
      </c>
      <c r="R237" s="515">
        <f t="shared" si="2"/>
        <v>0</v>
      </c>
      <c r="S237" s="602">
        <v>0</v>
      </c>
      <c r="T237" s="574"/>
      <c r="U237" s="587"/>
      <c r="V237" s="430"/>
    </row>
    <row r="238" spans="1:23" s="431" customFormat="1" x14ac:dyDescent="0.3">
      <c r="A238" s="449"/>
      <c r="B238" s="514" t="s">
        <v>163</v>
      </c>
      <c r="C238" s="603"/>
      <c r="D238" s="603"/>
      <c r="E238" s="603"/>
      <c r="F238" s="450"/>
      <c r="G238" s="602"/>
      <c r="H238" s="603"/>
      <c r="I238" s="603"/>
      <c r="J238" s="603"/>
      <c r="K238" s="603"/>
      <c r="L238" s="603"/>
      <c r="M238" s="603"/>
      <c r="N238" s="603"/>
      <c r="O238" s="603"/>
      <c r="P238" s="514">
        <f t="shared" si="1"/>
        <v>0</v>
      </c>
      <c r="Q238" s="602">
        <v>0</v>
      </c>
      <c r="R238" s="515">
        <f t="shared" si="2"/>
        <v>0</v>
      </c>
      <c r="S238" s="602">
        <v>0</v>
      </c>
      <c r="T238" s="574"/>
      <c r="U238" s="587"/>
      <c r="V238" s="430"/>
      <c r="W238" s="533"/>
    </row>
    <row r="239" spans="1:23" s="431" customFormat="1" x14ac:dyDescent="0.3">
      <c r="A239" s="449"/>
      <c r="B239" s="514" t="s">
        <v>164</v>
      </c>
      <c r="C239" s="603"/>
      <c r="D239" s="603"/>
      <c r="E239" s="603"/>
      <c r="F239" s="450"/>
      <c r="G239" s="602"/>
      <c r="H239" s="603"/>
      <c r="I239" s="603"/>
      <c r="J239" s="603"/>
      <c r="K239" s="603"/>
      <c r="L239" s="603"/>
      <c r="M239" s="603"/>
      <c r="N239" s="603"/>
      <c r="O239" s="603"/>
      <c r="P239" s="514">
        <f t="shared" si="1"/>
        <v>0</v>
      </c>
      <c r="Q239" s="602">
        <v>0</v>
      </c>
      <c r="R239" s="515">
        <f t="shared" si="2"/>
        <v>0</v>
      </c>
      <c r="S239" s="602">
        <v>0</v>
      </c>
      <c r="T239" s="574"/>
      <c r="U239" s="587"/>
      <c r="V239" s="430"/>
    </row>
    <row r="240" spans="1:23" s="431" customFormat="1" x14ac:dyDescent="0.3">
      <c r="A240" s="449"/>
      <c r="B240" s="514" t="s">
        <v>165</v>
      </c>
      <c r="C240" s="603"/>
      <c r="D240" s="603"/>
      <c r="E240" s="603"/>
      <c r="F240" s="450"/>
      <c r="G240" s="602"/>
      <c r="H240" s="603"/>
      <c r="I240" s="603"/>
      <c r="J240" s="603"/>
      <c r="K240" s="603"/>
      <c r="L240" s="603"/>
      <c r="M240" s="603"/>
      <c r="N240" s="603"/>
      <c r="O240" s="603"/>
      <c r="P240" s="514">
        <f t="shared" si="1"/>
        <v>0</v>
      </c>
      <c r="Q240" s="602">
        <v>0</v>
      </c>
      <c r="R240" s="515">
        <f t="shared" si="2"/>
        <v>0</v>
      </c>
      <c r="S240" s="602">
        <v>0</v>
      </c>
      <c r="T240" s="574"/>
      <c r="U240" s="587"/>
      <c r="V240" s="430"/>
      <c r="W240" s="533"/>
    </row>
    <row r="241" spans="1:23" s="431" customFormat="1" x14ac:dyDescent="0.3">
      <c r="A241" s="449"/>
      <c r="B241" s="514" t="s">
        <v>166</v>
      </c>
      <c r="C241" s="603"/>
      <c r="D241" s="603"/>
      <c r="E241" s="603"/>
      <c r="F241" s="450"/>
      <c r="G241" s="602"/>
      <c r="H241" s="603"/>
      <c r="I241" s="603"/>
      <c r="J241" s="603"/>
      <c r="K241" s="603"/>
      <c r="L241" s="603"/>
      <c r="M241" s="603"/>
      <c r="N241" s="603"/>
      <c r="O241" s="603"/>
      <c r="P241" s="514">
        <f t="shared" si="1"/>
        <v>0</v>
      </c>
      <c r="Q241" s="602">
        <v>0</v>
      </c>
      <c r="R241" s="515">
        <f t="shared" si="2"/>
        <v>0</v>
      </c>
      <c r="S241" s="602">
        <v>0</v>
      </c>
      <c r="T241" s="574"/>
      <c r="U241" s="587"/>
      <c r="V241" s="430"/>
    </row>
    <row r="242" spans="1:23" s="431" customFormat="1" x14ac:dyDescent="0.3">
      <c r="A242" s="449"/>
      <c r="B242" s="514" t="s">
        <v>167</v>
      </c>
      <c r="C242" s="603"/>
      <c r="D242" s="603"/>
      <c r="E242" s="603"/>
      <c r="F242" s="450"/>
      <c r="G242" s="602"/>
      <c r="H242" s="603"/>
      <c r="I242" s="603"/>
      <c r="J242" s="603"/>
      <c r="K242" s="603"/>
      <c r="L242" s="603"/>
      <c r="M242" s="603"/>
      <c r="N242" s="603"/>
      <c r="O242" s="603"/>
      <c r="P242" s="514">
        <f t="shared" si="1"/>
        <v>0</v>
      </c>
      <c r="Q242" s="602">
        <v>0</v>
      </c>
      <c r="R242" s="515">
        <f t="shared" si="2"/>
        <v>0</v>
      </c>
      <c r="S242" s="602">
        <v>0</v>
      </c>
      <c r="T242" s="574"/>
      <c r="U242" s="587"/>
      <c r="V242" s="430"/>
      <c r="W242" s="533"/>
    </row>
    <row r="243" spans="1:23" s="431" customFormat="1" x14ac:dyDescent="0.3">
      <c r="A243" s="449"/>
      <c r="B243" s="514"/>
      <c r="C243" s="603"/>
      <c r="D243" s="603"/>
      <c r="E243" s="603"/>
      <c r="F243" s="450"/>
      <c r="G243" s="602"/>
      <c r="H243" s="603"/>
      <c r="I243" s="603"/>
      <c r="J243" s="603"/>
      <c r="K243" s="603"/>
      <c r="L243" s="603"/>
      <c r="M243" s="603"/>
      <c r="N243" s="603"/>
      <c r="O243" s="603"/>
      <c r="P243" s="514"/>
      <c r="Q243" s="602"/>
      <c r="R243" s="515"/>
      <c r="S243" s="602"/>
      <c r="T243" s="574"/>
      <c r="U243" s="587"/>
      <c r="V243" s="430"/>
    </row>
    <row r="244" spans="1:23" s="431" customFormat="1" x14ac:dyDescent="0.3">
      <c r="A244" s="449"/>
      <c r="B244" s="450" t="s">
        <v>120</v>
      </c>
      <c r="C244" s="450"/>
      <c r="D244" s="450"/>
      <c r="E244" s="450"/>
      <c r="F244" s="450"/>
      <c r="G244" s="450"/>
      <c r="H244" s="604"/>
      <c r="I244" s="604"/>
      <c r="J244" s="604"/>
      <c r="K244" s="604"/>
      <c r="L244" s="604"/>
      <c r="M244" s="604"/>
      <c r="N244" s="604"/>
      <c r="O244" s="604"/>
      <c r="P244" s="514">
        <f>SUM(P235:P243)</f>
        <v>0</v>
      </c>
      <c r="Q244" s="602">
        <f>SUM(Q235:Q243)</f>
        <v>0</v>
      </c>
      <c r="R244" s="515">
        <f>SUM(R235:R243)</f>
        <v>0</v>
      </c>
      <c r="S244" s="602">
        <f>SUM(S235:S243)</f>
        <v>0</v>
      </c>
      <c r="T244" s="450"/>
      <c r="U244" s="452"/>
      <c r="V244" s="430"/>
    </row>
    <row r="245" spans="1:23" x14ac:dyDescent="0.3">
      <c r="A245" s="594"/>
      <c r="B245" s="563"/>
      <c r="C245" s="595"/>
      <c r="D245" s="595"/>
      <c r="E245" s="595"/>
      <c r="F245" s="596"/>
      <c r="G245" s="516"/>
      <c r="H245" s="516"/>
      <c r="I245" s="516"/>
      <c r="J245" s="516"/>
      <c r="K245" s="516"/>
      <c r="L245" s="516"/>
      <c r="M245" s="516"/>
      <c r="N245" s="516"/>
      <c r="O245" s="516"/>
      <c r="P245" s="516"/>
      <c r="Q245" s="516"/>
      <c r="R245" s="597"/>
      <c r="S245" s="516"/>
      <c r="T245" s="564"/>
      <c r="U245" s="645"/>
      <c r="V245" s="416"/>
    </row>
    <row r="246" spans="1:23" x14ac:dyDescent="0.3">
      <c r="A246" s="442"/>
      <c r="B246" s="521" t="s">
        <v>169</v>
      </c>
      <c r="C246" s="522"/>
      <c r="D246" s="522"/>
      <c r="E246" s="522"/>
      <c r="F246" s="566"/>
      <c r="G246" s="522"/>
      <c r="H246" s="522"/>
      <c r="I246" s="522"/>
      <c r="J246" s="522"/>
      <c r="K246" s="522"/>
      <c r="L246" s="522"/>
      <c r="M246" s="522"/>
      <c r="N246" s="522"/>
      <c r="O246" s="522"/>
      <c r="P246" s="566" t="s">
        <v>105</v>
      </c>
      <c r="Q246" s="522" t="s">
        <v>106</v>
      </c>
      <c r="R246" s="566" t="s">
        <v>114</v>
      </c>
      <c r="S246" s="522" t="s">
        <v>106</v>
      </c>
      <c r="T246" s="443"/>
      <c r="U246" s="605"/>
      <c r="V246" s="416"/>
    </row>
    <row r="247" spans="1:23" s="431" customFormat="1" x14ac:dyDescent="0.3">
      <c r="A247" s="432"/>
      <c r="B247" s="525" t="s">
        <v>91</v>
      </c>
      <c r="C247" s="606"/>
      <c r="D247" s="606"/>
      <c r="E247" s="606"/>
      <c r="F247" s="447"/>
      <c r="G247" s="606"/>
      <c r="H247" s="606"/>
      <c r="I247" s="606"/>
      <c r="J247" s="606"/>
      <c r="K247" s="606"/>
      <c r="L247" s="606"/>
      <c r="M247" s="606"/>
      <c r="N247" s="606"/>
      <c r="O247" s="606"/>
      <c r="P247" s="525">
        <v>0</v>
      </c>
      <c r="Q247" s="607">
        <v>0</v>
      </c>
      <c r="R247" s="526">
        <v>0</v>
      </c>
      <c r="S247" s="607">
        <v>0</v>
      </c>
      <c r="T247" s="570"/>
      <c r="U247" s="646"/>
      <c r="V247" s="430"/>
    </row>
    <row r="248" spans="1:23" s="431" customFormat="1" x14ac:dyDescent="0.3">
      <c r="A248" s="449"/>
      <c r="B248" s="514" t="s">
        <v>92</v>
      </c>
      <c r="C248" s="603"/>
      <c r="D248" s="603"/>
      <c r="E248" s="603"/>
      <c r="F248" s="450"/>
      <c r="G248" s="602"/>
      <c r="H248" s="603"/>
      <c r="I248" s="603"/>
      <c r="J248" s="603"/>
      <c r="K248" s="603"/>
      <c r="L248" s="603"/>
      <c r="M248" s="603"/>
      <c r="N248" s="603"/>
      <c r="O248" s="603"/>
      <c r="P248" s="514">
        <v>0</v>
      </c>
      <c r="Q248" s="602">
        <v>0</v>
      </c>
      <c r="R248" s="515">
        <v>0</v>
      </c>
      <c r="S248" s="602">
        <v>0</v>
      </c>
      <c r="T248" s="574"/>
      <c r="U248" s="587"/>
      <c r="V248" s="430"/>
      <c r="W248" s="533"/>
    </row>
    <row r="249" spans="1:23" s="431" customFormat="1" x14ac:dyDescent="0.3">
      <c r="A249" s="449"/>
      <c r="B249" s="514" t="s">
        <v>93</v>
      </c>
      <c r="C249" s="603"/>
      <c r="D249" s="603"/>
      <c r="E249" s="603"/>
      <c r="F249" s="450"/>
      <c r="G249" s="602"/>
      <c r="H249" s="603"/>
      <c r="I249" s="603"/>
      <c r="J249" s="603"/>
      <c r="K249" s="603"/>
      <c r="L249" s="603"/>
      <c r="M249" s="603"/>
      <c r="N249" s="603"/>
      <c r="O249" s="603"/>
      <c r="P249" s="514">
        <v>0</v>
      </c>
      <c r="Q249" s="602">
        <v>0</v>
      </c>
      <c r="R249" s="515">
        <v>0</v>
      </c>
      <c r="S249" s="602">
        <v>0</v>
      </c>
      <c r="T249" s="574"/>
      <c r="U249" s="587"/>
      <c r="V249" s="430"/>
    </row>
    <row r="250" spans="1:23" s="431" customFormat="1" x14ac:dyDescent="0.3">
      <c r="A250" s="449"/>
      <c r="B250" s="514" t="s">
        <v>163</v>
      </c>
      <c r="C250" s="603"/>
      <c r="D250" s="603"/>
      <c r="E250" s="603"/>
      <c r="F250" s="450"/>
      <c r="G250" s="602"/>
      <c r="H250" s="603"/>
      <c r="I250" s="603"/>
      <c r="J250" s="603"/>
      <c r="K250" s="603"/>
      <c r="L250" s="603"/>
      <c r="M250" s="603"/>
      <c r="N250" s="603"/>
      <c r="O250" s="603"/>
      <c r="P250" s="514">
        <v>0</v>
      </c>
      <c r="Q250" s="602">
        <v>0</v>
      </c>
      <c r="R250" s="515">
        <v>0</v>
      </c>
      <c r="S250" s="602">
        <v>0</v>
      </c>
      <c r="T250" s="574"/>
      <c r="U250" s="587"/>
      <c r="V250" s="430"/>
      <c r="W250" s="533"/>
    </row>
    <row r="251" spans="1:23" s="431" customFormat="1" x14ac:dyDescent="0.3">
      <c r="A251" s="449"/>
      <c r="B251" s="514" t="s">
        <v>164</v>
      </c>
      <c r="C251" s="603"/>
      <c r="D251" s="603"/>
      <c r="E251" s="603"/>
      <c r="F251" s="450"/>
      <c r="G251" s="602"/>
      <c r="H251" s="603"/>
      <c r="I251" s="603"/>
      <c r="J251" s="603"/>
      <c r="K251" s="603"/>
      <c r="L251" s="603"/>
      <c r="M251" s="603"/>
      <c r="N251" s="603"/>
      <c r="O251" s="603"/>
      <c r="P251" s="514">
        <v>0</v>
      </c>
      <c r="Q251" s="602">
        <v>0</v>
      </c>
      <c r="R251" s="515">
        <v>0</v>
      </c>
      <c r="S251" s="602">
        <v>0</v>
      </c>
      <c r="T251" s="574"/>
      <c r="U251" s="587"/>
      <c r="V251" s="430"/>
    </row>
    <row r="252" spans="1:23" s="431" customFormat="1" x14ac:dyDescent="0.3">
      <c r="A252" s="449"/>
      <c r="B252" s="514" t="s">
        <v>165</v>
      </c>
      <c r="C252" s="603"/>
      <c r="D252" s="603"/>
      <c r="E252" s="603"/>
      <c r="F252" s="450"/>
      <c r="G252" s="602"/>
      <c r="H252" s="603"/>
      <c r="I252" s="603"/>
      <c r="J252" s="603"/>
      <c r="K252" s="603"/>
      <c r="L252" s="603"/>
      <c r="M252" s="603"/>
      <c r="N252" s="603"/>
      <c r="O252" s="603"/>
      <c r="P252" s="514">
        <v>0</v>
      </c>
      <c r="Q252" s="602">
        <v>0</v>
      </c>
      <c r="R252" s="515">
        <v>0</v>
      </c>
      <c r="S252" s="602">
        <v>0</v>
      </c>
      <c r="T252" s="574"/>
      <c r="U252" s="587"/>
      <c r="V252" s="430"/>
      <c r="W252" s="533"/>
    </row>
    <row r="253" spans="1:23" s="431" customFormat="1" x14ac:dyDescent="0.3">
      <c r="A253" s="449"/>
      <c r="B253" s="514" t="s">
        <v>166</v>
      </c>
      <c r="C253" s="603"/>
      <c r="D253" s="603"/>
      <c r="E253" s="603"/>
      <c r="F253" s="450"/>
      <c r="G253" s="602"/>
      <c r="H253" s="603"/>
      <c r="I253" s="603"/>
      <c r="J253" s="603"/>
      <c r="K253" s="603"/>
      <c r="L253" s="603"/>
      <c r="M253" s="603"/>
      <c r="N253" s="603"/>
      <c r="O253" s="603"/>
      <c r="P253" s="514">
        <v>0</v>
      </c>
      <c r="Q253" s="602">
        <v>0</v>
      </c>
      <c r="R253" s="515">
        <v>0</v>
      </c>
      <c r="S253" s="602">
        <v>0</v>
      </c>
      <c r="T253" s="574"/>
      <c r="U253" s="587"/>
      <c r="V253" s="430"/>
    </row>
    <row r="254" spans="1:23" s="431" customFormat="1" x14ac:dyDescent="0.3">
      <c r="A254" s="449"/>
      <c r="B254" s="514" t="s">
        <v>167</v>
      </c>
      <c r="C254" s="603"/>
      <c r="D254" s="603"/>
      <c r="E254" s="603"/>
      <c r="F254" s="450"/>
      <c r="G254" s="602"/>
      <c r="H254" s="603"/>
      <c r="I254" s="603"/>
      <c r="J254" s="603"/>
      <c r="K254" s="603"/>
      <c r="L254" s="603"/>
      <c r="M254" s="603"/>
      <c r="N254" s="603"/>
      <c r="O254" s="603"/>
      <c r="P254" s="514">
        <v>0</v>
      </c>
      <c r="Q254" s="602">
        <v>0</v>
      </c>
      <c r="R254" s="515">
        <v>0</v>
      </c>
      <c r="S254" s="602">
        <v>0</v>
      </c>
      <c r="T254" s="574"/>
      <c r="U254" s="587"/>
      <c r="V254" s="430"/>
      <c r="W254" s="533"/>
    </row>
    <row r="255" spans="1:23" s="431" customFormat="1" x14ac:dyDescent="0.3">
      <c r="A255" s="449"/>
      <c r="B255" s="514"/>
      <c r="C255" s="603"/>
      <c r="D255" s="603"/>
      <c r="E255" s="603"/>
      <c r="F255" s="450"/>
      <c r="G255" s="602"/>
      <c r="H255" s="603"/>
      <c r="I255" s="603"/>
      <c r="J255" s="603"/>
      <c r="K255" s="603"/>
      <c r="L255" s="603"/>
      <c r="M255" s="603"/>
      <c r="N255" s="603"/>
      <c r="O255" s="603"/>
      <c r="P255" s="514"/>
      <c r="Q255" s="602"/>
      <c r="R255" s="515"/>
      <c r="S255" s="602"/>
      <c r="T255" s="574"/>
      <c r="U255" s="587"/>
      <c r="V255" s="430"/>
    </row>
    <row r="256" spans="1:23" s="431" customFormat="1" x14ac:dyDescent="0.3">
      <c r="A256" s="449"/>
      <c r="B256" s="450" t="s">
        <v>120</v>
      </c>
      <c r="C256" s="450"/>
      <c r="D256" s="450"/>
      <c r="E256" s="450"/>
      <c r="F256" s="450"/>
      <c r="G256" s="450"/>
      <c r="H256" s="604"/>
      <c r="I256" s="604"/>
      <c r="J256" s="604"/>
      <c r="K256" s="604"/>
      <c r="L256" s="604"/>
      <c r="M256" s="604"/>
      <c r="N256" s="604"/>
      <c r="O256" s="604"/>
      <c r="P256" s="514">
        <f>SUM(P247:P255)</f>
        <v>0</v>
      </c>
      <c r="Q256" s="602">
        <f>SUM(Q247:Q255)</f>
        <v>0</v>
      </c>
      <c r="R256" s="515">
        <f>SUM(R247:R255)</f>
        <v>0</v>
      </c>
      <c r="S256" s="602">
        <f>SUM(S247:S255)</f>
        <v>0</v>
      </c>
      <c r="T256" s="450"/>
      <c r="U256" s="452"/>
      <c r="V256" s="430"/>
    </row>
    <row r="257" spans="1:22" x14ac:dyDescent="0.3">
      <c r="A257" s="418"/>
      <c r="B257" s="516"/>
      <c r="C257" s="516"/>
      <c r="D257" s="516"/>
      <c r="E257" s="516"/>
      <c r="F257" s="516"/>
      <c r="G257" s="516"/>
      <c r="H257" s="608"/>
      <c r="I257" s="608"/>
      <c r="J257" s="608"/>
      <c r="K257" s="608"/>
      <c r="L257" s="608"/>
      <c r="M257" s="608"/>
      <c r="N257" s="608"/>
      <c r="O257" s="608"/>
      <c r="P257" s="517"/>
      <c r="Q257" s="609"/>
      <c r="R257" s="610"/>
      <c r="S257" s="609"/>
      <c r="T257" s="516"/>
      <c r="U257" s="639"/>
      <c r="V257" s="416"/>
    </row>
    <row r="258" spans="1:22" x14ac:dyDescent="0.3">
      <c r="A258" s="442"/>
      <c r="B258" s="521" t="s">
        <v>267</v>
      </c>
      <c r="C258" s="522"/>
      <c r="D258" s="522"/>
      <c r="E258" s="522"/>
      <c r="F258" s="566"/>
      <c r="G258" s="522"/>
      <c r="H258" s="522"/>
      <c r="I258" s="522"/>
      <c r="J258" s="522"/>
      <c r="K258" s="522"/>
      <c r="L258" s="522"/>
      <c r="M258" s="522"/>
      <c r="N258" s="522"/>
      <c r="O258" s="522"/>
      <c r="P258" s="566" t="s">
        <v>105</v>
      </c>
      <c r="Q258" s="522" t="s">
        <v>106</v>
      </c>
      <c r="R258" s="566" t="s">
        <v>114</v>
      </c>
      <c r="S258" s="522" t="s">
        <v>106</v>
      </c>
      <c r="T258" s="443"/>
      <c r="U258" s="446"/>
      <c r="V258" s="416"/>
    </row>
    <row r="259" spans="1:22" s="431" customFormat="1" x14ac:dyDescent="0.3">
      <c r="A259" s="432"/>
      <c r="B259" s="525" t="s">
        <v>91</v>
      </c>
      <c r="C259" s="606"/>
      <c r="D259" s="606"/>
      <c r="E259" s="606"/>
      <c r="F259" s="447"/>
      <c r="G259" s="606"/>
      <c r="H259" s="606"/>
      <c r="I259" s="606"/>
      <c r="J259" s="606"/>
      <c r="K259" s="606"/>
      <c r="L259" s="606"/>
      <c r="M259" s="606"/>
      <c r="N259" s="606"/>
      <c r="O259" s="606"/>
      <c r="P259" s="525">
        <v>0</v>
      </c>
      <c r="Q259" s="607">
        <v>0</v>
      </c>
      <c r="R259" s="526">
        <v>0</v>
      </c>
      <c r="S259" s="607">
        <v>0</v>
      </c>
      <c r="T259" s="447"/>
      <c r="U259" s="641"/>
      <c r="V259" s="430"/>
    </row>
    <row r="260" spans="1:22" s="431" customFormat="1" x14ac:dyDescent="0.3">
      <c r="A260" s="449"/>
      <c r="B260" s="514" t="s">
        <v>92</v>
      </c>
      <c r="C260" s="603"/>
      <c r="D260" s="603"/>
      <c r="E260" s="603"/>
      <c r="F260" s="450"/>
      <c r="G260" s="602"/>
      <c r="H260" s="603"/>
      <c r="I260" s="603"/>
      <c r="J260" s="603"/>
      <c r="K260" s="603"/>
      <c r="L260" s="603"/>
      <c r="M260" s="603"/>
      <c r="N260" s="603"/>
      <c r="O260" s="603"/>
      <c r="P260" s="514">
        <v>0</v>
      </c>
      <c r="Q260" s="602">
        <v>0</v>
      </c>
      <c r="R260" s="515">
        <v>0</v>
      </c>
      <c r="S260" s="602">
        <v>0</v>
      </c>
      <c r="T260" s="450"/>
      <c r="U260" s="452"/>
      <c r="V260" s="430"/>
    </row>
    <row r="261" spans="1:22" s="431" customFormat="1" x14ac:dyDescent="0.3">
      <c r="A261" s="449"/>
      <c r="B261" s="514" t="s">
        <v>93</v>
      </c>
      <c r="C261" s="603"/>
      <c r="D261" s="603"/>
      <c r="E261" s="603"/>
      <c r="F261" s="450"/>
      <c r="G261" s="602"/>
      <c r="H261" s="603"/>
      <c r="I261" s="603"/>
      <c r="J261" s="603"/>
      <c r="K261" s="603"/>
      <c r="L261" s="603"/>
      <c r="M261" s="603"/>
      <c r="N261" s="603"/>
      <c r="O261" s="603"/>
      <c r="P261" s="514">
        <v>0</v>
      </c>
      <c r="Q261" s="602">
        <v>0</v>
      </c>
      <c r="R261" s="515">
        <v>0</v>
      </c>
      <c r="S261" s="602">
        <v>0</v>
      </c>
      <c r="T261" s="450"/>
      <c r="U261" s="452"/>
      <c r="V261" s="430"/>
    </row>
    <row r="262" spans="1:22" s="431" customFormat="1" x14ac:dyDescent="0.3">
      <c r="A262" s="449"/>
      <c r="B262" s="514" t="s">
        <v>163</v>
      </c>
      <c r="C262" s="603"/>
      <c r="D262" s="603"/>
      <c r="E262" s="603"/>
      <c r="F262" s="450"/>
      <c r="G262" s="602"/>
      <c r="H262" s="603"/>
      <c r="I262" s="603"/>
      <c r="J262" s="603"/>
      <c r="K262" s="603"/>
      <c r="L262" s="603"/>
      <c r="M262" s="603"/>
      <c r="N262" s="603"/>
      <c r="O262" s="603"/>
      <c r="P262" s="514">
        <v>0</v>
      </c>
      <c r="Q262" s="602">
        <v>0</v>
      </c>
      <c r="R262" s="515">
        <v>0</v>
      </c>
      <c r="S262" s="602">
        <v>0</v>
      </c>
      <c r="T262" s="450"/>
      <c r="U262" s="452"/>
      <c r="V262" s="430"/>
    </row>
    <row r="263" spans="1:22" s="431" customFormat="1" x14ac:dyDescent="0.3">
      <c r="A263" s="449"/>
      <c r="B263" s="514" t="s">
        <v>164</v>
      </c>
      <c r="C263" s="603"/>
      <c r="D263" s="603"/>
      <c r="E263" s="603"/>
      <c r="F263" s="450"/>
      <c r="G263" s="602"/>
      <c r="H263" s="603"/>
      <c r="I263" s="603"/>
      <c r="J263" s="603"/>
      <c r="K263" s="603"/>
      <c r="L263" s="603"/>
      <c r="M263" s="603"/>
      <c r="N263" s="603"/>
      <c r="O263" s="603"/>
      <c r="P263" s="514">
        <v>0</v>
      </c>
      <c r="Q263" s="602">
        <v>0</v>
      </c>
      <c r="R263" s="515">
        <v>0</v>
      </c>
      <c r="S263" s="602">
        <v>0</v>
      </c>
      <c r="T263" s="450"/>
      <c r="U263" s="452"/>
      <c r="V263" s="430"/>
    </row>
    <row r="264" spans="1:22" s="431" customFormat="1" x14ac:dyDescent="0.3">
      <c r="A264" s="449"/>
      <c r="B264" s="514" t="s">
        <v>165</v>
      </c>
      <c r="C264" s="603"/>
      <c r="D264" s="603"/>
      <c r="E264" s="603"/>
      <c r="F264" s="450"/>
      <c r="G264" s="602"/>
      <c r="H264" s="603"/>
      <c r="I264" s="603"/>
      <c r="J264" s="603"/>
      <c r="K264" s="603"/>
      <c r="L264" s="603"/>
      <c r="M264" s="603"/>
      <c r="N264" s="603"/>
      <c r="O264" s="603"/>
      <c r="P264" s="514">
        <v>0</v>
      </c>
      <c r="Q264" s="602">
        <v>0</v>
      </c>
      <c r="R264" s="515">
        <v>0</v>
      </c>
      <c r="S264" s="602">
        <v>0</v>
      </c>
      <c r="T264" s="450"/>
      <c r="U264" s="452"/>
      <c r="V264" s="430"/>
    </row>
    <row r="265" spans="1:22" s="431" customFormat="1" x14ac:dyDescent="0.3">
      <c r="A265" s="449"/>
      <c r="B265" s="514" t="s">
        <v>166</v>
      </c>
      <c r="C265" s="603"/>
      <c r="D265" s="603"/>
      <c r="E265" s="603"/>
      <c r="F265" s="450"/>
      <c r="G265" s="602"/>
      <c r="H265" s="603"/>
      <c r="I265" s="603"/>
      <c r="J265" s="603"/>
      <c r="K265" s="603"/>
      <c r="L265" s="603"/>
      <c r="M265" s="603"/>
      <c r="N265" s="603"/>
      <c r="O265" s="603"/>
      <c r="P265" s="514">
        <v>0</v>
      </c>
      <c r="Q265" s="602">
        <v>0</v>
      </c>
      <c r="R265" s="515">
        <v>0</v>
      </c>
      <c r="S265" s="602">
        <v>0</v>
      </c>
      <c r="T265" s="450"/>
      <c r="U265" s="452"/>
      <c r="V265" s="430"/>
    </row>
    <row r="266" spans="1:22" s="431" customFormat="1" x14ac:dyDescent="0.3">
      <c r="A266" s="449"/>
      <c r="B266" s="514" t="s">
        <v>167</v>
      </c>
      <c r="C266" s="603"/>
      <c r="D266" s="603"/>
      <c r="E266" s="603"/>
      <c r="F266" s="450"/>
      <c r="G266" s="602"/>
      <c r="H266" s="603"/>
      <c r="I266" s="603"/>
      <c r="J266" s="603"/>
      <c r="K266" s="603"/>
      <c r="L266" s="603"/>
      <c r="M266" s="603"/>
      <c r="N266" s="603"/>
      <c r="O266" s="603"/>
      <c r="P266" s="514">
        <v>0</v>
      </c>
      <c r="Q266" s="602">
        <v>0</v>
      </c>
      <c r="R266" s="515">
        <v>0</v>
      </c>
      <c r="S266" s="602">
        <v>0</v>
      </c>
      <c r="T266" s="450"/>
      <c r="U266" s="452"/>
      <c r="V266" s="430"/>
    </row>
    <row r="267" spans="1:22" s="431" customFormat="1" x14ac:dyDescent="0.3">
      <c r="A267" s="449"/>
      <c r="B267" s="514"/>
      <c r="C267" s="603"/>
      <c r="D267" s="603"/>
      <c r="E267" s="603"/>
      <c r="F267" s="450"/>
      <c r="G267" s="602"/>
      <c r="H267" s="603"/>
      <c r="I267" s="603"/>
      <c r="J267" s="603"/>
      <c r="K267" s="603"/>
      <c r="L267" s="603"/>
      <c r="M267" s="603"/>
      <c r="N267" s="603"/>
      <c r="O267" s="603"/>
      <c r="P267" s="514"/>
      <c r="Q267" s="602"/>
      <c r="R267" s="515"/>
      <c r="S267" s="602"/>
      <c r="T267" s="450"/>
      <c r="U267" s="452"/>
      <c r="V267" s="430"/>
    </row>
    <row r="268" spans="1:22" s="431" customFormat="1" x14ac:dyDescent="0.3">
      <c r="A268" s="449"/>
      <c r="B268" s="450" t="s">
        <v>120</v>
      </c>
      <c r="C268" s="450"/>
      <c r="D268" s="450"/>
      <c r="E268" s="450"/>
      <c r="F268" s="450"/>
      <c r="G268" s="450"/>
      <c r="H268" s="604"/>
      <c r="I268" s="604"/>
      <c r="J268" s="604"/>
      <c r="K268" s="604"/>
      <c r="L268" s="604"/>
      <c r="M268" s="604"/>
      <c r="N268" s="604"/>
      <c r="O268" s="604"/>
      <c r="P268" s="514">
        <f>SUM(P259:P267)</f>
        <v>0</v>
      </c>
      <c r="Q268" s="602">
        <f>SUM(Q259:Q267)</f>
        <v>0</v>
      </c>
      <c r="R268" s="515">
        <f>SUM(R259:R267)</f>
        <v>0</v>
      </c>
      <c r="S268" s="602">
        <f>SUM(S259:S267)</f>
        <v>0</v>
      </c>
      <c r="T268" s="450"/>
      <c r="U268" s="452"/>
      <c r="V268" s="430"/>
    </row>
    <row r="269" spans="1:22" x14ac:dyDescent="0.3">
      <c r="A269" s="418"/>
      <c r="B269" s="516"/>
      <c r="C269" s="516"/>
      <c r="D269" s="516"/>
      <c r="E269" s="516"/>
      <c r="F269" s="516"/>
      <c r="G269" s="516"/>
      <c r="H269" s="608"/>
      <c r="I269" s="608"/>
      <c r="J269" s="608"/>
      <c r="K269" s="608"/>
      <c r="L269" s="608"/>
      <c r="M269" s="608"/>
      <c r="N269" s="608"/>
      <c r="O269" s="608"/>
      <c r="P269" s="517"/>
      <c r="Q269" s="609"/>
      <c r="R269" s="610"/>
      <c r="S269" s="609"/>
      <c r="T269" s="516"/>
      <c r="U269" s="639"/>
      <c r="V269" s="416"/>
    </row>
    <row r="270" spans="1:22" x14ac:dyDescent="0.3">
      <c r="A270" s="654"/>
      <c r="B270" s="655" t="s">
        <v>390</v>
      </c>
      <c r="C270" s="656"/>
      <c r="D270" s="656"/>
      <c r="E270" s="656"/>
      <c r="F270" s="600"/>
      <c r="G270" s="656"/>
      <c r="H270" s="656"/>
      <c r="I270" s="656"/>
      <c r="J270" s="656"/>
      <c r="K270" s="656"/>
      <c r="L270" s="656"/>
      <c r="M270" s="656"/>
      <c r="N270" s="656"/>
      <c r="O270" s="656"/>
      <c r="P270" s="600" t="s">
        <v>105</v>
      </c>
      <c r="Q270" s="656" t="s">
        <v>106</v>
      </c>
      <c r="R270" s="600" t="s">
        <v>114</v>
      </c>
      <c r="S270" s="656" t="s">
        <v>106</v>
      </c>
      <c r="T270" s="656"/>
      <c r="U270" s="656"/>
      <c r="V270" s="416"/>
    </row>
    <row r="271" spans="1:22" x14ac:dyDescent="0.3">
      <c r="A271" s="657"/>
      <c r="B271" s="658" t="s">
        <v>391</v>
      </c>
      <c r="C271" s="658"/>
      <c r="D271" s="658"/>
      <c r="E271" s="658"/>
      <c r="F271" s="658"/>
      <c r="G271" s="658"/>
      <c r="H271" s="659"/>
      <c r="I271" s="659"/>
      <c r="J271" s="659"/>
      <c r="K271" s="659"/>
      <c r="L271" s="659"/>
      <c r="M271" s="659"/>
      <c r="N271" s="659"/>
      <c r="O271" s="659"/>
      <c r="P271" s="661">
        <v>0</v>
      </c>
      <c r="Q271" s="662">
        <v>0</v>
      </c>
      <c r="R271" s="663">
        <v>0</v>
      </c>
      <c r="S271" s="662">
        <v>0</v>
      </c>
      <c r="T271" s="659"/>
      <c r="U271" s="659"/>
      <c r="V271" s="416"/>
    </row>
    <row r="272" spans="1:22" x14ac:dyDescent="0.3">
      <c r="A272" s="657"/>
      <c r="B272" s="658" t="s">
        <v>392</v>
      </c>
      <c r="C272" s="658"/>
      <c r="D272" s="658"/>
      <c r="E272" s="658"/>
      <c r="F272" s="658"/>
      <c r="G272" s="658"/>
      <c r="H272" s="659"/>
      <c r="I272" s="659"/>
      <c r="J272" s="659"/>
      <c r="K272" s="659"/>
      <c r="L272" s="659"/>
      <c r="M272" s="659"/>
      <c r="N272" s="659"/>
      <c r="O272" s="659"/>
      <c r="P272" s="661">
        <v>0</v>
      </c>
      <c r="Q272" s="662">
        <v>0</v>
      </c>
      <c r="R272" s="663">
        <v>0</v>
      </c>
      <c r="S272" s="662">
        <v>0</v>
      </c>
      <c r="T272" s="659"/>
      <c r="U272" s="659"/>
      <c r="V272" s="416"/>
    </row>
    <row r="273" spans="1:22" x14ac:dyDescent="0.3">
      <c r="A273" s="657"/>
      <c r="B273" s="658" t="s">
        <v>393</v>
      </c>
      <c r="C273" s="658"/>
      <c r="D273" s="658"/>
      <c r="E273" s="658"/>
      <c r="F273" s="658"/>
      <c r="G273" s="658"/>
      <c r="H273" s="659"/>
      <c r="I273" s="659"/>
      <c r="J273" s="659"/>
      <c r="K273" s="659"/>
      <c r="L273" s="659"/>
      <c r="M273" s="659"/>
      <c r="N273" s="659"/>
      <c r="O273" s="659"/>
      <c r="P273" s="661">
        <v>0</v>
      </c>
      <c r="Q273" s="662">
        <v>0</v>
      </c>
      <c r="R273" s="663">
        <v>0</v>
      </c>
      <c r="S273" s="662">
        <v>0</v>
      </c>
      <c r="T273" s="659"/>
      <c r="U273" s="659"/>
      <c r="V273" s="416"/>
    </row>
    <row r="274" spans="1:22" x14ac:dyDescent="0.3">
      <c r="A274" s="657"/>
      <c r="B274" s="658" t="s">
        <v>394</v>
      </c>
      <c r="C274" s="658"/>
      <c r="D274" s="658"/>
      <c r="E274" s="658"/>
      <c r="F274" s="658"/>
      <c r="G274" s="658"/>
      <c r="H274" s="659"/>
      <c r="I274" s="659"/>
      <c r="J274" s="659"/>
      <c r="K274" s="659"/>
      <c r="L274" s="659"/>
      <c r="M274" s="659"/>
      <c r="N274" s="659"/>
      <c r="O274" s="659"/>
      <c r="P274" s="661">
        <v>0</v>
      </c>
      <c r="Q274" s="662">
        <v>0</v>
      </c>
      <c r="R274" s="663">
        <v>0</v>
      </c>
      <c r="S274" s="662">
        <v>0</v>
      </c>
      <c r="T274" s="659"/>
      <c r="U274" s="659"/>
      <c r="V274" s="416"/>
    </row>
    <row r="275" spans="1:22" x14ac:dyDescent="0.3">
      <c r="A275" s="657"/>
      <c r="B275" s="658" t="s">
        <v>395</v>
      </c>
      <c r="C275" s="658"/>
      <c r="D275" s="658"/>
      <c r="E275" s="658"/>
      <c r="F275" s="658"/>
      <c r="G275" s="658"/>
      <c r="H275" s="659"/>
      <c r="I275" s="659"/>
      <c r="J275" s="659"/>
      <c r="K275" s="659"/>
      <c r="L275" s="659"/>
      <c r="M275" s="659"/>
      <c r="N275" s="659"/>
      <c r="O275" s="659"/>
      <c r="P275" s="661">
        <v>0</v>
      </c>
      <c r="Q275" s="662">
        <v>0</v>
      </c>
      <c r="R275" s="663">
        <v>0</v>
      </c>
      <c r="S275" s="662">
        <v>0</v>
      </c>
      <c r="T275" s="659"/>
      <c r="U275" s="659"/>
      <c r="V275" s="416"/>
    </row>
    <row r="276" spans="1:22" x14ac:dyDescent="0.3">
      <c r="A276" s="657"/>
      <c r="B276" s="660" t="s">
        <v>396</v>
      </c>
      <c r="C276" s="658"/>
      <c r="D276" s="658"/>
      <c r="E276" s="658"/>
      <c r="F276" s="658"/>
      <c r="G276" s="658"/>
      <c r="H276" s="659"/>
      <c r="I276" s="659"/>
      <c r="J276" s="659"/>
      <c r="K276" s="659"/>
      <c r="L276" s="659"/>
      <c r="M276" s="659"/>
      <c r="N276" s="659"/>
      <c r="O276" s="659"/>
      <c r="P276" s="661">
        <v>0</v>
      </c>
      <c r="Q276" s="662">
        <v>0</v>
      </c>
      <c r="R276" s="663">
        <v>0</v>
      </c>
      <c r="S276" s="662">
        <v>0</v>
      </c>
      <c r="T276" s="659"/>
      <c r="U276" s="659"/>
      <c r="V276" s="416"/>
    </row>
    <row r="277" spans="1:22" x14ac:dyDescent="0.3">
      <c r="A277" s="657"/>
      <c r="B277" s="658"/>
      <c r="C277" s="658"/>
      <c r="D277" s="658"/>
      <c r="E277" s="658"/>
      <c r="F277" s="658"/>
      <c r="G277" s="658"/>
      <c r="H277" s="659"/>
      <c r="I277" s="659"/>
      <c r="J277" s="659"/>
      <c r="K277" s="659"/>
      <c r="L277" s="659"/>
      <c r="M277" s="659"/>
      <c r="N277" s="659"/>
      <c r="O277" s="659"/>
      <c r="P277" s="661"/>
      <c r="Q277" s="662"/>
      <c r="R277" s="663"/>
      <c r="S277" s="662"/>
      <c r="T277" s="659"/>
      <c r="U277" s="659"/>
      <c r="V277" s="416"/>
    </row>
    <row r="278" spans="1:22" x14ac:dyDescent="0.3">
      <c r="A278" s="657"/>
      <c r="B278" s="658" t="s">
        <v>120</v>
      </c>
      <c r="C278" s="658"/>
      <c r="D278" s="658"/>
      <c r="E278" s="658"/>
      <c r="F278" s="658"/>
      <c r="G278" s="658"/>
      <c r="H278" s="659"/>
      <c r="I278" s="659"/>
      <c r="J278" s="659"/>
      <c r="K278" s="659"/>
      <c r="L278" s="659"/>
      <c r="M278" s="659"/>
      <c r="N278" s="659"/>
      <c r="O278" s="659"/>
      <c r="P278" s="661">
        <f>SUM(P271:P277)</f>
        <v>0</v>
      </c>
      <c r="Q278" s="662">
        <f>SUM(Q271:Q276)</f>
        <v>0</v>
      </c>
      <c r="R278" s="663">
        <f>SUM(R271:R276)</f>
        <v>0</v>
      </c>
      <c r="S278" s="662">
        <f>SUM(S271:S277)</f>
        <v>0</v>
      </c>
      <c r="T278" s="659"/>
      <c r="U278" s="659"/>
      <c r="V278" s="416"/>
    </row>
    <row r="279" spans="1:22" x14ac:dyDescent="0.3">
      <c r="A279" s="418"/>
      <c r="B279" s="516"/>
      <c r="C279" s="516"/>
      <c r="D279" s="516"/>
      <c r="E279" s="516"/>
      <c r="F279" s="516"/>
      <c r="G279" s="516"/>
      <c r="H279" s="608"/>
      <c r="I279" s="608"/>
      <c r="J279" s="608"/>
      <c r="K279" s="608"/>
      <c r="L279" s="608"/>
      <c r="M279" s="608"/>
      <c r="N279" s="608"/>
      <c r="O279" s="608"/>
      <c r="P279" s="517"/>
      <c r="Q279" s="609"/>
      <c r="R279" s="610"/>
      <c r="S279" s="609"/>
      <c r="T279" s="516"/>
      <c r="U279" s="639"/>
      <c r="V279" s="416"/>
    </row>
    <row r="280" spans="1:22" x14ac:dyDescent="0.3">
      <c r="A280" s="442"/>
      <c r="B280" s="521" t="s">
        <v>170</v>
      </c>
      <c r="C280" s="443"/>
      <c r="D280" s="443"/>
      <c r="E280" s="443"/>
      <c r="F280" s="443"/>
      <c r="G280" s="443"/>
      <c r="H280" s="611"/>
      <c r="I280" s="611"/>
      <c r="J280" s="611"/>
      <c r="K280" s="611"/>
      <c r="L280" s="611"/>
      <c r="M280" s="611"/>
      <c r="N280" s="611"/>
      <c r="O280" s="611"/>
      <c r="P280" s="566" t="s">
        <v>105</v>
      </c>
      <c r="Q280" s="522" t="s">
        <v>106</v>
      </c>
      <c r="R280" s="566" t="s">
        <v>114</v>
      </c>
      <c r="S280" s="522" t="s">
        <v>106</v>
      </c>
      <c r="T280" s="443"/>
      <c r="U280" s="446"/>
      <c r="V280" s="416"/>
    </row>
    <row r="281" spans="1:22" s="431" customFormat="1" x14ac:dyDescent="0.3">
      <c r="A281" s="432"/>
      <c r="B281" s="525" t="s">
        <v>91</v>
      </c>
      <c r="C281" s="447"/>
      <c r="D281" s="447"/>
      <c r="E281" s="447"/>
      <c r="F281" s="447"/>
      <c r="G281" s="447"/>
      <c r="H281" s="612"/>
      <c r="I281" s="612"/>
      <c r="J281" s="612"/>
      <c r="K281" s="612"/>
      <c r="L281" s="612"/>
      <c r="M281" s="612"/>
      <c r="N281" s="612"/>
      <c r="O281" s="612"/>
      <c r="P281" s="525">
        <v>0</v>
      </c>
      <c r="Q281" s="607">
        <v>0</v>
      </c>
      <c r="R281" s="526">
        <v>0</v>
      </c>
      <c r="S281" s="607">
        <v>0</v>
      </c>
      <c r="T281" s="447"/>
      <c r="U281" s="641"/>
      <c r="V281" s="430"/>
    </row>
    <row r="282" spans="1:22" s="431" customFormat="1" x14ac:dyDescent="0.3">
      <c r="A282" s="449"/>
      <c r="B282" s="514" t="s">
        <v>92</v>
      </c>
      <c r="C282" s="450"/>
      <c r="D282" s="450"/>
      <c r="E282" s="450"/>
      <c r="F282" s="450"/>
      <c r="G282" s="450"/>
      <c r="H282" s="604"/>
      <c r="I282" s="604"/>
      <c r="J282" s="604"/>
      <c r="K282" s="604"/>
      <c r="L282" s="604"/>
      <c r="M282" s="604"/>
      <c r="N282" s="604"/>
      <c r="O282" s="604"/>
      <c r="P282" s="514">
        <v>0</v>
      </c>
      <c r="Q282" s="602">
        <v>0</v>
      </c>
      <c r="R282" s="515">
        <v>0</v>
      </c>
      <c r="S282" s="602">
        <v>0</v>
      </c>
      <c r="T282" s="450"/>
      <c r="U282" s="452"/>
      <c r="V282" s="430"/>
    </row>
    <row r="283" spans="1:22" s="431" customFormat="1" x14ac:dyDescent="0.3">
      <c r="A283" s="449"/>
      <c r="B283" s="514" t="s">
        <v>93</v>
      </c>
      <c r="C283" s="450"/>
      <c r="D283" s="450"/>
      <c r="E283" s="450"/>
      <c r="F283" s="450"/>
      <c r="G283" s="450"/>
      <c r="H283" s="604"/>
      <c r="I283" s="604"/>
      <c r="J283" s="604"/>
      <c r="K283" s="604"/>
      <c r="L283" s="604"/>
      <c r="M283" s="604"/>
      <c r="N283" s="604"/>
      <c r="O283" s="604"/>
      <c r="P283" s="514">
        <v>0</v>
      </c>
      <c r="Q283" s="602">
        <v>0</v>
      </c>
      <c r="R283" s="515">
        <v>0</v>
      </c>
      <c r="S283" s="602">
        <v>0</v>
      </c>
      <c r="T283" s="450"/>
      <c r="U283" s="452"/>
      <c r="V283" s="430"/>
    </row>
    <row r="284" spans="1:22" s="431" customFormat="1" x14ac:dyDescent="0.3">
      <c r="A284" s="449"/>
      <c r="B284" s="514" t="s">
        <v>163</v>
      </c>
      <c r="C284" s="450"/>
      <c r="D284" s="450"/>
      <c r="E284" s="450"/>
      <c r="F284" s="450"/>
      <c r="G284" s="450"/>
      <c r="H284" s="604"/>
      <c r="I284" s="604"/>
      <c r="J284" s="604"/>
      <c r="K284" s="604"/>
      <c r="L284" s="604"/>
      <c r="M284" s="604"/>
      <c r="N284" s="604"/>
      <c r="O284" s="604"/>
      <c r="P284" s="514">
        <v>0</v>
      </c>
      <c r="Q284" s="602">
        <v>0</v>
      </c>
      <c r="R284" s="515">
        <v>0</v>
      </c>
      <c r="S284" s="602">
        <v>0</v>
      </c>
      <c r="T284" s="450"/>
      <c r="U284" s="452"/>
      <c r="V284" s="430"/>
    </row>
    <row r="285" spans="1:22" s="431" customFormat="1" x14ac:dyDescent="0.3">
      <c r="A285" s="449"/>
      <c r="B285" s="514" t="s">
        <v>164</v>
      </c>
      <c r="C285" s="450"/>
      <c r="D285" s="450"/>
      <c r="E285" s="450"/>
      <c r="F285" s="450"/>
      <c r="G285" s="450"/>
      <c r="H285" s="604"/>
      <c r="I285" s="604"/>
      <c r="J285" s="604"/>
      <c r="K285" s="604"/>
      <c r="L285" s="604"/>
      <c r="M285" s="604"/>
      <c r="N285" s="604"/>
      <c r="O285" s="604"/>
      <c r="P285" s="514">
        <v>0</v>
      </c>
      <c r="Q285" s="602">
        <v>0</v>
      </c>
      <c r="R285" s="515">
        <v>0</v>
      </c>
      <c r="S285" s="602">
        <v>0</v>
      </c>
      <c r="T285" s="450"/>
      <c r="U285" s="452"/>
      <c r="V285" s="430"/>
    </row>
    <row r="286" spans="1:22" s="431" customFormat="1" x14ac:dyDescent="0.3">
      <c r="A286" s="449"/>
      <c r="B286" s="514" t="s">
        <v>165</v>
      </c>
      <c r="C286" s="450"/>
      <c r="D286" s="450"/>
      <c r="E286" s="450"/>
      <c r="F286" s="450"/>
      <c r="G286" s="450"/>
      <c r="H286" s="604"/>
      <c r="I286" s="604"/>
      <c r="J286" s="604"/>
      <c r="K286" s="604"/>
      <c r="L286" s="604"/>
      <c r="M286" s="604"/>
      <c r="N286" s="604"/>
      <c r="O286" s="604"/>
      <c r="P286" s="514">
        <v>0</v>
      </c>
      <c r="Q286" s="602">
        <v>0</v>
      </c>
      <c r="R286" s="515">
        <v>0</v>
      </c>
      <c r="S286" s="602">
        <v>0</v>
      </c>
      <c r="T286" s="450"/>
      <c r="U286" s="452"/>
      <c r="V286" s="430"/>
    </row>
    <row r="287" spans="1:22" s="431" customFormat="1" x14ac:dyDescent="0.3">
      <c r="A287" s="449"/>
      <c r="B287" s="514" t="s">
        <v>166</v>
      </c>
      <c r="C287" s="450"/>
      <c r="D287" s="450"/>
      <c r="E287" s="450"/>
      <c r="F287" s="450"/>
      <c r="G287" s="450"/>
      <c r="H287" s="604"/>
      <c r="I287" s="604"/>
      <c r="J287" s="604"/>
      <c r="K287" s="604"/>
      <c r="L287" s="604"/>
      <c r="M287" s="604"/>
      <c r="N287" s="604"/>
      <c r="O287" s="604"/>
      <c r="P287" s="514">
        <v>0</v>
      </c>
      <c r="Q287" s="602">
        <v>0</v>
      </c>
      <c r="R287" s="515">
        <v>0</v>
      </c>
      <c r="S287" s="602">
        <v>0</v>
      </c>
      <c r="T287" s="450"/>
      <c r="U287" s="452"/>
      <c r="V287" s="430"/>
    </row>
    <row r="288" spans="1:22" s="431" customFormat="1" x14ac:dyDescent="0.3">
      <c r="A288" s="449"/>
      <c r="B288" s="514" t="s">
        <v>167</v>
      </c>
      <c r="C288" s="450"/>
      <c r="D288" s="450"/>
      <c r="E288" s="450"/>
      <c r="F288" s="450"/>
      <c r="G288" s="450"/>
      <c r="H288" s="604"/>
      <c r="I288" s="604"/>
      <c r="J288" s="604"/>
      <c r="K288" s="604"/>
      <c r="L288" s="604"/>
      <c r="M288" s="604"/>
      <c r="N288" s="604"/>
      <c r="O288" s="604"/>
      <c r="P288" s="514">
        <v>0</v>
      </c>
      <c r="Q288" s="602">
        <v>0</v>
      </c>
      <c r="R288" s="515">
        <v>0</v>
      </c>
      <c r="S288" s="602">
        <v>0</v>
      </c>
      <c r="T288" s="450"/>
      <c r="U288" s="452"/>
      <c r="V288" s="430"/>
    </row>
    <row r="289" spans="1:22" s="431" customFormat="1" x14ac:dyDescent="0.3">
      <c r="A289" s="449"/>
      <c r="B289" s="514"/>
      <c r="C289" s="450"/>
      <c r="D289" s="450"/>
      <c r="E289" s="450"/>
      <c r="F289" s="450"/>
      <c r="G289" s="450"/>
      <c r="H289" s="604"/>
      <c r="I289" s="604"/>
      <c r="J289" s="604"/>
      <c r="K289" s="604"/>
      <c r="L289" s="604"/>
      <c r="M289" s="604"/>
      <c r="N289" s="604"/>
      <c r="O289" s="604"/>
      <c r="P289" s="514"/>
      <c r="Q289" s="602"/>
      <c r="R289" s="515"/>
      <c r="S289" s="602"/>
      <c r="T289" s="450"/>
      <c r="U289" s="452"/>
      <c r="V289" s="430"/>
    </row>
    <row r="290" spans="1:22" s="431" customFormat="1" x14ac:dyDescent="0.3">
      <c r="A290" s="449"/>
      <c r="B290" s="450" t="s">
        <v>120</v>
      </c>
      <c r="C290" s="450"/>
      <c r="D290" s="450"/>
      <c r="E290" s="450"/>
      <c r="F290" s="450"/>
      <c r="G290" s="450"/>
      <c r="H290" s="604"/>
      <c r="I290" s="604"/>
      <c r="J290" s="604"/>
      <c r="K290" s="604"/>
      <c r="L290" s="604"/>
      <c r="M290" s="604"/>
      <c r="N290" s="604"/>
      <c r="O290" s="604"/>
      <c r="P290" s="514">
        <f>SUM(P281:P288)</f>
        <v>0</v>
      </c>
      <c r="Q290" s="602">
        <f>SUM(Q281:Q289)</f>
        <v>0</v>
      </c>
      <c r="R290" s="515">
        <f>SUM(R281:R288)</f>
        <v>0</v>
      </c>
      <c r="S290" s="602">
        <f>SUM(S281:S289)</f>
        <v>0</v>
      </c>
      <c r="T290" s="450"/>
      <c r="U290" s="452"/>
      <c r="V290" s="430"/>
    </row>
    <row r="291" spans="1:22" s="431" customFormat="1" x14ac:dyDescent="0.3">
      <c r="A291" s="449"/>
      <c r="B291" s="450"/>
      <c r="C291" s="450"/>
      <c r="D291" s="450"/>
      <c r="E291" s="450"/>
      <c r="F291" s="450"/>
      <c r="G291" s="450"/>
      <c r="H291" s="604"/>
      <c r="I291" s="604"/>
      <c r="J291" s="604"/>
      <c r="K291" s="604"/>
      <c r="L291" s="604"/>
      <c r="M291" s="604"/>
      <c r="N291" s="604"/>
      <c r="O291" s="604"/>
      <c r="P291" s="514"/>
      <c r="Q291" s="602"/>
      <c r="R291" s="515"/>
      <c r="S291" s="602"/>
      <c r="T291" s="450"/>
      <c r="U291" s="452"/>
      <c r="V291" s="430"/>
    </row>
    <row r="292" spans="1:22" s="431" customFormat="1" x14ac:dyDescent="0.3">
      <c r="A292" s="449"/>
      <c r="B292" s="455" t="s">
        <v>171</v>
      </c>
      <c r="C292" s="450"/>
      <c r="D292" s="450"/>
      <c r="E292" s="450"/>
      <c r="F292" s="450"/>
      <c r="G292" s="450"/>
      <c r="H292" s="604"/>
      <c r="I292" s="604"/>
      <c r="J292" s="604"/>
      <c r="K292" s="604"/>
      <c r="L292" s="604"/>
      <c r="M292" s="604"/>
      <c r="N292" s="604"/>
      <c r="O292" s="604"/>
      <c r="P292" s="613">
        <f>P290+P268+P256</f>
        <v>0</v>
      </c>
      <c r="Q292" s="602"/>
      <c r="R292" s="614">
        <f>+R290+R268+R256</f>
        <v>0</v>
      </c>
      <c r="S292" s="602"/>
      <c r="T292" s="450"/>
      <c r="U292" s="452"/>
      <c r="V292" s="430"/>
    </row>
    <row r="293" spans="1:22" s="431" customFormat="1" x14ac:dyDescent="0.3">
      <c r="A293" s="418"/>
      <c r="B293" s="516"/>
      <c r="C293" s="516"/>
      <c r="D293" s="516"/>
      <c r="E293" s="516"/>
      <c r="F293" s="516"/>
      <c r="G293" s="516"/>
      <c r="H293" s="608"/>
      <c r="I293" s="608"/>
      <c r="J293" s="608"/>
      <c r="K293" s="608"/>
      <c r="L293" s="608"/>
      <c r="M293" s="608"/>
      <c r="N293" s="608"/>
      <c r="O293" s="608"/>
      <c r="P293" s="517"/>
      <c r="Q293" s="609"/>
      <c r="R293" s="610"/>
      <c r="S293" s="609"/>
      <c r="T293" s="516"/>
      <c r="U293" s="639"/>
      <c r="V293" s="430"/>
    </row>
    <row r="294" spans="1:22" s="431" customFormat="1" x14ac:dyDescent="0.3">
      <c r="A294" s="442" t="s">
        <v>376</v>
      </c>
      <c r="B294" s="521" t="s">
        <v>375</v>
      </c>
      <c r="C294" s="443"/>
      <c r="D294" s="443"/>
      <c r="E294" s="443"/>
      <c r="F294" s="443"/>
      <c r="G294" s="443"/>
      <c r="H294" s="611"/>
      <c r="I294" s="611"/>
      <c r="J294" s="611"/>
      <c r="K294" s="611"/>
      <c r="L294" s="611"/>
      <c r="M294" s="611"/>
      <c r="N294" s="611"/>
      <c r="O294" s="611"/>
      <c r="P294" s="566" t="s">
        <v>105</v>
      </c>
      <c r="Q294" s="522" t="s">
        <v>106</v>
      </c>
      <c r="R294" s="566" t="s">
        <v>114</v>
      </c>
      <c r="S294" s="522" t="s">
        <v>106</v>
      </c>
      <c r="T294" s="521" t="s">
        <v>404</v>
      </c>
      <c r="U294" s="446"/>
      <c r="V294" s="430"/>
    </row>
    <row r="295" spans="1:22" s="431" customFormat="1" x14ac:dyDescent="0.3">
      <c r="A295" s="432"/>
      <c r="B295" s="525" t="s">
        <v>91</v>
      </c>
      <c r="C295" s="447"/>
      <c r="D295" s="447"/>
      <c r="E295" s="447"/>
      <c r="F295" s="447"/>
      <c r="G295" s="447"/>
      <c r="H295" s="612"/>
      <c r="I295" s="612"/>
      <c r="J295" s="612"/>
      <c r="K295" s="612"/>
      <c r="L295" s="612"/>
      <c r="M295" s="612"/>
      <c r="N295" s="612"/>
      <c r="O295" s="612"/>
      <c r="P295" s="525">
        <v>0</v>
      </c>
      <c r="Q295" s="607">
        <v>0</v>
      </c>
      <c r="R295" s="526">
        <v>0</v>
      </c>
      <c r="S295" s="607">
        <v>0</v>
      </c>
      <c r="T295" s="447"/>
      <c r="U295" s="641"/>
      <c r="V295" s="430"/>
    </row>
    <row r="296" spans="1:22" s="431" customFormat="1" x14ac:dyDescent="0.3">
      <c r="A296" s="449"/>
      <c r="B296" s="514" t="s">
        <v>92</v>
      </c>
      <c r="C296" s="450"/>
      <c r="D296" s="450"/>
      <c r="E296" s="450"/>
      <c r="F296" s="450"/>
      <c r="G296" s="450"/>
      <c r="H296" s="604"/>
      <c r="I296" s="604"/>
      <c r="J296" s="604"/>
      <c r="K296" s="604"/>
      <c r="L296" s="604"/>
      <c r="M296" s="604"/>
      <c r="N296" s="604"/>
      <c r="O296" s="604"/>
      <c r="P296" s="514">
        <v>0</v>
      </c>
      <c r="Q296" s="602">
        <v>0</v>
      </c>
      <c r="R296" s="515">
        <v>0</v>
      </c>
      <c r="S296" s="650">
        <v>0</v>
      </c>
      <c r="T296" s="450"/>
      <c r="U296" s="452"/>
      <c r="V296" s="430"/>
    </row>
    <row r="297" spans="1:22" s="431" customFormat="1" x14ac:dyDescent="0.3">
      <c r="A297" s="449"/>
      <c r="B297" s="514" t="s">
        <v>93</v>
      </c>
      <c r="C297" s="450"/>
      <c r="D297" s="450"/>
      <c r="E297" s="450"/>
      <c r="F297" s="450"/>
      <c r="G297" s="450"/>
      <c r="H297" s="604"/>
      <c r="I297" s="604"/>
      <c r="J297" s="604"/>
      <c r="K297" s="604"/>
      <c r="L297" s="604"/>
      <c r="M297" s="604"/>
      <c r="N297" s="604"/>
      <c r="O297" s="604"/>
      <c r="P297" s="514">
        <v>0</v>
      </c>
      <c r="Q297" s="602">
        <v>0</v>
      </c>
      <c r="R297" s="515">
        <v>0</v>
      </c>
      <c r="S297" s="650">
        <v>0</v>
      </c>
      <c r="T297" s="450"/>
      <c r="U297" s="452"/>
      <c r="V297" s="430"/>
    </row>
    <row r="298" spans="1:22" s="431" customFormat="1" x14ac:dyDescent="0.3">
      <c r="A298" s="449"/>
      <c r="B298" s="514" t="s">
        <v>163</v>
      </c>
      <c r="C298" s="450"/>
      <c r="D298" s="450"/>
      <c r="E298" s="450"/>
      <c r="F298" s="450"/>
      <c r="G298" s="450"/>
      <c r="H298" s="604"/>
      <c r="I298" s="604"/>
      <c r="J298" s="604"/>
      <c r="K298" s="604"/>
      <c r="L298" s="604"/>
      <c r="M298" s="604"/>
      <c r="N298" s="604"/>
      <c r="O298" s="604"/>
      <c r="P298" s="514">
        <v>0</v>
      </c>
      <c r="Q298" s="602">
        <v>0</v>
      </c>
      <c r="R298" s="515">
        <v>0</v>
      </c>
      <c r="S298" s="650">
        <v>0</v>
      </c>
      <c r="T298" s="450"/>
      <c r="U298" s="452"/>
      <c r="V298" s="430"/>
    </row>
    <row r="299" spans="1:22" s="431" customFormat="1" x14ac:dyDescent="0.3">
      <c r="A299" s="449"/>
      <c r="B299" s="514" t="s">
        <v>164</v>
      </c>
      <c r="C299" s="450"/>
      <c r="D299" s="450"/>
      <c r="E299" s="450"/>
      <c r="F299" s="450"/>
      <c r="G299" s="450"/>
      <c r="H299" s="604"/>
      <c r="I299" s="604"/>
      <c r="J299" s="604"/>
      <c r="K299" s="604"/>
      <c r="L299" s="604"/>
      <c r="M299" s="604"/>
      <c r="N299" s="604"/>
      <c r="O299" s="604"/>
      <c r="P299" s="514">
        <v>0</v>
      </c>
      <c r="Q299" s="602">
        <v>0</v>
      </c>
      <c r="R299" s="515">
        <v>0</v>
      </c>
      <c r="S299" s="650">
        <v>0</v>
      </c>
      <c r="T299" s="450"/>
      <c r="U299" s="452"/>
      <c r="V299" s="430"/>
    </row>
    <row r="300" spans="1:22" s="431" customFormat="1" x14ac:dyDescent="0.3">
      <c r="A300" s="449"/>
      <c r="B300" s="514" t="s">
        <v>165</v>
      </c>
      <c r="C300" s="450"/>
      <c r="D300" s="450"/>
      <c r="E300" s="450"/>
      <c r="F300" s="450"/>
      <c r="G300" s="450"/>
      <c r="H300" s="604"/>
      <c r="I300" s="604"/>
      <c r="J300" s="604"/>
      <c r="K300" s="604"/>
      <c r="L300" s="604"/>
      <c r="M300" s="604"/>
      <c r="N300" s="604"/>
      <c r="O300" s="604"/>
      <c r="P300" s="514">
        <v>0</v>
      </c>
      <c r="Q300" s="602">
        <v>0</v>
      </c>
      <c r="R300" s="515">
        <v>0</v>
      </c>
      <c r="S300" s="650">
        <v>0</v>
      </c>
      <c r="T300" s="450"/>
      <c r="U300" s="452"/>
      <c r="V300" s="430"/>
    </row>
    <row r="301" spans="1:22" s="431" customFormat="1" x14ac:dyDescent="0.3">
      <c r="A301" s="449"/>
      <c r="B301" s="514" t="s">
        <v>166</v>
      </c>
      <c r="C301" s="450"/>
      <c r="D301" s="450"/>
      <c r="E301" s="450"/>
      <c r="F301" s="450"/>
      <c r="G301" s="450"/>
      <c r="H301" s="604"/>
      <c r="I301" s="604"/>
      <c r="J301" s="604"/>
      <c r="K301" s="604"/>
      <c r="L301" s="604"/>
      <c r="M301" s="604"/>
      <c r="N301" s="604"/>
      <c r="O301" s="604"/>
      <c r="P301" s="514">
        <v>0</v>
      </c>
      <c r="Q301" s="602">
        <v>0</v>
      </c>
      <c r="R301" s="515">
        <v>0</v>
      </c>
      <c r="S301" s="650">
        <v>0</v>
      </c>
      <c r="T301" s="450"/>
      <c r="U301" s="452"/>
      <c r="V301" s="430"/>
    </row>
    <row r="302" spans="1:22" s="431" customFormat="1" x14ac:dyDescent="0.3">
      <c r="A302" s="449"/>
      <c r="B302" s="514" t="s">
        <v>167</v>
      </c>
      <c r="C302" s="450"/>
      <c r="D302" s="450"/>
      <c r="E302" s="450"/>
      <c r="F302" s="450"/>
      <c r="G302" s="450"/>
      <c r="H302" s="604"/>
      <c r="I302" s="604"/>
      <c r="J302" s="604"/>
      <c r="K302" s="604"/>
      <c r="L302" s="604"/>
      <c r="M302" s="604"/>
      <c r="N302" s="604"/>
      <c r="O302" s="604"/>
      <c r="P302" s="514">
        <v>0</v>
      </c>
      <c r="Q302" s="602">
        <v>0</v>
      </c>
      <c r="R302" s="515">
        <v>0</v>
      </c>
      <c r="S302" s="607">
        <v>0</v>
      </c>
      <c r="T302" s="450"/>
      <c r="U302" s="452"/>
      <c r="V302" s="430"/>
    </row>
    <row r="303" spans="1:22" s="431" customFormat="1" x14ac:dyDescent="0.3">
      <c r="A303" s="449"/>
      <c r="B303" s="514"/>
      <c r="C303" s="450"/>
      <c r="D303" s="450"/>
      <c r="E303" s="450"/>
      <c r="F303" s="450"/>
      <c r="G303" s="450"/>
      <c r="H303" s="604"/>
      <c r="I303" s="604"/>
      <c r="J303" s="604"/>
      <c r="K303" s="604"/>
      <c r="L303" s="604"/>
      <c r="M303" s="604"/>
      <c r="N303" s="604"/>
      <c r="O303" s="604"/>
      <c r="P303" s="514"/>
      <c r="Q303" s="602"/>
      <c r="R303" s="515"/>
      <c r="S303" s="602"/>
      <c r="T303" s="450"/>
      <c r="U303" s="452"/>
      <c r="V303" s="430"/>
    </row>
    <row r="304" spans="1:22" s="431" customFormat="1" x14ac:dyDescent="0.3">
      <c r="A304" s="449"/>
      <c r="B304" s="450" t="s">
        <v>120</v>
      </c>
      <c r="C304" s="450"/>
      <c r="D304" s="450"/>
      <c r="E304" s="450"/>
      <c r="F304" s="450"/>
      <c r="G304" s="450"/>
      <c r="H304" s="604"/>
      <c r="I304" s="604"/>
      <c r="J304" s="604"/>
      <c r="K304" s="604"/>
      <c r="L304" s="604"/>
      <c r="M304" s="604"/>
      <c r="N304" s="604"/>
      <c r="O304" s="604"/>
      <c r="P304" s="514">
        <f>SUM(P295:P302)</f>
        <v>0</v>
      </c>
      <c r="Q304" s="602">
        <f>SUM(Q295:Q303)</f>
        <v>0</v>
      </c>
      <c r="R304" s="515">
        <f>SUM(R295:R302)</f>
        <v>0</v>
      </c>
      <c r="S304" s="602">
        <f>SUM(S295:S303)</f>
        <v>0</v>
      </c>
      <c r="T304" s="450"/>
      <c r="U304" s="452"/>
      <c r="V304" s="430"/>
    </row>
    <row r="305" spans="1:22" s="431" customFormat="1" x14ac:dyDescent="0.3">
      <c r="A305" s="449"/>
      <c r="B305" s="664" t="s">
        <v>397</v>
      </c>
      <c r="C305" s="450"/>
      <c r="D305" s="450"/>
      <c r="E305" s="450"/>
      <c r="F305" s="450"/>
      <c r="G305" s="450"/>
      <c r="H305" s="604"/>
      <c r="I305" s="604"/>
      <c r="J305" s="604"/>
      <c r="K305" s="604"/>
      <c r="L305" s="604"/>
      <c r="M305" s="604"/>
      <c r="N305" s="604"/>
      <c r="O305" s="604"/>
      <c r="P305" s="514"/>
      <c r="Q305" s="665">
        <v>0</v>
      </c>
      <c r="R305" s="614"/>
      <c r="S305" s="665">
        <v>0</v>
      </c>
      <c r="T305" s="450"/>
      <c r="U305" s="452"/>
      <c r="V305" s="430"/>
    </row>
    <row r="306" spans="1:22" s="431" customFormat="1" x14ac:dyDescent="0.3">
      <c r="A306" s="449"/>
      <c r="B306" s="664" t="s">
        <v>405</v>
      </c>
      <c r="C306" s="450"/>
      <c r="D306" s="450"/>
      <c r="E306" s="450"/>
      <c r="F306" s="450"/>
      <c r="G306" s="450"/>
      <c r="H306" s="604"/>
      <c r="I306" s="604"/>
      <c r="J306" s="604"/>
      <c r="K306" s="604"/>
      <c r="L306" s="604"/>
      <c r="M306" s="604"/>
      <c r="N306" s="604"/>
      <c r="O306" s="604"/>
      <c r="P306" s="514">
        <v>0</v>
      </c>
      <c r="Q306" s="602">
        <v>0</v>
      </c>
      <c r="R306" s="515">
        <v>0</v>
      </c>
      <c r="S306" s="602">
        <v>0</v>
      </c>
      <c r="T306" s="667">
        <v>0</v>
      </c>
      <c r="U306" s="452"/>
      <c r="V306" s="430"/>
    </row>
    <row r="307" spans="1:22" s="431" customFormat="1" x14ac:dyDescent="0.3">
      <c r="A307" s="449"/>
      <c r="B307" s="664" t="s">
        <v>406</v>
      </c>
      <c r="C307" s="450"/>
      <c r="D307" s="450"/>
      <c r="E307" s="450"/>
      <c r="F307" s="450"/>
      <c r="G307" s="450"/>
      <c r="H307" s="604"/>
      <c r="I307" s="604"/>
      <c r="J307" s="604"/>
      <c r="K307" s="604"/>
      <c r="L307" s="604"/>
      <c r="M307" s="604"/>
      <c r="N307" s="604"/>
      <c r="O307" s="604"/>
      <c r="P307" s="514">
        <v>0</v>
      </c>
      <c r="Q307" s="666">
        <v>0</v>
      </c>
      <c r="R307" s="515">
        <v>0</v>
      </c>
      <c r="S307" s="602">
        <v>0</v>
      </c>
      <c r="T307" s="667">
        <v>0</v>
      </c>
      <c r="U307" s="452"/>
      <c r="V307" s="430"/>
    </row>
    <row r="308" spans="1:22" s="431" customFormat="1" x14ac:dyDescent="0.3">
      <c r="A308" s="432"/>
      <c r="B308" s="447"/>
      <c r="C308" s="433"/>
      <c r="D308" s="433"/>
      <c r="E308" s="433"/>
      <c r="F308" s="433"/>
      <c r="G308" s="433"/>
      <c r="H308" s="615"/>
      <c r="I308" s="615"/>
      <c r="J308" s="615"/>
      <c r="K308" s="615"/>
      <c r="L308" s="615"/>
      <c r="M308" s="615"/>
      <c r="N308" s="615"/>
      <c r="O308" s="615"/>
      <c r="P308" s="615"/>
      <c r="Q308" s="615"/>
      <c r="R308" s="616"/>
      <c r="S308" s="615"/>
      <c r="T308" s="433"/>
      <c r="U308" s="641"/>
      <c r="V308" s="430"/>
    </row>
    <row r="309" spans="1:22" s="431" customFormat="1" x14ac:dyDescent="0.3">
      <c r="A309" s="432"/>
      <c r="B309" s="428" t="s">
        <v>94</v>
      </c>
      <c r="C309" s="433"/>
      <c r="D309" s="433"/>
      <c r="E309" s="433"/>
      <c r="F309" s="437" t="s">
        <v>100</v>
      </c>
      <c r="G309" s="433"/>
      <c r="H309" s="428" t="s">
        <v>102</v>
      </c>
      <c r="I309" s="433"/>
      <c r="J309" s="433"/>
      <c r="K309" s="433"/>
      <c r="L309" s="433"/>
      <c r="M309" s="433"/>
      <c r="N309" s="433"/>
      <c r="O309" s="433"/>
      <c r="P309" s="433"/>
      <c r="Q309" s="433"/>
      <c r="R309" s="433"/>
      <c r="S309" s="433"/>
      <c r="T309" s="433"/>
      <c r="U309" s="641"/>
      <c r="V309" s="430"/>
    </row>
    <row r="310" spans="1:22" s="431" customFormat="1" x14ac:dyDescent="0.3">
      <c r="A310" s="432"/>
      <c r="B310" s="428" t="s">
        <v>317</v>
      </c>
      <c r="C310" s="428"/>
      <c r="D310" s="428"/>
      <c r="E310" s="428"/>
      <c r="F310" s="617" t="s">
        <v>269</v>
      </c>
      <c r="G310" s="428"/>
      <c r="H310" s="428" t="s">
        <v>357</v>
      </c>
      <c r="I310" s="433"/>
      <c r="J310" s="433"/>
      <c r="K310" s="433"/>
      <c r="L310" s="433"/>
      <c r="M310" s="433"/>
      <c r="N310" s="433"/>
      <c r="O310" s="433"/>
      <c r="P310" s="433"/>
      <c r="Q310" s="433"/>
      <c r="R310" s="433"/>
      <c r="S310" s="433"/>
      <c r="T310" s="433"/>
      <c r="U310" s="641"/>
      <c r="V310" s="430"/>
    </row>
    <row r="311" spans="1:22" s="431" customFormat="1" x14ac:dyDescent="0.3">
      <c r="A311" s="432"/>
      <c r="B311" s="428" t="s">
        <v>318</v>
      </c>
      <c r="C311" s="428"/>
      <c r="D311" s="428"/>
      <c r="E311" s="428"/>
      <c r="F311" s="617" t="s">
        <v>153</v>
      </c>
      <c r="G311" s="428"/>
      <c r="H311" s="428" t="s">
        <v>358</v>
      </c>
      <c r="I311" s="433"/>
      <c r="J311" s="433"/>
      <c r="K311" s="433"/>
      <c r="L311" s="433"/>
      <c r="M311" s="433"/>
      <c r="N311" s="433"/>
      <c r="O311" s="433"/>
      <c r="P311" s="433"/>
      <c r="Q311" s="433"/>
      <c r="R311" s="433"/>
      <c r="S311" s="433"/>
      <c r="T311" s="433"/>
      <c r="U311" s="641"/>
      <c r="V311" s="430"/>
    </row>
    <row r="312" spans="1:22" s="431" customFormat="1" x14ac:dyDescent="0.3">
      <c r="A312" s="432"/>
      <c r="B312" s="428"/>
      <c r="C312" s="428"/>
      <c r="D312" s="428"/>
      <c r="E312" s="428"/>
      <c r="F312" s="617"/>
      <c r="G312" s="428"/>
      <c r="H312" s="428"/>
      <c r="I312" s="433"/>
      <c r="J312" s="433"/>
      <c r="K312" s="433"/>
      <c r="L312" s="433"/>
      <c r="M312" s="433"/>
      <c r="N312" s="433"/>
      <c r="O312" s="433"/>
      <c r="P312" s="433"/>
      <c r="Q312" s="433"/>
      <c r="R312" s="433"/>
      <c r="S312" s="433"/>
      <c r="T312" s="433"/>
      <c r="U312" s="641"/>
      <c r="V312" s="430"/>
    </row>
    <row r="313" spans="1:22" s="431" customFormat="1" x14ac:dyDescent="0.3">
      <c r="A313" s="432"/>
      <c r="B313" s="447" t="s">
        <v>354</v>
      </c>
      <c r="C313" s="428"/>
      <c r="D313" s="428"/>
      <c r="E313" s="428"/>
      <c r="F313" s="617"/>
      <c r="G313" s="428"/>
      <c r="H313" s="428"/>
      <c r="I313" s="433"/>
      <c r="J313" s="433"/>
      <c r="K313" s="433"/>
      <c r="L313" s="433"/>
      <c r="M313" s="433"/>
      <c r="N313" s="433"/>
      <c r="O313" s="433"/>
      <c r="P313" s="433"/>
      <c r="Q313" s="433"/>
      <c r="R313" s="433"/>
      <c r="S313" s="433"/>
      <c r="T313" s="433"/>
      <c r="U313" s="641"/>
      <c r="V313" s="430"/>
    </row>
    <row r="314" spans="1:22" s="431" customFormat="1" x14ac:dyDescent="0.3">
      <c r="A314" s="432"/>
      <c r="B314" s="447" t="s">
        <v>359</v>
      </c>
      <c r="C314" s="428"/>
      <c r="D314" s="428"/>
      <c r="E314" s="428"/>
      <c r="F314" s="617"/>
      <c r="G314" s="428"/>
      <c r="H314" s="428"/>
      <c r="I314" s="433"/>
      <c r="J314" s="433"/>
      <c r="K314" s="433"/>
      <c r="L314" s="433"/>
      <c r="M314" s="433"/>
      <c r="N314" s="433"/>
      <c r="O314" s="433"/>
      <c r="P314" s="433"/>
      <c r="Q314" s="433"/>
      <c r="R314" s="433"/>
      <c r="S314" s="433"/>
      <c r="T314" s="433"/>
      <c r="U314" s="641"/>
      <c r="V314" s="430"/>
    </row>
    <row r="315" spans="1:22" s="431" customFormat="1" x14ac:dyDescent="0.3">
      <c r="A315" s="432"/>
      <c r="B315" s="447" t="s">
        <v>352</v>
      </c>
      <c r="C315" s="428"/>
      <c r="D315" s="428"/>
      <c r="E315" s="428"/>
      <c r="F315" s="617"/>
      <c r="G315" s="428"/>
      <c r="H315" s="428"/>
      <c r="I315" s="433"/>
      <c r="J315" s="433"/>
      <c r="K315" s="433"/>
      <c r="L315" s="433"/>
      <c r="M315" s="433"/>
      <c r="N315" s="433"/>
      <c r="O315" s="433"/>
      <c r="P315" s="433"/>
      <c r="Q315" s="433"/>
      <c r="R315" s="433"/>
      <c r="S315" s="433"/>
      <c r="T315" s="433"/>
      <c r="U315" s="641"/>
      <c r="V315" s="430"/>
    </row>
    <row r="316" spans="1:22" s="431" customFormat="1" x14ac:dyDescent="0.3">
      <c r="A316" s="432"/>
      <c r="B316" s="447" t="s">
        <v>351</v>
      </c>
      <c r="C316" s="428"/>
      <c r="D316" s="428"/>
      <c r="E316" s="428"/>
      <c r="F316" s="617"/>
      <c r="G316" s="428"/>
      <c r="H316" s="428"/>
      <c r="I316" s="433"/>
      <c r="J316" s="433"/>
      <c r="K316" s="433"/>
      <c r="L316" s="433"/>
      <c r="M316" s="433"/>
      <c r="N316" s="433"/>
      <c r="O316" s="433"/>
      <c r="P316" s="433"/>
      <c r="Q316" s="433"/>
      <c r="R316" s="433"/>
      <c r="S316" s="433"/>
      <c r="T316" s="433"/>
      <c r="U316" s="641"/>
      <c r="V316" s="430"/>
    </row>
    <row r="317" spans="1:22" s="431" customFormat="1" x14ac:dyDescent="0.3">
      <c r="A317" s="432"/>
      <c r="B317" s="447"/>
      <c r="C317" s="428"/>
      <c r="D317" s="428"/>
      <c r="E317" s="428"/>
      <c r="F317" s="617"/>
      <c r="G317" s="428"/>
      <c r="H317" s="428"/>
      <c r="I317" s="433"/>
      <c r="J317" s="433"/>
      <c r="K317" s="433"/>
      <c r="L317" s="433"/>
      <c r="M317" s="433"/>
      <c r="N317" s="433"/>
      <c r="O317" s="433"/>
      <c r="P317" s="433"/>
      <c r="Q317" s="433"/>
      <c r="R317" s="433"/>
      <c r="S317" s="433"/>
      <c r="T317" s="433"/>
      <c r="U317" s="641"/>
      <c r="V317" s="430"/>
    </row>
    <row r="318" spans="1:22" s="431" customFormat="1" x14ac:dyDescent="0.3">
      <c r="A318" s="432"/>
      <c r="B318" s="651" t="s">
        <v>402</v>
      </c>
      <c r="C318" s="428"/>
      <c r="D318" s="428"/>
      <c r="E318" s="428"/>
      <c r="F318" s="617"/>
      <c r="G318" s="428"/>
      <c r="H318" s="428"/>
      <c r="I318" s="433"/>
      <c r="J318" s="433"/>
      <c r="K318" s="433"/>
      <c r="L318" s="433"/>
      <c r="M318" s="433"/>
      <c r="N318" s="433"/>
      <c r="O318" s="433"/>
      <c r="P318" s="433"/>
      <c r="Q318" s="433"/>
      <c r="R318" s="433"/>
      <c r="S318" s="433"/>
      <c r="T318" s="433"/>
      <c r="U318" s="641"/>
      <c r="V318" s="430"/>
    </row>
    <row r="319" spans="1:22" x14ac:dyDescent="0.3">
      <c r="A319" s="418"/>
      <c r="B319" s="618"/>
      <c r="C319" s="619"/>
      <c r="D319" s="619"/>
      <c r="E319" s="619"/>
      <c r="F319" s="620"/>
      <c r="G319" s="619"/>
      <c r="H319" s="619"/>
      <c r="I319" s="621"/>
      <c r="J319" s="621"/>
      <c r="K319" s="621"/>
      <c r="L319" s="420"/>
      <c r="M319" s="420"/>
      <c r="N319" s="420"/>
      <c r="O319" s="420"/>
      <c r="P319" s="420"/>
      <c r="Q319" s="420"/>
      <c r="R319" s="420"/>
      <c r="S319" s="420"/>
      <c r="T319" s="420"/>
      <c r="U319" s="639"/>
      <c r="V319" s="416"/>
    </row>
    <row r="320" spans="1:22" ht="18" x14ac:dyDescent="0.35">
      <c r="A320" s="418"/>
      <c r="B320" s="622" t="s">
        <v>353</v>
      </c>
      <c r="C320" s="619"/>
      <c r="D320" s="619"/>
      <c r="E320" s="619"/>
      <c r="F320" s="619"/>
      <c r="G320" s="619"/>
      <c r="H320" s="621"/>
      <c r="I320" s="621"/>
      <c r="J320" s="621"/>
      <c r="K320" s="621"/>
      <c r="L320" s="420"/>
      <c r="M320" s="420"/>
      <c r="N320" s="623"/>
      <c r="O320" s="420"/>
      <c r="P320" s="624" t="s">
        <v>356</v>
      </c>
      <c r="Q320" s="420"/>
      <c r="R320" s="420"/>
      <c r="S320" s="420"/>
      <c r="T320" s="420"/>
      <c r="U320" s="639"/>
      <c r="V320" s="416"/>
    </row>
    <row r="321" spans="1:22" x14ac:dyDescent="0.3">
      <c r="A321" s="418"/>
      <c r="B321" s="619"/>
      <c r="C321" s="619"/>
      <c r="D321" s="619"/>
      <c r="E321" s="619"/>
      <c r="F321" s="619"/>
      <c r="G321" s="619"/>
      <c r="H321" s="621"/>
      <c r="I321" s="621"/>
      <c r="J321" s="621"/>
      <c r="K321" s="621"/>
      <c r="L321" s="420"/>
      <c r="M321" s="420"/>
      <c r="N321" s="420"/>
      <c r="O321" s="420"/>
      <c r="P321" s="420"/>
      <c r="Q321" s="420"/>
      <c r="R321" s="420"/>
      <c r="S321" s="420"/>
      <c r="T321" s="420"/>
      <c r="U321" s="639"/>
      <c r="V321" s="416"/>
    </row>
    <row r="322" spans="1:22" ht="18.600000000000001" thickBot="1" x14ac:dyDescent="0.4">
      <c r="A322" s="418"/>
      <c r="B322" s="625" t="str">
        <f>B196</f>
        <v>PM11 INVESTOR REPORT QUARTER ENDING SEPTEMBER 2020</v>
      </c>
      <c r="C322" s="619"/>
      <c r="D322" s="619"/>
      <c r="E322" s="619"/>
      <c r="F322" s="619"/>
      <c r="G322" s="619"/>
      <c r="H322" s="621"/>
      <c r="I322" s="621"/>
      <c r="J322" s="621"/>
      <c r="K322" s="621"/>
      <c r="L322" s="420"/>
      <c r="M322" s="420"/>
      <c r="N322" s="420"/>
      <c r="O322" s="420"/>
      <c r="P322" s="420"/>
      <c r="Q322" s="420"/>
      <c r="R322" s="420"/>
      <c r="S322" s="420"/>
      <c r="T322" s="420"/>
      <c r="U322" s="556"/>
      <c r="V322" s="416"/>
    </row>
    <row r="323" spans="1:22" x14ac:dyDescent="0.3">
      <c r="A323" s="626"/>
      <c r="B323" s="626"/>
      <c r="C323" s="626"/>
      <c r="D323" s="626"/>
      <c r="E323" s="626"/>
      <c r="F323" s="626"/>
      <c r="G323" s="626"/>
      <c r="H323" s="626"/>
      <c r="I323" s="626"/>
      <c r="J323" s="626"/>
      <c r="K323" s="626"/>
      <c r="L323" s="626"/>
      <c r="M323" s="626"/>
      <c r="N323" s="626"/>
      <c r="O323" s="626"/>
      <c r="P323" s="626"/>
      <c r="Q323" s="626"/>
      <c r="R323" s="626"/>
      <c r="S323" s="626"/>
      <c r="T323" s="626"/>
      <c r="U323" s="626"/>
    </row>
    <row r="324" spans="1:22" x14ac:dyDescent="0.3">
      <c r="B324" s="652" t="s">
        <v>379</v>
      </c>
    </row>
    <row r="325" spans="1:22" x14ac:dyDescent="0.3">
      <c r="B325" s="653" t="s">
        <v>380</v>
      </c>
    </row>
    <row r="326" spans="1:22" x14ac:dyDescent="0.3">
      <c r="B326" s="653" t="s">
        <v>381</v>
      </c>
    </row>
    <row r="327" spans="1:22" x14ac:dyDescent="0.3">
      <c r="B327" s="653" t="s">
        <v>382</v>
      </c>
    </row>
    <row r="328" spans="1:22" x14ac:dyDescent="0.3">
      <c r="B328" s="653" t="s">
        <v>383</v>
      </c>
    </row>
    <row r="329" spans="1:22" x14ac:dyDescent="0.3">
      <c r="B329" s="653" t="s">
        <v>384</v>
      </c>
    </row>
    <row r="330" spans="1:22" x14ac:dyDescent="0.3">
      <c r="B330" s="653" t="s">
        <v>385</v>
      </c>
    </row>
    <row r="331" spans="1:22" x14ac:dyDescent="0.3">
      <c r="B331" s="653" t="s">
        <v>386</v>
      </c>
    </row>
    <row r="332" spans="1:22" x14ac:dyDescent="0.3">
      <c r="B332" s="653"/>
    </row>
    <row r="333" spans="1:22" x14ac:dyDescent="0.3">
      <c r="B333" s="652" t="s">
        <v>398</v>
      </c>
    </row>
    <row r="334" spans="1:22" x14ac:dyDescent="0.3">
      <c r="B334" s="653" t="s">
        <v>403</v>
      </c>
    </row>
    <row r="335" spans="1:22" x14ac:dyDescent="0.3">
      <c r="B335" s="653" t="s">
        <v>399</v>
      </c>
    </row>
    <row r="336" spans="1:22" x14ac:dyDescent="0.3">
      <c r="B336" s="653" t="s">
        <v>400</v>
      </c>
    </row>
    <row r="337" spans="2:2" x14ac:dyDescent="0.3">
      <c r="B337" s="653"/>
    </row>
    <row r="338" spans="2:2" x14ac:dyDescent="0.3">
      <c r="B338" s="652" t="s">
        <v>387</v>
      </c>
    </row>
    <row r="339" spans="2:2" x14ac:dyDescent="0.3">
      <c r="B339" s="653" t="s">
        <v>388</v>
      </c>
    </row>
    <row r="340" spans="2:2" x14ac:dyDescent="0.3">
      <c r="B340" s="653" t="s">
        <v>389</v>
      </c>
    </row>
  </sheetData>
  <hyperlinks>
    <hyperlink ref="J9" r:id="rId1" display="http://www.paragon-group.co.uk" xr:uid="{5ACE8DB9-7511-4335-A1D1-971A5C287986}"/>
    <hyperlink ref="P320" r:id="rId2" display="http://www.paragon-group.co.uk" xr:uid="{0F8B5C78-AF87-49CD-B98C-A8C9730CE1D0}"/>
    <hyperlink ref="N232" r:id="rId3" display="http://www.paragon-group.co.uk" xr:uid="{EF5F5BB8-C31F-4826-8A2C-D49E722CE29E}"/>
  </hyperlinks>
  <printOptions horizontalCentered="1" verticalCentered="1"/>
  <pageMargins left="0.19685039370078741" right="0.19685039370078741" top="0.27559055118110237" bottom="0.27559055118110237" header="0" footer="0"/>
  <pageSetup scale="40" orientation="landscape" r:id="rId4"/>
  <headerFooter alignWithMargins="0"/>
  <rowBreaks count="3" manualBreakCount="3">
    <brk id="63" max="20" man="1"/>
    <brk id="136" max="20" man="1"/>
    <brk id="196" max="20" man="1"/>
  </rowBreaks>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2D2926"/>
  </sheetPr>
  <dimension ref="A1:X275"/>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08984375" style="1" customWidth="1"/>
    <col min="10" max="10" width="17.81640625" style="1" customWidth="1"/>
    <col min="11" max="11" width="2.1796875" style="1" customWidth="1"/>
    <col min="12" max="12" width="14.81640625" style="1" customWidth="1"/>
    <col min="13" max="13" width="2.1796875" style="1" customWidth="1"/>
    <col min="14" max="14" width="15.54296875" style="1" customWidth="1"/>
    <col min="15" max="15" width="2.08984375" style="1" customWidth="1"/>
    <col min="16" max="16" width="15.54296875" style="1" customWidth="1"/>
    <col min="17" max="18" width="12.81640625" style="1" customWidth="1"/>
    <col min="19" max="19" width="7.81640625" style="1" customWidth="1"/>
    <col min="20" max="20" width="14.81640625" style="1" customWidth="1"/>
    <col min="21" max="21" width="11.81640625" style="1" customWidth="1"/>
    <col min="22" max="16384" width="9.81640625" style="1"/>
  </cols>
  <sheetData>
    <row r="1" spans="1:22" ht="20.399999999999999" x14ac:dyDescent="0.35">
      <c r="A1" s="2"/>
      <c r="B1" s="3" t="s">
        <v>228</v>
      </c>
      <c r="C1" s="4"/>
      <c r="D1" s="4"/>
      <c r="E1" s="4"/>
      <c r="F1" s="4"/>
      <c r="G1" s="4"/>
      <c r="H1" s="4"/>
      <c r="I1" s="4"/>
      <c r="J1" s="4"/>
      <c r="K1" s="4"/>
      <c r="L1" s="4"/>
      <c r="M1" s="4"/>
      <c r="N1" s="4"/>
      <c r="O1" s="4"/>
      <c r="P1" s="4"/>
      <c r="Q1" s="4"/>
      <c r="R1" s="4"/>
      <c r="S1" s="4"/>
      <c r="T1" s="4"/>
      <c r="U1" s="4"/>
      <c r="V1" s="5"/>
    </row>
    <row r="2" spans="1:22" ht="15.6" x14ac:dyDescent="0.3">
      <c r="A2" s="6"/>
      <c r="B2" s="7"/>
      <c r="C2" s="8"/>
      <c r="D2" s="8"/>
      <c r="E2" s="8"/>
      <c r="F2" s="8"/>
      <c r="G2" s="8"/>
      <c r="H2" s="8"/>
      <c r="I2" s="8"/>
      <c r="J2" s="8"/>
      <c r="K2" s="8"/>
      <c r="L2" s="8"/>
      <c r="M2" s="8"/>
      <c r="N2" s="8"/>
      <c r="O2" s="8"/>
      <c r="P2" s="8"/>
      <c r="Q2" s="8"/>
      <c r="R2" s="8"/>
      <c r="S2" s="8"/>
      <c r="T2" s="8"/>
      <c r="U2" s="8"/>
      <c r="V2" s="5"/>
    </row>
    <row r="3" spans="1:22" ht="15.6" x14ac:dyDescent="0.3">
      <c r="A3" s="9"/>
      <c r="B3" s="111" t="s">
        <v>229</v>
      </c>
      <c r="C3" s="8"/>
      <c r="D3" s="8"/>
      <c r="E3" s="8"/>
      <c r="F3" s="8"/>
      <c r="G3" s="8"/>
      <c r="H3" s="8"/>
      <c r="I3" s="8"/>
      <c r="J3" s="8"/>
      <c r="K3" s="8"/>
      <c r="L3" s="8"/>
      <c r="M3" s="8"/>
      <c r="N3" s="8"/>
      <c r="O3" s="8"/>
      <c r="P3" s="8"/>
      <c r="Q3" s="8"/>
      <c r="R3" s="8"/>
      <c r="S3" s="8"/>
      <c r="T3" s="8"/>
      <c r="U3" s="8"/>
      <c r="V3" s="5"/>
    </row>
    <row r="4" spans="1:22" ht="15.6" x14ac:dyDescent="0.3">
      <c r="A4" s="6"/>
      <c r="B4" s="7"/>
      <c r="C4" s="8"/>
      <c r="D4" s="8"/>
      <c r="E4" s="8"/>
      <c r="F4" s="8"/>
      <c r="G4" s="8"/>
      <c r="H4" s="8"/>
      <c r="I4" s="8"/>
      <c r="J4" s="8"/>
      <c r="K4" s="8"/>
      <c r="L4" s="8"/>
      <c r="M4" s="8"/>
      <c r="N4" s="8"/>
      <c r="O4" s="8"/>
      <c r="P4" s="8"/>
      <c r="Q4" s="8"/>
      <c r="R4" s="8"/>
      <c r="S4" s="8"/>
      <c r="T4" s="8"/>
      <c r="U4" s="8"/>
      <c r="V4" s="5"/>
    </row>
    <row r="5" spans="1:22" ht="15.6" x14ac:dyDescent="0.3">
      <c r="A5" s="6"/>
      <c r="B5" s="11" t="s">
        <v>143</v>
      </c>
      <c r="C5" s="8"/>
      <c r="D5" s="8"/>
      <c r="E5" s="8"/>
      <c r="F5" s="8"/>
      <c r="G5" s="8"/>
      <c r="H5" s="8"/>
      <c r="I5" s="8"/>
      <c r="J5" s="8"/>
      <c r="K5" s="8"/>
      <c r="L5" s="8"/>
      <c r="M5" s="8"/>
      <c r="N5" s="8"/>
      <c r="O5" s="8"/>
      <c r="P5" s="8"/>
      <c r="Q5" s="8"/>
      <c r="R5" s="8"/>
      <c r="S5" s="8"/>
      <c r="T5" s="8"/>
      <c r="U5" s="8"/>
      <c r="V5" s="5"/>
    </row>
    <row r="6" spans="1:22" ht="15.6" x14ac:dyDescent="0.3">
      <c r="A6" s="6"/>
      <c r="B6" s="11" t="s">
        <v>145</v>
      </c>
      <c r="C6" s="8"/>
      <c r="D6" s="8"/>
      <c r="E6" s="8"/>
      <c r="F6" s="8"/>
      <c r="G6" s="8"/>
      <c r="H6" s="8"/>
      <c r="I6" s="8"/>
      <c r="J6" s="8"/>
      <c r="K6" s="8"/>
      <c r="L6" s="8"/>
      <c r="M6" s="8"/>
      <c r="N6" s="8"/>
      <c r="O6" s="8"/>
      <c r="P6" s="8"/>
      <c r="Q6" s="8"/>
      <c r="R6" s="8"/>
      <c r="S6" s="8"/>
      <c r="T6" s="8"/>
      <c r="U6" s="8"/>
      <c r="V6" s="5"/>
    </row>
    <row r="7" spans="1:22" ht="15.6" x14ac:dyDescent="0.3">
      <c r="A7" s="6"/>
      <c r="B7" s="11" t="s">
        <v>144</v>
      </c>
      <c r="C7" s="8"/>
      <c r="D7" s="8"/>
      <c r="E7" s="8"/>
      <c r="F7" s="8"/>
      <c r="G7" s="8"/>
      <c r="H7" s="8"/>
      <c r="I7" s="8"/>
      <c r="J7" s="8"/>
      <c r="K7" s="8"/>
      <c r="L7" s="8"/>
      <c r="M7" s="8"/>
      <c r="N7" s="8"/>
      <c r="O7" s="8"/>
      <c r="P7" s="8"/>
      <c r="Q7" s="8"/>
      <c r="R7" s="8"/>
      <c r="S7" s="8"/>
      <c r="T7" s="8"/>
      <c r="U7" s="8"/>
      <c r="V7" s="5"/>
    </row>
    <row r="8" spans="1:22" ht="15.6" x14ac:dyDescent="0.3">
      <c r="A8" s="6"/>
      <c r="B8" s="11"/>
      <c r="C8" s="8"/>
      <c r="D8" s="8"/>
      <c r="E8" s="8"/>
      <c r="F8" s="8"/>
      <c r="G8" s="8"/>
      <c r="H8" s="8"/>
      <c r="I8" s="8"/>
      <c r="J8" s="8"/>
      <c r="K8" s="8"/>
      <c r="L8" s="8"/>
      <c r="M8" s="8"/>
      <c r="N8" s="8"/>
      <c r="O8" s="8"/>
      <c r="P8" s="8"/>
      <c r="Q8" s="8"/>
      <c r="R8" s="8"/>
      <c r="S8" s="8"/>
      <c r="T8" s="8"/>
      <c r="U8" s="8"/>
      <c r="V8" s="5"/>
    </row>
    <row r="9" spans="1:22" ht="17.399999999999999" x14ac:dyDescent="0.3">
      <c r="A9" s="6"/>
      <c r="B9" s="147" t="s">
        <v>173</v>
      </c>
      <c r="C9" s="8"/>
      <c r="D9" s="8"/>
      <c r="E9" s="8"/>
      <c r="F9" s="8"/>
      <c r="G9" s="8"/>
      <c r="H9" s="8"/>
      <c r="I9" s="8"/>
      <c r="J9" s="148" t="s">
        <v>174</v>
      </c>
      <c r="K9" s="8"/>
      <c r="L9" s="148"/>
      <c r="M9" s="8"/>
      <c r="N9" s="8"/>
      <c r="O9" s="8"/>
      <c r="P9" s="8"/>
      <c r="Q9" s="8"/>
      <c r="R9" s="8"/>
      <c r="S9" s="8"/>
      <c r="T9" s="8"/>
      <c r="U9" s="8"/>
      <c r="V9" s="5"/>
    </row>
    <row r="10" spans="1:22" ht="15.6" x14ac:dyDescent="0.3">
      <c r="A10" s="6"/>
      <c r="B10" s="11"/>
      <c r="C10" s="13"/>
      <c r="D10" s="13"/>
      <c r="E10" s="13"/>
      <c r="F10" s="8"/>
      <c r="G10" s="8"/>
      <c r="H10" s="8"/>
      <c r="I10" s="8"/>
      <c r="J10" s="8"/>
      <c r="K10" s="8"/>
      <c r="L10" s="8"/>
      <c r="M10" s="8"/>
      <c r="N10" s="8"/>
      <c r="O10" s="8"/>
      <c r="P10" s="8"/>
      <c r="Q10" s="8"/>
      <c r="R10" s="8"/>
      <c r="S10" s="8"/>
      <c r="T10" s="8"/>
      <c r="U10" s="8"/>
      <c r="V10" s="5"/>
    </row>
    <row r="11" spans="1:22" ht="15.6" x14ac:dyDescent="0.3">
      <c r="A11" s="6"/>
      <c r="B11" s="14" t="s">
        <v>0</v>
      </c>
      <c r="C11" s="8"/>
      <c r="D11" s="8"/>
      <c r="E11" s="8"/>
      <c r="F11" s="8"/>
      <c r="G11" s="8"/>
      <c r="H11" s="8"/>
      <c r="I11" s="8"/>
      <c r="J11" s="8"/>
      <c r="K11" s="8"/>
      <c r="L11" s="8"/>
      <c r="M11" s="8"/>
      <c r="N11" s="8"/>
      <c r="O11" s="8"/>
      <c r="P11" s="8"/>
      <c r="Q11" s="8"/>
      <c r="R11" s="8"/>
      <c r="S11" s="8"/>
      <c r="T11" s="8"/>
      <c r="U11" s="8"/>
      <c r="V11" s="5"/>
    </row>
    <row r="12" spans="1:22" ht="16.2" thickBot="1" x14ac:dyDescent="0.35">
      <c r="A12" s="6"/>
      <c r="B12" s="13"/>
      <c r="C12" s="8"/>
      <c r="D12" s="8"/>
      <c r="E12" s="8"/>
      <c r="F12" s="8"/>
      <c r="G12" s="8"/>
      <c r="H12" s="8"/>
      <c r="I12" s="8"/>
      <c r="J12" s="8"/>
      <c r="K12" s="8"/>
      <c r="L12" s="8"/>
      <c r="M12" s="8"/>
      <c r="N12" s="8"/>
      <c r="O12" s="8"/>
      <c r="P12" s="8"/>
      <c r="Q12" s="8"/>
      <c r="R12" s="8"/>
      <c r="S12" s="8"/>
      <c r="T12" s="8"/>
      <c r="U12" s="8"/>
      <c r="V12" s="5"/>
    </row>
    <row r="13" spans="1:22" ht="15.6" x14ac:dyDescent="0.3">
      <c r="A13" s="2"/>
      <c r="B13" s="4"/>
      <c r="C13" s="4"/>
      <c r="D13" s="4"/>
      <c r="E13" s="4"/>
      <c r="F13" s="4"/>
      <c r="G13" s="4"/>
      <c r="H13" s="4"/>
      <c r="I13" s="4"/>
      <c r="J13" s="4"/>
      <c r="K13" s="4"/>
      <c r="L13" s="4"/>
      <c r="M13" s="4"/>
      <c r="N13" s="4"/>
      <c r="O13" s="4"/>
      <c r="P13" s="4"/>
      <c r="Q13" s="4"/>
      <c r="R13" s="4"/>
      <c r="S13" s="4"/>
      <c r="T13" s="4"/>
      <c r="U13" s="4"/>
      <c r="V13" s="5"/>
    </row>
    <row r="14" spans="1:22" ht="15.6" x14ac:dyDescent="0.3">
      <c r="A14" s="6"/>
      <c r="B14" s="14" t="s">
        <v>1</v>
      </c>
      <c r="C14" s="15"/>
      <c r="D14" s="15"/>
      <c r="E14" s="15"/>
      <c r="F14" s="15"/>
      <c r="G14" s="15"/>
      <c r="H14" s="15"/>
      <c r="I14" s="15"/>
      <c r="J14" s="15"/>
      <c r="K14" s="15"/>
      <c r="L14" s="15"/>
      <c r="M14" s="15"/>
      <c r="N14" s="15"/>
      <c r="O14" s="15"/>
      <c r="P14" s="15"/>
      <c r="Q14" s="15"/>
      <c r="R14" s="15"/>
      <c r="S14" s="15"/>
      <c r="T14" s="16" t="s">
        <v>230</v>
      </c>
      <c r="U14" s="15"/>
      <c r="V14" s="5"/>
    </row>
    <row r="15" spans="1:22" ht="15.6" x14ac:dyDescent="0.3">
      <c r="A15" s="6"/>
      <c r="B15" s="14" t="s">
        <v>2</v>
      </c>
      <c r="C15" s="15"/>
      <c r="D15" s="15"/>
      <c r="E15" s="15"/>
      <c r="F15" s="15"/>
      <c r="G15" s="15"/>
      <c r="H15" s="18"/>
      <c r="I15" s="18"/>
      <c r="J15" s="18"/>
      <c r="K15" s="18"/>
      <c r="L15" s="18"/>
      <c r="M15" s="18"/>
      <c r="N15" s="18"/>
      <c r="O15" s="18"/>
      <c r="P15" s="18" t="s">
        <v>107</v>
      </c>
      <c r="Q15" s="137">
        <v>0.40749999999999997</v>
      </c>
      <c r="R15" s="17" t="s">
        <v>146</v>
      </c>
      <c r="S15" s="137">
        <v>0.59250000000000003</v>
      </c>
      <c r="T15" s="16"/>
      <c r="U15" s="15"/>
      <c r="V15" s="5"/>
    </row>
    <row r="16" spans="1:22" ht="15.6" x14ac:dyDescent="0.3">
      <c r="A16" s="6"/>
      <c r="B16" s="14" t="s">
        <v>3</v>
      </c>
      <c r="C16" s="15"/>
      <c r="D16" s="15"/>
      <c r="E16" s="15"/>
      <c r="F16" s="15"/>
      <c r="G16" s="15"/>
      <c r="H16" s="18"/>
      <c r="I16" s="18"/>
      <c r="J16" s="18"/>
      <c r="K16" s="18"/>
      <c r="L16" s="18"/>
      <c r="M16" s="18"/>
      <c r="N16" s="18"/>
      <c r="O16" s="18"/>
      <c r="P16" s="18" t="s">
        <v>107</v>
      </c>
      <c r="Q16" s="137">
        <v>0.38450000000000001</v>
      </c>
      <c r="R16" s="17" t="s">
        <v>146</v>
      </c>
      <c r="S16" s="137">
        <v>0.61550000000000005</v>
      </c>
      <c r="T16" s="16"/>
      <c r="U16" s="15"/>
      <c r="V16" s="5"/>
    </row>
    <row r="17" spans="1:22" ht="15.6" x14ac:dyDescent="0.3">
      <c r="A17" s="6"/>
      <c r="B17" s="14" t="s">
        <v>4</v>
      </c>
      <c r="C17" s="15"/>
      <c r="D17" s="15"/>
      <c r="E17" s="15"/>
      <c r="F17" s="15"/>
      <c r="G17" s="15"/>
      <c r="H17" s="15"/>
      <c r="I17" s="15"/>
      <c r="J17" s="15"/>
      <c r="K17" s="15"/>
      <c r="L17" s="15"/>
      <c r="M17" s="15"/>
      <c r="N17" s="15"/>
      <c r="O17" s="15"/>
      <c r="P17" s="15"/>
      <c r="Q17" s="15"/>
      <c r="R17" s="15"/>
      <c r="S17" s="15"/>
      <c r="T17" s="19">
        <v>38799</v>
      </c>
      <c r="U17" s="15"/>
      <c r="V17" s="5"/>
    </row>
    <row r="18" spans="1:22" ht="15.6" x14ac:dyDescent="0.3">
      <c r="A18" s="6"/>
      <c r="B18" s="14" t="s">
        <v>5</v>
      </c>
      <c r="C18" s="15"/>
      <c r="D18" s="15"/>
      <c r="E18" s="15"/>
      <c r="F18" s="15"/>
      <c r="G18" s="15"/>
      <c r="H18" s="15"/>
      <c r="I18" s="15"/>
      <c r="J18" s="15"/>
      <c r="K18" s="15"/>
      <c r="L18" s="15"/>
      <c r="M18" s="15"/>
      <c r="N18" s="15"/>
      <c r="O18" s="15"/>
      <c r="P18" s="15"/>
      <c r="Q18" s="15"/>
      <c r="R18" s="15"/>
      <c r="S18" s="15"/>
      <c r="T18" s="19">
        <v>39374</v>
      </c>
      <c r="U18" s="15"/>
      <c r="V18" s="5"/>
    </row>
    <row r="19" spans="1:22" ht="15.6" x14ac:dyDescent="0.3">
      <c r="A19" s="6"/>
      <c r="B19" s="8"/>
      <c r="C19" s="8"/>
      <c r="D19" s="8"/>
      <c r="E19" s="8"/>
      <c r="F19" s="8"/>
      <c r="G19" s="8"/>
      <c r="H19" s="8"/>
      <c r="I19" s="8"/>
      <c r="J19" s="8"/>
      <c r="K19" s="8"/>
      <c r="L19" s="8"/>
      <c r="M19" s="8"/>
      <c r="N19" s="8"/>
      <c r="O19" s="8"/>
      <c r="P19" s="8"/>
      <c r="Q19" s="8"/>
      <c r="R19" s="8"/>
      <c r="S19" s="8"/>
      <c r="T19" s="20"/>
      <c r="U19" s="8"/>
      <c r="V19" s="5"/>
    </row>
    <row r="20" spans="1:22" ht="15.6" x14ac:dyDescent="0.3">
      <c r="A20" s="6"/>
      <c r="B20" s="21" t="s">
        <v>6</v>
      </c>
      <c r="C20" s="8"/>
      <c r="D20" s="8"/>
      <c r="E20" s="8"/>
      <c r="F20" s="8"/>
      <c r="G20" s="8"/>
      <c r="H20" s="8"/>
      <c r="I20" s="8"/>
      <c r="J20" s="8"/>
      <c r="K20" s="8"/>
      <c r="L20" s="8"/>
      <c r="M20" s="8"/>
      <c r="N20" s="8"/>
      <c r="O20" s="8"/>
      <c r="P20" s="8"/>
      <c r="Q20" s="8"/>
      <c r="R20" s="20" t="s">
        <v>108</v>
      </c>
      <c r="S20" s="8"/>
      <c r="T20" s="162"/>
      <c r="U20" s="8"/>
      <c r="V20" s="5"/>
    </row>
    <row r="21" spans="1:22" ht="15.6" x14ac:dyDescent="0.3">
      <c r="A21" s="6"/>
      <c r="B21" s="8"/>
      <c r="C21" s="8"/>
      <c r="D21" s="8"/>
      <c r="E21" s="8"/>
      <c r="F21" s="8"/>
      <c r="G21" s="8"/>
      <c r="H21" s="8"/>
      <c r="I21" s="8"/>
      <c r="J21" s="8"/>
      <c r="K21" s="8"/>
      <c r="L21" s="8"/>
      <c r="M21" s="8"/>
      <c r="N21" s="8"/>
      <c r="O21" s="8"/>
      <c r="P21" s="8"/>
      <c r="Q21" s="8"/>
      <c r="R21" s="8"/>
      <c r="S21" s="8"/>
      <c r="T21" s="22"/>
      <c r="U21" s="8"/>
      <c r="V21" s="5"/>
    </row>
    <row r="22" spans="1:22" ht="15.6" x14ac:dyDescent="0.3">
      <c r="A22" s="6"/>
      <c r="B22" s="8"/>
      <c r="C22" s="112"/>
      <c r="D22" s="112" t="s">
        <v>184</v>
      </c>
      <c r="E22" s="112"/>
      <c r="F22" s="112" t="s">
        <v>185</v>
      </c>
      <c r="G22" s="112"/>
      <c r="H22" s="112" t="s">
        <v>186</v>
      </c>
      <c r="I22" s="112"/>
      <c r="J22" s="112" t="s">
        <v>187</v>
      </c>
      <c r="K22" s="112"/>
      <c r="L22" s="112" t="s">
        <v>188</v>
      </c>
      <c r="M22" s="112"/>
      <c r="N22" s="112" t="s">
        <v>189</v>
      </c>
      <c r="O22" s="112"/>
      <c r="P22" s="112"/>
      <c r="Q22" s="113"/>
      <c r="R22" s="23"/>
      <c r="S22" s="162"/>
      <c r="T22" s="162"/>
      <c r="U22" s="8"/>
      <c r="V22" s="5"/>
    </row>
    <row r="23" spans="1:22" ht="15.6" x14ac:dyDescent="0.3">
      <c r="A23" s="24"/>
      <c r="B23" s="25" t="s">
        <v>7</v>
      </c>
      <c r="C23" s="26"/>
      <c r="D23" s="26" t="s">
        <v>222</v>
      </c>
      <c r="E23" s="26"/>
      <c r="F23" s="26" t="s">
        <v>147</v>
      </c>
      <c r="G23" s="26"/>
      <c r="H23" s="26" t="s">
        <v>147</v>
      </c>
      <c r="I23" s="26"/>
      <c r="J23" s="26" t="s">
        <v>190</v>
      </c>
      <c r="K23" s="26"/>
      <c r="L23" s="26" t="s">
        <v>190</v>
      </c>
      <c r="M23" s="26"/>
      <c r="N23" s="26" t="s">
        <v>148</v>
      </c>
      <c r="O23" s="26"/>
      <c r="P23" s="26"/>
      <c r="Q23" s="26"/>
      <c r="R23" s="26"/>
      <c r="S23" s="163"/>
      <c r="T23" s="163"/>
      <c r="U23" s="25"/>
      <c r="V23" s="5"/>
    </row>
    <row r="24" spans="1:22" ht="15.6" x14ac:dyDescent="0.3">
      <c r="A24" s="24"/>
      <c r="B24" s="25" t="s">
        <v>8</v>
      </c>
      <c r="C24" s="26"/>
      <c r="D24" s="26" t="s">
        <v>223</v>
      </c>
      <c r="E24" s="26"/>
      <c r="F24" s="26" t="s">
        <v>149</v>
      </c>
      <c r="G24" s="26"/>
      <c r="H24" s="26" t="s">
        <v>149</v>
      </c>
      <c r="I24" s="26"/>
      <c r="J24" s="26" t="s">
        <v>172</v>
      </c>
      <c r="K24" s="26"/>
      <c r="L24" s="26" t="s">
        <v>172</v>
      </c>
      <c r="M24" s="26"/>
      <c r="N24" s="26" t="s">
        <v>150</v>
      </c>
      <c r="O24" s="26"/>
      <c r="P24" s="26"/>
      <c r="Q24" s="26"/>
      <c r="R24" s="26"/>
      <c r="S24" s="163"/>
      <c r="T24" s="163"/>
      <c r="U24" s="25"/>
      <c r="V24" s="5"/>
    </row>
    <row r="25" spans="1:22" ht="15.6" x14ac:dyDescent="0.3">
      <c r="A25" s="28"/>
      <c r="B25" s="131" t="s">
        <v>198</v>
      </c>
      <c r="C25" s="123"/>
      <c r="D25" s="26" t="s">
        <v>224</v>
      </c>
      <c r="E25" s="26"/>
      <c r="F25" s="26" t="s">
        <v>149</v>
      </c>
      <c r="G25" s="26"/>
      <c r="H25" s="26" t="s">
        <v>149</v>
      </c>
      <c r="I25" s="26"/>
      <c r="J25" s="26" t="s">
        <v>172</v>
      </c>
      <c r="K25" s="26"/>
      <c r="L25" s="26" t="s">
        <v>172</v>
      </c>
      <c r="M25" s="26"/>
      <c r="N25" s="26" t="s">
        <v>150</v>
      </c>
      <c r="O25" s="26"/>
      <c r="P25" s="26"/>
      <c r="Q25" s="123"/>
      <c r="R25" s="26"/>
      <c r="S25" s="163"/>
      <c r="T25" s="163"/>
      <c r="U25" s="25"/>
      <c r="V25" s="5"/>
    </row>
    <row r="26" spans="1:22" ht="15.6" x14ac:dyDescent="0.3">
      <c r="A26" s="28"/>
      <c r="B26" s="29" t="s">
        <v>9</v>
      </c>
      <c r="C26" s="123"/>
      <c r="D26" s="123" t="s">
        <v>222</v>
      </c>
      <c r="E26" s="123"/>
      <c r="F26" s="123" t="s">
        <v>147</v>
      </c>
      <c r="G26" s="123"/>
      <c r="H26" s="123" t="s">
        <v>147</v>
      </c>
      <c r="I26" s="123"/>
      <c r="J26" s="123" t="s">
        <v>190</v>
      </c>
      <c r="K26" s="123"/>
      <c r="L26" s="123" t="s">
        <v>190</v>
      </c>
      <c r="M26" s="123"/>
      <c r="N26" s="123" t="s">
        <v>148</v>
      </c>
      <c r="O26" s="123"/>
      <c r="P26" s="123"/>
      <c r="Q26" s="123"/>
      <c r="R26" s="26"/>
      <c r="S26" s="163"/>
      <c r="T26" s="163"/>
      <c r="U26" s="25"/>
      <c r="V26" s="5"/>
    </row>
    <row r="27" spans="1:22" ht="15.6" x14ac:dyDescent="0.3">
      <c r="A27" s="24"/>
      <c r="B27" s="29" t="s">
        <v>199</v>
      </c>
      <c r="C27" s="26"/>
      <c r="D27" s="123" t="s">
        <v>223</v>
      </c>
      <c r="E27" s="123"/>
      <c r="F27" s="123" t="s">
        <v>149</v>
      </c>
      <c r="G27" s="123"/>
      <c r="H27" s="123" t="s">
        <v>149</v>
      </c>
      <c r="I27" s="123"/>
      <c r="J27" s="123" t="s">
        <v>172</v>
      </c>
      <c r="K27" s="123"/>
      <c r="L27" s="123" t="s">
        <v>172</v>
      </c>
      <c r="M27" s="123"/>
      <c r="N27" s="123" t="s">
        <v>150</v>
      </c>
      <c r="O27" s="123"/>
      <c r="P27" s="123"/>
      <c r="Q27" s="26"/>
      <c r="R27" s="30"/>
      <c r="S27" s="163"/>
      <c r="T27" s="163"/>
      <c r="U27" s="25"/>
      <c r="V27" s="5"/>
    </row>
    <row r="28" spans="1:22" ht="15.6" x14ac:dyDescent="0.3">
      <c r="A28" s="24"/>
      <c r="B28" s="153" t="s">
        <v>200</v>
      </c>
      <c r="C28" s="26"/>
      <c r="D28" s="123" t="s">
        <v>224</v>
      </c>
      <c r="E28" s="123"/>
      <c r="F28" s="123" t="s">
        <v>149</v>
      </c>
      <c r="G28" s="123"/>
      <c r="H28" s="123" t="s">
        <v>149</v>
      </c>
      <c r="I28" s="123"/>
      <c r="J28" s="123" t="s">
        <v>172</v>
      </c>
      <c r="K28" s="123"/>
      <c r="L28" s="123" t="s">
        <v>172</v>
      </c>
      <c r="M28" s="123"/>
      <c r="N28" s="123" t="s">
        <v>150</v>
      </c>
      <c r="O28" s="123"/>
      <c r="P28" s="123"/>
      <c r="Q28" s="26"/>
      <c r="R28" s="30"/>
      <c r="S28" s="163"/>
      <c r="T28" s="163"/>
      <c r="U28" s="25"/>
      <c r="V28" s="5"/>
    </row>
    <row r="29" spans="1:22" ht="15.6" x14ac:dyDescent="0.3">
      <c r="A29" s="24"/>
      <c r="B29" s="25" t="s">
        <v>10</v>
      </c>
      <c r="C29" s="32"/>
      <c r="D29" s="26" t="s">
        <v>237</v>
      </c>
      <c r="E29" s="26"/>
      <c r="F29" s="30" t="s">
        <v>238</v>
      </c>
      <c r="G29" s="26"/>
      <c r="H29" s="26" t="s">
        <v>239</v>
      </c>
      <c r="I29" s="26"/>
      <c r="J29" s="26" t="s">
        <v>240</v>
      </c>
      <c r="K29" s="26"/>
      <c r="L29" s="26" t="s">
        <v>241</v>
      </c>
      <c r="M29" s="26"/>
      <c r="N29" s="26" t="s">
        <v>242</v>
      </c>
      <c r="O29" s="26"/>
      <c r="P29" s="26"/>
      <c r="Q29" s="31"/>
      <c r="R29" s="31"/>
      <c r="S29" s="164"/>
      <c r="T29" s="31"/>
      <c r="U29" s="34"/>
      <c r="V29" s="5"/>
    </row>
    <row r="30" spans="1:22" ht="15.6" x14ac:dyDescent="0.3">
      <c r="A30" s="24"/>
      <c r="B30" s="25" t="s">
        <v>10</v>
      </c>
      <c r="C30" s="32"/>
      <c r="D30" s="26" t="s">
        <v>236</v>
      </c>
      <c r="E30" s="26"/>
      <c r="F30" s="30" t="s">
        <v>124</v>
      </c>
      <c r="G30" s="26"/>
      <c r="H30" s="26" t="s">
        <v>124</v>
      </c>
      <c r="I30" s="26"/>
      <c r="J30" s="26" t="s">
        <v>124</v>
      </c>
      <c r="K30" s="26"/>
      <c r="L30" s="26" t="s">
        <v>124</v>
      </c>
      <c r="M30" s="26"/>
      <c r="N30" s="26" t="s">
        <v>124</v>
      </c>
      <c r="O30" s="26"/>
      <c r="P30" s="26"/>
      <c r="Q30" s="31"/>
      <c r="R30" s="31"/>
      <c r="S30" s="164"/>
      <c r="T30" s="31"/>
      <c r="U30" s="34"/>
      <c r="V30" s="5"/>
    </row>
    <row r="31" spans="1:22" ht="15.6" x14ac:dyDescent="0.3">
      <c r="A31" s="28"/>
      <c r="B31" s="25" t="s">
        <v>139</v>
      </c>
      <c r="C31" s="36"/>
      <c r="D31" s="146">
        <v>985000</v>
      </c>
      <c r="E31" s="32"/>
      <c r="F31" s="31">
        <v>149500</v>
      </c>
      <c r="G31" s="31"/>
      <c r="H31" s="124">
        <v>219700</v>
      </c>
      <c r="I31" s="31"/>
      <c r="J31" s="31">
        <v>16000</v>
      </c>
      <c r="K31" s="31"/>
      <c r="L31" s="124">
        <v>82400</v>
      </c>
      <c r="M31" s="31"/>
      <c r="N31" s="124">
        <v>87500</v>
      </c>
      <c r="O31" s="31"/>
      <c r="P31" s="124"/>
      <c r="Q31" s="35"/>
      <c r="R31" s="35"/>
      <c r="S31" s="37"/>
      <c r="T31" s="35"/>
      <c r="U31" s="34"/>
      <c r="V31" s="5"/>
    </row>
    <row r="32" spans="1:22" ht="15.6" x14ac:dyDescent="0.3">
      <c r="A32" s="24"/>
      <c r="B32" s="25" t="s">
        <v>138</v>
      </c>
      <c r="C32" s="32"/>
      <c r="D32" s="146">
        <f>D38*D31</f>
        <v>885293.67050000001</v>
      </c>
      <c r="E32" s="32"/>
      <c r="F32" s="31">
        <f>F38*F31</f>
        <v>134366.92230000001</v>
      </c>
      <c r="G32" s="31"/>
      <c r="H32" s="124">
        <f>H38*H31</f>
        <v>197460.95538</v>
      </c>
      <c r="I32" s="31"/>
      <c r="J32" s="31">
        <f>+J31</f>
        <v>16000</v>
      </c>
      <c r="K32" s="31"/>
      <c r="L32" s="124">
        <f>+L31</f>
        <v>82400</v>
      </c>
      <c r="M32" s="31"/>
      <c r="N32" s="124">
        <f>+N31</f>
        <v>87500</v>
      </c>
      <c r="O32" s="31"/>
      <c r="P32" s="124"/>
      <c r="Q32" s="31"/>
      <c r="R32" s="31"/>
      <c r="S32" s="164"/>
      <c r="T32" s="31"/>
      <c r="U32" s="34"/>
      <c r="V32" s="5"/>
    </row>
    <row r="33" spans="1:22" ht="15.6" x14ac:dyDescent="0.3">
      <c r="A33" s="24"/>
      <c r="B33" s="29" t="s">
        <v>140</v>
      </c>
      <c r="C33" s="32"/>
      <c r="D33" s="151">
        <f>D37*D31</f>
        <v>862606.1655</v>
      </c>
      <c r="E33" s="36"/>
      <c r="F33" s="35">
        <f>F37*F31</f>
        <v>130923.48880000001</v>
      </c>
      <c r="G33" s="35"/>
      <c r="H33" s="125">
        <f>H31*H37</f>
        <v>192400.60528000002</v>
      </c>
      <c r="I33" s="35"/>
      <c r="J33" s="35">
        <f>J31*J37</f>
        <v>16000</v>
      </c>
      <c r="K33" s="35"/>
      <c r="L33" s="125">
        <f>L31*L37</f>
        <v>82400</v>
      </c>
      <c r="M33" s="35"/>
      <c r="N33" s="125">
        <f>N31*N37</f>
        <v>87500</v>
      </c>
      <c r="O33" s="35"/>
      <c r="P33" s="125"/>
      <c r="Q33" s="31"/>
      <c r="R33" s="31"/>
      <c r="S33" s="164"/>
      <c r="T33" s="31"/>
      <c r="U33" s="34"/>
      <c r="V33" s="5"/>
    </row>
    <row r="34" spans="1:22" ht="15.6" x14ac:dyDescent="0.3">
      <c r="A34" s="28"/>
      <c r="B34" s="25" t="s">
        <v>283</v>
      </c>
      <c r="C34" s="36"/>
      <c r="D34" s="31">
        <v>567282</v>
      </c>
      <c r="E34" s="32"/>
      <c r="F34" s="31">
        <v>149500</v>
      </c>
      <c r="G34" s="31"/>
      <c r="H34" s="31">
        <v>150716</v>
      </c>
      <c r="I34" s="31"/>
      <c r="J34" s="31">
        <v>16000</v>
      </c>
      <c r="K34" s="31"/>
      <c r="L34" s="31">
        <v>56527</v>
      </c>
      <c r="M34" s="31"/>
      <c r="N34" s="31">
        <v>60025</v>
      </c>
      <c r="O34" s="31"/>
      <c r="P34" s="31"/>
      <c r="Q34" s="35"/>
      <c r="R34" s="35"/>
      <c r="S34" s="37"/>
      <c r="T34" s="154">
        <f>SUM(C34:P34)</f>
        <v>1000050</v>
      </c>
      <c r="U34" s="34"/>
      <c r="V34" s="5"/>
    </row>
    <row r="35" spans="1:22" ht="15.6" x14ac:dyDescent="0.3">
      <c r="A35" s="28"/>
      <c r="B35" s="25" t="s">
        <v>284</v>
      </c>
      <c r="C35" s="126"/>
      <c r="D35" s="31">
        <f>D38*D34</f>
        <v>509859.0497346</v>
      </c>
      <c r="E35" s="32"/>
      <c r="F35" s="31">
        <f>F38*F34</f>
        <v>134366.92230000001</v>
      </c>
      <c r="G35" s="31"/>
      <c r="H35" s="31">
        <f>H38*H34</f>
        <v>135459.83318640001</v>
      </c>
      <c r="I35" s="31"/>
      <c r="J35" s="31">
        <f>+J34</f>
        <v>16000</v>
      </c>
      <c r="K35" s="31"/>
      <c r="L35" s="31">
        <f>+L34</f>
        <v>56527</v>
      </c>
      <c r="M35" s="31"/>
      <c r="N35" s="31">
        <f>+N34</f>
        <v>60025</v>
      </c>
      <c r="O35" s="31"/>
      <c r="P35" s="31"/>
      <c r="Q35" s="31"/>
      <c r="R35" s="31"/>
      <c r="S35" s="164"/>
      <c r="T35" s="154">
        <f>SUM(C35:P35)</f>
        <v>912237.80522099999</v>
      </c>
      <c r="U35" s="34"/>
      <c r="V35" s="5"/>
    </row>
    <row r="36" spans="1:22" ht="15.6" x14ac:dyDescent="0.3">
      <c r="A36" s="28"/>
      <c r="B36" s="29" t="s">
        <v>285</v>
      </c>
      <c r="C36" s="126"/>
      <c r="D36" s="35">
        <f>D37*D34</f>
        <v>496792.8434286</v>
      </c>
      <c r="E36" s="36"/>
      <c r="F36" s="35">
        <f>F37*F34</f>
        <v>130923.48880000001</v>
      </c>
      <c r="G36" s="35"/>
      <c r="H36" s="35">
        <f>H37*H34</f>
        <v>131988.39155840001</v>
      </c>
      <c r="I36" s="35"/>
      <c r="J36" s="35">
        <f>+J34</f>
        <v>16000</v>
      </c>
      <c r="K36" s="35"/>
      <c r="L36" s="35">
        <f>+L34</f>
        <v>56527</v>
      </c>
      <c r="M36" s="35"/>
      <c r="N36" s="35">
        <f>+N34</f>
        <v>60025</v>
      </c>
      <c r="O36" s="35"/>
      <c r="P36" s="35"/>
      <c r="Q36" s="128"/>
      <c r="R36" s="128"/>
      <c r="S36" s="164"/>
      <c r="T36" s="155">
        <f>SUM(C36:P36)</f>
        <v>892256.72378700005</v>
      </c>
      <c r="U36" s="34"/>
      <c r="V36" s="5"/>
    </row>
    <row r="37" spans="1:22" ht="15.6" x14ac:dyDescent="0.3">
      <c r="A37" s="24"/>
      <c r="B37" s="122" t="s">
        <v>136</v>
      </c>
      <c r="C37" s="25"/>
      <c r="D37" s="168">
        <v>0.87574229999999997</v>
      </c>
      <c r="E37" s="136"/>
      <c r="F37" s="168">
        <v>0.87574240000000003</v>
      </c>
      <c r="G37" s="135"/>
      <c r="H37" s="168">
        <v>0.87574240000000003</v>
      </c>
      <c r="I37" s="135"/>
      <c r="J37" s="168">
        <v>1</v>
      </c>
      <c r="K37" s="135"/>
      <c r="L37" s="168">
        <v>1</v>
      </c>
      <c r="M37" s="135"/>
      <c r="N37" s="168">
        <v>1</v>
      </c>
      <c r="O37" s="135"/>
      <c r="P37" s="135"/>
      <c r="Q37" s="30"/>
      <c r="R37" s="30"/>
      <c r="S37" s="163"/>
      <c r="T37" s="163"/>
      <c r="U37" s="25"/>
      <c r="V37" s="5"/>
    </row>
    <row r="38" spans="1:22" ht="15.6" x14ac:dyDescent="0.3">
      <c r="A38" s="24"/>
      <c r="B38" s="122" t="s">
        <v>137</v>
      </c>
      <c r="C38" s="25"/>
      <c r="D38" s="168">
        <v>0.89877530000000005</v>
      </c>
      <c r="E38" s="136"/>
      <c r="F38" s="168">
        <v>0.8987754</v>
      </c>
      <c r="G38" s="135"/>
      <c r="H38" s="168">
        <v>0.8987754</v>
      </c>
      <c r="I38" s="135"/>
      <c r="J38" s="135">
        <v>1</v>
      </c>
      <c r="K38" s="135"/>
      <c r="L38" s="135">
        <v>1</v>
      </c>
      <c r="M38" s="135"/>
      <c r="N38" s="135">
        <v>1</v>
      </c>
      <c r="O38" s="135"/>
      <c r="P38" s="135"/>
      <c r="Q38" s="39"/>
      <c r="R38" s="38"/>
      <c r="S38" s="163"/>
      <c r="T38" s="39"/>
      <c r="U38" s="25"/>
      <c r="V38" s="5"/>
    </row>
    <row r="39" spans="1:22" ht="15.6" x14ac:dyDescent="0.3">
      <c r="A39" s="24"/>
      <c r="B39" s="25" t="s">
        <v>11</v>
      </c>
      <c r="C39" s="25"/>
      <c r="D39" s="30" t="s">
        <v>252</v>
      </c>
      <c r="E39" s="25"/>
      <c r="F39" s="30" t="s">
        <v>231</v>
      </c>
      <c r="G39" s="30"/>
      <c r="H39" s="30" t="s">
        <v>231</v>
      </c>
      <c r="I39" s="30"/>
      <c r="J39" s="30" t="s">
        <v>232</v>
      </c>
      <c r="K39" s="30"/>
      <c r="L39" s="30" t="s">
        <v>232</v>
      </c>
      <c r="M39" s="30"/>
      <c r="N39" s="30" t="s">
        <v>233</v>
      </c>
      <c r="O39" s="30"/>
      <c r="P39" s="30"/>
      <c r="Q39" s="39"/>
      <c r="R39" s="38"/>
      <c r="S39" s="163"/>
      <c r="T39" s="163"/>
      <c r="U39" s="25"/>
      <c r="V39" s="5"/>
    </row>
    <row r="40" spans="1:22" ht="15.6" x14ac:dyDescent="0.3">
      <c r="A40" s="24"/>
      <c r="B40" s="25" t="s">
        <v>12</v>
      </c>
      <c r="C40" s="25"/>
      <c r="D40" s="38">
        <v>5.7424999999999997E-2</v>
      </c>
      <c r="E40" s="25"/>
      <c r="F40" s="38">
        <v>6.13E-2</v>
      </c>
      <c r="G40" s="39"/>
      <c r="H40" s="38">
        <v>4.3290000000000002E-2</v>
      </c>
      <c r="I40" s="39"/>
      <c r="J40" s="38">
        <v>6.25E-2</v>
      </c>
      <c r="K40" s="39"/>
      <c r="L40" s="38">
        <v>4.4490000000000002E-2</v>
      </c>
      <c r="M40" s="39"/>
      <c r="N40" s="38">
        <v>4.6589999999999999E-2</v>
      </c>
      <c r="O40" s="39"/>
      <c r="P40" s="38"/>
      <c r="Q40" s="39"/>
      <c r="R40" s="38"/>
      <c r="S40" s="163"/>
      <c r="T40" s="30"/>
      <c r="U40" s="25"/>
      <c r="V40" s="5"/>
    </row>
    <row r="41" spans="1:22" ht="15.6" x14ac:dyDescent="0.3">
      <c r="A41" s="24"/>
      <c r="B41" s="25" t="s">
        <v>13</v>
      </c>
      <c r="C41" s="25"/>
      <c r="D41" s="38">
        <v>5.3100000000000001E-2</v>
      </c>
      <c r="E41" s="25"/>
      <c r="F41" s="38">
        <v>5.7200000000000001E-2</v>
      </c>
      <c r="G41" s="39"/>
      <c r="H41" s="38">
        <v>4.088E-2</v>
      </c>
      <c r="I41" s="39"/>
      <c r="J41" s="38">
        <v>5.8400000000000001E-2</v>
      </c>
      <c r="K41" s="39"/>
      <c r="L41" s="38">
        <v>4.2079999999999999E-2</v>
      </c>
      <c r="M41" s="39"/>
      <c r="N41" s="38">
        <v>4.4179999999999997E-2</v>
      </c>
      <c r="O41" s="38"/>
      <c r="P41" s="38"/>
      <c r="Q41" s="39"/>
      <c r="R41" s="38"/>
      <c r="S41" s="163"/>
      <c r="T41" s="39" t="s">
        <v>201</v>
      </c>
      <c r="U41" s="25"/>
      <c r="V41" s="5"/>
    </row>
    <row r="42" spans="1:22" ht="15.6" x14ac:dyDescent="0.3">
      <c r="A42" s="24"/>
      <c r="B42" s="25" t="s">
        <v>286</v>
      </c>
      <c r="C42" s="25"/>
      <c r="D42" s="30" t="s">
        <v>256</v>
      </c>
      <c r="E42" s="25"/>
      <c r="F42" s="30" t="s">
        <v>231</v>
      </c>
      <c r="G42" s="30"/>
      <c r="H42" s="30" t="s">
        <v>243</v>
      </c>
      <c r="I42" s="30"/>
      <c r="J42" s="30" t="s">
        <v>232</v>
      </c>
      <c r="K42" s="30"/>
      <c r="L42" s="30" t="s">
        <v>244</v>
      </c>
      <c r="M42" s="30"/>
      <c r="N42" s="30" t="s">
        <v>246</v>
      </c>
      <c r="O42" s="30"/>
      <c r="P42" s="30"/>
      <c r="Q42" s="39"/>
      <c r="R42" s="38"/>
      <c r="S42" s="163"/>
      <c r="T42" s="163"/>
      <c r="U42" s="25"/>
      <c r="V42" s="5"/>
    </row>
    <row r="43" spans="1:22" ht="15.6" x14ac:dyDescent="0.3">
      <c r="A43" s="24"/>
      <c r="B43" s="25" t="s">
        <v>287</v>
      </c>
      <c r="C43" s="110"/>
      <c r="D43" s="38">
        <v>6.0227000000000003E-2</v>
      </c>
      <c r="E43" s="38"/>
      <c r="F43" s="38">
        <f>+F40</f>
        <v>6.13E-2</v>
      </c>
      <c r="G43" s="38"/>
      <c r="H43" s="38">
        <v>6.1297999999999998E-2</v>
      </c>
      <c r="I43" s="38"/>
      <c r="J43" s="38">
        <f>+J40</f>
        <v>6.25E-2</v>
      </c>
      <c r="K43" s="38"/>
      <c r="L43" s="38">
        <v>6.2653E-2</v>
      </c>
      <c r="M43" s="38"/>
      <c r="N43" s="38">
        <v>6.5004999999999993E-2</v>
      </c>
      <c r="O43" s="39"/>
      <c r="P43" s="38"/>
      <c r="Q43" s="30"/>
      <c r="R43" s="30"/>
      <c r="S43" s="163"/>
      <c r="T43" s="39">
        <f>SUMPRODUCT(D43:N43,D35:N35)/T35</f>
        <v>6.1048666386418787E-2</v>
      </c>
      <c r="U43" s="25"/>
      <c r="V43" s="5"/>
    </row>
    <row r="44" spans="1:22" ht="15.6" x14ac:dyDescent="0.3">
      <c r="A44" s="24"/>
      <c r="B44" s="25" t="s">
        <v>288</v>
      </c>
      <c r="C44" s="110"/>
      <c r="D44" s="38">
        <v>5.6127000000000003E-2</v>
      </c>
      <c r="E44" s="38"/>
      <c r="F44" s="38">
        <f>+F41</f>
        <v>5.7200000000000001E-2</v>
      </c>
      <c r="G44" s="38"/>
      <c r="H44" s="38">
        <v>5.7197999999999999E-2</v>
      </c>
      <c r="I44" s="38"/>
      <c r="J44" s="38">
        <f>+J41</f>
        <v>5.8400000000000001E-2</v>
      </c>
      <c r="K44" s="38"/>
      <c r="L44" s="38">
        <v>5.8553000000000001E-2</v>
      </c>
      <c r="M44" s="38"/>
      <c r="N44" s="38">
        <v>6.0905000000000001E-2</v>
      </c>
      <c r="O44" s="39"/>
      <c r="P44" s="38"/>
      <c r="Q44" s="30"/>
      <c r="R44" s="30"/>
      <c r="S44" s="163"/>
      <c r="T44" s="163"/>
      <c r="U44" s="25"/>
      <c r="V44" s="5"/>
    </row>
    <row r="45" spans="1:22" ht="15.6" x14ac:dyDescent="0.3">
      <c r="A45" s="24"/>
      <c r="B45" s="25" t="s">
        <v>14</v>
      </c>
      <c r="C45" s="25"/>
      <c r="D45" s="110">
        <v>40283</v>
      </c>
      <c r="E45" s="110"/>
      <c r="F45" s="110">
        <v>40283</v>
      </c>
      <c r="G45" s="110"/>
      <c r="H45" s="110">
        <v>40283</v>
      </c>
      <c r="I45" s="110"/>
      <c r="J45" s="110">
        <v>40283</v>
      </c>
      <c r="K45" s="110"/>
      <c r="L45" s="110">
        <v>40283</v>
      </c>
      <c r="M45" s="110"/>
      <c r="N45" s="110">
        <v>40283</v>
      </c>
      <c r="O45" s="110"/>
      <c r="P45" s="110"/>
      <c r="Q45" s="30"/>
      <c r="R45" s="30"/>
      <c r="S45" s="163"/>
      <c r="T45" s="163"/>
      <c r="U45" s="25"/>
      <c r="V45" s="5"/>
    </row>
    <row r="46" spans="1:22" ht="15.6" x14ac:dyDescent="0.3">
      <c r="A46" s="24"/>
      <c r="B46" s="25" t="s">
        <v>15</v>
      </c>
      <c r="C46" s="25"/>
      <c r="D46" s="110">
        <v>40648</v>
      </c>
      <c r="E46" s="110"/>
      <c r="F46" s="110">
        <v>40648</v>
      </c>
      <c r="G46" s="110"/>
      <c r="H46" s="110">
        <v>40648</v>
      </c>
      <c r="I46" s="30"/>
      <c r="J46" s="110">
        <v>40648</v>
      </c>
      <c r="K46" s="30"/>
      <c r="L46" s="110">
        <v>40648</v>
      </c>
      <c r="M46" s="30"/>
      <c r="N46" s="110">
        <v>40648</v>
      </c>
      <c r="O46" s="30"/>
      <c r="P46" s="110"/>
      <c r="Q46" s="30"/>
      <c r="R46" s="30"/>
      <c r="S46" s="163"/>
      <c r="T46" s="163"/>
      <c r="U46" s="25"/>
      <c r="V46" s="5"/>
    </row>
    <row r="47" spans="1:22" ht="15.6" x14ac:dyDescent="0.3">
      <c r="A47" s="24"/>
      <c r="B47" s="25" t="s">
        <v>125</v>
      </c>
      <c r="C47" s="25"/>
      <c r="D47" s="160" t="s">
        <v>124</v>
      </c>
      <c r="E47" s="25"/>
      <c r="F47" s="30" t="s">
        <v>232</v>
      </c>
      <c r="G47" s="30"/>
      <c r="H47" s="30" t="s">
        <v>232</v>
      </c>
      <c r="I47" s="30"/>
      <c r="J47" s="30" t="s">
        <v>234</v>
      </c>
      <c r="K47" s="30"/>
      <c r="L47" s="30" t="s">
        <v>234</v>
      </c>
      <c r="M47" s="30"/>
      <c r="N47" s="30" t="s">
        <v>235</v>
      </c>
      <c r="O47" s="30"/>
      <c r="P47" s="30"/>
      <c r="Q47" s="40"/>
      <c r="R47" s="40"/>
      <c r="S47" s="40"/>
      <c r="T47" s="40"/>
      <c r="U47" s="25"/>
      <c r="V47" s="5"/>
    </row>
    <row r="48" spans="1:22" ht="15.6" x14ac:dyDescent="0.3">
      <c r="A48" s="24"/>
      <c r="B48" s="25" t="s">
        <v>289</v>
      </c>
      <c r="C48" s="25"/>
      <c r="D48" s="30" t="s">
        <v>208</v>
      </c>
      <c r="E48" s="25"/>
      <c r="F48" s="30" t="s">
        <v>232</v>
      </c>
      <c r="G48" s="30"/>
      <c r="H48" s="30" t="s">
        <v>232</v>
      </c>
      <c r="I48" s="30"/>
      <c r="J48" s="30" t="s">
        <v>234</v>
      </c>
      <c r="K48" s="30"/>
      <c r="L48" s="30" t="s">
        <v>245</v>
      </c>
      <c r="M48" s="30"/>
      <c r="N48" s="30" t="s">
        <v>247</v>
      </c>
      <c r="O48" s="30"/>
      <c r="P48" s="30"/>
      <c r="Q48" s="25"/>
      <c r="R48" s="25"/>
      <c r="S48" s="25"/>
      <c r="T48" s="39"/>
      <c r="U48" s="25"/>
      <c r="V48" s="5"/>
    </row>
    <row r="49" spans="1:23" ht="15.6" x14ac:dyDescent="0.3">
      <c r="A49" s="24"/>
      <c r="B49" s="25"/>
      <c r="C49" s="25"/>
      <c r="D49" s="30"/>
      <c r="E49" s="25"/>
      <c r="F49" s="30"/>
      <c r="G49" s="30"/>
      <c r="H49" s="30"/>
      <c r="I49" s="30"/>
      <c r="J49" s="30"/>
      <c r="K49" s="30"/>
      <c r="L49" s="30"/>
      <c r="M49" s="30"/>
      <c r="N49" s="30"/>
      <c r="O49" s="30"/>
      <c r="P49" s="30"/>
      <c r="Q49" s="25"/>
      <c r="R49" s="25"/>
      <c r="S49" s="25"/>
      <c r="T49" s="39" t="s">
        <v>201</v>
      </c>
      <c r="U49" s="25"/>
      <c r="V49" s="5"/>
    </row>
    <row r="50" spans="1:23" ht="15.6" x14ac:dyDescent="0.3">
      <c r="A50" s="24"/>
      <c r="B50" s="25" t="s">
        <v>176</v>
      </c>
      <c r="C50" s="25"/>
      <c r="D50" s="30"/>
      <c r="E50" s="25"/>
      <c r="F50" s="30"/>
      <c r="G50" s="30"/>
      <c r="H50" s="30"/>
      <c r="I50" s="30"/>
      <c r="J50" s="30"/>
      <c r="K50" s="30"/>
      <c r="L50" s="30"/>
      <c r="M50" s="30"/>
      <c r="N50" s="30"/>
      <c r="O50" s="30"/>
      <c r="P50" s="30"/>
      <c r="Q50" s="25"/>
      <c r="R50" s="25"/>
      <c r="S50" s="25"/>
      <c r="T50" s="39">
        <f>SUM(J34:P34)/SUM(D34:H34)</f>
        <v>0.15279804679664968</v>
      </c>
      <c r="U50" s="25"/>
      <c r="V50" s="5"/>
    </row>
    <row r="51" spans="1:23" ht="15.6" x14ac:dyDescent="0.3">
      <c r="A51" s="24"/>
      <c r="B51" s="25" t="s">
        <v>177</v>
      </c>
      <c r="C51" s="25"/>
      <c r="D51" s="25"/>
      <c r="E51" s="25"/>
      <c r="F51" s="41"/>
      <c r="G51" s="25"/>
      <c r="H51" s="25"/>
      <c r="I51" s="25"/>
      <c r="J51" s="25"/>
      <c r="K51" s="25"/>
      <c r="L51" s="25"/>
      <c r="M51" s="25"/>
      <c r="N51" s="25"/>
      <c r="O51" s="25"/>
      <c r="P51" s="25"/>
      <c r="Q51" s="25"/>
      <c r="R51" s="25"/>
      <c r="S51" s="25"/>
      <c r="T51" s="39">
        <f>SUM(J36:P36)/SUM(D36:H36)</f>
        <v>0.17447831486324136</v>
      </c>
      <c r="U51" s="25"/>
      <c r="V51" s="5"/>
    </row>
    <row r="52" spans="1:23" ht="15.6" x14ac:dyDescent="0.3">
      <c r="A52" s="24"/>
      <c r="B52" s="25" t="s">
        <v>178</v>
      </c>
      <c r="C52" s="25"/>
      <c r="D52" s="25"/>
      <c r="E52" s="25"/>
      <c r="F52" s="25"/>
      <c r="G52" s="25"/>
      <c r="H52" s="25"/>
      <c r="I52" s="25"/>
      <c r="J52" s="25"/>
      <c r="K52" s="25"/>
      <c r="L52" s="25"/>
      <c r="M52" s="25"/>
      <c r="N52" s="25"/>
      <c r="O52" s="25"/>
      <c r="P52" s="25"/>
      <c r="Q52" s="25"/>
      <c r="R52" s="30" t="s">
        <v>109</v>
      </c>
      <c r="S52" s="30" t="s">
        <v>115</v>
      </c>
      <c r="T52" s="31">
        <f>+T34/2-SUM(J34:P34)</f>
        <v>367473</v>
      </c>
      <c r="U52" s="25"/>
      <c r="V52" s="5"/>
    </row>
    <row r="53" spans="1:23" ht="15.6" x14ac:dyDescent="0.3">
      <c r="A53" s="24"/>
      <c r="B53" s="25"/>
      <c r="C53" s="25"/>
      <c r="D53" s="25"/>
      <c r="E53" s="25"/>
      <c r="F53" s="25"/>
      <c r="G53" s="25"/>
      <c r="H53" s="25"/>
      <c r="I53" s="25"/>
      <c r="J53" s="25"/>
      <c r="K53" s="25"/>
      <c r="L53" s="25"/>
      <c r="M53" s="25"/>
      <c r="N53" s="25"/>
      <c r="O53" s="25"/>
      <c r="P53" s="25"/>
      <c r="Q53" s="25"/>
      <c r="R53" s="25"/>
      <c r="S53" s="25"/>
      <c r="T53" s="42"/>
      <c r="U53" s="25"/>
      <c r="V53" s="5"/>
    </row>
    <row r="54" spans="1:23" ht="15.6" x14ac:dyDescent="0.3">
      <c r="A54" s="24"/>
      <c r="B54" s="25" t="s">
        <v>211</v>
      </c>
      <c r="C54" s="25"/>
      <c r="D54" s="25"/>
      <c r="E54" s="25"/>
      <c r="F54" s="25"/>
      <c r="G54" s="25"/>
      <c r="H54" s="25"/>
      <c r="I54" s="25"/>
      <c r="J54" s="25"/>
      <c r="K54" s="25"/>
      <c r="L54" s="25"/>
      <c r="M54" s="25"/>
      <c r="N54" s="25"/>
      <c r="O54" s="25"/>
      <c r="P54" s="25"/>
      <c r="Q54" s="25"/>
      <c r="R54" s="25"/>
      <c r="S54" s="25"/>
      <c r="T54" s="156" t="s">
        <v>212</v>
      </c>
      <c r="U54" s="25"/>
      <c r="V54" s="5"/>
    </row>
    <row r="55" spans="1:23" ht="15.6" x14ac:dyDescent="0.3">
      <c r="A55" s="24"/>
      <c r="B55" s="25" t="s">
        <v>253</v>
      </c>
      <c r="C55" s="25"/>
      <c r="D55" s="25"/>
      <c r="E55" s="25"/>
      <c r="F55" s="25"/>
      <c r="G55" s="25"/>
      <c r="H55" s="25"/>
      <c r="I55" s="25"/>
      <c r="J55" s="25"/>
      <c r="K55" s="25"/>
      <c r="L55" s="25"/>
      <c r="M55" s="25"/>
      <c r="N55" s="25"/>
      <c r="O55" s="25"/>
      <c r="P55" s="25"/>
      <c r="Q55" s="25"/>
      <c r="R55" s="30"/>
      <c r="S55" s="30"/>
      <c r="T55" s="157" t="s">
        <v>117</v>
      </c>
      <c r="U55" s="25"/>
      <c r="V55" s="5"/>
    </row>
    <row r="56" spans="1:23" ht="15.6" x14ac:dyDescent="0.3">
      <c r="A56" s="24"/>
      <c r="B56" s="29" t="s">
        <v>210</v>
      </c>
      <c r="C56" s="29"/>
      <c r="D56" s="29"/>
      <c r="E56" s="29"/>
      <c r="F56" s="29"/>
      <c r="G56" s="29"/>
      <c r="H56" s="29"/>
      <c r="I56" s="29"/>
      <c r="J56" s="29"/>
      <c r="K56" s="29"/>
      <c r="L56" s="29"/>
      <c r="M56" s="29"/>
      <c r="N56" s="29"/>
      <c r="O56" s="29"/>
      <c r="P56" s="29"/>
      <c r="Q56" s="29"/>
      <c r="R56" s="43"/>
      <c r="S56" s="43"/>
      <c r="T56" s="44">
        <v>39370</v>
      </c>
      <c r="U56" s="25"/>
      <c r="V56" s="5"/>
    </row>
    <row r="57" spans="1:23" ht="15.6" x14ac:dyDescent="0.3">
      <c r="A57" s="24"/>
      <c r="B57" s="25" t="s">
        <v>127</v>
      </c>
      <c r="C57" s="25"/>
      <c r="D57" s="25"/>
      <c r="E57" s="25"/>
      <c r="F57" s="25"/>
      <c r="G57" s="25"/>
      <c r="H57" s="58"/>
      <c r="I57" s="58"/>
      <c r="J57" s="58"/>
      <c r="K57" s="58"/>
      <c r="L57" s="58"/>
      <c r="M57" s="58"/>
      <c r="N57" s="58"/>
      <c r="O57" s="58"/>
      <c r="P57" s="25">
        <f>+T57-R57+1</f>
        <v>91</v>
      </c>
      <c r="Q57" s="58"/>
      <c r="R57" s="45">
        <v>39188</v>
      </c>
      <c r="S57" s="46"/>
      <c r="T57" s="45">
        <v>39278</v>
      </c>
      <c r="U57" s="25"/>
      <c r="V57" s="5"/>
    </row>
    <row r="58" spans="1:23" ht="15.6" x14ac:dyDescent="0.3">
      <c r="A58" s="24"/>
      <c r="B58" s="25" t="s">
        <v>128</v>
      </c>
      <c r="C58" s="25"/>
      <c r="D58" s="25"/>
      <c r="E58" s="25"/>
      <c r="F58" s="25"/>
      <c r="G58" s="25"/>
      <c r="H58" s="25"/>
      <c r="I58" s="25"/>
      <c r="J58" s="25"/>
      <c r="K58" s="25"/>
      <c r="L58" s="25"/>
      <c r="M58" s="25"/>
      <c r="N58" s="25"/>
      <c r="O58" s="25"/>
      <c r="P58" s="25">
        <f>+T58-R58+1</f>
        <v>91</v>
      </c>
      <c r="Q58" s="25"/>
      <c r="R58" s="45">
        <v>39279</v>
      </c>
      <c r="S58" s="46"/>
      <c r="T58" s="45">
        <v>39369</v>
      </c>
      <c r="U58" s="25"/>
      <c r="V58" s="5"/>
    </row>
    <row r="59" spans="1:23" ht="15.6" x14ac:dyDescent="0.3">
      <c r="A59" s="24"/>
      <c r="B59" s="25" t="s">
        <v>209</v>
      </c>
      <c r="C59" s="25"/>
      <c r="D59" s="25"/>
      <c r="E59" s="25"/>
      <c r="F59" s="25"/>
      <c r="G59" s="25"/>
      <c r="H59" s="25"/>
      <c r="I59" s="25"/>
      <c r="J59" s="25"/>
      <c r="K59" s="25"/>
      <c r="L59" s="25"/>
      <c r="M59" s="25"/>
      <c r="N59" s="25"/>
      <c r="O59" s="25"/>
      <c r="P59" s="25"/>
      <c r="Q59" s="25"/>
      <c r="R59" s="45"/>
      <c r="S59" s="46"/>
      <c r="T59" s="45" t="s">
        <v>126</v>
      </c>
      <c r="U59" s="25"/>
      <c r="V59" s="5"/>
    </row>
    <row r="60" spans="1:23" ht="15.6" x14ac:dyDescent="0.3">
      <c r="A60" s="24"/>
      <c r="B60" s="25" t="s">
        <v>249</v>
      </c>
      <c r="C60" s="25"/>
      <c r="D60" s="25"/>
      <c r="E60" s="25"/>
      <c r="F60" s="25"/>
      <c r="G60" s="25"/>
      <c r="H60" s="25"/>
      <c r="I60" s="25"/>
      <c r="J60" s="25"/>
      <c r="K60" s="25"/>
      <c r="L60" s="25"/>
      <c r="M60" s="25"/>
      <c r="N60" s="25"/>
      <c r="O60" s="25"/>
      <c r="P60" s="25"/>
      <c r="Q60" s="25"/>
      <c r="R60" s="45"/>
      <c r="S60" s="46"/>
      <c r="T60" s="45" t="s">
        <v>160</v>
      </c>
      <c r="U60" s="25"/>
      <c r="V60" s="5"/>
      <c r="W60" s="134"/>
    </row>
    <row r="61" spans="1:23" ht="15.6" x14ac:dyDescent="0.3">
      <c r="A61" s="24"/>
      <c r="B61" s="25" t="s">
        <v>16</v>
      </c>
      <c r="C61" s="25"/>
      <c r="D61" s="25"/>
      <c r="E61" s="25"/>
      <c r="F61" s="25"/>
      <c r="G61" s="25"/>
      <c r="H61" s="25"/>
      <c r="I61" s="25"/>
      <c r="J61" s="25"/>
      <c r="K61" s="25"/>
      <c r="L61" s="25"/>
      <c r="M61" s="25"/>
      <c r="N61" s="25"/>
      <c r="O61" s="25"/>
      <c r="P61" s="25"/>
      <c r="Q61" s="25"/>
      <c r="R61" s="45"/>
      <c r="S61" s="46"/>
      <c r="T61" s="45">
        <v>39356</v>
      </c>
      <c r="U61" s="25"/>
      <c r="V61" s="5"/>
    </row>
    <row r="62" spans="1:23" ht="15.6" x14ac:dyDescent="0.3">
      <c r="A62" s="24"/>
      <c r="B62" s="25"/>
      <c r="C62" s="25"/>
      <c r="D62" s="25"/>
      <c r="E62" s="25"/>
      <c r="F62" s="25"/>
      <c r="G62" s="25"/>
      <c r="H62" s="25"/>
      <c r="I62" s="25"/>
      <c r="J62" s="25"/>
      <c r="K62" s="25"/>
      <c r="L62" s="25"/>
      <c r="M62" s="25"/>
      <c r="N62" s="25"/>
      <c r="O62" s="25"/>
      <c r="P62" s="25"/>
      <c r="Q62" s="25"/>
      <c r="R62" s="45"/>
      <c r="S62" s="46"/>
      <c r="T62" s="45"/>
      <c r="U62" s="25"/>
      <c r="V62" s="5"/>
    </row>
    <row r="63" spans="1:23" ht="15.6" x14ac:dyDescent="0.3">
      <c r="A63" s="6"/>
      <c r="B63" s="8"/>
      <c r="C63" s="8"/>
      <c r="D63" s="8"/>
      <c r="E63" s="8"/>
      <c r="F63" s="8"/>
      <c r="G63" s="8"/>
      <c r="H63" s="8"/>
      <c r="I63" s="8"/>
      <c r="J63" s="8"/>
      <c r="K63" s="8"/>
      <c r="L63" s="8"/>
      <c r="M63" s="8"/>
      <c r="N63" s="8"/>
      <c r="O63" s="8"/>
      <c r="P63" s="8"/>
      <c r="Q63" s="8"/>
      <c r="R63" s="47"/>
      <c r="S63" s="48"/>
      <c r="T63" s="47"/>
      <c r="U63" s="8"/>
      <c r="V63" s="5"/>
    </row>
    <row r="64" spans="1:23" ht="18" thickBot="1" x14ac:dyDescent="0.35">
      <c r="A64" s="101"/>
      <c r="B64" s="102" t="s">
        <v>271</v>
      </c>
      <c r="C64" s="103"/>
      <c r="D64" s="103"/>
      <c r="E64" s="103"/>
      <c r="F64" s="103"/>
      <c r="G64" s="103"/>
      <c r="H64" s="103"/>
      <c r="I64" s="103"/>
      <c r="J64" s="103"/>
      <c r="K64" s="103"/>
      <c r="L64" s="103"/>
      <c r="M64" s="103"/>
      <c r="N64" s="103"/>
      <c r="O64" s="103"/>
      <c r="P64" s="103"/>
      <c r="Q64" s="103"/>
      <c r="R64" s="103"/>
      <c r="S64" s="103"/>
      <c r="T64" s="104"/>
      <c r="U64" s="105"/>
      <c r="V64" s="5"/>
    </row>
    <row r="65" spans="1:22" ht="15.6" x14ac:dyDescent="0.3">
      <c r="A65" s="2"/>
      <c r="B65" s="4"/>
      <c r="C65" s="4"/>
      <c r="D65" s="4"/>
      <c r="E65" s="4"/>
      <c r="F65" s="4"/>
      <c r="G65" s="4"/>
      <c r="H65" s="4"/>
      <c r="I65" s="4"/>
      <c r="J65" s="4"/>
      <c r="K65" s="4"/>
      <c r="L65" s="4"/>
      <c r="M65" s="4"/>
      <c r="N65" s="4"/>
      <c r="O65" s="4"/>
      <c r="P65" s="4"/>
      <c r="Q65" s="4"/>
      <c r="R65" s="4"/>
      <c r="S65" s="4"/>
      <c r="T65" s="50"/>
      <c r="U65" s="4"/>
      <c r="V65" s="5"/>
    </row>
    <row r="66" spans="1:22" ht="15.6" x14ac:dyDescent="0.3">
      <c r="A66" s="6"/>
      <c r="B66" s="51" t="s">
        <v>17</v>
      </c>
      <c r="C66" s="8"/>
      <c r="D66" s="8"/>
      <c r="E66" s="8"/>
      <c r="F66" s="8"/>
      <c r="G66" s="8"/>
      <c r="H66" s="8"/>
      <c r="I66" s="8"/>
      <c r="J66" s="8"/>
      <c r="K66" s="8"/>
      <c r="L66" s="8"/>
      <c r="M66" s="8"/>
      <c r="N66" s="8"/>
      <c r="O66" s="8"/>
      <c r="P66" s="8"/>
      <c r="Q66" s="8"/>
      <c r="R66" s="8"/>
      <c r="S66" s="8"/>
      <c r="T66" s="52"/>
      <c r="U66" s="8"/>
      <c r="V66" s="5"/>
    </row>
    <row r="67" spans="1:22" ht="15.6" x14ac:dyDescent="0.3">
      <c r="A67" s="6"/>
      <c r="B67" s="13"/>
      <c r="C67" s="8"/>
      <c r="D67" s="8"/>
      <c r="E67" s="8"/>
      <c r="F67" s="8"/>
      <c r="G67" s="8"/>
      <c r="H67" s="8"/>
      <c r="I67" s="8"/>
      <c r="J67" s="8"/>
      <c r="K67" s="8"/>
      <c r="L67" s="8"/>
      <c r="M67" s="8"/>
      <c r="N67" s="8"/>
      <c r="O67" s="8"/>
      <c r="P67" s="8"/>
      <c r="Q67" s="8"/>
      <c r="R67" s="8"/>
      <c r="S67" s="8"/>
      <c r="T67" s="52"/>
      <c r="U67" s="8"/>
      <c r="V67" s="5"/>
    </row>
    <row r="68" spans="1:22" ht="46.8" x14ac:dyDescent="0.3">
      <c r="A68" s="6"/>
      <c r="B68" s="114" t="s">
        <v>18</v>
      </c>
      <c r="C68" s="115"/>
      <c r="D68" s="115"/>
      <c r="E68" s="115"/>
      <c r="F68" s="115"/>
      <c r="G68" s="115"/>
      <c r="H68" s="115"/>
      <c r="I68" s="115"/>
      <c r="J68" s="115" t="s">
        <v>97</v>
      </c>
      <c r="K68" s="115"/>
      <c r="L68" s="115" t="s">
        <v>99</v>
      </c>
      <c r="M68" s="115"/>
      <c r="N68" s="115" t="s">
        <v>101</v>
      </c>
      <c r="O68" s="115"/>
      <c r="P68" s="115" t="s">
        <v>103</v>
      </c>
      <c r="Q68" s="115"/>
      <c r="R68" s="115" t="s">
        <v>110</v>
      </c>
      <c r="S68" s="115"/>
      <c r="T68" s="116" t="s">
        <v>118</v>
      </c>
      <c r="U68" s="117"/>
      <c r="V68" s="5"/>
    </row>
    <row r="69" spans="1:22" ht="15.6" x14ac:dyDescent="0.3">
      <c r="A69" s="24"/>
      <c r="B69" s="25" t="s">
        <v>19</v>
      </c>
      <c r="C69" s="34"/>
      <c r="D69" s="34"/>
      <c r="E69" s="34"/>
      <c r="F69" s="34"/>
      <c r="G69" s="34"/>
      <c r="H69" s="34"/>
      <c r="I69" s="34"/>
      <c r="J69" s="34">
        <v>1000039</v>
      </c>
      <c r="K69" s="34"/>
      <c r="L69" s="53">
        <v>912238</v>
      </c>
      <c r="M69" s="34"/>
      <c r="N69" s="34">
        <f>19981+2828+1095</f>
        <v>23904</v>
      </c>
      <c r="O69" s="34"/>
      <c r="P69" s="34">
        <f>2828+1095</f>
        <v>3923</v>
      </c>
      <c r="Q69" s="34"/>
      <c r="R69" s="34">
        <v>0</v>
      </c>
      <c r="S69" s="34"/>
      <c r="T69" s="53">
        <f>+L69-N69+P69-R69</f>
        <v>892257</v>
      </c>
      <c r="U69" s="25"/>
      <c r="V69" s="5"/>
    </row>
    <row r="70" spans="1:22" ht="15.6" x14ac:dyDescent="0.3">
      <c r="A70" s="24"/>
      <c r="B70" s="25" t="s">
        <v>20</v>
      </c>
      <c r="C70" s="34"/>
      <c r="D70" s="34"/>
      <c r="E70" s="34"/>
      <c r="F70" s="34"/>
      <c r="G70" s="34"/>
      <c r="H70" s="34"/>
      <c r="I70" s="34"/>
      <c r="J70" s="34">
        <v>10</v>
      </c>
      <c r="K70" s="34"/>
      <c r="L70" s="53">
        <v>0</v>
      </c>
      <c r="M70" s="34"/>
      <c r="N70" s="34">
        <v>0</v>
      </c>
      <c r="O70" s="34"/>
      <c r="P70" s="34">
        <v>0</v>
      </c>
      <c r="Q70" s="34"/>
      <c r="R70" s="34">
        <v>0</v>
      </c>
      <c r="S70" s="34"/>
      <c r="T70" s="53">
        <v>0</v>
      </c>
      <c r="U70" s="25"/>
      <c r="V70" s="5"/>
    </row>
    <row r="71" spans="1:22" ht="15.6" x14ac:dyDescent="0.3">
      <c r="A71" s="24"/>
      <c r="B71" s="25"/>
      <c r="C71" s="34"/>
      <c r="D71" s="34"/>
      <c r="E71" s="34"/>
      <c r="F71" s="34"/>
      <c r="G71" s="34"/>
      <c r="H71" s="34"/>
      <c r="I71" s="34"/>
      <c r="J71" s="34"/>
      <c r="K71" s="34"/>
      <c r="L71" s="53"/>
      <c r="M71" s="34"/>
      <c r="N71" s="34"/>
      <c r="O71" s="34"/>
      <c r="P71" s="34"/>
      <c r="Q71" s="34"/>
      <c r="R71" s="34"/>
      <c r="S71" s="34"/>
      <c r="T71" s="53"/>
      <c r="U71" s="25"/>
      <c r="V71" s="5"/>
    </row>
    <row r="72" spans="1:22" ht="15.6" x14ac:dyDescent="0.3">
      <c r="A72" s="24"/>
      <c r="B72" s="25" t="s">
        <v>21</v>
      </c>
      <c r="C72" s="34"/>
      <c r="D72" s="34"/>
      <c r="E72" s="34"/>
      <c r="F72" s="34"/>
      <c r="G72" s="34"/>
      <c r="H72" s="34"/>
      <c r="I72" s="34"/>
      <c r="J72" s="34">
        <f>SUM(J69:J71)</f>
        <v>1000049</v>
      </c>
      <c r="K72" s="34"/>
      <c r="L72" s="54">
        <f>L69+L70</f>
        <v>912238</v>
      </c>
      <c r="M72" s="34"/>
      <c r="N72" s="34">
        <f>SUM(N69:N71)</f>
        <v>23904</v>
      </c>
      <c r="O72" s="34"/>
      <c r="P72" s="34">
        <f>SUM(P69:P71)</f>
        <v>3923</v>
      </c>
      <c r="Q72" s="34"/>
      <c r="R72" s="34">
        <f>SUM(R69:R71)</f>
        <v>0</v>
      </c>
      <c r="S72" s="34"/>
      <c r="T72" s="54">
        <f>SUM(T69:T71)</f>
        <v>892257</v>
      </c>
      <c r="U72" s="25"/>
      <c r="V72" s="5"/>
    </row>
    <row r="73" spans="1:22" ht="15.6" x14ac:dyDescent="0.3">
      <c r="A73" s="24"/>
      <c r="B73" s="25"/>
      <c r="C73" s="34"/>
      <c r="D73" s="34"/>
      <c r="E73" s="34"/>
      <c r="F73" s="34"/>
      <c r="G73" s="34"/>
      <c r="H73" s="34"/>
      <c r="I73" s="34"/>
      <c r="J73" s="34"/>
      <c r="K73" s="34"/>
      <c r="L73" s="34"/>
      <c r="M73" s="34"/>
      <c r="N73" s="34"/>
      <c r="O73" s="34"/>
      <c r="P73" s="34"/>
      <c r="Q73" s="34"/>
      <c r="R73" s="34"/>
      <c r="S73" s="34"/>
      <c r="T73" s="54"/>
      <c r="U73" s="25"/>
      <c r="V73" s="5"/>
    </row>
    <row r="74" spans="1:22" ht="15.6" x14ac:dyDescent="0.3">
      <c r="A74" s="6"/>
      <c r="B74" s="111" t="s">
        <v>22</v>
      </c>
      <c r="C74" s="55"/>
      <c r="D74" s="55"/>
      <c r="E74" s="55"/>
      <c r="F74" s="55"/>
      <c r="G74" s="55"/>
      <c r="H74" s="55"/>
      <c r="I74" s="55"/>
      <c r="J74" s="55"/>
      <c r="K74" s="55"/>
      <c r="L74" s="55"/>
      <c r="M74" s="55"/>
      <c r="N74" s="55"/>
      <c r="O74" s="55"/>
      <c r="P74" s="55"/>
      <c r="Q74" s="55"/>
      <c r="R74" s="55"/>
      <c r="S74" s="55"/>
      <c r="T74" s="56"/>
      <c r="U74" s="8"/>
      <c r="V74" s="5"/>
    </row>
    <row r="75" spans="1:22" ht="15.6" x14ac:dyDescent="0.3">
      <c r="A75" s="6"/>
      <c r="B75" s="8"/>
      <c r="C75" s="55"/>
      <c r="D75" s="55"/>
      <c r="E75" s="55"/>
      <c r="F75" s="55"/>
      <c r="G75" s="55"/>
      <c r="H75" s="55"/>
      <c r="I75" s="55"/>
      <c r="J75" s="55"/>
      <c r="K75" s="55"/>
      <c r="L75" s="55"/>
      <c r="M75" s="55"/>
      <c r="N75" s="55"/>
      <c r="O75" s="55"/>
      <c r="P75" s="55"/>
      <c r="Q75" s="55"/>
      <c r="R75" s="55"/>
      <c r="S75" s="55"/>
      <c r="T75" s="56"/>
      <c r="U75" s="8"/>
      <c r="V75" s="5"/>
    </row>
    <row r="76" spans="1:22" ht="15.6" x14ac:dyDescent="0.3">
      <c r="A76" s="24"/>
      <c r="B76" s="25" t="s">
        <v>19</v>
      </c>
      <c r="C76" s="34"/>
      <c r="D76" s="34"/>
      <c r="E76" s="34"/>
      <c r="F76" s="34"/>
      <c r="G76" s="34"/>
      <c r="H76" s="34"/>
      <c r="I76" s="34"/>
      <c r="J76" s="34"/>
      <c r="K76" s="34"/>
      <c r="L76" s="34"/>
      <c r="M76" s="34"/>
      <c r="N76" s="34"/>
      <c r="O76" s="34"/>
      <c r="P76" s="34"/>
      <c r="Q76" s="34"/>
      <c r="R76" s="34"/>
      <c r="S76" s="34"/>
      <c r="T76" s="54"/>
      <c r="U76" s="25"/>
      <c r="V76" s="5"/>
    </row>
    <row r="77" spans="1:22" ht="15.6" x14ac:dyDescent="0.3">
      <c r="A77" s="24"/>
      <c r="B77" s="25" t="s">
        <v>20</v>
      </c>
      <c r="C77" s="34"/>
      <c r="D77" s="34"/>
      <c r="E77" s="34"/>
      <c r="F77" s="34"/>
      <c r="G77" s="34"/>
      <c r="H77" s="34"/>
      <c r="I77" s="34"/>
      <c r="J77" s="34"/>
      <c r="K77" s="34"/>
      <c r="L77" s="34"/>
      <c r="M77" s="34"/>
      <c r="N77" s="34"/>
      <c r="O77" s="34"/>
      <c r="P77" s="34"/>
      <c r="Q77" s="34"/>
      <c r="R77" s="34"/>
      <c r="S77" s="34"/>
      <c r="T77" s="54"/>
      <c r="U77" s="25"/>
      <c r="V77" s="5"/>
    </row>
    <row r="78" spans="1:22" ht="15.6" x14ac:dyDescent="0.3">
      <c r="A78" s="24"/>
      <c r="B78" s="25"/>
      <c r="C78" s="34"/>
      <c r="D78" s="34"/>
      <c r="E78" s="34"/>
      <c r="F78" s="34"/>
      <c r="G78" s="34"/>
      <c r="H78" s="34"/>
      <c r="I78" s="34"/>
      <c r="J78" s="34"/>
      <c r="K78" s="34"/>
      <c r="L78" s="34"/>
      <c r="M78" s="34"/>
      <c r="N78" s="34"/>
      <c r="O78" s="34"/>
      <c r="P78" s="34"/>
      <c r="Q78" s="34"/>
      <c r="R78" s="34"/>
      <c r="S78" s="34"/>
      <c r="T78" s="54"/>
      <c r="U78" s="25"/>
      <c r="V78" s="5"/>
    </row>
    <row r="79" spans="1:22" ht="15.6" x14ac:dyDescent="0.3">
      <c r="A79" s="24"/>
      <c r="B79" s="25" t="s">
        <v>21</v>
      </c>
      <c r="C79" s="34"/>
      <c r="D79" s="34"/>
      <c r="E79" s="34"/>
      <c r="F79" s="34"/>
      <c r="G79" s="34"/>
      <c r="H79" s="34"/>
      <c r="I79" s="34"/>
      <c r="J79" s="34"/>
      <c r="K79" s="34"/>
      <c r="L79" s="34"/>
      <c r="M79" s="34"/>
      <c r="N79" s="34"/>
      <c r="O79" s="34"/>
      <c r="P79" s="34"/>
      <c r="Q79" s="34"/>
      <c r="R79" s="34"/>
      <c r="S79" s="34"/>
      <c r="T79" s="34"/>
      <c r="U79" s="25"/>
      <c r="V79" s="5"/>
    </row>
    <row r="80" spans="1:22" ht="15.6" x14ac:dyDescent="0.3">
      <c r="A80" s="24"/>
      <c r="B80" s="25"/>
      <c r="C80" s="34"/>
      <c r="D80" s="34"/>
      <c r="E80" s="34"/>
      <c r="F80" s="34"/>
      <c r="G80" s="34"/>
      <c r="H80" s="34"/>
      <c r="I80" s="34"/>
      <c r="J80" s="34"/>
      <c r="K80" s="34"/>
      <c r="L80" s="34"/>
      <c r="M80" s="34"/>
      <c r="N80" s="34"/>
      <c r="O80" s="34"/>
      <c r="P80" s="34"/>
      <c r="Q80" s="34"/>
      <c r="R80" s="34"/>
      <c r="S80" s="34"/>
      <c r="T80" s="34"/>
      <c r="U80" s="25"/>
      <c r="V80" s="5"/>
    </row>
    <row r="81" spans="1:22" ht="15.6" x14ac:dyDescent="0.3">
      <c r="A81" s="24"/>
      <c r="B81" s="25" t="s">
        <v>23</v>
      </c>
      <c r="C81" s="34"/>
      <c r="D81" s="34"/>
      <c r="E81" s="34"/>
      <c r="F81" s="34"/>
      <c r="G81" s="34"/>
      <c r="H81" s="34"/>
      <c r="I81" s="34"/>
      <c r="J81" s="34">
        <v>0</v>
      </c>
      <c r="K81" s="34"/>
      <c r="L81" s="34">
        <v>0</v>
      </c>
      <c r="M81" s="34"/>
      <c r="N81" s="34"/>
      <c r="O81" s="34"/>
      <c r="P81" s="34"/>
      <c r="Q81" s="34"/>
      <c r="R81" s="34"/>
      <c r="S81" s="34"/>
      <c r="T81" s="53">
        <v>0</v>
      </c>
      <c r="U81" s="25"/>
      <c r="V81" s="5"/>
    </row>
    <row r="82" spans="1:22" ht="15.6" x14ac:dyDescent="0.3">
      <c r="A82" s="24"/>
      <c r="B82" s="25" t="s">
        <v>123</v>
      </c>
      <c r="C82" s="34"/>
      <c r="D82" s="34"/>
      <c r="E82" s="34"/>
      <c r="F82" s="34"/>
      <c r="G82" s="34"/>
      <c r="H82" s="34"/>
      <c r="I82" s="34"/>
      <c r="J82" s="34">
        <v>0</v>
      </c>
      <c r="K82" s="34"/>
      <c r="L82" s="34">
        <v>0</v>
      </c>
      <c r="M82" s="34"/>
      <c r="N82" s="34"/>
      <c r="O82" s="34"/>
      <c r="P82" s="34"/>
      <c r="Q82" s="34"/>
      <c r="R82" s="34"/>
      <c r="S82" s="34"/>
      <c r="T82" s="54">
        <f>SUM(J82:P82)</f>
        <v>0</v>
      </c>
      <c r="U82" s="25"/>
      <c r="V82" s="5"/>
    </row>
    <row r="83" spans="1:22" ht="15.6" x14ac:dyDescent="0.3">
      <c r="A83" s="24"/>
      <c r="B83" s="25" t="s">
        <v>152</v>
      </c>
      <c r="C83" s="34"/>
      <c r="D83" s="34"/>
      <c r="E83" s="34"/>
      <c r="F83" s="34"/>
      <c r="G83" s="34"/>
      <c r="H83" s="34"/>
      <c r="I83" s="34"/>
      <c r="J83" s="34">
        <v>1</v>
      </c>
      <c r="K83" s="34"/>
      <c r="L83" s="34">
        <v>0</v>
      </c>
      <c r="M83" s="34"/>
      <c r="N83" s="34">
        <v>0</v>
      </c>
      <c r="O83" s="34"/>
      <c r="P83" s="34"/>
      <c r="Q83" s="34"/>
      <c r="R83" s="34"/>
      <c r="S83" s="34"/>
      <c r="T83" s="54">
        <f>+L83+N83</f>
        <v>0</v>
      </c>
      <c r="U83" s="25"/>
      <c r="V83" s="5"/>
    </row>
    <row r="84" spans="1:22" ht="15.6" x14ac:dyDescent="0.3">
      <c r="A84" s="24"/>
      <c r="B84" s="25" t="s">
        <v>25</v>
      </c>
      <c r="C84" s="34"/>
      <c r="D84" s="34"/>
      <c r="E84" s="34"/>
      <c r="F84" s="34"/>
      <c r="G84" s="34"/>
      <c r="H84" s="34"/>
      <c r="I84" s="34"/>
      <c r="J84" s="34">
        <v>0</v>
      </c>
      <c r="K84" s="34"/>
      <c r="L84" s="34">
        <v>0</v>
      </c>
      <c r="M84" s="34"/>
      <c r="N84" s="34"/>
      <c r="O84" s="34"/>
      <c r="P84" s="34"/>
      <c r="Q84" s="34"/>
      <c r="R84" s="34"/>
      <c r="S84" s="34"/>
      <c r="T84" s="54">
        <v>0</v>
      </c>
      <c r="U84" s="25"/>
      <c r="V84" s="5"/>
    </row>
    <row r="85" spans="1:22" ht="15.6" x14ac:dyDescent="0.3">
      <c r="A85" s="24"/>
      <c r="B85" s="25" t="s">
        <v>26</v>
      </c>
      <c r="C85" s="34"/>
      <c r="D85" s="34"/>
      <c r="E85" s="34"/>
      <c r="F85" s="54"/>
      <c r="G85" s="34"/>
      <c r="H85" s="54"/>
      <c r="I85" s="54"/>
      <c r="J85" s="54">
        <f>SUM(J72:J84)</f>
        <v>1000050</v>
      </c>
      <c r="K85" s="34"/>
      <c r="L85" s="54">
        <f>SUM(L72:L84)</f>
        <v>912238</v>
      </c>
      <c r="M85" s="34"/>
      <c r="N85" s="34"/>
      <c r="O85" s="34"/>
      <c r="P85" s="34"/>
      <c r="Q85" s="34"/>
      <c r="R85" s="54"/>
      <c r="S85" s="34"/>
      <c r="T85" s="54">
        <f>SUM(T72:T84)</f>
        <v>892257</v>
      </c>
      <c r="U85" s="25"/>
      <c r="V85" s="5"/>
    </row>
    <row r="86" spans="1:22" ht="15.6" x14ac:dyDescent="0.3">
      <c r="A86" s="24"/>
      <c r="B86" s="25"/>
      <c r="C86" s="34"/>
      <c r="D86" s="34"/>
      <c r="E86" s="34"/>
      <c r="F86" s="34"/>
      <c r="G86" s="34"/>
      <c r="H86" s="34"/>
      <c r="I86" s="34"/>
      <c r="J86" s="34"/>
      <c r="K86" s="34"/>
      <c r="L86" s="34"/>
      <c r="M86" s="34"/>
      <c r="N86" s="34"/>
      <c r="O86" s="34"/>
      <c r="P86" s="34"/>
      <c r="Q86" s="34"/>
      <c r="R86" s="34"/>
      <c r="S86" s="34"/>
      <c r="T86" s="54"/>
      <c r="U86" s="25"/>
      <c r="V86" s="5"/>
    </row>
    <row r="87" spans="1:22" ht="15.6" x14ac:dyDescent="0.3">
      <c r="A87" s="6"/>
      <c r="B87" s="8"/>
      <c r="C87" s="8"/>
      <c r="D87" s="8"/>
      <c r="E87" s="8"/>
      <c r="F87" s="8"/>
      <c r="G87" s="8"/>
      <c r="H87" s="8"/>
      <c r="I87" s="8"/>
      <c r="J87" s="8"/>
      <c r="K87" s="8"/>
      <c r="L87" s="8"/>
      <c r="M87" s="8"/>
      <c r="N87" s="8"/>
      <c r="O87" s="8"/>
      <c r="P87" s="8"/>
      <c r="Q87" s="8"/>
      <c r="R87" s="8"/>
      <c r="S87" s="8"/>
      <c r="T87" s="8"/>
      <c r="U87" s="8"/>
      <c r="V87" s="5"/>
    </row>
    <row r="88" spans="1:22" ht="15.6" x14ac:dyDescent="0.3">
      <c r="A88" s="6"/>
      <c r="B88" s="51" t="s">
        <v>27</v>
      </c>
      <c r="C88" s="14"/>
      <c r="D88" s="14"/>
      <c r="E88" s="14"/>
      <c r="F88" s="14"/>
      <c r="G88" s="14"/>
      <c r="H88" s="17"/>
      <c r="I88" s="17"/>
      <c r="J88" s="159" t="s">
        <v>98</v>
      </c>
      <c r="K88" s="17"/>
      <c r="L88" s="158">
        <f>+R192</f>
        <v>39353</v>
      </c>
      <c r="M88" s="17"/>
      <c r="N88" s="17"/>
      <c r="O88" s="17"/>
      <c r="P88" s="17"/>
      <c r="Q88" s="17"/>
      <c r="R88" s="17" t="s">
        <v>111</v>
      </c>
      <c r="S88" s="17"/>
      <c r="T88" s="17" t="s">
        <v>119</v>
      </c>
      <c r="U88" s="8"/>
      <c r="V88" s="5"/>
    </row>
    <row r="89" spans="1:22" ht="15.6" x14ac:dyDescent="0.3">
      <c r="A89" s="24"/>
      <c r="B89" s="25" t="s">
        <v>28</v>
      </c>
      <c r="C89" s="25"/>
      <c r="D89" s="25"/>
      <c r="E89" s="25"/>
      <c r="F89" s="25"/>
      <c r="G89" s="25"/>
      <c r="H89" s="25"/>
      <c r="I89" s="25"/>
      <c r="J89" s="25"/>
      <c r="K89" s="25"/>
      <c r="L89" s="25"/>
      <c r="M89" s="25"/>
      <c r="N89" s="25"/>
      <c r="O89" s="25"/>
      <c r="P89" s="25"/>
      <c r="Q89" s="25"/>
      <c r="R89" s="34">
        <v>0</v>
      </c>
      <c r="S89" s="25"/>
      <c r="T89" s="53">
        <v>0</v>
      </c>
      <c r="U89" s="25"/>
      <c r="V89" s="5"/>
    </row>
    <row r="90" spans="1:22" ht="15.6" x14ac:dyDescent="0.3">
      <c r="A90" s="24"/>
      <c r="B90" s="25" t="s">
        <v>29</v>
      </c>
      <c r="C90" s="25"/>
      <c r="D90" s="25"/>
      <c r="E90" s="25"/>
      <c r="F90" s="25"/>
      <c r="G90" s="25"/>
      <c r="H90" s="40"/>
      <c r="I90" s="57"/>
      <c r="J90" s="40"/>
      <c r="K90" s="25"/>
      <c r="L90" s="127"/>
      <c r="M90" s="25"/>
      <c r="N90" s="25"/>
      <c r="O90" s="25"/>
      <c r="P90" s="25"/>
      <c r="Q90" s="25"/>
      <c r="R90" s="34">
        <f>23904-4</f>
        <v>23900</v>
      </c>
      <c r="S90" s="25"/>
      <c r="T90" s="53"/>
      <c r="U90" s="25"/>
      <c r="V90" s="5"/>
    </row>
    <row r="91" spans="1:22" ht="15.6" x14ac:dyDescent="0.3">
      <c r="A91" s="24"/>
      <c r="B91" s="25" t="s">
        <v>225</v>
      </c>
      <c r="C91" s="25"/>
      <c r="D91" s="25"/>
      <c r="E91" s="25"/>
      <c r="F91" s="25"/>
      <c r="G91" s="25"/>
      <c r="H91" s="40"/>
      <c r="I91" s="57"/>
      <c r="J91" s="40"/>
      <c r="K91" s="25"/>
      <c r="L91" s="127"/>
      <c r="M91" s="25"/>
      <c r="N91" s="25"/>
      <c r="O91" s="25"/>
      <c r="P91" s="25"/>
      <c r="Q91" s="25"/>
      <c r="R91" s="34"/>
      <c r="S91" s="25"/>
      <c r="T91" s="53">
        <f>5942+7046-709-381</f>
        <v>11898</v>
      </c>
      <c r="U91" s="25"/>
      <c r="V91" s="5"/>
    </row>
    <row r="92" spans="1:22" ht="15.6" x14ac:dyDescent="0.3">
      <c r="A92" s="24"/>
      <c r="B92" s="25" t="s">
        <v>220</v>
      </c>
      <c r="C92" s="25"/>
      <c r="D92" s="25"/>
      <c r="E92" s="25"/>
      <c r="F92" s="25"/>
      <c r="G92" s="25"/>
      <c r="H92" s="40"/>
      <c r="I92" s="57"/>
      <c r="J92" s="40"/>
      <c r="K92" s="25"/>
      <c r="L92" s="127"/>
      <c r="M92" s="25"/>
      <c r="N92" s="25"/>
      <c r="O92" s="25"/>
      <c r="P92" s="25"/>
      <c r="Q92" s="25"/>
      <c r="R92" s="34"/>
      <c r="S92" s="25"/>
      <c r="T92" s="53">
        <f>174+434</f>
        <v>608</v>
      </c>
      <c r="U92" s="25"/>
      <c r="V92" s="5"/>
    </row>
    <row r="93" spans="1:22" ht="15.6" x14ac:dyDescent="0.3">
      <c r="A93" s="24"/>
      <c r="B93" s="25" t="s">
        <v>221</v>
      </c>
      <c r="C93" s="25"/>
      <c r="D93" s="25"/>
      <c r="E93" s="25"/>
      <c r="F93" s="25"/>
      <c r="G93" s="25"/>
      <c r="H93" s="40"/>
      <c r="I93" s="57"/>
      <c r="J93" s="40"/>
      <c r="K93" s="25"/>
      <c r="L93" s="127"/>
      <c r="M93" s="25"/>
      <c r="N93" s="25"/>
      <c r="O93" s="25"/>
      <c r="P93" s="25"/>
      <c r="Q93" s="25"/>
      <c r="R93" s="34"/>
      <c r="S93" s="25"/>
      <c r="T93" s="53">
        <v>502</v>
      </c>
      <c r="U93" s="25"/>
      <c r="V93" s="5"/>
    </row>
    <row r="94" spans="1:22" ht="15.6" x14ac:dyDescent="0.3">
      <c r="A94" s="24"/>
      <c r="B94" s="25" t="s">
        <v>261</v>
      </c>
      <c r="C94" s="25"/>
      <c r="D94" s="25"/>
      <c r="E94" s="25"/>
      <c r="F94" s="25"/>
      <c r="G94" s="25"/>
      <c r="H94" s="40"/>
      <c r="I94" s="57"/>
      <c r="J94" s="40"/>
      <c r="K94" s="25"/>
      <c r="L94" s="127"/>
      <c r="M94" s="25"/>
      <c r="N94" s="25"/>
      <c r="O94" s="25"/>
      <c r="P94" s="25"/>
      <c r="Q94" s="25"/>
      <c r="R94" s="34"/>
      <c r="S94" s="25"/>
      <c r="T94" s="53">
        <v>2503</v>
      </c>
      <c r="U94" s="25"/>
      <c r="V94" s="5"/>
    </row>
    <row r="95" spans="1:22" ht="15.6" x14ac:dyDescent="0.3">
      <c r="A95" s="24"/>
      <c r="B95" s="25" t="s">
        <v>141</v>
      </c>
      <c r="C95" s="25"/>
      <c r="D95" s="25"/>
      <c r="E95" s="25"/>
      <c r="F95" s="25"/>
      <c r="G95" s="25"/>
      <c r="H95" s="25"/>
      <c r="I95" s="25"/>
      <c r="J95" s="25"/>
      <c r="K95" s="25"/>
      <c r="L95" s="25"/>
      <c r="M95" s="25"/>
      <c r="N95" s="25"/>
      <c r="O95" s="25"/>
      <c r="P95" s="25"/>
      <c r="Q95" s="25"/>
      <c r="R95" s="34"/>
      <c r="S95" s="25"/>
      <c r="T95" s="53">
        <v>0</v>
      </c>
      <c r="U95" s="25"/>
      <c r="V95" s="5"/>
    </row>
    <row r="96" spans="1:22" ht="15.6" x14ac:dyDescent="0.3">
      <c r="A96" s="24"/>
      <c r="B96" s="25" t="s">
        <v>250</v>
      </c>
      <c r="C96" s="25"/>
      <c r="D96" s="25"/>
      <c r="E96" s="25"/>
      <c r="F96" s="25"/>
      <c r="G96" s="25"/>
      <c r="H96" s="25"/>
      <c r="I96" s="25"/>
      <c r="J96" s="25"/>
      <c r="K96" s="25"/>
      <c r="L96" s="25"/>
      <c r="M96" s="25"/>
      <c r="N96" s="25"/>
      <c r="O96" s="25"/>
      <c r="P96" s="25"/>
      <c r="Q96" s="25"/>
      <c r="R96" s="34"/>
      <c r="S96" s="25"/>
      <c r="T96" s="53">
        <v>1799</v>
      </c>
      <c r="U96" s="25"/>
      <c r="V96" s="5"/>
    </row>
    <row r="97" spans="1:24" ht="15.6" x14ac:dyDescent="0.3">
      <c r="A97" s="24"/>
      <c r="B97" s="25" t="s">
        <v>30</v>
      </c>
      <c r="C97" s="25"/>
      <c r="D97" s="25"/>
      <c r="E97" s="25"/>
      <c r="F97" s="25"/>
      <c r="G97" s="25"/>
      <c r="H97" s="25"/>
      <c r="I97" s="25"/>
      <c r="J97" s="25"/>
      <c r="K97" s="25"/>
      <c r="L97" s="25"/>
      <c r="M97" s="25"/>
      <c r="N97" s="25"/>
      <c r="O97" s="25"/>
      <c r="P97" s="25"/>
      <c r="Q97" s="25"/>
      <c r="R97" s="34">
        <f>SUM(R89:R96)</f>
        <v>23900</v>
      </c>
      <c r="S97" s="25"/>
      <c r="T97" s="54">
        <f>SUM(T89:T96)</f>
        <v>17310</v>
      </c>
      <c r="U97" s="25"/>
      <c r="V97" s="5"/>
    </row>
    <row r="98" spans="1:24" ht="15.6" x14ac:dyDescent="0.3">
      <c r="A98" s="24"/>
      <c r="B98" s="25" t="s">
        <v>168</v>
      </c>
      <c r="C98" s="25"/>
      <c r="D98" s="25"/>
      <c r="E98" s="25"/>
      <c r="F98" s="25"/>
      <c r="G98" s="25"/>
      <c r="H98" s="25"/>
      <c r="I98" s="25"/>
      <c r="J98" s="25"/>
      <c r="K98" s="25"/>
      <c r="L98" s="25"/>
      <c r="M98" s="25"/>
      <c r="N98" s="25"/>
      <c r="O98" s="25"/>
      <c r="P98" s="25"/>
      <c r="Q98" s="25"/>
      <c r="R98" s="34">
        <f>-T98</f>
        <v>-60</v>
      </c>
      <c r="S98" s="25"/>
      <c r="T98" s="54">
        <v>60</v>
      </c>
      <c r="U98" s="25"/>
      <c r="V98" s="5"/>
    </row>
    <row r="99" spans="1:24" ht="15.6" x14ac:dyDescent="0.3">
      <c r="A99" s="24"/>
      <c r="B99" s="25" t="s">
        <v>31</v>
      </c>
      <c r="C99" s="25"/>
      <c r="D99" s="25"/>
      <c r="E99" s="25"/>
      <c r="F99" s="25"/>
      <c r="G99" s="25"/>
      <c r="H99" s="25"/>
      <c r="I99" s="25"/>
      <c r="J99" s="25"/>
      <c r="K99" s="25"/>
      <c r="L99" s="25"/>
      <c r="M99" s="25"/>
      <c r="N99" s="25"/>
      <c r="O99" s="25"/>
      <c r="P99" s="25"/>
      <c r="Q99" s="25"/>
      <c r="R99" s="34">
        <f>-T99</f>
        <v>0</v>
      </c>
      <c r="S99" s="25"/>
      <c r="T99" s="53">
        <v>0</v>
      </c>
      <c r="U99" s="25"/>
      <c r="V99" s="5"/>
    </row>
    <row r="100" spans="1:24" ht="15.6" x14ac:dyDescent="0.3">
      <c r="A100" s="24"/>
      <c r="B100" s="25" t="s">
        <v>32</v>
      </c>
      <c r="C100" s="25"/>
      <c r="D100" s="25"/>
      <c r="E100" s="25"/>
      <c r="F100" s="25"/>
      <c r="G100" s="25"/>
      <c r="H100" s="25"/>
      <c r="I100" s="25"/>
      <c r="J100" s="25"/>
      <c r="K100" s="25"/>
      <c r="L100" s="25"/>
      <c r="M100" s="25"/>
      <c r="N100" s="25"/>
      <c r="O100" s="25"/>
      <c r="P100" s="25"/>
      <c r="Q100" s="25"/>
      <c r="R100" s="34">
        <f>R97+R99+R98</f>
        <v>23840</v>
      </c>
      <c r="S100" s="25"/>
      <c r="T100" s="54">
        <f>T97+T99+T98</f>
        <v>17370</v>
      </c>
      <c r="U100" s="25"/>
      <c r="V100" s="5"/>
    </row>
    <row r="101" spans="1:24" ht="15.6" x14ac:dyDescent="0.3">
      <c r="A101" s="24"/>
      <c r="B101" s="118" t="s">
        <v>33</v>
      </c>
      <c r="C101" s="25"/>
      <c r="D101" s="25"/>
      <c r="E101" s="25"/>
      <c r="F101" s="25"/>
      <c r="G101" s="25"/>
      <c r="H101" s="25"/>
      <c r="I101" s="25"/>
      <c r="J101" s="25"/>
      <c r="K101" s="25"/>
      <c r="L101" s="25"/>
      <c r="M101" s="25"/>
      <c r="N101" s="25"/>
      <c r="O101" s="25"/>
      <c r="P101" s="25"/>
      <c r="Q101" s="25"/>
      <c r="R101" s="34"/>
      <c r="S101" s="25"/>
      <c r="T101" s="53"/>
      <c r="U101" s="25"/>
      <c r="V101" s="5"/>
    </row>
    <row r="102" spans="1:24" ht="15.6" x14ac:dyDescent="0.3">
      <c r="A102" s="24">
        <v>1</v>
      </c>
      <c r="B102" s="25" t="s">
        <v>34</v>
      </c>
      <c r="C102" s="25"/>
      <c r="D102" s="25"/>
      <c r="E102" s="25"/>
      <c r="F102" s="25"/>
      <c r="G102" s="25"/>
      <c r="H102" s="25"/>
      <c r="I102" s="25"/>
      <c r="J102" s="25"/>
      <c r="K102" s="25"/>
      <c r="L102" s="25"/>
      <c r="M102" s="25"/>
      <c r="N102" s="25"/>
      <c r="O102" s="25"/>
      <c r="P102" s="25"/>
      <c r="Q102" s="25"/>
      <c r="R102" s="25"/>
      <c r="S102" s="25"/>
      <c r="T102" s="53">
        <v>0</v>
      </c>
      <c r="U102" s="25"/>
      <c r="V102" s="5"/>
    </row>
    <row r="103" spans="1:24" ht="15.6" x14ac:dyDescent="0.3">
      <c r="A103" s="24">
        <f>+A102+1</f>
        <v>2</v>
      </c>
      <c r="B103" s="25" t="s">
        <v>255</v>
      </c>
      <c r="C103" s="25"/>
      <c r="D103" s="25"/>
      <c r="E103" s="25"/>
      <c r="F103" s="25"/>
      <c r="G103" s="25"/>
      <c r="H103" s="25"/>
      <c r="I103" s="25"/>
      <c r="J103" s="25"/>
      <c r="K103" s="25"/>
      <c r="L103" s="25"/>
      <c r="M103" s="25"/>
      <c r="N103" s="25"/>
      <c r="O103" s="25"/>
      <c r="P103" s="25"/>
      <c r="Q103" s="25"/>
      <c r="R103" s="25"/>
      <c r="S103" s="25"/>
      <c r="T103" s="53">
        <v>-2</v>
      </c>
      <c r="U103" s="25"/>
      <c r="V103" s="5"/>
    </row>
    <row r="104" spans="1:24" ht="15.6" x14ac:dyDescent="0.3">
      <c r="A104" s="24">
        <f>+A103+1</f>
        <v>3</v>
      </c>
      <c r="B104" s="25" t="s">
        <v>213</v>
      </c>
      <c r="C104" s="25"/>
      <c r="D104" s="25"/>
      <c r="E104" s="25"/>
      <c r="F104" s="25"/>
      <c r="G104" s="25"/>
      <c r="H104" s="25"/>
      <c r="I104" s="25"/>
      <c r="J104" s="25"/>
      <c r="K104" s="25"/>
      <c r="L104" s="25"/>
      <c r="M104" s="25"/>
      <c r="N104" s="25"/>
      <c r="O104" s="25"/>
      <c r="P104" s="25"/>
      <c r="Q104" s="25"/>
      <c r="R104" s="25"/>
      <c r="S104" s="25"/>
      <c r="T104" s="53">
        <f>-345-16-11</f>
        <v>-372</v>
      </c>
      <c r="U104" s="25"/>
      <c r="V104" s="5"/>
    </row>
    <row r="105" spans="1:24" ht="15.6" x14ac:dyDescent="0.3">
      <c r="A105" s="24" t="s">
        <v>133</v>
      </c>
      <c r="B105" s="25" t="s">
        <v>122</v>
      </c>
      <c r="C105" s="25"/>
      <c r="D105" s="25"/>
      <c r="E105" s="25"/>
      <c r="F105" s="25"/>
      <c r="G105" s="25"/>
      <c r="H105" s="25"/>
      <c r="I105" s="25"/>
      <c r="J105" s="25"/>
      <c r="K105" s="25"/>
      <c r="L105" s="25"/>
      <c r="M105" s="25"/>
      <c r="N105" s="25"/>
      <c r="O105" s="25"/>
      <c r="P105" s="25"/>
      <c r="Q105" s="25"/>
      <c r="R105" s="25"/>
      <c r="S105" s="25"/>
      <c r="T105" s="53">
        <v>0</v>
      </c>
      <c r="U105" s="25"/>
      <c r="V105" s="5"/>
    </row>
    <row r="106" spans="1:24" ht="15.6" x14ac:dyDescent="0.3">
      <c r="A106" s="24" t="s">
        <v>134</v>
      </c>
      <c r="B106" s="25" t="s">
        <v>194</v>
      </c>
      <c r="C106" s="25"/>
      <c r="D106" s="25"/>
      <c r="E106" s="25"/>
      <c r="F106" s="25"/>
      <c r="G106" s="25"/>
      <c r="H106" s="25"/>
      <c r="I106" s="25"/>
      <c r="J106" s="25"/>
      <c r="K106" s="25"/>
      <c r="L106" s="25"/>
      <c r="M106" s="25"/>
      <c r="N106" s="25"/>
      <c r="O106" s="25"/>
      <c r="P106" s="25"/>
      <c r="Q106" s="25"/>
      <c r="R106" s="25"/>
      <c r="S106" s="25"/>
      <c r="T106" s="53">
        <f>-7655-2070</f>
        <v>-9725</v>
      </c>
      <c r="U106" s="25"/>
      <c r="V106" s="5"/>
      <c r="W106" s="109"/>
    </row>
    <row r="107" spans="1:24" ht="15.6" x14ac:dyDescent="0.3">
      <c r="A107" s="24" t="s">
        <v>156</v>
      </c>
      <c r="B107" s="25" t="s">
        <v>191</v>
      </c>
      <c r="C107" s="25"/>
      <c r="D107" s="25"/>
      <c r="E107" s="25"/>
      <c r="F107" s="25"/>
      <c r="G107" s="25"/>
      <c r="H107" s="25"/>
      <c r="I107" s="25"/>
      <c r="J107" s="25"/>
      <c r="K107" s="25"/>
      <c r="L107" s="25"/>
      <c r="M107" s="25"/>
      <c r="N107" s="25"/>
      <c r="O107" s="25"/>
      <c r="P107" s="25"/>
      <c r="Q107" s="25"/>
      <c r="R107" s="25"/>
      <c r="S107" s="25"/>
      <c r="T107" s="53">
        <v>-2054</v>
      </c>
      <c r="U107" s="25"/>
      <c r="V107" s="5"/>
      <c r="W107" s="109"/>
    </row>
    <row r="108" spans="1:24" ht="15.6" x14ac:dyDescent="0.3">
      <c r="A108" s="24" t="s">
        <v>214</v>
      </c>
      <c r="B108" s="25" t="s">
        <v>192</v>
      </c>
      <c r="C108" s="25"/>
      <c r="D108" s="25"/>
      <c r="E108" s="25"/>
      <c r="F108" s="25"/>
      <c r="G108" s="25"/>
      <c r="H108" s="25"/>
      <c r="I108" s="25"/>
      <c r="J108" s="25"/>
      <c r="K108" s="25"/>
      <c r="L108" s="25"/>
      <c r="M108" s="25"/>
      <c r="N108" s="25"/>
      <c r="O108" s="25"/>
      <c r="P108" s="25"/>
      <c r="Q108" s="25"/>
      <c r="R108" s="25"/>
      <c r="S108" s="25"/>
      <c r="T108" s="53">
        <v>-883</v>
      </c>
      <c r="U108" s="25"/>
      <c r="V108" s="5"/>
      <c r="W108" s="109"/>
      <c r="X108" s="109"/>
    </row>
    <row r="109" spans="1:24" ht="15.6" x14ac:dyDescent="0.3">
      <c r="A109" s="24" t="s">
        <v>215</v>
      </c>
      <c r="B109" s="25" t="s">
        <v>193</v>
      </c>
      <c r="C109" s="25"/>
      <c r="D109" s="25"/>
      <c r="E109" s="25"/>
      <c r="F109" s="25"/>
      <c r="G109" s="25"/>
      <c r="H109" s="25"/>
      <c r="I109" s="25"/>
      <c r="J109" s="25"/>
      <c r="K109" s="25"/>
      <c r="L109" s="25"/>
      <c r="M109" s="25"/>
      <c r="N109" s="25"/>
      <c r="O109" s="25"/>
      <c r="P109" s="25"/>
      <c r="Q109" s="25"/>
      <c r="R109" s="25"/>
      <c r="S109" s="25"/>
      <c r="T109" s="53">
        <v>-249</v>
      </c>
      <c r="U109" s="25"/>
      <c r="V109" s="5"/>
      <c r="W109" s="109"/>
    </row>
    <row r="110" spans="1:24" ht="15.6" x14ac:dyDescent="0.3">
      <c r="A110" s="24" t="s">
        <v>216</v>
      </c>
      <c r="B110" s="25" t="s">
        <v>204</v>
      </c>
      <c r="C110" s="25"/>
      <c r="D110" s="25"/>
      <c r="E110" s="25"/>
      <c r="F110" s="25"/>
      <c r="G110" s="25"/>
      <c r="H110" s="25"/>
      <c r="I110" s="25"/>
      <c r="J110" s="25"/>
      <c r="K110" s="25"/>
      <c r="L110" s="25"/>
      <c r="M110" s="25"/>
      <c r="N110" s="25"/>
      <c r="O110" s="25"/>
      <c r="P110" s="25"/>
      <c r="Q110" s="25"/>
      <c r="R110" s="25"/>
      <c r="S110" s="25"/>
      <c r="T110" s="53">
        <v>-973</v>
      </c>
      <c r="U110" s="25"/>
      <c r="V110" s="5"/>
      <c r="W110" s="109"/>
    </row>
    <row r="111" spans="1:24" ht="15.6" x14ac:dyDescent="0.3">
      <c r="A111" s="24">
        <v>7</v>
      </c>
      <c r="B111" s="25" t="s">
        <v>35</v>
      </c>
      <c r="C111" s="25"/>
      <c r="D111" s="25"/>
      <c r="E111" s="25"/>
      <c r="F111" s="25"/>
      <c r="G111" s="25"/>
      <c r="H111" s="25"/>
      <c r="I111" s="25"/>
      <c r="J111" s="25"/>
      <c r="K111" s="25"/>
      <c r="L111" s="25"/>
      <c r="M111" s="25"/>
      <c r="N111" s="25"/>
      <c r="O111" s="25"/>
      <c r="P111" s="25"/>
      <c r="Q111" s="25"/>
      <c r="R111" s="25"/>
      <c r="S111" s="25"/>
      <c r="T111" s="53">
        <v>-10</v>
      </c>
      <c r="U111" s="25"/>
      <c r="V111" s="5"/>
    </row>
    <row r="112" spans="1:24" ht="15.6" x14ac:dyDescent="0.3">
      <c r="A112" s="24">
        <f t="shared" ref="A112:A117" si="0">+A111+1</f>
        <v>8</v>
      </c>
      <c r="B112" s="25" t="s">
        <v>46</v>
      </c>
      <c r="C112" s="25"/>
      <c r="D112" s="25"/>
      <c r="E112" s="25"/>
      <c r="F112" s="25"/>
      <c r="G112" s="25"/>
      <c r="H112" s="25"/>
      <c r="I112" s="25"/>
      <c r="J112" s="25"/>
      <c r="K112" s="25"/>
      <c r="L112" s="25"/>
      <c r="M112" s="25"/>
      <c r="N112" s="25"/>
      <c r="O112" s="25"/>
      <c r="P112" s="25"/>
      <c r="Q112" s="25"/>
      <c r="R112" s="34">
        <f>-T112</f>
        <v>4</v>
      </c>
      <c r="S112" s="25"/>
      <c r="T112" s="53">
        <v>-4</v>
      </c>
      <c r="U112" s="25"/>
      <c r="V112" s="5"/>
    </row>
    <row r="113" spans="1:22" ht="15.6" x14ac:dyDescent="0.3">
      <c r="A113" s="24">
        <f t="shared" si="0"/>
        <v>9</v>
      </c>
      <c r="B113" s="25" t="s">
        <v>131</v>
      </c>
      <c r="C113" s="25"/>
      <c r="D113" s="25"/>
      <c r="E113" s="25"/>
      <c r="F113" s="25"/>
      <c r="G113" s="25"/>
      <c r="H113" s="25"/>
      <c r="I113" s="25"/>
      <c r="J113" s="25"/>
      <c r="K113" s="25"/>
      <c r="L113" s="25"/>
      <c r="M113" s="25"/>
      <c r="N113" s="25"/>
      <c r="O113" s="25"/>
      <c r="P113" s="25"/>
      <c r="Q113" s="25"/>
      <c r="R113" s="25"/>
      <c r="S113" s="25"/>
      <c r="T113" s="53">
        <v>0</v>
      </c>
      <c r="U113" s="25"/>
      <c r="V113" s="5"/>
    </row>
    <row r="114" spans="1:22" ht="15.6" x14ac:dyDescent="0.3">
      <c r="A114" s="24">
        <f t="shared" si="0"/>
        <v>10</v>
      </c>
      <c r="B114" s="25" t="s">
        <v>36</v>
      </c>
      <c r="C114" s="25"/>
      <c r="D114" s="25"/>
      <c r="E114" s="25"/>
      <c r="F114" s="25"/>
      <c r="G114" s="25"/>
      <c r="H114" s="25"/>
      <c r="I114" s="25"/>
      <c r="J114" s="25"/>
      <c r="K114" s="25"/>
      <c r="L114" s="25"/>
      <c r="M114" s="25"/>
      <c r="N114" s="25"/>
      <c r="O114" s="25"/>
      <c r="P114" s="25"/>
      <c r="Q114" s="25"/>
      <c r="R114" s="25"/>
      <c r="S114" s="25"/>
      <c r="T114" s="53">
        <v>0</v>
      </c>
      <c r="U114" s="25"/>
      <c r="V114" s="5"/>
    </row>
    <row r="115" spans="1:22" ht="15.6" x14ac:dyDescent="0.3">
      <c r="A115" s="24">
        <f t="shared" si="0"/>
        <v>11</v>
      </c>
      <c r="B115" s="25" t="s">
        <v>37</v>
      </c>
      <c r="C115" s="25"/>
      <c r="D115" s="25"/>
      <c r="E115" s="25"/>
      <c r="F115" s="25"/>
      <c r="G115" s="25"/>
      <c r="H115" s="25"/>
      <c r="I115" s="25"/>
      <c r="J115" s="25"/>
      <c r="K115" s="25"/>
      <c r="L115" s="25"/>
      <c r="M115" s="25"/>
      <c r="N115" s="25"/>
      <c r="O115" s="25"/>
      <c r="P115" s="25"/>
      <c r="Q115" s="25"/>
      <c r="R115" s="25"/>
      <c r="S115" s="25"/>
      <c r="T115" s="53">
        <v>0</v>
      </c>
      <c r="U115" s="25"/>
      <c r="V115" s="5"/>
    </row>
    <row r="116" spans="1:22" ht="15.6" x14ac:dyDescent="0.3">
      <c r="A116" s="24">
        <f t="shared" si="0"/>
        <v>12</v>
      </c>
      <c r="B116" s="25" t="s">
        <v>155</v>
      </c>
      <c r="C116" s="25"/>
      <c r="D116" s="25"/>
      <c r="E116" s="25"/>
      <c r="F116" s="25"/>
      <c r="G116" s="25"/>
      <c r="H116" s="25"/>
      <c r="I116" s="25"/>
      <c r="J116" s="25"/>
      <c r="K116" s="25"/>
      <c r="L116" s="25"/>
      <c r="M116" s="25"/>
      <c r="N116" s="25"/>
      <c r="O116" s="25"/>
      <c r="P116" s="25"/>
      <c r="Q116" s="25"/>
      <c r="R116" s="25"/>
      <c r="S116" s="25"/>
      <c r="T116" s="53">
        <v>-345</v>
      </c>
      <c r="U116" s="25"/>
      <c r="V116" s="5"/>
    </row>
    <row r="117" spans="1:22" ht="15.6" x14ac:dyDescent="0.3">
      <c r="A117" s="24">
        <f t="shared" si="0"/>
        <v>13</v>
      </c>
      <c r="B117" s="25" t="s">
        <v>132</v>
      </c>
      <c r="C117" s="25"/>
      <c r="D117" s="25"/>
      <c r="E117" s="25"/>
      <c r="F117" s="25"/>
      <c r="G117" s="25"/>
      <c r="H117" s="25"/>
      <c r="I117" s="25"/>
      <c r="J117" s="25"/>
      <c r="K117" s="25"/>
      <c r="L117" s="25"/>
      <c r="M117" s="25"/>
      <c r="N117" s="25"/>
      <c r="O117" s="25"/>
      <c r="P117" s="25"/>
      <c r="Q117" s="25"/>
      <c r="R117" s="25"/>
      <c r="S117" s="25"/>
      <c r="T117" s="53">
        <f>-T100-SUM(T102:T116)</f>
        <v>-2753</v>
      </c>
      <c r="U117" s="25"/>
      <c r="V117" s="5"/>
    </row>
    <row r="118" spans="1:22" ht="15.6" x14ac:dyDescent="0.3">
      <c r="A118" s="24"/>
      <c r="B118" s="118" t="s">
        <v>38</v>
      </c>
      <c r="C118" s="25"/>
      <c r="D118" s="25"/>
      <c r="E118" s="25"/>
      <c r="F118" s="25"/>
      <c r="G118" s="25"/>
      <c r="H118" s="25"/>
      <c r="I118" s="25"/>
      <c r="J118" s="25"/>
      <c r="K118" s="25"/>
      <c r="L118" s="25"/>
      <c r="M118" s="25"/>
      <c r="N118" s="25"/>
      <c r="O118" s="25"/>
      <c r="P118" s="25"/>
      <c r="Q118" s="25"/>
      <c r="R118" s="25"/>
      <c r="S118" s="25"/>
      <c r="T118" s="59"/>
      <c r="U118" s="25"/>
      <c r="V118" s="5"/>
    </row>
    <row r="119" spans="1:22" ht="15.6" x14ac:dyDescent="0.3">
      <c r="A119" s="24"/>
      <c r="B119" s="25" t="s">
        <v>180</v>
      </c>
      <c r="C119" s="25"/>
      <c r="D119" s="25"/>
      <c r="E119" s="25"/>
      <c r="F119" s="25"/>
      <c r="G119" s="25"/>
      <c r="H119" s="25"/>
      <c r="I119" s="25"/>
      <c r="J119" s="25"/>
      <c r="K119" s="25"/>
      <c r="L119" s="25"/>
      <c r="M119" s="25"/>
      <c r="N119" s="25"/>
      <c r="O119" s="25"/>
      <c r="P119" s="25"/>
      <c r="Q119" s="25"/>
      <c r="R119" s="34">
        <f>-R176</f>
        <v>-71</v>
      </c>
      <c r="S119" s="34"/>
      <c r="T119" s="53"/>
      <c r="U119" s="25"/>
      <c r="V119" s="5"/>
    </row>
    <row r="120" spans="1:22" ht="15.6" x14ac:dyDescent="0.3">
      <c r="A120" s="24"/>
      <c r="B120" s="25" t="s">
        <v>181</v>
      </c>
      <c r="C120" s="25"/>
      <c r="D120" s="25"/>
      <c r="E120" s="25"/>
      <c r="F120" s="25"/>
      <c r="G120" s="25"/>
      <c r="H120" s="25"/>
      <c r="I120" s="25"/>
      <c r="J120" s="25"/>
      <c r="K120" s="25"/>
      <c r="L120" s="25"/>
      <c r="M120" s="25"/>
      <c r="N120" s="25"/>
      <c r="O120" s="25"/>
      <c r="P120" s="25"/>
      <c r="Q120" s="25"/>
      <c r="R120" s="34">
        <v>-82</v>
      </c>
      <c r="S120" s="34"/>
      <c r="T120" s="53"/>
      <c r="U120" s="25"/>
      <c r="V120" s="5"/>
    </row>
    <row r="121" spans="1:22" ht="15.6" x14ac:dyDescent="0.3">
      <c r="A121" s="24"/>
      <c r="B121" s="25" t="s">
        <v>39</v>
      </c>
      <c r="C121" s="25"/>
      <c r="D121" s="25"/>
      <c r="E121" s="25"/>
      <c r="F121" s="25"/>
      <c r="G121" s="25"/>
      <c r="H121" s="25"/>
      <c r="I121" s="25"/>
      <c r="J121" s="25"/>
      <c r="K121" s="25"/>
      <c r="L121" s="25"/>
      <c r="M121" s="25"/>
      <c r="N121" s="25"/>
      <c r="O121" s="25"/>
      <c r="P121" s="25"/>
      <c r="Q121" s="25"/>
      <c r="R121" s="34">
        <f>-Q176</f>
        <v>-3710</v>
      </c>
      <c r="S121" s="34"/>
      <c r="T121" s="53"/>
      <c r="U121" s="25"/>
      <c r="V121" s="5"/>
    </row>
    <row r="122" spans="1:22" ht="15.6" x14ac:dyDescent="0.3">
      <c r="A122" s="24"/>
      <c r="B122" s="25" t="s">
        <v>205</v>
      </c>
      <c r="C122" s="25"/>
      <c r="D122" s="25"/>
      <c r="E122" s="25"/>
      <c r="F122" s="25"/>
      <c r="G122" s="25"/>
      <c r="H122" s="25"/>
      <c r="I122" s="25"/>
      <c r="J122" s="25"/>
      <c r="K122" s="25"/>
      <c r="L122" s="25"/>
      <c r="M122" s="25"/>
      <c r="N122" s="25"/>
      <c r="O122" s="25"/>
      <c r="P122" s="25"/>
      <c r="Q122" s="25"/>
      <c r="R122" s="34">
        <v>-13066</v>
      </c>
      <c r="S122" s="34"/>
      <c r="T122" s="53"/>
      <c r="U122" s="25"/>
      <c r="V122" s="5"/>
    </row>
    <row r="123" spans="1:22" ht="15.6" x14ac:dyDescent="0.3">
      <c r="A123" s="24"/>
      <c r="B123" s="25" t="s">
        <v>203</v>
      </c>
      <c r="C123" s="25"/>
      <c r="D123" s="25"/>
      <c r="E123" s="25"/>
      <c r="F123" s="25"/>
      <c r="G123" s="25"/>
      <c r="H123" s="25"/>
      <c r="I123" s="25"/>
      <c r="J123" s="25"/>
      <c r="K123" s="25"/>
      <c r="L123" s="25"/>
      <c r="M123" s="25"/>
      <c r="N123" s="25"/>
      <c r="O123" s="25"/>
      <c r="P123" s="25"/>
      <c r="Q123" s="25"/>
      <c r="R123" s="34">
        <v>-3444</v>
      </c>
      <c r="S123" s="34"/>
      <c r="T123" s="53"/>
      <c r="U123" s="25"/>
      <c r="V123" s="5"/>
    </row>
    <row r="124" spans="1:22" ht="15.6" x14ac:dyDescent="0.3">
      <c r="A124" s="24"/>
      <c r="B124" s="25" t="s">
        <v>202</v>
      </c>
      <c r="C124" s="25"/>
      <c r="D124" s="25"/>
      <c r="E124" s="25"/>
      <c r="F124" s="25"/>
      <c r="G124" s="25"/>
      <c r="H124" s="25"/>
      <c r="I124" s="25"/>
      <c r="J124" s="25"/>
      <c r="K124" s="25"/>
      <c r="L124" s="25"/>
      <c r="M124" s="25"/>
      <c r="N124" s="25"/>
      <c r="O124" s="25"/>
      <c r="P124" s="25"/>
      <c r="Q124" s="25"/>
      <c r="R124" s="34">
        <v>-3471</v>
      </c>
      <c r="S124" s="34"/>
      <c r="T124" s="53"/>
      <c r="U124" s="25"/>
      <c r="V124" s="5"/>
    </row>
    <row r="125" spans="1:22" ht="15.6" x14ac:dyDescent="0.3">
      <c r="A125" s="24"/>
      <c r="B125" s="25" t="s">
        <v>197</v>
      </c>
      <c r="C125" s="25"/>
      <c r="D125" s="25"/>
      <c r="E125" s="25"/>
      <c r="F125" s="25"/>
      <c r="G125" s="25"/>
      <c r="H125" s="25"/>
      <c r="I125" s="25"/>
      <c r="J125" s="25"/>
      <c r="K125" s="25"/>
      <c r="L125" s="25"/>
      <c r="M125" s="25"/>
      <c r="N125" s="25"/>
      <c r="O125" s="25"/>
      <c r="P125" s="25"/>
      <c r="Q125" s="25"/>
      <c r="R125" s="34">
        <v>0</v>
      </c>
      <c r="S125" s="34"/>
      <c r="T125" s="53"/>
      <c r="U125" s="25"/>
      <c r="V125" s="5"/>
    </row>
    <row r="126" spans="1:22" ht="15.6" x14ac:dyDescent="0.3">
      <c r="A126" s="24"/>
      <c r="B126" s="25" t="s">
        <v>196</v>
      </c>
      <c r="C126" s="25"/>
      <c r="D126" s="25"/>
      <c r="E126" s="25"/>
      <c r="F126" s="25"/>
      <c r="G126" s="25"/>
      <c r="H126" s="25"/>
      <c r="I126" s="25"/>
      <c r="J126" s="25"/>
      <c r="K126" s="25"/>
      <c r="L126" s="25"/>
      <c r="M126" s="25"/>
      <c r="N126" s="25"/>
      <c r="O126" s="25"/>
      <c r="P126" s="25"/>
      <c r="Q126" s="25"/>
      <c r="R126" s="34">
        <v>0</v>
      </c>
      <c r="S126" s="34"/>
      <c r="T126" s="53"/>
      <c r="U126" s="25"/>
      <c r="V126" s="5"/>
    </row>
    <row r="127" spans="1:22" ht="15.6" x14ac:dyDescent="0.3">
      <c r="A127" s="24"/>
      <c r="B127" s="25" t="s">
        <v>195</v>
      </c>
      <c r="C127" s="25"/>
      <c r="D127" s="25"/>
      <c r="E127" s="25"/>
      <c r="F127" s="25"/>
      <c r="G127" s="25"/>
      <c r="H127" s="25"/>
      <c r="I127" s="25"/>
      <c r="J127" s="25"/>
      <c r="K127" s="25"/>
      <c r="L127" s="25"/>
      <c r="M127" s="25"/>
      <c r="N127" s="25"/>
      <c r="O127" s="25"/>
      <c r="P127" s="25"/>
      <c r="Q127" s="25"/>
      <c r="R127" s="34">
        <v>0</v>
      </c>
      <c r="S127" s="34"/>
      <c r="T127" s="53"/>
      <c r="U127" s="25"/>
      <c r="V127" s="5"/>
    </row>
    <row r="128" spans="1:22" ht="15.6" x14ac:dyDescent="0.3">
      <c r="A128" s="24"/>
      <c r="B128" s="25" t="s">
        <v>40</v>
      </c>
      <c r="C128" s="25"/>
      <c r="D128" s="25"/>
      <c r="E128" s="25"/>
      <c r="F128" s="25"/>
      <c r="G128" s="25"/>
      <c r="H128" s="25"/>
      <c r="I128" s="25"/>
      <c r="J128" s="25"/>
      <c r="K128" s="25"/>
      <c r="L128" s="25"/>
      <c r="M128" s="25"/>
      <c r="N128" s="25"/>
      <c r="O128" s="25"/>
      <c r="P128" s="25"/>
      <c r="Q128" s="25"/>
      <c r="R128" s="34">
        <f>SUM(R119:R127)</f>
        <v>-23844</v>
      </c>
      <c r="S128" s="34"/>
      <c r="T128" s="34">
        <f>SUM(T101:T126)</f>
        <v>-17370</v>
      </c>
      <c r="U128" s="25"/>
      <c r="V128" s="5"/>
    </row>
    <row r="129" spans="1:23" ht="15.6" x14ac:dyDescent="0.3">
      <c r="A129" s="24"/>
      <c r="B129" s="25" t="s">
        <v>41</v>
      </c>
      <c r="C129" s="25"/>
      <c r="D129" s="25"/>
      <c r="E129" s="25"/>
      <c r="F129" s="25"/>
      <c r="G129" s="25"/>
      <c r="H129" s="25"/>
      <c r="I129" s="25"/>
      <c r="J129" s="25"/>
      <c r="K129" s="25"/>
      <c r="L129" s="25"/>
      <c r="M129" s="25"/>
      <c r="N129" s="25"/>
      <c r="O129" s="25"/>
      <c r="P129" s="25"/>
      <c r="Q129" s="25"/>
      <c r="R129" s="34">
        <f>R100+R128+R112</f>
        <v>0</v>
      </c>
      <c r="S129" s="34"/>
      <c r="T129" s="34">
        <f>T100+T128</f>
        <v>0</v>
      </c>
      <c r="U129" s="25"/>
      <c r="V129" s="5"/>
    </row>
    <row r="130" spans="1:23" ht="15.6" x14ac:dyDescent="0.3">
      <c r="A130" s="24"/>
      <c r="B130" s="25"/>
      <c r="C130" s="25"/>
      <c r="D130" s="25"/>
      <c r="E130" s="25"/>
      <c r="F130" s="25"/>
      <c r="G130" s="25"/>
      <c r="H130" s="25"/>
      <c r="I130" s="25"/>
      <c r="J130" s="25"/>
      <c r="K130" s="25"/>
      <c r="L130" s="25"/>
      <c r="M130" s="25"/>
      <c r="N130" s="25"/>
      <c r="O130" s="25"/>
      <c r="P130" s="25"/>
      <c r="Q130" s="25"/>
      <c r="R130" s="34"/>
      <c r="S130" s="34"/>
      <c r="T130" s="34"/>
      <c r="U130" s="25"/>
      <c r="V130" s="5"/>
    </row>
    <row r="131" spans="1:23" ht="15.6" x14ac:dyDescent="0.3">
      <c r="A131" s="6"/>
      <c r="B131" s="8"/>
      <c r="C131" s="8"/>
      <c r="D131" s="8"/>
      <c r="E131" s="8"/>
      <c r="F131" s="8"/>
      <c r="G131" s="8"/>
      <c r="H131" s="8"/>
      <c r="I131" s="8"/>
      <c r="J131" s="8"/>
      <c r="K131" s="8"/>
      <c r="L131" s="8"/>
      <c r="M131" s="8"/>
      <c r="N131" s="8"/>
      <c r="O131" s="8"/>
      <c r="P131" s="8"/>
      <c r="Q131" s="8"/>
      <c r="R131" s="8"/>
      <c r="S131" s="8"/>
      <c r="T131" s="52"/>
      <c r="U131" s="8"/>
      <c r="V131" s="5"/>
    </row>
    <row r="132" spans="1:23" ht="18" thickBot="1" x14ac:dyDescent="0.35">
      <c r="A132" s="101"/>
      <c r="B132" s="102" t="str">
        <f>B64</f>
        <v>PM11 INVESTOR REPORT QUARTER ENDING SEPTEMBER 2007</v>
      </c>
      <c r="C132" s="103"/>
      <c r="D132" s="103"/>
      <c r="E132" s="103"/>
      <c r="F132" s="103"/>
      <c r="G132" s="103"/>
      <c r="H132" s="103"/>
      <c r="I132" s="103"/>
      <c r="J132" s="103"/>
      <c r="K132" s="103"/>
      <c r="L132" s="103"/>
      <c r="M132" s="103"/>
      <c r="N132" s="103"/>
      <c r="O132" s="103"/>
      <c r="P132" s="103"/>
      <c r="Q132" s="103"/>
      <c r="R132" s="103"/>
      <c r="S132" s="103"/>
      <c r="T132" s="106"/>
      <c r="U132" s="105"/>
      <c r="V132" s="5"/>
    </row>
    <row r="133" spans="1:23" ht="15.6" x14ac:dyDescent="0.3">
      <c r="A133" s="2"/>
      <c r="B133" s="60" t="s">
        <v>42</v>
      </c>
      <c r="C133" s="4"/>
      <c r="D133" s="4"/>
      <c r="E133" s="4"/>
      <c r="F133" s="4"/>
      <c r="G133" s="4"/>
      <c r="H133" s="4"/>
      <c r="I133" s="4"/>
      <c r="J133" s="4"/>
      <c r="K133" s="4"/>
      <c r="L133" s="4"/>
      <c r="M133" s="4"/>
      <c r="N133" s="4"/>
      <c r="O133" s="4"/>
      <c r="P133" s="4"/>
      <c r="Q133" s="4"/>
      <c r="R133" s="4"/>
      <c r="S133" s="4"/>
      <c r="T133" s="50"/>
      <c r="U133" s="4"/>
      <c r="V133" s="5"/>
    </row>
    <row r="134" spans="1:23" ht="15.6" x14ac:dyDescent="0.3">
      <c r="A134" s="6"/>
      <c r="B134" s="21"/>
      <c r="C134" s="8"/>
      <c r="D134" s="8"/>
      <c r="E134" s="8"/>
      <c r="F134" s="8"/>
      <c r="G134" s="8"/>
      <c r="H134" s="8"/>
      <c r="I134" s="8"/>
      <c r="J134" s="8"/>
      <c r="K134" s="8"/>
      <c r="L134" s="8"/>
      <c r="M134" s="8"/>
      <c r="N134" s="8"/>
      <c r="O134" s="8"/>
      <c r="P134" s="8"/>
      <c r="Q134" s="8"/>
      <c r="R134" s="8"/>
      <c r="S134" s="8"/>
      <c r="T134" s="52"/>
      <c r="U134" s="8"/>
      <c r="V134" s="5"/>
    </row>
    <row r="135" spans="1:23" ht="15.6" x14ac:dyDescent="0.3">
      <c r="A135" s="6"/>
      <c r="B135" s="119" t="s">
        <v>43</v>
      </c>
      <c r="C135" s="8"/>
      <c r="D135" s="8"/>
      <c r="E135" s="8"/>
      <c r="F135" s="8"/>
      <c r="G135" s="8"/>
      <c r="H135" s="8"/>
      <c r="I135" s="8"/>
      <c r="J135" s="8"/>
      <c r="K135" s="8"/>
      <c r="L135" s="8"/>
      <c r="M135" s="8"/>
      <c r="N135" s="8"/>
      <c r="O135" s="8"/>
      <c r="P135" s="8"/>
      <c r="Q135" s="8"/>
      <c r="R135" s="8"/>
      <c r="S135" s="8"/>
      <c r="T135" s="52"/>
      <c r="U135" s="8"/>
      <c r="V135" s="5"/>
    </row>
    <row r="136" spans="1:23" ht="15.6" x14ac:dyDescent="0.3">
      <c r="A136" s="24"/>
      <c r="B136" s="25" t="s">
        <v>44</v>
      </c>
      <c r="C136" s="25"/>
      <c r="D136" s="25"/>
      <c r="E136" s="25"/>
      <c r="F136" s="25"/>
      <c r="G136" s="25"/>
      <c r="H136" s="25"/>
      <c r="I136" s="25"/>
      <c r="J136" s="25"/>
      <c r="K136" s="25"/>
      <c r="L136" s="25"/>
      <c r="M136" s="25"/>
      <c r="N136" s="25"/>
      <c r="O136" s="25"/>
      <c r="P136" s="25"/>
      <c r="Q136" s="25"/>
      <c r="R136" s="25"/>
      <c r="S136" s="25"/>
      <c r="T136" s="53">
        <f>+T34*0.019</f>
        <v>19000.95</v>
      </c>
      <c r="U136" s="25"/>
      <c r="V136" s="5"/>
    </row>
    <row r="137" spans="1:23" ht="15.6" x14ac:dyDescent="0.3">
      <c r="A137" s="24"/>
      <c r="B137" s="25" t="s">
        <v>45</v>
      </c>
      <c r="C137" s="25"/>
      <c r="D137" s="25"/>
      <c r="E137" s="25"/>
      <c r="F137" s="25"/>
      <c r="G137" s="25"/>
      <c r="H137" s="25"/>
      <c r="I137" s="25"/>
      <c r="J137" s="25"/>
      <c r="K137" s="25"/>
      <c r="L137" s="25"/>
      <c r="M137" s="25"/>
      <c r="N137" s="25"/>
      <c r="O137" s="25"/>
      <c r="P137" s="25"/>
      <c r="Q137" s="25"/>
      <c r="R137" s="25"/>
      <c r="S137" s="25"/>
      <c r="T137" s="53">
        <v>19001</v>
      </c>
      <c r="U137" s="25"/>
      <c r="V137" s="5"/>
    </row>
    <row r="138" spans="1:23" ht="15.6" x14ac:dyDescent="0.3">
      <c r="A138" s="24"/>
      <c r="B138" s="25" t="s">
        <v>142</v>
      </c>
      <c r="C138" s="25"/>
      <c r="D138" s="25"/>
      <c r="E138" s="25"/>
      <c r="F138" s="25"/>
      <c r="G138" s="25"/>
      <c r="H138" s="25"/>
      <c r="I138" s="25"/>
      <c r="J138" s="25"/>
      <c r="K138" s="25"/>
      <c r="L138" s="25"/>
      <c r="M138" s="25"/>
      <c r="N138" s="25"/>
      <c r="O138" s="25"/>
      <c r="P138" s="25"/>
      <c r="Q138" s="25"/>
      <c r="R138" s="25"/>
      <c r="S138" s="25"/>
      <c r="T138" s="53">
        <v>0</v>
      </c>
      <c r="U138" s="25"/>
      <c r="V138" s="5"/>
    </row>
    <row r="139" spans="1:23" ht="15.6" x14ac:dyDescent="0.3">
      <c r="A139" s="24"/>
      <c r="B139" s="25" t="s">
        <v>129</v>
      </c>
      <c r="C139" s="25"/>
      <c r="D139" s="25"/>
      <c r="E139" s="25"/>
      <c r="F139" s="25"/>
      <c r="G139" s="25"/>
      <c r="H139" s="25"/>
      <c r="I139" s="25"/>
      <c r="J139" s="25"/>
      <c r="K139" s="25"/>
      <c r="L139" s="25"/>
      <c r="M139" s="25"/>
      <c r="N139" s="25"/>
      <c r="O139" s="25"/>
      <c r="P139" s="25"/>
      <c r="Q139" s="25"/>
      <c r="R139" s="25"/>
      <c r="S139" s="25"/>
      <c r="T139" s="53">
        <v>0</v>
      </c>
      <c r="U139" s="25"/>
      <c r="V139" s="5"/>
    </row>
    <row r="140" spans="1:23" ht="15.6" x14ac:dyDescent="0.3">
      <c r="A140" s="24"/>
      <c r="B140" s="25" t="s">
        <v>130</v>
      </c>
      <c r="C140" s="25"/>
      <c r="D140" s="25"/>
      <c r="E140" s="25"/>
      <c r="F140" s="25"/>
      <c r="G140" s="25"/>
      <c r="H140" s="25"/>
      <c r="I140" s="25"/>
      <c r="J140" s="25"/>
      <c r="K140" s="25"/>
      <c r="L140" s="25"/>
      <c r="M140" s="25"/>
      <c r="N140" s="25"/>
      <c r="O140" s="25"/>
      <c r="P140" s="25"/>
      <c r="Q140" s="25"/>
      <c r="R140" s="25"/>
      <c r="S140" s="25"/>
      <c r="T140" s="53">
        <v>0</v>
      </c>
      <c r="U140" s="25"/>
      <c r="V140" s="5"/>
    </row>
    <row r="141" spans="1:23" ht="15.6" x14ac:dyDescent="0.3">
      <c r="A141" s="24"/>
      <c r="B141" s="25" t="s">
        <v>182</v>
      </c>
      <c r="C141" s="25"/>
      <c r="D141" s="25"/>
      <c r="E141" s="25"/>
      <c r="F141" s="25"/>
      <c r="G141" s="25"/>
      <c r="H141" s="25"/>
      <c r="I141" s="25"/>
      <c r="J141" s="25"/>
      <c r="K141" s="25"/>
      <c r="L141" s="25"/>
      <c r="M141" s="25"/>
      <c r="N141" s="25"/>
      <c r="O141" s="25"/>
      <c r="P141" s="25"/>
      <c r="Q141" s="25"/>
      <c r="R141" s="25"/>
      <c r="S141" s="25"/>
      <c r="T141" s="53">
        <v>0</v>
      </c>
      <c r="U141" s="25"/>
      <c r="V141" s="5"/>
    </row>
    <row r="142" spans="1:23" ht="15.6" x14ac:dyDescent="0.3">
      <c r="A142" s="24"/>
      <c r="B142" s="25" t="s">
        <v>46</v>
      </c>
      <c r="C142" s="25"/>
      <c r="D142" s="25"/>
      <c r="E142" s="25"/>
      <c r="F142" s="25"/>
      <c r="G142" s="25"/>
      <c r="H142" s="25"/>
      <c r="I142" s="25"/>
      <c r="J142" s="25"/>
      <c r="K142" s="25"/>
      <c r="L142" s="25"/>
      <c r="M142" s="25"/>
      <c r="N142" s="25"/>
      <c r="O142" s="25"/>
      <c r="P142" s="25"/>
      <c r="Q142" s="25"/>
      <c r="R142" s="25"/>
      <c r="S142" s="25"/>
      <c r="T142" s="53">
        <v>0</v>
      </c>
      <c r="U142" s="25"/>
      <c r="V142" s="5"/>
    </row>
    <row r="143" spans="1:23" ht="15.6" x14ac:dyDescent="0.3">
      <c r="A143" s="24"/>
      <c r="B143" s="25" t="s">
        <v>135</v>
      </c>
      <c r="C143" s="25"/>
      <c r="D143" s="25"/>
      <c r="E143" s="25"/>
      <c r="F143" s="25"/>
      <c r="G143" s="25"/>
      <c r="H143" s="25"/>
      <c r="I143" s="25"/>
      <c r="J143" s="25"/>
      <c r="K143" s="25"/>
      <c r="L143" s="25"/>
      <c r="M143" s="25"/>
      <c r="N143" s="25"/>
      <c r="O143" s="25"/>
      <c r="P143" s="25"/>
      <c r="Q143" s="25"/>
      <c r="R143" s="25"/>
      <c r="S143" s="25"/>
      <c r="T143" s="53">
        <v>0</v>
      </c>
      <c r="U143" s="25"/>
      <c r="V143" s="5"/>
    </row>
    <row r="144" spans="1:23" ht="15.6" x14ac:dyDescent="0.3">
      <c r="A144" s="24"/>
      <c r="B144" s="25" t="s">
        <v>251</v>
      </c>
      <c r="C144" s="25"/>
      <c r="D144" s="25"/>
      <c r="E144" s="25"/>
      <c r="F144" s="25"/>
      <c r="G144" s="25"/>
      <c r="H144" s="25"/>
      <c r="I144" s="25"/>
      <c r="J144" s="25"/>
      <c r="K144" s="25"/>
      <c r="L144" s="25"/>
      <c r="M144" s="25"/>
      <c r="N144" s="25"/>
      <c r="O144" s="25"/>
      <c r="P144" s="25"/>
      <c r="Q144" s="25"/>
      <c r="R144" s="25"/>
      <c r="S144" s="25"/>
      <c r="T144" s="53">
        <v>0</v>
      </c>
      <c r="U144" s="25"/>
      <c r="V144" s="5"/>
      <c r="W144" s="109"/>
    </row>
    <row r="145" spans="1:22" ht="15.6" x14ac:dyDescent="0.3">
      <c r="A145" s="24"/>
      <c r="B145" s="25" t="s">
        <v>47</v>
      </c>
      <c r="C145" s="25"/>
      <c r="D145" s="25"/>
      <c r="E145" s="25"/>
      <c r="F145" s="25"/>
      <c r="G145" s="25"/>
      <c r="H145" s="25"/>
      <c r="I145" s="25"/>
      <c r="J145" s="25"/>
      <c r="K145" s="25"/>
      <c r="L145" s="25"/>
      <c r="M145" s="25"/>
      <c r="N145" s="25"/>
      <c r="O145" s="25"/>
      <c r="P145" s="25"/>
      <c r="Q145" s="25"/>
      <c r="R145" s="25"/>
      <c r="S145" s="25"/>
      <c r="T145" s="53">
        <f>SUM(T137:T144)</f>
        <v>19001</v>
      </c>
      <c r="U145" s="25"/>
      <c r="V145" s="5"/>
    </row>
    <row r="146" spans="1:22" ht="15.6" x14ac:dyDescent="0.3">
      <c r="A146" s="24"/>
      <c r="B146" s="25"/>
      <c r="C146" s="25"/>
      <c r="D146" s="25"/>
      <c r="E146" s="25"/>
      <c r="F146" s="25"/>
      <c r="G146" s="25"/>
      <c r="H146" s="25"/>
      <c r="I146" s="25"/>
      <c r="J146" s="25"/>
      <c r="K146" s="25"/>
      <c r="L146" s="25"/>
      <c r="M146" s="25"/>
      <c r="N146" s="25"/>
      <c r="O146" s="25"/>
      <c r="P146" s="25"/>
      <c r="Q146" s="25"/>
      <c r="R146" s="25"/>
      <c r="S146" s="25"/>
      <c r="T146" s="53"/>
      <c r="U146" s="25"/>
      <c r="V146" s="5"/>
    </row>
    <row r="147" spans="1:22" ht="15.6" x14ac:dyDescent="0.3">
      <c r="A147" s="24"/>
      <c r="B147" s="138" t="s">
        <v>262</v>
      </c>
      <c r="C147" s="25"/>
      <c r="D147" s="25"/>
      <c r="E147" s="25"/>
      <c r="F147" s="25"/>
      <c r="G147" s="25"/>
      <c r="H147" s="25"/>
      <c r="I147" s="25"/>
      <c r="J147" s="25"/>
      <c r="K147" s="25"/>
      <c r="L147" s="25"/>
      <c r="M147" s="25"/>
      <c r="N147" s="25"/>
      <c r="O147" s="25"/>
      <c r="P147" s="25"/>
      <c r="Q147" s="25"/>
      <c r="R147" s="25"/>
      <c r="S147" s="25"/>
      <c r="T147" s="53"/>
      <c r="U147" s="25"/>
      <c r="V147" s="5"/>
    </row>
    <row r="148" spans="1:22" ht="15.6" x14ac:dyDescent="0.3">
      <c r="A148" s="24"/>
      <c r="B148" s="25" t="s">
        <v>263</v>
      </c>
      <c r="C148" s="25"/>
      <c r="D148" s="25"/>
      <c r="E148" s="25"/>
      <c r="F148" s="25"/>
      <c r="G148" s="25"/>
      <c r="H148" s="25"/>
      <c r="I148" s="25"/>
      <c r="J148" s="25"/>
      <c r="K148" s="25"/>
      <c r="L148" s="25"/>
      <c r="M148" s="25"/>
      <c r="N148" s="25"/>
      <c r="O148" s="25"/>
      <c r="P148" s="25"/>
      <c r="Q148" s="25"/>
      <c r="R148" s="25"/>
      <c r="S148" s="25"/>
      <c r="T148" s="53">
        <v>0</v>
      </c>
      <c r="U148" s="25"/>
      <c r="V148" s="5"/>
    </row>
    <row r="149" spans="1:22" ht="15.6" x14ac:dyDescent="0.3">
      <c r="A149" s="24"/>
      <c r="B149" s="25" t="s">
        <v>179</v>
      </c>
      <c r="C149" s="25"/>
      <c r="D149" s="25"/>
      <c r="E149" s="25"/>
      <c r="F149" s="25"/>
      <c r="G149" s="25"/>
      <c r="H149" s="25"/>
      <c r="I149" s="25"/>
      <c r="J149" s="25"/>
      <c r="K149" s="25"/>
      <c r="L149" s="25"/>
      <c r="M149" s="25"/>
      <c r="N149" s="25"/>
      <c r="O149" s="25"/>
      <c r="P149" s="25"/>
      <c r="Q149" s="25"/>
      <c r="R149" s="25"/>
      <c r="S149" s="25"/>
      <c r="T149" s="53">
        <v>0</v>
      </c>
      <c r="U149" s="25"/>
      <c r="V149" s="5"/>
    </row>
    <row r="150" spans="1:22" ht="15.6" x14ac:dyDescent="0.3">
      <c r="A150" s="24"/>
      <c r="B150" s="25" t="s">
        <v>264</v>
      </c>
      <c r="C150" s="25"/>
      <c r="D150" s="25"/>
      <c r="E150" s="25"/>
      <c r="F150" s="25"/>
      <c r="G150" s="25"/>
      <c r="H150" s="25"/>
      <c r="I150" s="25"/>
      <c r="J150" s="25"/>
      <c r="K150" s="25"/>
      <c r="L150" s="25"/>
      <c r="M150" s="25"/>
      <c r="N150" s="25"/>
      <c r="O150" s="25"/>
      <c r="P150" s="25"/>
      <c r="Q150" s="25"/>
      <c r="R150" s="25"/>
      <c r="S150" s="25"/>
      <c r="T150" s="53">
        <v>0</v>
      </c>
      <c r="U150" s="25"/>
      <c r="V150" s="5"/>
    </row>
    <row r="151" spans="1:22" ht="15.6" x14ac:dyDescent="0.3">
      <c r="A151" s="24"/>
      <c r="B151" s="25"/>
      <c r="C151" s="25"/>
      <c r="D151" s="25"/>
      <c r="E151" s="25"/>
      <c r="F151" s="25"/>
      <c r="G151" s="25"/>
      <c r="H151" s="25"/>
      <c r="I151" s="25"/>
      <c r="J151" s="25"/>
      <c r="K151" s="25"/>
      <c r="L151" s="25"/>
      <c r="M151" s="25"/>
      <c r="N151" s="25"/>
      <c r="O151" s="25"/>
      <c r="P151" s="25"/>
      <c r="Q151" s="25"/>
      <c r="R151" s="25"/>
      <c r="S151" s="25"/>
      <c r="T151" s="53"/>
      <c r="U151" s="25"/>
      <c r="V151" s="5"/>
    </row>
    <row r="152" spans="1:22" ht="15.6" x14ac:dyDescent="0.3">
      <c r="A152" s="24"/>
      <c r="B152" s="25"/>
      <c r="C152" s="25"/>
      <c r="D152" s="25"/>
      <c r="E152" s="25"/>
      <c r="F152" s="25"/>
      <c r="G152" s="25"/>
      <c r="H152" s="25"/>
      <c r="I152" s="25"/>
      <c r="J152" s="25"/>
      <c r="K152" s="25"/>
      <c r="L152" s="25"/>
      <c r="M152" s="25"/>
      <c r="N152" s="25"/>
      <c r="O152" s="25"/>
      <c r="P152" s="25"/>
      <c r="Q152" s="25"/>
      <c r="R152" s="25"/>
      <c r="S152" s="25"/>
      <c r="T152" s="61"/>
      <c r="U152" s="25"/>
      <c r="V152" s="5"/>
    </row>
    <row r="153" spans="1:22" ht="15.6" x14ac:dyDescent="0.3">
      <c r="A153" s="6"/>
      <c r="B153" s="119" t="s">
        <v>24</v>
      </c>
      <c r="C153" s="8"/>
      <c r="D153" s="8"/>
      <c r="E153" s="8"/>
      <c r="F153" s="8"/>
      <c r="G153" s="8"/>
      <c r="H153" s="8"/>
      <c r="I153" s="8"/>
      <c r="J153" s="8"/>
      <c r="K153" s="8"/>
      <c r="L153" s="8"/>
      <c r="M153" s="8"/>
      <c r="N153" s="8"/>
      <c r="O153" s="8"/>
      <c r="P153" s="8"/>
      <c r="Q153" s="8"/>
      <c r="R153" s="8"/>
      <c r="S153" s="8"/>
      <c r="T153" s="52"/>
      <c r="U153" s="8"/>
      <c r="V153" s="5"/>
    </row>
    <row r="154" spans="1:22" ht="15.6" x14ac:dyDescent="0.3">
      <c r="A154" s="24"/>
      <c r="B154" s="25" t="s">
        <v>48</v>
      </c>
      <c r="C154" s="25"/>
      <c r="D154" s="25"/>
      <c r="E154" s="25"/>
      <c r="F154" s="25"/>
      <c r="G154" s="25"/>
      <c r="H154" s="25"/>
      <c r="I154" s="25"/>
      <c r="J154" s="25"/>
      <c r="K154" s="25"/>
      <c r="L154" s="25"/>
      <c r="M154" s="25"/>
      <c r="N154" s="25"/>
      <c r="O154" s="25"/>
      <c r="P154" s="25"/>
      <c r="Q154" s="25"/>
      <c r="R154" s="25"/>
      <c r="S154" s="25"/>
      <c r="T154" s="59" t="s">
        <v>124</v>
      </c>
      <c r="U154" s="25"/>
      <c r="V154" s="5"/>
    </row>
    <row r="155" spans="1:22" ht="15.6" x14ac:dyDescent="0.3">
      <c r="A155" s="24"/>
      <c r="B155" s="25" t="s">
        <v>49</v>
      </c>
      <c r="C155" s="163"/>
      <c r="D155" s="163"/>
      <c r="E155" s="163"/>
      <c r="F155" s="163"/>
      <c r="G155" s="163"/>
      <c r="H155" s="163"/>
      <c r="I155" s="163"/>
      <c r="J155" s="163"/>
      <c r="K155" s="163"/>
      <c r="L155" s="163"/>
      <c r="M155" s="163"/>
      <c r="N155" s="163"/>
      <c r="O155" s="163"/>
      <c r="P155" s="163"/>
      <c r="Q155" s="163"/>
      <c r="R155" s="163"/>
      <c r="S155" s="163"/>
      <c r="T155" s="59" t="s">
        <v>124</v>
      </c>
      <c r="U155" s="25"/>
      <c r="V155" s="5"/>
    </row>
    <row r="156" spans="1:22" ht="15.6" x14ac:dyDescent="0.3">
      <c r="A156" s="24"/>
      <c r="B156" s="25" t="s">
        <v>50</v>
      </c>
      <c r="C156" s="25"/>
      <c r="D156" s="25"/>
      <c r="E156" s="25"/>
      <c r="F156" s="25"/>
      <c r="G156" s="25"/>
      <c r="H156" s="25"/>
      <c r="I156" s="25"/>
      <c r="J156" s="25"/>
      <c r="K156" s="25"/>
      <c r="L156" s="25"/>
      <c r="M156" s="25"/>
      <c r="N156" s="25"/>
      <c r="O156" s="25"/>
      <c r="P156" s="25"/>
      <c r="Q156" s="25"/>
      <c r="R156" s="25"/>
      <c r="S156" s="25"/>
      <c r="T156" s="59" t="s">
        <v>124</v>
      </c>
      <c r="U156" s="25"/>
      <c r="V156" s="5"/>
    </row>
    <row r="157" spans="1:22" ht="15.6" x14ac:dyDescent="0.3">
      <c r="A157" s="24"/>
      <c r="B157" s="25" t="s">
        <v>51</v>
      </c>
      <c r="C157" s="25"/>
      <c r="D157" s="25"/>
      <c r="E157" s="25"/>
      <c r="F157" s="25"/>
      <c r="G157" s="25"/>
      <c r="H157" s="25"/>
      <c r="I157" s="25"/>
      <c r="J157" s="25"/>
      <c r="K157" s="25"/>
      <c r="L157" s="25"/>
      <c r="M157" s="25"/>
      <c r="N157" s="25"/>
      <c r="O157" s="25"/>
      <c r="P157" s="25"/>
      <c r="Q157" s="25"/>
      <c r="R157" s="25"/>
      <c r="S157" s="25"/>
      <c r="T157" s="59" t="s">
        <v>124</v>
      </c>
      <c r="U157" s="25"/>
      <c r="V157" s="5"/>
    </row>
    <row r="158" spans="1:22" ht="15.6" x14ac:dyDescent="0.3">
      <c r="A158" s="24"/>
      <c r="B158" s="25"/>
      <c r="C158" s="25"/>
      <c r="D158" s="25"/>
      <c r="E158" s="25"/>
      <c r="F158" s="25"/>
      <c r="G158" s="25"/>
      <c r="H158" s="25"/>
      <c r="I158" s="25"/>
      <c r="J158" s="25"/>
      <c r="K158" s="25"/>
      <c r="L158" s="25"/>
      <c r="M158" s="25"/>
      <c r="N158" s="25"/>
      <c r="O158" s="25"/>
      <c r="P158" s="25"/>
      <c r="Q158" s="25"/>
      <c r="R158" s="25"/>
      <c r="S158" s="25"/>
      <c r="T158" s="61"/>
      <c r="U158" s="25"/>
      <c r="V158" s="5"/>
    </row>
    <row r="159" spans="1:22" ht="15.6" x14ac:dyDescent="0.3">
      <c r="A159" s="6"/>
      <c r="B159" s="119" t="s">
        <v>52</v>
      </c>
      <c r="C159" s="8"/>
      <c r="D159" s="8"/>
      <c r="E159" s="8"/>
      <c r="F159" s="8"/>
      <c r="G159" s="8"/>
      <c r="H159" s="8"/>
      <c r="I159" s="8"/>
      <c r="J159" s="8"/>
      <c r="K159" s="8"/>
      <c r="L159" s="8"/>
      <c r="M159" s="8"/>
      <c r="N159" s="8"/>
      <c r="O159" s="8"/>
      <c r="P159" s="8"/>
      <c r="Q159" s="8"/>
      <c r="R159" s="8"/>
      <c r="S159" s="8"/>
      <c r="T159" s="63"/>
      <c r="U159" s="8"/>
      <c r="V159" s="5"/>
    </row>
    <row r="160" spans="1:22" ht="15.6" x14ac:dyDescent="0.3">
      <c r="A160" s="24"/>
      <c r="B160" s="25" t="s">
        <v>53</v>
      </c>
      <c r="C160" s="25"/>
      <c r="D160" s="25"/>
      <c r="E160" s="25"/>
      <c r="F160" s="25"/>
      <c r="G160" s="25"/>
      <c r="H160" s="25"/>
      <c r="I160" s="25"/>
      <c r="J160" s="25"/>
      <c r="K160" s="25"/>
      <c r="L160" s="25"/>
      <c r="M160" s="25"/>
      <c r="N160" s="25"/>
      <c r="O160" s="25"/>
      <c r="P160" s="25"/>
      <c r="Q160" s="25"/>
      <c r="R160" s="25"/>
      <c r="S160" s="25"/>
      <c r="T160" s="53">
        <v>0</v>
      </c>
      <c r="U160" s="25"/>
      <c r="V160" s="5"/>
    </row>
    <row r="161" spans="1:22" ht="15.6" x14ac:dyDescent="0.3">
      <c r="A161" s="24"/>
      <c r="B161" s="25" t="s">
        <v>54</v>
      </c>
      <c r="C161" s="25"/>
      <c r="D161" s="25"/>
      <c r="E161" s="25"/>
      <c r="F161" s="25"/>
      <c r="G161" s="25"/>
      <c r="H161" s="25"/>
      <c r="I161" s="25"/>
      <c r="J161" s="25"/>
      <c r="K161" s="25"/>
      <c r="L161" s="25"/>
      <c r="M161" s="25"/>
      <c r="N161" s="25"/>
      <c r="O161" s="25"/>
      <c r="P161" s="25"/>
      <c r="Q161" s="25"/>
      <c r="R161" s="25"/>
      <c r="S161" s="25"/>
      <c r="T161" s="53">
        <f>R112</f>
        <v>4</v>
      </c>
      <c r="U161" s="25"/>
      <c r="V161" s="5"/>
    </row>
    <row r="162" spans="1:22" ht="15.6" x14ac:dyDescent="0.3">
      <c r="A162" s="24"/>
      <c r="B162" s="25" t="s">
        <v>55</v>
      </c>
      <c r="C162" s="25"/>
      <c r="D162" s="25"/>
      <c r="E162" s="25"/>
      <c r="F162" s="25"/>
      <c r="G162" s="25"/>
      <c r="H162" s="25"/>
      <c r="I162" s="25"/>
      <c r="J162" s="25"/>
      <c r="K162" s="25"/>
      <c r="L162" s="25"/>
      <c r="M162" s="25"/>
      <c r="N162" s="25"/>
      <c r="O162" s="25"/>
      <c r="P162" s="25"/>
      <c r="Q162" s="25"/>
      <c r="R162" s="25"/>
      <c r="S162" s="25"/>
      <c r="T162" s="53">
        <f>T161+T160</f>
        <v>4</v>
      </c>
      <c r="U162" s="25"/>
      <c r="V162" s="5"/>
    </row>
    <row r="163" spans="1:22" ht="15.6" x14ac:dyDescent="0.3">
      <c r="A163" s="24"/>
      <c r="B163" s="405" t="s">
        <v>301</v>
      </c>
      <c r="C163" s="25"/>
      <c r="D163" s="25"/>
      <c r="E163" s="25"/>
      <c r="F163" s="25"/>
      <c r="G163" s="25"/>
      <c r="H163" s="25"/>
      <c r="I163" s="25"/>
      <c r="J163" s="25"/>
      <c r="K163" s="25"/>
      <c r="L163" s="25"/>
      <c r="M163" s="25"/>
      <c r="N163" s="25"/>
      <c r="O163" s="25"/>
      <c r="P163" s="25"/>
      <c r="Q163" s="25"/>
      <c r="R163" s="25"/>
      <c r="S163" s="25"/>
      <c r="T163" s="53">
        <f>T112</f>
        <v>-4</v>
      </c>
      <c r="U163" s="25"/>
      <c r="V163" s="5"/>
    </row>
    <row r="164" spans="1:22" ht="15.6" x14ac:dyDescent="0.3">
      <c r="A164" s="24"/>
      <c r="B164" s="25" t="s">
        <v>56</v>
      </c>
      <c r="C164" s="25"/>
      <c r="D164" s="25"/>
      <c r="E164" s="25"/>
      <c r="F164" s="25"/>
      <c r="G164" s="25"/>
      <c r="H164" s="25"/>
      <c r="I164" s="25"/>
      <c r="J164" s="25"/>
      <c r="K164" s="25"/>
      <c r="L164" s="25"/>
      <c r="M164" s="25"/>
      <c r="N164" s="25"/>
      <c r="O164" s="25"/>
      <c r="P164" s="25"/>
      <c r="Q164" s="25"/>
      <c r="R164" s="25"/>
      <c r="S164" s="25"/>
      <c r="T164" s="53">
        <f>T162+T163</f>
        <v>0</v>
      </c>
      <c r="U164" s="25"/>
      <c r="V164" s="5"/>
    </row>
    <row r="165" spans="1:22" ht="16.2" thickBot="1" x14ac:dyDescent="0.35">
      <c r="A165" s="24"/>
      <c r="B165" s="25"/>
      <c r="C165" s="25"/>
      <c r="D165" s="25"/>
      <c r="E165" s="25"/>
      <c r="F165" s="25"/>
      <c r="G165" s="25"/>
      <c r="H165" s="25"/>
      <c r="I165" s="25"/>
      <c r="J165" s="25"/>
      <c r="K165" s="25"/>
      <c r="L165" s="25"/>
      <c r="M165" s="25"/>
      <c r="N165" s="25"/>
      <c r="O165" s="25"/>
      <c r="P165" s="25"/>
      <c r="Q165" s="25"/>
      <c r="R165" s="25"/>
      <c r="S165" s="25"/>
      <c r="T165" s="61"/>
      <c r="U165" s="25"/>
      <c r="V165" s="5"/>
    </row>
    <row r="166" spans="1:22" ht="15.6" x14ac:dyDescent="0.3">
      <c r="A166" s="2"/>
      <c r="B166" s="4"/>
      <c r="C166" s="4"/>
      <c r="D166" s="4"/>
      <c r="E166" s="4"/>
      <c r="F166" s="4"/>
      <c r="G166" s="4"/>
      <c r="H166" s="4"/>
      <c r="I166" s="4"/>
      <c r="J166" s="4"/>
      <c r="K166" s="4"/>
      <c r="L166" s="4"/>
      <c r="M166" s="4"/>
      <c r="N166" s="4"/>
      <c r="O166" s="4"/>
      <c r="P166" s="4"/>
      <c r="Q166" s="4"/>
      <c r="R166" s="4"/>
      <c r="S166" s="4"/>
      <c r="T166" s="50"/>
      <c r="U166" s="4"/>
      <c r="V166" s="5"/>
    </row>
    <row r="167" spans="1:22" ht="15.6" x14ac:dyDescent="0.3">
      <c r="A167" s="6"/>
      <c r="B167" s="119" t="s">
        <v>57</v>
      </c>
      <c r="C167" s="8"/>
      <c r="D167" s="8"/>
      <c r="E167" s="8"/>
      <c r="F167" s="8"/>
      <c r="G167" s="8"/>
      <c r="H167" s="8"/>
      <c r="I167" s="8"/>
      <c r="J167" s="8"/>
      <c r="K167" s="8"/>
      <c r="L167" s="8"/>
      <c r="M167" s="8"/>
      <c r="N167" s="8"/>
      <c r="O167" s="8"/>
      <c r="P167" s="8"/>
      <c r="Q167" s="8"/>
      <c r="R167" s="8"/>
      <c r="S167" s="8"/>
      <c r="T167" s="52"/>
      <c r="U167" s="8"/>
      <c r="V167" s="5"/>
    </row>
    <row r="168" spans="1:22" ht="15.6" x14ac:dyDescent="0.3">
      <c r="A168" s="6"/>
      <c r="B168" s="21"/>
      <c r="C168" s="8"/>
      <c r="D168" s="8"/>
      <c r="E168" s="8"/>
      <c r="F168" s="8"/>
      <c r="G168" s="8"/>
      <c r="H168" s="8"/>
      <c r="I168" s="8"/>
      <c r="J168" s="8"/>
      <c r="K168" s="8"/>
      <c r="L168" s="8"/>
      <c r="M168" s="8"/>
      <c r="N168" s="8"/>
      <c r="O168" s="8"/>
      <c r="P168" s="8"/>
      <c r="Q168" s="8"/>
      <c r="R168" s="8"/>
      <c r="S168" s="8"/>
      <c r="T168" s="52"/>
      <c r="U168" s="8"/>
      <c r="V168" s="5"/>
    </row>
    <row r="169" spans="1:22" ht="15.6" x14ac:dyDescent="0.3">
      <c r="A169" s="24"/>
      <c r="B169" s="25" t="s">
        <v>58</v>
      </c>
      <c r="C169" s="25"/>
      <c r="D169" s="25"/>
      <c r="E169" s="25"/>
      <c r="F169" s="25"/>
      <c r="G169" s="25"/>
      <c r="H169" s="25"/>
      <c r="I169" s="25"/>
      <c r="J169" s="25"/>
      <c r="K169" s="25"/>
      <c r="L169" s="25"/>
      <c r="M169" s="25"/>
      <c r="N169" s="25"/>
      <c r="O169" s="25"/>
      <c r="P169" s="25"/>
      <c r="Q169" s="25"/>
      <c r="R169" s="25"/>
      <c r="S169" s="25"/>
      <c r="T169" s="53">
        <f>T72</f>
        <v>892257</v>
      </c>
      <c r="U169" s="25"/>
      <c r="V169" s="5"/>
    </row>
    <row r="170" spans="1:22" ht="15.6" x14ac:dyDescent="0.3">
      <c r="A170" s="24"/>
      <c r="B170" s="25" t="s">
        <v>59</v>
      </c>
      <c r="C170" s="25"/>
      <c r="D170" s="25"/>
      <c r="E170" s="25"/>
      <c r="F170" s="25"/>
      <c r="G170" s="25"/>
      <c r="H170" s="25"/>
      <c r="I170" s="25"/>
      <c r="J170" s="25"/>
      <c r="K170" s="25"/>
      <c r="L170" s="25"/>
      <c r="M170" s="25"/>
      <c r="N170" s="25"/>
      <c r="O170" s="25"/>
      <c r="P170" s="25"/>
      <c r="Q170" s="25"/>
      <c r="R170" s="25"/>
      <c r="S170" s="25"/>
      <c r="T170" s="53">
        <f>T85</f>
        <v>892257</v>
      </c>
      <c r="U170" s="25"/>
      <c r="V170" s="5"/>
    </row>
    <row r="171" spans="1:22" ht="16.2" thickBot="1" x14ac:dyDescent="0.35">
      <c r="A171" s="24"/>
      <c r="B171" s="25"/>
      <c r="C171" s="25"/>
      <c r="D171" s="25"/>
      <c r="E171" s="25"/>
      <c r="F171" s="25"/>
      <c r="G171" s="25"/>
      <c r="H171" s="25"/>
      <c r="I171" s="25"/>
      <c r="J171" s="25"/>
      <c r="K171" s="25"/>
      <c r="L171" s="25"/>
      <c r="M171" s="25"/>
      <c r="N171" s="25"/>
      <c r="O171" s="25"/>
      <c r="P171" s="25"/>
      <c r="Q171" s="25"/>
      <c r="R171" s="25"/>
      <c r="S171" s="25"/>
      <c r="T171" s="61"/>
      <c r="U171" s="25"/>
      <c r="V171" s="5"/>
    </row>
    <row r="172" spans="1:22" ht="15.6" x14ac:dyDescent="0.3">
      <c r="A172" s="2"/>
      <c r="B172" s="4"/>
      <c r="C172" s="4"/>
      <c r="D172" s="4"/>
      <c r="E172" s="4"/>
      <c r="F172" s="4"/>
      <c r="G172" s="4"/>
      <c r="H172" s="4"/>
      <c r="I172" s="4"/>
      <c r="J172" s="4"/>
      <c r="K172" s="4"/>
      <c r="L172" s="4"/>
      <c r="M172" s="4"/>
      <c r="N172" s="4"/>
      <c r="O172" s="4"/>
      <c r="P172" s="4"/>
      <c r="Q172" s="4"/>
      <c r="R172" s="4"/>
      <c r="S172" s="4"/>
      <c r="T172" s="50"/>
      <c r="U172" s="4"/>
      <c r="V172" s="5"/>
    </row>
    <row r="173" spans="1:22" ht="15.6" x14ac:dyDescent="0.3">
      <c r="A173" s="6"/>
      <c r="B173" s="119" t="s">
        <v>60</v>
      </c>
      <c r="C173" s="117"/>
      <c r="D173" s="117"/>
      <c r="E173" s="117"/>
      <c r="F173" s="117"/>
      <c r="G173" s="117"/>
      <c r="H173" s="120"/>
      <c r="I173" s="120"/>
      <c r="J173" s="120"/>
      <c r="K173" s="120"/>
      <c r="L173" s="120"/>
      <c r="M173" s="120"/>
      <c r="N173" s="120"/>
      <c r="O173" s="120"/>
      <c r="P173" s="120"/>
      <c r="Q173" s="120" t="s">
        <v>104</v>
      </c>
      <c r="R173" s="120" t="s">
        <v>183</v>
      </c>
      <c r="S173" s="111"/>
      <c r="T173" s="121" t="s">
        <v>120</v>
      </c>
      <c r="U173" s="10"/>
      <c r="V173" s="5"/>
    </row>
    <row r="174" spans="1:22" ht="15.6" x14ac:dyDescent="0.3">
      <c r="A174" s="24"/>
      <c r="B174" s="25" t="s">
        <v>61</v>
      </c>
      <c r="C174" s="25"/>
      <c r="D174" s="25"/>
      <c r="E174" s="25"/>
      <c r="F174" s="25"/>
      <c r="G174" s="25"/>
      <c r="H174" s="25"/>
      <c r="I174" s="25"/>
      <c r="J174" s="25"/>
      <c r="K174" s="25"/>
      <c r="L174" s="25"/>
      <c r="M174" s="25"/>
      <c r="N174" s="25"/>
      <c r="O174" s="25"/>
      <c r="P174" s="25"/>
      <c r="Q174" s="53">
        <v>160008</v>
      </c>
      <c r="R174" s="40"/>
      <c r="S174" s="25"/>
      <c r="T174" s="53"/>
      <c r="U174" s="25"/>
      <c r="V174" s="5"/>
    </row>
    <row r="175" spans="1:22" ht="15.6" x14ac:dyDescent="0.3">
      <c r="A175" s="24"/>
      <c r="B175" s="25" t="s">
        <v>62</v>
      </c>
      <c r="C175" s="25"/>
      <c r="D175" s="25"/>
      <c r="E175" s="25"/>
      <c r="F175" s="25"/>
      <c r="G175" s="25"/>
      <c r="H175" s="25"/>
      <c r="I175" s="25"/>
      <c r="J175" s="25"/>
      <c r="K175" s="25"/>
      <c r="L175" s="25"/>
      <c r="M175" s="25"/>
      <c r="N175" s="25"/>
      <c r="O175" s="25"/>
      <c r="P175" s="25"/>
      <c r="Q175" s="53">
        <f>+'June 07'!Q177</f>
        <v>20441</v>
      </c>
      <c r="R175" s="53">
        <f>+'June 07'!R177</f>
        <v>2989</v>
      </c>
      <c r="S175" s="25"/>
      <c r="T175" s="53">
        <f>Q175+R175</f>
        <v>23430</v>
      </c>
      <c r="U175" s="25"/>
      <c r="V175" s="5"/>
    </row>
    <row r="176" spans="1:22" ht="15.6" x14ac:dyDescent="0.3">
      <c r="A176" s="24"/>
      <c r="B176" s="25" t="s">
        <v>63</v>
      </c>
      <c r="C176" s="25"/>
      <c r="D176" s="25"/>
      <c r="E176" s="25"/>
      <c r="F176" s="25"/>
      <c r="G176" s="25"/>
      <c r="H176" s="25"/>
      <c r="I176" s="25"/>
      <c r="J176" s="25"/>
      <c r="K176" s="25"/>
      <c r="L176" s="25"/>
      <c r="M176" s="25"/>
      <c r="N176" s="25"/>
      <c r="O176" s="25"/>
      <c r="P176" s="25"/>
      <c r="Q176" s="34">
        <v>3710</v>
      </c>
      <c r="R176" s="34">
        <v>71</v>
      </c>
      <c r="S176" s="25"/>
      <c r="T176" s="53">
        <f>Q176+R176</f>
        <v>3781</v>
      </c>
      <c r="U176" s="25"/>
      <c r="V176" s="5"/>
    </row>
    <row r="177" spans="1:22" ht="15.6" x14ac:dyDescent="0.3">
      <c r="A177" s="24"/>
      <c r="B177" s="25" t="s">
        <v>64</v>
      </c>
      <c r="C177" s="25"/>
      <c r="D177" s="25"/>
      <c r="E177" s="25"/>
      <c r="F177" s="25"/>
      <c r="G177" s="25"/>
      <c r="H177" s="25"/>
      <c r="I177" s="25"/>
      <c r="J177" s="25"/>
      <c r="K177" s="25"/>
      <c r="L177" s="25"/>
      <c r="M177" s="25"/>
      <c r="N177" s="25"/>
      <c r="O177" s="25"/>
      <c r="P177" s="25"/>
      <c r="Q177" s="53">
        <f>Q175+Q176</f>
        <v>24151</v>
      </c>
      <c r="R177" s="53">
        <f>R176+R175</f>
        <v>3060</v>
      </c>
      <c r="S177" s="25"/>
      <c r="T177" s="53">
        <f>Q177+R177</f>
        <v>27211</v>
      </c>
      <c r="U177" s="25"/>
      <c r="V177" s="5"/>
    </row>
    <row r="178" spans="1:22" ht="15.6" x14ac:dyDescent="0.3">
      <c r="A178" s="24"/>
      <c r="B178" s="25" t="s">
        <v>65</v>
      </c>
      <c r="C178" s="25"/>
      <c r="D178" s="25"/>
      <c r="E178" s="25"/>
      <c r="F178" s="25"/>
      <c r="G178" s="25"/>
      <c r="H178" s="25"/>
      <c r="I178" s="25"/>
      <c r="J178" s="25"/>
      <c r="K178" s="25"/>
      <c r="L178" s="25"/>
      <c r="M178" s="25"/>
      <c r="N178" s="25"/>
      <c r="O178" s="25"/>
      <c r="P178" s="25"/>
      <c r="Q178" s="53">
        <f>Q174-Q177-R177</f>
        <v>132797</v>
      </c>
      <c r="R178" s="40"/>
      <c r="S178" s="25"/>
      <c r="T178" s="53"/>
      <c r="U178" s="25"/>
      <c r="V178" s="5"/>
    </row>
    <row r="179" spans="1:22" ht="16.2" thickBot="1" x14ac:dyDescent="0.35">
      <c r="A179" s="24"/>
      <c r="B179" s="25"/>
      <c r="C179" s="25"/>
      <c r="D179" s="25"/>
      <c r="E179" s="25"/>
      <c r="F179" s="25"/>
      <c r="G179" s="25"/>
      <c r="H179" s="25"/>
      <c r="I179" s="25"/>
      <c r="J179" s="25"/>
      <c r="K179" s="25"/>
      <c r="L179" s="25"/>
      <c r="M179" s="25"/>
      <c r="N179" s="25"/>
      <c r="O179" s="25"/>
      <c r="P179" s="25"/>
      <c r="Q179" s="25"/>
      <c r="R179" s="25"/>
      <c r="S179" s="25"/>
      <c r="T179" s="61"/>
      <c r="U179" s="25"/>
      <c r="V179" s="5"/>
    </row>
    <row r="180" spans="1:22" ht="15.6" x14ac:dyDescent="0.3">
      <c r="A180" s="2"/>
      <c r="B180" s="4"/>
      <c r="C180" s="4"/>
      <c r="D180" s="4"/>
      <c r="E180" s="4"/>
      <c r="F180" s="4"/>
      <c r="G180" s="4"/>
      <c r="H180" s="4"/>
      <c r="I180" s="4"/>
      <c r="J180" s="4"/>
      <c r="K180" s="4"/>
      <c r="L180" s="4"/>
      <c r="M180" s="4"/>
      <c r="N180" s="4"/>
      <c r="O180" s="4"/>
      <c r="P180" s="4"/>
      <c r="Q180" s="4"/>
      <c r="R180" s="4"/>
      <c r="S180" s="4"/>
      <c r="T180" s="50"/>
      <c r="U180" s="4"/>
      <c r="V180" s="5"/>
    </row>
    <row r="181" spans="1:22" ht="15.6" x14ac:dyDescent="0.3">
      <c r="A181" s="6"/>
      <c r="B181" s="119" t="s">
        <v>66</v>
      </c>
      <c r="C181" s="8"/>
      <c r="D181" s="8"/>
      <c r="E181" s="8"/>
      <c r="F181" s="8"/>
      <c r="G181" s="8"/>
      <c r="H181" s="8"/>
      <c r="I181" s="8"/>
      <c r="J181" s="8"/>
      <c r="K181" s="8"/>
      <c r="L181" s="8"/>
      <c r="M181" s="8"/>
      <c r="N181" s="8"/>
      <c r="O181" s="8"/>
      <c r="P181" s="8"/>
      <c r="Q181" s="8"/>
      <c r="R181" s="8"/>
      <c r="S181" s="8"/>
      <c r="T181" s="65"/>
      <c r="U181" s="8"/>
      <c r="V181" s="5"/>
    </row>
    <row r="182" spans="1:22" ht="15.6" x14ac:dyDescent="0.3">
      <c r="A182" s="24"/>
      <c r="B182" s="25" t="s">
        <v>67</v>
      </c>
      <c r="C182" s="25"/>
      <c r="D182" s="25"/>
      <c r="E182" s="25"/>
      <c r="F182" s="25"/>
      <c r="G182" s="25"/>
      <c r="H182" s="25"/>
      <c r="I182" s="25"/>
      <c r="J182" s="25"/>
      <c r="K182" s="25"/>
      <c r="L182" s="25"/>
      <c r="M182" s="25"/>
      <c r="N182" s="25"/>
      <c r="O182" s="25"/>
      <c r="P182" s="25"/>
      <c r="Q182" s="25"/>
      <c r="R182" s="25"/>
      <c r="S182" s="25"/>
      <c r="T182" s="59">
        <f>(T100+T102+T103+T104+T105)/-(T106+T107)</f>
        <v>1.4429068681551915</v>
      </c>
      <c r="U182" s="25" t="s">
        <v>121</v>
      </c>
      <c r="V182" s="5"/>
    </row>
    <row r="183" spans="1:22" ht="15.6" x14ac:dyDescent="0.3">
      <c r="A183" s="24"/>
      <c r="B183" s="25" t="s">
        <v>68</v>
      </c>
      <c r="C183" s="25"/>
      <c r="D183" s="25"/>
      <c r="E183" s="25"/>
      <c r="F183" s="25"/>
      <c r="G183" s="25"/>
      <c r="H183" s="25"/>
      <c r="I183" s="25"/>
      <c r="J183" s="25"/>
      <c r="K183" s="25"/>
      <c r="L183" s="25"/>
      <c r="M183" s="25"/>
      <c r="N183" s="25"/>
      <c r="O183" s="25"/>
      <c r="P183" s="25"/>
      <c r="Q183" s="25"/>
      <c r="R183" s="25"/>
      <c r="S183" s="25"/>
      <c r="T183" s="66">
        <v>1.43</v>
      </c>
      <c r="U183" s="25" t="s">
        <v>121</v>
      </c>
      <c r="V183" s="5"/>
    </row>
    <row r="184" spans="1:22" ht="15.6" x14ac:dyDescent="0.3">
      <c r="A184" s="24"/>
      <c r="B184" s="25" t="s">
        <v>69</v>
      </c>
      <c r="C184" s="25"/>
      <c r="D184" s="25"/>
      <c r="E184" s="25"/>
      <c r="F184" s="25"/>
      <c r="G184" s="25"/>
      <c r="H184" s="25"/>
      <c r="I184" s="25"/>
      <c r="J184" s="25"/>
      <c r="K184" s="25"/>
      <c r="L184" s="25"/>
      <c r="M184" s="25"/>
      <c r="N184" s="25"/>
      <c r="O184" s="25"/>
      <c r="P184" s="25"/>
      <c r="Q184" s="25"/>
      <c r="R184" s="25"/>
      <c r="S184" s="25"/>
      <c r="T184" s="59">
        <f>(T100+T102+T103+T104+T105+T106+T107)/-(T108+T109)</f>
        <v>4.6086572438162543</v>
      </c>
      <c r="U184" s="25" t="s">
        <v>121</v>
      </c>
      <c r="V184" s="5"/>
    </row>
    <row r="185" spans="1:22" ht="15.6" x14ac:dyDescent="0.3">
      <c r="A185" s="24"/>
      <c r="B185" s="25" t="s">
        <v>70</v>
      </c>
      <c r="C185" s="25"/>
      <c r="D185" s="25"/>
      <c r="E185" s="25"/>
      <c r="F185" s="25"/>
      <c r="G185" s="25"/>
      <c r="H185" s="25"/>
      <c r="I185" s="25"/>
      <c r="J185" s="25"/>
      <c r="K185" s="25"/>
      <c r="L185" s="25"/>
      <c r="M185" s="25"/>
      <c r="N185" s="25"/>
      <c r="O185" s="25"/>
      <c r="P185" s="25"/>
      <c r="Q185" s="25"/>
      <c r="R185" s="25"/>
      <c r="S185" s="25"/>
      <c r="T185" s="66">
        <v>4.75</v>
      </c>
      <c r="U185" s="25" t="s">
        <v>121</v>
      </c>
      <c r="V185" s="5"/>
    </row>
    <row r="186" spans="1:22" ht="15.6" x14ac:dyDescent="0.3">
      <c r="A186" s="24"/>
      <c r="B186" s="25" t="s">
        <v>206</v>
      </c>
      <c r="C186" s="25"/>
      <c r="D186" s="25"/>
      <c r="E186" s="25"/>
      <c r="F186" s="25"/>
      <c r="G186" s="25"/>
      <c r="H186" s="25"/>
      <c r="I186" s="25"/>
      <c r="J186" s="25"/>
      <c r="K186" s="25"/>
      <c r="L186" s="25"/>
      <c r="M186" s="25"/>
      <c r="N186" s="25"/>
      <c r="O186" s="25"/>
      <c r="P186" s="25"/>
      <c r="Q186" s="25"/>
      <c r="R186" s="25"/>
      <c r="S186" s="25"/>
      <c r="T186" s="59">
        <f>(T100+T102+T103+T104+T105+T106+T107+T108+T109)/-(T110)</f>
        <v>4.198355601233299</v>
      </c>
      <c r="U186" s="25" t="s">
        <v>121</v>
      </c>
      <c r="V186" s="5"/>
    </row>
    <row r="187" spans="1:22" ht="15.6" x14ac:dyDescent="0.3">
      <c r="A187" s="24"/>
      <c r="B187" s="25" t="s">
        <v>207</v>
      </c>
      <c r="C187" s="25"/>
      <c r="D187" s="25"/>
      <c r="E187" s="25"/>
      <c r="F187" s="25"/>
      <c r="G187" s="25"/>
      <c r="H187" s="25"/>
      <c r="I187" s="25"/>
      <c r="J187" s="25"/>
      <c r="K187" s="25"/>
      <c r="L187" s="25"/>
      <c r="M187" s="25"/>
      <c r="N187" s="25"/>
      <c r="O187" s="25"/>
      <c r="P187" s="25"/>
      <c r="Q187" s="25"/>
      <c r="R187" s="25"/>
      <c r="S187" s="25"/>
      <c r="T187" s="66">
        <v>4.3499999999999996</v>
      </c>
      <c r="U187" s="25" t="s">
        <v>121</v>
      </c>
      <c r="V187" s="5"/>
    </row>
    <row r="188" spans="1:22" ht="15.6" x14ac:dyDescent="0.3">
      <c r="A188" s="24"/>
      <c r="B188" s="25"/>
      <c r="C188" s="25"/>
      <c r="D188" s="25"/>
      <c r="E188" s="25"/>
      <c r="F188" s="25"/>
      <c r="G188" s="25"/>
      <c r="H188" s="25"/>
      <c r="I188" s="25"/>
      <c r="J188" s="25"/>
      <c r="K188" s="25"/>
      <c r="L188" s="25"/>
      <c r="M188" s="25"/>
      <c r="N188" s="25"/>
      <c r="O188" s="25"/>
      <c r="P188" s="25"/>
      <c r="Q188" s="25"/>
      <c r="R188" s="25"/>
      <c r="S188" s="25"/>
      <c r="T188" s="25"/>
      <c r="U188" s="25"/>
      <c r="V188" s="5"/>
    </row>
    <row r="189" spans="1:22" ht="15.6" x14ac:dyDescent="0.3">
      <c r="A189" s="24"/>
      <c r="B189" s="25"/>
      <c r="C189" s="25"/>
      <c r="D189" s="25"/>
      <c r="E189" s="25"/>
      <c r="F189" s="25"/>
      <c r="G189" s="25"/>
      <c r="H189" s="25"/>
      <c r="I189" s="25"/>
      <c r="J189" s="25"/>
      <c r="K189" s="25"/>
      <c r="L189" s="25"/>
      <c r="M189" s="25"/>
      <c r="N189" s="25"/>
      <c r="O189" s="25"/>
      <c r="P189" s="25"/>
      <c r="Q189" s="25"/>
      <c r="R189" s="25"/>
      <c r="S189" s="25"/>
      <c r="T189" s="25"/>
      <c r="U189" s="25"/>
      <c r="V189" s="5"/>
    </row>
    <row r="190" spans="1:22" ht="15.6" x14ac:dyDescent="0.3">
      <c r="A190" s="6"/>
      <c r="B190" s="8"/>
      <c r="C190" s="8"/>
      <c r="D190" s="8"/>
      <c r="E190" s="8"/>
      <c r="F190" s="8"/>
      <c r="G190" s="8"/>
      <c r="H190" s="8"/>
      <c r="I190" s="8"/>
      <c r="J190" s="8"/>
      <c r="K190" s="8"/>
      <c r="L190" s="8"/>
      <c r="M190" s="8"/>
      <c r="N190" s="8"/>
      <c r="O190" s="8"/>
      <c r="P190" s="8"/>
      <c r="Q190" s="8"/>
      <c r="R190" s="8"/>
      <c r="S190" s="8"/>
      <c r="T190" s="8"/>
      <c r="U190" s="8"/>
      <c r="V190" s="5"/>
    </row>
    <row r="191" spans="1:22" ht="18" thickBot="1" x14ac:dyDescent="0.35">
      <c r="A191" s="101"/>
      <c r="B191" s="102" t="str">
        <f>B132</f>
        <v>PM11 INVESTOR REPORT QUARTER ENDING SEPTEMBER 2007</v>
      </c>
      <c r="C191" s="165"/>
      <c r="D191" s="165"/>
      <c r="E191" s="165"/>
      <c r="F191" s="165"/>
      <c r="G191" s="165"/>
      <c r="H191" s="165"/>
      <c r="I191" s="165"/>
      <c r="J191" s="165"/>
      <c r="K191" s="165"/>
      <c r="L191" s="165"/>
      <c r="M191" s="165"/>
      <c r="N191" s="165"/>
      <c r="O191" s="165"/>
      <c r="P191" s="165"/>
      <c r="Q191" s="165"/>
      <c r="R191" s="165"/>
      <c r="S191" s="165"/>
      <c r="T191" s="165"/>
      <c r="U191" s="166"/>
      <c r="V191" s="5"/>
    </row>
    <row r="192" spans="1:22" ht="15.6" x14ac:dyDescent="0.3">
      <c r="A192" s="67"/>
      <c r="B192" s="60" t="s">
        <v>71</v>
      </c>
      <c r="C192" s="68"/>
      <c r="D192" s="68"/>
      <c r="E192" s="68"/>
      <c r="F192" s="68"/>
      <c r="G192" s="69"/>
      <c r="H192" s="69"/>
      <c r="I192" s="69"/>
      <c r="J192" s="69"/>
      <c r="K192" s="69"/>
      <c r="L192" s="69"/>
      <c r="M192" s="69"/>
      <c r="N192" s="69"/>
      <c r="O192" s="69"/>
      <c r="P192" s="69"/>
      <c r="Q192" s="69"/>
      <c r="R192" s="70">
        <v>39353</v>
      </c>
      <c r="S192" s="4"/>
      <c r="T192" s="4"/>
      <c r="U192" s="4"/>
      <c r="V192" s="5"/>
    </row>
    <row r="193" spans="1:22" ht="15.6" x14ac:dyDescent="0.3">
      <c r="A193" s="71"/>
      <c r="B193" s="72"/>
      <c r="C193" s="73"/>
      <c r="D193" s="73"/>
      <c r="E193" s="73"/>
      <c r="F193" s="73"/>
      <c r="G193" s="74"/>
      <c r="H193" s="74"/>
      <c r="I193" s="74"/>
      <c r="J193" s="74"/>
      <c r="K193" s="74"/>
      <c r="L193" s="74"/>
      <c r="M193" s="74"/>
      <c r="N193" s="74"/>
      <c r="O193" s="74"/>
      <c r="P193" s="74"/>
      <c r="Q193" s="74"/>
      <c r="R193" s="74"/>
      <c r="S193" s="8"/>
      <c r="T193" s="8"/>
      <c r="U193" s="8"/>
      <c r="V193" s="5"/>
    </row>
    <row r="194" spans="1:22" ht="15.6" x14ac:dyDescent="0.3">
      <c r="A194" s="75"/>
      <c r="B194" s="76" t="s">
        <v>72</v>
      </c>
      <c r="C194" s="77"/>
      <c r="D194" s="77"/>
      <c r="E194" s="77"/>
      <c r="F194" s="77"/>
      <c r="G194" s="64"/>
      <c r="H194" s="64"/>
      <c r="I194" s="64"/>
      <c r="J194" s="64"/>
      <c r="K194" s="64"/>
      <c r="L194" s="64"/>
      <c r="M194" s="64"/>
      <c r="N194" s="64"/>
      <c r="O194" s="64"/>
      <c r="P194" s="64"/>
      <c r="Q194" s="64"/>
      <c r="R194" s="78">
        <v>5.1569999999999998E-2</v>
      </c>
      <c r="S194" s="25"/>
      <c r="T194" s="25"/>
      <c r="U194" s="25"/>
      <c r="V194" s="5"/>
    </row>
    <row r="195" spans="1:22" ht="15.6" x14ac:dyDescent="0.3">
      <c r="A195" s="75"/>
      <c r="B195" s="76" t="s">
        <v>157</v>
      </c>
      <c r="C195" s="77"/>
      <c r="D195" s="77"/>
      <c r="E195" s="77"/>
      <c r="F195" s="77"/>
      <c r="G195" s="64"/>
      <c r="H195" s="64"/>
      <c r="I195" s="64"/>
      <c r="J195" s="64"/>
      <c r="K195" s="64"/>
      <c r="L195" s="64"/>
      <c r="M195" s="64"/>
      <c r="N195" s="64"/>
      <c r="O195" s="64"/>
      <c r="P195" s="64"/>
      <c r="Q195" s="64"/>
      <c r="R195" s="39">
        <v>4.6899999999999997E-2</v>
      </c>
      <c r="S195" s="25"/>
      <c r="T195" s="25"/>
      <c r="U195" s="25"/>
      <c r="V195" s="5"/>
    </row>
    <row r="196" spans="1:22" ht="15.6" x14ac:dyDescent="0.3">
      <c r="A196" s="75"/>
      <c r="B196" s="76" t="s">
        <v>73</v>
      </c>
      <c r="C196" s="77"/>
      <c r="D196" s="77"/>
      <c r="E196" s="77"/>
      <c r="F196" s="77"/>
      <c r="G196" s="64"/>
      <c r="H196" s="64"/>
      <c r="I196" s="64"/>
      <c r="J196" s="64"/>
      <c r="K196" s="64"/>
      <c r="L196" s="64"/>
      <c r="M196" s="64"/>
      <c r="N196" s="64"/>
      <c r="O196" s="64"/>
      <c r="P196" s="64"/>
      <c r="Q196" s="64"/>
      <c r="R196" s="78">
        <f>R194-R195</f>
        <v>4.6700000000000005E-3</v>
      </c>
      <c r="S196" s="25"/>
      <c r="T196" s="25"/>
      <c r="U196" s="25"/>
      <c r="V196" s="5"/>
    </row>
    <row r="197" spans="1:22" ht="15.6" x14ac:dyDescent="0.3">
      <c r="A197" s="75"/>
      <c r="B197" s="76" t="s">
        <v>74</v>
      </c>
      <c r="C197" s="77"/>
      <c r="D197" s="77"/>
      <c r="E197" s="77"/>
      <c r="F197" s="77"/>
      <c r="G197" s="64"/>
      <c r="H197" s="64"/>
      <c r="I197" s="64"/>
      <c r="J197" s="64"/>
      <c r="K197" s="64"/>
      <c r="L197" s="64"/>
      <c r="M197" s="64"/>
      <c r="N197" s="64"/>
      <c r="O197" s="64"/>
      <c r="P197" s="64"/>
      <c r="Q197" s="64"/>
      <c r="R197" s="78">
        <v>5.4140000000000001E-2</v>
      </c>
      <c r="S197" s="25"/>
      <c r="T197" s="25"/>
      <c r="U197" s="25"/>
      <c r="V197" s="5"/>
    </row>
    <row r="198" spans="1:22" ht="15.6" x14ac:dyDescent="0.3">
      <c r="A198" s="75"/>
      <c r="B198" s="76" t="s">
        <v>257</v>
      </c>
      <c r="C198" s="77"/>
      <c r="D198" s="77"/>
      <c r="E198" s="77"/>
      <c r="F198" s="77"/>
      <c r="G198" s="64"/>
      <c r="H198" s="64"/>
      <c r="I198" s="64"/>
      <c r="J198" s="64"/>
      <c r="K198" s="64"/>
      <c r="L198" s="64"/>
      <c r="M198" s="64"/>
      <c r="N198" s="64"/>
      <c r="O198" s="64"/>
      <c r="P198" s="64"/>
      <c r="Q198" s="64"/>
      <c r="R198" s="78">
        <f>T43</f>
        <v>6.1048666386418787E-2</v>
      </c>
      <c r="S198" s="25"/>
      <c r="T198" s="25"/>
      <c r="U198" s="25"/>
      <c r="V198" s="5"/>
    </row>
    <row r="199" spans="1:22" ht="15.6" x14ac:dyDescent="0.3">
      <c r="A199" s="75"/>
      <c r="B199" s="76" t="s">
        <v>75</v>
      </c>
      <c r="C199" s="77"/>
      <c r="D199" s="77"/>
      <c r="E199" s="77"/>
      <c r="F199" s="77"/>
      <c r="G199" s="64"/>
      <c r="H199" s="64"/>
      <c r="I199" s="64"/>
      <c r="J199" s="64"/>
      <c r="K199" s="64"/>
      <c r="L199" s="64"/>
      <c r="M199" s="64"/>
      <c r="N199" s="64"/>
      <c r="O199" s="64"/>
      <c r="P199" s="64"/>
      <c r="Q199" s="64"/>
      <c r="R199" s="78">
        <f>R197-R198</f>
        <v>-6.9086663864187867E-3</v>
      </c>
      <c r="S199" s="25"/>
      <c r="T199" s="25"/>
      <c r="U199" s="25"/>
      <c r="V199" s="5"/>
    </row>
    <row r="200" spans="1:22" ht="15.6" x14ac:dyDescent="0.3">
      <c r="A200" s="75"/>
      <c r="B200" s="76" t="s">
        <v>260</v>
      </c>
      <c r="C200" s="77"/>
      <c r="D200" s="77"/>
      <c r="E200" s="77"/>
      <c r="F200" s="77"/>
      <c r="G200" s="64"/>
      <c r="H200" s="64"/>
      <c r="I200" s="64"/>
      <c r="J200" s="64"/>
      <c r="K200" s="64"/>
      <c r="L200" s="64"/>
      <c r="M200" s="64"/>
      <c r="N200" s="64"/>
      <c r="O200" s="64"/>
      <c r="P200" s="64"/>
      <c r="Q200" s="64"/>
      <c r="R200" s="78">
        <f>+T100/L72</f>
        <v>1.904108357687358E-2</v>
      </c>
      <c r="S200" s="25"/>
      <c r="T200" s="25"/>
      <c r="U200" s="25"/>
      <c r="V200" s="5"/>
    </row>
    <row r="201" spans="1:22" ht="15.6" x14ac:dyDescent="0.3">
      <c r="A201" s="75"/>
      <c r="B201" s="76" t="s">
        <v>217</v>
      </c>
      <c r="C201" s="77"/>
      <c r="D201" s="77"/>
      <c r="E201" s="77"/>
      <c r="F201" s="77"/>
      <c r="G201" s="64"/>
      <c r="H201" s="64"/>
      <c r="I201" s="64"/>
      <c r="J201" s="64"/>
      <c r="K201" s="64"/>
      <c r="L201" s="64"/>
      <c r="M201" s="64"/>
      <c r="N201" s="64"/>
      <c r="O201" s="64"/>
      <c r="P201" s="64"/>
      <c r="Q201" s="64"/>
      <c r="R201" s="129">
        <v>15250</v>
      </c>
      <c r="S201" s="25"/>
      <c r="T201" s="25"/>
      <c r="U201" s="25"/>
      <c r="V201" s="5"/>
    </row>
    <row r="202" spans="1:22" ht="15.6" x14ac:dyDescent="0.3">
      <c r="A202" s="75"/>
      <c r="B202" s="76" t="s">
        <v>218</v>
      </c>
      <c r="C202" s="77"/>
      <c r="D202" s="77"/>
      <c r="E202" s="77"/>
      <c r="F202" s="77"/>
      <c r="G202" s="64"/>
      <c r="H202" s="64"/>
      <c r="I202" s="64"/>
      <c r="J202" s="64"/>
      <c r="K202" s="64"/>
      <c r="L202" s="64"/>
      <c r="M202" s="64"/>
      <c r="N202" s="64"/>
      <c r="O202" s="64"/>
      <c r="P202" s="64"/>
      <c r="Q202" s="64"/>
      <c r="R202" s="129">
        <v>15250</v>
      </c>
      <c r="S202" s="25"/>
      <c r="T202" s="25"/>
      <c r="U202" s="25"/>
      <c r="V202" s="5"/>
    </row>
    <row r="203" spans="1:22" ht="15.6" x14ac:dyDescent="0.3">
      <c r="A203" s="75"/>
      <c r="B203" s="76" t="s">
        <v>219</v>
      </c>
      <c r="C203" s="77"/>
      <c r="D203" s="77"/>
      <c r="E203" s="77"/>
      <c r="F203" s="77"/>
      <c r="G203" s="64"/>
      <c r="H203" s="64"/>
      <c r="I203" s="64"/>
      <c r="J203" s="64"/>
      <c r="K203" s="64"/>
      <c r="L203" s="64"/>
      <c r="M203" s="64"/>
      <c r="N203" s="64"/>
      <c r="O203" s="64"/>
      <c r="P203" s="64"/>
      <c r="Q203" s="64"/>
      <c r="R203" s="129">
        <v>15250</v>
      </c>
      <c r="S203" s="25"/>
      <c r="T203" s="25"/>
      <c r="U203" s="25"/>
      <c r="V203" s="5"/>
    </row>
    <row r="204" spans="1:22" ht="15.6" x14ac:dyDescent="0.3">
      <c r="A204" s="75"/>
      <c r="B204" s="76" t="s">
        <v>76</v>
      </c>
      <c r="C204" s="77"/>
      <c r="D204" s="77"/>
      <c r="E204" s="77"/>
      <c r="F204" s="77"/>
      <c r="G204" s="64"/>
      <c r="H204" s="64"/>
      <c r="I204" s="64"/>
      <c r="J204" s="64"/>
      <c r="K204" s="64"/>
      <c r="L204" s="64"/>
      <c r="M204" s="64"/>
      <c r="N204" s="64"/>
      <c r="O204" s="64"/>
      <c r="P204" s="64"/>
      <c r="Q204" s="64"/>
      <c r="R204" s="133">
        <v>21.18</v>
      </c>
      <c r="S204" s="25" t="s">
        <v>116</v>
      </c>
      <c r="T204" s="25"/>
      <c r="U204" s="25"/>
      <c r="V204" s="5"/>
    </row>
    <row r="205" spans="1:22" ht="15.6" x14ac:dyDescent="0.3">
      <c r="A205" s="75"/>
      <c r="B205" s="76" t="s">
        <v>77</v>
      </c>
      <c r="C205" s="77"/>
      <c r="D205" s="77"/>
      <c r="E205" s="77"/>
      <c r="F205" s="77"/>
      <c r="G205" s="64"/>
      <c r="H205" s="64"/>
      <c r="I205" s="64"/>
      <c r="J205" s="64"/>
      <c r="K205" s="64"/>
      <c r="L205" s="64"/>
      <c r="M205" s="64"/>
      <c r="N205" s="64"/>
      <c r="O205" s="64"/>
      <c r="P205" s="64"/>
      <c r="Q205" s="64"/>
      <c r="R205" s="133">
        <v>19.73</v>
      </c>
      <c r="S205" s="25" t="s">
        <v>116</v>
      </c>
      <c r="T205" s="25"/>
      <c r="U205" s="25"/>
      <c r="V205" s="5"/>
    </row>
    <row r="206" spans="1:22" ht="15.6" x14ac:dyDescent="0.3">
      <c r="A206" s="75"/>
      <c r="B206" s="76" t="s">
        <v>78</v>
      </c>
      <c r="C206" s="77"/>
      <c r="D206" s="77"/>
      <c r="E206" s="77"/>
      <c r="F206" s="77"/>
      <c r="G206" s="64"/>
      <c r="H206" s="64"/>
      <c r="I206" s="64"/>
      <c r="J206" s="64"/>
      <c r="K206" s="64"/>
      <c r="L206" s="64"/>
      <c r="M206" s="64"/>
      <c r="N206" s="64"/>
      <c r="O206" s="64"/>
      <c r="P206" s="64"/>
      <c r="Q206" s="64"/>
      <c r="R206" s="78">
        <f>+N69/L69</f>
        <v>2.6203688072630169E-2</v>
      </c>
      <c r="S206" s="25"/>
      <c r="T206" s="25"/>
      <c r="U206" s="25"/>
      <c r="V206" s="5"/>
    </row>
    <row r="207" spans="1:22" ht="15.6" x14ac:dyDescent="0.3">
      <c r="A207" s="75"/>
      <c r="B207" s="76" t="s">
        <v>79</v>
      </c>
      <c r="C207" s="77"/>
      <c r="D207" s="77"/>
      <c r="E207" s="77"/>
      <c r="F207" s="77"/>
      <c r="G207" s="64"/>
      <c r="H207" s="64"/>
      <c r="I207" s="64"/>
      <c r="J207" s="64"/>
      <c r="K207" s="64"/>
      <c r="L207" s="64"/>
      <c r="M207" s="64"/>
      <c r="N207" s="64"/>
      <c r="O207" s="64"/>
      <c r="P207" s="64"/>
      <c r="Q207" s="64"/>
      <c r="R207" s="78">
        <v>8.9700000000000002E-2</v>
      </c>
      <c r="S207" s="25"/>
      <c r="T207" s="25"/>
      <c r="U207" s="25"/>
      <c r="V207" s="5"/>
    </row>
    <row r="208" spans="1:22" ht="15.6" x14ac:dyDescent="0.3">
      <c r="A208" s="75"/>
      <c r="B208" s="76"/>
      <c r="C208" s="76"/>
      <c r="D208" s="76"/>
      <c r="E208" s="76"/>
      <c r="F208" s="76"/>
      <c r="G208" s="25"/>
      <c r="H208" s="25"/>
      <c r="I208" s="25"/>
      <c r="J208" s="25"/>
      <c r="K208" s="25"/>
      <c r="L208" s="25"/>
      <c r="M208" s="25"/>
      <c r="N208" s="25"/>
      <c r="O208" s="25"/>
      <c r="P208" s="25"/>
      <c r="Q208" s="25"/>
      <c r="R208" s="61"/>
      <c r="S208" s="25"/>
      <c r="T208" s="79"/>
      <c r="U208" s="25"/>
      <c r="V208" s="5"/>
    </row>
    <row r="209" spans="1:22" ht="15.6" x14ac:dyDescent="0.3">
      <c r="A209" s="80"/>
      <c r="B209" s="14" t="s">
        <v>80</v>
      </c>
      <c r="C209" s="81"/>
      <c r="D209" s="81"/>
      <c r="E209" s="81"/>
      <c r="F209" s="82"/>
      <c r="G209" s="81"/>
      <c r="H209" s="17"/>
      <c r="I209" s="17"/>
      <c r="J209" s="17"/>
      <c r="K209" s="17"/>
      <c r="L209" s="17"/>
      <c r="M209" s="17"/>
      <c r="N209" s="17"/>
      <c r="O209" s="17"/>
      <c r="P209" s="17"/>
      <c r="Q209" s="17" t="s">
        <v>105</v>
      </c>
      <c r="R209" s="83" t="s">
        <v>112</v>
      </c>
      <c r="S209" s="8"/>
      <c r="T209" s="8"/>
      <c r="U209" s="8"/>
      <c r="V209" s="5"/>
    </row>
    <row r="210" spans="1:22" ht="15.6" x14ac:dyDescent="0.3">
      <c r="A210" s="84"/>
      <c r="B210" s="76" t="s">
        <v>81</v>
      </c>
      <c r="C210" s="54"/>
      <c r="D210" s="54"/>
      <c r="E210" s="54"/>
      <c r="F210" s="25"/>
      <c r="G210" s="25"/>
      <c r="H210" s="30"/>
      <c r="I210" s="30"/>
      <c r="J210" s="30"/>
      <c r="K210" s="30"/>
      <c r="L210" s="30"/>
      <c r="M210" s="30"/>
      <c r="N210" s="30"/>
      <c r="O210" s="30"/>
      <c r="P210" s="30"/>
      <c r="Q210" s="30">
        <v>2</v>
      </c>
      <c r="R210" s="85">
        <v>508</v>
      </c>
      <c r="S210" s="25"/>
      <c r="T210" s="79"/>
      <c r="U210" s="86"/>
      <c r="V210" s="5"/>
    </row>
    <row r="211" spans="1:22" ht="15.6" x14ac:dyDescent="0.3">
      <c r="A211" s="84"/>
      <c r="B211" s="76" t="s">
        <v>151</v>
      </c>
      <c r="C211" s="54"/>
      <c r="D211" s="54"/>
      <c r="E211" s="54"/>
      <c r="F211" s="25"/>
      <c r="G211" s="25"/>
      <c r="H211" s="30"/>
      <c r="I211" s="30"/>
      <c r="J211" s="30"/>
      <c r="K211" s="30"/>
      <c r="L211" s="30"/>
      <c r="M211" s="30"/>
      <c r="N211" s="30"/>
      <c r="O211" s="30"/>
      <c r="P211" s="30"/>
      <c r="Q211" s="152">
        <f>+P251</f>
        <v>15</v>
      </c>
      <c r="R211" s="85">
        <f>+R251</f>
        <v>2368</v>
      </c>
      <c r="S211" s="25"/>
      <c r="T211" s="79"/>
      <c r="U211" s="86"/>
      <c r="V211" s="5"/>
    </row>
    <row r="212" spans="1:22" ht="15.6" x14ac:dyDescent="0.3">
      <c r="A212" s="84"/>
      <c r="B212" s="76" t="s">
        <v>82</v>
      </c>
      <c r="C212" s="54"/>
      <c r="D212" s="54"/>
      <c r="E212" s="54"/>
      <c r="F212" s="25"/>
      <c r="G212" s="25"/>
      <c r="H212" s="30"/>
      <c r="I212" s="30"/>
      <c r="J212" s="30"/>
      <c r="K212" s="30"/>
      <c r="L212" s="30"/>
      <c r="M212" s="30"/>
      <c r="N212" s="30"/>
      <c r="O212" s="30"/>
      <c r="P212" s="30"/>
      <c r="Q212" s="30">
        <v>0</v>
      </c>
      <c r="R212" s="85">
        <v>0</v>
      </c>
      <c r="S212" s="25"/>
      <c r="T212" s="79"/>
      <c r="U212" s="86"/>
      <c r="V212" s="5"/>
    </row>
    <row r="213" spans="1:22" ht="15.6" x14ac:dyDescent="0.3">
      <c r="A213" s="84"/>
      <c r="B213" s="122" t="s">
        <v>83</v>
      </c>
      <c r="C213" s="54"/>
      <c r="D213" s="54"/>
      <c r="E213" s="54"/>
      <c r="F213" s="25"/>
      <c r="G213" s="25"/>
      <c r="H213" s="25"/>
      <c r="I213" s="25"/>
      <c r="J213" s="25"/>
      <c r="K213" s="25"/>
      <c r="L213" s="25"/>
      <c r="M213" s="25"/>
      <c r="N213" s="25"/>
      <c r="O213" s="25"/>
      <c r="P213" s="25"/>
      <c r="Q213" s="25"/>
      <c r="R213" s="85">
        <v>0</v>
      </c>
      <c r="S213" s="25"/>
      <c r="T213" s="79"/>
      <c r="U213" s="86"/>
      <c r="V213" s="5"/>
    </row>
    <row r="214" spans="1:22" ht="15.6" x14ac:dyDescent="0.3">
      <c r="A214" s="84"/>
      <c r="B214" s="122" t="s">
        <v>84</v>
      </c>
      <c r="C214" s="54"/>
      <c r="D214" s="54"/>
      <c r="E214" s="54"/>
      <c r="F214" s="25"/>
      <c r="G214" s="25"/>
      <c r="H214" s="25"/>
      <c r="I214" s="25"/>
      <c r="J214" s="25"/>
      <c r="K214" s="25"/>
      <c r="L214" s="25"/>
      <c r="M214" s="25"/>
      <c r="N214" s="25"/>
      <c r="O214" s="25"/>
      <c r="P214" s="25"/>
      <c r="Q214" s="25"/>
      <c r="R214" s="62" t="s">
        <v>113</v>
      </c>
      <c r="S214" s="25"/>
      <c r="T214" s="79"/>
      <c r="U214" s="86"/>
      <c r="V214" s="5"/>
    </row>
    <row r="215" spans="1:22" ht="15.6" x14ac:dyDescent="0.3">
      <c r="A215" s="87"/>
      <c r="B215" s="122" t="s">
        <v>85</v>
      </c>
      <c r="C215" s="76"/>
      <c r="D215" s="76"/>
      <c r="E215" s="76"/>
      <c r="F215" s="76"/>
      <c r="G215" s="25"/>
      <c r="H215" s="25"/>
      <c r="I215" s="25"/>
      <c r="J215" s="25"/>
      <c r="K215" s="25"/>
      <c r="L215" s="25"/>
      <c r="M215" s="25"/>
      <c r="N215" s="25"/>
      <c r="O215" s="25"/>
      <c r="P215" s="25"/>
      <c r="Q215" s="25"/>
      <c r="R215" s="85"/>
      <c r="S215" s="25"/>
      <c r="T215" s="79"/>
      <c r="U215" s="88"/>
      <c r="V215" s="5"/>
    </row>
    <row r="216" spans="1:22" ht="15.6" x14ac:dyDescent="0.3">
      <c r="A216" s="87"/>
      <c r="B216" s="131" t="s">
        <v>86</v>
      </c>
      <c r="C216" s="76"/>
      <c r="D216" s="76"/>
      <c r="E216" s="76"/>
      <c r="F216" s="76"/>
      <c r="G216" s="25"/>
      <c r="H216" s="25"/>
      <c r="I216" s="25"/>
      <c r="J216" s="25"/>
      <c r="K216" s="25"/>
      <c r="L216" s="25"/>
      <c r="M216" s="25"/>
      <c r="N216" s="25"/>
      <c r="O216" s="25"/>
      <c r="P216" s="25"/>
      <c r="Q216" s="30"/>
      <c r="R216" s="85">
        <f>T161</f>
        <v>4</v>
      </c>
      <c r="S216" s="25"/>
      <c r="T216" s="79"/>
      <c r="U216" s="88"/>
      <c r="V216" s="5"/>
    </row>
    <row r="217" spans="1:22" ht="15.6" x14ac:dyDescent="0.3">
      <c r="A217" s="84"/>
      <c r="B217" s="76" t="s">
        <v>87</v>
      </c>
      <c r="C217" s="54"/>
      <c r="D217" s="54"/>
      <c r="E217" s="54"/>
      <c r="F217" s="54"/>
      <c r="G217" s="25"/>
      <c r="H217" s="25"/>
      <c r="I217" s="25"/>
      <c r="J217" s="25"/>
      <c r="K217" s="25"/>
      <c r="L217" s="25"/>
      <c r="M217" s="25"/>
      <c r="N217" s="25"/>
      <c r="O217" s="25"/>
      <c r="P217" s="25"/>
      <c r="Q217" s="30"/>
      <c r="R217" s="85">
        <f>+'June 07'!R217+R216</f>
        <v>22</v>
      </c>
      <c r="S217" s="25"/>
      <c r="T217" s="79"/>
      <c r="U217" s="88"/>
      <c r="V217" s="5"/>
    </row>
    <row r="218" spans="1:22" ht="15.6" x14ac:dyDescent="0.3">
      <c r="A218" s="87"/>
      <c r="B218" s="122" t="s">
        <v>282</v>
      </c>
      <c r="C218" s="76"/>
      <c r="D218" s="76"/>
      <c r="E218" s="76"/>
      <c r="F218" s="76"/>
      <c r="G218" s="25"/>
      <c r="H218" s="25"/>
      <c r="I218" s="25"/>
      <c r="J218" s="25"/>
      <c r="K218" s="25"/>
      <c r="L218" s="25"/>
      <c r="M218" s="25"/>
      <c r="N218" s="25"/>
      <c r="O218" s="25"/>
      <c r="P218" s="25"/>
      <c r="Q218" s="30"/>
      <c r="R218" s="85"/>
      <c r="S218" s="25"/>
      <c r="T218" s="79"/>
      <c r="U218" s="88"/>
      <c r="V218" s="5"/>
    </row>
    <row r="219" spans="1:22" ht="15.6" x14ac:dyDescent="0.3">
      <c r="A219" s="87"/>
      <c r="B219" s="76" t="s">
        <v>280</v>
      </c>
      <c r="C219" s="76"/>
      <c r="D219" s="76"/>
      <c r="E219" s="76"/>
      <c r="F219" s="76"/>
      <c r="G219" s="25"/>
      <c r="H219" s="25"/>
      <c r="I219" s="25"/>
      <c r="J219" s="25"/>
      <c r="K219" s="25"/>
      <c r="L219" s="25"/>
      <c r="M219" s="25"/>
      <c r="N219" s="25"/>
      <c r="O219" s="25"/>
      <c r="P219" s="25"/>
      <c r="Q219" s="30">
        <v>0</v>
      </c>
      <c r="R219" s="85">
        <v>0</v>
      </c>
      <c r="S219" s="25"/>
      <c r="T219" s="79"/>
      <c r="U219" s="88"/>
      <c r="V219" s="5"/>
    </row>
    <row r="220" spans="1:22" ht="15.6" x14ac:dyDescent="0.3">
      <c r="A220" s="84"/>
      <c r="B220" s="76" t="s">
        <v>89</v>
      </c>
      <c r="C220" s="89"/>
      <c r="D220" s="89"/>
      <c r="E220" s="89"/>
      <c r="F220" s="90"/>
      <c r="G220" s="25"/>
      <c r="H220" s="25"/>
      <c r="I220" s="25"/>
      <c r="J220" s="25"/>
      <c r="K220" s="25"/>
      <c r="L220" s="25"/>
      <c r="M220" s="25"/>
      <c r="N220" s="25"/>
      <c r="O220" s="25"/>
      <c r="P220" s="25"/>
      <c r="Q220" s="25"/>
      <c r="R220" s="62">
        <v>0</v>
      </c>
      <c r="S220" s="25"/>
      <c r="T220" s="79"/>
      <c r="U220" s="88"/>
      <c r="V220" s="5"/>
    </row>
    <row r="221" spans="1:22" ht="15.6" x14ac:dyDescent="0.3">
      <c r="A221" s="84"/>
      <c r="B221" s="76" t="s">
        <v>90</v>
      </c>
      <c r="C221" s="89"/>
      <c r="D221" s="89"/>
      <c r="E221" s="89"/>
      <c r="F221" s="90"/>
      <c r="G221" s="25"/>
      <c r="H221" s="25"/>
      <c r="I221" s="25"/>
      <c r="J221" s="25"/>
      <c r="K221" s="25"/>
      <c r="L221" s="25"/>
      <c r="M221" s="25"/>
      <c r="N221" s="25"/>
      <c r="O221" s="25"/>
      <c r="P221" s="25"/>
      <c r="Q221" s="25"/>
      <c r="R221" s="62">
        <v>0</v>
      </c>
      <c r="S221" s="25"/>
      <c r="T221" s="79"/>
      <c r="U221" s="88"/>
      <c r="V221" s="5"/>
    </row>
    <row r="222" spans="1:22" ht="15.6" x14ac:dyDescent="0.3">
      <c r="A222" s="84"/>
      <c r="B222" s="122" t="s">
        <v>226</v>
      </c>
      <c r="C222" s="89"/>
      <c r="D222" s="89"/>
      <c r="E222" s="89"/>
      <c r="F222" s="90"/>
      <c r="G222" s="25"/>
      <c r="H222" s="25"/>
      <c r="I222" s="25"/>
      <c r="J222" s="25"/>
      <c r="K222" s="25"/>
      <c r="L222" s="25"/>
      <c r="M222" s="25"/>
      <c r="N222" s="25"/>
      <c r="O222" s="25"/>
      <c r="P222" s="25"/>
      <c r="Q222" s="30"/>
      <c r="R222" s="91"/>
      <c r="S222" s="25"/>
      <c r="T222" s="79"/>
      <c r="U222" s="88"/>
      <c r="V222" s="5"/>
    </row>
    <row r="223" spans="1:22" ht="15.6" x14ac:dyDescent="0.3">
      <c r="A223" s="84"/>
      <c r="B223" s="76" t="s">
        <v>280</v>
      </c>
      <c r="C223" s="89"/>
      <c r="D223" s="89"/>
      <c r="E223" s="89"/>
      <c r="F223" s="90"/>
      <c r="G223" s="25"/>
      <c r="H223" s="25"/>
      <c r="I223" s="25"/>
      <c r="J223" s="25"/>
      <c r="K223" s="25"/>
      <c r="L223" s="25"/>
      <c r="M223" s="25"/>
      <c r="N223" s="25"/>
      <c r="O223" s="25"/>
      <c r="P223" s="25"/>
      <c r="Q223" s="30">
        <v>5</v>
      </c>
      <c r="R223" s="85">
        <v>666</v>
      </c>
      <c r="S223" s="25"/>
      <c r="T223" s="79"/>
      <c r="U223" s="88"/>
      <c r="V223" s="5"/>
    </row>
    <row r="224" spans="1:22" ht="15.6" x14ac:dyDescent="0.3">
      <c r="A224" s="84"/>
      <c r="B224" s="76" t="s">
        <v>227</v>
      </c>
      <c r="C224" s="89"/>
      <c r="D224" s="89"/>
      <c r="E224" s="89"/>
      <c r="F224" s="90"/>
      <c r="G224" s="25"/>
      <c r="H224" s="25"/>
      <c r="I224" s="25"/>
      <c r="J224" s="25"/>
      <c r="K224" s="25"/>
      <c r="L224" s="25"/>
      <c r="M224" s="25"/>
      <c r="N224" s="25"/>
      <c r="O224" s="25"/>
      <c r="P224" s="25"/>
      <c r="Q224" s="30"/>
      <c r="R224" s="62">
        <v>6.9</v>
      </c>
      <c r="S224" s="25"/>
      <c r="T224" s="79"/>
      <c r="U224" s="88"/>
      <c r="V224" s="5"/>
    </row>
    <row r="225" spans="1:23" ht="15.6" x14ac:dyDescent="0.3">
      <c r="A225" s="84"/>
      <c r="B225" s="76"/>
      <c r="C225" s="89"/>
      <c r="D225" s="89"/>
      <c r="E225" s="89"/>
      <c r="F225" s="90"/>
      <c r="G225" s="25"/>
      <c r="H225" s="25"/>
      <c r="I225" s="25"/>
      <c r="J225" s="25"/>
      <c r="K225" s="25"/>
      <c r="L225" s="25"/>
      <c r="M225" s="25"/>
      <c r="N225" s="25"/>
      <c r="O225" s="25"/>
      <c r="P225" s="25"/>
      <c r="Q225" s="25"/>
      <c r="R225" s="91"/>
      <c r="S225" s="25"/>
      <c r="T225" s="79"/>
      <c r="U225" s="88"/>
      <c r="V225" s="5"/>
    </row>
    <row r="226" spans="1:23" ht="15.6" x14ac:dyDescent="0.3">
      <c r="A226" s="84"/>
      <c r="B226" s="76"/>
      <c r="C226" s="89"/>
      <c r="D226" s="89"/>
      <c r="E226" s="89"/>
      <c r="F226" s="90"/>
      <c r="G226" s="25"/>
      <c r="H226" s="25"/>
      <c r="I226" s="25"/>
      <c r="J226" s="25"/>
      <c r="K226" s="25"/>
      <c r="L226" s="25"/>
      <c r="M226" s="25"/>
      <c r="N226" s="25"/>
      <c r="O226" s="25"/>
      <c r="P226" s="25"/>
      <c r="Q226" s="25"/>
      <c r="R226" s="91"/>
      <c r="S226" s="25"/>
      <c r="T226" s="79"/>
      <c r="U226" s="88"/>
      <c r="V226" s="5"/>
    </row>
    <row r="227" spans="1:23" ht="17.399999999999999" x14ac:dyDescent="0.3">
      <c r="A227" s="84"/>
      <c r="B227" s="149" t="s">
        <v>175</v>
      </c>
      <c r="C227" s="89"/>
      <c r="D227" s="89"/>
      <c r="E227" s="89"/>
      <c r="F227" s="90"/>
      <c r="G227" s="25"/>
      <c r="H227" s="25"/>
      <c r="I227" s="25"/>
      <c r="J227" s="25"/>
      <c r="K227" s="25"/>
      <c r="L227" s="25"/>
      <c r="M227" s="25"/>
      <c r="N227" s="150" t="s">
        <v>174</v>
      </c>
      <c r="O227" s="25"/>
      <c r="P227" s="25"/>
      <c r="Q227" s="25"/>
      <c r="R227" s="91"/>
      <c r="S227" s="25"/>
      <c r="T227" s="79"/>
      <c r="U227" s="88"/>
      <c r="V227" s="5"/>
    </row>
    <row r="228" spans="1:23" ht="15.6" x14ac:dyDescent="0.3">
      <c r="A228" s="84"/>
      <c r="B228" s="76"/>
      <c r="C228" s="89"/>
      <c r="D228" s="89"/>
      <c r="E228" s="89"/>
      <c r="F228" s="90"/>
      <c r="G228" s="25"/>
      <c r="H228" s="25"/>
      <c r="I228" s="25"/>
      <c r="J228" s="25"/>
      <c r="K228" s="25"/>
      <c r="L228" s="25"/>
      <c r="M228" s="25"/>
      <c r="N228" s="25"/>
      <c r="O228" s="25"/>
      <c r="P228" s="25"/>
      <c r="Q228" s="25"/>
      <c r="R228" s="91"/>
      <c r="S228" s="25"/>
      <c r="T228" s="79"/>
      <c r="U228" s="88"/>
      <c r="V228" s="5"/>
    </row>
    <row r="229" spans="1:23" ht="15.6" x14ac:dyDescent="0.3">
      <c r="A229" s="6"/>
      <c r="B229" s="14" t="s">
        <v>169</v>
      </c>
      <c r="C229" s="81"/>
      <c r="D229" s="81"/>
      <c r="E229" s="81"/>
      <c r="F229" s="82"/>
      <c r="G229" s="81"/>
      <c r="H229" s="17"/>
      <c r="I229" s="17"/>
      <c r="J229" s="17"/>
      <c r="K229" s="17"/>
      <c r="L229" s="17"/>
      <c r="M229" s="17"/>
      <c r="N229" s="17"/>
      <c r="O229" s="17"/>
      <c r="P229" s="83" t="s">
        <v>105</v>
      </c>
      <c r="Q229" s="17" t="s">
        <v>106</v>
      </c>
      <c r="R229" s="83" t="s">
        <v>114</v>
      </c>
      <c r="S229" s="17" t="s">
        <v>106</v>
      </c>
      <c r="T229" s="8"/>
      <c r="U229" s="92"/>
      <c r="V229" s="5"/>
    </row>
    <row r="230" spans="1:23" ht="15.6" x14ac:dyDescent="0.3">
      <c r="A230" s="24"/>
      <c r="B230" s="54" t="s">
        <v>91</v>
      </c>
      <c r="C230" s="93"/>
      <c r="D230" s="93"/>
      <c r="E230" s="93"/>
      <c r="F230" s="25"/>
      <c r="G230" s="93"/>
      <c r="H230" s="93"/>
      <c r="I230" s="93"/>
      <c r="J230" s="93"/>
      <c r="K230" s="93"/>
      <c r="L230" s="93"/>
      <c r="M230" s="93"/>
      <c r="N230" s="93"/>
      <c r="O230" s="93"/>
      <c r="P230" s="54">
        <v>6597</v>
      </c>
      <c r="Q230" s="94">
        <f t="shared" ref="Q230:Q237" si="1">P230/$P$239</f>
        <v>0.99068929268658956</v>
      </c>
      <c r="R230" s="53">
        <v>881307</v>
      </c>
      <c r="S230" s="132">
        <f t="shared" ref="S230:S237" si="2">R230/$R$239</f>
        <v>0.99035610059232104</v>
      </c>
      <c r="T230" s="79"/>
      <c r="U230" s="88"/>
      <c r="V230" s="5"/>
    </row>
    <row r="231" spans="1:23" ht="15.6" x14ac:dyDescent="0.3">
      <c r="A231" s="24"/>
      <c r="B231" s="54" t="s">
        <v>92</v>
      </c>
      <c r="C231" s="93"/>
      <c r="D231" s="93"/>
      <c r="E231" s="93"/>
      <c r="F231" s="25"/>
      <c r="G231" s="94"/>
      <c r="H231" s="93"/>
      <c r="I231" s="93"/>
      <c r="J231" s="93"/>
      <c r="K231" s="93"/>
      <c r="L231" s="93"/>
      <c r="M231" s="93"/>
      <c r="N231" s="93"/>
      <c r="O231" s="93"/>
      <c r="P231" s="54">
        <v>56</v>
      </c>
      <c r="Q231" s="94">
        <f t="shared" si="1"/>
        <v>8.4096711217900577E-3</v>
      </c>
      <c r="R231" s="53">
        <v>7551</v>
      </c>
      <c r="S231" s="132">
        <f t="shared" si="2"/>
        <v>8.4853279453954364E-3</v>
      </c>
      <c r="T231" s="79"/>
      <c r="U231" s="88"/>
      <c r="V231" s="5"/>
      <c r="W231" s="109"/>
    </row>
    <row r="232" spans="1:23" ht="15.6" x14ac:dyDescent="0.3">
      <c r="A232" s="24"/>
      <c r="B232" s="54" t="s">
        <v>93</v>
      </c>
      <c r="C232" s="93"/>
      <c r="D232" s="93"/>
      <c r="E232" s="93"/>
      <c r="F232" s="25"/>
      <c r="G232" s="94"/>
      <c r="H232" s="93"/>
      <c r="I232" s="93"/>
      <c r="J232" s="93"/>
      <c r="K232" s="93"/>
      <c r="L232" s="93"/>
      <c r="M232" s="93"/>
      <c r="N232" s="93"/>
      <c r="O232" s="93"/>
      <c r="P232" s="54">
        <v>3</v>
      </c>
      <c r="Q232" s="94">
        <f t="shared" si="1"/>
        <v>4.5051809581018169E-4</v>
      </c>
      <c r="R232" s="53">
        <v>394</v>
      </c>
      <c r="S232" s="132">
        <f t="shared" si="2"/>
        <v>4.4275184882608957E-4</v>
      </c>
      <c r="T232" s="79"/>
      <c r="U232" s="88"/>
      <c r="V232" s="5"/>
    </row>
    <row r="233" spans="1:23" ht="15.6" x14ac:dyDescent="0.3">
      <c r="A233" s="24"/>
      <c r="B233" s="54" t="s">
        <v>163</v>
      </c>
      <c r="C233" s="93"/>
      <c r="D233" s="93"/>
      <c r="E233" s="93"/>
      <c r="F233" s="25"/>
      <c r="G233" s="94"/>
      <c r="H233" s="93"/>
      <c r="I233" s="93"/>
      <c r="J233" s="93"/>
      <c r="K233" s="93"/>
      <c r="L233" s="93"/>
      <c r="M233" s="93"/>
      <c r="N233" s="93"/>
      <c r="O233" s="93"/>
      <c r="P233" s="54">
        <v>0</v>
      </c>
      <c r="Q233" s="94">
        <f t="shared" si="1"/>
        <v>0</v>
      </c>
      <c r="R233" s="53">
        <v>0</v>
      </c>
      <c r="S233" s="132">
        <f t="shared" si="2"/>
        <v>0</v>
      </c>
      <c r="T233" s="79"/>
      <c r="U233" s="88"/>
      <c r="V233" s="5"/>
      <c r="W233" s="109"/>
    </row>
    <row r="234" spans="1:23" ht="15.6" x14ac:dyDescent="0.3">
      <c r="A234" s="24"/>
      <c r="B234" s="54" t="s">
        <v>164</v>
      </c>
      <c r="C234" s="93"/>
      <c r="D234" s="93"/>
      <c r="E234" s="93"/>
      <c r="F234" s="25"/>
      <c r="G234" s="94"/>
      <c r="H234" s="93"/>
      <c r="I234" s="93"/>
      <c r="J234" s="93"/>
      <c r="K234" s="93"/>
      <c r="L234" s="93"/>
      <c r="M234" s="93"/>
      <c r="N234" s="93"/>
      <c r="O234" s="93"/>
      <c r="P234" s="54">
        <v>1</v>
      </c>
      <c r="Q234" s="94">
        <f t="shared" si="1"/>
        <v>1.501726986033939E-4</v>
      </c>
      <c r="R234" s="53">
        <v>128</v>
      </c>
      <c r="S234" s="132">
        <f t="shared" si="2"/>
        <v>1.4383816408563316E-4</v>
      </c>
      <c r="T234" s="79"/>
      <c r="U234" s="88"/>
      <c r="V234" s="5"/>
    </row>
    <row r="235" spans="1:23" ht="15.6" x14ac:dyDescent="0.3">
      <c r="A235" s="24"/>
      <c r="B235" s="54" t="s">
        <v>165</v>
      </c>
      <c r="C235" s="93"/>
      <c r="D235" s="93"/>
      <c r="E235" s="93"/>
      <c r="F235" s="25"/>
      <c r="G235" s="94"/>
      <c r="H235" s="93"/>
      <c r="I235" s="93"/>
      <c r="J235" s="93"/>
      <c r="K235" s="93"/>
      <c r="L235" s="93"/>
      <c r="M235" s="93"/>
      <c r="N235" s="93"/>
      <c r="O235" s="93"/>
      <c r="P235" s="54">
        <v>1</v>
      </c>
      <c r="Q235" s="94">
        <f t="shared" si="1"/>
        <v>1.501726986033939E-4</v>
      </c>
      <c r="R235" s="53">
        <v>273</v>
      </c>
      <c r="S235" s="132">
        <f t="shared" si="2"/>
        <v>3.0677983433888945E-4</v>
      </c>
      <c r="T235" s="79"/>
      <c r="U235" s="88"/>
      <c r="V235" s="5"/>
      <c r="W235" s="109"/>
    </row>
    <row r="236" spans="1:23" ht="15.6" x14ac:dyDescent="0.3">
      <c r="A236" s="24"/>
      <c r="B236" s="54" t="s">
        <v>166</v>
      </c>
      <c r="C236" s="93"/>
      <c r="D236" s="93"/>
      <c r="E236" s="93"/>
      <c r="F236" s="25"/>
      <c r="G236" s="94"/>
      <c r="H236" s="93"/>
      <c r="I236" s="93"/>
      <c r="J236" s="93"/>
      <c r="K236" s="93"/>
      <c r="L236" s="93"/>
      <c r="M236" s="93"/>
      <c r="N236" s="93"/>
      <c r="O236" s="93"/>
      <c r="P236" s="54">
        <v>1</v>
      </c>
      <c r="Q236" s="94">
        <f t="shared" si="1"/>
        <v>1.501726986033939E-4</v>
      </c>
      <c r="R236" s="53">
        <v>236</v>
      </c>
      <c r="S236" s="132">
        <f t="shared" si="2"/>
        <v>2.6520161503288612E-4</v>
      </c>
      <c r="T236" s="79"/>
      <c r="U236" s="88"/>
      <c r="V236" s="5"/>
    </row>
    <row r="237" spans="1:23" ht="15.6" x14ac:dyDescent="0.3">
      <c r="A237" s="24"/>
      <c r="B237" s="54" t="s">
        <v>167</v>
      </c>
      <c r="C237" s="93"/>
      <c r="D237" s="93"/>
      <c r="E237" s="93"/>
      <c r="F237" s="25"/>
      <c r="G237" s="94"/>
      <c r="H237" s="93"/>
      <c r="I237" s="93"/>
      <c r="J237" s="93"/>
      <c r="K237" s="93"/>
      <c r="L237" s="93"/>
      <c r="M237" s="93"/>
      <c r="N237" s="93"/>
      <c r="O237" s="93"/>
      <c r="P237" s="54">
        <v>0</v>
      </c>
      <c r="Q237" s="94">
        <f t="shared" si="1"/>
        <v>0</v>
      </c>
      <c r="R237" s="53">
        <v>0</v>
      </c>
      <c r="S237" s="132">
        <f t="shared" si="2"/>
        <v>0</v>
      </c>
      <c r="T237" s="79"/>
      <c r="U237" s="88"/>
      <c r="V237" s="5"/>
      <c r="W237" s="109"/>
    </row>
    <row r="238" spans="1:23" ht="15.6" x14ac:dyDescent="0.3">
      <c r="A238" s="24"/>
      <c r="B238" s="54"/>
      <c r="C238" s="93"/>
      <c r="D238" s="93"/>
      <c r="E238" s="93"/>
      <c r="F238" s="25"/>
      <c r="G238" s="94"/>
      <c r="H238" s="93"/>
      <c r="I238" s="93"/>
      <c r="J238" s="93"/>
      <c r="K238" s="93"/>
      <c r="L238" s="93"/>
      <c r="M238" s="93"/>
      <c r="N238" s="93"/>
      <c r="O238" s="93"/>
      <c r="P238" s="54"/>
      <c r="Q238" s="94"/>
      <c r="R238" s="53"/>
      <c r="S238" s="132"/>
      <c r="T238" s="79"/>
      <c r="U238" s="88"/>
      <c r="V238" s="5"/>
    </row>
    <row r="239" spans="1:23" ht="15.6" x14ac:dyDescent="0.3">
      <c r="A239" s="24"/>
      <c r="B239" s="25" t="s">
        <v>120</v>
      </c>
      <c r="C239" s="25"/>
      <c r="D239" s="25"/>
      <c r="E239" s="25"/>
      <c r="F239" s="25"/>
      <c r="G239" s="25"/>
      <c r="H239" s="95"/>
      <c r="I239" s="95"/>
      <c r="J239" s="95"/>
      <c r="K239" s="95"/>
      <c r="L239" s="95"/>
      <c r="M239" s="95"/>
      <c r="N239" s="95"/>
      <c r="O239" s="95"/>
      <c r="P239" s="34">
        <f>SUM(P230:P238)</f>
        <v>6659</v>
      </c>
      <c r="Q239" s="132">
        <f>SUM(Q230:Q238)</f>
        <v>1</v>
      </c>
      <c r="R239" s="53">
        <f>SUM(R230:R238)</f>
        <v>889889</v>
      </c>
      <c r="S239" s="132">
        <f>SUM(S230:S238)</f>
        <v>1</v>
      </c>
      <c r="T239" s="25"/>
      <c r="U239" s="25"/>
      <c r="V239" s="5"/>
    </row>
    <row r="240" spans="1:23" ht="15.6" x14ac:dyDescent="0.3">
      <c r="A240" s="24"/>
      <c r="B240" s="25"/>
      <c r="C240" s="25"/>
      <c r="D240" s="25"/>
      <c r="E240" s="25"/>
      <c r="F240" s="25"/>
      <c r="G240" s="25"/>
      <c r="H240" s="95"/>
      <c r="I240" s="95"/>
      <c r="J240" s="95"/>
      <c r="K240" s="95"/>
      <c r="L240" s="95"/>
      <c r="M240" s="95"/>
      <c r="N240" s="95"/>
      <c r="O240" s="95"/>
      <c r="P240" s="34"/>
      <c r="Q240" s="132"/>
      <c r="R240" s="53"/>
      <c r="S240" s="132"/>
      <c r="T240" s="25"/>
      <c r="U240" s="25"/>
      <c r="V240" s="5"/>
    </row>
    <row r="241" spans="1:22" ht="15.6" x14ac:dyDescent="0.3">
      <c r="A241" s="141"/>
      <c r="B241" s="14" t="s">
        <v>267</v>
      </c>
      <c r="C241" s="81"/>
      <c r="D241" s="81"/>
      <c r="E241" s="81"/>
      <c r="F241" s="82"/>
      <c r="G241" s="81"/>
      <c r="H241" s="17"/>
      <c r="I241" s="17"/>
      <c r="J241" s="17"/>
      <c r="K241" s="17"/>
      <c r="L241" s="17"/>
      <c r="M241" s="17"/>
      <c r="N241" s="17"/>
      <c r="O241" s="17"/>
      <c r="P241" s="83" t="s">
        <v>105</v>
      </c>
      <c r="Q241" s="17" t="s">
        <v>106</v>
      </c>
      <c r="R241" s="83" t="s">
        <v>114</v>
      </c>
      <c r="S241" s="17" t="s">
        <v>106</v>
      </c>
      <c r="T241" s="139"/>
      <c r="U241" s="140"/>
      <c r="V241" s="5"/>
    </row>
    <row r="242" spans="1:22" ht="15.6" x14ac:dyDescent="0.3">
      <c r="A242" s="24"/>
      <c r="B242" s="54" t="s">
        <v>91</v>
      </c>
      <c r="C242" s="93"/>
      <c r="D242" s="93"/>
      <c r="E242" s="93"/>
      <c r="F242" s="25"/>
      <c r="G242" s="93"/>
      <c r="H242" s="93"/>
      <c r="I242" s="93"/>
      <c r="J242" s="93"/>
      <c r="K242" s="93"/>
      <c r="L242" s="93"/>
      <c r="M242" s="93"/>
      <c r="N242" s="93"/>
      <c r="O242" s="93"/>
      <c r="P242" s="54">
        <v>4</v>
      </c>
      <c r="Q242" s="94">
        <f t="shared" ref="Q242:Q249" si="3">P242/$P$251</f>
        <v>0.26666666666666666</v>
      </c>
      <c r="R242" s="53">
        <v>477</v>
      </c>
      <c r="S242" s="132">
        <f t="shared" ref="S242:S249" si="4">R242/$R$251</f>
        <v>0.2014358108108108</v>
      </c>
      <c r="T242" s="25"/>
      <c r="U242" s="25"/>
      <c r="V242" s="5"/>
    </row>
    <row r="243" spans="1:22" ht="15.6" x14ac:dyDescent="0.3">
      <c r="A243" s="24"/>
      <c r="B243" s="54" t="s">
        <v>92</v>
      </c>
      <c r="C243" s="93"/>
      <c r="D243" s="93"/>
      <c r="E243" s="93"/>
      <c r="F243" s="25"/>
      <c r="G243" s="94"/>
      <c r="H243" s="93"/>
      <c r="I243" s="93"/>
      <c r="J243" s="93"/>
      <c r="K243" s="93"/>
      <c r="L243" s="93"/>
      <c r="M243" s="93"/>
      <c r="N243" s="93"/>
      <c r="O243" s="93"/>
      <c r="P243" s="54">
        <v>0</v>
      </c>
      <c r="Q243" s="94">
        <f t="shared" si="3"/>
        <v>0</v>
      </c>
      <c r="R243" s="53">
        <v>0</v>
      </c>
      <c r="S243" s="132">
        <f t="shared" si="4"/>
        <v>0</v>
      </c>
      <c r="T243" s="25"/>
      <c r="U243" s="25"/>
      <c r="V243" s="5"/>
    </row>
    <row r="244" spans="1:22" ht="15.6" x14ac:dyDescent="0.3">
      <c r="A244" s="24"/>
      <c r="B244" s="54" t="s">
        <v>93</v>
      </c>
      <c r="C244" s="93"/>
      <c r="D244" s="93"/>
      <c r="E244" s="93"/>
      <c r="F244" s="25"/>
      <c r="G244" s="94"/>
      <c r="H244" s="93"/>
      <c r="I244" s="93"/>
      <c r="J244" s="93"/>
      <c r="K244" s="93"/>
      <c r="L244" s="93"/>
      <c r="M244" s="93"/>
      <c r="N244" s="93"/>
      <c r="O244" s="93"/>
      <c r="P244" s="54">
        <v>0</v>
      </c>
      <c r="Q244" s="94">
        <f t="shared" si="3"/>
        <v>0</v>
      </c>
      <c r="R244" s="53">
        <v>0</v>
      </c>
      <c r="S244" s="132">
        <f t="shared" si="4"/>
        <v>0</v>
      </c>
      <c r="T244" s="25"/>
      <c r="U244" s="25"/>
      <c r="V244" s="5"/>
    </row>
    <row r="245" spans="1:22" ht="15.6" x14ac:dyDescent="0.3">
      <c r="A245" s="24"/>
      <c r="B245" s="54" t="s">
        <v>163</v>
      </c>
      <c r="C245" s="93"/>
      <c r="D245" s="93"/>
      <c r="E245" s="93"/>
      <c r="F245" s="25"/>
      <c r="G245" s="94"/>
      <c r="H245" s="93"/>
      <c r="I245" s="93"/>
      <c r="J245" s="93"/>
      <c r="K245" s="93"/>
      <c r="L245" s="93"/>
      <c r="M245" s="93"/>
      <c r="N245" s="93"/>
      <c r="O245" s="93"/>
      <c r="P245" s="54">
        <v>1</v>
      </c>
      <c r="Q245" s="94">
        <f t="shared" si="3"/>
        <v>6.6666666666666666E-2</v>
      </c>
      <c r="R245" s="53">
        <v>216</v>
      </c>
      <c r="S245" s="132">
        <f t="shared" si="4"/>
        <v>9.1216216216216214E-2</v>
      </c>
      <c r="T245" s="25"/>
      <c r="U245" s="25"/>
      <c r="V245" s="5"/>
    </row>
    <row r="246" spans="1:22" ht="15.6" x14ac:dyDescent="0.3">
      <c r="A246" s="24"/>
      <c r="B246" s="54" t="s">
        <v>164</v>
      </c>
      <c r="C246" s="93"/>
      <c r="D246" s="93"/>
      <c r="E246" s="93"/>
      <c r="F246" s="25"/>
      <c r="G246" s="94"/>
      <c r="H246" s="93"/>
      <c r="I246" s="93"/>
      <c r="J246" s="93"/>
      <c r="K246" s="93"/>
      <c r="L246" s="93"/>
      <c r="M246" s="93"/>
      <c r="N246" s="93"/>
      <c r="O246" s="93"/>
      <c r="P246" s="54">
        <v>0</v>
      </c>
      <c r="Q246" s="94">
        <f t="shared" si="3"/>
        <v>0</v>
      </c>
      <c r="R246" s="53">
        <v>0</v>
      </c>
      <c r="S246" s="132">
        <f t="shared" si="4"/>
        <v>0</v>
      </c>
      <c r="T246" s="25"/>
      <c r="U246" s="25"/>
      <c r="V246" s="5"/>
    </row>
    <row r="247" spans="1:22" ht="15.6" x14ac:dyDescent="0.3">
      <c r="A247" s="24"/>
      <c r="B247" s="54" t="s">
        <v>165</v>
      </c>
      <c r="C247" s="93"/>
      <c r="D247" s="93"/>
      <c r="E247" s="93"/>
      <c r="F247" s="25"/>
      <c r="G247" s="94"/>
      <c r="H247" s="93"/>
      <c r="I247" s="93"/>
      <c r="J247" s="93"/>
      <c r="K247" s="93"/>
      <c r="L247" s="93"/>
      <c r="M247" s="93"/>
      <c r="N247" s="93"/>
      <c r="O247" s="93"/>
      <c r="P247" s="54">
        <v>1</v>
      </c>
      <c r="Q247" s="94">
        <f t="shared" si="3"/>
        <v>6.6666666666666666E-2</v>
      </c>
      <c r="R247" s="53">
        <v>88</v>
      </c>
      <c r="S247" s="132">
        <f t="shared" si="4"/>
        <v>3.7162162162162164E-2</v>
      </c>
      <c r="T247" s="25"/>
      <c r="U247" s="25"/>
      <c r="V247" s="5"/>
    </row>
    <row r="248" spans="1:22" ht="15.6" x14ac:dyDescent="0.3">
      <c r="A248" s="24"/>
      <c r="B248" s="54" t="s">
        <v>166</v>
      </c>
      <c r="C248" s="93"/>
      <c r="D248" s="93"/>
      <c r="E248" s="93"/>
      <c r="F248" s="25"/>
      <c r="G248" s="94"/>
      <c r="H248" s="93"/>
      <c r="I248" s="93"/>
      <c r="J248" s="93"/>
      <c r="K248" s="93"/>
      <c r="L248" s="93"/>
      <c r="M248" s="93"/>
      <c r="N248" s="93"/>
      <c r="O248" s="93"/>
      <c r="P248" s="54">
        <v>9</v>
      </c>
      <c r="Q248" s="94">
        <f t="shared" si="3"/>
        <v>0.6</v>
      </c>
      <c r="R248" s="53">
        <v>1587</v>
      </c>
      <c r="S248" s="132">
        <f t="shared" si="4"/>
        <v>0.67018581081081086</v>
      </c>
      <c r="T248" s="25"/>
      <c r="U248" s="25"/>
      <c r="V248" s="5"/>
    </row>
    <row r="249" spans="1:22" ht="15.6" x14ac:dyDescent="0.3">
      <c r="A249" s="24"/>
      <c r="B249" s="54" t="s">
        <v>167</v>
      </c>
      <c r="C249" s="93"/>
      <c r="D249" s="93"/>
      <c r="E249" s="93"/>
      <c r="F249" s="25"/>
      <c r="G249" s="94"/>
      <c r="H249" s="93"/>
      <c r="I249" s="93"/>
      <c r="J249" s="93"/>
      <c r="K249" s="93"/>
      <c r="L249" s="93"/>
      <c r="M249" s="93"/>
      <c r="N249" s="93"/>
      <c r="O249" s="93"/>
      <c r="P249" s="54">
        <v>0</v>
      </c>
      <c r="Q249" s="94">
        <f t="shared" si="3"/>
        <v>0</v>
      </c>
      <c r="R249" s="53">
        <v>0</v>
      </c>
      <c r="S249" s="132">
        <f t="shared" si="4"/>
        <v>0</v>
      </c>
      <c r="T249" s="25"/>
      <c r="U249" s="25"/>
      <c r="V249" s="5"/>
    </row>
    <row r="250" spans="1:22" ht="15.6" x14ac:dyDescent="0.3">
      <c r="A250" s="24"/>
      <c r="B250" s="54"/>
      <c r="C250" s="93"/>
      <c r="D250" s="93"/>
      <c r="E250" s="93"/>
      <c r="F250" s="25"/>
      <c r="G250" s="94"/>
      <c r="H250" s="93"/>
      <c r="I250" s="93"/>
      <c r="J250" s="93"/>
      <c r="K250" s="93"/>
      <c r="L250" s="93"/>
      <c r="M250" s="93"/>
      <c r="N250" s="93"/>
      <c r="O250" s="93"/>
      <c r="P250" s="54"/>
      <c r="Q250" s="94"/>
      <c r="R250" s="53"/>
      <c r="S250" s="132"/>
      <c r="T250" s="25"/>
      <c r="U250" s="25"/>
      <c r="V250" s="5"/>
    </row>
    <row r="251" spans="1:22" ht="15.6" x14ac:dyDescent="0.3">
      <c r="A251" s="24"/>
      <c r="B251" s="25" t="s">
        <v>120</v>
      </c>
      <c r="C251" s="25"/>
      <c r="D251" s="25"/>
      <c r="E251" s="25"/>
      <c r="F251" s="25"/>
      <c r="G251" s="25"/>
      <c r="H251" s="95"/>
      <c r="I251" s="95"/>
      <c r="J251" s="95"/>
      <c r="K251" s="95"/>
      <c r="L251" s="95"/>
      <c r="M251" s="95"/>
      <c r="N251" s="95"/>
      <c r="O251" s="95"/>
      <c r="P251" s="34">
        <f>SUM(P242:P250)</f>
        <v>15</v>
      </c>
      <c r="Q251" s="132">
        <f>SUM(Q242:Q250)</f>
        <v>1</v>
      </c>
      <c r="R251" s="53">
        <f>SUM(R242:R250)</f>
        <v>2368</v>
      </c>
      <c r="S251" s="132">
        <f>SUM(S242:S250)</f>
        <v>1</v>
      </c>
      <c r="T251" s="25"/>
      <c r="U251" s="25"/>
      <c r="V251" s="5"/>
    </row>
    <row r="252" spans="1:22" ht="15.6" x14ac:dyDescent="0.3">
      <c r="A252" s="24"/>
      <c r="B252" s="25"/>
      <c r="C252" s="25"/>
      <c r="D252" s="25"/>
      <c r="E252" s="25"/>
      <c r="F252" s="25"/>
      <c r="G252" s="25"/>
      <c r="H252" s="95"/>
      <c r="I252" s="95"/>
      <c r="J252" s="95"/>
      <c r="K252" s="95"/>
      <c r="L252" s="95"/>
      <c r="M252" s="95"/>
      <c r="N252" s="95"/>
      <c r="O252" s="95"/>
      <c r="P252" s="34"/>
      <c r="Q252" s="132"/>
      <c r="R252" s="53"/>
      <c r="S252" s="132"/>
      <c r="T252" s="25"/>
      <c r="U252" s="25"/>
      <c r="V252" s="5"/>
    </row>
    <row r="253" spans="1:22" ht="15.6" x14ac:dyDescent="0.3">
      <c r="A253" s="141"/>
      <c r="B253" s="14" t="s">
        <v>170</v>
      </c>
      <c r="C253" s="139"/>
      <c r="D253" s="139"/>
      <c r="E253" s="139"/>
      <c r="F253" s="139"/>
      <c r="G253" s="139"/>
      <c r="H253" s="145"/>
      <c r="I253" s="145"/>
      <c r="J253" s="145"/>
      <c r="K253" s="145"/>
      <c r="L253" s="145"/>
      <c r="M253" s="145"/>
      <c r="N253" s="145"/>
      <c r="O253" s="145"/>
      <c r="P253" s="83" t="s">
        <v>105</v>
      </c>
      <c r="Q253" s="17" t="s">
        <v>106</v>
      </c>
      <c r="R253" s="83" t="s">
        <v>114</v>
      </c>
      <c r="S253" s="17" t="s">
        <v>106</v>
      </c>
      <c r="T253" s="139"/>
      <c r="U253" s="140"/>
      <c r="V253" s="5"/>
    </row>
    <row r="254" spans="1:22" ht="15.6" x14ac:dyDescent="0.3">
      <c r="A254" s="24"/>
      <c r="B254" s="54" t="s">
        <v>91</v>
      </c>
      <c r="C254" s="25"/>
      <c r="D254" s="25"/>
      <c r="E254" s="25"/>
      <c r="F254" s="25"/>
      <c r="G254" s="25"/>
      <c r="H254" s="95"/>
      <c r="I254" s="95"/>
      <c r="J254" s="95"/>
      <c r="K254" s="95"/>
      <c r="L254" s="95"/>
      <c r="M254" s="95"/>
      <c r="N254" s="95"/>
      <c r="O254" s="95"/>
      <c r="P254" s="54">
        <v>0</v>
      </c>
      <c r="Q254" s="94">
        <v>0</v>
      </c>
      <c r="R254" s="53">
        <v>0</v>
      </c>
      <c r="S254" s="132">
        <v>0</v>
      </c>
      <c r="T254" s="25"/>
      <c r="U254" s="25"/>
      <c r="V254" s="5"/>
    </row>
    <row r="255" spans="1:22" ht="15.6" x14ac:dyDescent="0.3">
      <c r="A255" s="24"/>
      <c r="B255" s="54" t="s">
        <v>92</v>
      </c>
      <c r="C255" s="25"/>
      <c r="D255" s="25"/>
      <c r="E255" s="25"/>
      <c r="F255" s="25"/>
      <c r="G255" s="25"/>
      <c r="H255" s="95"/>
      <c r="I255" s="95"/>
      <c r="J255" s="95"/>
      <c r="K255" s="95"/>
      <c r="L255" s="95"/>
      <c r="M255" s="95"/>
      <c r="N255" s="95"/>
      <c r="O255" s="95"/>
      <c r="P255" s="54">
        <v>0</v>
      </c>
      <c r="Q255" s="94">
        <v>0</v>
      </c>
      <c r="R255" s="53">
        <v>0</v>
      </c>
      <c r="S255" s="132">
        <v>0</v>
      </c>
      <c r="T255" s="25"/>
      <c r="U255" s="25"/>
      <c r="V255" s="5"/>
    </row>
    <row r="256" spans="1:22" ht="15.6" x14ac:dyDescent="0.3">
      <c r="A256" s="24"/>
      <c r="B256" s="54" t="s">
        <v>93</v>
      </c>
      <c r="C256" s="25"/>
      <c r="D256" s="25"/>
      <c r="E256" s="25"/>
      <c r="F256" s="25"/>
      <c r="G256" s="25"/>
      <c r="H256" s="95"/>
      <c r="I256" s="95"/>
      <c r="J256" s="95"/>
      <c r="K256" s="95"/>
      <c r="L256" s="95"/>
      <c r="M256" s="95"/>
      <c r="N256" s="95"/>
      <c r="O256" s="95"/>
      <c r="P256" s="54">
        <v>0</v>
      </c>
      <c r="Q256" s="94">
        <v>0</v>
      </c>
      <c r="R256" s="53">
        <v>0</v>
      </c>
      <c r="S256" s="132">
        <v>0</v>
      </c>
      <c r="T256" s="25"/>
      <c r="U256" s="25"/>
      <c r="V256" s="5"/>
    </row>
    <row r="257" spans="1:22" ht="15.6" x14ac:dyDescent="0.3">
      <c r="A257" s="24"/>
      <c r="B257" s="54" t="s">
        <v>163</v>
      </c>
      <c r="C257" s="25"/>
      <c r="D257" s="25"/>
      <c r="E257" s="25"/>
      <c r="F257" s="25"/>
      <c r="G257" s="25"/>
      <c r="H257" s="95"/>
      <c r="I257" s="95"/>
      <c r="J257" s="95"/>
      <c r="K257" s="95"/>
      <c r="L257" s="95"/>
      <c r="M257" s="95"/>
      <c r="N257" s="95"/>
      <c r="O257" s="95"/>
      <c r="P257" s="54">
        <v>0</v>
      </c>
      <c r="Q257" s="94">
        <v>0</v>
      </c>
      <c r="R257" s="53">
        <v>0</v>
      </c>
      <c r="S257" s="132">
        <v>0</v>
      </c>
      <c r="T257" s="25"/>
      <c r="U257" s="25"/>
      <c r="V257" s="5"/>
    </row>
    <row r="258" spans="1:22" ht="15.6" x14ac:dyDescent="0.3">
      <c r="A258" s="24"/>
      <c r="B258" s="54" t="s">
        <v>164</v>
      </c>
      <c r="C258" s="25"/>
      <c r="D258" s="25"/>
      <c r="E258" s="25"/>
      <c r="F258" s="25"/>
      <c r="G258" s="25"/>
      <c r="H258" s="95"/>
      <c r="I258" s="95"/>
      <c r="J258" s="95"/>
      <c r="K258" s="95"/>
      <c r="L258" s="95"/>
      <c r="M258" s="95"/>
      <c r="N258" s="95"/>
      <c r="O258" s="95"/>
      <c r="P258" s="54">
        <v>0</v>
      </c>
      <c r="Q258" s="94">
        <v>0</v>
      </c>
      <c r="R258" s="53">
        <v>0</v>
      </c>
      <c r="S258" s="132">
        <v>0</v>
      </c>
      <c r="T258" s="25"/>
      <c r="U258" s="25"/>
      <c r="V258" s="5"/>
    </row>
    <row r="259" spans="1:22" ht="15.6" x14ac:dyDescent="0.3">
      <c r="A259" s="24"/>
      <c r="B259" s="54" t="s">
        <v>165</v>
      </c>
      <c r="C259" s="25"/>
      <c r="D259" s="25"/>
      <c r="E259" s="25"/>
      <c r="F259" s="25"/>
      <c r="G259" s="25"/>
      <c r="H259" s="95"/>
      <c r="I259" s="95"/>
      <c r="J259" s="95"/>
      <c r="K259" s="95"/>
      <c r="L259" s="95"/>
      <c r="M259" s="95"/>
      <c r="N259" s="95"/>
      <c r="O259" s="95"/>
      <c r="P259" s="54">
        <v>0</v>
      </c>
      <c r="Q259" s="94">
        <v>0</v>
      </c>
      <c r="R259" s="53">
        <v>0</v>
      </c>
      <c r="S259" s="132">
        <v>0</v>
      </c>
      <c r="T259" s="25"/>
      <c r="U259" s="25"/>
      <c r="V259" s="5"/>
    </row>
    <row r="260" spans="1:22" ht="15.6" x14ac:dyDescent="0.3">
      <c r="A260" s="24"/>
      <c r="B260" s="54" t="s">
        <v>166</v>
      </c>
      <c r="C260" s="25"/>
      <c r="D260" s="25"/>
      <c r="E260" s="25"/>
      <c r="F260" s="25"/>
      <c r="G260" s="25"/>
      <c r="H260" s="95"/>
      <c r="I260" s="95"/>
      <c r="J260" s="95"/>
      <c r="K260" s="95"/>
      <c r="L260" s="95"/>
      <c r="M260" s="95"/>
      <c r="N260" s="95"/>
      <c r="O260" s="95"/>
      <c r="P260" s="54">
        <v>0</v>
      </c>
      <c r="Q260" s="94">
        <v>0</v>
      </c>
      <c r="R260" s="53">
        <v>0</v>
      </c>
      <c r="S260" s="132">
        <v>0</v>
      </c>
      <c r="T260" s="25"/>
      <c r="U260" s="25"/>
      <c r="V260" s="5"/>
    </row>
    <row r="261" spans="1:22" ht="15.6" x14ac:dyDescent="0.3">
      <c r="A261" s="24"/>
      <c r="B261" s="54" t="s">
        <v>167</v>
      </c>
      <c r="C261" s="25"/>
      <c r="D261" s="25"/>
      <c r="E261" s="25"/>
      <c r="F261" s="25"/>
      <c r="G261" s="25"/>
      <c r="H261" s="95"/>
      <c r="I261" s="95"/>
      <c r="J261" s="95"/>
      <c r="K261" s="95"/>
      <c r="L261" s="95"/>
      <c r="M261" s="95"/>
      <c r="N261" s="95"/>
      <c r="O261" s="95"/>
      <c r="P261" s="54">
        <v>0</v>
      </c>
      <c r="Q261" s="94">
        <v>0</v>
      </c>
      <c r="R261" s="53">
        <v>0</v>
      </c>
      <c r="S261" s="132">
        <v>0</v>
      </c>
      <c r="T261" s="25"/>
      <c r="U261" s="25"/>
      <c r="V261" s="5"/>
    </row>
    <row r="262" spans="1:22" ht="15.6" x14ac:dyDescent="0.3">
      <c r="A262" s="24"/>
      <c r="B262" s="54"/>
      <c r="C262" s="25"/>
      <c r="D262" s="25"/>
      <c r="E262" s="25"/>
      <c r="F262" s="25"/>
      <c r="G262" s="25"/>
      <c r="H262" s="95"/>
      <c r="I262" s="95"/>
      <c r="J262" s="95"/>
      <c r="K262" s="95"/>
      <c r="L262" s="95"/>
      <c r="M262" s="95"/>
      <c r="N262" s="95"/>
      <c r="O262" s="95"/>
      <c r="P262" s="54"/>
      <c r="Q262" s="94"/>
      <c r="R262" s="53"/>
      <c r="S262" s="132"/>
      <c r="T262" s="25"/>
      <c r="U262" s="25"/>
      <c r="V262" s="5"/>
    </row>
    <row r="263" spans="1:22" ht="15.6" x14ac:dyDescent="0.3">
      <c r="A263" s="24"/>
      <c r="B263" s="25" t="s">
        <v>120</v>
      </c>
      <c r="C263" s="25"/>
      <c r="D263" s="25"/>
      <c r="E263" s="25"/>
      <c r="F263" s="25"/>
      <c r="G263" s="25"/>
      <c r="H263" s="95"/>
      <c r="I263" s="95"/>
      <c r="J263" s="95"/>
      <c r="K263" s="95"/>
      <c r="L263" s="95"/>
      <c r="M263" s="95"/>
      <c r="N263" s="95"/>
      <c r="O263" s="95"/>
      <c r="P263" s="34">
        <f>SUM(P254:P261)</f>
        <v>0</v>
      </c>
      <c r="Q263" s="94">
        <f>SUM(Q254:Q261)</f>
        <v>0</v>
      </c>
      <c r="R263" s="53">
        <f>SUM(R254:R261)</f>
        <v>0</v>
      </c>
      <c r="S263" s="132">
        <f>SUM(S254:S261)</f>
        <v>0</v>
      </c>
      <c r="T263" s="25"/>
      <c r="U263" s="25"/>
      <c r="V263" s="5"/>
    </row>
    <row r="264" spans="1:22" ht="15.6" x14ac:dyDescent="0.3">
      <c r="A264" s="24"/>
      <c r="B264" s="25"/>
      <c r="C264" s="25"/>
      <c r="D264" s="25"/>
      <c r="E264" s="25"/>
      <c r="F264" s="25"/>
      <c r="G264" s="25"/>
      <c r="H264" s="95"/>
      <c r="I264" s="95"/>
      <c r="J264" s="95"/>
      <c r="K264" s="95"/>
      <c r="L264" s="95"/>
      <c r="M264" s="95"/>
      <c r="N264" s="95"/>
      <c r="O264" s="95"/>
      <c r="P264" s="34"/>
      <c r="Q264" s="132"/>
      <c r="R264" s="53"/>
      <c r="S264" s="132"/>
      <c r="T264" s="25"/>
      <c r="U264" s="25"/>
      <c r="V264" s="5"/>
    </row>
    <row r="265" spans="1:22" ht="15.6" x14ac:dyDescent="0.3">
      <c r="A265" s="24"/>
      <c r="B265" s="142" t="s">
        <v>171</v>
      </c>
      <c r="C265" s="25"/>
      <c r="D265" s="25"/>
      <c r="E265" s="25"/>
      <c r="F265" s="25"/>
      <c r="G265" s="25"/>
      <c r="H265" s="95"/>
      <c r="I265" s="95"/>
      <c r="J265" s="95"/>
      <c r="K265" s="95"/>
      <c r="L265" s="95"/>
      <c r="M265" s="95"/>
      <c r="N265" s="95"/>
      <c r="O265" s="95"/>
      <c r="P265" s="161">
        <f>P263+P251+P239</f>
        <v>6674</v>
      </c>
      <c r="Q265" s="143"/>
      <c r="R265" s="144">
        <f>+R263+R251+R239</f>
        <v>892257</v>
      </c>
      <c r="S265" s="143"/>
      <c r="T265" s="25"/>
      <c r="U265" s="25"/>
      <c r="V265" s="5"/>
    </row>
    <row r="266" spans="1:22" ht="15.6" x14ac:dyDescent="0.3">
      <c r="A266" s="24"/>
      <c r="B266" s="25"/>
      <c r="C266" s="25"/>
      <c r="D266" s="25"/>
      <c r="E266" s="25"/>
      <c r="F266" s="25"/>
      <c r="G266" s="25"/>
      <c r="H266" s="95"/>
      <c r="I266" s="95"/>
      <c r="J266" s="95"/>
      <c r="K266" s="95"/>
      <c r="L266" s="95"/>
      <c r="M266" s="95"/>
      <c r="N266" s="95"/>
      <c r="O266" s="95"/>
      <c r="P266" s="95"/>
      <c r="Q266" s="95"/>
      <c r="R266" s="53"/>
      <c r="S266" s="95"/>
      <c r="T266" s="25"/>
      <c r="U266" s="25"/>
      <c r="V266" s="5"/>
    </row>
    <row r="267" spans="1:22" ht="15.6" x14ac:dyDescent="0.3">
      <c r="A267" s="6"/>
      <c r="B267" s="8"/>
      <c r="C267" s="8"/>
      <c r="D267" s="8"/>
      <c r="E267" s="8"/>
      <c r="F267" s="8"/>
      <c r="G267" s="8"/>
      <c r="H267" s="96"/>
      <c r="I267" s="96"/>
      <c r="J267" s="96"/>
      <c r="K267" s="96"/>
      <c r="L267" s="96"/>
      <c r="M267" s="96"/>
      <c r="N267" s="96"/>
      <c r="O267" s="96"/>
      <c r="P267" s="96"/>
      <c r="Q267" s="96"/>
      <c r="R267" s="97"/>
      <c r="S267" s="96"/>
      <c r="T267" s="8"/>
      <c r="U267" s="8"/>
      <c r="V267" s="5"/>
    </row>
    <row r="268" spans="1:22" ht="15.6" x14ac:dyDescent="0.3">
      <c r="A268" s="167"/>
      <c r="B268" s="14" t="s">
        <v>94</v>
      </c>
      <c r="C268" s="15"/>
      <c r="D268" s="15"/>
      <c r="E268" s="15"/>
      <c r="F268" s="17" t="s">
        <v>100</v>
      </c>
      <c r="G268" s="15"/>
      <c r="H268" s="14" t="s">
        <v>102</v>
      </c>
      <c r="I268" s="162"/>
      <c r="J268" s="162"/>
      <c r="K268" s="162"/>
      <c r="L268" s="162"/>
      <c r="M268" s="162"/>
      <c r="N268" s="162"/>
      <c r="O268" s="162"/>
      <c r="P268" s="162"/>
      <c r="Q268" s="162"/>
      <c r="R268" s="162"/>
      <c r="S268" s="162"/>
      <c r="T268" s="162"/>
      <c r="U268" s="162"/>
      <c r="V268" s="5"/>
    </row>
    <row r="269" spans="1:22" ht="15.6" x14ac:dyDescent="0.3">
      <c r="A269" s="167"/>
      <c r="B269" s="13" t="s">
        <v>95</v>
      </c>
      <c r="C269" s="13"/>
      <c r="D269" s="13"/>
      <c r="E269" s="13"/>
      <c r="F269" s="130" t="s">
        <v>154</v>
      </c>
      <c r="G269" s="13"/>
      <c r="H269" s="13" t="s">
        <v>158</v>
      </c>
      <c r="I269" s="162"/>
      <c r="J269" s="162"/>
      <c r="K269" s="162"/>
      <c r="L269" s="162"/>
      <c r="M269" s="162"/>
      <c r="N269" s="162"/>
      <c r="O269" s="162"/>
      <c r="P269" s="162"/>
      <c r="Q269" s="162"/>
      <c r="R269" s="162"/>
      <c r="S269" s="162"/>
      <c r="T269" s="162"/>
      <c r="U269" s="162"/>
      <c r="V269" s="5"/>
    </row>
    <row r="270" spans="1:22" ht="15.6" x14ac:dyDescent="0.3">
      <c r="A270" s="167"/>
      <c r="B270" s="13" t="s">
        <v>268</v>
      </c>
      <c r="C270" s="13"/>
      <c r="D270" s="13"/>
      <c r="E270" s="13"/>
      <c r="F270" s="130" t="s">
        <v>269</v>
      </c>
      <c r="G270" s="13"/>
      <c r="H270" s="13" t="s">
        <v>270</v>
      </c>
      <c r="I270" s="162"/>
      <c r="J270" s="162"/>
      <c r="K270" s="162"/>
      <c r="L270" s="162"/>
      <c r="M270" s="162"/>
      <c r="N270" s="162"/>
      <c r="O270" s="162"/>
      <c r="P270" s="162"/>
      <c r="Q270" s="162"/>
      <c r="R270" s="162"/>
      <c r="S270" s="162"/>
      <c r="T270" s="162"/>
      <c r="U270" s="162"/>
      <c r="V270" s="5"/>
    </row>
    <row r="271" spans="1:22" ht="15.6" x14ac:dyDescent="0.3">
      <c r="A271" s="167"/>
      <c r="B271" s="13" t="s">
        <v>96</v>
      </c>
      <c r="C271" s="13"/>
      <c r="D271" s="13"/>
      <c r="E271" s="13"/>
      <c r="F271" s="130" t="s">
        <v>153</v>
      </c>
      <c r="G271" s="13"/>
      <c r="H271" s="13" t="s">
        <v>159</v>
      </c>
      <c r="I271" s="162"/>
      <c r="J271" s="162"/>
      <c r="K271" s="162"/>
      <c r="L271" s="162"/>
      <c r="M271" s="162"/>
      <c r="N271" s="162"/>
      <c r="O271" s="162"/>
      <c r="P271" s="162"/>
      <c r="Q271" s="162"/>
      <c r="R271" s="162"/>
      <c r="S271" s="162"/>
      <c r="T271" s="162"/>
      <c r="U271" s="162"/>
      <c r="V271" s="5"/>
    </row>
    <row r="272" spans="1:22" ht="15.6" x14ac:dyDescent="0.3">
      <c r="A272" s="167"/>
      <c r="B272" s="13"/>
      <c r="C272" s="13"/>
      <c r="D272" s="13"/>
      <c r="E272" s="13"/>
      <c r="F272" s="13"/>
      <c r="G272" s="99"/>
      <c r="H272" s="162"/>
      <c r="I272" s="162"/>
      <c r="J272" s="162"/>
      <c r="K272" s="162"/>
      <c r="L272" s="162"/>
      <c r="M272" s="162"/>
      <c r="N272" s="162"/>
      <c r="O272" s="162"/>
      <c r="P272" s="162"/>
      <c r="Q272" s="162"/>
      <c r="R272" s="162"/>
      <c r="S272" s="162"/>
      <c r="T272" s="162"/>
      <c r="U272" s="162"/>
      <c r="V272" s="5"/>
    </row>
    <row r="273" spans="1:22" ht="15.6" x14ac:dyDescent="0.3">
      <c r="A273" s="167"/>
      <c r="B273" s="13"/>
      <c r="C273" s="13"/>
      <c r="D273" s="13"/>
      <c r="E273" s="13"/>
      <c r="F273" s="13"/>
      <c r="G273" s="99"/>
      <c r="H273" s="162"/>
      <c r="I273" s="162"/>
      <c r="J273" s="162"/>
      <c r="K273" s="162"/>
      <c r="L273" s="162"/>
      <c r="M273" s="162"/>
      <c r="N273" s="162"/>
      <c r="O273" s="162"/>
      <c r="P273" s="162"/>
      <c r="Q273" s="162"/>
      <c r="R273" s="162"/>
      <c r="S273" s="162"/>
      <c r="T273" s="162"/>
      <c r="U273" s="162"/>
      <c r="V273" s="5"/>
    </row>
    <row r="274" spans="1:22" ht="18" thickBot="1" x14ac:dyDescent="0.35">
      <c r="A274" s="167"/>
      <c r="B274" s="49" t="str">
        <f>B191</f>
        <v>PM11 INVESTOR REPORT QUARTER ENDING SEPTEMBER 2007</v>
      </c>
      <c r="C274" s="13"/>
      <c r="D274" s="13"/>
      <c r="E274" s="13"/>
      <c r="F274" s="13"/>
      <c r="G274" s="99"/>
      <c r="H274" s="162"/>
      <c r="I274" s="162"/>
      <c r="J274" s="162"/>
      <c r="K274" s="162"/>
      <c r="L274" s="162"/>
      <c r="M274" s="162"/>
      <c r="N274" s="162"/>
      <c r="O274" s="162"/>
      <c r="P274" s="162"/>
      <c r="Q274" s="162"/>
      <c r="R274" s="162"/>
      <c r="S274" s="162"/>
      <c r="T274" s="162"/>
      <c r="U274" s="162"/>
      <c r="V274" s="5"/>
    </row>
    <row r="275" spans="1:22" x14ac:dyDescent="0.25">
      <c r="A275" s="100"/>
      <c r="B275" s="100"/>
      <c r="C275" s="100"/>
      <c r="D275" s="100"/>
      <c r="E275" s="100"/>
      <c r="F275" s="100"/>
      <c r="G275" s="100"/>
      <c r="H275" s="100"/>
      <c r="I275" s="100"/>
      <c r="J275" s="100"/>
      <c r="K275" s="100"/>
      <c r="L275" s="100"/>
      <c r="M275" s="100"/>
      <c r="N275" s="100"/>
      <c r="O275" s="100"/>
      <c r="P275" s="100"/>
      <c r="Q275" s="100"/>
      <c r="R275" s="100"/>
      <c r="S275" s="100"/>
      <c r="T275" s="100"/>
      <c r="U275" s="100"/>
    </row>
  </sheetData>
  <phoneticPr fontId="0" type="noConversion"/>
  <hyperlinks>
    <hyperlink ref="N227" r:id="rId1" xr:uid="{00000000-0004-0000-0500-000000000000}"/>
    <hyperlink ref="J9" r:id="rId2" xr:uid="{00000000-0004-0000-05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4" max="14" man="1"/>
    <brk id="132" max="14" man="1"/>
    <brk id="191" max="14"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89CB31"/>
  </sheetPr>
  <dimension ref="A1:X276"/>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08984375" style="1" customWidth="1"/>
    <col min="10" max="10" width="17.81640625" style="1" customWidth="1"/>
    <col min="11" max="11" width="2.1796875" style="1" customWidth="1"/>
    <col min="12" max="12" width="14.81640625" style="1" customWidth="1"/>
    <col min="13" max="13" width="2.1796875" style="1" customWidth="1"/>
    <col min="14" max="14" width="15.54296875" style="1" customWidth="1"/>
    <col min="15" max="15" width="2.08984375" style="1" customWidth="1"/>
    <col min="16" max="16" width="15.54296875" style="1" customWidth="1"/>
    <col min="17" max="18" width="12.81640625" style="1" customWidth="1"/>
    <col min="19" max="19" width="7.81640625" style="1" customWidth="1"/>
    <col min="20" max="20" width="14.81640625" style="1" customWidth="1"/>
    <col min="21" max="21" width="11.81640625" style="1" customWidth="1"/>
    <col min="22" max="16384" width="9.81640625" style="1"/>
  </cols>
  <sheetData>
    <row r="1" spans="1:22" ht="20.399999999999999" x14ac:dyDescent="0.35">
      <c r="A1" s="2"/>
      <c r="B1" s="3" t="s">
        <v>228</v>
      </c>
      <c r="C1" s="4"/>
      <c r="D1" s="4"/>
      <c r="E1" s="4"/>
      <c r="F1" s="4"/>
      <c r="G1" s="4"/>
      <c r="H1" s="4"/>
      <c r="I1" s="4"/>
      <c r="J1" s="4"/>
      <c r="K1" s="4"/>
      <c r="L1" s="4"/>
      <c r="M1" s="4"/>
      <c r="N1" s="4"/>
      <c r="O1" s="4"/>
      <c r="P1" s="4"/>
      <c r="Q1" s="4"/>
      <c r="R1" s="4"/>
      <c r="S1" s="4"/>
      <c r="T1" s="4"/>
      <c r="U1" s="4"/>
      <c r="V1" s="5"/>
    </row>
    <row r="2" spans="1:22" ht="15.6" x14ac:dyDescent="0.3">
      <c r="A2" s="6"/>
      <c r="B2" s="7"/>
      <c r="C2" s="8"/>
      <c r="D2" s="8"/>
      <c r="E2" s="8"/>
      <c r="F2" s="8"/>
      <c r="G2" s="8"/>
      <c r="H2" s="8"/>
      <c r="I2" s="8"/>
      <c r="J2" s="8"/>
      <c r="K2" s="8"/>
      <c r="L2" s="8"/>
      <c r="M2" s="8"/>
      <c r="N2" s="8"/>
      <c r="O2" s="8"/>
      <c r="P2" s="8"/>
      <c r="Q2" s="8"/>
      <c r="R2" s="8"/>
      <c r="S2" s="8"/>
      <c r="T2" s="8"/>
      <c r="U2" s="8"/>
      <c r="V2" s="5"/>
    </row>
    <row r="3" spans="1:22" ht="15.6" x14ac:dyDescent="0.3">
      <c r="A3" s="9"/>
      <c r="B3" s="111" t="s">
        <v>229</v>
      </c>
      <c r="C3" s="8"/>
      <c r="D3" s="8"/>
      <c r="E3" s="8"/>
      <c r="F3" s="8"/>
      <c r="G3" s="8"/>
      <c r="H3" s="8"/>
      <c r="I3" s="8"/>
      <c r="J3" s="8"/>
      <c r="K3" s="8"/>
      <c r="L3" s="8"/>
      <c r="M3" s="8"/>
      <c r="N3" s="8"/>
      <c r="O3" s="8"/>
      <c r="P3" s="8"/>
      <c r="Q3" s="8"/>
      <c r="R3" s="8"/>
      <c r="S3" s="8"/>
      <c r="T3" s="8"/>
      <c r="U3" s="8"/>
      <c r="V3" s="5"/>
    </row>
    <row r="4" spans="1:22" ht="15.6" x14ac:dyDescent="0.3">
      <c r="A4" s="6"/>
      <c r="B4" s="7"/>
      <c r="C4" s="8"/>
      <c r="D4" s="8"/>
      <c r="E4" s="8"/>
      <c r="F4" s="8"/>
      <c r="G4" s="8"/>
      <c r="H4" s="8"/>
      <c r="I4" s="8"/>
      <c r="J4" s="8"/>
      <c r="K4" s="8"/>
      <c r="L4" s="8"/>
      <c r="M4" s="8"/>
      <c r="N4" s="8"/>
      <c r="O4" s="8"/>
      <c r="P4" s="8"/>
      <c r="Q4" s="8"/>
      <c r="R4" s="8"/>
      <c r="S4" s="8"/>
      <c r="T4" s="8"/>
      <c r="U4" s="8"/>
      <c r="V4" s="5"/>
    </row>
    <row r="5" spans="1:22" ht="15.6" x14ac:dyDescent="0.3">
      <c r="A5" s="6"/>
      <c r="B5" s="11" t="s">
        <v>143</v>
      </c>
      <c r="C5" s="8"/>
      <c r="D5" s="8"/>
      <c r="E5" s="8"/>
      <c r="F5" s="8"/>
      <c r="G5" s="8"/>
      <c r="H5" s="8"/>
      <c r="I5" s="8"/>
      <c r="J5" s="8"/>
      <c r="K5" s="8"/>
      <c r="L5" s="8"/>
      <c r="M5" s="8"/>
      <c r="N5" s="8"/>
      <c r="O5" s="8"/>
      <c r="P5" s="8"/>
      <c r="Q5" s="8"/>
      <c r="R5" s="8"/>
      <c r="S5" s="8"/>
      <c r="T5" s="8"/>
      <c r="U5" s="8"/>
      <c r="V5" s="5"/>
    </row>
    <row r="6" spans="1:22" ht="15.6" x14ac:dyDescent="0.3">
      <c r="A6" s="6"/>
      <c r="B6" s="11" t="s">
        <v>145</v>
      </c>
      <c r="C6" s="8"/>
      <c r="D6" s="8"/>
      <c r="E6" s="8"/>
      <c r="F6" s="8"/>
      <c r="G6" s="8"/>
      <c r="H6" s="8"/>
      <c r="I6" s="8"/>
      <c r="J6" s="8"/>
      <c r="K6" s="8"/>
      <c r="L6" s="8"/>
      <c r="M6" s="8"/>
      <c r="N6" s="8"/>
      <c r="O6" s="8"/>
      <c r="P6" s="8"/>
      <c r="Q6" s="8"/>
      <c r="R6" s="8"/>
      <c r="S6" s="8"/>
      <c r="T6" s="8"/>
      <c r="U6" s="8"/>
      <c r="V6" s="5"/>
    </row>
    <row r="7" spans="1:22" ht="15.6" x14ac:dyDescent="0.3">
      <c r="A7" s="6"/>
      <c r="B7" s="11" t="s">
        <v>144</v>
      </c>
      <c r="C7" s="8"/>
      <c r="D7" s="8"/>
      <c r="E7" s="8"/>
      <c r="F7" s="8"/>
      <c r="G7" s="8"/>
      <c r="H7" s="8"/>
      <c r="I7" s="8"/>
      <c r="J7" s="8"/>
      <c r="K7" s="8"/>
      <c r="L7" s="8"/>
      <c r="M7" s="8"/>
      <c r="N7" s="8"/>
      <c r="O7" s="8"/>
      <c r="P7" s="8"/>
      <c r="Q7" s="8"/>
      <c r="R7" s="8"/>
      <c r="S7" s="8"/>
      <c r="T7" s="8"/>
      <c r="U7" s="8"/>
      <c r="V7" s="5"/>
    </row>
    <row r="8" spans="1:22" ht="15.6" x14ac:dyDescent="0.3">
      <c r="A8" s="6"/>
      <c r="B8" s="11"/>
      <c r="C8" s="8"/>
      <c r="D8" s="8"/>
      <c r="E8" s="8"/>
      <c r="F8" s="8"/>
      <c r="G8" s="8"/>
      <c r="H8" s="8"/>
      <c r="I8" s="8"/>
      <c r="J8" s="8"/>
      <c r="K8" s="8"/>
      <c r="L8" s="8"/>
      <c r="M8" s="8"/>
      <c r="N8" s="8"/>
      <c r="O8" s="8"/>
      <c r="P8" s="8"/>
      <c r="Q8" s="8"/>
      <c r="R8" s="8"/>
      <c r="S8" s="8"/>
      <c r="T8" s="8"/>
      <c r="U8" s="8"/>
      <c r="V8" s="5"/>
    </row>
    <row r="9" spans="1:22" ht="17.399999999999999" x14ac:dyDescent="0.3">
      <c r="A9" s="6"/>
      <c r="B9" s="147" t="s">
        <v>173</v>
      </c>
      <c r="C9" s="8"/>
      <c r="D9" s="8"/>
      <c r="E9" s="8"/>
      <c r="F9" s="8"/>
      <c r="G9" s="8"/>
      <c r="H9" s="8"/>
      <c r="I9" s="8"/>
      <c r="J9" s="148" t="s">
        <v>174</v>
      </c>
      <c r="K9" s="8"/>
      <c r="L9" s="148"/>
      <c r="M9" s="8"/>
      <c r="N9" s="8"/>
      <c r="O9" s="8"/>
      <c r="P9" s="8"/>
      <c r="Q9" s="8"/>
      <c r="R9" s="8"/>
      <c r="S9" s="8"/>
      <c r="T9" s="8"/>
      <c r="U9" s="8"/>
      <c r="V9" s="5"/>
    </row>
    <row r="10" spans="1:22" ht="15.6" x14ac:dyDescent="0.3">
      <c r="A10" s="6"/>
      <c r="B10" s="11"/>
      <c r="C10" s="13"/>
      <c r="D10" s="13"/>
      <c r="E10" s="13"/>
      <c r="F10" s="8"/>
      <c r="G10" s="8"/>
      <c r="H10" s="8"/>
      <c r="I10" s="8"/>
      <c r="J10" s="8"/>
      <c r="K10" s="8"/>
      <c r="L10" s="8"/>
      <c r="M10" s="8"/>
      <c r="N10" s="8"/>
      <c r="O10" s="8"/>
      <c r="P10" s="8"/>
      <c r="Q10" s="8"/>
      <c r="R10" s="8"/>
      <c r="S10" s="8"/>
      <c r="T10" s="8"/>
      <c r="U10" s="8"/>
      <c r="V10" s="5"/>
    </row>
    <row r="11" spans="1:22" ht="15.6" x14ac:dyDescent="0.3">
      <c r="A11" s="6"/>
      <c r="B11" s="14" t="s">
        <v>0</v>
      </c>
      <c r="C11" s="8"/>
      <c r="D11" s="8"/>
      <c r="E11" s="8"/>
      <c r="F11" s="8"/>
      <c r="G11" s="8"/>
      <c r="H11" s="8"/>
      <c r="I11" s="8"/>
      <c r="J11" s="8"/>
      <c r="K11" s="8"/>
      <c r="L11" s="8"/>
      <c r="M11" s="8"/>
      <c r="N11" s="8"/>
      <c r="O11" s="8"/>
      <c r="P11" s="8"/>
      <c r="Q11" s="8"/>
      <c r="R11" s="8"/>
      <c r="S11" s="8"/>
      <c r="T11" s="8"/>
      <c r="U11" s="8"/>
      <c r="V11" s="5"/>
    </row>
    <row r="12" spans="1:22" ht="16.2" thickBot="1" x14ac:dyDescent="0.35">
      <c r="A12" s="6"/>
      <c r="B12" s="13"/>
      <c r="C12" s="8"/>
      <c r="D12" s="8"/>
      <c r="E12" s="8"/>
      <c r="F12" s="8"/>
      <c r="G12" s="8"/>
      <c r="H12" s="8"/>
      <c r="I12" s="8"/>
      <c r="J12" s="8"/>
      <c r="K12" s="8"/>
      <c r="L12" s="8"/>
      <c r="M12" s="8"/>
      <c r="N12" s="8"/>
      <c r="O12" s="8"/>
      <c r="P12" s="8"/>
      <c r="Q12" s="8"/>
      <c r="R12" s="8"/>
      <c r="S12" s="8"/>
      <c r="T12" s="8"/>
      <c r="U12" s="8"/>
      <c r="V12" s="5"/>
    </row>
    <row r="13" spans="1:22" ht="15.6" x14ac:dyDescent="0.3">
      <c r="A13" s="2"/>
      <c r="B13" s="4"/>
      <c r="C13" s="4"/>
      <c r="D13" s="4"/>
      <c r="E13" s="4"/>
      <c r="F13" s="4"/>
      <c r="G13" s="4"/>
      <c r="H13" s="4"/>
      <c r="I13" s="4"/>
      <c r="J13" s="4"/>
      <c r="K13" s="4"/>
      <c r="L13" s="4"/>
      <c r="M13" s="4"/>
      <c r="N13" s="4"/>
      <c r="O13" s="4"/>
      <c r="P13" s="4"/>
      <c r="Q13" s="4"/>
      <c r="R13" s="4"/>
      <c r="S13" s="4"/>
      <c r="T13" s="4"/>
      <c r="U13" s="4"/>
      <c r="V13" s="5"/>
    </row>
    <row r="14" spans="1:22" ht="15.6" x14ac:dyDescent="0.3">
      <c r="A14" s="6"/>
      <c r="B14" s="14" t="s">
        <v>1</v>
      </c>
      <c r="C14" s="15"/>
      <c r="D14" s="15"/>
      <c r="E14" s="15"/>
      <c r="F14" s="15"/>
      <c r="G14" s="15"/>
      <c r="H14" s="15"/>
      <c r="I14" s="15"/>
      <c r="J14" s="15"/>
      <c r="K14" s="15"/>
      <c r="L14" s="15"/>
      <c r="M14" s="15"/>
      <c r="N14" s="15"/>
      <c r="O14" s="15"/>
      <c r="P14" s="15"/>
      <c r="Q14" s="15"/>
      <c r="R14" s="15"/>
      <c r="S14" s="15"/>
      <c r="T14" s="16" t="s">
        <v>230</v>
      </c>
      <c r="U14" s="15"/>
      <c r="V14" s="5"/>
    </row>
    <row r="15" spans="1:22" ht="15.6" x14ac:dyDescent="0.3">
      <c r="A15" s="6"/>
      <c r="B15" s="14" t="s">
        <v>2</v>
      </c>
      <c r="C15" s="15"/>
      <c r="D15" s="15"/>
      <c r="E15" s="15"/>
      <c r="F15" s="15"/>
      <c r="G15" s="15"/>
      <c r="H15" s="18"/>
      <c r="I15" s="18"/>
      <c r="J15" s="18"/>
      <c r="K15" s="18"/>
      <c r="L15" s="18"/>
      <c r="M15" s="18"/>
      <c r="N15" s="18"/>
      <c r="O15" s="18"/>
      <c r="P15" s="18" t="s">
        <v>107</v>
      </c>
      <c r="Q15" s="137">
        <v>0.40749999999999997</v>
      </c>
      <c r="R15" s="17" t="s">
        <v>146</v>
      </c>
      <c r="S15" s="137">
        <v>0.59250000000000003</v>
      </c>
      <c r="T15" s="16"/>
      <c r="U15" s="15"/>
      <c r="V15" s="5"/>
    </row>
    <row r="16" spans="1:22" ht="15.6" x14ac:dyDescent="0.3">
      <c r="A16" s="6"/>
      <c r="B16" s="14" t="s">
        <v>3</v>
      </c>
      <c r="C16" s="15"/>
      <c r="D16" s="15"/>
      <c r="E16" s="15"/>
      <c r="F16" s="15"/>
      <c r="G16" s="15"/>
      <c r="H16" s="18"/>
      <c r="I16" s="18"/>
      <c r="J16" s="18"/>
      <c r="K16" s="18"/>
      <c r="L16" s="18"/>
      <c r="M16" s="18"/>
      <c r="N16" s="18"/>
      <c r="O16" s="18"/>
      <c r="P16" s="18" t="s">
        <v>107</v>
      </c>
      <c r="Q16" s="137">
        <v>0.3861</v>
      </c>
      <c r="R16" s="17" t="s">
        <v>146</v>
      </c>
      <c r="S16" s="137">
        <v>0.6139</v>
      </c>
      <c r="T16" s="16"/>
      <c r="U16" s="15"/>
      <c r="V16" s="5"/>
    </row>
    <row r="17" spans="1:22" ht="15.6" x14ac:dyDescent="0.3">
      <c r="A17" s="6"/>
      <c r="B17" s="14" t="s">
        <v>4</v>
      </c>
      <c r="C17" s="15"/>
      <c r="D17" s="15"/>
      <c r="E17" s="15"/>
      <c r="F17" s="15"/>
      <c r="G17" s="15"/>
      <c r="H17" s="15"/>
      <c r="I17" s="15"/>
      <c r="J17" s="15"/>
      <c r="K17" s="15"/>
      <c r="L17" s="15"/>
      <c r="M17" s="15"/>
      <c r="N17" s="15"/>
      <c r="O17" s="15"/>
      <c r="P17" s="15"/>
      <c r="Q17" s="15"/>
      <c r="R17" s="15"/>
      <c r="S17" s="15"/>
      <c r="T17" s="19">
        <v>38799</v>
      </c>
      <c r="U17" s="15"/>
      <c r="V17" s="5"/>
    </row>
    <row r="18" spans="1:22" ht="15.6" x14ac:dyDescent="0.3">
      <c r="A18" s="6"/>
      <c r="B18" s="14" t="s">
        <v>5</v>
      </c>
      <c r="C18" s="15"/>
      <c r="D18" s="15"/>
      <c r="E18" s="15"/>
      <c r="F18" s="15"/>
      <c r="G18" s="15"/>
      <c r="H18" s="15"/>
      <c r="I18" s="15"/>
      <c r="J18" s="15"/>
      <c r="K18" s="15"/>
      <c r="L18" s="15"/>
      <c r="M18" s="15"/>
      <c r="N18" s="15"/>
      <c r="O18" s="15"/>
      <c r="P18" s="15"/>
      <c r="Q18" s="15"/>
      <c r="R18" s="15"/>
      <c r="S18" s="15"/>
      <c r="T18" s="19">
        <v>39469</v>
      </c>
      <c r="U18" s="15"/>
      <c r="V18" s="5"/>
    </row>
    <row r="19" spans="1:22" ht="15.6" x14ac:dyDescent="0.3">
      <c r="A19" s="6"/>
      <c r="B19" s="8"/>
      <c r="C19" s="8"/>
      <c r="D19" s="8"/>
      <c r="E19" s="8"/>
      <c r="F19" s="8"/>
      <c r="G19" s="8"/>
      <c r="H19" s="8"/>
      <c r="I19" s="8"/>
      <c r="J19" s="8"/>
      <c r="K19" s="8"/>
      <c r="L19" s="8"/>
      <c r="M19" s="8"/>
      <c r="N19" s="8"/>
      <c r="O19" s="8"/>
      <c r="P19" s="8"/>
      <c r="Q19" s="8"/>
      <c r="R19" s="8"/>
      <c r="S19" s="8"/>
      <c r="T19" s="20"/>
      <c r="U19" s="8"/>
      <c r="V19" s="5"/>
    </row>
    <row r="20" spans="1:22" ht="15.6" x14ac:dyDescent="0.3">
      <c r="A20" s="6"/>
      <c r="B20" s="21" t="s">
        <v>6</v>
      </c>
      <c r="C20" s="8"/>
      <c r="D20" s="8"/>
      <c r="E20" s="8"/>
      <c r="F20" s="8"/>
      <c r="G20" s="8"/>
      <c r="H20" s="8"/>
      <c r="I20" s="8"/>
      <c r="J20" s="8"/>
      <c r="K20" s="8"/>
      <c r="L20" s="8"/>
      <c r="M20" s="8"/>
      <c r="N20" s="8"/>
      <c r="O20" s="8"/>
      <c r="P20" s="8"/>
      <c r="Q20" s="8"/>
      <c r="R20" s="20" t="s">
        <v>108</v>
      </c>
      <c r="S20" s="8"/>
      <c r="T20" s="162"/>
      <c r="U20" s="8"/>
      <c r="V20" s="5"/>
    </row>
    <row r="21" spans="1:22" ht="15.6" x14ac:dyDescent="0.3">
      <c r="A21" s="6"/>
      <c r="B21" s="8"/>
      <c r="C21" s="8"/>
      <c r="D21" s="8"/>
      <c r="E21" s="8"/>
      <c r="F21" s="8"/>
      <c r="G21" s="8"/>
      <c r="H21" s="8"/>
      <c r="I21" s="8"/>
      <c r="J21" s="8"/>
      <c r="K21" s="8"/>
      <c r="L21" s="8"/>
      <c r="M21" s="8"/>
      <c r="N21" s="8"/>
      <c r="O21" s="8"/>
      <c r="P21" s="8"/>
      <c r="Q21" s="8"/>
      <c r="R21" s="8"/>
      <c r="S21" s="8"/>
      <c r="T21" s="22"/>
      <c r="U21" s="8"/>
      <c r="V21" s="5"/>
    </row>
    <row r="22" spans="1:22" ht="15.6" x14ac:dyDescent="0.3">
      <c r="A22" s="6"/>
      <c r="B22" s="8"/>
      <c r="C22" s="112"/>
      <c r="D22" s="112" t="s">
        <v>184</v>
      </c>
      <c r="E22" s="112"/>
      <c r="F22" s="112" t="s">
        <v>185</v>
      </c>
      <c r="G22" s="112"/>
      <c r="H22" s="112" t="s">
        <v>186</v>
      </c>
      <c r="I22" s="112"/>
      <c r="J22" s="112" t="s">
        <v>187</v>
      </c>
      <c r="K22" s="112"/>
      <c r="L22" s="112" t="s">
        <v>188</v>
      </c>
      <c r="M22" s="112"/>
      <c r="N22" s="112" t="s">
        <v>189</v>
      </c>
      <c r="O22" s="112"/>
      <c r="P22" s="112"/>
      <c r="Q22" s="113"/>
      <c r="R22" s="23"/>
      <c r="S22" s="162"/>
      <c r="T22" s="162"/>
      <c r="U22" s="8"/>
      <c r="V22" s="5"/>
    </row>
    <row r="23" spans="1:22" ht="15.6" x14ac:dyDescent="0.3">
      <c r="A23" s="24"/>
      <c r="B23" s="25" t="s">
        <v>7</v>
      </c>
      <c r="C23" s="26"/>
      <c r="D23" s="26" t="s">
        <v>222</v>
      </c>
      <c r="E23" s="26"/>
      <c r="F23" s="26" t="s">
        <v>147</v>
      </c>
      <c r="G23" s="26"/>
      <c r="H23" s="26" t="s">
        <v>147</v>
      </c>
      <c r="I23" s="26"/>
      <c r="J23" s="26" t="s">
        <v>190</v>
      </c>
      <c r="K23" s="26"/>
      <c r="L23" s="26" t="s">
        <v>190</v>
      </c>
      <c r="M23" s="26"/>
      <c r="N23" s="26" t="s">
        <v>148</v>
      </c>
      <c r="O23" s="26"/>
      <c r="P23" s="26"/>
      <c r="Q23" s="26"/>
      <c r="R23" s="26"/>
      <c r="S23" s="163"/>
      <c r="T23" s="163"/>
      <c r="U23" s="25"/>
      <c r="V23" s="5"/>
    </row>
    <row r="24" spans="1:22" ht="15.6" x14ac:dyDescent="0.3">
      <c r="A24" s="24"/>
      <c r="B24" s="25" t="s">
        <v>8</v>
      </c>
      <c r="C24" s="26"/>
      <c r="D24" s="26" t="s">
        <v>223</v>
      </c>
      <c r="E24" s="26"/>
      <c r="F24" s="26" t="s">
        <v>149</v>
      </c>
      <c r="G24" s="26"/>
      <c r="H24" s="26" t="s">
        <v>149</v>
      </c>
      <c r="I24" s="26"/>
      <c r="J24" s="26" t="s">
        <v>172</v>
      </c>
      <c r="K24" s="26"/>
      <c r="L24" s="26" t="s">
        <v>172</v>
      </c>
      <c r="M24" s="26"/>
      <c r="N24" s="26" t="s">
        <v>150</v>
      </c>
      <c r="O24" s="26"/>
      <c r="P24" s="26"/>
      <c r="Q24" s="26"/>
      <c r="R24" s="26"/>
      <c r="S24" s="163"/>
      <c r="T24" s="163"/>
      <c r="U24" s="25"/>
      <c r="V24" s="5"/>
    </row>
    <row r="25" spans="1:22" ht="15.6" x14ac:dyDescent="0.3">
      <c r="A25" s="28"/>
      <c r="B25" s="131" t="s">
        <v>198</v>
      </c>
      <c r="C25" s="123"/>
      <c r="D25" s="26" t="s">
        <v>224</v>
      </c>
      <c r="E25" s="26"/>
      <c r="F25" s="26" t="s">
        <v>149</v>
      </c>
      <c r="G25" s="26"/>
      <c r="H25" s="26" t="s">
        <v>149</v>
      </c>
      <c r="I25" s="26"/>
      <c r="J25" s="26" t="s">
        <v>172</v>
      </c>
      <c r="K25" s="26"/>
      <c r="L25" s="26" t="s">
        <v>172</v>
      </c>
      <c r="M25" s="26"/>
      <c r="N25" s="26" t="s">
        <v>150</v>
      </c>
      <c r="O25" s="26"/>
      <c r="P25" s="26"/>
      <c r="Q25" s="123"/>
      <c r="R25" s="26"/>
      <c r="S25" s="163"/>
      <c r="T25" s="163"/>
      <c r="U25" s="25"/>
      <c r="V25" s="5"/>
    </row>
    <row r="26" spans="1:22" ht="15.6" x14ac:dyDescent="0.3">
      <c r="A26" s="28"/>
      <c r="B26" s="29" t="s">
        <v>9</v>
      </c>
      <c r="C26" s="123"/>
      <c r="D26" s="123" t="s">
        <v>222</v>
      </c>
      <c r="E26" s="123"/>
      <c r="F26" s="123" t="s">
        <v>147</v>
      </c>
      <c r="G26" s="123"/>
      <c r="H26" s="123" t="s">
        <v>147</v>
      </c>
      <c r="I26" s="123"/>
      <c r="J26" s="123" t="s">
        <v>190</v>
      </c>
      <c r="K26" s="123"/>
      <c r="L26" s="123" t="s">
        <v>190</v>
      </c>
      <c r="M26" s="123"/>
      <c r="N26" s="123" t="s">
        <v>148</v>
      </c>
      <c r="O26" s="123"/>
      <c r="P26" s="123"/>
      <c r="Q26" s="123"/>
      <c r="R26" s="26"/>
      <c r="S26" s="163"/>
      <c r="T26" s="163"/>
      <c r="U26" s="25"/>
      <c r="V26" s="5"/>
    </row>
    <row r="27" spans="1:22" ht="15.6" x14ac:dyDescent="0.3">
      <c r="A27" s="24"/>
      <c r="B27" s="29" t="s">
        <v>199</v>
      </c>
      <c r="C27" s="26"/>
      <c r="D27" s="123" t="s">
        <v>223</v>
      </c>
      <c r="E27" s="123"/>
      <c r="F27" s="123" t="s">
        <v>149</v>
      </c>
      <c r="G27" s="123"/>
      <c r="H27" s="123" t="s">
        <v>149</v>
      </c>
      <c r="I27" s="123"/>
      <c r="J27" s="123" t="s">
        <v>172</v>
      </c>
      <c r="K27" s="123"/>
      <c r="L27" s="123" t="s">
        <v>172</v>
      </c>
      <c r="M27" s="123"/>
      <c r="N27" s="123" t="s">
        <v>150</v>
      </c>
      <c r="O27" s="123"/>
      <c r="P27" s="123"/>
      <c r="Q27" s="26"/>
      <c r="R27" s="30"/>
      <c r="S27" s="163"/>
      <c r="T27" s="163"/>
      <c r="U27" s="25"/>
      <c r="V27" s="5"/>
    </row>
    <row r="28" spans="1:22" ht="15.6" x14ac:dyDescent="0.3">
      <c r="A28" s="24"/>
      <c r="B28" s="153" t="s">
        <v>200</v>
      </c>
      <c r="C28" s="26"/>
      <c r="D28" s="123" t="s">
        <v>224</v>
      </c>
      <c r="E28" s="123"/>
      <c r="F28" s="123" t="s">
        <v>149</v>
      </c>
      <c r="G28" s="123"/>
      <c r="H28" s="123" t="s">
        <v>149</v>
      </c>
      <c r="I28" s="123"/>
      <c r="J28" s="123" t="s">
        <v>172</v>
      </c>
      <c r="K28" s="123"/>
      <c r="L28" s="123" t="s">
        <v>172</v>
      </c>
      <c r="M28" s="123"/>
      <c r="N28" s="123" t="s">
        <v>150</v>
      </c>
      <c r="O28" s="123"/>
      <c r="P28" s="123"/>
      <c r="Q28" s="26"/>
      <c r="R28" s="30"/>
      <c r="S28" s="163"/>
      <c r="T28" s="163"/>
      <c r="U28" s="25"/>
      <c r="V28" s="5"/>
    </row>
    <row r="29" spans="1:22" ht="15.6" x14ac:dyDescent="0.3">
      <c r="A29" s="24"/>
      <c r="B29" s="25" t="s">
        <v>10</v>
      </c>
      <c r="C29" s="32"/>
      <c r="D29" s="26" t="s">
        <v>237</v>
      </c>
      <c r="E29" s="26"/>
      <c r="F29" s="30" t="s">
        <v>238</v>
      </c>
      <c r="G29" s="26"/>
      <c r="H29" s="26" t="s">
        <v>239</v>
      </c>
      <c r="I29" s="26"/>
      <c r="J29" s="26" t="s">
        <v>240</v>
      </c>
      <c r="K29" s="26"/>
      <c r="L29" s="26" t="s">
        <v>241</v>
      </c>
      <c r="M29" s="26"/>
      <c r="N29" s="26" t="s">
        <v>242</v>
      </c>
      <c r="O29" s="26"/>
      <c r="P29" s="26"/>
      <c r="Q29" s="31"/>
      <c r="R29" s="31"/>
      <c r="S29" s="164"/>
      <c r="T29" s="31"/>
      <c r="U29" s="34"/>
      <c r="V29" s="5"/>
    </row>
    <row r="30" spans="1:22" ht="15.6" x14ac:dyDescent="0.3">
      <c r="A30" s="24"/>
      <c r="B30" s="25" t="s">
        <v>10</v>
      </c>
      <c r="C30" s="32"/>
      <c r="D30" s="26" t="s">
        <v>236</v>
      </c>
      <c r="E30" s="26"/>
      <c r="F30" s="30" t="s">
        <v>124</v>
      </c>
      <c r="G30" s="26"/>
      <c r="H30" s="26" t="s">
        <v>124</v>
      </c>
      <c r="I30" s="26"/>
      <c r="J30" s="26" t="s">
        <v>124</v>
      </c>
      <c r="K30" s="26"/>
      <c r="L30" s="26" t="s">
        <v>124</v>
      </c>
      <c r="M30" s="26"/>
      <c r="N30" s="26" t="s">
        <v>124</v>
      </c>
      <c r="O30" s="26"/>
      <c r="P30" s="26"/>
      <c r="Q30" s="31"/>
      <c r="R30" s="31"/>
      <c r="S30" s="164"/>
      <c r="T30" s="31"/>
      <c r="U30" s="34"/>
      <c r="V30" s="5"/>
    </row>
    <row r="31" spans="1:22" ht="15.6" x14ac:dyDescent="0.3">
      <c r="A31" s="28"/>
      <c r="B31" s="25" t="s">
        <v>139</v>
      </c>
      <c r="C31" s="36"/>
      <c r="D31" s="146">
        <v>985000</v>
      </c>
      <c r="E31" s="32"/>
      <c r="F31" s="31">
        <v>149500</v>
      </c>
      <c r="G31" s="31"/>
      <c r="H31" s="124">
        <v>219700</v>
      </c>
      <c r="I31" s="31"/>
      <c r="J31" s="31">
        <v>16000</v>
      </c>
      <c r="K31" s="31"/>
      <c r="L31" s="124">
        <v>82400</v>
      </c>
      <c r="M31" s="31"/>
      <c r="N31" s="124">
        <v>87500</v>
      </c>
      <c r="O31" s="31"/>
      <c r="P31" s="124"/>
      <c r="Q31" s="35"/>
      <c r="R31" s="35"/>
      <c r="S31" s="37"/>
      <c r="T31" s="35"/>
      <c r="U31" s="34"/>
      <c r="V31" s="5"/>
    </row>
    <row r="32" spans="1:22" ht="15.6" x14ac:dyDescent="0.3">
      <c r="A32" s="24"/>
      <c r="B32" s="25" t="s">
        <v>138</v>
      </c>
      <c r="C32" s="32"/>
      <c r="D32" s="146">
        <f>D38*D31</f>
        <v>862606.1655</v>
      </c>
      <c r="E32" s="32"/>
      <c r="F32" s="31">
        <f>F38*F31</f>
        <v>130923.48880000001</v>
      </c>
      <c r="G32" s="31"/>
      <c r="H32" s="124">
        <f>H38*H31</f>
        <v>192400.60528000002</v>
      </c>
      <c r="I32" s="31"/>
      <c r="J32" s="31">
        <f>+J31</f>
        <v>16000</v>
      </c>
      <c r="K32" s="31"/>
      <c r="L32" s="124">
        <f>+L31</f>
        <v>82400</v>
      </c>
      <c r="M32" s="31"/>
      <c r="N32" s="124">
        <f>+N31</f>
        <v>87500</v>
      </c>
      <c r="O32" s="31"/>
      <c r="P32" s="124"/>
      <c r="Q32" s="31"/>
      <c r="R32" s="31"/>
      <c r="S32" s="164"/>
      <c r="T32" s="31"/>
      <c r="U32" s="34"/>
      <c r="V32" s="5"/>
    </row>
    <row r="33" spans="1:22" ht="15.6" x14ac:dyDescent="0.3">
      <c r="A33" s="24"/>
      <c r="B33" s="29" t="s">
        <v>140</v>
      </c>
      <c r="C33" s="32"/>
      <c r="D33" s="151">
        <f>D37*D31</f>
        <v>816215.02950000006</v>
      </c>
      <c r="E33" s="36"/>
      <c r="F33" s="35">
        <f>F37*F31</f>
        <v>123882.3976</v>
      </c>
      <c r="G33" s="35"/>
      <c r="H33" s="125">
        <f>H31*H37</f>
        <v>182053.26256</v>
      </c>
      <c r="I33" s="35"/>
      <c r="J33" s="35">
        <f>J31*J37</f>
        <v>16000</v>
      </c>
      <c r="K33" s="35"/>
      <c r="L33" s="125">
        <f>L31*L37</f>
        <v>82400</v>
      </c>
      <c r="M33" s="35"/>
      <c r="N33" s="125">
        <f>N31*N37</f>
        <v>87500</v>
      </c>
      <c r="O33" s="35"/>
      <c r="P33" s="125"/>
      <c r="Q33" s="31"/>
      <c r="R33" s="31"/>
      <c r="S33" s="164"/>
      <c r="T33" s="31"/>
      <c r="U33" s="34"/>
      <c r="V33" s="5"/>
    </row>
    <row r="34" spans="1:22" ht="15.6" x14ac:dyDescent="0.3">
      <c r="A34" s="28"/>
      <c r="B34" s="25" t="s">
        <v>283</v>
      </c>
      <c r="C34" s="36"/>
      <c r="D34" s="31">
        <v>567282</v>
      </c>
      <c r="E34" s="32"/>
      <c r="F34" s="31">
        <v>149500</v>
      </c>
      <c r="G34" s="31"/>
      <c r="H34" s="31">
        <v>150716</v>
      </c>
      <c r="I34" s="31"/>
      <c r="J34" s="31">
        <v>16000</v>
      </c>
      <c r="K34" s="31"/>
      <c r="L34" s="31">
        <v>56527</v>
      </c>
      <c r="M34" s="31"/>
      <c r="N34" s="31">
        <v>60025</v>
      </c>
      <c r="O34" s="31"/>
      <c r="P34" s="31"/>
      <c r="Q34" s="35"/>
      <c r="R34" s="35"/>
      <c r="S34" s="37"/>
      <c r="T34" s="154">
        <f>SUM(C34:P34)</f>
        <v>1000050</v>
      </c>
      <c r="U34" s="34"/>
      <c r="V34" s="5"/>
    </row>
    <row r="35" spans="1:22" ht="15.6" x14ac:dyDescent="0.3">
      <c r="A35" s="28"/>
      <c r="B35" s="25" t="s">
        <v>284</v>
      </c>
      <c r="C35" s="126"/>
      <c r="D35" s="31">
        <f>D38*D34</f>
        <v>496792.8434286</v>
      </c>
      <c r="E35" s="32"/>
      <c r="F35" s="31">
        <f>F38*F34</f>
        <v>130923.48880000001</v>
      </c>
      <c r="G35" s="31"/>
      <c r="H35" s="31">
        <f>H38*H34</f>
        <v>131988.39155840001</v>
      </c>
      <c r="I35" s="31"/>
      <c r="J35" s="31">
        <f>+J34</f>
        <v>16000</v>
      </c>
      <c r="K35" s="31"/>
      <c r="L35" s="31">
        <f>+L34</f>
        <v>56527</v>
      </c>
      <c r="M35" s="31"/>
      <c r="N35" s="31">
        <f>+N34</f>
        <v>60025</v>
      </c>
      <c r="O35" s="31"/>
      <c r="P35" s="31"/>
      <c r="Q35" s="31"/>
      <c r="R35" s="31"/>
      <c r="S35" s="164"/>
      <c r="T35" s="154">
        <f>SUM(C35:P35)</f>
        <v>892256.72378700005</v>
      </c>
      <c r="U35" s="34"/>
      <c r="V35" s="5"/>
    </row>
    <row r="36" spans="1:22" ht="15.6" x14ac:dyDescent="0.3">
      <c r="A36" s="28"/>
      <c r="B36" s="29" t="s">
        <v>285</v>
      </c>
      <c r="C36" s="126"/>
      <c r="D36" s="35">
        <f>D37*D34</f>
        <v>470075.22270540003</v>
      </c>
      <c r="E36" s="36"/>
      <c r="F36" s="35">
        <f>F37*F34</f>
        <v>123882.3976</v>
      </c>
      <c r="G36" s="35"/>
      <c r="H36" s="35">
        <f>H37*H34</f>
        <v>124890.0296768</v>
      </c>
      <c r="I36" s="35"/>
      <c r="J36" s="35">
        <f>+J34</f>
        <v>16000</v>
      </c>
      <c r="K36" s="35"/>
      <c r="L36" s="35">
        <f>+L34</f>
        <v>56527</v>
      </c>
      <c r="M36" s="35"/>
      <c r="N36" s="35">
        <f>+N34</f>
        <v>60025</v>
      </c>
      <c r="O36" s="35"/>
      <c r="P36" s="35"/>
      <c r="Q36" s="128"/>
      <c r="R36" s="128"/>
      <c r="S36" s="164"/>
      <c r="T36" s="155">
        <f>SUM(C36:P36)</f>
        <v>851399.6499822</v>
      </c>
      <c r="U36" s="34"/>
      <c r="V36" s="5"/>
    </row>
    <row r="37" spans="1:22" ht="15.6" x14ac:dyDescent="0.3">
      <c r="A37" s="24"/>
      <c r="B37" s="122" t="s">
        <v>136</v>
      </c>
      <c r="C37" s="25"/>
      <c r="D37" s="168">
        <v>0.82864470000000001</v>
      </c>
      <c r="E37" s="136"/>
      <c r="F37" s="168">
        <v>0.82864479999999996</v>
      </c>
      <c r="G37" s="135"/>
      <c r="H37" s="168">
        <v>0.82864479999999996</v>
      </c>
      <c r="I37" s="135"/>
      <c r="J37" s="168">
        <v>1</v>
      </c>
      <c r="K37" s="135"/>
      <c r="L37" s="168">
        <v>1</v>
      </c>
      <c r="M37" s="135"/>
      <c r="N37" s="168">
        <v>1</v>
      </c>
      <c r="O37" s="135"/>
      <c r="P37" s="135"/>
      <c r="Q37" s="30"/>
      <c r="R37" s="30"/>
      <c r="S37" s="163"/>
      <c r="T37" s="163"/>
      <c r="U37" s="25"/>
      <c r="V37" s="5"/>
    </row>
    <row r="38" spans="1:22" ht="15.6" x14ac:dyDescent="0.3">
      <c r="A38" s="24"/>
      <c r="B38" s="122" t="s">
        <v>137</v>
      </c>
      <c r="C38" s="25"/>
      <c r="D38" s="168">
        <v>0.87574229999999997</v>
      </c>
      <c r="E38" s="136"/>
      <c r="F38" s="168">
        <v>0.87574240000000003</v>
      </c>
      <c r="G38" s="135"/>
      <c r="H38" s="168">
        <v>0.87574240000000003</v>
      </c>
      <c r="I38" s="135"/>
      <c r="J38" s="135">
        <v>1</v>
      </c>
      <c r="K38" s="135"/>
      <c r="L38" s="135">
        <v>1</v>
      </c>
      <c r="M38" s="135"/>
      <c r="N38" s="135">
        <v>1</v>
      </c>
      <c r="O38" s="135"/>
      <c r="P38" s="135"/>
      <c r="Q38" s="39"/>
      <c r="R38" s="38"/>
      <c r="S38" s="163"/>
      <c r="T38" s="39"/>
      <c r="U38" s="25"/>
      <c r="V38" s="5"/>
    </row>
    <row r="39" spans="1:22" ht="15.6" x14ac:dyDescent="0.3">
      <c r="A39" s="24"/>
      <c r="B39" s="25" t="s">
        <v>11</v>
      </c>
      <c r="C39" s="25"/>
      <c r="D39" s="30" t="s">
        <v>252</v>
      </c>
      <c r="E39" s="25"/>
      <c r="F39" s="30" t="s">
        <v>231</v>
      </c>
      <c r="G39" s="30"/>
      <c r="H39" s="30" t="s">
        <v>231</v>
      </c>
      <c r="I39" s="30"/>
      <c r="J39" s="30" t="s">
        <v>232</v>
      </c>
      <c r="K39" s="30"/>
      <c r="L39" s="30" t="s">
        <v>232</v>
      </c>
      <c r="M39" s="30"/>
      <c r="N39" s="30" t="s">
        <v>233</v>
      </c>
      <c r="O39" s="30"/>
      <c r="P39" s="30"/>
      <c r="Q39" s="39"/>
      <c r="R39" s="38"/>
      <c r="S39" s="163"/>
      <c r="T39" s="163"/>
      <c r="U39" s="25"/>
      <c r="V39" s="5"/>
    </row>
    <row r="40" spans="1:22" ht="15.6" x14ac:dyDescent="0.3">
      <c r="A40" s="24"/>
      <c r="B40" s="25" t="s">
        <v>12</v>
      </c>
      <c r="C40" s="25"/>
      <c r="D40" s="38">
        <v>5.0174999999999997E-2</v>
      </c>
      <c r="E40" s="25"/>
      <c r="F40" s="38">
        <v>6.4131300000000002E-2</v>
      </c>
      <c r="G40" s="39"/>
      <c r="H40" s="38">
        <v>4.8520000000000001E-2</v>
      </c>
      <c r="I40" s="39"/>
      <c r="J40" s="38">
        <v>6.5331299999999995E-2</v>
      </c>
      <c r="K40" s="39"/>
      <c r="L40" s="38">
        <v>4.972E-2</v>
      </c>
      <c r="M40" s="39"/>
      <c r="N40" s="38">
        <v>5.1819999999999998E-2</v>
      </c>
      <c r="O40" s="39"/>
      <c r="P40" s="38"/>
      <c r="Q40" s="39"/>
      <c r="R40" s="38"/>
      <c r="S40" s="163"/>
      <c r="T40" s="30"/>
      <c r="U40" s="25"/>
      <c r="V40" s="5"/>
    </row>
    <row r="41" spans="1:22" ht="15.6" x14ac:dyDescent="0.3">
      <c r="A41" s="24"/>
      <c r="B41" s="25" t="s">
        <v>13</v>
      </c>
      <c r="C41" s="25"/>
      <c r="D41" s="38">
        <v>5.7424999999999997E-2</v>
      </c>
      <c r="E41" s="25"/>
      <c r="F41" s="38">
        <v>6.13E-2</v>
      </c>
      <c r="G41" s="39"/>
      <c r="H41" s="38">
        <v>4.3290000000000002E-2</v>
      </c>
      <c r="I41" s="39"/>
      <c r="J41" s="38">
        <v>6.25E-2</v>
      </c>
      <c r="K41" s="39"/>
      <c r="L41" s="38">
        <v>4.4490000000000002E-2</v>
      </c>
      <c r="M41" s="39"/>
      <c r="N41" s="38">
        <v>4.6589999999999999E-2</v>
      </c>
      <c r="O41" s="38"/>
      <c r="P41" s="38"/>
      <c r="Q41" s="39"/>
      <c r="R41" s="38"/>
      <c r="S41" s="163"/>
      <c r="T41" s="39" t="s">
        <v>201</v>
      </c>
      <c r="U41" s="25"/>
      <c r="V41" s="5"/>
    </row>
    <row r="42" spans="1:22" ht="15.6" x14ac:dyDescent="0.3">
      <c r="A42" s="24"/>
      <c r="B42" s="25" t="s">
        <v>286</v>
      </c>
      <c r="C42" s="25"/>
      <c r="D42" s="30" t="s">
        <v>256</v>
      </c>
      <c r="E42" s="25"/>
      <c r="F42" s="30" t="s">
        <v>231</v>
      </c>
      <c r="G42" s="30"/>
      <c r="H42" s="30" t="s">
        <v>243</v>
      </c>
      <c r="I42" s="30"/>
      <c r="J42" s="30" t="s">
        <v>232</v>
      </c>
      <c r="K42" s="30"/>
      <c r="L42" s="30" t="s">
        <v>244</v>
      </c>
      <c r="M42" s="30"/>
      <c r="N42" s="30" t="s">
        <v>246</v>
      </c>
      <c r="O42" s="30"/>
      <c r="P42" s="30"/>
      <c r="Q42" s="39"/>
      <c r="R42" s="38"/>
      <c r="S42" s="163"/>
      <c r="T42" s="163"/>
      <c r="U42" s="25"/>
      <c r="V42" s="5"/>
    </row>
    <row r="43" spans="1:22" ht="15.6" x14ac:dyDescent="0.3">
      <c r="A43" s="24"/>
      <c r="B43" s="25" t="s">
        <v>287</v>
      </c>
      <c r="C43" s="110"/>
      <c r="D43" s="38">
        <v>6.3058299999999998E-2</v>
      </c>
      <c r="E43" s="38"/>
      <c r="F43" s="38">
        <f>+F40</f>
        <v>6.4131300000000002E-2</v>
      </c>
      <c r="G43" s="38"/>
      <c r="H43" s="38">
        <v>6.41293E-2</v>
      </c>
      <c r="I43" s="38"/>
      <c r="J43" s="38">
        <f>+J40</f>
        <v>6.5331299999999995E-2</v>
      </c>
      <c r="K43" s="38"/>
      <c r="L43" s="38">
        <v>6.5484299999999995E-2</v>
      </c>
      <c r="M43" s="38"/>
      <c r="N43" s="38">
        <v>6.7836300000000002E-2</v>
      </c>
      <c r="O43" s="39"/>
      <c r="P43" s="38"/>
      <c r="Q43" s="30"/>
      <c r="R43" s="30"/>
      <c r="S43" s="163"/>
      <c r="T43" s="39">
        <f>SUMPRODUCT(D43:N43,D35:N35)/T35</f>
        <v>6.389005884592E-2</v>
      </c>
      <c r="U43" s="25"/>
      <c r="V43" s="5"/>
    </row>
    <row r="44" spans="1:22" ht="15.6" x14ac:dyDescent="0.3">
      <c r="A44" s="24"/>
      <c r="B44" s="25" t="s">
        <v>288</v>
      </c>
      <c r="C44" s="110"/>
      <c r="D44" s="38">
        <v>6.0227000000000003E-2</v>
      </c>
      <c r="E44" s="38"/>
      <c r="F44" s="38">
        <f>+F41</f>
        <v>6.13E-2</v>
      </c>
      <c r="G44" s="38"/>
      <c r="H44" s="38">
        <v>6.1297999999999998E-2</v>
      </c>
      <c r="I44" s="38"/>
      <c r="J44" s="38">
        <f>+J41</f>
        <v>6.25E-2</v>
      </c>
      <c r="K44" s="38"/>
      <c r="L44" s="38">
        <v>6.2653E-2</v>
      </c>
      <c r="M44" s="38"/>
      <c r="N44" s="38">
        <v>6.5004999999999993E-2</v>
      </c>
      <c r="O44" s="39"/>
      <c r="P44" s="38"/>
      <c r="Q44" s="30"/>
      <c r="R44" s="30"/>
      <c r="S44" s="163"/>
      <c r="T44" s="163"/>
      <c r="U44" s="25"/>
      <c r="V44" s="5"/>
    </row>
    <row r="45" spans="1:22" ht="15.6" x14ac:dyDescent="0.3">
      <c r="A45" s="24"/>
      <c r="B45" s="25" t="s">
        <v>14</v>
      </c>
      <c r="C45" s="25"/>
      <c r="D45" s="110">
        <v>40283</v>
      </c>
      <c r="E45" s="110"/>
      <c r="F45" s="110">
        <v>40283</v>
      </c>
      <c r="G45" s="110"/>
      <c r="H45" s="110">
        <v>40283</v>
      </c>
      <c r="I45" s="110"/>
      <c r="J45" s="110">
        <v>40283</v>
      </c>
      <c r="K45" s="110"/>
      <c r="L45" s="110">
        <v>40283</v>
      </c>
      <c r="M45" s="110"/>
      <c r="N45" s="110">
        <v>40283</v>
      </c>
      <c r="O45" s="110"/>
      <c r="P45" s="110"/>
      <c r="Q45" s="30"/>
      <c r="R45" s="30"/>
      <c r="S45" s="163"/>
      <c r="T45" s="163"/>
      <c r="U45" s="25"/>
      <c r="V45" s="5"/>
    </row>
    <row r="46" spans="1:22" ht="15.6" x14ac:dyDescent="0.3">
      <c r="A46" s="24"/>
      <c r="B46" s="25" t="s">
        <v>15</v>
      </c>
      <c r="C46" s="25"/>
      <c r="D46" s="110">
        <v>40648</v>
      </c>
      <c r="E46" s="110"/>
      <c r="F46" s="110">
        <v>40648</v>
      </c>
      <c r="G46" s="110"/>
      <c r="H46" s="110">
        <v>40648</v>
      </c>
      <c r="I46" s="30"/>
      <c r="J46" s="110">
        <v>40648</v>
      </c>
      <c r="K46" s="30"/>
      <c r="L46" s="110">
        <v>40648</v>
      </c>
      <c r="M46" s="30"/>
      <c r="N46" s="110">
        <v>40648</v>
      </c>
      <c r="O46" s="30"/>
      <c r="P46" s="110"/>
      <c r="Q46" s="30"/>
      <c r="R46" s="30"/>
      <c r="S46" s="163"/>
      <c r="T46" s="163"/>
      <c r="U46" s="25"/>
      <c r="V46" s="5"/>
    </row>
    <row r="47" spans="1:22" ht="15.6" x14ac:dyDescent="0.3">
      <c r="A47" s="24"/>
      <c r="B47" s="25" t="s">
        <v>125</v>
      </c>
      <c r="C47" s="25"/>
      <c r="D47" s="160" t="s">
        <v>124</v>
      </c>
      <c r="E47" s="25"/>
      <c r="F47" s="30" t="s">
        <v>232</v>
      </c>
      <c r="G47" s="30"/>
      <c r="H47" s="30" t="s">
        <v>232</v>
      </c>
      <c r="I47" s="30"/>
      <c r="J47" s="30" t="s">
        <v>234</v>
      </c>
      <c r="K47" s="30"/>
      <c r="L47" s="30" t="s">
        <v>234</v>
      </c>
      <c r="M47" s="30"/>
      <c r="N47" s="30" t="s">
        <v>235</v>
      </c>
      <c r="O47" s="30"/>
      <c r="P47" s="30"/>
      <c r="Q47" s="40"/>
      <c r="R47" s="40"/>
      <c r="S47" s="40"/>
      <c r="T47" s="40"/>
      <c r="U47" s="25"/>
      <c r="V47" s="5"/>
    </row>
    <row r="48" spans="1:22" ht="15.6" x14ac:dyDescent="0.3">
      <c r="A48" s="24"/>
      <c r="B48" s="25" t="s">
        <v>289</v>
      </c>
      <c r="C48" s="25"/>
      <c r="D48" s="30" t="s">
        <v>208</v>
      </c>
      <c r="E48" s="25"/>
      <c r="F48" s="30" t="s">
        <v>232</v>
      </c>
      <c r="G48" s="30"/>
      <c r="H48" s="30" t="s">
        <v>232</v>
      </c>
      <c r="I48" s="30"/>
      <c r="J48" s="30" t="s">
        <v>234</v>
      </c>
      <c r="K48" s="30"/>
      <c r="L48" s="30" t="s">
        <v>245</v>
      </c>
      <c r="M48" s="30"/>
      <c r="N48" s="30" t="s">
        <v>247</v>
      </c>
      <c r="O48" s="30"/>
      <c r="P48" s="30"/>
      <c r="Q48" s="25"/>
      <c r="R48" s="25"/>
      <c r="S48" s="25"/>
      <c r="T48" s="39"/>
      <c r="U48" s="25"/>
      <c r="V48" s="5"/>
    </row>
    <row r="49" spans="1:23" ht="15.6" x14ac:dyDescent="0.3">
      <c r="A49" s="24"/>
      <c r="B49" s="25"/>
      <c r="C49" s="25"/>
      <c r="D49" s="30"/>
      <c r="E49" s="25"/>
      <c r="F49" s="30"/>
      <c r="G49" s="30"/>
      <c r="H49" s="30"/>
      <c r="I49" s="30"/>
      <c r="J49" s="30"/>
      <c r="K49" s="30"/>
      <c r="L49" s="30"/>
      <c r="M49" s="30"/>
      <c r="N49" s="30"/>
      <c r="O49" s="30"/>
      <c r="P49" s="30"/>
      <c r="Q49" s="25"/>
      <c r="R49" s="25"/>
      <c r="S49" s="25"/>
      <c r="T49" s="39" t="s">
        <v>201</v>
      </c>
      <c r="U49" s="25"/>
      <c r="V49" s="5"/>
    </row>
    <row r="50" spans="1:23" ht="15.6" x14ac:dyDescent="0.3">
      <c r="A50" s="24"/>
      <c r="B50" s="25" t="s">
        <v>176</v>
      </c>
      <c r="C50" s="25"/>
      <c r="D50" s="30"/>
      <c r="E50" s="25"/>
      <c r="F50" s="30"/>
      <c r="G50" s="30"/>
      <c r="H50" s="30"/>
      <c r="I50" s="30"/>
      <c r="J50" s="30"/>
      <c r="K50" s="30"/>
      <c r="L50" s="30"/>
      <c r="M50" s="30"/>
      <c r="N50" s="30"/>
      <c r="O50" s="30"/>
      <c r="P50" s="30"/>
      <c r="Q50" s="25"/>
      <c r="R50" s="25"/>
      <c r="S50" s="25"/>
      <c r="T50" s="39">
        <f>SUM(J34:P34)/SUM(D34:H34)</f>
        <v>0.15279804679664968</v>
      </c>
      <c r="U50" s="25"/>
      <c r="V50" s="5"/>
    </row>
    <row r="51" spans="1:23" ht="15.6" x14ac:dyDescent="0.3">
      <c r="A51" s="24"/>
      <c r="B51" s="25" t="s">
        <v>177</v>
      </c>
      <c r="C51" s="25"/>
      <c r="D51" s="25"/>
      <c r="E51" s="25"/>
      <c r="F51" s="41"/>
      <c r="G51" s="25"/>
      <c r="H51" s="25"/>
      <c r="I51" s="25"/>
      <c r="J51" s="25"/>
      <c r="K51" s="25"/>
      <c r="L51" s="25"/>
      <c r="M51" s="25"/>
      <c r="N51" s="25"/>
      <c r="O51" s="25"/>
      <c r="P51" s="25"/>
      <c r="Q51" s="25"/>
      <c r="R51" s="25"/>
      <c r="S51" s="25"/>
      <c r="T51" s="39">
        <f>SUM(J36:P36)/SUM(D36:H36)</f>
        <v>0.18439512183601384</v>
      </c>
      <c r="U51" s="25"/>
      <c r="V51" s="5"/>
    </row>
    <row r="52" spans="1:23" ht="15.6" x14ac:dyDescent="0.3">
      <c r="A52" s="24"/>
      <c r="B52" s="25" t="s">
        <v>178</v>
      </c>
      <c r="C52" s="25"/>
      <c r="D52" s="25"/>
      <c r="E52" s="25"/>
      <c r="F52" s="25"/>
      <c r="G52" s="25"/>
      <c r="H52" s="25"/>
      <c r="I52" s="25"/>
      <c r="J52" s="25"/>
      <c r="K52" s="25"/>
      <c r="L52" s="25"/>
      <c r="M52" s="25"/>
      <c r="N52" s="25"/>
      <c r="O52" s="25"/>
      <c r="P52" s="25"/>
      <c r="Q52" s="25"/>
      <c r="R52" s="30" t="s">
        <v>109</v>
      </c>
      <c r="S52" s="30" t="s">
        <v>115</v>
      </c>
      <c r="T52" s="31">
        <f>+T34/2-SUM(J34:P34)</f>
        <v>367473</v>
      </c>
      <c r="U52" s="25"/>
      <c r="V52" s="5"/>
    </row>
    <row r="53" spans="1:23" ht="15.6" x14ac:dyDescent="0.3">
      <c r="A53" s="24"/>
      <c r="B53" s="25"/>
      <c r="C53" s="25"/>
      <c r="D53" s="25"/>
      <c r="E53" s="25"/>
      <c r="F53" s="25"/>
      <c r="G53" s="25"/>
      <c r="H53" s="25"/>
      <c r="I53" s="25"/>
      <c r="J53" s="25"/>
      <c r="K53" s="25"/>
      <c r="L53" s="25"/>
      <c r="M53" s="25"/>
      <c r="N53" s="25"/>
      <c r="O53" s="25"/>
      <c r="P53" s="25"/>
      <c r="Q53" s="25"/>
      <c r="R53" s="25"/>
      <c r="S53" s="25"/>
      <c r="T53" s="42"/>
      <c r="U53" s="25"/>
      <c r="V53" s="5"/>
    </row>
    <row r="54" spans="1:23" ht="15.6" x14ac:dyDescent="0.3">
      <c r="A54" s="24"/>
      <c r="B54" s="25" t="s">
        <v>211</v>
      </c>
      <c r="C54" s="25"/>
      <c r="D54" s="25"/>
      <c r="E54" s="25"/>
      <c r="F54" s="25"/>
      <c r="G54" s="25"/>
      <c r="H54" s="25"/>
      <c r="I54" s="25"/>
      <c r="J54" s="25"/>
      <c r="K54" s="25"/>
      <c r="L54" s="25"/>
      <c r="M54" s="25"/>
      <c r="N54" s="25"/>
      <c r="O54" s="25"/>
      <c r="P54" s="25"/>
      <c r="Q54" s="25"/>
      <c r="R54" s="25"/>
      <c r="S54" s="25"/>
      <c r="T54" s="156" t="s">
        <v>212</v>
      </c>
      <c r="U54" s="25"/>
      <c r="V54" s="5"/>
    </row>
    <row r="55" spans="1:23" ht="15.6" x14ac:dyDescent="0.3">
      <c r="A55" s="24"/>
      <c r="B55" s="25" t="s">
        <v>253</v>
      </c>
      <c r="C55" s="25"/>
      <c r="D55" s="25"/>
      <c r="E55" s="25"/>
      <c r="F55" s="25"/>
      <c r="G55" s="25"/>
      <c r="H55" s="25"/>
      <c r="I55" s="25"/>
      <c r="J55" s="25"/>
      <c r="K55" s="25"/>
      <c r="L55" s="25"/>
      <c r="M55" s="25"/>
      <c r="N55" s="25"/>
      <c r="O55" s="25"/>
      <c r="P55" s="25"/>
      <c r="Q55" s="25"/>
      <c r="R55" s="30"/>
      <c r="S55" s="30"/>
      <c r="T55" s="157" t="s">
        <v>117</v>
      </c>
      <c r="U55" s="25"/>
      <c r="V55" s="5"/>
    </row>
    <row r="56" spans="1:23" ht="15.6" x14ac:dyDescent="0.3">
      <c r="A56" s="24"/>
      <c r="B56" s="29" t="s">
        <v>210</v>
      </c>
      <c r="C56" s="29"/>
      <c r="D56" s="29"/>
      <c r="E56" s="29"/>
      <c r="F56" s="29"/>
      <c r="G56" s="29"/>
      <c r="H56" s="29"/>
      <c r="I56" s="29"/>
      <c r="J56" s="29"/>
      <c r="K56" s="29"/>
      <c r="L56" s="29"/>
      <c r="M56" s="29"/>
      <c r="N56" s="29"/>
      <c r="O56" s="29"/>
      <c r="P56" s="29"/>
      <c r="Q56" s="29"/>
      <c r="R56" s="43"/>
      <c r="S56" s="43"/>
      <c r="T56" s="44">
        <v>39462</v>
      </c>
      <c r="U56" s="25"/>
      <c r="V56" s="5"/>
    </row>
    <row r="57" spans="1:23" ht="15.6" x14ac:dyDescent="0.3">
      <c r="A57" s="24"/>
      <c r="B57" s="25" t="s">
        <v>127</v>
      </c>
      <c r="C57" s="25"/>
      <c r="D57" s="25"/>
      <c r="E57" s="25"/>
      <c r="F57" s="25"/>
      <c r="G57" s="25"/>
      <c r="H57" s="58"/>
      <c r="I57" s="58"/>
      <c r="J57" s="58"/>
      <c r="K57" s="58"/>
      <c r="L57" s="58"/>
      <c r="M57" s="58"/>
      <c r="N57" s="58"/>
      <c r="O57" s="58"/>
      <c r="P57" s="25">
        <f>+T57-R57+1</f>
        <v>91</v>
      </c>
      <c r="Q57" s="58"/>
      <c r="R57" s="45">
        <v>39279</v>
      </c>
      <c r="S57" s="46"/>
      <c r="T57" s="45">
        <v>39369</v>
      </c>
      <c r="U57" s="25"/>
      <c r="V57" s="5"/>
    </row>
    <row r="58" spans="1:23" ht="15.6" x14ac:dyDescent="0.3">
      <c r="A58" s="24"/>
      <c r="B58" s="25" t="s">
        <v>128</v>
      </c>
      <c r="C58" s="25"/>
      <c r="D58" s="25"/>
      <c r="E58" s="25"/>
      <c r="F58" s="25"/>
      <c r="G58" s="25"/>
      <c r="H58" s="25"/>
      <c r="I58" s="25"/>
      <c r="J58" s="25"/>
      <c r="K58" s="25"/>
      <c r="L58" s="25"/>
      <c r="M58" s="25"/>
      <c r="N58" s="25"/>
      <c r="O58" s="25"/>
      <c r="P58" s="25">
        <f>+T58-R58+1</f>
        <v>92</v>
      </c>
      <c r="Q58" s="25"/>
      <c r="R58" s="45">
        <v>39370</v>
      </c>
      <c r="S58" s="46"/>
      <c r="T58" s="45">
        <v>39461</v>
      </c>
      <c r="U58" s="25"/>
      <c r="V58" s="5"/>
    </row>
    <row r="59" spans="1:23" ht="15.6" x14ac:dyDescent="0.3">
      <c r="A59" s="24"/>
      <c r="B59" s="25" t="s">
        <v>209</v>
      </c>
      <c r="C59" s="25"/>
      <c r="D59" s="25"/>
      <c r="E59" s="25"/>
      <c r="F59" s="25"/>
      <c r="G59" s="25"/>
      <c r="H59" s="25"/>
      <c r="I59" s="25"/>
      <c r="J59" s="25"/>
      <c r="K59" s="25"/>
      <c r="L59" s="25"/>
      <c r="M59" s="25"/>
      <c r="N59" s="25"/>
      <c r="O59" s="25"/>
      <c r="P59" s="25"/>
      <c r="Q59" s="25"/>
      <c r="R59" s="45"/>
      <c r="S59" s="46"/>
      <c r="T59" s="45" t="s">
        <v>126</v>
      </c>
      <c r="U59" s="25"/>
      <c r="V59" s="5"/>
    </row>
    <row r="60" spans="1:23" ht="15.6" x14ac:dyDescent="0.3">
      <c r="A60" s="24"/>
      <c r="B60" s="25" t="s">
        <v>249</v>
      </c>
      <c r="C60" s="25"/>
      <c r="D60" s="25"/>
      <c r="E60" s="25"/>
      <c r="F60" s="25"/>
      <c r="G60" s="25"/>
      <c r="H60" s="25"/>
      <c r="I60" s="25"/>
      <c r="J60" s="25"/>
      <c r="K60" s="25"/>
      <c r="L60" s="25"/>
      <c r="M60" s="25"/>
      <c r="N60" s="25"/>
      <c r="O60" s="25"/>
      <c r="P60" s="25"/>
      <c r="Q60" s="25"/>
      <c r="R60" s="45"/>
      <c r="S60" s="46"/>
      <c r="T60" s="45" t="s">
        <v>160</v>
      </c>
      <c r="U60" s="25"/>
      <c r="V60" s="5"/>
      <c r="W60" s="134"/>
    </row>
    <row r="61" spans="1:23" ht="15.6" x14ac:dyDescent="0.3">
      <c r="A61" s="24"/>
      <c r="B61" s="25" t="s">
        <v>16</v>
      </c>
      <c r="C61" s="25"/>
      <c r="D61" s="25"/>
      <c r="E61" s="25"/>
      <c r="F61" s="25"/>
      <c r="G61" s="25"/>
      <c r="H61" s="25"/>
      <c r="I61" s="25"/>
      <c r="J61" s="25"/>
      <c r="K61" s="25"/>
      <c r="L61" s="25"/>
      <c r="M61" s="25"/>
      <c r="N61" s="25"/>
      <c r="O61" s="25"/>
      <c r="P61" s="25"/>
      <c r="Q61" s="25"/>
      <c r="R61" s="45"/>
      <c r="S61" s="46"/>
      <c r="T61" s="45">
        <v>39449</v>
      </c>
      <c r="U61" s="25"/>
      <c r="V61" s="5"/>
    </row>
    <row r="62" spans="1:23" ht="15.6" x14ac:dyDescent="0.3">
      <c r="A62" s="24"/>
      <c r="B62" s="25"/>
      <c r="C62" s="25"/>
      <c r="D62" s="25"/>
      <c r="E62" s="25"/>
      <c r="F62" s="25"/>
      <c r="G62" s="25"/>
      <c r="H62" s="25"/>
      <c r="I62" s="25"/>
      <c r="J62" s="25"/>
      <c r="K62" s="25"/>
      <c r="L62" s="25"/>
      <c r="M62" s="25"/>
      <c r="N62" s="25"/>
      <c r="O62" s="25"/>
      <c r="P62" s="25"/>
      <c r="Q62" s="25"/>
      <c r="R62" s="45"/>
      <c r="S62" s="46"/>
      <c r="T62" s="45"/>
      <c r="U62" s="25"/>
      <c r="V62" s="5"/>
    </row>
    <row r="63" spans="1:23" ht="15.6" x14ac:dyDescent="0.3">
      <c r="A63" s="6"/>
      <c r="B63" s="8"/>
      <c r="C63" s="8"/>
      <c r="D63" s="8"/>
      <c r="E63" s="8"/>
      <c r="F63" s="8"/>
      <c r="G63" s="8"/>
      <c r="H63" s="8"/>
      <c r="I63" s="8"/>
      <c r="J63" s="8"/>
      <c r="K63" s="8"/>
      <c r="L63" s="8"/>
      <c r="M63" s="8"/>
      <c r="N63" s="8"/>
      <c r="O63" s="8"/>
      <c r="P63" s="8"/>
      <c r="Q63" s="8"/>
      <c r="R63" s="47"/>
      <c r="S63" s="48"/>
      <c r="T63" s="47"/>
      <c r="U63" s="8"/>
      <c r="V63" s="5"/>
    </row>
    <row r="64" spans="1:23" ht="18" thickBot="1" x14ac:dyDescent="0.35">
      <c r="A64" s="101"/>
      <c r="B64" s="102" t="s">
        <v>272</v>
      </c>
      <c r="C64" s="103"/>
      <c r="D64" s="103"/>
      <c r="E64" s="103"/>
      <c r="F64" s="103"/>
      <c r="G64" s="103"/>
      <c r="H64" s="103"/>
      <c r="I64" s="103"/>
      <c r="J64" s="103"/>
      <c r="K64" s="103"/>
      <c r="L64" s="103"/>
      <c r="M64" s="103"/>
      <c r="N64" s="103"/>
      <c r="O64" s="103"/>
      <c r="P64" s="103"/>
      <c r="Q64" s="103"/>
      <c r="R64" s="103"/>
      <c r="S64" s="103"/>
      <c r="T64" s="104"/>
      <c r="U64" s="105"/>
      <c r="V64" s="5"/>
    </row>
    <row r="65" spans="1:22" ht="15.6" x14ac:dyDescent="0.3">
      <c r="A65" s="2"/>
      <c r="B65" s="4"/>
      <c r="C65" s="4"/>
      <c r="D65" s="4"/>
      <c r="E65" s="4"/>
      <c r="F65" s="4"/>
      <c r="G65" s="4"/>
      <c r="H65" s="4"/>
      <c r="I65" s="4"/>
      <c r="J65" s="4"/>
      <c r="K65" s="4"/>
      <c r="L65" s="4"/>
      <c r="M65" s="4"/>
      <c r="N65" s="4"/>
      <c r="O65" s="4"/>
      <c r="P65" s="4"/>
      <c r="Q65" s="4"/>
      <c r="R65" s="4"/>
      <c r="S65" s="4"/>
      <c r="T65" s="50"/>
      <c r="U65" s="4"/>
      <c r="V65" s="5"/>
    </row>
    <row r="66" spans="1:22" ht="15.6" x14ac:dyDescent="0.3">
      <c r="A66" s="6"/>
      <c r="B66" s="51" t="s">
        <v>17</v>
      </c>
      <c r="C66" s="8"/>
      <c r="D66" s="8"/>
      <c r="E66" s="8"/>
      <c r="F66" s="8"/>
      <c r="G66" s="8"/>
      <c r="H66" s="8"/>
      <c r="I66" s="8"/>
      <c r="J66" s="8"/>
      <c r="K66" s="8"/>
      <c r="L66" s="8"/>
      <c r="M66" s="8"/>
      <c r="N66" s="8"/>
      <c r="O66" s="8"/>
      <c r="P66" s="8"/>
      <c r="Q66" s="8"/>
      <c r="R66" s="8"/>
      <c r="S66" s="8"/>
      <c r="T66" s="52"/>
      <c r="U66" s="8"/>
      <c r="V66" s="5"/>
    </row>
    <row r="67" spans="1:22" ht="15.6" x14ac:dyDescent="0.3">
      <c r="A67" s="6"/>
      <c r="B67" s="13"/>
      <c r="C67" s="8"/>
      <c r="D67" s="8"/>
      <c r="E67" s="8"/>
      <c r="F67" s="8"/>
      <c r="G67" s="8"/>
      <c r="H67" s="8"/>
      <c r="I67" s="8"/>
      <c r="J67" s="8"/>
      <c r="K67" s="8"/>
      <c r="L67" s="8"/>
      <c r="M67" s="8"/>
      <c r="N67" s="8"/>
      <c r="O67" s="8"/>
      <c r="P67" s="8"/>
      <c r="Q67" s="8"/>
      <c r="R67" s="8"/>
      <c r="S67" s="8"/>
      <c r="T67" s="52"/>
      <c r="U67" s="8"/>
      <c r="V67" s="5"/>
    </row>
    <row r="68" spans="1:22" ht="46.8" x14ac:dyDescent="0.3">
      <c r="A68" s="6"/>
      <c r="B68" s="114" t="s">
        <v>18</v>
      </c>
      <c r="C68" s="115"/>
      <c r="D68" s="115"/>
      <c r="E68" s="115"/>
      <c r="F68" s="115"/>
      <c r="G68" s="115"/>
      <c r="H68" s="115"/>
      <c r="I68" s="115"/>
      <c r="J68" s="115" t="s">
        <v>97</v>
      </c>
      <c r="K68" s="115"/>
      <c r="L68" s="115" t="s">
        <v>99</v>
      </c>
      <c r="M68" s="115"/>
      <c r="N68" s="115" t="s">
        <v>101</v>
      </c>
      <c r="O68" s="115"/>
      <c r="P68" s="115" t="s">
        <v>103</v>
      </c>
      <c r="Q68" s="115"/>
      <c r="R68" s="115" t="s">
        <v>110</v>
      </c>
      <c r="S68" s="115"/>
      <c r="T68" s="116" t="s">
        <v>118</v>
      </c>
      <c r="U68" s="117"/>
      <c r="V68" s="5"/>
    </row>
    <row r="69" spans="1:22" ht="15.6" x14ac:dyDescent="0.3">
      <c r="A69" s="24"/>
      <c r="B69" s="25" t="s">
        <v>19</v>
      </c>
      <c r="C69" s="34"/>
      <c r="D69" s="34"/>
      <c r="E69" s="34"/>
      <c r="F69" s="34"/>
      <c r="G69" s="34"/>
      <c r="H69" s="34"/>
      <c r="I69" s="34"/>
      <c r="J69" s="34">
        <v>1000039</v>
      </c>
      <c r="K69" s="34"/>
      <c r="L69" s="53">
        <v>892257</v>
      </c>
      <c r="M69" s="34"/>
      <c r="N69" s="34">
        <f>40857+1379+571</f>
        <v>42807</v>
      </c>
      <c r="O69" s="34"/>
      <c r="P69" s="34">
        <f>1379+571</f>
        <v>1950</v>
      </c>
      <c r="Q69" s="34"/>
      <c r="R69" s="34">
        <v>0</v>
      </c>
      <c r="S69" s="34"/>
      <c r="T69" s="53">
        <f>+L69-N69+P69-R69</f>
        <v>851400</v>
      </c>
      <c r="U69" s="25"/>
      <c r="V69" s="5"/>
    </row>
    <row r="70" spans="1:22" ht="15.6" x14ac:dyDescent="0.3">
      <c r="A70" s="24"/>
      <c r="B70" s="25" t="s">
        <v>20</v>
      </c>
      <c r="C70" s="34"/>
      <c r="D70" s="34"/>
      <c r="E70" s="34"/>
      <c r="F70" s="34"/>
      <c r="G70" s="34"/>
      <c r="H70" s="34"/>
      <c r="I70" s="34"/>
      <c r="J70" s="34">
        <v>10</v>
      </c>
      <c r="K70" s="34"/>
      <c r="L70" s="53">
        <v>0</v>
      </c>
      <c r="M70" s="34"/>
      <c r="N70" s="34">
        <v>0</v>
      </c>
      <c r="O70" s="34"/>
      <c r="P70" s="34">
        <v>0</v>
      </c>
      <c r="Q70" s="34"/>
      <c r="R70" s="34">
        <v>0</v>
      </c>
      <c r="S70" s="34"/>
      <c r="T70" s="53">
        <v>0</v>
      </c>
      <c r="U70" s="25"/>
      <c r="V70" s="5"/>
    </row>
    <row r="71" spans="1:22" ht="15.6" x14ac:dyDescent="0.3">
      <c r="A71" s="24"/>
      <c r="B71" s="25"/>
      <c r="C71" s="34"/>
      <c r="D71" s="34"/>
      <c r="E71" s="34"/>
      <c r="F71" s="34"/>
      <c r="G71" s="34"/>
      <c r="H71" s="34"/>
      <c r="I71" s="34"/>
      <c r="J71" s="34"/>
      <c r="K71" s="34"/>
      <c r="L71" s="53"/>
      <c r="M71" s="34"/>
      <c r="N71" s="34"/>
      <c r="O71" s="34"/>
      <c r="P71" s="34"/>
      <c r="Q71" s="34"/>
      <c r="R71" s="34"/>
      <c r="S71" s="34"/>
      <c r="T71" s="53"/>
      <c r="U71" s="25"/>
      <c r="V71" s="5"/>
    </row>
    <row r="72" spans="1:22" ht="15.6" x14ac:dyDescent="0.3">
      <c r="A72" s="24"/>
      <c r="B72" s="25" t="s">
        <v>21</v>
      </c>
      <c r="C72" s="34"/>
      <c r="D72" s="34"/>
      <c r="E72" s="34"/>
      <c r="F72" s="34"/>
      <c r="G72" s="34"/>
      <c r="H72" s="34"/>
      <c r="I72" s="34"/>
      <c r="J72" s="34">
        <f>SUM(J69:J71)</f>
        <v>1000049</v>
      </c>
      <c r="K72" s="34"/>
      <c r="L72" s="54">
        <f>L69+L70</f>
        <v>892257</v>
      </c>
      <c r="M72" s="34"/>
      <c r="N72" s="34">
        <f>SUM(N69:N71)</f>
        <v>42807</v>
      </c>
      <c r="O72" s="34"/>
      <c r="P72" s="34">
        <f>SUM(P69:P71)</f>
        <v>1950</v>
      </c>
      <c r="Q72" s="34"/>
      <c r="R72" s="34">
        <f>SUM(R69:R71)</f>
        <v>0</v>
      </c>
      <c r="S72" s="34"/>
      <c r="T72" s="54">
        <f>SUM(T69:T71)</f>
        <v>851400</v>
      </c>
      <c r="U72" s="25"/>
      <c r="V72" s="5"/>
    </row>
    <row r="73" spans="1:22" ht="15.6" x14ac:dyDescent="0.3">
      <c r="A73" s="24"/>
      <c r="B73" s="25"/>
      <c r="C73" s="34"/>
      <c r="D73" s="34"/>
      <c r="E73" s="34"/>
      <c r="F73" s="34"/>
      <c r="G73" s="34"/>
      <c r="H73" s="34"/>
      <c r="I73" s="34"/>
      <c r="J73" s="34"/>
      <c r="K73" s="34"/>
      <c r="L73" s="34"/>
      <c r="M73" s="34"/>
      <c r="N73" s="34"/>
      <c r="O73" s="34"/>
      <c r="P73" s="34"/>
      <c r="Q73" s="34"/>
      <c r="R73" s="34"/>
      <c r="S73" s="34"/>
      <c r="T73" s="54"/>
      <c r="U73" s="25"/>
      <c r="V73" s="5"/>
    </row>
    <row r="74" spans="1:22" ht="15.6" x14ac:dyDescent="0.3">
      <c r="A74" s="6"/>
      <c r="B74" s="111" t="s">
        <v>22</v>
      </c>
      <c r="C74" s="55"/>
      <c r="D74" s="55"/>
      <c r="E74" s="55"/>
      <c r="F74" s="55"/>
      <c r="G74" s="55"/>
      <c r="H74" s="55"/>
      <c r="I74" s="55"/>
      <c r="J74" s="55"/>
      <c r="K74" s="55"/>
      <c r="L74" s="55"/>
      <c r="M74" s="55"/>
      <c r="N74" s="55"/>
      <c r="O74" s="55"/>
      <c r="P74" s="55"/>
      <c r="Q74" s="55"/>
      <c r="R74" s="55"/>
      <c r="S74" s="55"/>
      <c r="T74" s="56"/>
      <c r="U74" s="8"/>
      <c r="V74" s="5"/>
    </row>
    <row r="75" spans="1:22" ht="15.6" x14ac:dyDescent="0.3">
      <c r="A75" s="6"/>
      <c r="B75" s="8"/>
      <c r="C75" s="55"/>
      <c r="D75" s="55"/>
      <c r="E75" s="55"/>
      <c r="F75" s="55"/>
      <c r="G75" s="55"/>
      <c r="H75" s="55"/>
      <c r="I75" s="55"/>
      <c r="J75" s="55"/>
      <c r="K75" s="55"/>
      <c r="L75" s="55"/>
      <c r="M75" s="55"/>
      <c r="N75" s="55"/>
      <c r="O75" s="55"/>
      <c r="P75" s="55"/>
      <c r="Q75" s="55"/>
      <c r="R75" s="55"/>
      <c r="S75" s="55"/>
      <c r="T75" s="56"/>
      <c r="U75" s="8"/>
      <c r="V75" s="5"/>
    </row>
    <row r="76" spans="1:22" ht="15.6" x14ac:dyDescent="0.3">
      <c r="A76" s="24"/>
      <c r="B76" s="25" t="s">
        <v>19</v>
      </c>
      <c r="C76" s="34"/>
      <c r="D76" s="34"/>
      <c r="E76" s="34"/>
      <c r="F76" s="34"/>
      <c r="G76" s="34"/>
      <c r="H76" s="34"/>
      <c r="I76" s="34"/>
      <c r="J76" s="34"/>
      <c r="K76" s="34"/>
      <c r="L76" s="34"/>
      <c r="M76" s="34"/>
      <c r="N76" s="34"/>
      <c r="O76" s="34"/>
      <c r="P76" s="34"/>
      <c r="Q76" s="34"/>
      <c r="R76" s="34"/>
      <c r="S76" s="34"/>
      <c r="T76" s="54"/>
      <c r="U76" s="25"/>
      <c r="V76" s="5"/>
    </row>
    <row r="77" spans="1:22" ht="15.6" x14ac:dyDescent="0.3">
      <c r="A77" s="24"/>
      <c r="B77" s="25" t="s">
        <v>20</v>
      </c>
      <c r="C77" s="34"/>
      <c r="D77" s="34"/>
      <c r="E77" s="34"/>
      <c r="F77" s="34"/>
      <c r="G77" s="34"/>
      <c r="H77" s="34"/>
      <c r="I77" s="34"/>
      <c r="J77" s="34"/>
      <c r="K77" s="34"/>
      <c r="L77" s="34"/>
      <c r="M77" s="34"/>
      <c r="N77" s="34"/>
      <c r="O77" s="34"/>
      <c r="P77" s="34"/>
      <c r="Q77" s="34"/>
      <c r="R77" s="34"/>
      <c r="S77" s="34"/>
      <c r="T77" s="54"/>
      <c r="U77" s="25"/>
      <c r="V77" s="5"/>
    </row>
    <row r="78" spans="1:22" ht="15.6" x14ac:dyDescent="0.3">
      <c r="A78" s="24"/>
      <c r="B78" s="25"/>
      <c r="C78" s="34"/>
      <c r="D78" s="34"/>
      <c r="E78" s="34"/>
      <c r="F78" s="34"/>
      <c r="G78" s="34"/>
      <c r="H78" s="34"/>
      <c r="I78" s="34"/>
      <c r="J78" s="34"/>
      <c r="K78" s="34"/>
      <c r="L78" s="34"/>
      <c r="M78" s="34"/>
      <c r="N78" s="34"/>
      <c r="O78" s="34"/>
      <c r="P78" s="34"/>
      <c r="Q78" s="34"/>
      <c r="R78" s="34"/>
      <c r="S78" s="34"/>
      <c r="T78" s="54"/>
      <c r="U78" s="25"/>
      <c r="V78" s="5"/>
    </row>
    <row r="79" spans="1:22" ht="15.6" x14ac:dyDescent="0.3">
      <c r="A79" s="24"/>
      <c r="B79" s="25" t="s">
        <v>21</v>
      </c>
      <c r="C79" s="34"/>
      <c r="D79" s="34"/>
      <c r="E79" s="34"/>
      <c r="F79" s="34"/>
      <c r="G79" s="34"/>
      <c r="H79" s="34"/>
      <c r="I79" s="34"/>
      <c r="J79" s="34"/>
      <c r="K79" s="34"/>
      <c r="L79" s="34"/>
      <c r="M79" s="34"/>
      <c r="N79" s="34"/>
      <c r="O79" s="34"/>
      <c r="P79" s="34"/>
      <c r="Q79" s="34"/>
      <c r="R79" s="34"/>
      <c r="S79" s="34"/>
      <c r="T79" s="34"/>
      <c r="U79" s="25"/>
      <c r="V79" s="5"/>
    </row>
    <row r="80" spans="1:22" ht="15.6" x14ac:dyDescent="0.3">
      <c r="A80" s="24"/>
      <c r="B80" s="25"/>
      <c r="C80" s="34"/>
      <c r="D80" s="34"/>
      <c r="E80" s="34"/>
      <c r="F80" s="34"/>
      <c r="G80" s="34"/>
      <c r="H80" s="34"/>
      <c r="I80" s="34"/>
      <c r="J80" s="34"/>
      <c r="K80" s="34"/>
      <c r="L80" s="34"/>
      <c r="M80" s="34"/>
      <c r="N80" s="34"/>
      <c r="O80" s="34"/>
      <c r="P80" s="34"/>
      <c r="Q80" s="34"/>
      <c r="R80" s="34"/>
      <c r="S80" s="34"/>
      <c r="T80" s="34"/>
      <c r="U80" s="25"/>
      <c r="V80" s="5"/>
    </row>
    <row r="81" spans="1:22" ht="15.6" x14ac:dyDescent="0.3">
      <c r="A81" s="24"/>
      <c r="B81" s="25" t="s">
        <v>23</v>
      </c>
      <c r="C81" s="34"/>
      <c r="D81" s="34"/>
      <c r="E81" s="34"/>
      <c r="F81" s="34"/>
      <c r="G81" s="34"/>
      <c r="H81" s="34"/>
      <c r="I81" s="34"/>
      <c r="J81" s="34">
        <v>0</v>
      </c>
      <c r="K81" s="34"/>
      <c r="L81" s="34">
        <v>0</v>
      </c>
      <c r="M81" s="34"/>
      <c r="N81" s="34"/>
      <c r="O81" s="34"/>
      <c r="P81" s="34"/>
      <c r="Q81" s="34"/>
      <c r="R81" s="34"/>
      <c r="S81" s="34"/>
      <c r="T81" s="53">
        <v>0</v>
      </c>
      <c r="U81" s="25"/>
      <c r="V81" s="5"/>
    </row>
    <row r="82" spans="1:22" ht="15.6" x14ac:dyDescent="0.3">
      <c r="A82" s="24"/>
      <c r="B82" s="25" t="s">
        <v>123</v>
      </c>
      <c r="C82" s="34"/>
      <c r="D82" s="34"/>
      <c r="E82" s="34"/>
      <c r="F82" s="34"/>
      <c r="G82" s="34"/>
      <c r="H82" s="34"/>
      <c r="I82" s="34"/>
      <c r="J82" s="34">
        <v>0</v>
      </c>
      <c r="K82" s="34"/>
      <c r="L82" s="34">
        <v>0</v>
      </c>
      <c r="M82" s="34"/>
      <c r="N82" s="34"/>
      <c r="O82" s="34"/>
      <c r="P82" s="34"/>
      <c r="Q82" s="34"/>
      <c r="R82" s="34"/>
      <c r="S82" s="34"/>
      <c r="T82" s="54">
        <f>SUM(J82:P82)</f>
        <v>0</v>
      </c>
      <c r="U82" s="25"/>
      <c r="V82" s="5"/>
    </row>
    <row r="83" spans="1:22" ht="15.6" x14ac:dyDescent="0.3">
      <c r="A83" s="24"/>
      <c r="B83" s="25" t="s">
        <v>152</v>
      </c>
      <c r="C83" s="34"/>
      <c r="D83" s="34"/>
      <c r="E83" s="34"/>
      <c r="F83" s="34"/>
      <c r="G83" s="34"/>
      <c r="H83" s="34"/>
      <c r="I83" s="34"/>
      <c r="J83" s="34">
        <v>1</v>
      </c>
      <c r="K83" s="34"/>
      <c r="L83" s="34">
        <v>0</v>
      </c>
      <c r="M83" s="34"/>
      <c r="N83" s="34">
        <v>0</v>
      </c>
      <c r="O83" s="34"/>
      <c r="P83" s="34"/>
      <c r="Q83" s="34"/>
      <c r="R83" s="34"/>
      <c r="S83" s="34"/>
      <c r="T83" s="54">
        <f>+L83+N83</f>
        <v>0</v>
      </c>
      <c r="U83" s="25"/>
      <c r="V83" s="5"/>
    </row>
    <row r="84" spans="1:22" ht="15.6" x14ac:dyDescent="0.3">
      <c r="A84" s="24"/>
      <c r="B84" s="25" t="s">
        <v>25</v>
      </c>
      <c r="C84" s="34"/>
      <c r="D84" s="34"/>
      <c r="E84" s="34"/>
      <c r="F84" s="34"/>
      <c r="G84" s="34"/>
      <c r="H84" s="34"/>
      <c r="I84" s="34"/>
      <c r="J84" s="34">
        <v>0</v>
      </c>
      <c r="K84" s="34"/>
      <c r="L84" s="34">
        <v>0</v>
      </c>
      <c r="M84" s="34"/>
      <c r="N84" s="34"/>
      <c r="O84" s="34"/>
      <c r="P84" s="34"/>
      <c r="Q84" s="34"/>
      <c r="R84" s="34"/>
      <c r="S84" s="34"/>
      <c r="T84" s="54">
        <v>0</v>
      </c>
      <c r="U84" s="25"/>
      <c r="V84" s="5"/>
    </row>
    <row r="85" spans="1:22" ht="15.6" x14ac:dyDescent="0.3">
      <c r="A85" s="24"/>
      <c r="B85" s="25" t="s">
        <v>26</v>
      </c>
      <c r="C85" s="34"/>
      <c r="D85" s="34"/>
      <c r="E85" s="34"/>
      <c r="F85" s="54"/>
      <c r="G85" s="34"/>
      <c r="H85" s="54"/>
      <c r="I85" s="54"/>
      <c r="J85" s="54">
        <f>SUM(J72:J84)</f>
        <v>1000050</v>
      </c>
      <c r="K85" s="34"/>
      <c r="L85" s="54">
        <f>SUM(L72:L84)</f>
        <v>892257</v>
      </c>
      <c r="M85" s="34"/>
      <c r="N85" s="34"/>
      <c r="O85" s="34"/>
      <c r="P85" s="34"/>
      <c r="Q85" s="34"/>
      <c r="R85" s="54"/>
      <c r="S85" s="34"/>
      <c r="T85" s="54">
        <f>SUM(T72:T84)</f>
        <v>851400</v>
      </c>
      <c r="U85" s="25"/>
      <c r="V85" s="5"/>
    </row>
    <row r="86" spans="1:22" ht="15.6" x14ac:dyDescent="0.3">
      <c r="A86" s="24"/>
      <c r="B86" s="25"/>
      <c r="C86" s="34"/>
      <c r="D86" s="34"/>
      <c r="E86" s="34"/>
      <c r="F86" s="34"/>
      <c r="G86" s="34"/>
      <c r="H86" s="34"/>
      <c r="I86" s="34"/>
      <c r="J86" s="34"/>
      <c r="K86" s="34"/>
      <c r="L86" s="34"/>
      <c r="M86" s="34"/>
      <c r="N86" s="34"/>
      <c r="O86" s="34"/>
      <c r="P86" s="34"/>
      <c r="Q86" s="34"/>
      <c r="R86" s="34"/>
      <c r="S86" s="34"/>
      <c r="T86" s="54"/>
      <c r="U86" s="25"/>
      <c r="V86" s="5"/>
    </row>
    <row r="87" spans="1:22" ht="15.6" x14ac:dyDescent="0.3">
      <c r="A87" s="6"/>
      <c r="B87" s="8"/>
      <c r="C87" s="8"/>
      <c r="D87" s="8"/>
      <c r="E87" s="8"/>
      <c r="F87" s="8"/>
      <c r="G87" s="8"/>
      <c r="H87" s="8"/>
      <c r="I87" s="8"/>
      <c r="J87" s="8"/>
      <c r="K87" s="8"/>
      <c r="L87" s="8"/>
      <c r="M87" s="8"/>
      <c r="N87" s="8"/>
      <c r="O87" s="8"/>
      <c r="P87" s="8"/>
      <c r="Q87" s="8"/>
      <c r="R87" s="8"/>
      <c r="S87" s="8"/>
      <c r="T87" s="8"/>
      <c r="U87" s="8"/>
      <c r="V87" s="5"/>
    </row>
    <row r="88" spans="1:22" ht="15.6" x14ac:dyDescent="0.3">
      <c r="A88" s="6"/>
      <c r="B88" s="51" t="s">
        <v>27</v>
      </c>
      <c r="C88" s="14"/>
      <c r="D88" s="14"/>
      <c r="E88" s="14"/>
      <c r="F88" s="14"/>
      <c r="G88" s="14"/>
      <c r="H88" s="17"/>
      <c r="I88" s="17"/>
      <c r="J88" s="159" t="s">
        <v>98</v>
      </c>
      <c r="K88" s="17"/>
      <c r="L88" s="158">
        <f>+R193</f>
        <v>39447</v>
      </c>
      <c r="M88" s="17"/>
      <c r="N88" s="17"/>
      <c r="O88" s="17"/>
      <c r="P88" s="17"/>
      <c r="Q88" s="17"/>
      <c r="R88" s="17" t="s">
        <v>111</v>
      </c>
      <c r="S88" s="17"/>
      <c r="T88" s="17" t="s">
        <v>119</v>
      </c>
      <c r="U88" s="8"/>
      <c r="V88" s="5"/>
    </row>
    <row r="89" spans="1:22" ht="15.6" x14ac:dyDescent="0.3">
      <c r="A89" s="24"/>
      <c r="B89" s="25" t="s">
        <v>28</v>
      </c>
      <c r="C89" s="25"/>
      <c r="D89" s="25"/>
      <c r="E89" s="25"/>
      <c r="F89" s="25"/>
      <c r="G89" s="25"/>
      <c r="H89" s="25"/>
      <c r="I89" s="25"/>
      <c r="J89" s="25"/>
      <c r="K89" s="25"/>
      <c r="L89" s="25"/>
      <c r="M89" s="25"/>
      <c r="N89" s="25"/>
      <c r="O89" s="25"/>
      <c r="P89" s="25"/>
      <c r="Q89" s="25"/>
      <c r="R89" s="34">
        <v>0</v>
      </c>
      <c r="S89" s="25"/>
      <c r="T89" s="53">
        <v>0</v>
      </c>
      <c r="U89" s="25"/>
      <c r="V89" s="5"/>
    </row>
    <row r="90" spans="1:22" ht="15.6" x14ac:dyDescent="0.3">
      <c r="A90" s="24"/>
      <c r="B90" s="25" t="s">
        <v>29</v>
      </c>
      <c r="C90" s="25"/>
      <c r="D90" s="25"/>
      <c r="E90" s="25"/>
      <c r="F90" s="25"/>
      <c r="G90" s="25"/>
      <c r="H90" s="40"/>
      <c r="I90" s="57"/>
      <c r="J90" s="40"/>
      <c r="K90" s="25"/>
      <c r="L90" s="127"/>
      <c r="M90" s="25"/>
      <c r="N90" s="25"/>
      <c r="O90" s="25"/>
      <c r="P90" s="25"/>
      <c r="Q90" s="25"/>
      <c r="R90" s="34">
        <v>42807</v>
      </c>
      <c r="S90" s="25"/>
      <c r="T90" s="53"/>
      <c r="U90" s="25"/>
      <c r="V90" s="5"/>
    </row>
    <row r="91" spans="1:22" ht="15.6" x14ac:dyDescent="0.3">
      <c r="A91" s="24"/>
      <c r="B91" s="25" t="s">
        <v>225</v>
      </c>
      <c r="C91" s="25"/>
      <c r="D91" s="25"/>
      <c r="E91" s="25"/>
      <c r="F91" s="25"/>
      <c r="G91" s="25"/>
      <c r="H91" s="40"/>
      <c r="I91" s="57"/>
      <c r="J91" s="40"/>
      <c r="K91" s="25"/>
      <c r="L91" s="127"/>
      <c r="M91" s="25"/>
      <c r="N91" s="25"/>
      <c r="O91" s="25"/>
      <c r="P91" s="25"/>
      <c r="Q91" s="25"/>
      <c r="R91" s="34"/>
      <c r="S91" s="25"/>
      <c r="T91" s="53">
        <f>5620+7048-647-582</f>
        <v>11439</v>
      </c>
      <c r="U91" s="25"/>
      <c r="V91" s="5"/>
    </row>
    <row r="92" spans="1:22" ht="15.6" x14ac:dyDescent="0.3">
      <c r="A92" s="24"/>
      <c r="B92" s="25" t="s">
        <v>220</v>
      </c>
      <c r="C92" s="25"/>
      <c r="D92" s="25"/>
      <c r="E92" s="25"/>
      <c r="F92" s="25"/>
      <c r="G92" s="25"/>
      <c r="H92" s="40"/>
      <c r="I92" s="57"/>
      <c r="J92" s="40"/>
      <c r="K92" s="25"/>
      <c r="L92" s="127"/>
      <c r="M92" s="25"/>
      <c r="N92" s="25"/>
      <c r="O92" s="25"/>
      <c r="P92" s="25"/>
      <c r="Q92" s="25"/>
      <c r="R92" s="34"/>
      <c r="S92" s="25"/>
      <c r="T92" s="53">
        <f>205+442</f>
        <v>647</v>
      </c>
      <c r="U92" s="25"/>
      <c r="V92" s="5"/>
    </row>
    <row r="93" spans="1:22" ht="15.6" x14ac:dyDescent="0.3">
      <c r="A93" s="24"/>
      <c r="B93" s="25" t="s">
        <v>221</v>
      </c>
      <c r="C93" s="25"/>
      <c r="D93" s="25"/>
      <c r="E93" s="25"/>
      <c r="F93" s="25"/>
      <c r="G93" s="25"/>
      <c r="H93" s="40"/>
      <c r="I93" s="57"/>
      <c r="J93" s="40"/>
      <c r="K93" s="25"/>
      <c r="L93" s="127"/>
      <c r="M93" s="25"/>
      <c r="N93" s="25"/>
      <c r="O93" s="25"/>
      <c r="P93" s="25"/>
      <c r="Q93" s="25"/>
      <c r="R93" s="34"/>
      <c r="S93" s="25"/>
      <c r="T93" s="53">
        <v>558</v>
      </c>
      <c r="U93" s="25"/>
      <c r="V93" s="5"/>
    </row>
    <row r="94" spans="1:22" ht="15.6" x14ac:dyDescent="0.3">
      <c r="A94" s="24"/>
      <c r="B94" s="25" t="s">
        <v>261</v>
      </c>
      <c r="C94" s="25"/>
      <c r="D94" s="25"/>
      <c r="E94" s="25"/>
      <c r="F94" s="25"/>
      <c r="G94" s="25"/>
      <c r="H94" s="40"/>
      <c r="I94" s="57"/>
      <c r="J94" s="40"/>
      <c r="K94" s="25"/>
      <c r="L94" s="127"/>
      <c r="M94" s="25"/>
      <c r="N94" s="25"/>
      <c r="O94" s="25"/>
      <c r="P94" s="25"/>
      <c r="Q94" s="25"/>
      <c r="R94" s="34"/>
      <c r="S94" s="25"/>
      <c r="T94" s="53">
        <f>2913-11</f>
        <v>2902</v>
      </c>
      <c r="U94" s="25"/>
      <c r="V94" s="5"/>
    </row>
    <row r="95" spans="1:22" ht="15.6" x14ac:dyDescent="0.3">
      <c r="A95" s="24"/>
      <c r="B95" s="25" t="s">
        <v>141</v>
      </c>
      <c r="C95" s="25"/>
      <c r="D95" s="25"/>
      <c r="E95" s="25"/>
      <c r="F95" s="25"/>
      <c r="G95" s="25"/>
      <c r="H95" s="25"/>
      <c r="I95" s="25"/>
      <c r="J95" s="25"/>
      <c r="K95" s="25"/>
      <c r="L95" s="25"/>
      <c r="M95" s="25"/>
      <c r="N95" s="25"/>
      <c r="O95" s="25"/>
      <c r="P95" s="25"/>
      <c r="Q95" s="25"/>
      <c r="R95" s="34"/>
      <c r="S95" s="25"/>
      <c r="T95" s="53">
        <v>0</v>
      </c>
      <c r="U95" s="25"/>
      <c r="V95" s="5"/>
    </row>
    <row r="96" spans="1:22" ht="15.6" x14ac:dyDescent="0.3">
      <c r="A96" s="24"/>
      <c r="B96" s="25" t="s">
        <v>250</v>
      </c>
      <c r="C96" s="25"/>
      <c r="D96" s="25"/>
      <c r="E96" s="25"/>
      <c r="F96" s="25"/>
      <c r="G96" s="25"/>
      <c r="H96" s="25"/>
      <c r="I96" s="25"/>
      <c r="J96" s="25"/>
      <c r="K96" s="25"/>
      <c r="L96" s="25"/>
      <c r="M96" s="25"/>
      <c r="N96" s="25"/>
      <c r="O96" s="25"/>
      <c r="P96" s="25"/>
      <c r="Q96" s="25"/>
      <c r="R96" s="34"/>
      <c r="S96" s="25"/>
      <c r="T96" s="53">
        <v>1838</v>
      </c>
      <c r="U96" s="25"/>
      <c r="V96" s="5"/>
    </row>
    <row r="97" spans="1:24" ht="15.6" x14ac:dyDescent="0.3">
      <c r="A97" s="24"/>
      <c r="B97" s="25" t="s">
        <v>30</v>
      </c>
      <c r="C97" s="25"/>
      <c r="D97" s="25"/>
      <c r="E97" s="25"/>
      <c r="F97" s="25"/>
      <c r="G97" s="25"/>
      <c r="H97" s="25"/>
      <c r="I97" s="25"/>
      <c r="J97" s="25"/>
      <c r="K97" s="25"/>
      <c r="L97" s="25"/>
      <c r="M97" s="25"/>
      <c r="N97" s="25"/>
      <c r="O97" s="25"/>
      <c r="P97" s="25"/>
      <c r="Q97" s="25"/>
      <c r="R97" s="34">
        <f>SUM(R89:R96)</f>
        <v>42807</v>
      </c>
      <c r="S97" s="25"/>
      <c r="T97" s="54">
        <f>SUM(T89:T96)</f>
        <v>17384</v>
      </c>
      <c r="U97" s="25"/>
      <c r="V97" s="5"/>
    </row>
    <row r="98" spans="1:24" ht="15.6" x14ac:dyDescent="0.3">
      <c r="A98" s="24"/>
      <c r="B98" s="25" t="s">
        <v>168</v>
      </c>
      <c r="C98" s="25"/>
      <c r="D98" s="25"/>
      <c r="E98" s="25"/>
      <c r="F98" s="25"/>
      <c r="G98" s="25"/>
      <c r="H98" s="25"/>
      <c r="I98" s="25"/>
      <c r="J98" s="25"/>
      <c r="K98" s="25"/>
      <c r="L98" s="25"/>
      <c r="M98" s="25"/>
      <c r="N98" s="25"/>
      <c r="O98" s="25"/>
      <c r="P98" s="25"/>
      <c r="Q98" s="25"/>
      <c r="R98" s="34">
        <f>-T98</f>
        <v>-86</v>
      </c>
      <c r="S98" s="25"/>
      <c r="T98" s="54">
        <v>86</v>
      </c>
      <c r="U98" s="25"/>
      <c r="V98" s="5"/>
    </row>
    <row r="99" spans="1:24" ht="15.6" x14ac:dyDescent="0.3">
      <c r="A99" s="24"/>
      <c r="B99" s="25" t="s">
        <v>31</v>
      </c>
      <c r="C99" s="25"/>
      <c r="D99" s="25"/>
      <c r="E99" s="25"/>
      <c r="F99" s="25"/>
      <c r="G99" s="25"/>
      <c r="H99" s="25"/>
      <c r="I99" s="25"/>
      <c r="J99" s="25"/>
      <c r="K99" s="25"/>
      <c r="L99" s="25"/>
      <c r="M99" s="25"/>
      <c r="N99" s="25"/>
      <c r="O99" s="25"/>
      <c r="P99" s="25"/>
      <c r="Q99" s="25"/>
      <c r="R99" s="34">
        <f>-T99</f>
        <v>0</v>
      </c>
      <c r="S99" s="25"/>
      <c r="T99" s="53">
        <v>0</v>
      </c>
      <c r="U99" s="25"/>
      <c r="V99" s="5"/>
    </row>
    <row r="100" spans="1:24" ht="15.6" x14ac:dyDescent="0.3">
      <c r="A100" s="24"/>
      <c r="B100" s="25" t="s">
        <v>273</v>
      </c>
      <c r="C100" s="25"/>
      <c r="D100" s="25"/>
      <c r="E100" s="25"/>
      <c r="F100" s="25"/>
      <c r="G100" s="25"/>
      <c r="H100" s="25"/>
      <c r="I100" s="25"/>
      <c r="J100" s="25"/>
      <c r="K100" s="25"/>
      <c r="L100" s="25"/>
      <c r="M100" s="25"/>
      <c r="N100" s="25"/>
      <c r="O100" s="25"/>
      <c r="P100" s="25"/>
      <c r="Q100" s="25"/>
      <c r="R100" s="34"/>
      <c r="S100" s="25"/>
      <c r="T100" s="53">
        <v>0</v>
      </c>
      <c r="U100" s="25"/>
      <c r="V100" s="5"/>
    </row>
    <row r="101" spans="1:24" ht="15.6" x14ac:dyDescent="0.3">
      <c r="A101" s="24"/>
      <c r="B101" s="25" t="s">
        <v>32</v>
      </c>
      <c r="C101" s="25"/>
      <c r="D101" s="25"/>
      <c r="E101" s="25"/>
      <c r="F101" s="25"/>
      <c r="G101" s="25"/>
      <c r="H101" s="25"/>
      <c r="I101" s="25"/>
      <c r="J101" s="25"/>
      <c r="K101" s="25"/>
      <c r="L101" s="25"/>
      <c r="M101" s="25"/>
      <c r="N101" s="25"/>
      <c r="O101" s="25"/>
      <c r="P101" s="25"/>
      <c r="Q101" s="25"/>
      <c r="R101" s="34">
        <f>R97+R99+R98</f>
        <v>42721</v>
      </c>
      <c r="S101" s="25"/>
      <c r="T101" s="54">
        <f>T97+T99+T98+T100</f>
        <v>17470</v>
      </c>
      <c r="U101" s="25"/>
      <c r="V101" s="5"/>
    </row>
    <row r="102" spans="1:24" ht="15.6" x14ac:dyDescent="0.3">
      <c r="A102" s="24"/>
      <c r="B102" s="118" t="s">
        <v>33</v>
      </c>
      <c r="C102" s="25"/>
      <c r="D102" s="25"/>
      <c r="E102" s="25"/>
      <c r="F102" s="25"/>
      <c r="G102" s="25"/>
      <c r="H102" s="25"/>
      <c r="I102" s="25"/>
      <c r="J102" s="25"/>
      <c r="K102" s="25"/>
      <c r="L102" s="25"/>
      <c r="M102" s="25"/>
      <c r="N102" s="25"/>
      <c r="O102" s="25"/>
      <c r="P102" s="25"/>
      <c r="Q102" s="25"/>
      <c r="R102" s="34"/>
      <c r="S102" s="25"/>
      <c r="T102" s="53"/>
      <c r="U102" s="25"/>
      <c r="V102" s="5"/>
    </row>
    <row r="103" spans="1:24" ht="15.6" x14ac:dyDescent="0.3">
      <c r="A103" s="24">
        <v>1</v>
      </c>
      <c r="B103" s="25" t="s">
        <v>34</v>
      </c>
      <c r="C103" s="25"/>
      <c r="D103" s="25"/>
      <c r="E103" s="25"/>
      <c r="F103" s="25"/>
      <c r="G103" s="25"/>
      <c r="H103" s="25"/>
      <c r="I103" s="25"/>
      <c r="J103" s="25"/>
      <c r="K103" s="25"/>
      <c r="L103" s="25"/>
      <c r="M103" s="25"/>
      <c r="N103" s="25"/>
      <c r="O103" s="25"/>
      <c r="P103" s="25"/>
      <c r="Q103" s="25"/>
      <c r="R103" s="25"/>
      <c r="S103" s="25"/>
      <c r="T103" s="53">
        <v>0</v>
      </c>
      <c r="U103" s="25"/>
      <c r="V103" s="5"/>
    </row>
    <row r="104" spans="1:24" ht="15.6" x14ac:dyDescent="0.3">
      <c r="A104" s="24">
        <f>+A103+1</f>
        <v>2</v>
      </c>
      <c r="B104" s="25" t="s">
        <v>255</v>
      </c>
      <c r="C104" s="25"/>
      <c r="D104" s="25"/>
      <c r="E104" s="25"/>
      <c r="F104" s="25"/>
      <c r="G104" s="25"/>
      <c r="H104" s="25"/>
      <c r="I104" s="25"/>
      <c r="J104" s="25"/>
      <c r="K104" s="25"/>
      <c r="L104" s="25"/>
      <c r="M104" s="25"/>
      <c r="N104" s="25"/>
      <c r="O104" s="25"/>
      <c r="P104" s="25"/>
      <c r="Q104" s="25"/>
      <c r="R104" s="25"/>
      <c r="S104" s="25"/>
      <c r="T104" s="53">
        <v>-2</v>
      </c>
      <c r="U104" s="25"/>
      <c r="V104" s="5"/>
    </row>
    <row r="105" spans="1:24" ht="15.6" x14ac:dyDescent="0.3">
      <c r="A105" s="24">
        <f>+A104+1</f>
        <v>3</v>
      </c>
      <c r="B105" s="25" t="s">
        <v>213</v>
      </c>
      <c r="C105" s="25"/>
      <c r="D105" s="25"/>
      <c r="E105" s="25"/>
      <c r="F105" s="25"/>
      <c r="G105" s="25"/>
      <c r="H105" s="25"/>
      <c r="I105" s="25"/>
      <c r="J105" s="25"/>
      <c r="K105" s="25"/>
      <c r="L105" s="25"/>
      <c r="M105" s="25"/>
      <c r="N105" s="25"/>
      <c r="O105" s="25"/>
      <c r="P105" s="25"/>
      <c r="Q105" s="25"/>
      <c r="R105" s="25"/>
      <c r="S105" s="25"/>
      <c r="T105" s="53">
        <f>-338-20-11</f>
        <v>-369</v>
      </c>
      <c r="U105" s="25"/>
      <c r="V105" s="5"/>
    </row>
    <row r="106" spans="1:24" ht="15.6" x14ac:dyDescent="0.3">
      <c r="A106" s="24" t="s">
        <v>133</v>
      </c>
      <c r="B106" s="25" t="s">
        <v>122</v>
      </c>
      <c r="C106" s="25"/>
      <c r="D106" s="25"/>
      <c r="E106" s="25"/>
      <c r="F106" s="25"/>
      <c r="G106" s="25"/>
      <c r="H106" s="25"/>
      <c r="I106" s="25"/>
      <c r="J106" s="25"/>
      <c r="K106" s="25"/>
      <c r="L106" s="25"/>
      <c r="M106" s="25"/>
      <c r="N106" s="25"/>
      <c r="O106" s="25"/>
      <c r="P106" s="25"/>
      <c r="Q106" s="25"/>
      <c r="R106" s="25"/>
      <c r="S106" s="25"/>
      <c r="T106" s="53">
        <v>0</v>
      </c>
      <c r="U106" s="25"/>
      <c r="V106" s="5"/>
    </row>
    <row r="107" spans="1:24" ht="15.6" x14ac:dyDescent="0.3">
      <c r="A107" s="24" t="s">
        <v>134</v>
      </c>
      <c r="B107" s="25" t="s">
        <v>194</v>
      </c>
      <c r="C107" s="25"/>
      <c r="D107" s="25"/>
      <c r="E107" s="25"/>
      <c r="F107" s="25"/>
      <c r="G107" s="25"/>
      <c r="H107" s="25"/>
      <c r="I107" s="25"/>
      <c r="J107" s="25"/>
      <c r="K107" s="25"/>
      <c r="L107" s="25"/>
      <c r="M107" s="25"/>
      <c r="N107" s="25"/>
      <c r="O107" s="25"/>
      <c r="P107" s="25"/>
      <c r="Q107" s="25"/>
      <c r="R107" s="25"/>
      <c r="S107" s="25"/>
      <c r="T107" s="53">
        <f>-7897-2133</f>
        <v>-10030</v>
      </c>
      <c r="U107" s="25"/>
      <c r="V107" s="5"/>
      <c r="W107" s="109"/>
    </row>
    <row r="108" spans="1:24" ht="15.6" x14ac:dyDescent="0.3">
      <c r="A108" s="24" t="s">
        <v>156</v>
      </c>
      <c r="B108" s="25" t="s">
        <v>191</v>
      </c>
      <c r="C108" s="25"/>
      <c r="D108" s="25"/>
      <c r="E108" s="25"/>
      <c r="F108" s="25"/>
      <c r="G108" s="25"/>
      <c r="H108" s="25"/>
      <c r="I108" s="25"/>
      <c r="J108" s="25"/>
      <c r="K108" s="25"/>
      <c r="L108" s="25"/>
      <c r="M108" s="25"/>
      <c r="N108" s="25"/>
      <c r="O108" s="25"/>
      <c r="P108" s="25"/>
      <c r="Q108" s="25"/>
      <c r="R108" s="25"/>
      <c r="S108" s="25"/>
      <c r="T108" s="53">
        <v>-2116</v>
      </c>
      <c r="U108" s="25"/>
      <c r="V108" s="5"/>
      <c r="W108" s="109"/>
    </row>
    <row r="109" spans="1:24" ht="15.6" x14ac:dyDescent="0.3">
      <c r="A109" s="24" t="s">
        <v>214</v>
      </c>
      <c r="B109" s="25" t="s">
        <v>192</v>
      </c>
      <c r="C109" s="25"/>
      <c r="D109" s="25"/>
      <c r="E109" s="25"/>
      <c r="F109" s="25"/>
      <c r="G109" s="25"/>
      <c r="H109" s="25"/>
      <c r="I109" s="25"/>
      <c r="J109" s="25"/>
      <c r="K109" s="25"/>
      <c r="L109" s="25"/>
      <c r="M109" s="25"/>
      <c r="N109" s="25"/>
      <c r="O109" s="25"/>
      <c r="P109" s="25"/>
      <c r="Q109" s="25"/>
      <c r="R109" s="25"/>
      <c r="S109" s="25"/>
      <c r="T109" s="53">
        <v>-933</v>
      </c>
      <c r="U109" s="25"/>
      <c r="V109" s="5"/>
      <c r="W109" s="109"/>
      <c r="X109" s="109"/>
    </row>
    <row r="110" spans="1:24" ht="15.6" x14ac:dyDescent="0.3">
      <c r="A110" s="24" t="s">
        <v>215</v>
      </c>
      <c r="B110" s="25" t="s">
        <v>193</v>
      </c>
      <c r="C110" s="25"/>
      <c r="D110" s="25"/>
      <c r="E110" s="25"/>
      <c r="F110" s="25"/>
      <c r="G110" s="25"/>
      <c r="H110" s="25"/>
      <c r="I110" s="25"/>
      <c r="J110" s="25"/>
      <c r="K110" s="25"/>
      <c r="L110" s="25"/>
      <c r="M110" s="25"/>
      <c r="N110" s="25"/>
      <c r="O110" s="25"/>
      <c r="P110" s="25"/>
      <c r="Q110" s="25"/>
      <c r="R110" s="25"/>
      <c r="S110" s="25"/>
      <c r="T110" s="53">
        <v>-263</v>
      </c>
      <c r="U110" s="25"/>
      <c r="V110" s="169"/>
      <c r="W110" s="109"/>
    </row>
    <row r="111" spans="1:24" ht="15.6" x14ac:dyDescent="0.3">
      <c r="A111" s="24" t="s">
        <v>216</v>
      </c>
      <c r="B111" s="25" t="s">
        <v>204</v>
      </c>
      <c r="C111" s="25"/>
      <c r="D111" s="25"/>
      <c r="E111" s="25"/>
      <c r="F111" s="25"/>
      <c r="G111" s="25"/>
      <c r="H111" s="25"/>
      <c r="I111" s="25"/>
      <c r="J111" s="25"/>
      <c r="K111" s="25"/>
      <c r="L111" s="25"/>
      <c r="M111" s="25"/>
      <c r="N111" s="25"/>
      <c r="O111" s="25"/>
      <c r="P111" s="25"/>
      <c r="Q111" s="25"/>
      <c r="R111" s="25"/>
      <c r="S111" s="25"/>
      <c r="T111" s="53">
        <v>-1026</v>
      </c>
      <c r="U111" s="25"/>
      <c r="V111" s="5"/>
      <c r="W111" s="109"/>
    </row>
    <row r="112" spans="1:24" ht="15.6" x14ac:dyDescent="0.3">
      <c r="A112" s="24">
        <v>7</v>
      </c>
      <c r="B112" s="25" t="s">
        <v>35</v>
      </c>
      <c r="C112" s="25"/>
      <c r="D112" s="25"/>
      <c r="E112" s="25"/>
      <c r="F112" s="25"/>
      <c r="G112" s="25"/>
      <c r="H112" s="25"/>
      <c r="I112" s="25"/>
      <c r="J112" s="25"/>
      <c r="K112" s="25"/>
      <c r="L112" s="25"/>
      <c r="M112" s="25"/>
      <c r="N112" s="25"/>
      <c r="O112" s="25"/>
      <c r="P112" s="25"/>
      <c r="Q112" s="25"/>
      <c r="R112" s="25"/>
      <c r="S112" s="25"/>
      <c r="T112" s="53">
        <v>-10</v>
      </c>
      <c r="U112" s="25"/>
      <c r="V112" s="5"/>
    </row>
    <row r="113" spans="1:22" ht="15.6" x14ac:dyDescent="0.3">
      <c r="A113" s="24">
        <f t="shared" ref="A113:A118" si="0">+A112+1</f>
        <v>8</v>
      </c>
      <c r="B113" s="25" t="s">
        <v>46</v>
      </c>
      <c r="C113" s="25"/>
      <c r="D113" s="25"/>
      <c r="E113" s="25"/>
      <c r="F113" s="25"/>
      <c r="G113" s="25"/>
      <c r="H113" s="25"/>
      <c r="I113" s="25"/>
      <c r="J113" s="25"/>
      <c r="K113" s="25"/>
      <c r="L113" s="25"/>
      <c r="M113" s="25"/>
      <c r="N113" s="25"/>
      <c r="O113" s="25"/>
      <c r="P113" s="25"/>
      <c r="Q113" s="25"/>
      <c r="R113" s="34">
        <f>-T113</f>
        <v>0</v>
      </c>
      <c r="S113" s="25"/>
      <c r="T113" s="53">
        <v>0</v>
      </c>
      <c r="U113" s="25"/>
      <c r="V113" s="5"/>
    </row>
    <row r="114" spans="1:22" ht="15.6" x14ac:dyDescent="0.3">
      <c r="A114" s="24">
        <f t="shared" si="0"/>
        <v>9</v>
      </c>
      <c r="B114" s="25" t="s">
        <v>131</v>
      </c>
      <c r="C114" s="25"/>
      <c r="D114" s="25"/>
      <c r="E114" s="25"/>
      <c r="F114" s="25"/>
      <c r="G114" s="25"/>
      <c r="H114" s="25"/>
      <c r="I114" s="25"/>
      <c r="J114" s="25"/>
      <c r="K114" s="25"/>
      <c r="L114" s="25"/>
      <c r="M114" s="25"/>
      <c r="N114" s="25"/>
      <c r="O114" s="25"/>
      <c r="P114" s="25"/>
      <c r="Q114" s="25"/>
      <c r="R114" s="25"/>
      <c r="S114" s="25"/>
      <c r="T114" s="53">
        <v>0</v>
      </c>
      <c r="U114" s="25"/>
      <c r="V114" s="5"/>
    </row>
    <row r="115" spans="1:22" ht="15.6" x14ac:dyDescent="0.3">
      <c r="A115" s="24">
        <f t="shared" si="0"/>
        <v>10</v>
      </c>
      <c r="B115" s="25" t="s">
        <v>36</v>
      </c>
      <c r="C115" s="25"/>
      <c r="D115" s="25"/>
      <c r="E115" s="25"/>
      <c r="F115" s="25"/>
      <c r="G115" s="25"/>
      <c r="H115" s="25"/>
      <c r="I115" s="25"/>
      <c r="J115" s="25"/>
      <c r="K115" s="25"/>
      <c r="L115" s="25"/>
      <c r="M115" s="25"/>
      <c r="N115" s="25"/>
      <c r="O115" s="25"/>
      <c r="P115" s="25"/>
      <c r="Q115" s="25"/>
      <c r="R115" s="25"/>
      <c r="S115" s="25"/>
      <c r="T115" s="53">
        <v>0</v>
      </c>
      <c r="U115" s="25"/>
      <c r="V115" s="5"/>
    </row>
    <row r="116" spans="1:22" ht="15.6" x14ac:dyDescent="0.3">
      <c r="A116" s="24">
        <f t="shared" si="0"/>
        <v>11</v>
      </c>
      <c r="B116" s="25" t="s">
        <v>37</v>
      </c>
      <c r="C116" s="25"/>
      <c r="D116" s="25"/>
      <c r="E116" s="25"/>
      <c r="F116" s="25"/>
      <c r="G116" s="25"/>
      <c r="H116" s="25"/>
      <c r="I116" s="25"/>
      <c r="J116" s="25"/>
      <c r="K116" s="25"/>
      <c r="L116" s="25"/>
      <c r="M116" s="25"/>
      <c r="N116" s="25"/>
      <c r="O116" s="25"/>
      <c r="P116" s="25"/>
      <c r="Q116" s="25"/>
      <c r="R116" s="25"/>
      <c r="S116" s="25"/>
      <c r="T116" s="53">
        <v>0</v>
      </c>
      <c r="U116" s="25"/>
      <c r="V116" s="5"/>
    </row>
    <row r="117" spans="1:22" ht="15.6" x14ac:dyDescent="0.3">
      <c r="A117" s="24">
        <f t="shared" si="0"/>
        <v>12</v>
      </c>
      <c r="B117" s="25" t="s">
        <v>155</v>
      </c>
      <c r="C117" s="25"/>
      <c r="D117" s="25"/>
      <c r="E117" s="25"/>
      <c r="F117" s="25"/>
      <c r="G117" s="25"/>
      <c r="H117" s="25"/>
      <c r="I117" s="25"/>
      <c r="J117" s="25"/>
      <c r="K117" s="25"/>
      <c r="L117" s="25"/>
      <c r="M117" s="25"/>
      <c r="N117" s="25"/>
      <c r="O117" s="25"/>
      <c r="P117" s="25"/>
      <c r="Q117" s="25"/>
      <c r="R117" s="25"/>
      <c r="S117" s="25"/>
      <c r="T117" s="53">
        <v>-337</v>
      </c>
      <c r="U117" s="25"/>
      <c r="V117" s="5"/>
    </row>
    <row r="118" spans="1:22" ht="15.6" x14ac:dyDescent="0.3">
      <c r="A118" s="24">
        <f t="shared" si="0"/>
        <v>13</v>
      </c>
      <c r="B118" s="25" t="s">
        <v>132</v>
      </c>
      <c r="C118" s="25"/>
      <c r="D118" s="25"/>
      <c r="E118" s="25"/>
      <c r="F118" s="25"/>
      <c r="G118" s="25"/>
      <c r="H118" s="25"/>
      <c r="I118" s="25"/>
      <c r="J118" s="25"/>
      <c r="K118" s="25"/>
      <c r="L118" s="25"/>
      <c r="M118" s="25"/>
      <c r="N118" s="25"/>
      <c r="O118" s="25"/>
      <c r="P118" s="25"/>
      <c r="Q118" s="25"/>
      <c r="R118" s="25"/>
      <c r="S118" s="25"/>
      <c r="T118" s="53">
        <f>-T101-SUM(T103:T117)</f>
        <v>-2384</v>
      </c>
      <c r="U118" s="25"/>
      <c r="V118" s="5"/>
    </row>
    <row r="119" spans="1:22" ht="15.6" x14ac:dyDescent="0.3">
      <c r="A119" s="24"/>
      <c r="B119" s="118" t="s">
        <v>38</v>
      </c>
      <c r="C119" s="25"/>
      <c r="D119" s="25"/>
      <c r="E119" s="25"/>
      <c r="F119" s="25"/>
      <c r="G119" s="25"/>
      <c r="H119" s="25"/>
      <c r="I119" s="25"/>
      <c r="J119" s="25"/>
      <c r="K119" s="25"/>
      <c r="L119" s="25"/>
      <c r="M119" s="25"/>
      <c r="N119" s="25"/>
      <c r="O119" s="25"/>
      <c r="P119" s="25"/>
      <c r="Q119" s="25"/>
      <c r="R119" s="25"/>
      <c r="S119" s="25"/>
      <c r="T119" s="59"/>
      <c r="U119" s="25"/>
      <c r="V119" s="5"/>
    </row>
    <row r="120" spans="1:22" ht="15.6" x14ac:dyDescent="0.3">
      <c r="A120" s="24"/>
      <c r="B120" s="25" t="s">
        <v>180</v>
      </c>
      <c r="C120" s="25"/>
      <c r="D120" s="25"/>
      <c r="E120" s="25"/>
      <c r="F120" s="25"/>
      <c r="G120" s="25"/>
      <c r="H120" s="25"/>
      <c r="I120" s="25"/>
      <c r="J120" s="25"/>
      <c r="K120" s="25"/>
      <c r="L120" s="25"/>
      <c r="M120" s="25"/>
      <c r="N120" s="25"/>
      <c r="O120" s="25"/>
      <c r="P120" s="25"/>
      <c r="Q120" s="25"/>
      <c r="R120" s="34">
        <f>-R177</f>
        <v>-33</v>
      </c>
      <c r="S120" s="34"/>
      <c r="T120" s="53"/>
      <c r="U120" s="25"/>
      <c r="V120" s="5"/>
    </row>
    <row r="121" spans="1:22" ht="15.6" x14ac:dyDescent="0.3">
      <c r="A121" s="24"/>
      <c r="B121" s="25" t="s">
        <v>181</v>
      </c>
      <c r="C121" s="25"/>
      <c r="D121" s="25"/>
      <c r="E121" s="25"/>
      <c r="F121" s="25"/>
      <c r="G121" s="25"/>
      <c r="H121" s="25"/>
      <c r="I121" s="25"/>
      <c r="J121" s="25"/>
      <c r="K121" s="25"/>
      <c r="L121" s="25"/>
      <c r="M121" s="25"/>
      <c r="N121" s="25"/>
      <c r="O121" s="25"/>
      <c r="P121" s="25"/>
      <c r="Q121" s="25"/>
      <c r="R121" s="34">
        <v>-26</v>
      </c>
      <c r="S121" s="34"/>
      <c r="T121" s="53"/>
      <c r="U121" s="25"/>
      <c r="V121" s="5"/>
    </row>
    <row r="122" spans="1:22" ht="15.6" x14ac:dyDescent="0.3">
      <c r="A122" s="24"/>
      <c r="B122" s="25" t="s">
        <v>39</v>
      </c>
      <c r="C122" s="25"/>
      <c r="D122" s="25"/>
      <c r="E122" s="25"/>
      <c r="F122" s="25"/>
      <c r="G122" s="25"/>
      <c r="H122" s="25"/>
      <c r="I122" s="25"/>
      <c r="J122" s="25"/>
      <c r="K122" s="25"/>
      <c r="L122" s="25"/>
      <c r="M122" s="25"/>
      <c r="N122" s="25"/>
      <c r="O122" s="25"/>
      <c r="P122" s="25"/>
      <c r="Q122" s="25"/>
      <c r="R122" s="34">
        <f>-Q177</f>
        <v>-1805</v>
      </c>
      <c r="S122" s="34"/>
      <c r="T122" s="53"/>
      <c r="U122" s="25"/>
      <c r="V122" s="5"/>
    </row>
    <row r="123" spans="1:22" ht="15.6" x14ac:dyDescent="0.3">
      <c r="A123" s="24"/>
      <c r="B123" s="25" t="s">
        <v>205</v>
      </c>
      <c r="C123" s="25"/>
      <c r="D123" s="25"/>
      <c r="E123" s="25"/>
      <c r="F123" s="25"/>
      <c r="G123" s="25"/>
      <c r="H123" s="25"/>
      <c r="I123" s="25"/>
      <c r="J123" s="25"/>
      <c r="K123" s="25"/>
      <c r="L123" s="25"/>
      <c r="M123" s="25"/>
      <c r="N123" s="25"/>
      <c r="O123" s="25"/>
      <c r="P123" s="25"/>
      <c r="Q123" s="25"/>
      <c r="R123" s="34">
        <v>-26718</v>
      </c>
      <c r="S123" s="34"/>
      <c r="T123" s="53"/>
      <c r="U123" s="25"/>
      <c r="V123" s="5"/>
    </row>
    <row r="124" spans="1:22" ht="15.6" x14ac:dyDescent="0.3">
      <c r="A124" s="24"/>
      <c r="B124" s="25" t="s">
        <v>203</v>
      </c>
      <c r="C124" s="25"/>
      <c r="D124" s="25"/>
      <c r="E124" s="25"/>
      <c r="F124" s="25"/>
      <c r="G124" s="25"/>
      <c r="H124" s="25"/>
      <c r="I124" s="25"/>
      <c r="J124" s="25"/>
      <c r="K124" s="25"/>
      <c r="L124" s="25"/>
      <c r="M124" s="25"/>
      <c r="N124" s="25"/>
      <c r="O124" s="25"/>
      <c r="P124" s="25"/>
      <c r="Q124" s="25"/>
      <c r="R124" s="34">
        <v>-7041</v>
      </c>
      <c r="S124" s="34"/>
      <c r="T124" s="53"/>
      <c r="U124" s="25"/>
      <c r="V124" s="5"/>
    </row>
    <row r="125" spans="1:22" ht="15.6" x14ac:dyDescent="0.3">
      <c r="A125" s="24"/>
      <c r="B125" s="25" t="s">
        <v>202</v>
      </c>
      <c r="C125" s="25"/>
      <c r="D125" s="25"/>
      <c r="E125" s="25"/>
      <c r="F125" s="25"/>
      <c r="G125" s="25"/>
      <c r="H125" s="25"/>
      <c r="I125" s="25"/>
      <c r="J125" s="25"/>
      <c r="K125" s="25"/>
      <c r="L125" s="25"/>
      <c r="M125" s="25"/>
      <c r="N125" s="25"/>
      <c r="O125" s="25"/>
      <c r="P125" s="25"/>
      <c r="Q125" s="25"/>
      <c r="R125" s="34">
        <v>-7098</v>
      </c>
      <c r="S125" s="34"/>
      <c r="T125" s="53"/>
      <c r="U125" s="25"/>
      <c r="V125" s="5"/>
    </row>
    <row r="126" spans="1:22" ht="15.6" x14ac:dyDescent="0.3">
      <c r="A126" s="24"/>
      <c r="B126" s="25" t="s">
        <v>197</v>
      </c>
      <c r="C126" s="25"/>
      <c r="D126" s="25"/>
      <c r="E126" s="25"/>
      <c r="F126" s="25"/>
      <c r="G126" s="25"/>
      <c r="H126" s="25"/>
      <c r="I126" s="25"/>
      <c r="J126" s="25"/>
      <c r="K126" s="25"/>
      <c r="L126" s="25"/>
      <c r="M126" s="25"/>
      <c r="N126" s="25"/>
      <c r="O126" s="25"/>
      <c r="P126" s="25"/>
      <c r="Q126" s="25"/>
      <c r="R126" s="34">
        <v>0</v>
      </c>
      <c r="S126" s="34"/>
      <c r="T126" s="53"/>
      <c r="U126" s="25"/>
      <c r="V126" s="5"/>
    </row>
    <row r="127" spans="1:22" ht="15.6" x14ac:dyDescent="0.3">
      <c r="A127" s="24"/>
      <c r="B127" s="25" t="s">
        <v>196</v>
      </c>
      <c r="C127" s="25"/>
      <c r="D127" s="25"/>
      <c r="E127" s="25"/>
      <c r="F127" s="25"/>
      <c r="G127" s="25"/>
      <c r="H127" s="25"/>
      <c r="I127" s="25"/>
      <c r="J127" s="25"/>
      <c r="K127" s="25"/>
      <c r="L127" s="25"/>
      <c r="M127" s="25"/>
      <c r="N127" s="25"/>
      <c r="O127" s="25"/>
      <c r="P127" s="25"/>
      <c r="Q127" s="25"/>
      <c r="R127" s="34">
        <v>0</v>
      </c>
      <c r="S127" s="34"/>
      <c r="T127" s="53"/>
      <c r="U127" s="25"/>
      <c r="V127" s="5"/>
    </row>
    <row r="128" spans="1:22" ht="15.6" x14ac:dyDescent="0.3">
      <c r="A128" s="24"/>
      <c r="B128" s="25" t="s">
        <v>195</v>
      </c>
      <c r="C128" s="25"/>
      <c r="D128" s="25"/>
      <c r="E128" s="25"/>
      <c r="F128" s="25"/>
      <c r="G128" s="25"/>
      <c r="H128" s="25"/>
      <c r="I128" s="25"/>
      <c r="J128" s="25"/>
      <c r="K128" s="25"/>
      <c r="L128" s="25"/>
      <c r="M128" s="25"/>
      <c r="N128" s="25"/>
      <c r="O128" s="25"/>
      <c r="P128" s="25"/>
      <c r="Q128" s="25"/>
      <c r="R128" s="34">
        <v>0</v>
      </c>
      <c r="S128" s="34"/>
      <c r="T128" s="53"/>
      <c r="U128" s="25"/>
      <c r="V128" s="5"/>
    </row>
    <row r="129" spans="1:22" ht="15.6" x14ac:dyDescent="0.3">
      <c r="A129" s="24"/>
      <c r="B129" s="25" t="s">
        <v>40</v>
      </c>
      <c r="C129" s="25"/>
      <c r="D129" s="25"/>
      <c r="E129" s="25"/>
      <c r="F129" s="25"/>
      <c r="G129" s="25"/>
      <c r="H129" s="25"/>
      <c r="I129" s="25"/>
      <c r="J129" s="25"/>
      <c r="K129" s="25"/>
      <c r="L129" s="25"/>
      <c r="M129" s="25"/>
      <c r="N129" s="25"/>
      <c r="O129" s="25"/>
      <c r="P129" s="25"/>
      <c r="Q129" s="25"/>
      <c r="R129" s="34">
        <f>SUM(R120:R128)</f>
        <v>-42721</v>
      </c>
      <c r="S129" s="34"/>
      <c r="T129" s="34">
        <f>SUM(T102:T127)</f>
        <v>-17470</v>
      </c>
      <c r="U129" s="25"/>
      <c r="V129" s="5"/>
    </row>
    <row r="130" spans="1:22" ht="15.6" x14ac:dyDescent="0.3">
      <c r="A130" s="24"/>
      <c r="B130" s="25" t="s">
        <v>41</v>
      </c>
      <c r="C130" s="25"/>
      <c r="D130" s="25"/>
      <c r="E130" s="25"/>
      <c r="F130" s="25"/>
      <c r="G130" s="25"/>
      <c r="H130" s="25"/>
      <c r="I130" s="25"/>
      <c r="J130" s="25"/>
      <c r="K130" s="25"/>
      <c r="L130" s="25"/>
      <c r="M130" s="25"/>
      <c r="N130" s="25"/>
      <c r="O130" s="25"/>
      <c r="P130" s="25"/>
      <c r="Q130" s="25"/>
      <c r="R130" s="34">
        <f>R101+R129+R113</f>
        <v>0</v>
      </c>
      <c r="S130" s="34"/>
      <c r="T130" s="34">
        <f>T101+T129</f>
        <v>0</v>
      </c>
      <c r="U130" s="25"/>
      <c r="V130" s="5"/>
    </row>
    <row r="131" spans="1:22" ht="15.6" x14ac:dyDescent="0.3">
      <c r="A131" s="24"/>
      <c r="B131" s="25"/>
      <c r="C131" s="25"/>
      <c r="D131" s="25"/>
      <c r="E131" s="25"/>
      <c r="F131" s="25"/>
      <c r="G131" s="25"/>
      <c r="H131" s="25"/>
      <c r="I131" s="25"/>
      <c r="J131" s="25"/>
      <c r="K131" s="25"/>
      <c r="L131" s="25"/>
      <c r="M131" s="25"/>
      <c r="N131" s="25"/>
      <c r="O131" s="25"/>
      <c r="P131" s="25"/>
      <c r="Q131" s="25"/>
      <c r="R131" s="34"/>
      <c r="S131" s="34"/>
      <c r="T131" s="34"/>
      <c r="U131" s="25"/>
      <c r="V131" s="5"/>
    </row>
    <row r="132" spans="1:22" ht="15.6" x14ac:dyDescent="0.3">
      <c r="A132" s="6"/>
      <c r="B132" s="8"/>
      <c r="C132" s="8"/>
      <c r="D132" s="8"/>
      <c r="E132" s="8"/>
      <c r="F132" s="8"/>
      <c r="G132" s="8"/>
      <c r="H132" s="8"/>
      <c r="I132" s="8"/>
      <c r="J132" s="8"/>
      <c r="K132" s="8"/>
      <c r="L132" s="8"/>
      <c r="M132" s="8"/>
      <c r="N132" s="8"/>
      <c r="O132" s="8"/>
      <c r="P132" s="8"/>
      <c r="Q132" s="8"/>
      <c r="R132" s="8"/>
      <c r="S132" s="8"/>
      <c r="T132" s="52"/>
      <c r="U132" s="8"/>
      <c r="V132" s="5"/>
    </row>
    <row r="133" spans="1:22" ht="18" thickBot="1" x14ac:dyDescent="0.35">
      <c r="A133" s="101"/>
      <c r="B133" s="102" t="str">
        <f>B64</f>
        <v>PM11 INVESTOR REPORT QUARTER ENDING DECEMBER 2007</v>
      </c>
      <c r="C133" s="103"/>
      <c r="D133" s="103"/>
      <c r="E133" s="103"/>
      <c r="F133" s="103"/>
      <c r="G133" s="103"/>
      <c r="H133" s="103"/>
      <c r="I133" s="103"/>
      <c r="J133" s="103"/>
      <c r="K133" s="103"/>
      <c r="L133" s="103"/>
      <c r="M133" s="103"/>
      <c r="N133" s="103"/>
      <c r="O133" s="103"/>
      <c r="P133" s="103"/>
      <c r="Q133" s="103"/>
      <c r="R133" s="103"/>
      <c r="S133" s="103"/>
      <c r="T133" s="106"/>
      <c r="U133" s="105"/>
      <c r="V133" s="5"/>
    </row>
    <row r="134" spans="1:22" ht="15.6" x14ac:dyDescent="0.3">
      <c r="A134" s="2"/>
      <c r="B134" s="60" t="s">
        <v>42</v>
      </c>
      <c r="C134" s="4"/>
      <c r="D134" s="4"/>
      <c r="E134" s="4"/>
      <c r="F134" s="4"/>
      <c r="G134" s="4"/>
      <c r="H134" s="4"/>
      <c r="I134" s="4"/>
      <c r="J134" s="4"/>
      <c r="K134" s="4"/>
      <c r="L134" s="4"/>
      <c r="M134" s="4"/>
      <c r="N134" s="4"/>
      <c r="O134" s="4"/>
      <c r="P134" s="4"/>
      <c r="Q134" s="4"/>
      <c r="R134" s="4"/>
      <c r="S134" s="4"/>
      <c r="T134" s="50"/>
      <c r="U134" s="4"/>
      <c r="V134" s="5"/>
    </row>
    <row r="135" spans="1:22" ht="15.6" x14ac:dyDescent="0.3">
      <c r="A135" s="6"/>
      <c r="B135" s="21"/>
      <c r="C135" s="8"/>
      <c r="D135" s="8"/>
      <c r="E135" s="8"/>
      <c r="F135" s="8"/>
      <c r="G135" s="8"/>
      <c r="H135" s="8"/>
      <c r="I135" s="8"/>
      <c r="J135" s="8"/>
      <c r="K135" s="8"/>
      <c r="L135" s="8"/>
      <c r="M135" s="8"/>
      <c r="N135" s="8"/>
      <c r="O135" s="8"/>
      <c r="P135" s="8"/>
      <c r="Q135" s="8"/>
      <c r="R135" s="8"/>
      <c r="S135" s="8"/>
      <c r="T135" s="52"/>
      <c r="U135" s="8"/>
      <c r="V135" s="5"/>
    </row>
    <row r="136" spans="1:22" ht="15.6" x14ac:dyDescent="0.3">
      <c r="A136" s="6"/>
      <c r="B136" s="119" t="s">
        <v>43</v>
      </c>
      <c r="C136" s="8"/>
      <c r="D136" s="8"/>
      <c r="E136" s="8"/>
      <c r="F136" s="8"/>
      <c r="G136" s="8"/>
      <c r="H136" s="8"/>
      <c r="I136" s="8"/>
      <c r="J136" s="8"/>
      <c r="K136" s="8"/>
      <c r="L136" s="8"/>
      <c r="M136" s="8"/>
      <c r="N136" s="8"/>
      <c r="O136" s="8"/>
      <c r="P136" s="8"/>
      <c r="Q136" s="8"/>
      <c r="R136" s="8"/>
      <c r="S136" s="8"/>
      <c r="T136" s="52"/>
      <c r="U136" s="8"/>
      <c r="V136" s="5"/>
    </row>
    <row r="137" spans="1:22" ht="15.6" x14ac:dyDescent="0.3">
      <c r="A137" s="24"/>
      <c r="B137" s="25" t="s">
        <v>44</v>
      </c>
      <c r="C137" s="25"/>
      <c r="D137" s="25"/>
      <c r="E137" s="25"/>
      <c r="F137" s="25"/>
      <c r="G137" s="25"/>
      <c r="H137" s="25"/>
      <c r="I137" s="25"/>
      <c r="J137" s="25"/>
      <c r="K137" s="25"/>
      <c r="L137" s="25"/>
      <c r="M137" s="25"/>
      <c r="N137" s="25"/>
      <c r="O137" s="25"/>
      <c r="P137" s="25"/>
      <c r="Q137" s="25"/>
      <c r="R137" s="25"/>
      <c r="S137" s="25"/>
      <c r="T137" s="53">
        <f>+T34*0.019</f>
        <v>19000.95</v>
      </c>
      <c r="U137" s="25"/>
      <c r="V137" s="5"/>
    </row>
    <row r="138" spans="1:22" ht="15.6" x14ac:dyDescent="0.3">
      <c r="A138" s="24"/>
      <c r="B138" s="25" t="s">
        <v>45</v>
      </c>
      <c r="C138" s="25"/>
      <c r="D138" s="25"/>
      <c r="E138" s="25"/>
      <c r="F138" s="25"/>
      <c r="G138" s="25"/>
      <c r="H138" s="25"/>
      <c r="I138" s="25"/>
      <c r="J138" s="25"/>
      <c r="K138" s="25"/>
      <c r="L138" s="25"/>
      <c r="M138" s="25"/>
      <c r="N138" s="25"/>
      <c r="O138" s="25"/>
      <c r="P138" s="25"/>
      <c r="Q138" s="25"/>
      <c r="R138" s="25"/>
      <c r="S138" s="25"/>
      <c r="T138" s="53">
        <v>19001</v>
      </c>
      <c r="U138" s="25"/>
      <c r="V138" s="5"/>
    </row>
    <row r="139" spans="1:22" ht="15.6" x14ac:dyDescent="0.3">
      <c r="A139" s="24"/>
      <c r="B139" s="25" t="s">
        <v>142</v>
      </c>
      <c r="C139" s="25"/>
      <c r="D139" s="25"/>
      <c r="E139" s="25"/>
      <c r="F139" s="25"/>
      <c r="G139" s="25"/>
      <c r="H139" s="25"/>
      <c r="I139" s="25"/>
      <c r="J139" s="25"/>
      <c r="K139" s="25"/>
      <c r="L139" s="25"/>
      <c r="M139" s="25"/>
      <c r="N139" s="25"/>
      <c r="O139" s="25"/>
      <c r="P139" s="25"/>
      <c r="Q139" s="25"/>
      <c r="R139" s="25"/>
      <c r="S139" s="25"/>
      <c r="T139" s="53">
        <v>0</v>
      </c>
      <c r="U139" s="25"/>
      <c r="V139" s="5"/>
    </row>
    <row r="140" spans="1:22" ht="15.6" x14ac:dyDescent="0.3">
      <c r="A140" s="24"/>
      <c r="B140" s="25" t="s">
        <v>129</v>
      </c>
      <c r="C140" s="25"/>
      <c r="D140" s="25"/>
      <c r="E140" s="25"/>
      <c r="F140" s="25"/>
      <c r="G140" s="25"/>
      <c r="H140" s="25"/>
      <c r="I140" s="25"/>
      <c r="J140" s="25"/>
      <c r="K140" s="25"/>
      <c r="L140" s="25"/>
      <c r="M140" s="25"/>
      <c r="N140" s="25"/>
      <c r="O140" s="25"/>
      <c r="P140" s="25"/>
      <c r="Q140" s="25"/>
      <c r="R140" s="25"/>
      <c r="S140" s="25"/>
      <c r="T140" s="53">
        <v>0</v>
      </c>
      <c r="U140" s="25"/>
      <c r="V140" s="5"/>
    </row>
    <row r="141" spans="1:22" ht="15.6" x14ac:dyDescent="0.3">
      <c r="A141" s="24"/>
      <c r="B141" s="25" t="s">
        <v>130</v>
      </c>
      <c r="C141" s="25"/>
      <c r="D141" s="25"/>
      <c r="E141" s="25"/>
      <c r="F141" s="25"/>
      <c r="G141" s="25"/>
      <c r="H141" s="25"/>
      <c r="I141" s="25"/>
      <c r="J141" s="25"/>
      <c r="K141" s="25"/>
      <c r="L141" s="25"/>
      <c r="M141" s="25"/>
      <c r="N141" s="25"/>
      <c r="O141" s="25"/>
      <c r="P141" s="25"/>
      <c r="Q141" s="25"/>
      <c r="R141" s="25"/>
      <c r="S141" s="25"/>
      <c r="T141" s="53">
        <v>0</v>
      </c>
      <c r="U141" s="25"/>
      <c r="V141" s="5"/>
    </row>
    <row r="142" spans="1:22" ht="15.6" x14ac:dyDescent="0.3">
      <c r="A142" s="24"/>
      <c r="B142" s="25" t="s">
        <v>182</v>
      </c>
      <c r="C142" s="25"/>
      <c r="D142" s="25"/>
      <c r="E142" s="25"/>
      <c r="F142" s="25"/>
      <c r="G142" s="25"/>
      <c r="H142" s="25"/>
      <c r="I142" s="25"/>
      <c r="J142" s="25"/>
      <c r="K142" s="25"/>
      <c r="L142" s="25"/>
      <c r="M142" s="25"/>
      <c r="N142" s="25"/>
      <c r="O142" s="25"/>
      <c r="P142" s="25"/>
      <c r="Q142" s="25"/>
      <c r="R142" s="25"/>
      <c r="S142" s="25"/>
      <c r="T142" s="53">
        <v>0</v>
      </c>
      <c r="U142" s="25"/>
      <c r="V142" s="5"/>
    </row>
    <row r="143" spans="1:22" ht="15.6" x14ac:dyDescent="0.3">
      <c r="A143" s="24"/>
      <c r="B143" s="25" t="s">
        <v>46</v>
      </c>
      <c r="C143" s="25"/>
      <c r="D143" s="25"/>
      <c r="E143" s="25"/>
      <c r="F143" s="25"/>
      <c r="G143" s="25"/>
      <c r="H143" s="25"/>
      <c r="I143" s="25"/>
      <c r="J143" s="25"/>
      <c r="K143" s="25"/>
      <c r="L143" s="25"/>
      <c r="M143" s="25"/>
      <c r="N143" s="25"/>
      <c r="O143" s="25"/>
      <c r="P143" s="25"/>
      <c r="Q143" s="25"/>
      <c r="R143" s="25"/>
      <c r="S143" s="25"/>
      <c r="T143" s="53">
        <v>0</v>
      </c>
      <c r="U143" s="25"/>
      <c r="V143" s="5"/>
    </row>
    <row r="144" spans="1:22" ht="15.6" x14ac:dyDescent="0.3">
      <c r="A144" s="24"/>
      <c r="B144" s="25" t="s">
        <v>135</v>
      </c>
      <c r="C144" s="25"/>
      <c r="D144" s="25"/>
      <c r="E144" s="25"/>
      <c r="F144" s="25"/>
      <c r="G144" s="25"/>
      <c r="H144" s="25"/>
      <c r="I144" s="25"/>
      <c r="J144" s="25"/>
      <c r="K144" s="25"/>
      <c r="L144" s="25"/>
      <c r="M144" s="25"/>
      <c r="N144" s="25"/>
      <c r="O144" s="25"/>
      <c r="P144" s="25"/>
      <c r="Q144" s="25"/>
      <c r="R144" s="25"/>
      <c r="S144" s="25"/>
      <c r="T144" s="53">
        <v>0</v>
      </c>
      <c r="U144" s="25"/>
      <c r="V144" s="5"/>
    </row>
    <row r="145" spans="1:23" ht="15.6" x14ac:dyDescent="0.3">
      <c r="A145" s="24"/>
      <c r="B145" s="25" t="s">
        <v>251</v>
      </c>
      <c r="C145" s="25"/>
      <c r="D145" s="25"/>
      <c r="E145" s="25"/>
      <c r="F145" s="25"/>
      <c r="G145" s="25"/>
      <c r="H145" s="25"/>
      <c r="I145" s="25"/>
      <c r="J145" s="25"/>
      <c r="K145" s="25"/>
      <c r="L145" s="25"/>
      <c r="M145" s="25"/>
      <c r="N145" s="25"/>
      <c r="O145" s="25"/>
      <c r="P145" s="25"/>
      <c r="Q145" s="25"/>
      <c r="R145" s="25"/>
      <c r="S145" s="25"/>
      <c r="T145" s="53">
        <v>0</v>
      </c>
      <c r="U145" s="25"/>
      <c r="V145" s="5"/>
      <c r="W145" s="109"/>
    </row>
    <row r="146" spans="1:23" ht="15.6" x14ac:dyDescent="0.3">
      <c r="A146" s="24"/>
      <c r="B146" s="25" t="s">
        <v>47</v>
      </c>
      <c r="C146" s="25"/>
      <c r="D146" s="25"/>
      <c r="E146" s="25"/>
      <c r="F146" s="25"/>
      <c r="G146" s="25"/>
      <c r="H146" s="25"/>
      <c r="I146" s="25"/>
      <c r="J146" s="25"/>
      <c r="K146" s="25"/>
      <c r="L146" s="25"/>
      <c r="M146" s="25"/>
      <c r="N146" s="25"/>
      <c r="O146" s="25"/>
      <c r="P146" s="25"/>
      <c r="Q146" s="25"/>
      <c r="R146" s="25"/>
      <c r="S146" s="25"/>
      <c r="T146" s="53">
        <f>SUM(T138:T145)</f>
        <v>19001</v>
      </c>
      <c r="U146" s="25"/>
      <c r="V146" s="5"/>
    </row>
    <row r="147" spans="1:23" ht="15.6" x14ac:dyDescent="0.3">
      <c r="A147" s="24"/>
      <c r="B147" s="25"/>
      <c r="C147" s="25"/>
      <c r="D147" s="25"/>
      <c r="E147" s="25"/>
      <c r="F147" s="25"/>
      <c r="G147" s="25"/>
      <c r="H147" s="25"/>
      <c r="I147" s="25"/>
      <c r="J147" s="25"/>
      <c r="K147" s="25"/>
      <c r="L147" s="25"/>
      <c r="M147" s="25"/>
      <c r="N147" s="25"/>
      <c r="O147" s="25"/>
      <c r="P147" s="25"/>
      <c r="Q147" s="25"/>
      <c r="R147" s="25"/>
      <c r="S147" s="25"/>
      <c r="T147" s="53"/>
      <c r="U147" s="25"/>
      <c r="V147" s="5"/>
    </row>
    <row r="148" spans="1:23" ht="15.6" x14ac:dyDescent="0.3">
      <c r="A148" s="24"/>
      <c r="B148" s="138" t="s">
        <v>262</v>
      </c>
      <c r="C148" s="25"/>
      <c r="D148" s="25"/>
      <c r="E148" s="25"/>
      <c r="F148" s="25"/>
      <c r="G148" s="25"/>
      <c r="H148" s="25"/>
      <c r="I148" s="25"/>
      <c r="J148" s="25"/>
      <c r="K148" s="25"/>
      <c r="L148" s="25"/>
      <c r="M148" s="25"/>
      <c r="N148" s="25"/>
      <c r="O148" s="25"/>
      <c r="P148" s="25"/>
      <c r="Q148" s="25"/>
      <c r="R148" s="25"/>
      <c r="S148" s="25"/>
      <c r="T148" s="53"/>
      <c r="U148" s="25"/>
      <c r="V148" s="5"/>
    </row>
    <row r="149" spans="1:23" ht="15.6" x14ac:dyDescent="0.3">
      <c r="A149" s="24"/>
      <c r="B149" s="25" t="s">
        <v>263</v>
      </c>
      <c r="C149" s="25"/>
      <c r="D149" s="25"/>
      <c r="E149" s="25"/>
      <c r="F149" s="25"/>
      <c r="G149" s="25"/>
      <c r="H149" s="25"/>
      <c r="I149" s="25"/>
      <c r="J149" s="25"/>
      <c r="K149" s="25"/>
      <c r="L149" s="25"/>
      <c r="M149" s="25"/>
      <c r="N149" s="25"/>
      <c r="O149" s="25"/>
      <c r="P149" s="25"/>
      <c r="Q149" s="25"/>
      <c r="R149" s="25"/>
      <c r="S149" s="25"/>
      <c r="T149" s="53">
        <v>0</v>
      </c>
      <c r="U149" s="25"/>
      <c r="V149" s="5"/>
    </row>
    <row r="150" spans="1:23" ht="15.6" x14ac:dyDescent="0.3">
      <c r="A150" s="24"/>
      <c r="B150" s="25" t="s">
        <v>179</v>
      </c>
      <c r="C150" s="25"/>
      <c r="D150" s="25"/>
      <c r="E150" s="25"/>
      <c r="F150" s="25"/>
      <c r="G150" s="25"/>
      <c r="H150" s="25"/>
      <c r="I150" s="25"/>
      <c r="J150" s="25"/>
      <c r="K150" s="25"/>
      <c r="L150" s="25"/>
      <c r="M150" s="25"/>
      <c r="N150" s="25"/>
      <c r="O150" s="25"/>
      <c r="P150" s="25"/>
      <c r="Q150" s="25"/>
      <c r="R150" s="25"/>
      <c r="S150" s="25"/>
      <c r="T150" s="53">
        <v>0</v>
      </c>
      <c r="U150" s="25"/>
      <c r="V150" s="5"/>
    </row>
    <row r="151" spans="1:23" ht="15.6" x14ac:dyDescent="0.3">
      <c r="A151" s="24"/>
      <c r="B151" s="25" t="s">
        <v>264</v>
      </c>
      <c r="C151" s="25"/>
      <c r="D151" s="25"/>
      <c r="E151" s="25"/>
      <c r="F151" s="25"/>
      <c r="G151" s="25"/>
      <c r="H151" s="25"/>
      <c r="I151" s="25"/>
      <c r="J151" s="25"/>
      <c r="K151" s="25"/>
      <c r="L151" s="25"/>
      <c r="M151" s="25"/>
      <c r="N151" s="25"/>
      <c r="O151" s="25"/>
      <c r="P151" s="25"/>
      <c r="Q151" s="25"/>
      <c r="R151" s="25"/>
      <c r="S151" s="25"/>
      <c r="T151" s="53">
        <v>0</v>
      </c>
      <c r="U151" s="25"/>
      <c r="V151" s="5"/>
    </row>
    <row r="152" spans="1:23" ht="15.6" x14ac:dyDescent="0.3">
      <c r="A152" s="24"/>
      <c r="B152" s="25"/>
      <c r="C152" s="25"/>
      <c r="D152" s="25"/>
      <c r="E152" s="25"/>
      <c r="F152" s="25"/>
      <c r="G152" s="25"/>
      <c r="H152" s="25"/>
      <c r="I152" s="25"/>
      <c r="J152" s="25"/>
      <c r="K152" s="25"/>
      <c r="L152" s="25"/>
      <c r="M152" s="25"/>
      <c r="N152" s="25"/>
      <c r="O152" s="25"/>
      <c r="P152" s="25"/>
      <c r="Q152" s="25"/>
      <c r="R152" s="25"/>
      <c r="S152" s="25"/>
      <c r="T152" s="53"/>
      <c r="U152" s="25"/>
      <c r="V152" s="5"/>
    </row>
    <row r="153" spans="1:23" ht="15.6" x14ac:dyDescent="0.3">
      <c r="A153" s="24"/>
      <c r="B153" s="25"/>
      <c r="C153" s="25"/>
      <c r="D153" s="25"/>
      <c r="E153" s="25"/>
      <c r="F153" s="25"/>
      <c r="G153" s="25"/>
      <c r="H153" s="25"/>
      <c r="I153" s="25"/>
      <c r="J153" s="25"/>
      <c r="K153" s="25"/>
      <c r="L153" s="25"/>
      <c r="M153" s="25"/>
      <c r="N153" s="25"/>
      <c r="O153" s="25"/>
      <c r="P153" s="25"/>
      <c r="Q153" s="25"/>
      <c r="R153" s="25"/>
      <c r="S153" s="25"/>
      <c r="T153" s="61"/>
      <c r="U153" s="25"/>
      <c r="V153" s="5"/>
    </row>
    <row r="154" spans="1:23" ht="15.6" x14ac:dyDescent="0.3">
      <c r="A154" s="6"/>
      <c r="B154" s="119" t="s">
        <v>24</v>
      </c>
      <c r="C154" s="8"/>
      <c r="D154" s="8"/>
      <c r="E154" s="8"/>
      <c r="F154" s="8"/>
      <c r="G154" s="8"/>
      <c r="H154" s="8"/>
      <c r="I154" s="8"/>
      <c r="J154" s="8"/>
      <c r="K154" s="8"/>
      <c r="L154" s="8"/>
      <c r="M154" s="8"/>
      <c r="N154" s="8"/>
      <c r="O154" s="8"/>
      <c r="P154" s="8"/>
      <c r="Q154" s="8"/>
      <c r="R154" s="8"/>
      <c r="S154" s="8"/>
      <c r="T154" s="52"/>
      <c r="U154" s="8"/>
      <c r="V154" s="5"/>
    </row>
    <row r="155" spans="1:23" ht="15.6" x14ac:dyDescent="0.3">
      <c r="A155" s="24"/>
      <c r="B155" s="25" t="s">
        <v>48</v>
      </c>
      <c r="C155" s="25"/>
      <c r="D155" s="25"/>
      <c r="E155" s="25"/>
      <c r="F155" s="25"/>
      <c r="G155" s="25"/>
      <c r="H155" s="25"/>
      <c r="I155" s="25"/>
      <c r="J155" s="25"/>
      <c r="K155" s="25"/>
      <c r="L155" s="25"/>
      <c r="M155" s="25"/>
      <c r="N155" s="25"/>
      <c r="O155" s="25"/>
      <c r="P155" s="25"/>
      <c r="Q155" s="25"/>
      <c r="R155" s="25"/>
      <c r="S155" s="25"/>
      <c r="T155" s="59" t="s">
        <v>124</v>
      </c>
      <c r="U155" s="25"/>
      <c r="V155" s="5"/>
    </row>
    <row r="156" spans="1:23" ht="15.6" x14ac:dyDescent="0.3">
      <c r="A156" s="24"/>
      <c r="B156" s="25" t="s">
        <v>49</v>
      </c>
      <c r="C156" s="163"/>
      <c r="D156" s="163"/>
      <c r="E156" s="163"/>
      <c r="F156" s="163"/>
      <c r="G156" s="163"/>
      <c r="H156" s="163"/>
      <c r="I156" s="163"/>
      <c r="J156" s="163"/>
      <c r="K156" s="163"/>
      <c r="L156" s="163"/>
      <c r="M156" s="163"/>
      <c r="N156" s="163"/>
      <c r="O156" s="163"/>
      <c r="P156" s="163"/>
      <c r="Q156" s="163"/>
      <c r="R156" s="163"/>
      <c r="S156" s="163"/>
      <c r="T156" s="59" t="s">
        <v>124</v>
      </c>
      <c r="U156" s="25"/>
      <c r="V156" s="5"/>
    </row>
    <row r="157" spans="1:23" ht="15.6" x14ac:dyDescent="0.3">
      <c r="A157" s="24"/>
      <c r="B157" s="25" t="s">
        <v>50</v>
      </c>
      <c r="C157" s="25"/>
      <c r="D157" s="25"/>
      <c r="E157" s="25"/>
      <c r="F157" s="25"/>
      <c r="G157" s="25"/>
      <c r="H157" s="25"/>
      <c r="I157" s="25"/>
      <c r="J157" s="25"/>
      <c r="K157" s="25"/>
      <c r="L157" s="25"/>
      <c r="M157" s="25"/>
      <c r="N157" s="25"/>
      <c r="O157" s="25"/>
      <c r="P157" s="25"/>
      <c r="Q157" s="25"/>
      <c r="R157" s="25"/>
      <c r="S157" s="25"/>
      <c r="T157" s="59" t="s">
        <v>124</v>
      </c>
      <c r="U157" s="25"/>
      <c r="V157" s="5"/>
    </row>
    <row r="158" spans="1:23" ht="15.6" x14ac:dyDescent="0.3">
      <c r="A158" s="24"/>
      <c r="B158" s="25" t="s">
        <v>51</v>
      </c>
      <c r="C158" s="25"/>
      <c r="D158" s="25"/>
      <c r="E158" s="25"/>
      <c r="F158" s="25"/>
      <c r="G158" s="25"/>
      <c r="H158" s="25"/>
      <c r="I158" s="25"/>
      <c r="J158" s="25"/>
      <c r="K158" s="25"/>
      <c r="L158" s="25"/>
      <c r="M158" s="25"/>
      <c r="N158" s="25"/>
      <c r="O158" s="25"/>
      <c r="P158" s="25"/>
      <c r="Q158" s="25"/>
      <c r="R158" s="25"/>
      <c r="S158" s="25"/>
      <c r="T158" s="59" t="s">
        <v>124</v>
      </c>
      <c r="U158" s="25"/>
      <c r="V158" s="5"/>
    </row>
    <row r="159" spans="1:23" ht="15.6" x14ac:dyDescent="0.3">
      <c r="A159" s="24"/>
      <c r="B159" s="25"/>
      <c r="C159" s="25"/>
      <c r="D159" s="25"/>
      <c r="E159" s="25"/>
      <c r="F159" s="25"/>
      <c r="G159" s="25"/>
      <c r="H159" s="25"/>
      <c r="I159" s="25"/>
      <c r="J159" s="25"/>
      <c r="K159" s="25"/>
      <c r="L159" s="25"/>
      <c r="M159" s="25"/>
      <c r="N159" s="25"/>
      <c r="O159" s="25"/>
      <c r="P159" s="25"/>
      <c r="Q159" s="25"/>
      <c r="R159" s="25"/>
      <c r="S159" s="25"/>
      <c r="T159" s="61"/>
      <c r="U159" s="25"/>
      <c r="V159" s="5"/>
    </row>
    <row r="160" spans="1:23" ht="15.6" x14ac:dyDescent="0.3">
      <c r="A160" s="6"/>
      <c r="B160" s="119" t="s">
        <v>52</v>
      </c>
      <c r="C160" s="8"/>
      <c r="D160" s="8"/>
      <c r="E160" s="8"/>
      <c r="F160" s="8"/>
      <c r="G160" s="8"/>
      <c r="H160" s="8"/>
      <c r="I160" s="8"/>
      <c r="J160" s="8"/>
      <c r="K160" s="8"/>
      <c r="L160" s="8"/>
      <c r="M160" s="8"/>
      <c r="N160" s="8"/>
      <c r="O160" s="8"/>
      <c r="P160" s="8"/>
      <c r="Q160" s="8"/>
      <c r="R160" s="8"/>
      <c r="S160" s="8"/>
      <c r="T160" s="63"/>
      <c r="U160" s="8"/>
      <c r="V160" s="5"/>
    </row>
    <row r="161" spans="1:22" ht="15.6" x14ac:dyDescent="0.3">
      <c r="A161" s="24"/>
      <c r="B161" s="25" t="s">
        <v>53</v>
      </c>
      <c r="C161" s="25"/>
      <c r="D161" s="25"/>
      <c r="E161" s="25"/>
      <c r="F161" s="25"/>
      <c r="G161" s="25"/>
      <c r="H161" s="25"/>
      <c r="I161" s="25"/>
      <c r="J161" s="25"/>
      <c r="K161" s="25"/>
      <c r="L161" s="25"/>
      <c r="M161" s="25"/>
      <c r="N161" s="25"/>
      <c r="O161" s="25"/>
      <c r="P161" s="25"/>
      <c r="Q161" s="25"/>
      <c r="R161" s="25"/>
      <c r="S161" s="25"/>
      <c r="T161" s="53">
        <v>0</v>
      </c>
      <c r="U161" s="25"/>
      <c r="V161" s="5"/>
    </row>
    <row r="162" spans="1:22" ht="15.6" x14ac:dyDescent="0.3">
      <c r="A162" s="24"/>
      <c r="B162" s="25" t="s">
        <v>54</v>
      </c>
      <c r="C162" s="25"/>
      <c r="D162" s="25"/>
      <c r="E162" s="25"/>
      <c r="F162" s="25"/>
      <c r="G162" s="25"/>
      <c r="H162" s="25"/>
      <c r="I162" s="25"/>
      <c r="J162" s="25"/>
      <c r="K162" s="25"/>
      <c r="L162" s="25"/>
      <c r="M162" s="25"/>
      <c r="N162" s="25"/>
      <c r="O162" s="25"/>
      <c r="P162" s="25"/>
      <c r="Q162" s="25"/>
      <c r="R162" s="25"/>
      <c r="S162" s="25"/>
      <c r="T162" s="53">
        <f>R113</f>
        <v>0</v>
      </c>
      <c r="U162" s="25"/>
      <c r="V162" s="5"/>
    </row>
    <row r="163" spans="1:22" ht="15.6" x14ac:dyDescent="0.3">
      <c r="A163" s="24"/>
      <c r="B163" s="25" t="s">
        <v>55</v>
      </c>
      <c r="C163" s="25"/>
      <c r="D163" s="25"/>
      <c r="E163" s="25"/>
      <c r="F163" s="25"/>
      <c r="G163" s="25"/>
      <c r="H163" s="25"/>
      <c r="I163" s="25"/>
      <c r="J163" s="25"/>
      <c r="K163" s="25"/>
      <c r="L163" s="25"/>
      <c r="M163" s="25"/>
      <c r="N163" s="25"/>
      <c r="O163" s="25"/>
      <c r="P163" s="25"/>
      <c r="Q163" s="25"/>
      <c r="R163" s="25"/>
      <c r="S163" s="25"/>
      <c r="T163" s="53">
        <f>T162+T161</f>
        <v>0</v>
      </c>
      <c r="U163" s="25"/>
      <c r="V163" s="5"/>
    </row>
    <row r="164" spans="1:22" ht="15.6" x14ac:dyDescent="0.3">
      <c r="A164" s="24"/>
      <c r="B164" s="405" t="s">
        <v>301</v>
      </c>
      <c r="C164" s="25"/>
      <c r="D164" s="25"/>
      <c r="E164" s="25"/>
      <c r="F164" s="25"/>
      <c r="G164" s="25"/>
      <c r="H164" s="25"/>
      <c r="I164" s="25"/>
      <c r="J164" s="25"/>
      <c r="K164" s="25"/>
      <c r="L164" s="25"/>
      <c r="M164" s="25"/>
      <c r="N164" s="25"/>
      <c r="O164" s="25"/>
      <c r="P164" s="25"/>
      <c r="Q164" s="25"/>
      <c r="R164" s="25"/>
      <c r="S164" s="25"/>
      <c r="T164" s="53">
        <f>T113</f>
        <v>0</v>
      </c>
      <c r="U164" s="25"/>
      <c r="V164" s="5"/>
    </row>
    <row r="165" spans="1:22" ht="15.6" x14ac:dyDescent="0.3">
      <c r="A165" s="24"/>
      <c r="B165" s="25" t="s">
        <v>56</v>
      </c>
      <c r="C165" s="25"/>
      <c r="D165" s="25"/>
      <c r="E165" s="25"/>
      <c r="F165" s="25"/>
      <c r="G165" s="25"/>
      <c r="H165" s="25"/>
      <c r="I165" s="25"/>
      <c r="J165" s="25"/>
      <c r="K165" s="25"/>
      <c r="L165" s="25"/>
      <c r="M165" s="25"/>
      <c r="N165" s="25"/>
      <c r="O165" s="25"/>
      <c r="P165" s="25"/>
      <c r="Q165" s="25"/>
      <c r="R165" s="25"/>
      <c r="S165" s="25"/>
      <c r="T165" s="53">
        <f>T163+T164</f>
        <v>0</v>
      </c>
      <c r="U165" s="25"/>
      <c r="V165" s="5"/>
    </row>
    <row r="166" spans="1:22" ht="16.2" thickBot="1" x14ac:dyDescent="0.35">
      <c r="A166" s="24"/>
      <c r="B166" s="25"/>
      <c r="C166" s="25"/>
      <c r="D166" s="25"/>
      <c r="E166" s="25"/>
      <c r="F166" s="25"/>
      <c r="G166" s="25"/>
      <c r="H166" s="25"/>
      <c r="I166" s="25"/>
      <c r="J166" s="25"/>
      <c r="K166" s="25"/>
      <c r="L166" s="25"/>
      <c r="M166" s="25"/>
      <c r="N166" s="25"/>
      <c r="O166" s="25"/>
      <c r="P166" s="25"/>
      <c r="Q166" s="25"/>
      <c r="R166" s="25"/>
      <c r="S166" s="25"/>
      <c r="T166" s="61"/>
      <c r="U166" s="25"/>
      <c r="V166" s="5"/>
    </row>
    <row r="167" spans="1:22" ht="15.6" x14ac:dyDescent="0.3">
      <c r="A167" s="2"/>
      <c r="B167" s="4"/>
      <c r="C167" s="4"/>
      <c r="D167" s="4"/>
      <c r="E167" s="4"/>
      <c r="F167" s="4"/>
      <c r="G167" s="4"/>
      <c r="H167" s="4"/>
      <c r="I167" s="4"/>
      <c r="J167" s="4"/>
      <c r="K167" s="4"/>
      <c r="L167" s="4"/>
      <c r="M167" s="4"/>
      <c r="N167" s="4"/>
      <c r="O167" s="4"/>
      <c r="P167" s="4"/>
      <c r="Q167" s="4"/>
      <c r="R167" s="4"/>
      <c r="S167" s="4"/>
      <c r="T167" s="50"/>
      <c r="U167" s="4"/>
      <c r="V167" s="5"/>
    </row>
    <row r="168" spans="1:22" ht="15.6" x14ac:dyDescent="0.3">
      <c r="A168" s="6"/>
      <c r="B168" s="119" t="s">
        <v>57</v>
      </c>
      <c r="C168" s="8"/>
      <c r="D168" s="8"/>
      <c r="E168" s="8"/>
      <c r="F168" s="8"/>
      <c r="G168" s="8"/>
      <c r="H168" s="8"/>
      <c r="I168" s="8"/>
      <c r="J168" s="8"/>
      <c r="K168" s="8"/>
      <c r="L168" s="8"/>
      <c r="M168" s="8"/>
      <c r="N168" s="8"/>
      <c r="O168" s="8"/>
      <c r="P168" s="8"/>
      <c r="Q168" s="8"/>
      <c r="R168" s="8"/>
      <c r="S168" s="8"/>
      <c r="T168" s="52"/>
      <c r="U168" s="8"/>
      <c r="V168" s="5"/>
    </row>
    <row r="169" spans="1:22" ht="15.6" x14ac:dyDescent="0.3">
      <c r="A169" s="6"/>
      <c r="B169" s="21"/>
      <c r="C169" s="8"/>
      <c r="D169" s="8"/>
      <c r="E169" s="8"/>
      <c r="F169" s="8"/>
      <c r="G169" s="8"/>
      <c r="H169" s="8"/>
      <c r="I169" s="8"/>
      <c r="J169" s="8"/>
      <c r="K169" s="8"/>
      <c r="L169" s="8"/>
      <c r="M169" s="8"/>
      <c r="N169" s="8"/>
      <c r="O169" s="8"/>
      <c r="P169" s="8"/>
      <c r="Q169" s="8"/>
      <c r="R169" s="8"/>
      <c r="S169" s="8"/>
      <c r="T169" s="52"/>
      <c r="U169" s="8"/>
      <c r="V169" s="5"/>
    </row>
    <row r="170" spans="1:22" ht="15.6" x14ac:dyDescent="0.3">
      <c r="A170" s="24"/>
      <c r="B170" s="25" t="s">
        <v>58</v>
      </c>
      <c r="C170" s="25"/>
      <c r="D170" s="25"/>
      <c r="E170" s="25"/>
      <c r="F170" s="25"/>
      <c r="G170" s="25"/>
      <c r="H170" s="25"/>
      <c r="I170" s="25"/>
      <c r="J170" s="25"/>
      <c r="K170" s="25"/>
      <c r="L170" s="25"/>
      <c r="M170" s="25"/>
      <c r="N170" s="25"/>
      <c r="O170" s="25"/>
      <c r="P170" s="25"/>
      <c r="Q170" s="25"/>
      <c r="R170" s="25"/>
      <c r="S170" s="25"/>
      <c r="T170" s="53">
        <f>T72</f>
        <v>851400</v>
      </c>
      <c r="U170" s="25"/>
      <c r="V170" s="5"/>
    </row>
    <row r="171" spans="1:22" ht="15.6" x14ac:dyDescent="0.3">
      <c r="A171" s="24"/>
      <c r="B171" s="25" t="s">
        <v>59</v>
      </c>
      <c r="C171" s="25"/>
      <c r="D171" s="25"/>
      <c r="E171" s="25"/>
      <c r="F171" s="25"/>
      <c r="G171" s="25"/>
      <c r="H171" s="25"/>
      <c r="I171" s="25"/>
      <c r="J171" s="25"/>
      <c r="K171" s="25"/>
      <c r="L171" s="25"/>
      <c r="M171" s="25"/>
      <c r="N171" s="25"/>
      <c r="O171" s="25"/>
      <c r="P171" s="25"/>
      <c r="Q171" s="25"/>
      <c r="R171" s="25"/>
      <c r="S171" s="25"/>
      <c r="T171" s="53">
        <f>T85</f>
        <v>851400</v>
      </c>
      <c r="U171" s="25"/>
      <c r="V171" s="5"/>
    </row>
    <row r="172" spans="1:22" ht="16.2" thickBot="1" x14ac:dyDescent="0.35">
      <c r="A172" s="24"/>
      <c r="B172" s="25"/>
      <c r="C172" s="25"/>
      <c r="D172" s="25"/>
      <c r="E172" s="25"/>
      <c r="F172" s="25"/>
      <c r="G172" s="25"/>
      <c r="H172" s="25"/>
      <c r="I172" s="25"/>
      <c r="J172" s="25"/>
      <c r="K172" s="25"/>
      <c r="L172" s="25"/>
      <c r="M172" s="25"/>
      <c r="N172" s="25"/>
      <c r="O172" s="25"/>
      <c r="P172" s="25"/>
      <c r="Q172" s="25"/>
      <c r="R172" s="25"/>
      <c r="S172" s="25"/>
      <c r="T172" s="61"/>
      <c r="U172" s="25"/>
      <c r="V172" s="5"/>
    </row>
    <row r="173" spans="1:22" ht="15.6" x14ac:dyDescent="0.3">
      <c r="A173" s="2"/>
      <c r="B173" s="4"/>
      <c r="C173" s="4"/>
      <c r="D173" s="4"/>
      <c r="E173" s="4"/>
      <c r="F173" s="4"/>
      <c r="G173" s="4"/>
      <c r="H173" s="4"/>
      <c r="I173" s="4"/>
      <c r="J173" s="4"/>
      <c r="K173" s="4"/>
      <c r="L173" s="4"/>
      <c r="M173" s="4"/>
      <c r="N173" s="4"/>
      <c r="O173" s="4"/>
      <c r="P173" s="4"/>
      <c r="Q173" s="4"/>
      <c r="R173" s="4"/>
      <c r="S173" s="4"/>
      <c r="T173" s="50"/>
      <c r="U173" s="4"/>
      <c r="V173" s="5"/>
    </row>
    <row r="174" spans="1:22" ht="15.6" x14ac:dyDescent="0.3">
      <c r="A174" s="6"/>
      <c r="B174" s="119" t="s">
        <v>60</v>
      </c>
      <c r="C174" s="117"/>
      <c r="D174" s="117"/>
      <c r="E174" s="117"/>
      <c r="F174" s="117"/>
      <c r="G174" s="117"/>
      <c r="H174" s="120"/>
      <c r="I174" s="120"/>
      <c r="J174" s="120"/>
      <c r="K174" s="120"/>
      <c r="L174" s="120"/>
      <c r="M174" s="120"/>
      <c r="N174" s="120"/>
      <c r="O174" s="120"/>
      <c r="P174" s="120"/>
      <c r="Q174" s="120" t="s">
        <v>104</v>
      </c>
      <c r="R174" s="120" t="s">
        <v>183</v>
      </c>
      <c r="S174" s="111"/>
      <c r="T174" s="121" t="s">
        <v>120</v>
      </c>
      <c r="U174" s="10"/>
      <c r="V174" s="5"/>
    </row>
    <row r="175" spans="1:22" ht="15.6" x14ac:dyDescent="0.3">
      <c r="A175" s="24"/>
      <c r="B175" s="25" t="s">
        <v>61</v>
      </c>
      <c r="C175" s="25"/>
      <c r="D175" s="25"/>
      <c r="E175" s="25"/>
      <c r="F175" s="25"/>
      <c r="G175" s="25"/>
      <c r="H175" s="25"/>
      <c r="I175" s="25"/>
      <c r="J175" s="25"/>
      <c r="K175" s="25"/>
      <c r="L175" s="25"/>
      <c r="M175" s="25"/>
      <c r="N175" s="25"/>
      <c r="O175" s="25"/>
      <c r="P175" s="25"/>
      <c r="Q175" s="53">
        <v>160008</v>
      </c>
      <c r="R175" s="40"/>
      <c r="S175" s="25"/>
      <c r="T175" s="53"/>
      <c r="U175" s="25"/>
      <c r="V175" s="5"/>
    </row>
    <row r="176" spans="1:22" ht="15.6" x14ac:dyDescent="0.3">
      <c r="A176" s="24"/>
      <c r="B176" s="25" t="s">
        <v>62</v>
      </c>
      <c r="C176" s="25"/>
      <c r="D176" s="25"/>
      <c r="E176" s="25"/>
      <c r="F176" s="25"/>
      <c r="G176" s="25"/>
      <c r="H176" s="25"/>
      <c r="I176" s="25"/>
      <c r="J176" s="25"/>
      <c r="K176" s="25"/>
      <c r="L176" s="25"/>
      <c r="M176" s="25"/>
      <c r="N176" s="25"/>
      <c r="O176" s="25"/>
      <c r="P176" s="25"/>
      <c r="Q176" s="53">
        <f>+'September 07'!Q177</f>
        <v>24151</v>
      </c>
      <c r="R176" s="53">
        <f>+'September 07'!R177</f>
        <v>3060</v>
      </c>
      <c r="S176" s="25"/>
      <c r="T176" s="53">
        <f>Q176+R176</f>
        <v>27211</v>
      </c>
      <c r="U176" s="25"/>
      <c r="V176" s="5"/>
    </row>
    <row r="177" spans="1:22" ht="15.6" x14ac:dyDescent="0.3">
      <c r="A177" s="24"/>
      <c r="B177" s="25" t="s">
        <v>63</v>
      </c>
      <c r="C177" s="25"/>
      <c r="D177" s="25"/>
      <c r="E177" s="25"/>
      <c r="F177" s="25"/>
      <c r="G177" s="25"/>
      <c r="H177" s="25"/>
      <c r="I177" s="25"/>
      <c r="J177" s="25"/>
      <c r="K177" s="25"/>
      <c r="L177" s="25"/>
      <c r="M177" s="25"/>
      <c r="N177" s="25"/>
      <c r="O177" s="25"/>
      <c r="P177" s="25"/>
      <c r="Q177" s="34">
        <v>1805</v>
      </c>
      <c r="R177" s="34">
        <v>33</v>
      </c>
      <c r="S177" s="25"/>
      <c r="T177" s="53">
        <f>Q177+R177</f>
        <v>1838</v>
      </c>
      <c r="U177" s="25"/>
      <c r="V177" s="5"/>
    </row>
    <row r="178" spans="1:22" ht="15.6" x14ac:dyDescent="0.3">
      <c r="A178" s="24"/>
      <c r="B178" s="25" t="s">
        <v>64</v>
      </c>
      <c r="C178" s="25"/>
      <c r="D178" s="25"/>
      <c r="E178" s="25"/>
      <c r="F178" s="25"/>
      <c r="G178" s="25"/>
      <c r="H178" s="25"/>
      <c r="I178" s="25"/>
      <c r="J178" s="25"/>
      <c r="K178" s="25"/>
      <c r="L178" s="25"/>
      <c r="M178" s="25"/>
      <c r="N178" s="25"/>
      <c r="O178" s="25"/>
      <c r="P178" s="25"/>
      <c r="Q178" s="53">
        <f>Q176+Q177</f>
        <v>25956</v>
      </c>
      <c r="R178" s="53">
        <f>R177+R176</f>
        <v>3093</v>
      </c>
      <c r="S178" s="25"/>
      <c r="T178" s="53">
        <f>Q178+R178</f>
        <v>29049</v>
      </c>
      <c r="U178" s="25"/>
      <c r="V178" s="5"/>
    </row>
    <row r="179" spans="1:22" ht="15.6" x14ac:dyDescent="0.3">
      <c r="A179" s="24"/>
      <c r="B179" s="25" t="s">
        <v>65</v>
      </c>
      <c r="C179" s="25"/>
      <c r="D179" s="25"/>
      <c r="E179" s="25"/>
      <c r="F179" s="25"/>
      <c r="G179" s="25"/>
      <c r="H179" s="25"/>
      <c r="I179" s="25"/>
      <c r="J179" s="25"/>
      <c r="K179" s="25"/>
      <c r="L179" s="25"/>
      <c r="M179" s="25"/>
      <c r="N179" s="25"/>
      <c r="O179" s="25"/>
      <c r="P179" s="25"/>
      <c r="Q179" s="53">
        <f>Q175-Q178-R178</f>
        <v>130959</v>
      </c>
      <c r="R179" s="40"/>
      <c r="S179" s="25"/>
      <c r="T179" s="53"/>
      <c r="U179" s="25"/>
      <c r="V179" s="5"/>
    </row>
    <row r="180" spans="1:22" ht="16.2" thickBot="1" x14ac:dyDescent="0.35">
      <c r="A180" s="24"/>
      <c r="B180" s="25"/>
      <c r="C180" s="25"/>
      <c r="D180" s="25"/>
      <c r="E180" s="25"/>
      <c r="F180" s="25"/>
      <c r="G180" s="25"/>
      <c r="H180" s="25"/>
      <c r="I180" s="25"/>
      <c r="J180" s="25"/>
      <c r="K180" s="25"/>
      <c r="L180" s="25"/>
      <c r="M180" s="25"/>
      <c r="N180" s="25"/>
      <c r="O180" s="25"/>
      <c r="P180" s="25"/>
      <c r="Q180" s="25"/>
      <c r="R180" s="25"/>
      <c r="S180" s="25"/>
      <c r="T180" s="61"/>
      <c r="U180" s="25"/>
      <c r="V180" s="5"/>
    </row>
    <row r="181" spans="1:22" ht="15.6" x14ac:dyDescent="0.3">
      <c r="A181" s="2"/>
      <c r="B181" s="4"/>
      <c r="C181" s="4"/>
      <c r="D181" s="4"/>
      <c r="E181" s="4"/>
      <c r="F181" s="4"/>
      <c r="G181" s="4"/>
      <c r="H181" s="4"/>
      <c r="I181" s="4"/>
      <c r="J181" s="4"/>
      <c r="K181" s="4"/>
      <c r="L181" s="4"/>
      <c r="M181" s="4"/>
      <c r="N181" s="4"/>
      <c r="O181" s="4"/>
      <c r="P181" s="4"/>
      <c r="Q181" s="4"/>
      <c r="R181" s="4"/>
      <c r="S181" s="4"/>
      <c r="T181" s="50"/>
      <c r="U181" s="4"/>
      <c r="V181" s="5"/>
    </row>
    <row r="182" spans="1:22" ht="15.6" x14ac:dyDescent="0.3">
      <c r="A182" s="6"/>
      <c r="B182" s="119" t="s">
        <v>66</v>
      </c>
      <c r="C182" s="8"/>
      <c r="D182" s="8"/>
      <c r="E182" s="8"/>
      <c r="F182" s="8"/>
      <c r="G182" s="8"/>
      <c r="H182" s="8"/>
      <c r="I182" s="8"/>
      <c r="J182" s="8"/>
      <c r="K182" s="8"/>
      <c r="L182" s="8"/>
      <c r="M182" s="8"/>
      <c r="N182" s="8"/>
      <c r="O182" s="8"/>
      <c r="P182" s="8"/>
      <c r="Q182" s="8"/>
      <c r="R182" s="8"/>
      <c r="S182" s="8"/>
      <c r="T182" s="65"/>
      <c r="U182" s="8"/>
      <c r="V182" s="5"/>
    </row>
    <row r="183" spans="1:22" ht="15.6" x14ac:dyDescent="0.3">
      <c r="A183" s="24"/>
      <c r="B183" s="25" t="s">
        <v>67</v>
      </c>
      <c r="C183" s="25"/>
      <c r="D183" s="25"/>
      <c r="E183" s="25"/>
      <c r="F183" s="25"/>
      <c r="G183" s="25"/>
      <c r="H183" s="25"/>
      <c r="I183" s="25"/>
      <c r="J183" s="25"/>
      <c r="K183" s="25"/>
      <c r="L183" s="25"/>
      <c r="M183" s="25"/>
      <c r="N183" s="25"/>
      <c r="O183" s="25"/>
      <c r="P183" s="25"/>
      <c r="Q183" s="25"/>
      <c r="R183" s="25"/>
      <c r="S183" s="25"/>
      <c r="T183" s="59">
        <f>(T101+T103+T104+T105+T106)/-(T107+T108)</f>
        <v>1.4077885723695043</v>
      </c>
      <c r="U183" s="25" t="s">
        <v>121</v>
      </c>
      <c r="V183" s="5"/>
    </row>
    <row r="184" spans="1:22" ht="15.6" x14ac:dyDescent="0.3">
      <c r="A184" s="24"/>
      <c r="B184" s="25" t="s">
        <v>68</v>
      </c>
      <c r="C184" s="25"/>
      <c r="D184" s="25"/>
      <c r="E184" s="25"/>
      <c r="F184" s="25"/>
      <c r="G184" s="25"/>
      <c r="H184" s="25"/>
      <c r="I184" s="25"/>
      <c r="J184" s="25"/>
      <c r="K184" s="25"/>
      <c r="L184" s="25"/>
      <c r="M184" s="25"/>
      <c r="N184" s="25"/>
      <c r="O184" s="25"/>
      <c r="P184" s="25"/>
      <c r="Q184" s="25"/>
      <c r="R184" s="25"/>
      <c r="S184" s="25"/>
      <c r="T184" s="66">
        <v>1.43</v>
      </c>
      <c r="U184" s="25" t="s">
        <v>121</v>
      </c>
      <c r="V184" s="5"/>
    </row>
    <row r="185" spans="1:22" ht="15.6" x14ac:dyDescent="0.3">
      <c r="A185" s="24"/>
      <c r="B185" s="25" t="s">
        <v>69</v>
      </c>
      <c r="C185" s="25"/>
      <c r="D185" s="25"/>
      <c r="E185" s="25"/>
      <c r="F185" s="25"/>
      <c r="G185" s="25"/>
      <c r="H185" s="25"/>
      <c r="I185" s="25"/>
      <c r="J185" s="25"/>
      <c r="K185" s="25"/>
      <c r="L185" s="25"/>
      <c r="M185" s="25"/>
      <c r="N185" s="25"/>
      <c r="O185" s="25"/>
      <c r="P185" s="25"/>
      <c r="Q185" s="25"/>
      <c r="R185" s="25"/>
      <c r="S185" s="25"/>
      <c r="T185" s="59">
        <f>(T101+T103+T104+T105+T106+T107+T108)/-(T109+T110)</f>
        <v>4.1413043478260869</v>
      </c>
      <c r="U185" s="25" t="s">
        <v>121</v>
      </c>
      <c r="V185" s="5"/>
    </row>
    <row r="186" spans="1:22" ht="15.6" x14ac:dyDescent="0.3">
      <c r="A186" s="24"/>
      <c r="B186" s="25" t="s">
        <v>70</v>
      </c>
      <c r="C186" s="25"/>
      <c r="D186" s="25"/>
      <c r="E186" s="25"/>
      <c r="F186" s="25"/>
      <c r="G186" s="25"/>
      <c r="H186" s="25"/>
      <c r="I186" s="25"/>
      <c r="J186" s="25"/>
      <c r="K186" s="25"/>
      <c r="L186" s="25"/>
      <c r="M186" s="25"/>
      <c r="N186" s="25"/>
      <c r="O186" s="25"/>
      <c r="P186" s="25"/>
      <c r="Q186" s="25"/>
      <c r="R186" s="25"/>
      <c r="S186" s="25"/>
      <c r="T186" s="66">
        <v>4.6500000000000004</v>
      </c>
      <c r="U186" s="25" t="s">
        <v>121</v>
      </c>
      <c r="V186" s="5"/>
    </row>
    <row r="187" spans="1:22" ht="15.6" x14ac:dyDescent="0.3">
      <c r="A187" s="24"/>
      <c r="B187" s="25" t="s">
        <v>206</v>
      </c>
      <c r="C187" s="25"/>
      <c r="D187" s="25"/>
      <c r="E187" s="25"/>
      <c r="F187" s="25"/>
      <c r="G187" s="25"/>
      <c r="H187" s="25"/>
      <c r="I187" s="25"/>
      <c r="J187" s="25"/>
      <c r="K187" s="25"/>
      <c r="L187" s="25"/>
      <c r="M187" s="25"/>
      <c r="N187" s="25"/>
      <c r="O187" s="25"/>
      <c r="P187" s="25"/>
      <c r="Q187" s="25"/>
      <c r="R187" s="25"/>
      <c r="S187" s="25"/>
      <c r="T187" s="59">
        <f>(T101+T103+T104+T105+T106+T107+T108+T109+T110)/-(T111)</f>
        <v>3.6617933723196883</v>
      </c>
      <c r="U187" s="25" t="s">
        <v>121</v>
      </c>
      <c r="V187" s="5"/>
    </row>
    <row r="188" spans="1:22" ht="15.6" x14ac:dyDescent="0.3">
      <c r="A188" s="24"/>
      <c r="B188" s="25" t="s">
        <v>207</v>
      </c>
      <c r="C188" s="25"/>
      <c r="D188" s="25"/>
      <c r="E188" s="25"/>
      <c r="F188" s="25"/>
      <c r="G188" s="25"/>
      <c r="H188" s="25"/>
      <c r="I188" s="25"/>
      <c r="J188" s="25"/>
      <c r="K188" s="25"/>
      <c r="L188" s="25"/>
      <c r="M188" s="25"/>
      <c r="N188" s="25"/>
      <c r="O188" s="25"/>
      <c r="P188" s="25"/>
      <c r="Q188" s="25"/>
      <c r="R188" s="25"/>
      <c r="S188" s="25"/>
      <c r="T188" s="66">
        <v>4.24</v>
      </c>
      <c r="U188" s="25" t="s">
        <v>121</v>
      </c>
      <c r="V188" s="5"/>
    </row>
    <row r="189" spans="1:22" ht="15.6" x14ac:dyDescent="0.3">
      <c r="A189" s="24"/>
      <c r="B189" s="25"/>
      <c r="C189" s="25"/>
      <c r="D189" s="25"/>
      <c r="E189" s="25"/>
      <c r="F189" s="25"/>
      <c r="G189" s="25"/>
      <c r="H189" s="25"/>
      <c r="I189" s="25"/>
      <c r="J189" s="25"/>
      <c r="K189" s="25"/>
      <c r="L189" s="25"/>
      <c r="M189" s="25"/>
      <c r="N189" s="25"/>
      <c r="O189" s="25"/>
      <c r="P189" s="25"/>
      <c r="Q189" s="25"/>
      <c r="R189" s="25"/>
      <c r="S189" s="25"/>
      <c r="T189" s="25"/>
      <c r="U189" s="25"/>
      <c r="V189" s="5"/>
    </row>
    <row r="190" spans="1:22" ht="15.6" x14ac:dyDescent="0.3">
      <c r="A190" s="24"/>
      <c r="B190" s="25"/>
      <c r="C190" s="25"/>
      <c r="D190" s="25"/>
      <c r="E190" s="25"/>
      <c r="F190" s="25"/>
      <c r="G190" s="25"/>
      <c r="H190" s="25"/>
      <c r="I190" s="25"/>
      <c r="J190" s="25"/>
      <c r="K190" s="25"/>
      <c r="L190" s="25"/>
      <c r="M190" s="25"/>
      <c r="N190" s="25"/>
      <c r="O190" s="25"/>
      <c r="P190" s="25"/>
      <c r="Q190" s="25"/>
      <c r="R190" s="25"/>
      <c r="S190" s="25"/>
      <c r="T190" s="25"/>
      <c r="U190" s="25"/>
      <c r="V190" s="5"/>
    </row>
    <row r="191" spans="1:22" ht="15.6" x14ac:dyDescent="0.3">
      <c r="A191" s="6"/>
      <c r="B191" s="8"/>
      <c r="C191" s="8"/>
      <c r="D191" s="8"/>
      <c r="E191" s="8"/>
      <c r="F191" s="8"/>
      <c r="G191" s="8"/>
      <c r="H191" s="8"/>
      <c r="I191" s="8"/>
      <c r="J191" s="8"/>
      <c r="K191" s="8"/>
      <c r="L191" s="8"/>
      <c r="M191" s="8"/>
      <c r="N191" s="8"/>
      <c r="O191" s="8"/>
      <c r="P191" s="8"/>
      <c r="Q191" s="8"/>
      <c r="R191" s="8"/>
      <c r="S191" s="8"/>
      <c r="T191" s="8"/>
      <c r="U191" s="8"/>
      <c r="V191" s="5"/>
    </row>
    <row r="192" spans="1:22" ht="18" thickBot="1" x14ac:dyDescent="0.35">
      <c r="A192" s="101"/>
      <c r="B192" s="102" t="str">
        <f>B133</f>
        <v>PM11 INVESTOR REPORT QUARTER ENDING DECEMBER 2007</v>
      </c>
      <c r="C192" s="165"/>
      <c r="D192" s="165"/>
      <c r="E192" s="165"/>
      <c r="F192" s="165"/>
      <c r="G192" s="165"/>
      <c r="H192" s="165"/>
      <c r="I192" s="165"/>
      <c r="J192" s="165"/>
      <c r="K192" s="165"/>
      <c r="L192" s="165"/>
      <c r="M192" s="165"/>
      <c r="N192" s="165"/>
      <c r="O192" s="165"/>
      <c r="P192" s="165"/>
      <c r="Q192" s="165"/>
      <c r="R192" s="165"/>
      <c r="S192" s="165"/>
      <c r="T192" s="165"/>
      <c r="U192" s="166"/>
      <c r="V192" s="5"/>
    </row>
    <row r="193" spans="1:22" ht="15.6" x14ac:dyDescent="0.3">
      <c r="A193" s="67"/>
      <c r="B193" s="60" t="s">
        <v>71</v>
      </c>
      <c r="C193" s="68"/>
      <c r="D193" s="68"/>
      <c r="E193" s="68"/>
      <c r="F193" s="68"/>
      <c r="G193" s="69"/>
      <c r="H193" s="69"/>
      <c r="I193" s="69"/>
      <c r="J193" s="69"/>
      <c r="K193" s="69"/>
      <c r="L193" s="69"/>
      <c r="M193" s="69"/>
      <c r="N193" s="69"/>
      <c r="O193" s="69"/>
      <c r="P193" s="69"/>
      <c r="Q193" s="69"/>
      <c r="R193" s="70">
        <v>39447</v>
      </c>
      <c r="S193" s="4"/>
      <c r="T193" s="4"/>
      <c r="U193" s="4"/>
      <c r="V193" s="5"/>
    </row>
    <row r="194" spans="1:22" ht="15.6" x14ac:dyDescent="0.3">
      <c r="A194" s="71"/>
      <c r="B194" s="72"/>
      <c r="C194" s="73"/>
      <c r="D194" s="73"/>
      <c r="E194" s="73"/>
      <c r="F194" s="73"/>
      <c r="G194" s="74"/>
      <c r="H194" s="74"/>
      <c r="I194" s="74"/>
      <c r="J194" s="74"/>
      <c r="K194" s="74"/>
      <c r="L194" s="74"/>
      <c r="M194" s="74"/>
      <c r="N194" s="74"/>
      <c r="O194" s="74"/>
      <c r="P194" s="74"/>
      <c r="Q194" s="74"/>
      <c r="R194" s="74"/>
      <c r="S194" s="8"/>
      <c r="T194" s="8"/>
      <c r="U194" s="8"/>
      <c r="V194" s="5"/>
    </row>
    <row r="195" spans="1:22" ht="15.6" x14ac:dyDescent="0.3">
      <c r="A195" s="75"/>
      <c r="B195" s="76" t="s">
        <v>72</v>
      </c>
      <c r="C195" s="77"/>
      <c r="D195" s="77"/>
      <c r="E195" s="77"/>
      <c r="F195" s="77"/>
      <c r="G195" s="64"/>
      <c r="H195" s="64"/>
      <c r="I195" s="64"/>
      <c r="J195" s="64"/>
      <c r="K195" s="64"/>
      <c r="L195" s="64"/>
      <c r="M195" s="64"/>
      <c r="N195" s="64"/>
      <c r="O195" s="64"/>
      <c r="P195" s="64"/>
      <c r="Q195" s="64"/>
      <c r="R195" s="78">
        <v>5.1569999999999998E-2</v>
      </c>
      <c r="S195" s="25"/>
      <c r="T195" s="25"/>
      <c r="U195" s="25"/>
      <c r="V195" s="5"/>
    </row>
    <row r="196" spans="1:22" ht="15.6" x14ac:dyDescent="0.3">
      <c r="A196" s="75"/>
      <c r="B196" s="76" t="s">
        <v>157</v>
      </c>
      <c r="C196" s="77"/>
      <c r="D196" s="77"/>
      <c r="E196" s="77"/>
      <c r="F196" s="77"/>
      <c r="G196" s="64"/>
      <c r="H196" s="64"/>
      <c r="I196" s="64"/>
      <c r="J196" s="64"/>
      <c r="K196" s="64"/>
      <c r="L196" s="64"/>
      <c r="M196" s="64"/>
      <c r="N196" s="64"/>
      <c r="O196" s="64"/>
      <c r="P196" s="64"/>
      <c r="Q196" s="64"/>
      <c r="R196" s="39">
        <v>4.6899999999999997E-2</v>
      </c>
      <c r="S196" s="25"/>
      <c r="T196" s="25"/>
      <c r="U196" s="25"/>
      <c r="V196" s="5"/>
    </row>
    <row r="197" spans="1:22" ht="15.6" x14ac:dyDescent="0.3">
      <c r="A197" s="75"/>
      <c r="B197" s="76" t="s">
        <v>73</v>
      </c>
      <c r="C197" s="77"/>
      <c r="D197" s="77"/>
      <c r="E197" s="77"/>
      <c r="F197" s="77"/>
      <c r="G197" s="64"/>
      <c r="H197" s="64"/>
      <c r="I197" s="64"/>
      <c r="J197" s="64"/>
      <c r="K197" s="64"/>
      <c r="L197" s="64"/>
      <c r="M197" s="64"/>
      <c r="N197" s="64"/>
      <c r="O197" s="64"/>
      <c r="P197" s="64"/>
      <c r="Q197" s="64"/>
      <c r="R197" s="78">
        <f>R195-R196</f>
        <v>4.6700000000000005E-3</v>
      </c>
      <c r="S197" s="25"/>
      <c r="T197" s="25"/>
      <c r="U197" s="25"/>
      <c r="V197" s="5"/>
    </row>
    <row r="198" spans="1:22" ht="15.6" x14ac:dyDescent="0.3">
      <c r="A198" s="75"/>
      <c r="B198" s="76" t="s">
        <v>74</v>
      </c>
      <c r="C198" s="77"/>
      <c r="D198" s="77"/>
      <c r="E198" s="77"/>
      <c r="F198" s="77"/>
      <c r="G198" s="64"/>
      <c r="H198" s="64"/>
      <c r="I198" s="64"/>
      <c r="J198" s="64"/>
      <c r="K198" s="64"/>
      <c r="L198" s="64"/>
      <c r="M198" s="64"/>
      <c r="N198" s="64"/>
      <c r="O198" s="64"/>
      <c r="P198" s="64"/>
      <c r="Q198" s="64"/>
      <c r="R198" s="78">
        <v>5.5359999999999999E-2</v>
      </c>
      <c r="S198" s="25"/>
      <c r="T198" s="25"/>
      <c r="U198" s="25"/>
      <c r="V198" s="5"/>
    </row>
    <row r="199" spans="1:22" ht="15.6" x14ac:dyDescent="0.3">
      <c r="A199" s="75"/>
      <c r="B199" s="76" t="s">
        <v>257</v>
      </c>
      <c r="C199" s="77"/>
      <c r="D199" s="77"/>
      <c r="E199" s="77"/>
      <c r="F199" s="77"/>
      <c r="G199" s="64"/>
      <c r="H199" s="64"/>
      <c r="I199" s="64"/>
      <c r="J199" s="64"/>
      <c r="K199" s="64"/>
      <c r="L199" s="64"/>
      <c r="M199" s="64"/>
      <c r="N199" s="64"/>
      <c r="O199" s="64"/>
      <c r="P199" s="64"/>
      <c r="Q199" s="64"/>
      <c r="R199" s="78">
        <f>T43</f>
        <v>6.389005884592E-2</v>
      </c>
      <c r="S199" s="25"/>
      <c r="T199" s="25"/>
      <c r="U199" s="25"/>
      <c r="V199" s="5"/>
    </row>
    <row r="200" spans="1:22" ht="15.6" x14ac:dyDescent="0.3">
      <c r="A200" s="75"/>
      <c r="B200" s="76" t="s">
        <v>75</v>
      </c>
      <c r="C200" s="77"/>
      <c r="D200" s="77"/>
      <c r="E200" s="77"/>
      <c r="F200" s="77"/>
      <c r="G200" s="64"/>
      <c r="H200" s="64"/>
      <c r="I200" s="64"/>
      <c r="J200" s="64"/>
      <c r="K200" s="64"/>
      <c r="L200" s="64"/>
      <c r="M200" s="64"/>
      <c r="N200" s="64"/>
      <c r="O200" s="64"/>
      <c r="P200" s="64"/>
      <c r="Q200" s="64"/>
      <c r="R200" s="78">
        <f>R198-R199</f>
        <v>-8.5300588459200008E-3</v>
      </c>
      <c r="S200" s="25"/>
      <c r="T200" s="25"/>
      <c r="U200" s="25"/>
      <c r="V200" s="5"/>
    </row>
    <row r="201" spans="1:22" ht="15.6" x14ac:dyDescent="0.3">
      <c r="A201" s="75"/>
      <c r="B201" s="76" t="s">
        <v>260</v>
      </c>
      <c r="C201" s="77"/>
      <c r="D201" s="77"/>
      <c r="E201" s="77"/>
      <c r="F201" s="77"/>
      <c r="G201" s="64"/>
      <c r="H201" s="64"/>
      <c r="I201" s="64"/>
      <c r="J201" s="64"/>
      <c r="K201" s="64"/>
      <c r="L201" s="64"/>
      <c r="M201" s="64"/>
      <c r="N201" s="64"/>
      <c r="O201" s="64"/>
      <c r="P201" s="64"/>
      <c r="Q201" s="64"/>
      <c r="R201" s="78">
        <f>+T101/L72</f>
        <v>1.9579560597451182E-2</v>
      </c>
      <c r="S201" s="25"/>
      <c r="T201" s="25"/>
      <c r="U201" s="25"/>
      <c r="V201" s="5"/>
    </row>
    <row r="202" spans="1:22" ht="15.6" x14ac:dyDescent="0.3">
      <c r="A202" s="75"/>
      <c r="B202" s="76" t="s">
        <v>217</v>
      </c>
      <c r="C202" s="77"/>
      <c r="D202" s="77"/>
      <c r="E202" s="77"/>
      <c r="F202" s="77"/>
      <c r="G202" s="64"/>
      <c r="H202" s="64"/>
      <c r="I202" s="64"/>
      <c r="J202" s="64"/>
      <c r="K202" s="64"/>
      <c r="L202" s="64"/>
      <c r="M202" s="64"/>
      <c r="N202" s="64"/>
      <c r="O202" s="64"/>
      <c r="P202" s="64"/>
      <c r="Q202" s="64"/>
      <c r="R202" s="129">
        <v>15250</v>
      </c>
      <c r="S202" s="25"/>
      <c r="T202" s="25"/>
      <c r="U202" s="25"/>
      <c r="V202" s="5"/>
    </row>
    <row r="203" spans="1:22" ht="15.6" x14ac:dyDescent="0.3">
      <c r="A203" s="75"/>
      <c r="B203" s="76" t="s">
        <v>218</v>
      </c>
      <c r="C203" s="77"/>
      <c r="D203" s="77"/>
      <c r="E203" s="77"/>
      <c r="F203" s="77"/>
      <c r="G203" s="64"/>
      <c r="H203" s="64"/>
      <c r="I203" s="64"/>
      <c r="J203" s="64"/>
      <c r="K203" s="64"/>
      <c r="L203" s="64"/>
      <c r="M203" s="64"/>
      <c r="N203" s="64"/>
      <c r="O203" s="64"/>
      <c r="P203" s="64"/>
      <c r="Q203" s="64"/>
      <c r="R203" s="129">
        <v>15250</v>
      </c>
      <c r="S203" s="25"/>
      <c r="T203" s="25"/>
      <c r="U203" s="25"/>
      <c r="V203" s="5"/>
    </row>
    <row r="204" spans="1:22" ht="15.6" x14ac:dyDescent="0.3">
      <c r="A204" s="75"/>
      <c r="B204" s="76" t="s">
        <v>219</v>
      </c>
      <c r="C204" s="77"/>
      <c r="D204" s="77"/>
      <c r="E204" s="77"/>
      <c r="F204" s="77"/>
      <c r="G204" s="64"/>
      <c r="H204" s="64"/>
      <c r="I204" s="64"/>
      <c r="J204" s="64"/>
      <c r="K204" s="64"/>
      <c r="L204" s="64"/>
      <c r="M204" s="64"/>
      <c r="N204" s="64"/>
      <c r="O204" s="64"/>
      <c r="P204" s="64"/>
      <c r="Q204" s="64"/>
      <c r="R204" s="129">
        <v>15250</v>
      </c>
      <c r="S204" s="25"/>
      <c r="T204" s="25"/>
      <c r="U204" s="25"/>
      <c r="V204" s="5"/>
    </row>
    <row r="205" spans="1:22" ht="15.6" x14ac:dyDescent="0.3">
      <c r="A205" s="75"/>
      <c r="B205" s="76" t="s">
        <v>76</v>
      </c>
      <c r="C205" s="77"/>
      <c r="D205" s="77"/>
      <c r="E205" s="77"/>
      <c r="F205" s="77"/>
      <c r="G205" s="64"/>
      <c r="H205" s="64"/>
      <c r="I205" s="64"/>
      <c r="J205" s="64"/>
      <c r="K205" s="64"/>
      <c r="L205" s="64"/>
      <c r="M205" s="64"/>
      <c r="N205" s="64"/>
      <c r="O205" s="64"/>
      <c r="P205" s="64"/>
      <c r="Q205" s="64"/>
      <c r="R205" s="133">
        <v>21.18</v>
      </c>
      <c r="S205" s="25" t="s">
        <v>116</v>
      </c>
      <c r="T205" s="25"/>
      <c r="U205" s="25"/>
      <c r="V205" s="5"/>
    </row>
    <row r="206" spans="1:22" ht="15.6" x14ac:dyDescent="0.3">
      <c r="A206" s="75"/>
      <c r="B206" s="76" t="s">
        <v>77</v>
      </c>
      <c r="C206" s="77"/>
      <c r="D206" s="77"/>
      <c r="E206" s="77"/>
      <c r="F206" s="77"/>
      <c r="G206" s="64"/>
      <c r="H206" s="64"/>
      <c r="I206" s="64"/>
      <c r="J206" s="64"/>
      <c r="K206" s="64"/>
      <c r="L206" s="64"/>
      <c r="M206" s="64"/>
      <c r="N206" s="64"/>
      <c r="O206" s="64"/>
      <c r="P206" s="64"/>
      <c r="Q206" s="64"/>
      <c r="R206" s="133">
        <v>19.510000000000002</v>
      </c>
      <c r="S206" s="25" t="s">
        <v>116</v>
      </c>
      <c r="T206" s="25"/>
      <c r="U206" s="25"/>
      <c r="V206" s="5"/>
    </row>
    <row r="207" spans="1:22" ht="15.6" x14ac:dyDescent="0.3">
      <c r="A207" s="75"/>
      <c r="B207" s="76" t="s">
        <v>78</v>
      </c>
      <c r="C207" s="77"/>
      <c r="D207" s="77"/>
      <c r="E207" s="77"/>
      <c r="F207" s="77"/>
      <c r="G207" s="64"/>
      <c r="H207" s="64"/>
      <c r="I207" s="64"/>
      <c r="J207" s="64"/>
      <c r="K207" s="64"/>
      <c r="L207" s="64"/>
      <c r="M207" s="64"/>
      <c r="N207" s="64"/>
      <c r="O207" s="64"/>
      <c r="P207" s="64"/>
      <c r="Q207" s="64"/>
      <c r="R207" s="78">
        <f>+N69/L69</f>
        <v>4.7976087607045949E-2</v>
      </c>
      <c r="S207" s="25"/>
      <c r="T207" s="25"/>
      <c r="U207" s="25"/>
      <c r="V207" s="5"/>
    </row>
    <row r="208" spans="1:22" ht="15.6" x14ac:dyDescent="0.3">
      <c r="A208" s="75"/>
      <c r="B208" s="76" t="s">
        <v>79</v>
      </c>
      <c r="C208" s="77"/>
      <c r="D208" s="77"/>
      <c r="E208" s="77"/>
      <c r="F208" s="77"/>
      <c r="G208" s="64"/>
      <c r="H208" s="64"/>
      <c r="I208" s="64"/>
      <c r="J208" s="64"/>
      <c r="K208" s="64"/>
      <c r="L208" s="64"/>
      <c r="M208" s="64"/>
      <c r="N208" s="64"/>
      <c r="O208" s="64"/>
      <c r="P208" s="64"/>
      <c r="Q208" s="64"/>
      <c r="R208" s="78">
        <v>0.1028</v>
      </c>
      <c r="S208" s="25"/>
      <c r="T208" s="25"/>
      <c r="U208" s="25"/>
      <c r="V208" s="5"/>
    </row>
    <row r="209" spans="1:22" ht="15.6" x14ac:dyDescent="0.3">
      <c r="A209" s="75"/>
      <c r="B209" s="76"/>
      <c r="C209" s="76"/>
      <c r="D209" s="76"/>
      <c r="E209" s="76"/>
      <c r="F209" s="76"/>
      <c r="G209" s="25"/>
      <c r="H209" s="25"/>
      <c r="I209" s="25"/>
      <c r="J209" s="25"/>
      <c r="K209" s="25"/>
      <c r="L209" s="25"/>
      <c r="M209" s="25"/>
      <c r="N209" s="25"/>
      <c r="O209" s="25"/>
      <c r="P209" s="25"/>
      <c r="Q209" s="25"/>
      <c r="R209" s="61"/>
      <c r="S209" s="25"/>
      <c r="T209" s="79"/>
      <c r="U209" s="25"/>
      <c r="V209" s="5"/>
    </row>
    <row r="210" spans="1:22" ht="15.6" x14ac:dyDescent="0.3">
      <c r="A210" s="80"/>
      <c r="B210" s="14" t="s">
        <v>80</v>
      </c>
      <c r="C210" s="81"/>
      <c r="D210" s="81"/>
      <c r="E210" s="81"/>
      <c r="F210" s="82"/>
      <c r="G210" s="81"/>
      <c r="H210" s="17"/>
      <c r="I210" s="17"/>
      <c r="J210" s="17"/>
      <c r="K210" s="17"/>
      <c r="L210" s="17"/>
      <c r="M210" s="17"/>
      <c r="N210" s="17"/>
      <c r="O210" s="17"/>
      <c r="P210" s="17"/>
      <c r="Q210" s="17" t="s">
        <v>105</v>
      </c>
      <c r="R210" s="83" t="s">
        <v>112</v>
      </c>
      <c r="S210" s="8"/>
      <c r="T210" s="8"/>
      <c r="U210" s="8"/>
      <c r="V210" s="5"/>
    </row>
    <row r="211" spans="1:22" ht="15.6" x14ac:dyDescent="0.3">
      <c r="A211" s="84"/>
      <c r="B211" s="76" t="s">
        <v>81</v>
      </c>
      <c r="C211" s="54"/>
      <c r="D211" s="54"/>
      <c r="E211" s="54"/>
      <c r="F211" s="25"/>
      <c r="G211" s="25"/>
      <c r="H211" s="30"/>
      <c r="I211" s="30"/>
      <c r="J211" s="30"/>
      <c r="K211" s="30"/>
      <c r="L211" s="30"/>
      <c r="M211" s="30"/>
      <c r="N211" s="30"/>
      <c r="O211" s="30"/>
      <c r="P211" s="30"/>
      <c r="Q211" s="30">
        <v>1</v>
      </c>
      <c r="R211" s="85">
        <v>273</v>
      </c>
      <c r="S211" s="25"/>
      <c r="T211" s="79"/>
      <c r="U211" s="86"/>
      <c r="V211" s="5"/>
    </row>
    <row r="212" spans="1:22" ht="15.6" x14ac:dyDescent="0.3">
      <c r="A212" s="84"/>
      <c r="B212" s="76" t="s">
        <v>151</v>
      </c>
      <c r="C212" s="54"/>
      <c r="D212" s="54"/>
      <c r="E212" s="54"/>
      <c r="F212" s="25"/>
      <c r="G212" s="25"/>
      <c r="H212" s="30"/>
      <c r="I212" s="30"/>
      <c r="J212" s="30"/>
      <c r="K212" s="30"/>
      <c r="L212" s="30"/>
      <c r="M212" s="30"/>
      <c r="N212" s="30"/>
      <c r="O212" s="30"/>
      <c r="P212" s="30"/>
      <c r="Q212" s="152">
        <f>+P252</f>
        <v>18</v>
      </c>
      <c r="R212" s="85">
        <f>+R252</f>
        <v>2874</v>
      </c>
      <c r="S212" s="25"/>
      <c r="T212" s="79"/>
      <c r="U212" s="86"/>
      <c r="V212" s="5"/>
    </row>
    <row r="213" spans="1:22" ht="15.6" x14ac:dyDescent="0.3">
      <c r="A213" s="84"/>
      <c r="B213" s="76" t="s">
        <v>82</v>
      </c>
      <c r="C213" s="54"/>
      <c r="D213" s="54"/>
      <c r="E213" s="54"/>
      <c r="F213" s="25"/>
      <c r="G213" s="25"/>
      <c r="H213" s="30"/>
      <c r="I213" s="30"/>
      <c r="J213" s="30"/>
      <c r="K213" s="30"/>
      <c r="L213" s="30"/>
      <c r="M213" s="30"/>
      <c r="N213" s="30"/>
      <c r="O213" s="30"/>
      <c r="P213" s="30"/>
      <c r="Q213" s="152">
        <f>+P264</f>
        <v>1</v>
      </c>
      <c r="R213" s="85">
        <f>+R264</f>
        <v>236</v>
      </c>
      <c r="S213" s="25"/>
      <c r="T213" s="79"/>
      <c r="U213" s="86"/>
      <c r="V213" s="5"/>
    </row>
    <row r="214" spans="1:22" ht="15.6" x14ac:dyDescent="0.3">
      <c r="A214" s="84"/>
      <c r="B214" s="122" t="s">
        <v>83</v>
      </c>
      <c r="C214" s="54"/>
      <c r="D214" s="54"/>
      <c r="E214" s="54"/>
      <c r="F214" s="25"/>
      <c r="G214" s="25"/>
      <c r="H214" s="25"/>
      <c r="I214" s="25"/>
      <c r="J214" s="25"/>
      <c r="K214" s="25"/>
      <c r="L214" s="25"/>
      <c r="M214" s="25"/>
      <c r="N214" s="25"/>
      <c r="O214" s="25"/>
      <c r="P214" s="25"/>
      <c r="Q214" s="25"/>
      <c r="R214" s="85">
        <v>0</v>
      </c>
      <c r="S214" s="25"/>
      <c r="T214" s="79"/>
      <c r="U214" s="86"/>
      <c r="V214" s="5"/>
    </row>
    <row r="215" spans="1:22" ht="15.6" x14ac:dyDescent="0.3">
      <c r="A215" s="84"/>
      <c r="B215" s="122" t="s">
        <v>84</v>
      </c>
      <c r="C215" s="54"/>
      <c r="D215" s="54"/>
      <c r="E215" s="54"/>
      <c r="F215" s="25"/>
      <c r="G215" s="25"/>
      <c r="H215" s="25"/>
      <c r="I215" s="25"/>
      <c r="J215" s="25"/>
      <c r="K215" s="25"/>
      <c r="L215" s="25"/>
      <c r="M215" s="25"/>
      <c r="N215" s="25"/>
      <c r="O215" s="25"/>
      <c r="P215" s="25"/>
      <c r="Q215" s="25"/>
      <c r="R215" s="62" t="s">
        <v>113</v>
      </c>
      <c r="S215" s="25"/>
      <c r="T215" s="79"/>
      <c r="U215" s="86"/>
      <c r="V215" s="5"/>
    </row>
    <row r="216" spans="1:22" ht="15.6" x14ac:dyDescent="0.3">
      <c r="A216" s="87"/>
      <c r="B216" s="122" t="s">
        <v>85</v>
      </c>
      <c r="C216" s="76"/>
      <c r="D216" s="76"/>
      <c r="E216" s="76"/>
      <c r="F216" s="76"/>
      <c r="G216" s="25"/>
      <c r="H216" s="25"/>
      <c r="I216" s="25"/>
      <c r="J216" s="25"/>
      <c r="K216" s="25"/>
      <c r="L216" s="25"/>
      <c r="M216" s="25"/>
      <c r="N216" s="25"/>
      <c r="O216" s="25"/>
      <c r="P216" s="25"/>
      <c r="Q216" s="25"/>
      <c r="R216" s="85"/>
      <c r="S216" s="25"/>
      <c r="T216" s="79"/>
      <c r="U216" s="88"/>
      <c r="V216" s="5"/>
    </row>
    <row r="217" spans="1:22" ht="15.6" x14ac:dyDescent="0.3">
      <c r="A217" s="87"/>
      <c r="B217" s="131" t="s">
        <v>86</v>
      </c>
      <c r="C217" s="76"/>
      <c r="D217" s="76"/>
      <c r="E217" s="76"/>
      <c r="F217" s="76"/>
      <c r="G217" s="25"/>
      <c r="H217" s="25"/>
      <c r="I217" s="25"/>
      <c r="J217" s="25"/>
      <c r="K217" s="25"/>
      <c r="L217" s="25"/>
      <c r="M217" s="25"/>
      <c r="N217" s="25"/>
      <c r="O217" s="25"/>
      <c r="P217" s="25"/>
      <c r="Q217" s="30"/>
      <c r="R217" s="85">
        <f>T162</f>
        <v>0</v>
      </c>
      <c r="S217" s="25"/>
      <c r="T217" s="79"/>
      <c r="U217" s="88"/>
      <c r="V217" s="5"/>
    </row>
    <row r="218" spans="1:22" ht="15.6" x14ac:dyDescent="0.3">
      <c r="A218" s="84"/>
      <c r="B218" s="76" t="s">
        <v>87</v>
      </c>
      <c r="C218" s="54"/>
      <c r="D218" s="54"/>
      <c r="E218" s="54"/>
      <c r="F218" s="54"/>
      <c r="G218" s="25"/>
      <c r="H218" s="25"/>
      <c r="I218" s="25"/>
      <c r="J218" s="25"/>
      <c r="K218" s="25"/>
      <c r="L218" s="25"/>
      <c r="M218" s="25"/>
      <c r="N218" s="25"/>
      <c r="O218" s="25"/>
      <c r="P218" s="25"/>
      <c r="Q218" s="30"/>
      <c r="R218" s="85">
        <f>+'September 07'!R217+R217</f>
        <v>22</v>
      </c>
      <c r="S218" s="25"/>
      <c r="T218" s="79"/>
      <c r="U218" s="88"/>
      <c r="V218" s="5"/>
    </row>
    <row r="219" spans="1:22" ht="15.6" x14ac:dyDescent="0.3">
      <c r="A219" s="87"/>
      <c r="B219" s="122" t="s">
        <v>282</v>
      </c>
      <c r="C219" s="76"/>
      <c r="D219" s="76"/>
      <c r="E219" s="76"/>
      <c r="F219" s="76"/>
      <c r="G219" s="25"/>
      <c r="H219" s="25"/>
      <c r="I219" s="25"/>
      <c r="J219" s="25"/>
      <c r="K219" s="25"/>
      <c r="L219" s="25"/>
      <c r="M219" s="25"/>
      <c r="N219" s="25"/>
      <c r="O219" s="25"/>
      <c r="P219" s="25"/>
      <c r="Q219" s="30"/>
      <c r="R219" s="85"/>
      <c r="S219" s="25"/>
      <c r="T219" s="79"/>
      <c r="U219" s="88"/>
      <c r="V219" s="5"/>
    </row>
    <row r="220" spans="1:22" ht="15.6" x14ac:dyDescent="0.3">
      <c r="A220" s="87"/>
      <c r="B220" s="76" t="s">
        <v>280</v>
      </c>
      <c r="C220" s="76"/>
      <c r="D220" s="76"/>
      <c r="E220" s="76"/>
      <c r="F220" s="76"/>
      <c r="G220" s="25"/>
      <c r="H220" s="25"/>
      <c r="I220" s="25"/>
      <c r="J220" s="25"/>
      <c r="K220" s="25"/>
      <c r="L220" s="25"/>
      <c r="M220" s="25"/>
      <c r="N220" s="25"/>
      <c r="O220" s="25"/>
      <c r="P220" s="25"/>
      <c r="Q220" s="30">
        <v>0</v>
      </c>
      <c r="R220" s="85">
        <v>0</v>
      </c>
      <c r="S220" s="25"/>
      <c r="T220" s="79"/>
      <c r="U220" s="88"/>
      <c r="V220" s="5"/>
    </row>
    <row r="221" spans="1:22" ht="15.6" x14ac:dyDescent="0.3">
      <c r="A221" s="84"/>
      <c r="B221" s="76" t="s">
        <v>89</v>
      </c>
      <c r="C221" s="89"/>
      <c r="D221" s="89"/>
      <c r="E221" s="89"/>
      <c r="F221" s="90"/>
      <c r="G221" s="25"/>
      <c r="H221" s="25"/>
      <c r="I221" s="25"/>
      <c r="J221" s="25"/>
      <c r="K221" s="25"/>
      <c r="L221" s="25"/>
      <c r="M221" s="25"/>
      <c r="N221" s="25"/>
      <c r="O221" s="25"/>
      <c r="P221" s="25"/>
      <c r="Q221" s="25"/>
      <c r="R221" s="62">
        <v>0</v>
      </c>
      <c r="S221" s="25"/>
      <c r="T221" s="79"/>
      <c r="U221" s="88"/>
      <c r="V221" s="5"/>
    </row>
    <row r="222" spans="1:22" ht="15.6" x14ac:dyDescent="0.3">
      <c r="A222" s="84"/>
      <c r="B222" s="76" t="s">
        <v>90</v>
      </c>
      <c r="C222" s="89"/>
      <c r="D222" s="89"/>
      <c r="E222" s="89"/>
      <c r="F222" s="90"/>
      <c r="G222" s="25"/>
      <c r="H222" s="25"/>
      <c r="I222" s="25"/>
      <c r="J222" s="25"/>
      <c r="K222" s="25"/>
      <c r="L222" s="25"/>
      <c r="M222" s="25"/>
      <c r="N222" s="25"/>
      <c r="O222" s="25"/>
      <c r="P222" s="25"/>
      <c r="Q222" s="25"/>
      <c r="R222" s="62">
        <v>0</v>
      </c>
      <c r="S222" s="25"/>
      <c r="T222" s="79"/>
      <c r="U222" s="88"/>
      <c r="V222" s="5"/>
    </row>
    <row r="223" spans="1:22" ht="15.6" x14ac:dyDescent="0.3">
      <c r="A223" s="84"/>
      <c r="B223" s="122" t="s">
        <v>226</v>
      </c>
      <c r="C223" s="89"/>
      <c r="D223" s="89"/>
      <c r="E223" s="89"/>
      <c r="F223" s="90"/>
      <c r="G223" s="25"/>
      <c r="H223" s="25"/>
      <c r="I223" s="25"/>
      <c r="J223" s="25"/>
      <c r="K223" s="25"/>
      <c r="L223" s="25"/>
      <c r="M223" s="25"/>
      <c r="N223" s="25"/>
      <c r="O223" s="25"/>
      <c r="P223" s="25"/>
      <c r="Q223" s="30"/>
      <c r="R223" s="91"/>
      <c r="S223" s="25"/>
      <c r="T223" s="79"/>
      <c r="U223" s="88"/>
      <c r="V223" s="5"/>
    </row>
    <row r="224" spans="1:22" ht="15.6" x14ac:dyDescent="0.3">
      <c r="A224" s="84"/>
      <c r="B224" s="76" t="s">
        <v>280</v>
      </c>
      <c r="C224" s="89"/>
      <c r="D224" s="89"/>
      <c r="E224" s="89"/>
      <c r="F224" s="90"/>
      <c r="G224" s="25"/>
      <c r="H224" s="25"/>
      <c r="I224" s="25"/>
      <c r="J224" s="25"/>
      <c r="K224" s="25"/>
      <c r="L224" s="25"/>
      <c r="M224" s="25"/>
      <c r="N224" s="25"/>
      <c r="O224" s="25"/>
      <c r="P224" s="25"/>
      <c r="Q224" s="30">
        <v>0</v>
      </c>
      <c r="R224" s="85">
        <v>0</v>
      </c>
      <c r="S224" s="25"/>
      <c r="T224" s="79"/>
      <c r="U224" s="88"/>
      <c r="V224" s="5"/>
    </row>
    <row r="225" spans="1:23" ht="15.6" x14ac:dyDescent="0.3">
      <c r="A225" s="84"/>
      <c r="B225" s="76" t="s">
        <v>227</v>
      </c>
      <c r="C225" s="89"/>
      <c r="D225" s="89"/>
      <c r="E225" s="89"/>
      <c r="F225" s="90"/>
      <c r="G225" s="25"/>
      <c r="H225" s="25"/>
      <c r="I225" s="25"/>
      <c r="J225" s="25"/>
      <c r="K225" s="25"/>
      <c r="L225" s="25"/>
      <c r="M225" s="25"/>
      <c r="N225" s="25"/>
      <c r="O225" s="25"/>
      <c r="P225" s="25"/>
      <c r="Q225" s="30"/>
      <c r="R225" s="62">
        <v>0</v>
      </c>
      <c r="S225" s="25"/>
      <c r="T225" s="79"/>
      <c r="U225" s="88"/>
      <c r="V225" s="5"/>
    </row>
    <row r="226" spans="1:23" ht="15.6" x14ac:dyDescent="0.3">
      <c r="A226" s="84"/>
      <c r="B226" s="76"/>
      <c r="C226" s="89"/>
      <c r="D226" s="89"/>
      <c r="E226" s="89"/>
      <c r="F226" s="90"/>
      <c r="G226" s="25"/>
      <c r="H226" s="25"/>
      <c r="I226" s="25"/>
      <c r="J226" s="25"/>
      <c r="K226" s="25"/>
      <c r="L226" s="25"/>
      <c r="M226" s="25"/>
      <c r="N226" s="25"/>
      <c r="O226" s="25"/>
      <c r="P226" s="25"/>
      <c r="Q226" s="25"/>
      <c r="R226" s="91"/>
      <c r="S226" s="25"/>
      <c r="T226" s="79"/>
      <c r="U226" s="88"/>
      <c r="V226" s="5"/>
    </row>
    <row r="227" spans="1:23" ht="15.6" x14ac:dyDescent="0.3">
      <c r="A227" s="84"/>
      <c r="B227" s="76"/>
      <c r="C227" s="89"/>
      <c r="D227" s="89"/>
      <c r="E227" s="89"/>
      <c r="F227" s="90"/>
      <c r="G227" s="25"/>
      <c r="H227" s="25"/>
      <c r="I227" s="25"/>
      <c r="J227" s="25"/>
      <c r="K227" s="25"/>
      <c r="L227" s="25"/>
      <c r="M227" s="25"/>
      <c r="N227" s="25"/>
      <c r="O227" s="25"/>
      <c r="P227" s="25"/>
      <c r="Q227" s="25"/>
      <c r="R227" s="91"/>
      <c r="S227" s="25"/>
      <c r="T227" s="79"/>
      <c r="U227" s="88"/>
      <c r="V227" s="5"/>
    </row>
    <row r="228" spans="1:23" ht="17.399999999999999" x14ac:dyDescent="0.3">
      <c r="A228" s="84"/>
      <c r="B228" s="149" t="s">
        <v>175</v>
      </c>
      <c r="C228" s="89"/>
      <c r="D228" s="89"/>
      <c r="E228" s="89"/>
      <c r="F228" s="90"/>
      <c r="G228" s="25"/>
      <c r="H228" s="25"/>
      <c r="I228" s="25"/>
      <c r="J228" s="25"/>
      <c r="K228" s="25"/>
      <c r="L228" s="25"/>
      <c r="M228" s="25"/>
      <c r="N228" s="150" t="s">
        <v>174</v>
      </c>
      <c r="O228" s="25"/>
      <c r="P228" s="25"/>
      <c r="Q228" s="25"/>
      <c r="R228" s="91"/>
      <c r="S228" s="25"/>
      <c r="T228" s="79"/>
      <c r="U228" s="88"/>
      <c r="V228" s="5"/>
    </row>
    <row r="229" spans="1:23" ht="15.6" x14ac:dyDescent="0.3">
      <c r="A229" s="84"/>
      <c r="B229" s="76"/>
      <c r="C229" s="89"/>
      <c r="D229" s="89"/>
      <c r="E229" s="89"/>
      <c r="F229" s="90"/>
      <c r="G229" s="25"/>
      <c r="H229" s="25"/>
      <c r="I229" s="25"/>
      <c r="J229" s="25"/>
      <c r="K229" s="25"/>
      <c r="L229" s="25"/>
      <c r="M229" s="25"/>
      <c r="N229" s="25"/>
      <c r="O229" s="25"/>
      <c r="P229" s="25"/>
      <c r="Q229" s="25"/>
      <c r="R229" s="91"/>
      <c r="S229" s="25"/>
      <c r="T229" s="79"/>
      <c r="U229" s="88"/>
      <c r="V229" s="5"/>
    </row>
    <row r="230" spans="1:23" ht="15.6" x14ac:dyDescent="0.3">
      <c r="A230" s="6"/>
      <c r="B230" s="14" t="s">
        <v>169</v>
      </c>
      <c r="C230" s="81"/>
      <c r="D230" s="81"/>
      <c r="E230" s="81"/>
      <c r="F230" s="82"/>
      <c r="G230" s="81"/>
      <c r="H230" s="17"/>
      <c r="I230" s="17"/>
      <c r="J230" s="17"/>
      <c r="K230" s="17"/>
      <c r="L230" s="17"/>
      <c r="M230" s="17"/>
      <c r="N230" s="17"/>
      <c r="O230" s="17"/>
      <c r="P230" s="83" t="s">
        <v>105</v>
      </c>
      <c r="Q230" s="17" t="s">
        <v>106</v>
      </c>
      <c r="R230" s="83" t="s">
        <v>114</v>
      </c>
      <c r="S230" s="17" t="s">
        <v>106</v>
      </c>
      <c r="T230" s="8"/>
      <c r="U230" s="92"/>
      <c r="V230" s="5"/>
    </row>
    <row r="231" spans="1:23" ht="15.6" x14ac:dyDescent="0.3">
      <c r="A231" s="24"/>
      <c r="B231" s="54" t="s">
        <v>91</v>
      </c>
      <c r="C231" s="93"/>
      <c r="D231" s="93"/>
      <c r="E231" s="93"/>
      <c r="F231" s="25"/>
      <c r="G231" s="93"/>
      <c r="H231" s="93"/>
      <c r="I231" s="93"/>
      <c r="J231" s="93"/>
      <c r="K231" s="93"/>
      <c r="L231" s="93"/>
      <c r="M231" s="93"/>
      <c r="N231" s="93"/>
      <c r="O231" s="93"/>
      <c r="P231" s="54">
        <v>6248</v>
      </c>
      <c r="Q231" s="94">
        <f t="shared" ref="Q231:Q238" si="1">P231/$P$240</f>
        <v>0.9882948434039861</v>
      </c>
      <c r="R231" s="53">
        <v>838287</v>
      </c>
      <c r="S231" s="132">
        <f t="shared" ref="S231:S238" si="2">R231/$R$240</f>
        <v>0.98820804206108759</v>
      </c>
      <c r="T231" s="79"/>
      <c r="U231" s="88"/>
      <c r="V231" s="5"/>
    </row>
    <row r="232" spans="1:23" ht="15.6" x14ac:dyDescent="0.3">
      <c r="A232" s="24"/>
      <c r="B232" s="54" t="s">
        <v>92</v>
      </c>
      <c r="C232" s="93"/>
      <c r="D232" s="93"/>
      <c r="E232" s="93"/>
      <c r="F232" s="25"/>
      <c r="G232" s="94"/>
      <c r="H232" s="93"/>
      <c r="I232" s="93"/>
      <c r="J232" s="93"/>
      <c r="K232" s="93"/>
      <c r="L232" s="93"/>
      <c r="M232" s="93"/>
      <c r="N232" s="93"/>
      <c r="O232" s="93"/>
      <c r="P232" s="54">
        <v>52</v>
      </c>
      <c r="Q232" s="94">
        <f t="shared" si="1"/>
        <v>8.2252451755773486E-3</v>
      </c>
      <c r="R232" s="53">
        <v>7077</v>
      </c>
      <c r="S232" s="132">
        <f t="shared" si="2"/>
        <v>8.3426658336182204E-3</v>
      </c>
      <c r="T232" s="79"/>
      <c r="U232" s="88"/>
      <c r="V232" s="5"/>
      <c r="W232" s="109"/>
    </row>
    <row r="233" spans="1:23" ht="15.6" x14ac:dyDescent="0.3">
      <c r="A233" s="24"/>
      <c r="B233" s="54" t="s">
        <v>93</v>
      </c>
      <c r="C233" s="93"/>
      <c r="D233" s="93"/>
      <c r="E233" s="93"/>
      <c r="F233" s="25"/>
      <c r="G233" s="94"/>
      <c r="H233" s="93"/>
      <c r="I233" s="93"/>
      <c r="J233" s="93"/>
      <c r="K233" s="93"/>
      <c r="L233" s="93"/>
      <c r="M233" s="93"/>
      <c r="N233" s="93"/>
      <c r="O233" s="93"/>
      <c r="P233" s="54">
        <v>14</v>
      </c>
      <c r="Q233" s="94">
        <f t="shared" si="1"/>
        <v>2.2144890857323631E-3</v>
      </c>
      <c r="R233" s="53">
        <v>1760</v>
      </c>
      <c r="S233" s="132">
        <f t="shared" si="2"/>
        <v>2.0747621685980031E-3</v>
      </c>
      <c r="T233" s="79"/>
      <c r="U233" s="88"/>
      <c r="V233" s="5"/>
    </row>
    <row r="234" spans="1:23" ht="15.6" x14ac:dyDescent="0.3">
      <c r="A234" s="24"/>
      <c r="B234" s="54" t="s">
        <v>163</v>
      </c>
      <c r="C234" s="93"/>
      <c r="D234" s="93"/>
      <c r="E234" s="93"/>
      <c r="F234" s="25"/>
      <c r="G234" s="94"/>
      <c r="H234" s="93"/>
      <c r="I234" s="93"/>
      <c r="J234" s="93"/>
      <c r="K234" s="93"/>
      <c r="L234" s="93"/>
      <c r="M234" s="93"/>
      <c r="N234" s="93"/>
      <c r="O234" s="93"/>
      <c r="P234" s="54">
        <v>5</v>
      </c>
      <c r="Q234" s="94">
        <f t="shared" si="1"/>
        <v>7.9088895919012967E-4</v>
      </c>
      <c r="R234" s="53">
        <v>561</v>
      </c>
      <c r="S234" s="132">
        <f t="shared" si="2"/>
        <v>6.613304412406135E-4</v>
      </c>
      <c r="T234" s="79"/>
      <c r="U234" s="88"/>
      <c r="V234" s="5"/>
      <c r="W234" s="109"/>
    </row>
    <row r="235" spans="1:23" ht="15.6" x14ac:dyDescent="0.3">
      <c r="A235" s="24"/>
      <c r="B235" s="54" t="s">
        <v>164</v>
      </c>
      <c r="C235" s="93"/>
      <c r="D235" s="93"/>
      <c r="E235" s="93"/>
      <c r="F235" s="25"/>
      <c r="G235" s="94"/>
      <c r="H235" s="93"/>
      <c r="I235" s="93"/>
      <c r="J235" s="93"/>
      <c r="K235" s="93"/>
      <c r="L235" s="93"/>
      <c r="M235" s="93"/>
      <c r="N235" s="93"/>
      <c r="O235" s="93"/>
      <c r="P235" s="54">
        <v>2</v>
      </c>
      <c r="Q235" s="94">
        <f t="shared" si="1"/>
        <v>3.1635558367605187E-4</v>
      </c>
      <c r="R235" s="53">
        <v>332</v>
      </c>
      <c r="S235" s="132">
        <f t="shared" si="2"/>
        <v>3.9137559089462328E-4</v>
      </c>
      <c r="T235" s="79"/>
      <c r="U235" s="88"/>
      <c r="V235" s="5"/>
    </row>
    <row r="236" spans="1:23" ht="15.6" x14ac:dyDescent="0.3">
      <c r="A236" s="24"/>
      <c r="B236" s="54" t="s">
        <v>165</v>
      </c>
      <c r="C236" s="93"/>
      <c r="D236" s="93"/>
      <c r="E236" s="93"/>
      <c r="F236" s="25"/>
      <c r="G236" s="94"/>
      <c r="H236" s="93"/>
      <c r="I236" s="93"/>
      <c r="J236" s="93"/>
      <c r="K236" s="93"/>
      <c r="L236" s="93"/>
      <c r="M236" s="93"/>
      <c r="N236" s="93"/>
      <c r="O236" s="93"/>
      <c r="P236" s="54">
        <v>0</v>
      </c>
      <c r="Q236" s="94">
        <f t="shared" si="1"/>
        <v>0</v>
      </c>
      <c r="R236" s="53">
        <v>0</v>
      </c>
      <c r="S236" s="132">
        <f t="shared" si="2"/>
        <v>0</v>
      </c>
      <c r="T236" s="79"/>
      <c r="U236" s="88"/>
      <c r="V236" s="5"/>
      <c r="W236" s="109"/>
    </row>
    <row r="237" spans="1:23" ht="15.6" x14ac:dyDescent="0.3">
      <c r="A237" s="24"/>
      <c r="B237" s="54" t="s">
        <v>166</v>
      </c>
      <c r="C237" s="93"/>
      <c r="D237" s="93"/>
      <c r="E237" s="93"/>
      <c r="F237" s="25"/>
      <c r="G237" s="94"/>
      <c r="H237" s="93"/>
      <c r="I237" s="93"/>
      <c r="J237" s="93"/>
      <c r="K237" s="93"/>
      <c r="L237" s="93"/>
      <c r="M237" s="93"/>
      <c r="N237" s="93"/>
      <c r="O237" s="93"/>
      <c r="P237" s="54">
        <v>1</v>
      </c>
      <c r="Q237" s="94">
        <f t="shared" si="1"/>
        <v>1.5817779183802593E-4</v>
      </c>
      <c r="R237" s="53">
        <v>273</v>
      </c>
      <c r="S237" s="132">
        <f t="shared" si="2"/>
        <v>3.2182390456094026E-4</v>
      </c>
      <c r="T237" s="79"/>
      <c r="U237" s="88"/>
      <c r="V237" s="5"/>
    </row>
    <row r="238" spans="1:23" ht="15.6" x14ac:dyDescent="0.3">
      <c r="A238" s="24"/>
      <c r="B238" s="54" t="s">
        <v>167</v>
      </c>
      <c r="C238" s="93"/>
      <c r="D238" s="93"/>
      <c r="E238" s="93"/>
      <c r="F238" s="25"/>
      <c r="G238" s="94"/>
      <c r="H238" s="93"/>
      <c r="I238" s="93"/>
      <c r="J238" s="93"/>
      <c r="K238" s="93"/>
      <c r="L238" s="93"/>
      <c r="M238" s="93"/>
      <c r="N238" s="93"/>
      <c r="O238" s="93"/>
      <c r="P238" s="54">
        <v>0</v>
      </c>
      <c r="Q238" s="94">
        <f t="shared" si="1"/>
        <v>0</v>
      </c>
      <c r="R238" s="53">
        <v>0</v>
      </c>
      <c r="S238" s="132">
        <f t="shared" si="2"/>
        <v>0</v>
      </c>
      <c r="T238" s="79"/>
      <c r="U238" s="88"/>
      <c r="V238" s="5"/>
      <c r="W238" s="109"/>
    </row>
    <row r="239" spans="1:23" ht="15.6" x14ac:dyDescent="0.3">
      <c r="A239" s="24"/>
      <c r="B239" s="54"/>
      <c r="C239" s="93"/>
      <c r="D239" s="93"/>
      <c r="E239" s="93"/>
      <c r="F239" s="25"/>
      <c r="G239" s="94"/>
      <c r="H239" s="93"/>
      <c r="I239" s="93"/>
      <c r="J239" s="93"/>
      <c r="K239" s="93"/>
      <c r="L239" s="93"/>
      <c r="M239" s="93"/>
      <c r="N239" s="93"/>
      <c r="O239" s="93"/>
      <c r="P239" s="54"/>
      <c r="Q239" s="94"/>
      <c r="R239" s="53"/>
      <c r="S239" s="132"/>
      <c r="T239" s="79"/>
      <c r="U239" s="88"/>
      <c r="V239" s="5"/>
    </row>
    <row r="240" spans="1:23" ht="15.6" x14ac:dyDescent="0.3">
      <c r="A240" s="24"/>
      <c r="B240" s="25" t="s">
        <v>120</v>
      </c>
      <c r="C240" s="25"/>
      <c r="D240" s="25"/>
      <c r="E240" s="25"/>
      <c r="F240" s="25"/>
      <c r="G240" s="25"/>
      <c r="H240" s="95"/>
      <c r="I240" s="95"/>
      <c r="J240" s="95"/>
      <c r="K240" s="95"/>
      <c r="L240" s="95"/>
      <c r="M240" s="95"/>
      <c r="N240" s="95"/>
      <c r="O240" s="95"/>
      <c r="P240" s="34">
        <f>SUM(P231:P239)</f>
        <v>6322</v>
      </c>
      <c r="Q240" s="132">
        <f>SUM(Q231:Q239)</f>
        <v>1</v>
      </c>
      <c r="R240" s="53">
        <f>SUM(R231:R239)</f>
        <v>848290</v>
      </c>
      <c r="S240" s="132">
        <f>SUM(S231:S239)</f>
        <v>1</v>
      </c>
      <c r="T240" s="25"/>
      <c r="U240" s="25"/>
      <c r="V240" s="5"/>
    </row>
    <row r="241" spans="1:22" ht="15.6" x14ac:dyDescent="0.3">
      <c r="A241" s="24"/>
      <c r="B241" s="25"/>
      <c r="C241" s="25"/>
      <c r="D241" s="25"/>
      <c r="E241" s="25"/>
      <c r="F241" s="25"/>
      <c r="G241" s="25"/>
      <c r="H241" s="95"/>
      <c r="I241" s="95"/>
      <c r="J241" s="95"/>
      <c r="K241" s="95"/>
      <c r="L241" s="95"/>
      <c r="M241" s="95"/>
      <c r="N241" s="95"/>
      <c r="O241" s="95"/>
      <c r="P241" s="34"/>
      <c r="Q241" s="132"/>
      <c r="R241" s="53"/>
      <c r="S241" s="132"/>
      <c r="T241" s="25"/>
      <c r="U241" s="25"/>
      <c r="V241" s="5"/>
    </row>
    <row r="242" spans="1:22" ht="15.6" x14ac:dyDescent="0.3">
      <c r="A242" s="141"/>
      <c r="B242" s="14" t="s">
        <v>267</v>
      </c>
      <c r="C242" s="81"/>
      <c r="D242" s="81"/>
      <c r="E242" s="81"/>
      <c r="F242" s="82"/>
      <c r="G242" s="81"/>
      <c r="H242" s="17"/>
      <c r="I242" s="17"/>
      <c r="J242" s="17"/>
      <c r="K242" s="17"/>
      <c r="L242" s="17"/>
      <c r="M242" s="17"/>
      <c r="N242" s="17"/>
      <c r="O242" s="17"/>
      <c r="P242" s="83" t="s">
        <v>105</v>
      </c>
      <c r="Q242" s="17" t="s">
        <v>106</v>
      </c>
      <c r="R242" s="83" t="s">
        <v>114</v>
      </c>
      <c r="S242" s="17" t="s">
        <v>106</v>
      </c>
      <c r="T242" s="139"/>
      <c r="U242" s="140"/>
      <c r="V242" s="5"/>
    </row>
    <row r="243" spans="1:22" ht="15.6" x14ac:dyDescent="0.3">
      <c r="A243" s="24"/>
      <c r="B243" s="54" t="s">
        <v>91</v>
      </c>
      <c r="C243" s="93"/>
      <c r="D243" s="93"/>
      <c r="E243" s="93"/>
      <c r="F243" s="25"/>
      <c r="G243" s="93"/>
      <c r="H243" s="93"/>
      <c r="I243" s="93"/>
      <c r="J243" s="93"/>
      <c r="K243" s="93"/>
      <c r="L243" s="93"/>
      <c r="M243" s="93"/>
      <c r="N243" s="93"/>
      <c r="O243" s="93"/>
      <c r="P243" s="54">
        <v>3</v>
      </c>
      <c r="Q243" s="94">
        <f t="shared" ref="Q243:Q250" si="3">P243/$P$252</f>
        <v>0.16666666666666666</v>
      </c>
      <c r="R243" s="53">
        <v>404</v>
      </c>
      <c r="S243" s="132">
        <f t="shared" ref="S243:S250" si="4">R243/$R$252</f>
        <v>0.14057063326374392</v>
      </c>
      <c r="T243" s="25"/>
      <c r="U243" s="25"/>
      <c r="V243" s="5"/>
    </row>
    <row r="244" spans="1:22" ht="15.6" x14ac:dyDescent="0.3">
      <c r="A244" s="24"/>
      <c r="B244" s="54" t="s">
        <v>92</v>
      </c>
      <c r="C244" s="93"/>
      <c r="D244" s="93"/>
      <c r="E244" s="93"/>
      <c r="F244" s="25"/>
      <c r="G244" s="94"/>
      <c r="H244" s="93"/>
      <c r="I244" s="93"/>
      <c r="J244" s="93"/>
      <c r="K244" s="93"/>
      <c r="L244" s="93"/>
      <c r="M244" s="93"/>
      <c r="N244" s="93"/>
      <c r="O244" s="93"/>
      <c r="P244" s="54">
        <v>0</v>
      </c>
      <c r="Q244" s="94">
        <f t="shared" si="3"/>
        <v>0</v>
      </c>
      <c r="R244" s="53">
        <v>0</v>
      </c>
      <c r="S244" s="132">
        <f t="shared" si="4"/>
        <v>0</v>
      </c>
      <c r="T244" s="25"/>
      <c r="U244" s="25"/>
      <c r="V244" s="5"/>
    </row>
    <row r="245" spans="1:22" ht="15.6" x14ac:dyDescent="0.3">
      <c r="A245" s="24"/>
      <c r="B245" s="54" t="s">
        <v>93</v>
      </c>
      <c r="C245" s="93"/>
      <c r="D245" s="93"/>
      <c r="E245" s="93"/>
      <c r="F245" s="25"/>
      <c r="G245" s="94"/>
      <c r="H245" s="93"/>
      <c r="I245" s="93"/>
      <c r="J245" s="93"/>
      <c r="K245" s="93"/>
      <c r="L245" s="93"/>
      <c r="M245" s="93"/>
      <c r="N245" s="93"/>
      <c r="O245" s="93"/>
      <c r="P245" s="54">
        <v>0</v>
      </c>
      <c r="Q245" s="94">
        <f t="shared" si="3"/>
        <v>0</v>
      </c>
      <c r="R245" s="53">
        <v>0</v>
      </c>
      <c r="S245" s="132">
        <f t="shared" si="4"/>
        <v>0</v>
      </c>
      <c r="T245" s="25"/>
      <c r="U245" s="25"/>
      <c r="V245" s="5"/>
    </row>
    <row r="246" spans="1:22" ht="15.6" x14ac:dyDescent="0.3">
      <c r="A246" s="24"/>
      <c r="B246" s="54" t="s">
        <v>163</v>
      </c>
      <c r="C246" s="93"/>
      <c r="D246" s="93"/>
      <c r="E246" s="93"/>
      <c r="F246" s="25"/>
      <c r="G246" s="94"/>
      <c r="H246" s="93"/>
      <c r="I246" s="93"/>
      <c r="J246" s="93"/>
      <c r="K246" s="93"/>
      <c r="L246" s="93"/>
      <c r="M246" s="93"/>
      <c r="N246" s="93"/>
      <c r="O246" s="93"/>
      <c r="P246" s="54">
        <v>1</v>
      </c>
      <c r="Q246" s="94">
        <f t="shared" si="3"/>
        <v>5.5555555555555552E-2</v>
      </c>
      <c r="R246" s="53">
        <v>143</v>
      </c>
      <c r="S246" s="132">
        <f t="shared" si="4"/>
        <v>4.9756437021572723E-2</v>
      </c>
      <c r="T246" s="25"/>
      <c r="U246" s="25"/>
      <c r="V246" s="5"/>
    </row>
    <row r="247" spans="1:22" ht="15.6" x14ac:dyDescent="0.3">
      <c r="A247" s="24"/>
      <c r="B247" s="54" t="s">
        <v>164</v>
      </c>
      <c r="C247" s="93"/>
      <c r="D247" s="93"/>
      <c r="E247" s="93"/>
      <c r="F247" s="25"/>
      <c r="G247" s="94"/>
      <c r="H247" s="93"/>
      <c r="I247" s="93"/>
      <c r="J247" s="93"/>
      <c r="K247" s="93"/>
      <c r="L247" s="93"/>
      <c r="M247" s="93"/>
      <c r="N247" s="93"/>
      <c r="O247" s="93"/>
      <c r="P247" s="54">
        <v>1</v>
      </c>
      <c r="Q247" s="94">
        <f t="shared" si="3"/>
        <v>5.5555555555555552E-2</v>
      </c>
      <c r="R247" s="53">
        <v>162</v>
      </c>
      <c r="S247" s="132">
        <f t="shared" si="4"/>
        <v>5.6367432150313153E-2</v>
      </c>
      <c r="T247" s="25"/>
      <c r="U247" s="25"/>
      <c r="V247" s="5"/>
    </row>
    <row r="248" spans="1:22" ht="15.6" x14ac:dyDescent="0.3">
      <c r="A248" s="24"/>
      <c r="B248" s="54" t="s">
        <v>165</v>
      </c>
      <c r="C248" s="93"/>
      <c r="D248" s="93"/>
      <c r="E248" s="93"/>
      <c r="F248" s="25"/>
      <c r="G248" s="94"/>
      <c r="H248" s="93"/>
      <c r="I248" s="93"/>
      <c r="J248" s="93"/>
      <c r="K248" s="93"/>
      <c r="L248" s="93"/>
      <c r="M248" s="93"/>
      <c r="N248" s="93"/>
      <c r="O248" s="93"/>
      <c r="P248" s="54">
        <v>2</v>
      </c>
      <c r="Q248" s="94">
        <f t="shared" si="3"/>
        <v>0.1111111111111111</v>
      </c>
      <c r="R248" s="53">
        <v>362</v>
      </c>
      <c r="S248" s="132">
        <f t="shared" si="4"/>
        <v>0.12595685455810718</v>
      </c>
      <c r="T248" s="25"/>
      <c r="U248" s="25"/>
      <c r="V248" s="5"/>
    </row>
    <row r="249" spans="1:22" ht="15.6" x14ac:dyDescent="0.3">
      <c r="A249" s="24"/>
      <c r="B249" s="54" t="s">
        <v>166</v>
      </c>
      <c r="C249" s="93"/>
      <c r="D249" s="93"/>
      <c r="E249" s="93"/>
      <c r="F249" s="25"/>
      <c r="G249" s="94"/>
      <c r="H249" s="93"/>
      <c r="I249" s="93"/>
      <c r="J249" s="93"/>
      <c r="K249" s="93"/>
      <c r="L249" s="93"/>
      <c r="M249" s="93"/>
      <c r="N249" s="93"/>
      <c r="O249" s="93"/>
      <c r="P249" s="54">
        <v>9</v>
      </c>
      <c r="Q249" s="94">
        <f t="shared" si="3"/>
        <v>0.5</v>
      </c>
      <c r="R249" s="53">
        <v>1612</v>
      </c>
      <c r="S249" s="132">
        <f t="shared" si="4"/>
        <v>0.56089074460681976</v>
      </c>
      <c r="T249" s="25"/>
      <c r="U249" s="25"/>
      <c r="V249" s="5"/>
    </row>
    <row r="250" spans="1:22" ht="15.6" x14ac:dyDescent="0.3">
      <c r="A250" s="24"/>
      <c r="B250" s="54" t="s">
        <v>167</v>
      </c>
      <c r="C250" s="93"/>
      <c r="D250" s="93"/>
      <c r="E250" s="93"/>
      <c r="F250" s="25"/>
      <c r="G250" s="94"/>
      <c r="H250" s="93"/>
      <c r="I250" s="93"/>
      <c r="J250" s="93"/>
      <c r="K250" s="93"/>
      <c r="L250" s="93"/>
      <c r="M250" s="93"/>
      <c r="N250" s="93"/>
      <c r="O250" s="93"/>
      <c r="P250" s="54">
        <v>2</v>
      </c>
      <c r="Q250" s="94">
        <f t="shared" si="3"/>
        <v>0.1111111111111111</v>
      </c>
      <c r="R250" s="53">
        <v>191</v>
      </c>
      <c r="S250" s="132">
        <f t="shared" si="4"/>
        <v>6.6457898399443285E-2</v>
      </c>
      <c r="T250" s="25"/>
      <c r="U250" s="25"/>
      <c r="V250" s="5"/>
    </row>
    <row r="251" spans="1:22" ht="15.6" x14ac:dyDescent="0.3">
      <c r="A251" s="24"/>
      <c r="B251" s="54"/>
      <c r="C251" s="93"/>
      <c r="D251" s="93"/>
      <c r="E251" s="93"/>
      <c r="F251" s="25"/>
      <c r="G251" s="94"/>
      <c r="H251" s="93"/>
      <c r="I251" s="93"/>
      <c r="J251" s="93"/>
      <c r="K251" s="93"/>
      <c r="L251" s="93"/>
      <c r="M251" s="93"/>
      <c r="N251" s="93"/>
      <c r="O251" s="93"/>
      <c r="P251" s="54"/>
      <c r="Q251" s="94"/>
      <c r="R251" s="53"/>
      <c r="S251" s="132"/>
      <c r="T251" s="25"/>
      <c r="U251" s="25"/>
      <c r="V251" s="5"/>
    </row>
    <row r="252" spans="1:22" ht="15.6" x14ac:dyDescent="0.3">
      <c r="A252" s="24"/>
      <c r="B252" s="25" t="s">
        <v>120</v>
      </c>
      <c r="C252" s="25"/>
      <c r="D252" s="25"/>
      <c r="E252" s="25"/>
      <c r="F252" s="25"/>
      <c r="G252" s="25"/>
      <c r="H252" s="95"/>
      <c r="I252" s="95"/>
      <c r="J252" s="95"/>
      <c r="K252" s="95"/>
      <c r="L252" s="95"/>
      <c r="M252" s="95"/>
      <c r="N252" s="95"/>
      <c r="O252" s="95"/>
      <c r="P252" s="34">
        <f>SUM(P243:P251)</f>
        <v>18</v>
      </c>
      <c r="Q252" s="132">
        <f>SUM(Q243:Q251)</f>
        <v>1</v>
      </c>
      <c r="R252" s="53">
        <f>SUM(R243:R251)</f>
        <v>2874</v>
      </c>
      <c r="S252" s="132">
        <f>SUM(S243:S251)</f>
        <v>1</v>
      </c>
      <c r="T252" s="25"/>
      <c r="U252" s="25"/>
      <c r="V252" s="5"/>
    </row>
    <row r="253" spans="1:22" ht="15.6" x14ac:dyDescent="0.3">
      <c r="A253" s="24"/>
      <c r="B253" s="25"/>
      <c r="C253" s="25"/>
      <c r="D253" s="25"/>
      <c r="E253" s="25"/>
      <c r="F253" s="25"/>
      <c r="G253" s="25"/>
      <c r="H253" s="95"/>
      <c r="I253" s="95"/>
      <c r="J253" s="95"/>
      <c r="K253" s="95"/>
      <c r="L253" s="95"/>
      <c r="M253" s="95"/>
      <c r="N253" s="95"/>
      <c r="O253" s="95"/>
      <c r="P253" s="34"/>
      <c r="Q253" s="132"/>
      <c r="R253" s="53"/>
      <c r="S253" s="132"/>
      <c r="T253" s="25"/>
      <c r="U253" s="25"/>
      <c r="V253" s="5"/>
    </row>
    <row r="254" spans="1:22" ht="15.6" x14ac:dyDescent="0.3">
      <c r="A254" s="141"/>
      <c r="B254" s="14" t="s">
        <v>170</v>
      </c>
      <c r="C254" s="139"/>
      <c r="D254" s="139"/>
      <c r="E254" s="139"/>
      <c r="F254" s="139"/>
      <c r="G254" s="139"/>
      <c r="H254" s="145"/>
      <c r="I254" s="145"/>
      <c r="J254" s="145"/>
      <c r="K254" s="145"/>
      <c r="L254" s="145"/>
      <c r="M254" s="145"/>
      <c r="N254" s="145"/>
      <c r="O254" s="145"/>
      <c r="P254" s="83" t="s">
        <v>105</v>
      </c>
      <c r="Q254" s="17" t="s">
        <v>106</v>
      </c>
      <c r="R254" s="83" t="s">
        <v>114</v>
      </c>
      <c r="S254" s="17" t="s">
        <v>106</v>
      </c>
      <c r="T254" s="139"/>
      <c r="U254" s="140"/>
      <c r="V254" s="5"/>
    </row>
    <row r="255" spans="1:22" ht="15.6" x14ac:dyDescent="0.3">
      <c r="A255" s="24"/>
      <c r="B255" s="54" t="s">
        <v>91</v>
      </c>
      <c r="C255" s="25"/>
      <c r="D255" s="25"/>
      <c r="E255" s="25"/>
      <c r="F255" s="25"/>
      <c r="G255" s="25"/>
      <c r="H255" s="95"/>
      <c r="I255" s="95"/>
      <c r="J255" s="95"/>
      <c r="K255" s="95"/>
      <c r="L255" s="95"/>
      <c r="M255" s="95"/>
      <c r="N255" s="95"/>
      <c r="O255" s="95"/>
      <c r="P255" s="54">
        <v>0</v>
      </c>
      <c r="Q255" s="94">
        <f t="shared" ref="Q255:Q261" si="5">P255/$P$252</f>
        <v>0</v>
      </c>
      <c r="R255" s="53">
        <v>0</v>
      </c>
      <c r="S255" s="132">
        <f t="shared" ref="S255:S261" si="6">R255/$R$252</f>
        <v>0</v>
      </c>
      <c r="T255" s="25"/>
      <c r="U255" s="25"/>
      <c r="V255" s="5"/>
    </row>
    <row r="256" spans="1:22" ht="15.6" x14ac:dyDescent="0.3">
      <c r="A256" s="24"/>
      <c r="B256" s="54" t="s">
        <v>92</v>
      </c>
      <c r="C256" s="25"/>
      <c r="D256" s="25"/>
      <c r="E256" s="25"/>
      <c r="F256" s="25"/>
      <c r="G256" s="25"/>
      <c r="H256" s="95"/>
      <c r="I256" s="95"/>
      <c r="J256" s="95"/>
      <c r="K256" s="95"/>
      <c r="L256" s="95"/>
      <c r="M256" s="95"/>
      <c r="N256" s="95"/>
      <c r="O256" s="95"/>
      <c r="P256" s="54">
        <v>0</v>
      </c>
      <c r="Q256" s="94">
        <f t="shared" si="5"/>
        <v>0</v>
      </c>
      <c r="R256" s="53">
        <v>0</v>
      </c>
      <c r="S256" s="132">
        <f t="shared" si="6"/>
        <v>0</v>
      </c>
      <c r="T256" s="25"/>
      <c r="U256" s="25"/>
      <c r="V256" s="5"/>
    </row>
    <row r="257" spans="1:22" ht="15.6" x14ac:dyDescent="0.3">
      <c r="A257" s="24"/>
      <c r="B257" s="54" t="s">
        <v>93</v>
      </c>
      <c r="C257" s="25"/>
      <c r="D257" s="25"/>
      <c r="E257" s="25"/>
      <c r="F257" s="25"/>
      <c r="G257" s="25"/>
      <c r="H257" s="95"/>
      <c r="I257" s="95"/>
      <c r="J257" s="95"/>
      <c r="K257" s="95"/>
      <c r="L257" s="95"/>
      <c r="M257" s="95"/>
      <c r="N257" s="95"/>
      <c r="O257" s="95"/>
      <c r="P257" s="54">
        <v>0</v>
      </c>
      <c r="Q257" s="94">
        <f t="shared" si="5"/>
        <v>0</v>
      </c>
      <c r="R257" s="53">
        <v>0</v>
      </c>
      <c r="S257" s="132">
        <f t="shared" si="6"/>
        <v>0</v>
      </c>
      <c r="T257" s="25"/>
      <c r="U257" s="25"/>
      <c r="V257" s="5"/>
    </row>
    <row r="258" spans="1:22" ht="15.6" x14ac:dyDescent="0.3">
      <c r="A258" s="24"/>
      <c r="B258" s="54" t="s">
        <v>163</v>
      </c>
      <c r="C258" s="25"/>
      <c r="D258" s="25"/>
      <c r="E258" s="25"/>
      <c r="F258" s="25"/>
      <c r="G258" s="25"/>
      <c r="H258" s="95"/>
      <c r="I258" s="95"/>
      <c r="J258" s="95"/>
      <c r="K258" s="95"/>
      <c r="L258" s="95"/>
      <c r="M258" s="95"/>
      <c r="N258" s="95"/>
      <c r="O258" s="95"/>
      <c r="P258" s="54">
        <v>0</v>
      </c>
      <c r="Q258" s="94">
        <f t="shared" si="5"/>
        <v>0</v>
      </c>
      <c r="R258" s="53">
        <v>0</v>
      </c>
      <c r="S258" s="132">
        <f t="shared" si="6"/>
        <v>0</v>
      </c>
      <c r="T258" s="25"/>
      <c r="U258" s="25"/>
      <c r="V258" s="5"/>
    </row>
    <row r="259" spans="1:22" ht="15.6" x14ac:dyDescent="0.3">
      <c r="A259" s="24"/>
      <c r="B259" s="54" t="s">
        <v>164</v>
      </c>
      <c r="C259" s="25"/>
      <c r="D259" s="25"/>
      <c r="E259" s="25"/>
      <c r="F259" s="25"/>
      <c r="G259" s="25"/>
      <c r="H259" s="95"/>
      <c r="I259" s="95"/>
      <c r="J259" s="95"/>
      <c r="K259" s="95"/>
      <c r="L259" s="95"/>
      <c r="M259" s="95"/>
      <c r="N259" s="95"/>
      <c r="O259" s="95"/>
      <c r="P259" s="54">
        <v>0</v>
      </c>
      <c r="Q259" s="94">
        <f t="shared" si="5"/>
        <v>0</v>
      </c>
      <c r="R259" s="53">
        <v>0</v>
      </c>
      <c r="S259" s="132">
        <f t="shared" si="6"/>
        <v>0</v>
      </c>
      <c r="T259" s="25"/>
      <c r="U259" s="25"/>
      <c r="V259" s="5"/>
    </row>
    <row r="260" spans="1:22" ht="15.6" x14ac:dyDescent="0.3">
      <c r="A260" s="24"/>
      <c r="B260" s="54" t="s">
        <v>165</v>
      </c>
      <c r="C260" s="25"/>
      <c r="D260" s="25"/>
      <c r="E260" s="25"/>
      <c r="F260" s="25"/>
      <c r="G260" s="25"/>
      <c r="H260" s="95"/>
      <c r="I260" s="95"/>
      <c r="J260" s="95"/>
      <c r="K260" s="95"/>
      <c r="L260" s="95"/>
      <c r="M260" s="95"/>
      <c r="N260" s="95"/>
      <c r="O260" s="95"/>
      <c r="P260" s="54">
        <v>0</v>
      </c>
      <c r="Q260" s="94">
        <f t="shared" si="5"/>
        <v>0</v>
      </c>
      <c r="R260" s="53">
        <v>0</v>
      </c>
      <c r="S260" s="132">
        <f t="shared" si="6"/>
        <v>0</v>
      </c>
      <c r="T260" s="25"/>
      <c r="U260" s="25"/>
      <c r="V260" s="5"/>
    </row>
    <row r="261" spans="1:22" ht="15.6" x14ac:dyDescent="0.3">
      <c r="A261" s="24"/>
      <c r="B261" s="54" t="s">
        <v>166</v>
      </c>
      <c r="C261" s="25"/>
      <c r="D261" s="25"/>
      <c r="E261" s="25"/>
      <c r="F261" s="25"/>
      <c r="G261" s="25"/>
      <c r="H261" s="95"/>
      <c r="I261" s="95"/>
      <c r="J261" s="95"/>
      <c r="K261" s="95"/>
      <c r="L261" s="95"/>
      <c r="M261" s="95"/>
      <c r="N261" s="95"/>
      <c r="O261" s="95"/>
      <c r="P261" s="54">
        <v>0</v>
      </c>
      <c r="Q261" s="94">
        <f t="shared" si="5"/>
        <v>0</v>
      </c>
      <c r="R261" s="53">
        <v>0</v>
      </c>
      <c r="S261" s="132">
        <f t="shared" si="6"/>
        <v>0</v>
      </c>
      <c r="T261" s="25"/>
      <c r="U261" s="25"/>
      <c r="V261" s="5"/>
    </row>
    <row r="262" spans="1:22" ht="15.6" x14ac:dyDescent="0.3">
      <c r="A262" s="24"/>
      <c r="B262" s="54" t="s">
        <v>167</v>
      </c>
      <c r="C262" s="25"/>
      <c r="D262" s="25"/>
      <c r="E262" s="25"/>
      <c r="F262" s="25"/>
      <c r="G262" s="25"/>
      <c r="H262" s="95"/>
      <c r="I262" s="95"/>
      <c r="J262" s="95"/>
      <c r="K262" s="95"/>
      <c r="L262" s="95"/>
      <c r="M262" s="95"/>
      <c r="N262" s="95"/>
      <c r="O262" s="95"/>
      <c r="P262" s="54">
        <v>1</v>
      </c>
      <c r="Q262" s="94">
        <f>P262/$P$264</f>
        <v>1</v>
      </c>
      <c r="R262" s="53">
        <v>236</v>
      </c>
      <c r="S262" s="132">
        <f>R262/$R$264</f>
        <v>1</v>
      </c>
      <c r="T262" s="25"/>
      <c r="U262" s="25"/>
      <c r="V262" s="5"/>
    </row>
    <row r="263" spans="1:22" ht="15.6" x14ac:dyDescent="0.3">
      <c r="A263" s="24"/>
      <c r="B263" s="54"/>
      <c r="C263" s="25"/>
      <c r="D263" s="25"/>
      <c r="E263" s="25"/>
      <c r="F263" s="25"/>
      <c r="G263" s="25"/>
      <c r="H263" s="95"/>
      <c r="I263" s="95"/>
      <c r="J263" s="95"/>
      <c r="K263" s="95"/>
      <c r="L263" s="95"/>
      <c r="M263" s="95"/>
      <c r="N263" s="95"/>
      <c r="O263" s="95"/>
      <c r="P263" s="54"/>
      <c r="Q263" s="94"/>
      <c r="R263" s="53"/>
      <c r="S263" s="132"/>
      <c r="T263" s="25"/>
      <c r="U263" s="25"/>
      <c r="V263" s="5"/>
    </row>
    <row r="264" spans="1:22" ht="15.6" x14ac:dyDescent="0.3">
      <c r="A264" s="24"/>
      <c r="B264" s="25" t="s">
        <v>120</v>
      </c>
      <c r="C264" s="25"/>
      <c r="D264" s="25"/>
      <c r="E264" s="25"/>
      <c r="F264" s="25"/>
      <c r="G264" s="25"/>
      <c r="H264" s="95"/>
      <c r="I264" s="95"/>
      <c r="J264" s="95"/>
      <c r="K264" s="95"/>
      <c r="L264" s="95"/>
      <c r="M264" s="95"/>
      <c r="N264" s="95"/>
      <c r="O264" s="95"/>
      <c r="P264" s="34">
        <f>SUM(P255:P262)</f>
        <v>1</v>
      </c>
      <c r="Q264" s="132">
        <f>SUM(Q255:Q263)</f>
        <v>1</v>
      </c>
      <c r="R264" s="53">
        <f>SUM(R255:R262)</f>
        <v>236</v>
      </c>
      <c r="S264" s="132">
        <f>SUM(S255:S263)</f>
        <v>1</v>
      </c>
      <c r="T264" s="25"/>
      <c r="U264" s="25"/>
      <c r="V264" s="5"/>
    </row>
    <row r="265" spans="1:22" ht="15.6" x14ac:dyDescent="0.3">
      <c r="A265" s="24"/>
      <c r="B265" s="25"/>
      <c r="C265" s="25"/>
      <c r="D265" s="25"/>
      <c r="E265" s="25"/>
      <c r="F265" s="25"/>
      <c r="G265" s="25"/>
      <c r="H265" s="95"/>
      <c r="I265" s="95"/>
      <c r="J265" s="95"/>
      <c r="K265" s="95"/>
      <c r="L265" s="95"/>
      <c r="M265" s="95"/>
      <c r="N265" s="95"/>
      <c r="O265" s="95"/>
      <c r="P265" s="34"/>
      <c r="Q265" s="132"/>
      <c r="R265" s="53"/>
      <c r="S265" s="132"/>
      <c r="T265" s="25"/>
      <c r="U265" s="25"/>
      <c r="V265" s="5"/>
    </row>
    <row r="266" spans="1:22" ht="15.6" x14ac:dyDescent="0.3">
      <c r="A266" s="24"/>
      <c r="B266" s="142" t="s">
        <v>171</v>
      </c>
      <c r="C266" s="25"/>
      <c r="D266" s="25"/>
      <c r="E266" s="25"/>
      <c r="F266" s="25"/>
      <c r="G266" s="25"/>
      <c r="H266" s="95"/>
      <c r="I266" s="95"/>
      <c r="J266" s="95"/>
      <c r="K266" s="95"/>
      <c r="L266" s="95"/>
      <c r="M266" s="95"/>
      <c r="N266" s="95"/>
      <c r="O266" s="95"/>
      <c r="P266" s="161">
        <f>P264+P252+P240</f>
        <v>6341</v>
      </c>
      <c r="Q266" s="143"/>
      <c r="R266" s="144">
        <f>+R264+R252+R240</f>
        <v>851400</v>
      </c>
      <c r="S266" s="143"/>
      <c r="T266" s="25"/>
      <c r="U266" s="25"/>
      <c r="V266" s="5"/>
    </row>
    <row r="267" spans="1:22" ht="15.6" x14ac:dyDescent="0.3">
      <c r="A267" s="24"/>
      <c r="B267" s="25"/>
      <c r="C267" s="25"/>
      <c r="D267" s="25"/>
      <c r="E267" s="25"/>
      <c r="F267" s="25"/>
      <c r="G267" s="25"/>
      <c r="H267" s="95"/>
      <c r="I267" s="95"/>
      <c r="J267" s="95"/>
      <c r="K267" s="95"/>
      <c r="L267" s="95"/>
      <c r="M267" s="95"/>
      <c r="N267" s="95"/>
      <c r="O267" s="95"/>
      <c r="P267" s="95"/>
      <c r="Q267" s="95"/>
      <c r="R267" s="53"/>
      <c r="S267" s="95"/>
      <c r="T267" s="25"/>
      <c r="U267" s="25"/>
      <c r="V267" s="5"/>
    </row>
    <row r="268" spans="1:22" ht="15.6" x14ac:dyDescent="0.3">
      <c r="A268" s="6"/>
      <c r="B268" s="8"/>
      <c r="C268" s="8"/>
      <c r="D268" s="8"/>
      <c r="E268" s="8"/>
      <c r="F268" s="8"/>
      <c r="G268" s="8"/>
      <c r="H268" s="96"/>
      <c r="I268" s="96"/>
      <c r="J268" s="96"/>
      <c r="K268" s="96"/>
      <c r="L268" s="96"/>
      <c r="M268" s="96"/>
      <c r="N268" s="96"/>
      <c r="O268" s="96"/>
      <c r="P268" s="96"/>
      <c r="Q268" s="96"/>
      <c r="R268" s="97"/>
      <c r="S268" s="96"/>
      <c r="T268" s="8"/>
      <c r="U268" s="8"/>
      <c r="V268" s="5"/>
    </row>
    <row r="269" spans="1:22" ht="15.6" x14ac:dyDescent="0.3">
      <c r="A269" s="167"/>
      <c r="B269" s="14" t="s">
        <v>94</v>
      </c>
      <c r="C269" s="15"/>
      <c r="D269" s="15"/>
      <c r="E269" s="15"/>
      <c r="F269" s="17" t="s">
        <v>100</v>
      </c>
      <c r="G269" s="15"/>
      <c r="H269" s="14" t="s">
        <v>102</v>
      </c>
      <c r="I269" s="162"/>
      <c r="J269" s="162"/>
      <c r="K269" s="162"/>
      <c r="L269" s="162"/>
      <c r="M269" s="162"/>
      <c r="N269" s="162"/>
      <c r="O269" s="162"/>
      <c r="P269" s="162"/>
      <c r="Q269" s="162"/>
      <c r="R269" s="162"/>
      <c r="S269" s="162"/>
      <c r="T269" s="162"/>
      <c r="U269" s="162"/>
      <c r="V269" s="5"/>
    </row>
    <row r="270" spans="1:22" ht="15.6" x14ac:dyDescent="0.3">
      <c r="A270" s="167"/>
      <c r="B270" s="13" t="s">
        <v>95</v>
      </c>
      <c r="C270" s="13"/>
      <c r="D270" s="13"/>
      <c r="E270" s="13"/>
      <c r="F270" s="130" t="s">
        <v>154</v>
      </c>
      <c r="G270" s="13"/>
      <c r="H270" s="13" t="s">
        <v>158</v>
      </c>
      <c r="I270" s="162"/>
      <c r="J270" s="162"/>
      <c r="K270" s="162"/>
      <c r="L270" s="162"/>
      <c r="M270" s="162"/>
      <c r="N270" s="162"/>
      <c r="O270" s="162"/>
      <c r="P270" s="162"/>
      <c r="Q270" s="162"/>
      <c r="R270" s="162"/>
      <c r="S270" s="162"/>
      <c r="T270" s="162"/>
      <c r="U270" s="162"/>
      <c r="V270" s="5"/>
    </row>
    <row r="271" spans="1:22" ht="15.6" x14ac:dyDescent="0.3">
      <c r="A271" s="167"/>
      <c r="B271" s="13" t="s">
        <v>268</v>
      </c>
      <c r="C271" s="13"/>
      <c r="D271" s="13"/>
      <c r="E271" s="13"/>
      <c r="F271" s="130" t="s">
        <v>269</v>
      </c>
      <c r="G271" s="13"/>
      <c r="H271" s="13" t="s">
        <v>270</v>
      </c>
      <c r="I271" s="162"/>
      <c r="J271" s="162"/>
      <c r="K271" s="162"/>
      <c r="L271" s="162"/>
      <c r="M271" s="162"/>
      <c r="N271" s="162"/>
      <c r="O271" s="162"/>
      <c r="P271" s="162"/>
      <c r="Q271" s="162"/>
      <c r="R271" s="162"/>
      <c r="S271" s="162"/>
      <c r="T271" s="162"/>
      <c r="U271" s="162"/>
      <c r="V271" s="5"/>
    </row>
    <row r="272" spans="1:22" ht="15.6" x14ac:dyDescent="0.3">
      <c r="A272" s="167"/>
      <c r="B272" s="13" t="s">
        <v>96</v>
      </c>
      <c r="C272" s="13"/>
      <c r="D272" s="13"/>
      <c r="E272" s="13"/>
      <c r="F272" s="130" t="s">
        <v>153</v>
      </c>
      <c r="G272" s="13"/>
      <c r="H272" s="13" t="s">
        <v>159</v>
      </c>
      <c r="I272" s="162"/>
      <c r="J272" s="162"/>
      <c r="K272" s="162"/>
      <c r="L272" s="162"/>
      <c r="M272" s="162"/>
      <c r="N272" s="162"/>
      <c r="O272" s="162"/>
      <c r="P272" s="162"/>
      <c r="Q272" s="162"/>
      <c r="R272" s="162"/>
      <c r="S272" s="162"/>
      <c r="T272" s="162"/>
      <c r="U272" s="162"/>
      <c r="V272" s="5"/>
    </row>
    <row r="273" spans="1:22" ht="15.6" x14ac:dyDescent="0.3">
      <c r="A273" s="167"/>
      <c r="B273" s="13"/>
      <c r="C273" s="13"/>
      <c r="D273" s="13"/>
      <c r="E273" s="13"/>
      <c r="F273" s="13"/>
      <c r="G273" s="99"/>
      <c r="H273" s="162"/>
      <c r="I273" s="162"/>
      <c r="J273" s="162"/>
      <c r="K273" s="162"/>
      <c r="L273" s="162"/>
      <c r="M273" s="162"/>
      <c r="N273" s="162"/>
      <c r="O273" s="162"/>
      <c r="P273" s="162"/>
      <c r="Q273" s="162"/>
      <c r="R273" s="162"/>
      <c r="S273" s="162"/>
      <c r="T273" s="162"/>
      <c r="U273" s="162"/>
      <c r="V273" s="5"/>
    </row>
    <row r="274" spans="1:22" ht="15.6" x14ac:dyDescent="0.3">
      <c r="A274" s="167"/>
      <c r="B274" s="13"/>
      <c r="C274" s="13"/>
      <c r="D274" s="13"/>
      <c r="E274" s="13"/>
      <c r="F274" s="13"/>
      <c r="G274" s="99"/>
      <c r="H274" s="162"/>
      <c r="I274" s="162"/>
      <c r="J274" s="162"/>
      <c r="K274" s="162"/>
      <c r="L274" s="162"/>
      <c r="M274" s="162"/>
      <c r="N274" s="162"/>
      <c r="O274" s="162"/>
      <c r="P274" s="162"/>
      <c r="Q274" s="162"/>
      <c r="R274" s="162"/>
      <c r="S274" s="162"/>
      <c r="T274" s="162"/>
      <c r="U274" s="162"/>
      <c r="V274" s="5"/>
    </row>
    <row r="275" spans="1:22" ht="18" thickBot="1" x14ac:dyDescent="0.35">
      <c r="A275" s="167"/>
      <c r="B275" s="49" t="str">
        <f>B192</f>
        <v>PM11 INVESTOR REPORT QUARTER ENDING DECEMBER 2007</v>
      </c>
      <c r="C275" s="13"/>
      <c r="D275" s="13"/>
      <c r="E275" s="13"/>
      <c r="F275" s="13"/>
      <c r="G275" s="99"/>
      <c r="H275" s="162"/>
      <c r="I275" s="162"/>
      <c r="J275" s="162"/>
      <c r="K275" s="162"/>
      <c r="L275" s="162"/>
      <c r="M275" s="162"/>
      <c r="N275" s="162"/>
      <c r="O275" s="162"/>
      <c r="P275" s="162"/>
      <c r="Q275" s="162"/>
      <c r="R275" s="162"/>
      <c r="S275" s="162"/>
      <c r="T275" s="162"/>
      <c r="U275" s="162"/>
      <c r="V275" s="5"/>
    </row>
    <row r="276" spans="1:22" x14ac:dyDescent="0.25">
      <c r="A276" s="100"/>
      <c r="B276" s="100"/>
      <c r="C276" s="100"/>
      <c r="D276" s="100"/>
      <c r="E276" s="100"/>
      <c r="F276" s="100"/>
      <c r="G276" s="100"/>
      <c r="H276" s="100"/>
      <c r="I276" s="100"/>
      <c r="J276" s="100"/>
      <c r="K276" s="100"/>
      <c r="L276" s="100"/>
      <c r="M276" s="100"/>
      <c r="N276" s="100"/>
      <c r="O276" s="100"/>
      <c r="P276" s="100"/>
      <c r="Q276" s="100"/>
      <c r="R276" s="100"/>
      <c r="S276" s="100"/>
      <c r="T276" s="100"/>
      <c r="U276" s="100"/>
    </row>
  </sheetData>
  <phoneticPr fontId="0" type="noConversion"/>
  <hyperlinks>
    <hyperlink ref="N228" r:id="rId1" xr:uid="{00000000-0004-0000-0600-000000000000}"/>
    <hyperlink ref="J9" r:id="rId2" xr:uid="{00000000-0004-0000-06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4" max="14" man="1"/>
    <brk id="133" max="14" man="1"/>
    <brk id="192" max="14" man="1"/>
  </row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2D2926"/>
  </sheetPr>
  <dimension ref="A1:X276"/>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08984375" style="1" customWidth="1"/>
    <col min="10" max="10" width="17.81640625" style="1" customWidth="1"/>
    <col min="11" max="11" width="2.1796875" style="1" customWidth="1"/>
    <col min="12" max="12" width="14.81640625" style="1" customWidth="1"/>
    <col min="13" max="13" width="2.1796875" style="1" customWidth="1"/>
    <col min="14" max="14" width="15.54296875" style="1" customWidth="1"/>
    <col min="15" max="15" width="2.08984375" style="1" customWidth="1"/>
    <col min="16" max="16" width="15.54296875" style="1" customWidth="1"/>
    <col min="17" max="18" width="12.81640625" style="1" customWidth="1"/>
    <col min="19" max="19" width="7.81640625" style="1" customWidth="1"/>
    <col min="20" max="20" width="14.81640625" style="1" customWidth="1"/>
    <col min="21" max="21" width="11.81640625" style="1" customWidth="1"/>
    <col min="22" max="16384" width="9.81640625" style="1"/>
  </cols>
  <sheetData>
    <row r="1" spans="1:22" ht="20.399999999999999" x14ac:dyDescent="0.35">
      <c r="A1" s="2"/>
      <c r="B1" s="3" t="s">
        <v>228</v>
      </c>
      <c r="C1" s="4"/>
      <c r="D1" s="4"/>
      <c r="E1" s="4"/>
      <c r="F1" s="4"/>
      <c r="G1" s="4"/>
      <c r="H1" s="4"/>
      <c r="I1" s="4"/>
      <c r="J1" s="4"/>
      <c r="K1" s="4"/>
      <c r="L1" s="4"/>
      <c r="M1" s="4"/>
      <c r="N1" s="4"/>
      <c r="O1" s="4"/>
      <c r="P1" s="4"/>
      <c r="Q1" s="4"/>
      <c r="R1" s="4"/>
      <c r="S1" s="4"/>
      <c r="T1" s="4"/>
      <c r="U1" s="4"/>
      <c r="V1" s="5"/>
    </row>
    <row r="2" spans="1:22" ht="15.6" x14ac:dyDescent="0.3">
      <c r="A2" s="6"/>
      <c r="B2" s="7"/>
      <c r="C2" s="8"/>
      <c r="D2" s="8"/>
      <c r="E2" s="8"/>
      <c r="F2" s="8"/>
      <c r="G2" s="8"/>
      <c r="H2" s="8"/>
      <c r="I2" s="8"/>
      <c r="J2" s="8"/>
      <c r="K2" s="8"/>
      <c r="L2" s="8"/>
      <c r="M2" s="8"/>
      <c r="N2" s="8"/>
      <c r="O2" s="8"/>
      <c r="P2" s="8"/>
      <c r="Q2" s="8"/>
      <c r="R2" s="8"/>
      <c r="S2" s="8"/>
      <c r="T2" s="8"/>
      <c r="U2" s="8"/>
      <c r="V2" s="5"/>
    </row>
    <row r="3" spans="1:22" ht="15.6" x14ac:dyDescent="0.3">
      <c r="A3" s="9"/>
      <c r="B3" s="111" t="s">
        <v>229</v>
      </c>
      <c r="C3" s="8"/>
      <c r="D3" s="8"/>
      <c r="E3" s="8"/>
      <c r="F3" s="8"/>
      <c r="G3" s="8"/>
      <c r="H3" s="8"/>
      <c r="I3" s="8"/>
      <c r="J3" s="8"/>
      <c r="K3" s="8"/>
      <c r="L3" s="8"/>
      <c r="M3" s="8"/>
      <c r="N3" s="8"/>
      <c r="O3" s="8"/>
      <c r="P3" s="8"/>
      <c r="Q3" s="8"/>
      <c r="R3" s="8"/>
      <c r="S3" s="8"/>
      <c r="T3" s="8"/>
      <c r="U3" s="8"/>
      <c r="V3" s="5"/>
    </row>
    <row r="4" spans="1:22" ht="15.6" x14ac:dyDescent="0.3">
      <c r="A4" s="6"/>
      <c r="B4" s="7"/>
      <c r="C4" s="8"/>
      <c r="D4" s="8"/>
      <c r="E4" s="8"/>
      <c r="F4" s="8"/>
      <c r="G4" s="8"/>
      <c r="H4" s="8"/>
      <c r="I4" s="8"/>
      <c r="J4" s="8"/>
      <c r="K4" s="8"/>
      <c r="L4" s="8"/>
      <c r="M4" s="8"/>
      <c r="N4" s="8"/>
      <c r="O4" s="8"/>
      <c r="P4" s="8"/>
      <c r="Q4" s="8"/>
      <c r="R4" s="8"/>
      <c r="S4" s="8"/>
      <c r="T4" s="8"/>
      <c r="U4" s="8"/>
      <c r="V4" s="5"/>
    </row>
    <row r="5" spans="1:22" ht="15.6" x14ac:dyDescent="0.3">
      <c r="A5" s="6"/>
      <c r="B5" s="11" t="s">
        <v>143</v>
      </c>
      <c r="C5" s="8"/>
      <c r="D5" s="8"/>
      <c r="E5" s="8"/>
      <c r="F5" s="8"/>
      <c r="G5" s="8"/>
      <c r="H5" s="8"/>
      <c r="I5" s="8"/>
      <c r="J5" s="8"/>
      <c r="K5" s="8"/>
      <c r="L5" s="8"/>
      <c r="M5" s="8"/>
      <c r="N5" s="8"/>
      <c r="O5" s="8"/>
      <c r="P5" s="8"/>
      <c r="Q5" s="8"/>
      <c r="R5" s="8"/>
      <c r="S5" s="8"/>
      <c r="T5" s="8"/>
      <c r="U5" s="8"/>
      <c r="V5" s="5"/>
    </row>
    <row r="6" spans="1:22" ht="15.6" x14ac:dyDescent="0.3">
      <c r="A6" s="6"/>
      <c r="B6" s="11" t="s">
        <v>145</v>
      </c>
      <c r="C6" s="8"/>
      <c r="D6" s="8"/>
      <c r="E6" s="8"/>
      <c r="F6" s="8"/>
      <c r="G6" s="8"/>
      <c r="H6" s="8"/>
      <c r="I6" s="8"/>
      <c r="J6" s="8"/>
      <c r="K6" s="8"/>
      <c r="L6" s="8"/>
      <c r="M6" s="8"/>
      <c r="N6" s="8"/>
      <c r="O6" s="8"/>
      <c r="P6" s="8"/>
      <c r="Q6" s="8"/>
      <c r="R6" s="8"/>
      <c r="S6" s="8"/>
      <c r="T6" s="8"/>
      <c r="U6" s="8"/>
      <c r="V6" s="5"/>
    </row>
    <row r="7" spans="1:22" ht="15.6" x14ac:dyDescent="0.3">
      <c r="A7" s="6"/>
      <c r="B7" s="11" t="s">
        <v>144</v>
      </c>
      <c r="C7" s="8"/>
      <c r="D7" s="8"/>
      <c r="E7" s="8"/>
      <c r="F7" s="8"/>
      <c r="G7" s="8"/>
      <c r="H7" s="8"/>
      <c r="I7" s="8"/>
      <c r="J7" s="8"/>
      <c r="K7" s="8"/>
      <c r="L7" s="8"/>
      <c r="M7" s="8"/>
      <c r="N7" s="8"/>
      <c r="O7" s="8"/>
      <c r="P7" s="8"/>
      <c r="Q7" s="8"/>
      <c r="R7" s="8"/>
      <c r="S7" s="8"/>
      <c r="T7" s="8"/>
      <c r="U7" s="8"/>
      <c r="V7" s="5"/>
    </row>
    <row r="8" spans="1:22" ht="15.6" x14ac:dyDescent="0.3">
      <c r="A8" s="6"/>
      <c r="B8" s="11"/>
      <c r="C8" s="8"/>
      <c r="D8" s="8"/>
      <c r="E8" s="8"/>
      <c r="F8" s="8"/>
      <c r="G8" s="8"/>
      <c r="H8" s="8"/>
      <c r="I8" s="8"/>
      <c r="J8" s="8"/>
      <c r="K8" s="8"/>
      <c r="L8" s="8"/>
      <c r="M8" s="8"/>
      <c r="N8" s="8"/>
      <c r="O8" s="8"/>
      <c r="P8" s="8"/>
      <c r="Q8" s="8"/>
      <c r="R8" s="8"/>
      <c r="S8" s="8"/>
      <c r="T8" s="8"/>
      <c r="U8" s="8"/>
      <c r="V8" s="5"/>
    </row>
    <row r="9" spans="1:22" ht="17.399999999999999" x14ac:dyDescent="0.3">
      <c r="A9" s="6"/>
      <c r="B9" s="147" t="s">
        <v>173</v>
      </c>
      <c r="C9" s="8"/>
      <c r="D9" s="8"/>
      <c r="E9" s="8"/>
      <c r="F9" s="8"/>
      <c r="G9" s="8"/>
      <c r="H9" s="8"/>
      <c r="I9" s="8"/>
      <c r="J9" s="148" t="s">
        <v>174</v>
      </c>
      <c r="K9" s="8"/>
      <c r="L9" s="148"/>
      <c r="M9" s="8"/>
      <c r="N9" s="8"/>
      <c r="O9" s="8"/>
      <c r="P9" s="8"/>
      <c r="Q9" s="8"/>
      <c r="R9" s="8"/>
      <c r="S9" s="8"/>
      <c r="T9" s="8"/>
      <c r="U9" s="8"/>
      <c r="V9" s="5"/>
    </row>
    <row r="10" spans="1:22" ht="15.6" x14ac:dyDescent="0.3">
      <c r="A10" s="6"/>
      <c r="B10" s="11"/>
      <c r="C10" s="13"/>
      <c r="D10" s="13"/>
      <c r="E10" s="13"/>
      <c r="F10" s="8"/>
      <c r="G10" s="8"/>
      <c r="H10" s="8"/>
      <c r="I10" s="8"/>
      <c r="J10" s="8"/>
      <c r="K10" s="8"/>
      <c r="L10" s="8"/>
      <c r="M10" s="8"/>
      <c r="N10" s="8"/>
      <c r="O10" s="8"/>
      <c r="P10" s="8"/>
      <c r="Q10" s="8"/>
      <c r="R10" s="8"/>
      <c r="S10" s="8"/>
      <c r="T10" s="8"/>
      <c r="U10" s="8"/>
      <c r="V10" s="5"/>
    </row>
    <row r="11" spans="1:22" ht="15.6" x14ac:dyDescent="0.3">
      <c r="A11" s="6"/>
      <c r="B11" s="14" t="s">
        <v>0</v>
      </c>
      <c r="C11" s="8"/>
      <c r="D11" s="8"/>
      <c r="E11" s="8"/>
      <c r="F11" s="8"/>
      <c r="G11" s="8"/>
      <c r="H11" s="8"/>
      <c r="I11" s="8"/>
      <c r="J11" s="8"/>
      <c r="K11" s="8"/>
      <c r="L11" s="8"/>
      <c r="M11" s="8"/>
      <c r="N11" s="8"/>
      <c r="O11" s="8"/>
      <c r="P11" s="8"/>
      <c r="Q11" s="8"/>
      <c r="R11" s="8"/>
      <c r="S11" s="8"/>
      <c r="T11" s="8"/>
      <c r="U11" s="8"/>
      <c r="V11" s="5"/>
    </row>
    <row r="12" spans="1:22" ht="16.2" thickBot="1" x14ac:dyDescent="0.35">
      <c r="A12" s="6"/>
      <c r="B12" s="13"/>
      <c r="C12" s="8"/>
      <c r="D12" s="8"/>
      <c r="E12" s="8"/>
      <c r="F12" s="8"/>
      <c r="G12" s="8"/>
      <c r="H12" s="8"/>
      <c r="I12" s="8"/>
      <c r="J12" s="8"/>
      <c r="K12" s="8"/>
      <c r="L12" s="8"/>
      <c r="M12" s="8"/>
      <c r="N12" s="8"/>
      <c r="O12" s="8"/>
      <c r="P12" s="8"/>
      <c r="Q12" s="8"/>
      <c r="R12" s="8"/>
      <c r="S12" s="8"/>
      <c r="T12" s="8"/>
      <c r="U12" s="8"/>
      <c r="V12" s="5"/>
    </row>
    <row r="13" spans="1:22" ht="15.6" x14ac:dyDescent="0.3">
      <c r="A13" s="2"/>
      <c r="B13" s="4"/>
      <c r="C13" s="4"/>
      <c r="D13" s="4"/>
      <c r="E13" s="4"/>
      <c r="F13" s="4"/>
      <c r="G13" s="4"/>
      <c r="H13" s="4"/>
      <c r="I13" s="4"/>
      <c r="J13" s="4"/>
      <c r="K13" s="4"/>
      <c r="L13" s="4"/>
      <c r="M13" s="4"/>
      <c r="N13" s="4"/>
      <c r="O13" s="4"/>
      <c r="P13" s="4"/>
      <c r="Q13" s="4"/>
      <c r="R13" s="4"/>
      <c r="S13" s="4"/>
      <c r="T13" s="4"/>
      <c r="U13" s="4"/>
      <c r="V13" s="5"/>
    </row>
    <row r="14" spans="1:22" ht="15.6" x14ac:dyDescent="0.3">
      <c r="A14" s="6"/>
      <c r="B14" s="14" t="s">
        <v>1</v>
      </c>
      <c r="C14" s="15"/>
      <c r="D14" s="15"/>
      <c r="E14" s="15"/>
      <c r="F14" s="15"/>
      <c r="G14" s="15"/>
      <c r="H14" s="15"/>
      <c r="I14" s="15"/>
      <c r="J14" s="15"/>
      <c r="K14" s="15"/>
      <c r="L14" s="15"/>
      <c r="M14" s="15"/>
      <c r="N14" s="15"/>
      <c r="O14" s="15"/>
      <c r="P14" s="15"/>
      <c r="Q14" s="15"/>
      <c r="R14" s="15"/>
      <c r="S14" s="15"/>
      <c r="T14" s="16" t="s">
        <v>230</v>
      </c>
      <c r="U14" s="15"/>
      <c r="V14" s="5"/>
    </row>
    <row r="15" spans="1:22" ht="15.6" x14ac:dyDescent="0.3">
      <c r="A15" s="6"/>
      <c r="B15" s="14" t="s">
        <v>2</v>
      </c>
      <c r="C15" s="15"/>
      <c r="D15" s="15"/>
      <c r="E15" s="15"/>
      <c r="F15" s="15"/>
      <c r="G15" s="15"/>
      <c r="H15" s="18"/>
      <c r="I15" s="18"/>
      <c r="J15" s="18"/>
      <c r="K15" s="18"/>
      <c r="L15" s="18"/>
      <c r="M15" s="18"/>
      <c r="N15" s="18"/>
      <c r="O15" s="18"/>
      <c r="P15" s="18" t="s">
        <v>107</v>
      </c>
      <c r="Q15" s="137">
        <v>0.40749999999999997</v>
      </c>
      <c r="R15" s="17" t="s">
        <v>146</v>
      </c>
      <c r="S15" s="137">
        <v>0.59250000000000003</v>
      </c>
      <c r="T15" s="16"/>
      <c r="U15" s="15"/>
      <c r="V15" s="5"/>
    </row>
    <row r="16" spans="1:22" ht="15.6" x14ac:dyDescent="0.3">
      <c r="A16" s="6"/>
      <c r="B16" s="14" t="s">
        <v>3</v>
      </c>
      <c r="C16" s="15"/>
      <c r="D16" s="15"/>
      <c r="E16" s="15"/>
      <c r="F16" s="15"/>
      <c r="G16" s="15"/>
      <c r="H16" s="18"/>
      <c r="I16" s="18"/>
      <c r="J16" s="18"/>
      <c r="K16" s="18"/>
      <c r="L16" s="18"/>
      <c r="M16" s="18"/>
      <c r="N16" s="18"/>
      <c r="O16" s="18"/>
      <c r="P16" s="18" t="s">
        <v>107</v>
      </c>
      <c r="Q16" s="137">
        <v>0.42320000000000002</v>
      </c>
      <c r="R16" s="17" t="s">
        <v>146</v>
      </c>
      <c r="S16" s="137">
        <v>0.57679999999999998</v>
      </c>
      <c r="T16" s="16"/>
      <c r="U16" s="15"/>
      <c r="V16" s="5"/>
    </row>
    <row r="17" spans="1:22" ht="15.6" x14ac:dyDescent="0.3">
      <c r="A17" s="6"/>
      <c r="B17" s="14" t="s">
        <v>4</v>
      </c>
      <c r="C17" s="15"/>
      <c r="D17" s="15"/>
      <c r="E17" s="15"/>
      <c r="F17" s="15"/>
      <c r="G17" s="15"/>
      <c r="H17" s="15"/>
      <c r="I17" s="15"/>
      <c r="J17" s="15"/>
      <c r="K17" s="15"/>
      <c r="L17" s="15"/>
      <c r="M17" s="15"/>
      <c r="N17" s="15"/>
      <c r="O17" s="15"/>
      <c r="P17" s="15"/>
      <c r="Q17" s="15"/>
      <c r="R17" s="15"/>
      <c r="S17" s="15"/>
      <c r="T17" s="19">
        <v>38799</v>
      </c>
      <c r="U17" s="15"/>
      <c r="V17" s="5"/>
    </row>
    <row r="18" spans="1:22" ht="15.6" x14ac:dyDescent="0.3">
      <c r="A18" s="6"/>
      <c r="B18" s="14" t="s">
        <v>5</v>
      </c>
      <c r="C18" s="15"/>
      <c r="D18" s="15"/>
      <c r="E18" s="15"/>
      <c r="F18" s="15"/>
      <c r="G18" s="15"/>
      <c r="H18" s="15"/>
      <c r="I18" s="15"/>
      <c r="J18" s="15"/>
      <c r="K18" s="15"/>
      <c r="L18" s="15"/>
      <c r="M18" s="15"/>
      <c r="N18" s="15"/>
      <c r="O18" s="15"/>
      <c r="P18" s="15"/>
      <c r="Q18" s="15"/>
      <c r="R18" s="15"/>
      <c r="S18" s="15"/>
      <c r="T18" s="19">
        <v>39560</v>
      </c>
      <c r="U18" s="15"/>
      <c r="V18" s="5"/>
    </row>
    <row r="19" spans="1:22" ht="15.6" x14ac:dyDescent="0.3">
      <c r="A19" s="6"/>
      <c r="B19" s="8"/>
      <c r="C19" s="8"/>
      <c r="D19" s="8"/>
      <c r="E19" s="8"/>
      <c r="F19" s="8"/>
      <c r="G19" s="8"/>
      <c r="H19" s="8"/>
      <c r="I19" s="8"/>
      <c r="J19" s="8"/>
      <c r="K19" s="8"/>
      <c r="L19" s="8"/>
      <c r="M19" s="8"/>
      <c r="N19" s="8"/>
      <c r="O19" s="8"/>
      <c r="P19" s="8"/>
      <c r="Q19" s="8"/>
      <c r="R19" s="8"/>
      <c r="S19" s="8"/>
      <c r="T19" s="20"/>
      <c r="U19" s="8"/>
      <c r="V19" s="5"/>
    </row>
    <row r="20" spans="1:22" ht="15.6" x14ac:dyDescent="0.3">
      <c r="A20" s="6"/>
      <c r="B20" s="21" t="s">
        <v>6</v>
      </c>
      <c r="C20" s="8"/>
      <c r="D20" s="8"/>
      <c r="E20" s="8"/>
      <c r="F20" s="8"/>
      <c r="G20" s="8"/>
      <c r="H20" s="8"/>
      <c r="I20" s="8"/>
      <c r="J20" s="8"/>
      <c r="K20" s="8"/>
      <c r="L20" s="8"/>
      <c r="M20" s="8"/>
      <c r="N20" s="8"/>
      <c r="O20" s="8"/>
      <c r="P20" s="8"/>
      <c r="Q20" s="8"/>
      <c r="R20" s="20" t="s">
        <v>108</v>
      </c>
      <c r="S20" s="8"/>
      <c r="T20" s="162"/>
      <c r="U20" s="8"/>
      <c r="V20" s="5"/>
    </row>
    <row r="21" spans="1:22" ht="15.6" x14ac:dyDescent="0.3">
      <c r="A21" s="6"/>
      <c r="B21" s="8"/>
      <c r="C21" s="8"/>
      <c r="D21" s="8"/>
      <c r="E21" s="8"/>
      <c r="F21" s="8"/>
      <c r="G21" s="8"/>
      <c r="H21" s="8"/>
      <c r="I21" s="8"/>
      <c r="J21" s="8"/>
      <c r="K21" s="8"/>
      <c r="L21" s="8"/>
      <c r="M21" s="8"/>
      <c r="N21" s="8"/>
      <c r="O21" s="8"/>
      <c r="P21" s="8"/>
      <c r="Q21" s="8"/>
      <c r="R21" s="8"/>
      <c r="S21" s="8"/>
      <c r="T21" s="22"/>
      <c r="U21" s="8"/>
      <c r="V21" s="5"/>
    </row>
    <row r="22" spans="1:22" ht="15.6" x14ac:dyDescent="0.3">
      <c r="A22" s="6"/>
      <c r="B22" s="8"/>
      <c r="C22" s="112"/>
      <c r="D22" s="112" t="s">
        <v>184</v>
      </c>
      <c r="E22" s="112"/>
      <c r="F22" s="112" t="s">
        <v>185</v>
      </c>
      <c r="G22" s="112"/>
      <c r="H22" s="112" t="s">
        <v>186</v>
      </c>
      <c r="I22" s="112"/>
      <c r="J22" s="112" t="s">
        <v>187</v>
      </c>
      <c r="K22" s="112"/>
      <c r="L22" s="112" t="s">
        <v>188</v>
      </c>
      <c r="M22" s="112"/>
      <c r="N22" s="112" t="s">
        <v>189</v>
      </c>
      <c r="O22" s="112"/>
      <c r="P22" s="112"/>
      <c r="Q22" s="113"/>
      <c r="R22" s="23"/>
      <c r="S22" s="162"/>
      <c r="T22" s="162"/>
      <c r="U22" s="8"/>
      <c r="V22" s="5"/>
    </row>
    <row r="23" spans="1:22" ht="15.6" x14ac:dyDescent="0.3">
      <c r="A23" s="24"/>
      <c r="B23" s="25" t="s">
        <v>7</v>
      </c>
      <c r="C23" s="26"/>
      <c r="D23" s="26" t="s">
        <v>222</v>
      </c>
      <c r="E23" s="26"/>
      <c r="F23" s="26" t="s">
        <v>147</v>
      </c>
      <c r="G23" s="26"/>
      <c r="H23" s="26" t="s">
        <v>147</v>
      </c>
      <c r="I23" s="26"/>
      <c r="J23" s="26" t="s">
        <v>190</v>
      </c>
      <c r="K23" s="26"/>
      <c r="L23" s="26" t="s">
        <v>190</v>
      </c>
      <c r="M23" s="26"/>
      <c r="N23" s="26" t="s">
        <v>148</v>
      </c>
      <c r="O23" s="26"/>
      <c r="P23" s="26"/>
      <c r="Q23" s="26"/>
      <c r="R23" s="26"/>
      <c r="S23" s="163"/>
      <c r="T23" s="163"/>
      <c r="U23" s="25"/>
      <c r="V23" s="5"/>
    </row>
    <row r="24" spans="1:22" ht="15.6" x14ac:dyDescent="0.3">
      <c r="A24" s="24"/>
      <c r="B24" s="25" t="s">
        <v>8</v>
      </c>
      <c r="C24" s="26"/>
      <c r="D24" s="26" t="s">
        <v>223</v>
      </c>
      <c r="E24" s="26"/>
      <c r="F24" s="26" t="s">
        <v>149</v>
      </c>
      <c r="G24" s="26"/>
      <c r="H24" s="26" t="s">
        <v>149</v>
      </c>
      <c r="I24" s="26"/>
      <c r="J24" s="26" t="s">
        <v>172</v>
      </c>
      <c r="K24" s="26"/>
      <c r="L24" s="26" t="s">
        <v>172</v>
      </c>
      <c r="M24" s="26"/>
      <c r="N24" s="26" t="s">
        <v>150</v>
      </c>
      <c r="O24" s="26"/>
      <c r="P24" s="26"/>
      <c r="Q24" s="26"/>
      <c r="R24" s="26"/>
      <c r="S24" s="163"/>
      <c r="T24" s="163"/>
      <c r="U24" s="25"/>
      <c r="V24" s="5"/>
    </row>
    <row r="25" spans="1:22" ht="15.6" x14ac:dyDescent="0.3">
      <c r="A25" s="28"/>
      <c r="B25" s="131" t="s">
        <v>198</v>
      </c>
      <c r="C25" s="123"/>
      <c r="D25" s="26" t="s">
        <v>224</v>
      </c>
      <c r="E25" s="26"/>
      <c r="F25" s="26" t="s">
        <v>149</v>
      </c>
      <c r="G25" s="26"/>
      <c r="H25" s="26" t="s">
        <v>149</v>
      </c>
      <c r="I25" s="26"/>
      <c r="J25" s="26" t="s">
        <v>172</v>
      </c>
      <c r="K25" s="26"/>
      <c r="L25" s="26" t="s">
        <v>172</v>
      </c>
      <c r="M25" s="26"/>
      <c r="N25" s="26" t="s">
        <v>150</v>
      </c>
      <c r="O25" s="26"/>
      <c r="P25" s="26"/>
      <c r="Q25" s="123"/>
      <c r="R25" s="26"/>
      <c r="S25" s="163"/>
      <c r="T25" s="163"/>
      <c r="U25" s="25"/>
      <c r="V25" s="5"/>
    </row>
    <row r="26" spans="1:22" ht="15.6" x14ac:dyDescent="0.3">
      <c r="A26" s="28"/>
      <c r="B26" s="29" t="s">
        <v>9</v>
      </c>
      <c r="C26" s="123"/>
      <c r="D26" s="123" t="s">
        <v>222</v>
      </c>
      <c r="E26" s="123"/>
      <c r="F26" s="123" t="s">
        <v>147</v>
      </c>
      <c r="G26" s="123"/>
      <c r="H26" s="123" t="s">
        <v>147</v>
      </c>
      <c r="I26" s="123"/>
      <c r="J26" s="123" t="s">
        <v>190</v>
      </c>
      <c r="K26" s="123"/>
      <c r="L26" s="123" t="s">
        <v>190</v>
      </c>
      <c r="M26" s="123"/>
      <c r="N26" s="123" t="s">
        <v>148</v>
      </c>
      <c r="O26" s="123"/>
      <c r="P26" s="123"/>
      <c r="Q26" s="123"/>
      <c r="R26" s="26"/>
      <c r="S26" s="163"/>
      <c r="T26" s="163"/>
      <c r="U26" s="25"/>
      <c r="V26" s="5"/>
    </row>
    <row r="27" spans="1:22" ht="15.6" x14ac:dyDescent="0.3">
      <c r="A27" s="24"/>
      <c r="B27" s="29" t="s">
        <v>199</v>
      </c>
      <c r="C27" s="26"/>
      <c r="D27" s="123" t="s">
        <v>223</v>
      </c>
      <c r="E27" s="123"/>
      <c r="F27" s="123" t="s">
        <v>149</v>
      </c>
      <c r="G27" s="123"/>
      <c r="H27" s="123" t="s">
        <v>149</v>
      </c>
      <c r="I27" s="123"/>
      <c r="J27" s="123" t="s">
        <v>172</v>
      </c>
      <c r="K27" s="123"/>
      <c r="L27" s="123" t="s">
        <v>172</v>
      </c>
      <c r="M27" s="123"/>
      <c r="N27" s="123" t="s">
        <v>150</v>
      </c>
      <c r="O27" s="123"/>
      <c r="P27" s="123"/>
      <c r="Q27" s="26"/>
      <c r="R27" s="30"/>
      <c r="S27" s="163"/>
      <c r="T27" s="163"/>
      <c r="U27" s="25"/>
      <c r="V27" s="5"/>
    </row>
    <row r="28" spans="1:22" ht="15.6" x14ac:dyDescent="0.3">
      <c r="A28" s="24"/>
      <c r="B28" s="153" t="s">
        <v>200</v>
      </c>
      <c r="C28" s="26"/>
      <c r="D28" s="123" t="s">
        <v>224</v>
      </c>
      <c r="E28" s="123"/>
      <c r="F28" s="123" t="s">
        <v>149</v>
      </c>
      <c r="G28" s="123"/>
      <c r="H28" s="123" t="s">
        <v>149</v>
      </c>
      <c r="I28" s="123"/>
      <c r="J28" s="123" t="s">
        <v>172</v>
      </c>
      <c r="K28" s="123"/>
      <c r="L28" s="123" t="s">
        <v>172</v>
      </c>
      <c r="M28" s="123"/>
      <c r="N28" s="123" t="s">
        <v>150</v>
      </c>
      <c r="O28" s="123"/>
      <c r="P28" s="123"/>
      <c r="Q28" s="26"/>
      <c r="R28" s="30"/>
      <c r="S28" s="163"/>
      <c r="T28" s="163"/>
      <c r="U28" s="25"/>
      <c r="V28" s="5"/>
    </row>
    <row r="29" spans="1:22" ht="15.6" x14ac:dyDescent="0.3">
      <c r="A29" s="24"/>
      <c r="B29" s="25" t="s">
        <v>10</v>
      </c>
      <c r="C29" s="32"/>
      <c r="D29" s="26" t="s">
        <v>237</v>
      </c>
      <c r="E29" s="26"/>
      <c r="F29" s="30" t="s">
        <v>238</v>
      </c>
      <c r="G29" s="26"/>
      <c r="H29" s="26" t="s">
        <v>239</v>
      </c>
      <c r="I29" s="26"/>
      <c r="J29" s="26" t="s">
        <v>240</v>
      </c>
      <c r="K29" s="26"/>
      <c r="L29" s="26" t="s">
        <v>241</v>
      </c>
      <c r="M29" s="26"/>
      <c r="N29" s="26" t="s">
        <v>242</v>
      </c>
      <c r="O29" s="26"/>
      <c r="P29" s="26"/>
      <c r="Q29" s="31"/>
      <c r="R29" s="31"/>
      <c r="S29" s="164"/>
      <c r="T29" s="31"/>
      <c r="U29" s="34"/>
      <c r="V29" s="5"/>
    </row>
    <row r="30" spans="1:22" ht="15.6" x14ac:dyDescent="0.3">
      <c r="A30" s="24"/>
      <c r="B30" s="25" t="s">
        <v>10</v>
      </c>
      <c r="C30" s="32"/>
      <c r="D30" s="26" t="s">
        <v>236</v>
      </c>
      <c r="E30" s="26"/>
      <c r="F30" s="30" t="s">
        <v>124</v>
      </c>
      <c r="G30" s="26"/>
      <c r="H30" s="26" t="s">
        <v>124</v>
      </c>
      <c r="I30" s="26"/>
      <c r="J30" s="26" t="s">
        <v>124</v>
      </c>
      <c r="K30" s="26"/>
      <c r="L30" s="26" t="s">
        <v>124</v>
      </c>
      <c r="M30" s="26"/>
      <c r="N30" s="26" t="s">
        <v>124</v>
      </c>
      <c r="O30" s="26"/>
      <c r="P30" s="26"/>
      <c r="Q30" s="31"/>
      <c r="R30" s="31"/>
      <c r="S30" s="164"/>
      <c r="T30" s="31"/>
      <c r="U30" s="34"/>
      <c r="V30" s="5"/>
    </row>
    <row r="31" spans="1:22" ht="15.6" x14ac:dyDescent="0.3">
      <c r="A31" s="28"/>
      <c r="B31" s="25" t="s">
        <v>139</v>
      </c>
      <c r="C31" s="36"/>
      <c r="D31" s="146">
        <v>985000</v>
      </c>
      <c r="E31" s="32"/>
      <c r="F31" s="31">
        <v>149500</v>
      </c>
      <c r="G31" s="31"/>
      <c r="H31" s="124">
        <v>219700</v>
      </c>
      <c r="I31" s="31"/>
      <c r="J31" s="31">
        <v>16000</v>
      </c>
      <c r="K31" s="31"/>
      <c r="L31" s="124">
        <v>82400</v>
      </c>
      <c r="M31" s="31"/>
      <c r="N31" s="124">
        <v>87500</v>
      </c>
      <c r="O31" s="31"/>
      <c r="P31" s="124"/>
      <c r="Q31" s="35"/>
      <c r="R31" s="35"/>
      <c r="S31" s="37"/>
      <c r="T31" s="35"/>
      <c r="U31" s="34"/>
      <c r="V31" s="5"/>
    </row>
    <row r="32" spans="1:22" ht="15.6" x14ac:dyDescent="0.3">
      <c r="A32" s="24"/>
      <c r="B32" s="25" t="s">
        <v>138</v>
      </c>
      <c r="C32" s="32"/>
      <c r="D32" s="146">
        <f>D38*D31</f>
        <v>816215.02950000006</v>
      </c>
      <c r="E32" s="32"/>
      <c r="F32" s="31">
        <f>F38*F31</f>
        <v>123882.3976</v>
      </c>
      <c r="G32" s="31"/>
      <c r="H32" s="124">
        <f>H38*H31</f>
        <v>182053.26256</v>
      </c>
      <c r="I32" s="31"/>
      <c r="J32" s="31">
        <f>+J31</f>
        <v>16000</v>
      </c>
      <c r="K32" s="31"/>
      <c r="L32" s="124">
        <f>+L31</f>
        <v>82400</v>
      </c>
      <c r="M32" s="31"/>
      <c r="N32" s="124">
        <f>+N31</f>
        <v>87500</v>
      </c>
      <c r="O32" s="31"/>
      <c r="P32" s="124"/>
      <c r="Q32" s="31"/>
      <c r="R32" s="31"/>
      <c r="S32" s="164"/>
      <c r="T32" s="31"/>
      <c r="U32" s="34"/>
      <c r="V32" s="5"/>
    </row>
    <row r="33" spans="1:22" ht="15.6" x14ac:dyDescent="0.3">
      <c r="A33" s="24"/>
      <c r="B33" s="29" t="s">
        <v>140</v>
      </c>
      <c r="C33" s="32"/>
      <c r="D33" s="151">
        <f>D37*D31</f>
        <v>664241.64500000002</v>
      </c>
      <c r="E33" s="36"/>
      <c r="F33" s="35">
        <f>F37*F31</f>
        <v>100816.4014</v>
      </c>
      <c r="G33" s="35"/>
      <c r="H33" s="125">
        <f>H31*H37</f>
        <v>148156.27684000001</v>
      </c>
      <c r="I33" s="35"/>
      <c r="J33" s="35">
        <f>J31*J37</f>
        <v>16000</v>
      </c>
      <c r="K33" s="35"/>
      <c r="L33" s="125">
        <f>L31*L37</f>
        <v>82400</v>
      </c>
      <c r="M33" s="35"/>
      <c r="N33" s="125">
        <f>N31*N37</f>
        <v>87500</v>
      </c>
      <c r="O33" s="35"/>
      <c r="P33" s="125"/>
      <c r="Q33" s="31"/>
      <c r="R33" s="31"/>
      <c r="S33" s="164"/>
      <c r="T33" s="31"/>
      <c r="U33" s="34"/>
      <c r="V33" s="5"/>
    </row>
    <row r="34" spans="1:22" ht="15.6" x14ac:dyDescent="0.3">
      <c r="A34" s="28"/>
      <c r="B34" s="25" t="s">
        <v>283</v>
      </c>
      <c r="C34" s="36"/>
      <c r="D34" s="31">
        <v>567282</v>
      </c>
      <c r="E34" s="32"/>
      <c r="F34" s="31">
        <v>149500</v>
      </c>
      <c r="G34" s="31"/>
      <c r="H34" s="31">
        <v>150716</v>
      </c>
      <c r="I34" s="31"/>
      <c r="J34" s="31">
        <v>16000</v>
      </c>
      <c r="K34" s="31"/>
      <c r="L34" s="31">
        <v>56527</v>
      </c>
      <c r="M34" s="31"/>
      <c r="N34" s="31">
        <v>60025</v>
      </c>
      <c r="O34" s="31"/>
      <c r="P34" s="31"/>
      <c r="Q34" s="35"/>
      <c r="R34" s="35"/>
      <c r="S34" s="37"/>
      <c r="T34" s="154">
        <f>SUM(C34:P34)</f>
        <v>1000050</v>
      </c>
      <c r="U34" s="34"/>
      <c r="V34" s="5"/>
    </row>
    <row r="35" spans="1:22" ht="15.6" x14ac:dyDescent="0.3">
      <c r="A35" s="28"/>
      <c r="B35" s="25" t="s">
        <v>284</v>
      </c>
      <c r="C35" s="126"/>
      <c r="D35" s="31">
        <f>D38*D34</f>
        <v>470075.22270540003</v>
      </c>
      <c r="E35" s="32"/>
      <c r="F35" s="31">
        <f>F38*F34</f>
        <v>123882.3976</v>
      </c>
      <c r="G35" s="31"/>
      <c r="H35" s="31">
        <f>H38*H34</f>
        <v>124890.0296768</v>
      </c>
      <c r="I35" s="31"/>
      <c r="J35" s="31">
        <f>+J34</f>
        <v>16000</v>
      </c>
      <c r="K35" s="31"/>
      <c r="L35" s="31">
        <f>+L34</f>
        <v>56527</v>
      </c>
      <c r="M35" s="31"/>
      <c r="N35" s="31">
        <f>+N34</f>
        <v>60025</v>
      </c>
      <c r="O35" s="31"/>
      <c r="P35" s="31"/>
      <c r="Q35" s="31"/>
      <c r="R35" s="31"/>
      <c r="S35" s="164"/>
      <c r="T35" s="154">
        <f>SUM(C35:P35)</f>
        <v>851399.6499822</v>
      </c>
      <c r="U35" s="34"/>
      <c r="V35" s="5"/>
    </row>
    <row r="36" spans="1:22" ht="15.6" x14ac:dyDescent="0.3">
      <c r="A36" s="28"/>
      <c r="B36" s="29" t="s">
        <v>285</v>
      </c>
      <c r="C36" s="126"/>
      <c r="D36" s="35">
        <f>D37*D34</f>
        <v>382550.58767400001</v>
      </c>
      <c r="E36" s="36"/>
      <c r="F36" s="35">
        <f>F37*F34</f>
        <v>100816.4014</v>
      </c>
      <c r="G36" s="35"/>
      <c r="H36" s="35">
        <f>H37*H34</f>
        <v>101636.4197552</v>
      </c>
      <c r="I36" s="35"/>
      <c r="J36" s="35">
        <f>+J34</f>
        <v>16000</v>
      </c>
      <c r="K36" s="35"/>
      <c r="L36" s="35">
        <f>+L34</f>
        <v>56527</v>
      </c>
      <c r="M36" s="35"/>
      <c r="N36" s="35">
        <f>+N34</f>
        <v>60025</v>
      </c>
      <c r="O36" s="35"/>
      <c r="P36" s="35"/>
      <c r="Q36" s="128"/>
      <c r="R36" s="128"/>
      <c r="S36" s="164"/>
      <c r="T36" s="155">
        <f>SUM(C36:P36)+1</f>
        <v>717556.40882920008</v>
      </c>
      <c r="U36" s="34"/>
      <c r="V36" s="5"/>
    </row>
    <row r="37" spans="1:22" ht="15.6" x14ac:dyDescent="0.3">
      <c r="A37" s="24"/>
      <c r="B37" s="122" t="s">
        <v>136</v>
      </c>
      <c r="C37" s="25"/>
      <c r="D37" s="168">
        <v>0.67435699999999998</v>
      </c>
      <c r="E37" s="136"/>
      <c r="F37" s="168">
        <v>0.67435719999999999</v>
      </c>
      <c r="G37" s="135"/>
      <c r="H37" s="168">
        <v>0.67435719999999999</v>
      </c>
      <c r="I37" s="135"/>
      <c r="J37" s="168">
        <v>1</v>
      </c>
      <c r="K37" s="135"/>
      <c r="L37" s="168">
        <v>1</v>
      </c>
      <c r="M37" s="135"/>
      <c r="N37" s="168">
        <v>1</v>
      </c>
      <c r="O37" s="135"/>
      <c r="P37" s="135"/>
      <c r="Q37" s="30"/>
      <c r="R37" s="30"/>
      <c r="S37" s="163"/>
      <c r="T37" s="163"/>
      <c r="U37" s="25"/>
      <c r="V37" s="5"/>
    </row>
    <row r="38" spans="1:22" ht="15.6" x14ac:dyDescent="0.3">
      <c r="A38" s="24"/>
      <c r="B38" s="122" t="s">
        <v>137</v>
      </c>
      <c r="C38" s="25"/>
      <c r="D38" s="168">
        <v>0.82864470000000001</v>
      </c>
      <c r="E38" s="136"/>
      <c r="F38" s="168">
        <v>0.82864479999999996</v>
      </c>
      <c r="G38" s="135"/>
      <c r="H38" s="168">
        <v>0.82864479999999996</v>
      </c>
      <c r="I38" s="135"/>
      <c r="J38" s="135">
        <v>1</v>
      </c>
      <c r="K38" s="135"/>
      <c r="L38" s="135">
        <v>1</v>
      </c>
      <c r="M38" s="135"/>
      <c r="N38" s="135">
        <v>1</v>
      </c>
      <c r="O38" s="135"/>
      <c r="P38" s="135"/>
      <c r="Q38" s="39"/>
      <c r="R38" s="38"/>
      <c r="S38" s="163"/>
      <c r="T38" s="39"/>
      <c r="U38" s="25"/>
      <c r="V38" s="5"/>
    </row>
    <row r="39" spans="1:22" ht="15.6" x14ac:dyDescent="0.3">
      <c r="A39" s="24"/>
      <c r="B39" s="25" t="s">
        <v>11</v>
      </c>
      <c r="C39" s="25"/>
      <c r="D39" s="30" t="s">
        <v>275</v>
      </c>
      <c r="E39" s="25"/>
      <c r="F39" s="30" t="s">
        <v>231</v>
      </c>
      <c r="G39" s="30"/>
      <c r="H39" s="30" t="s">
        <v>231</v>
      </c>
      <c r="I39" s="30"/>
      <c r="J39" s="30" t="s">
        <v>232</v>
      </c>
      <c r="K39" s="30"/>
      <c r="L39" s="30" t="s">
        <v>232</v>
      </c>
      <c r="M39" s="30"/>
      <c r="N39" s="30" t="s">
        <v>233</v>
      </c>
      <c r="O39" s="30"/>
      <c r="P39" s="30"/>
      <c r="Q39" s="39"/>
      <c r="R39" s="38"/>
      <c r="S39" s="163"/>
      <c r="T39" s="163"/>
      <c r="U39" s="25"/>
      <c r="V39" s="5"/>
    </row>
    <row r="40" spans="1:22" ht="15.6" x14ac:dyDescent="0.3">
      <c r="A40" s="24"/>
      <c r="B40" s="25" t="s">
        <v>12</v>
      </c>
      <c r="C40" s="25"/>
      <c r="D40" s="38">
        <v>2.9175E-2</v>
      </c>
      <c r="E40" s="25"/>
      <c r="F40" s="38">
        <v>5.7868799999999998E-2</v>
      </c>
      <c r="G40" s="39"/>
      <c r="H40" s="38">
        <v>4.6960000000000002E-2</v>
      </c>
      <c r="I40" s="39"/>
      <c r="J40" s="38">
        <v>5.9068799999999998E-2</v>
      </c>
      <c r="K40" s="39"/>
      <c r="L40" s="38">
        <v>4.8160000000000001E-2</v>
      </c>
      <c r="M40" s="39"/>
      <c r="N40" s="38">
        <v>5.0259999999999999E-2</v>
      </c>
      <c r="O40" s="39"/>
      <c r="P40" s="38"/>
      <c r="Q40" s="39"/>
      <c r="R40" s="38"/>
      <c r="S40" s="163"/>
      <c r="T40" s="30"/>
      <c r="U40" s="25"/>
      <c r="V40" s="5"/>
    </row>
    <row r="41" spans="1:22" ht="15.6" x14ac:dyDescent="0.3">
      <c r="A41" s="24"/>
      <c r="B41" s="25" t="s">
        <v>13</v>
      </c>
      <c r="C41" s="25"/>
      <c r="D41" s="38">
        <v>5.0174999999999997E-2</v>
      </c>
      <c r="E41" s="25"/>
      <c r="F41" s="38">
        <v>6.4131300000000002E-2</v>
      </c>
      <c r="G41" s="39"/>
      <c r="H41" s="38">
        <v>4.8520000000000001E-2</v>
      </c>
      <c r="I41" s="39"/>
      <c r="J41" s="38">
        <v>6.5331299999999995E-2</v>
      </c>
      <c r="K41" s="39"/>
      <c r="L41" s="38">
        <v>4.972E-2</v>
      </c>
      <c r="M41" s="39"/>
      <c r="N41" s="38">
        <v>5.1819999999999998E-2</v>
      </c>
      <c r="O41" s="38"/>
      <c r="P41" s="38"/>
      <c r="Q41" s="39"/>
      <c r="R41" s="38"/>
      <c r="S41" s="163"/>
      <c r="T41" s="39" t="s">
        <v>201</v>
      </c>
      <c r="U41" s="25"/>
      <c r="V41" s="5"/>
    </row>
    <row r="42" spans="1:22" ht="15.6" x14ac:dyDescent="0.3">
      <c r="A42" s="24"/>
      <c r="B42" s="25" t="s">
        <v>286</v>
      </c>
      <c r="C42" s="25"/>
      <c r="D42" s="30" t="s">
        <v>231</v>
      </c>
      <c r="E42" s="25"/>
      <c r="F42" s="30" t="s">
        <v>231</v>
      </c>
      <c r="G42" s="30"/>
      <c r="H42" s="30" t="s">
        <v>243</v>
      </c>
      <c r="I42" s="30"/>
      <c r="J42" s="30" t="s">
        <v>232</v>
      </c>
      <c r="K42" s="30"/>
      <c r="L42" s="30" t="s">
        <v>244</v>
      </c>
      <c r="M42" s="30"/>
      <c r="N42" s="30" t="s">
        <v>246</v>
      </c>
      <c r="O42" s="30"/>
      <c r="P42" s="30"/>
      <c r="Q42" s="39"/>
      <c r="R42" s="38"/>
      <c r="S42" s="163"/>
      <c r="T42" s="163"/>
      <c r="U42" s="25"/>
      <c r="V42" s="5"/>
    </row>
    <row r="43" spans="1:22" ht="15.6" x14ac:dyDescent="0.3">
      <c r="A43" s="24"/>
      <c r="B43" s="25" t="s">
        <v>287</v>
      </c>
      <c r="C43" s="110"/>
      <c r="D43" s="38">
        <v>5.7904999999999998E-2</v>
      </c>
      <c r="E43" s="38"/>
      <c r="F43" s="38">
        <f>+F40</f>
        <v>5.7868799999999998E-2</v>
      </c>
      <c r="G43" s="38"/>
      <c r="H43" s="38">
        <v>5.7866800000000003E-2</v>
      </c>
      <c r="I43" s="38"/>
      <c r="J43" s="38">
        <f>+J40</f>
        <v>5.9068799999999998E-2</v>
      </c>
      <c r="K43" s="38"/>
      <c r="L43" s="38">
        <v>5.9221799999999998E-2</v>
      </c>
      <c r="M43" s="38"/>
      <c r="N43" s="38">
        <v>6.1573799999999998E-2</v>
      </c>
      <c r="O43" s="39"/>
      <c r="P43" s="38"/>
      <c r="Q43" s="30"/>
      <c r="R43" s="30"/>
      <c r="S43" s="163"/>
      <c r="T43" s="39">
        <f>SUMPRODUCT(D43:N43,D35:N35)/T35</f>
        <v>5.82620825189787E-2</v>
      </c>
      <c r="U43" s="25"/>
      <c r="V43" s="5"/>
    </row>
    <row r="44" spans="1:22" ht="15.6" x14ac:dyDescent="0.3">
      <c r="A44" s="24"/>
      <c r="B44" s="25" t="s">
        <v>288</v>
      </c>
      <c r="C44" s="110"/>
      <c r="D44" s="38">
        <v>6.3058299999999998E-2</v>
      </c>
      <c r="E44" s="38"/>
      <c r="F44" s="38">
        <f>+F41</f>
        <v>6.4131300000000002E-2</v>
      </c>
      <c r="G44" s="38"/>
      <c r="H44" s="38">
        <v>6.41293E-2</v>
      </c>
      <c r="I44" s="38"/>
      <c r="J44" s="38">
        <f>+J41</f>
        <v>6.5331299999999995E-2</v>
      </c>
      <c r="K44" s="38"/>
      <c r="L44" s="38">
        <v>6.5484299999999995E-2</v>
      </c>
      <c r="M44" s="38"/>
      <c r="N44" s="38">
        <v>6.7836300000000002E-2</v>
      </c>
      <c r="O44" s="39"/>
      <c r="P44" s="38"/>
      <c r="Q44" s="30"/>
      <c r="R44" s="30"/>
      <c r="S44" s="163"/>
      <c r="T44" s="163"/>
      <c r="U44" s="25"/>
      <c r="V44" s="5"/>
    </row>
    <row r="45" spans="1:22" ht="15.6" x14ac:dyDescent="0.3">
      <c r="A45" s="24"/>
      <c r="B45" s="25" t="s">
        <v>14</v>
      </c>
      <c r="C45" s="25"/>
      <c r="D45" s="110">
        <v>40283</v>
      </c>
      <c r="E45" s="110"/>
      <c r="F45" s="110">
        <v>40283</v>
      </c>
      <c r="G45" s="110"/>
      <c r="H45" s="110">
        <v>40283</v>
      </c>
      <c r="I45" s="110"/>
      <c r="J45" s="110">
        <v>40283</v>
      </c>
      <c r="K45" s="110"/>
      <c r="L45" s="110">
        <v>40283</v>
      </c>
      <c r="M45" s="110"/>
      <c r="N45" s="110">
        <v>40283</v>
      </c>
      <c r="O45" s="110"/>
      <c r="P45" s="110"/>
      <c r="Q45" s="30"/>
      <c r="R45" s="30"/>
      <c r="S45" s="163"/>
      <c r="T45" s="163"/>
      <c r="U45" s="25"/>
      <c r="V45" s="5"/>
    </row>
    <row r="46" spans="1:22" ht="15.6" x14ac:dyDescent="0.3">
      <c r="A46" s="24"/>
      <c r="B46" s="25" t="s">
        <v>15</v>
      </c>
      <c r="C46" s="25"/>
      <c r="D46" s="110">
        <v>40648</v>
      </c>
      <c r="E46" s="110"/>
      <c r="F46" s="110">
        <v>40648</v>
      </c>
      <c r="G46" s="110"/>
      <c r="H46" s="110">
        <v>40648</v>
      </c>
      <c r="I46" s="30"/>
      <c r="J46" s="110">
        <v>40648</v>
      </c>
      <c r="K46" s="30"/>
      <c r="L46" s="110">
        <v>40648</v>
      </c>
      <c r="M46" s="30"/>
      <c r="N46" s="110">
        <v>40648</v>
      </c>
      <c r="O46" s="30"/>
      <c r="P46" s="110"/>
      <c r="Q46" s="30"/>
      <c r="R46" s="30"/>
      <c r="S46" s="163"/>
      <c r="T46" s="163"/>
      <c r="U46" s="25"/>
      <c r="V46" s="5"/>
    </row>
    <row r="47" spans="1:22" ht="15.6" x14ac:dyDescent="0.3">
      <c r="A47" s="24"/>
      <c r="B47" s="25" t="s">
        <v>125</v>
      </c>
      <c r="C47" s="25"/>
      <c r="D47" s="160" t="s">
        <v>124</v>
      </c>
      <c r="E47" s="25"/>
      <c r="F47" s="30" t="s">
        <v>232</v>
      </c>
      <c r="G47" s="30"/>
      <c r="H47" s="30" t="s">
        <v>232</v>
      </c>
      <c r="I47" s="30"/>
      <c r="J47" s="30" t="s">
        <v>234</v>
      </c>
      <c r="K47" s="30"/>
      <c r="L47" s="30" t="s">
        <v>234</v>
      </c>
      <c r="M47" s="30"/>
      <c r="N47" s="30" t="s">
        <v>235</v>
      </c>
      <c r="O47" s="30"/>
      <c r="P47" s="30"/>
      <c r="Q47" s="40"/>
      <c r="R47" s="40"/>
      <c r="S47" s="40"/>
      <c r="T47" s="40"/>
      <c r="U47" s="25"/>
      <c r="V47" s="5"/>
    </row>
    <row r="48" spans="1:22" ht="15.6" x14ac:dyDescent="0.3">
      <c r="A48" s="24"/>
      <c r="B48" s="25" t="s">
        <v>289</v>
      </c>
      <c r="C48" s="25"/>
      <c r="D48" s="30" t="s">
        <v>208</v>
      </c>
      <c r="E48" s="25"/>
      <c r="F48" s="30" t="s">
        <v>232</v>
      </c>
      <c r="G48" s="30"/>
      <c r="H48" s="30" t="s">
        <v>232</v>
      </c>
      <c r="I48" s="30"/>
      <c r="J48" s="30" t="s">
        <v>234</v>
      </c>
      <c r="K48" s="30"/>
      <c r="L48" s="30" t="s">
        <v>245</v>
      </c>
      <c r="M48" s="30"/>
      <c r="N48" s="30" t="s">
        <v>247</v>
      </c>
      <c r="O48" s="30"/>
      <c r="P48" s="30"/>
      <c r="Q48" s="25"/>
      <c r="R48" s="25"/>
      <c r="S48" s="25"/>
      <c r="T48" s="39"/>
      <c r="U48" s="25"/>
      <c r="V48" s="5"/>
    </row>
    <row r="49" spans="1:23" ht="15.6" x14ac:dyDescent="0.3">
      <c r="A49" s="24"/>
      <c r="B49" s="25"/>
      <c r="C49" s="25"/>
      <c r="D49" s="30"/>
      <c r="E49" s="25"/>
      <c r="F49" s="30"/>
      <c r="G49" s="30"/>
      <c r="H49" s="30"/>
      <c r="I49" s="30"/>
      <c r="J49" s="30"/>
      <c r="K49" s="30"/>
      <c r="L49" s="30"/>
      <c r="M49" s="30"/>
      <c r="N49" s="30"/>
      <c r="O49" s="30"/>
      <c r="P49" s="30"/>
      <c r="Q49" s="25"/>
      <c r="R49" s="25"/>
      <c r="S49" s="25"/>
      <c r="T49" s="39" t="s">
        <v>201</v>
      </c>
      <c r="U49" s="25"/>
      <c r="V49" s="5"/>
    </row>
    <row r="50" spans="1:23" ht="15.6" x14ac:dyDescent="0.3">
      <c r="A50" s="24"/>
      <c r="B50" s="25" t="s">
        <v>176</v>
      </c>
      <c r="C50" s="25"/>
      <c r="D50" s="30"/>
      <c r="E50" s="25"/>
      <c r="F50" s="30"/>
      <c r="G50" s="30"/>
      <c r="H50" s="30"/>
      <c r="I50" s="30"/>
      <c r="J50" s="30"/>
      <c r="K50" s="30"/>
      <c r="L50" s="30"/>
      <c r="M50" s="30"/>
      <c r="N50" s="30"/>
      <c r="O50" s="30"/>
      <c r="P50" s="30"/>
      <c r="Q50" s="25"/>
      <c r="R50" s="25"/>
      <c r="S50" s="25"/>
      <c r="T50" s="39">
        <f>SUM(J34:P34)/SUM(D34:H34)</f>
        <v>0.15279804679664968</v>
      </c>
      <c r="U50" s="25"/>
      <c r="V50" s="5"/>
    </row>
    <row r="51" spans="1:23" ht="15.6" x14ac:dyDescent="0.3">
      <c r="A51" s="24"/>
      <c r="B51" s="25" t="s">
        <v>177</v>
      </c>
      <c r="C51" s="25"/>
      <c r="D51" s="25"/>
      <c r="E51" s="25"/>
      <c r="F51" s="41"/>
      <c r="G51" s="25"/>
      <c r="H51" s="25"/>
      <c r="I51" s="25"/>
      <c r="J51" s="25"/>
      <c r="K51" s="25"/>
      <c r="L51" s="25"/>
      <c r="M51" s="25"/>
      <c r="N51" s="25"/>
      <c r="O51" s="25"/>
      <c r="P51" s="25"/>
      <c r="Q51" s="25"/>
      <c r="R51" s="25"/>
      <c r="S51" s="25"/>
      <c r="T51" s="39">
        <f>SUM(J36:P36)/SUM(D36:H36)</f>
        <v>0.22658329507050856</v>
      </c>
      <c r="U51" s="25"/>
      <c r="V51" s="5"/>
    </row>
    <row r="52" spans="1:23" ht="15.6" x14ac:dyDescent="0.3">
      <c r="A52" s="24"/>
      <c r="B52" s="25" t="s">
        <v>178</v>
      </c>
      <c r="C52" s="25"/>
      <c r="D52" s="25"/>
      <c r="E52" s="25"/>
      <c r="F52" s="25"/>
      <c r="G52" s="25"/>
      <c r="H52" s="25"/>
      <c r="I52" s="25"/>
      <c r="J52" s="25"/>
      <c r="K52" s="25"/>
      <c r="L52" s="25"/>
      <c r="M52" s="25"/>
      <c r="N52" s="25"/>
      <c r="O52" s="25"/>
      <c r="P52" s="25"/>
      <c r="Q52" s="25"/>
      <c r="R52" s="30" t="s">
        <v>109</v>
      </c>
      <c r="S52" s="30" t="s">
        <v>115</v>
      </c>
      <c r="T52" s="31">
        <f>+T34/2-SUM(J34:P34)</f>
        <v>367473</v>
      </c>
      <c r="U52" s="25"/>
      <c r="V52" s="5"/>
    </row>
    <row r="53" spans="1:23" ht="15.6" x14ac:dyDescent="0.3">
      <c r="A53" s="24"/>
      <c r="B53" s="25"/>
      <c r="C53" s="25"/>
      <c r="D53" s="25"/>
      <c r="E53" s="25"/>
      <c r="F53" s="25"/>
      <c r="G53" s="25"/>
      <c r="H53" s="25"/>
      <c r="I53" s="25"/>
      <c r="J53" s="25"/>
      <c r="K53" s="25"/>
      <c r="L53" s="25"/>
      <c r="M53" s="25"/>
      <c r="N53" s="25"/>
      <c r="O53" s="25"/>
      <c r="P53" s="25"/>
      <c r="Q53" s="25"/>
      <c r="R53" s="25"/>
      <c r="S53" s="25"/>
      <c r="T53" s="42"/>
      <c r="U53" s="25"/>
      <c r="V53" s="5"/>
    </row>
    <row r="54" spans="1:23" ht="15.6" x14ac:dyDescent="0.3">
      <c r="A54" s="24"/>
      <c r="B54" s="25" t="s">
        <v>211</v>
      </c>
      <c r="C54" s="25"/>
      <c r="D54" s="25"/>
      <c r="E54" s="25"/>
      <c r="F54" s="25"/>
      <c r="G54" s="25"/>
      <c r="H54" s="25"/>
      <c r="I54" s="25"/>
      <c r="J54" s="25"/>
      <c r="K54" s="25"/>
      <c r="L54" s="25"/>
      <c r="M54" s="25"/>
      <c r="N54" s="25"/>
      <c r="O54" s="25"/>
      <c r="P54" s="25"/>
      <c r="Q54" s="25"/>
      <c r="R54" s="25"/>
      <c r="S54" s="25"/>
      <c r="T54" s="156" t="s">
        <v>212</v>
      </c>
      <c r="U54" s="25"/>
      <c r="V54" s="5"/>
    </row>
    <row r="55" spans="1:23" ht="15.6" x14ac:dyDescent="0.3">
      <c r="A55" s="24"/>
      <c r="B55" s="25" t="s">
        <v>253</v>
      </c>
      <c r="C55" s="25"/>
      <c r="D55" s="25"/>
      <c r="E55" s="25"/>
      <c r="F55" s="25"/>
      <c r="G55" s="25"/>
      <c r="H55" s="25"/>
      <c r="I55" s="25"/>
      <c r="J55" s="25"/>
      <c r="K55" s="25"/>
      <c r="L55" s="25"/>
      <c r="M55" s="25"/>
      <c r="N55" s="25"/>
      <c r="O55" s="25"/>
      <c r="P55" s="25"/>
      <c r="Q55" s="25"/>
      <c r="R55" s="30"/>
      <c r="S55" s="30"/>
      <c r="T55" s="157" t="s">
        <v>117</v>
      </c>
      <c r="U55" s="25"/>
      <c r="V55" s="5"/>
    </row>
    <row r="56" spans="1:23" ht="15.6" x14ac:dyDescent="0.3">
      <c r="A56" s="24"/>
      <c r="B56" s="29" t="s">
        <v>210</v>
      </c>
      <c r="C56" s="29"/>
      <c r="D56" s="29"/>
      <c r="E56" s="29"/>
      <c r="F56" s="29"/>
      <c r="G56" s="29"/>
      <c r="H56" s="29"/>
      <c r="I56" s="29"/>
      <c r="J56" s="29"/>
      <c r="K56" s="29"/>
      <c r="L56" s="29"/>
      <c r="M56" s="29"/>
      <c r="N56" s="29"/>
      <c r="O56" s="29"/>
      <c r="P56" s="29"/>
      <c r="Q56" s="29"/>
      <c r="R56" s="43"/>
      <c r="S56" s="43"/>
      <c r="T56" s="44">
        <v>39553</v>
      </c>
      <c r="U56" s="25"/>
      <c r="V56" s="5"/>
    </row>
    <row r="57" spans="1:23" ht="15.6" x14ac:dyDescent="0.3">
      <c r="A57" s="24"/>
      <c r="B57" s="25" t="s">
        <v>127</v>
      </c>
      <c r="C57" s="25"/>
      <c r="D57" s="25"/>
      <c r="E57" s="25"/>
      <c r="F57" s="25"/>
      <c r="G57" s="25"/>
      <c r="H57" s="58"/>
      <c r="I57" s="58"/>
      <c r="J57" s="58"/>
      <c r="K57" s="58"/>
      <c r="L57" s="58"/>
      <c r="M57" s="58"/>
      <c r="N57" s="58"/>
      <c r="O57" s="58"/>
      <c r="P57" s="25">
        <f>+T57-R57+1</f>
        <v>92</v>
      </c>
      <c r="Q57" s="58"/>
      <c r="R57" s="45">
        <v>39370</v>
      </c>
      <c r="S57" s="46"/>
      <c r="T57" s="45">
        <v>39461</v>
      </c>
      <c r="U57" s="25"/>
      <c r="V57" s="5"/>
    </row>
    <row r="58" spans="1:23" ht="15.6" x14ac:dyDescent="0.3">
      <c r="A58" s="24"/>
      <c r="B58" s="25" t="s">
        <v>128</v>
      </c>
      <c r="C58" s="25"/>
      <c r="D58" s="25"/>
      <c r="E58" s="25"/>
      <c r="F58" s="25"/>
      <c r="G58" s="25"/>
      <c r="H58" s="25"/>
      <c r="I58" s="25"/>
      <c r="J58" s="25"/>
      <c r="K58" s="25"/>
      <c r="L58" s="25"/>
      <c r="M58" s="25"/>
      <c r="N58" s="25"/>
      <c r="O58" s="25"/>
      <c r="P58" s="25">
        <f>+T58-R58+1</f>
        <v>91</v>
      </c>
      <c r="Q58" s="25"/>
      <c r="R58" s="45">
        <v>39462</v>
      </c>
      <c r="S58" s="46"/>
      <c r="T58" s="45">
        <v>39552</v>
      </c>
      <c r="U58" s="25"/>
      <c r="V58" s="5"/>
    </row>
    <row r="59" spans="1:23" ht="15.6" x14ac:dyDescent="0.3">
      <c r="A59" s="24"/>
      <c r="B59" s="25" t="s">
        <v>209</v>
      </c>
      <c r="C59" s="25"/>
      <c r="D59" s="25"/>
      <c r="E59" s="25"/>
      <c r="F59" s="25"/>
      <c r="G59" s="25"/>
      <c r="H59" s="25"/>
      <c r="I59" s="25"/>
      <c r="J59" s="25"/>
      <c r="K59" s="25"/>
      <c r="L59" s="25"/>
      <c r="M59" s="25"/>
      <c r="N59" s="25"/>
      <c r="O59" s="25"/>
      <c r="P59" s="25"/>
      <c r="Q59" s="25"/>
      <c r="R59" s="45"/>
      <c r="S59" s="46"/>
      <c r="T59" s="45" t="s">
        <v>126</v>
      </c>
      <c r="U59" s="25"/>
      <c r="V59" s="5"/>
    </row>
    <row r="60" spans="1:23" ht="15.6" x14ac:dyDescent="0.3">
      <c r="A60" s="24"/>
      <c r="B60" s="25" t="s">
        <v>249</v>
      </c>
      <c r="C60" s="25"/>
      <c r="D60" s="25"/>
      <c r="E60" s="25"/>
      <c r="F60" s="25"/>
      <c r="G60" s="25"/>
      <c r="H60" s="25"/>
      <c r="I60" s="25"/>
      <c r="J60" s="25"/>
      <c r="K60" s="25"/>
      <c r="L60" s="25"/>
      <c r="M60" s="25"/>
      <c r="N60" s="25"/>
      <c r="O60" s="25"/>
      <c r="P60" s="25"/>
      <c r="Q60" s="25"/>
      <c r="R60" s="45"/>
      <c r="S60" s="46"/>
      <c r="T60" s="45" t="s">
        <v>160</v>
      </c>
      <c r="U60" s="25"/>
      <c r="V60" s="5"/>
      <c r="W60" s="134"/>
    </row>
    <row r="61" spans="1:23" ht="15.6" x14ac:dyDescent="0.3">
      <c r="A61" s="24"/>
      <c r="B61" s="25" t="s">
        <v>16</v>
      </c>
      <c r="C61" s="25"/>
      <c r="D61" s="25"/>
      <c r="E61" s="25"/>
      <c r="F61" s="25"/>
      <c r="G61" s="25"/>
      <c r="H61" s="25"/>
      <c r="I61" s="25"/>
      <c r="J61" s="25"/>
      <c r="K61" s="25"/>
      <c r="L61" s="25"/>
      <c r="M61" s="25"/>
      <c r="N61" s="25"/>
      <c r="O61" s="25"/>
      <c r="P61" s="25"/>
      <c r="Q61" s="25"/>
      <c r="R61" s="45"/>
      <c r="S61" s="46"/>
      <c r="T61" s="45">
        <v>39539</v>
      </c>
      <c r="U61" s="25"/>
      <c r="V61" s="5"/>
    </row>
    <row r="62" spans="1:23" ht="15.6" x14ac:dyDescent="0.3">
      <c r="A62" s="24"/>
      <c r="B62" s="25"/>
      <c r="C62" s="25"/>
      <c r="D62" s="25"/>
      <c r="E62" s="25"/>
      <c r="F62" s="25"/>
      <c r="G62" s="25"/>
      <c r="H62" s="25"/>
      <c r="I62" s="25"/>
      <c r="J62" s="25"/>
      <c r="K62" s="25"/>
      <c r="L62" s="25"/>
      <c r="M62" s="25"/>
      <c r="N62" s="25"/>
      <c r="O62" s="25"/>
      <c r="P62" s="25"/>
      <c r="Q62" s="25"/>
      <c r="R62" s="45"/>
      <c r="S62" s="46"/>
      <c r="T62" s="45"/>
      <c r="U62" s="25"/>
      <c r="V62" s="5"/>
    </row>
    <row r="63" spans="1:23" ht="15.6" x14ac:dyDescent="0.3">
      <c r="A63" s="6"/>
      <c r="B63" s="8"/>
      <c r="C63" s="8"/>
      <c r="D63" s="8"/>
      <c r="E63" s="8"/>
      <c r="F63" s="8"/>
      <c r="G63" s="8"/>
      <c r="H63" s="8"/>
      <c r="I63" s="8"/>
      <c r="J63" s="8"/>
      <c r="K63" s="8"/>
      <c r="L63" s="8"/>
      <c r="M63" s="8"/>
      <c r="N63" s="8"/>
      <c r="O63" s="8"/>
      <c r="P63" s="8"/>
      <c r="Q63" s="8"/>
      <c r="R63" s="47"/>
      <c r="S63" s="48"/>
      <c r="T63" s="47"/>
      <c r="U63" s="8"/>
      <c r="V63" s="5"/>
    </row>
    <row r="64" spans="1:23" ht="18" thickBot="1" x14ac:dyDescent="0.35">
      <c r="A64" s="101"/>
      <c r="B64" s="102" t="s">
        <v>274</v>
      </c>
      <c r="C64" s="103"/>
      <c r="D64" s="103"/>
      <c r="E64" s="103"/>
      <c r="F64" s="103"/>
      <c r="G64" s="103"/>
      <c r="H64" s="103"/>
      <c r="I64" s="103"/>
      <c r="J64" s="103"/>
      <c r="K64" s="103"/>
      <c r="L64" s="103"/>
      <c r="M64" s="103"/>
      <c r="N64" s="103"/>
      <c r="O64" s="103"/>
      <c r="P64" s="103"/>
      <c r="Q64" s="103"/>
      <c r="R64" s="103"/>
      <c r="S64" s="103"/>
      <c r="T64" s="104"/>
      <c r="U64" s="105"/>
      <c r="V64" s="5"/>
    </row>
    <row r="65" spans="1:22" ht="15.6" x14ac:dyDescent="0.3">
      <c r="A65" s="2"/>
      <c r="B65" s="4"/>
      <c r="C65" s="4"/>
      <c r="D65" s="4"/>
      <c r="E65" s="4"/>
      <c r="F65" s="4"/>
      <c r="G65" s="4"/>
      <c r="H65" s="4"/>
      <c r="I65" s="4"/>
      <c r="J65" s="4"/>
      <c r="K65" s="4"/>
      <c r="L65" s="4"/>
      <c r="M65" s="4"/>
      <c r="N65" s="4"/>
      <c r="O65" s="4"/>
      <c r="P65" s="4"/>
      <c r="Q65" s="4"/>
      <c r="R65" s="4"/>
      <c r="S65" s="4"/>
      <c r="T65" s="50"/>
      <c r="U65" s="4"/>
      <c r="V65" s="5"/>
    </row>
    <row r="66" spans="1:22" ht="15.6" x14ac:dyDescent="0.3">
      <c r="A66" s="6"/>
      <c r="B66" s="51" t="s">
        <v>17</v>
      </c>
      <c r="C66" s="8"/>
      <c r="D66" s="8"/>
      <c r="E66" s="8"/>
      <c r="F66" s="8"/>
      <c r="G66" s="8"/>
      <c r="H66" s="8"/>
      <c r="I66" s="8"/>
      <c r="J66" s="8"/>
      <c r="K66" s="8"/>
      <c r="L66" s="8"/>
      <c r="M66" s="8"/>
      <c r="N66" s="8"/>
      <c r="O66" s="8"/>
      <c r="P66" s="8"/>
      <c r="Q66" s="8"/>
      <c r="R66" s="8"/>
      <c r="S66" s="8"/>
      <c r="T66" s="52"/>
      <c r="U66" s="8"/>
      <c r="V66" s="5"/>
    </row>
    <row r="67" spans="1:22" ht="15.6" x14ac:dyDescent="0.3">
      <c r="A67" s="6"/>
      <c r="B67" s="13"/>
      <c r="C67" s="8"/>
      <c r="D67" s="8"/>
      <c r="E67" s="8"/>
      <c r="F67" s="8"/>
      <c r="G67" s="8"/>
      <c r="H67" s="8"/>
      <c r="I67" s="8"/>
      <c r="J67" s="8"/>
      <c r="K67" s="8"/>
      <c r="L67" s="8"/>
      <c r="M67" s="8"/>
      <c r="N67" s="8"/>
      <c r="O67" s="8"/>
      <c r="P67" s="8"/>
      <c r="Q67" s="8"/>
      <c r="R67" s="8"/>
      <c r="S67" s="8"/>
      <c r="T67" s="52"/>
      <c r="U67" s="8"/>
      <c r="V67" s="5"/>
    </row>
    <row r="68" spans="1:22" ht="46.8" x14ac:dyDescent="0.3">
      <c r="A68" s="6"/>
      <c r="B68" s="114" t="s">
        <v>18</v>
      </c>
      <c r="C68" s="115"/>
      <c r="D68" s="115"/>
      <c r="E68" s="115"/>
      <c r="F68" s="115"/>
      <c r="G68" s="115"/>
      <c r="H68" s="115"/>
      <c r="I68" s="115"/>
      <c r="J68" s="115" t="s">
        <v>97</v>
      </c>
      <c r="K68" s="115"/>
      <c r="L68" s="115" t="s">
        <v>99</v>
      </c>
      <c r="M68" s="115"/>
      <c r="N68" s="115" t="s">
        <v>101</v>
      </c>
      <c r="O68" s="115"/>
      <c r="P68" s="115" t="s">
        <v>103</v>
      </c>
      <c r="Q68" s="115"/>
      <c r="R68" s="115" t="s">
        <v>110</v>
      </c>
      <c r="S68" s="115"/>
      <c r="T68" s="116" t="s">
        <v>118</v>
      </c>
      <c r="U68" s="117"/>
      <c r="V68" s="5"/>
    </row>
    <row r="69" spans="1:22" ht="15.6" x14ac:dyDescent="0.3">
      <c r="A69" s="24"/>
      <c r="B69" s="25" t="s">
        <v>19</v>
      </c>
      <c r="C69" s="34"/>
      <c r="D69" s="34"/>
      <c r="E69" s="34"/>
      <c r="F69" s="34"/>
      <c r="G69" s="34"/>
      <c r="H69" s="34"/>
      <c r="I69" s="34"/>
      <c r="J69" s="34">
        <v>1000039</v>
      </c>
      <c r="K69" s="34"/>
      <c r="L69" s="53">
        <v>851400</v>
      </c>
      <c r="M69" s="34"/>
      <c r="N69" s="34">
        <f>133844+1436+1062</f>
        <v>136342</v>
      </c>
      <c r="O69" s="34"/>
      <c r="P69" s="34">
        <f>1436+1062</f>
        <v>2498</v>
      </c>
      <c r="Q69" s="34"/>
      <c r="R69" s="34">
        <v>0</v>
      </c>
      <c r="S69" s="34"/>
      <c r="T69" s="53">
        <f>+L69-N69+P69-R69</f>
        <v>717556</v>
      </c>
      <c r="U69" s="25"/>
      <c r="V69" s="5"/>
    </row>
    <row r="70" spans="1:22" ht="15.6" x14ac:dyDescent="0.3">
      <c r="A70" s="24"/>
      <c r="B70" s="25" t="s">
        <v>20</v>
      </c>
      <c r="C70" s="34"/>
      <c r="D70" s="34"/>
      <c r="E70" s="34"/>
      <c r="F70" s="34"/>
      <c r="G70" s="34"/>
      <c r="H70" s="34"/>
      <c r="I70" s="34"/>
      <c r="J70" s="34">
        <v>10</v>
      </c>
      <c r="K70" s="34"/>
      <c r="L70" s="53">
        <v>0</v>
      </c>
      <c r="M70" s="34"/>
      <c r="N70" s="34">
        <v>0</v>
      </c>
      <c r="O70" s="34"/>
      <c r="P70" s="34">
        <v>0</v>
      </c>
      <c r="Q70" s="34"/>
      <c r="R70" s="34">
        <v>0</v>
      </c>
      <c r="S70" s="34"/>
      <c r="T70" s="53">
        <v>0</v>
      </c>
      <c r="U70" s="25"/>
      <c r="V70" s="5"/>
    </row>
    <row r="71" spans="1:22" ht="15.6" x14ac:dyDescent="0.3">
      <c r="A71" s="24"/>
      <c r="B71" s="25"/>
      <c r="C71" s="34"/>
      <c r="D71" s="34"/>
      <c r="E71" s="34"/>
      <c r="F71" s="34"/>
      <c r="G71" s="34"/>
      <c r="H71" s="34"/>
      <c r="I71" s="34"/>
      <c r="J71" s="34"/>
      <c r="K71" s="34"/>
      <c r="L71" s="53"/>
      <c r="M71" s="34"/>
      <c r="N71" s="34"/>
      <c r="O71" s="34"/>
      <c r="P71" s="34"/>
      <c r="Q71" s="34"/>
      <c r="R71" s="34"/>
      <c r="S71" s="34"/>
      <c r="T71" s="53"/>
      <c r="U71" s="25"/>
      <c r="V71" s="5"/>
    </row>
    <row r="72" spans="1:22" ht="15.6" x14ac:dyDescent="0.3">
      <c r="A72" s="24"/>
      <c r="B72" s="25" t="s">
        <v>21</v>
      </c>
      <c r="C72" s="34"/>
      <c r="D72" s="34"/>
      <c r="E72" s="34"/>
      <c r="F72" s="34"/>
      <c r="G72" s="34"/>
      <c r="H72" s="34"/>
      <c r="I72" s="34"/>
      <c r="J72" s="34">
        <f>SUM(J69:J71)</f>
        <v>1000049</v>
      </c>
      <c r="K72" s="34"/>
      <c r="L72" s="54">
        <f>L69+L70</f>
        <v>851400</v>
      </c>
      <c r="M72" s="34"/>
      <c r="N72" s="34">
        <f>SUM(N69:N71)</f>
        <v>136342</v>
      </c>
      <c r="O72" s="34"/>
      <c r="P72" s="34">
        <f>SUM(P69:P71)</f>
        <v>2498</v>
      </c>
      <c r="Q72" s="34"/>
      <c r="R72" s="34">
        <f>SUM(R69:R71)</f>
        <v>0</v>
      </c>
      <c r="S72" s="34"/>
      <c r="T72" s="54">
        <f>SUM(T69:T71)</f>
        <v>717556</v>
      </c>
      <c r="U72" s="25"/>
      <c r="V72" s="5"/>
    </row>
    <row r="73" spans="1:22" ht="15.6" x14ac:dyDescent="0.3">
      <c r="A73" s="24"/>
      <c r="B73" s="25"/>
      <c r="C73" s="34"/>
      <c r="D73" s="34"/>
      <c r="E73" s="34"/>
      <c r="F73" s="34"/>
      <c r="G73" s="34"/>
      <c r="H73" s="34"/>
      <c r="I73" s="34"/>
      <c r="J73" s="34"/>
      <c r="K73" s="34"/>
      <c r="L73" s="34"/>
      <c r="M73" s="34"/>
      <c r="N73" s="34"/>
      <c r="O73" s="34"/>
      <c r="P73" s="34"/>
      <c r="Q73" s="34"/>
      <c r="R73" s="34"/>
      <c r="S73" s="34"/>
      <c r="T73" s="54"/>
      <c r="U73" s="25"/>
      <c r="V73" s="5"/>
    </row>
    <row r="74" spans="1:22" ht="15.6" x14ac:dyDescent="0.3">
      <c r="A74" s="6"/>
      <c r="B74" s="111" t="s">
        <v>22</v>
      </c>
      <c r="C74" s="55"/>
      <c r="D74" s="55"/>
      <c r="E74" s="55"/>
      <c r="F74" s="55"/>
      <c r="G74" s="55"/>
      <c r="H74" s="55"/>
      <c r="I74" s="55"/>
      <c r="J74" s="55"/>
      <c r="K74" s="55"/>
      <c r="L74" s="55"/>
      <c r="M74" s="55"/>
      <c r="N74" s="55"/>
      <c r="O74" s="55"/>
      <c r="P74" s="55"/>
      <c r="Q74" s="55"/>
      <c r="R74" s="55"/>
      <c r="S74" s="55"/>
      <c r="T74" s="56"/>
      <c r="U74" s="8"/>
      <c r="V74" s="5"/>
    </row>
    <row r="75" spans="1:22" ht="15.6" x14ac:dyDescent="0.3">
      <c r="A75" s="6"/>
      <c r="B75" s="8"/>
      <c r="C75" s="55"/>
      <c r="D75" s="55"/>
      <c r="E75" s="55"/>
      <c r="F75" s="55"/>
      <c r="G75" s="55"/>
      <c r="H75" s="55"/>
      <c r="I75" s="55"/>
      <c r="J75" s="55"/>
      <c r="K75" s="55"/>
      <c r="L75" s="55"/>
      <c r="M75" s="55"/>
      <c r="N75" s="55"/>
      <c r="O75" s="55"/>
      <c r="P75" s="55"/>
      <c r="Q75" s="55"/>
      <c r="R75" s="55"/>
      <c r="S75" s="55"/>
      <c r="T75" s="56"/>
      <c r="U75" s="8"/>
      <c r="V75" s="5"/>
    </row>
    <row r="76" spans="1:22" ht="15.6" x14ac:dyDescent="0.3">
      <c r="A76" s="24"/>
      <c r="B76" s="25" t="s">
        <v>19</v>
      </c>
      <c r="C76" s="34"/>
      <c r="D76" s="34"/>
      <c r="E76" s="34"/>
      <c r="F76" s="34"/>
      <c r="G76" s="34"/>
      <c r="H76" s="34"/>
      <c r="I76" s="34"/>
      <c r="J76" s="34"/>
      <c r="K76" s="34"/>
      <c r="L76" s="34"/>
      <c r="M76" s="34"/>
      <c r="N76" s="34"/>
      <c r="O76" s="34"/>
      <c r="P76" s="34"/>
      <c r="Q76" s="34"/>
      <c r="R76" s="34"/>
      <c r="S76" s="34"/>
      <c r="T76" s="54"/>
      <c r="U76" s="25"/>
      <c r="V76" s="5"/>
    </row>
    <row r="77" spans="1:22" ht="15.6" x14ac:dyDescent="0.3">
      <c r="A77" s="24"/>
      <c r="B77" s="25" t="s">
        <v>20</v>
      </c>
      <c r="C77" s="34"/>
      <c r="D77" s="34"/>
      <c r="E77" s="34"/>
      <c r="F77" s="34"/>
      <c r="G77" s="34"/>
      <c r="H77" s="34"/>
      <c r="I77" s="34"/>
      <c r="J77" s="34"/>
      <c r="K77" s="34"/>
      <c r="L77" s="34"/>
      <c r="M77" s="34"/>
      <c r="N77" s="34"/>
      <c r="O77" s="34"/>
      <c r="P77" s="34"/>
      <c r="Q77" s="34"/>
      <c r="R77" s="34"/>
      <c r="S77" s="34"/>
      <c r="T77" s="54"/>
      <c r="U77" s="25"/>
      <c r="V77" s="5"/>
    </row>
    <row r="78" spans="1:22" ht="15.6" x14ac:dyDescent="0.3">
      <c r="A78" s="24"/>
      <c r="B78" s="25"/>
      <c r="C78" s="34"/>
      <c r="D78" s="34"/>
      <c r="E78" s="34"/>
      <c r="F78" s="34"/>
      <c r="G78" s="34"/>
      <c r="H78" s="34"/>
      <c r="I78" s="34"/>
      <c r="J78" s="34"/>
      <c r="K78" s="34"/>
      <c r="L78" s="34"/>
      <c r="M78" s="34"/>
      <c r="N78" s="34"/>
      <c r="O78" s="34"/>
      <c r="P78" s="34"/>
      <c r="Q78" s="34"/>
      <c r="R78" s="34"/>
      <c r="S78" s="34"/>
      <c r="T78" s="54"/>
      <c r="U78" s="25"/>
      <c r="V78" s="5"/>
    </row>
    <row r="79" spans="1:22" ht="15.6" x14ac:dyDescent="0.3">
      <c r="A79" s="24"/>
      <c r="B79" s="25" t="s">
        <v>21</v>
      </c>
      <c r="C79" s="34"/>
      <c r="D79" s="34"/>
      <c r="E79" s="34"/>
      <c r="F79" s="34"/>
      <c r="G79" s="34"/>
      <c r="H79" s="34"/>
      <c r="I79" s="34"/>
      <c r="J79" s="34"/>
      <c r="K79" s="34"/>
      <c r="L79" s="34"/>
      <c r="M79" s="34"/>
      <c r="N79" s="34"/>
      <c r="O79" s="34"/>
      <c r="P79" s="34"/>
      <c r="Q79" s="34"/>
      <c r="R79" s="34"/>
      <c r="S79" s="34"/>
      <c r="T79" s="34"/>
      <c r="U79" s="25"/>
      <c r="V79" s="5"/>
    </row>
    <row r="80" spans="1:22" ht="15.6" x14ac:dyDescent="0.3">
      <c r="A80" s="24"/>
      <c r="B80" s="25"/>
      <c r="C80" s="34"/>
      <c r="D80" s="34"/>
      <c r="E80" s="34"/>
      <c r="F80" s="34"/>
      <c r="G80" s="34"/>
      <c r="H80" s="34"/>
      <c r="I80" s="34"/>
      <c r="J80" s="34"/>
      <c r="K80" s="34"/>
      <c r="L80" s="34"/>
      <c r="M80" s="34"/>
      <c r="N80" s="34"/>
      <c r="O80" s="34"/>
      <c r="P80" s="34"/>
      <c r="Q80" s="34"/>
      <c r="R80" s="34"/>
      <c r="S80" s="34"/>
      <c r="T80" s="34"/>
      <c r="U80" s="25"/>
      <c r="V80" s="5"/>
    </row>
    <row r="81" spans="1:22" ht="15.6" x14ac:dyDescent="0.3">
      <c r="A81" s="24"/>
      <c r="B81" s="25" t="s">
        <v>23</v>
      </c>
      <c r="C81" s="34"/>
      <c r="D81" s="34"/>
      <c r="E81" s="34"/>
      <c r="F81" s="34"/>
      <c r="G81" s="34"/>
      <c r="H81" s="34"/>
      <c r="I81" s="34"/>
      <c r="J81" s="34">
        <v>0</v>
      </c>
      <c r="K81" s="34"/>
      <c r="L81" s="34">
        <v>0</v>
      </c>
      <c r="M81" s="34"/>
      <c r="N81" s="34"/>
      <c r="O81" s="34"/>
      <c r="P81" s="34"/>
      <c r="Q81" s="34"/>
      <c r="R81" s="34"/>
      <c r="S81" s="34"/>
      <c r="T81" s="53">
        <v>0</v>
      </c>
      <c r="U81" s="25"/>
      <c r="V81" s="5"/>
    </row>
    <row r="82" spans="1:22" ht="15.6" x14ac:dyDescent="0.3">
      <c r="A82" s="24"/>
      <c r="B82" s="25" t="s">
        <v>123</v>
      </c>
      <c r="C82" s="34"/>
      <c r="D82" s="34"/>
      <c r="E82" s="34"/>
      <c r="F82" s="34"/>
      <c r="G82" s="34"/>
      <c r="H82" s="34"/>
      <c r="I82" s="34"/>
      <c r="J82" s="34">
        <v>0</v>
      </c>
      <c r="K82" s="34"/>
      <c r="L82" s="34">
        <v>0</v>
      </c>
      <c r="M82" s="34"/>
      <c r="N82" s="34"/>
      <c r="O82" s="34"/>
      <c r="P82" s="34"/>
      <c r="Q82" s="34"/>
      <c r="R82" s="34"/>
      <c r="S82" s="34"/>
      <c r="T82" s="54">
        <f>SUM(J82:P82)</f>
        <v>0</v>
      </c>
      <c r="U82" s="25"/>
      <c r="V82" s="5"/>
    </row>
    <row r="83" spans="1:22" ht="15.6" x14ac:dyDescent="0.3">
      <c r="A83" s="24"/>
      <c r="B83" s="25" t="s">
        <v>152</v>
      </c>
      <c r="C83" s="34"/>
      <c r="D83" s="34"/>
      <c r="E83" s="34"/>
      <c r="F83" s="34"/>
      <c r="G83" s="34"/>
      <c r="H83" s="34"/>
      <c r="I83" s="34"/>
      <c r="J83" s="34">
        <v>1</v>
      </c>
      <c r="K83" s="34"/>
      <c r="L83" s="34">
        <v>0</v>
      </c>
      <c r="M83" s="34"/>
      <c r="N83" s="34">
        <v>0</v>
      </c>
      <c r="O83" s="34"/>
      <c r="P83" s="34"/>
      <c r="Q83" s="34"/>
      <c r="R83" s="34"/>
      <c r="S83" s="34"/>
      <c r="T83" s="54">
        <f>+L83+N83</f>
        <v>0</v>
      </c>
      <c r="U83" s="25"/>
      <c r="V83" s="5"/>
    </row>
    <row r="84" spans="1:22" ht="15.6" x14ac:dyDescent="0.3">
      <c r="A84" s="24"/>
      <c r="B84" s="25" t="s">
        <v>25</v>
      </c>
      <c r="C84" s="34"/>
      <c r="D84" s="34"/>
      <c r="E84" s="34"/>
      <c r="F84" s="34"/>
      <c r="G84" s="34"/>
      <c r="H84" s="34"/>
      <c r="I84" s="34"/>
      <c r="J84" s="34">
        <v>0</v>
      </c>
      <c r="K84" s="34"/>
      <c r="L84" s="34">
        <v>0</v>
      </c>
      <c r="M84" s="34"/>
      <c r="N84" s="34"/>
      <c r="O84" s="34"/>
      <c r="P84" s="34"/>
      <c r="Q84" s="34"/>
      <c r="R84" s="34"/>
      <c r="S84" s="34"/>
      <c r="T84" s="54">
        <v>0</v>
      </c>
      <c r="U84" s="25"/>
      <c r="V84" s="5"/>
    </row>
    <row r="85" spans="1:22" ht="15.6" x14ac:dyDescent="0.3">
      <c r="A85" s="24"/>
      <c r="B85" s="25" t="s">
        <v>26</v>
      </c>
      <c r="C85" s="34"/>
      <c r="D85" s="34"/>
      <c r="E85" s="34"/>
      <c r="F85" s="54"/>
      <c r="G85" s="34"/>
      <c r="H85" s="54"/>
      <c r="I85" s="54"/>
      <c r="J85" s="54">
        <f>SUM(J72:J84)</f>
        <v>1000050</v>
      </c>
      <c r="K85" s="34"/>
      <c r="L85" s="54">
        <f>SUM(L72:L84)</f>
        <v>851400</v>
      </c>
      <c r="M85" s="34"/>
      <c r="N85" s="34"/>
      <c r="O85" s="34"/>
      <c r="P85" s="34"/>
      <c r="Q85" s="34"/>
      <c r="R85" s="54"/>
      <c r="S85" s="34"/>
      <c r="T85" s="54">
        <f>SUM(T72:T84)</f>
        <v>717556</v>
      </c>
      <c r="U85" s="25"/>
      <c r="V85" s="5"/>
    </row>
    <row r="86" spans="1:22" ht="15.6" x14ac:dyDescent="0.3">
      <c r="A86" s="24"/>
      <c r="B86" s="25"/>
      <c r="C86" s="34"/>
      <c r="D86" s="34"/>
      <c r="E86" s="34"/>
      <c r="F86" s="34"/>
      <c r="G86" s="34"/>
      <c r="H86" s="34"/>
      <c r="I86" s="34"/>
      <c r="J86" s="34"/>
      <c r="K86" s="34"/>
      <c r="L86" s="34"/>
      <c r="M86" s="34"/>
      <c r="N86" s="34"/>
      <c r="O86" s="34"/>
      <c r="P86" s="34"/>
      <c r="Q86" s="34"/>
      <c r="R86" s="34"/>
      <c r="S86" s="34"/>
      <c r="T86" s="54"/>
      <c r="U86" s="25"/>
      <c r="V86" s="5"/>
    </row>
    <row r="87" spans="1:22" ht="15.6" x14ac:dyDescent="0.3">
      <c r="A87" s="6"/>
      <c r="B87" s="8"/>
      <c r="C87" s="8"/>
      <c r="D87" s="8"/>
      <c r="E87" s="8"/>
      <c r="F87" s="8"/>
      <c r="G87" s="8"/>
      <c r="H87" s="8"/>
      <c r="I87" s="8"/>
      <c r="J87" s="8"/>
      <c r="K87" s="8"/>
      <c r="L87" s="8"/>
      <c r="M87" s="8"/>
      <c r="N87" s="8"/>
      <c r="O87" s="8"/>
      <c r="P87" s="8"/>
      <c r="Q87" s="8"/>
      <c r="R87" s="8"/>
      <c r="S87" s="8"/>
      <c r="T87" s="8"/>
      <c r="U87" s="8"/>
      <c r="V87" s="5"/>
    </row>
    <row r="88" spans="1:22" ht="15.6" x14ac:dyDescent="0.3">
      <c r="A88" s="6"/>
      <c r="B88" s="51" t="s">
        <v>27</v>
      </c>
      <c r="C88" s="14"/>
      <c r="D88" s="14"/>
      <c r="E88" s="14"/>
      <c r="F88" s="14"/>
      <c r="G88" s="14"/>
      <c r="H88" s="17"/>
      <c r="I88" s="17"/>
      <c r="J88" s="159" t="s">
        <v>98</v>
      </c>
      <c r="K88" s="17"/>
      <c r="L88" s="158">
        <f>+R193</f>
        <v>39538</v>
      </c>
      <c r="M88" s="17"/>
      <c r="N88" s="17"/>
      <c r="O88" s="17"/>
      <c r="P88" s="17"/>
      <c r="Q88" s="17"/>
      <c r="R88" s="17" t="s">
        <v>111</v>
      </c>
      <c r="S88" s="17"/>
      <c r="T88" s="17" t="s">
        <v>119</v>
      </c>
      <c r="U88" s="8"/>
      <c r="V88" s="5"/>
    </row>
    <row r="89" spans="1:22" ht="15.6" x14ac:dyDescent="0.3">
      <c r="A89" s="24"/>
      <c r="B89" s="25" t="s">
        <v>28</v>
      </c>
      <c r="C89" s="25"/>
      <c r="D89" s="25"/>
      <c r="E89" s="25"/>
      <c r="F89" s="25"/>
      <c r="G89" s="25"/>
      <c r="H89" s="25"/>
      <c r="I89" s="25"/>
      <c r="J89" s="25"/>
      <c r="K89" s="25"/>
      <c r="L89" s="25"/>
      <c r="M89" s="25"/>
      <c r="N89" s="25"/>
      <c r="O89" s="25"/>
      <c r="P89" s="25"/>
      <c r="Q89" s="25"/>
      <c r="R89" s="34">
        <v>0</v>
      </c>
      <c r="S89" s="25"/>
      <c r="T89" s="53">
        <v>0</v>
      </c>
      <c r="U89" s="25"/>
      <c r="V89" s="5"/>
    </row>
    <row r="90" spans="1:22" ht="15.6" x14ac:dyDescent="0.3">
      <c r="A90" s="24"/>
      <c r="B90" s="25" t="s">
        <v>29</v>
      </c>
      <c r="C90" s="25"/>
      <c r="D90" s="25"/>
      <c r="E90" s="25"/>
      <c r="F90" s="25"/>
      <c r="G90" s="25"/>
      <c r="H90" s="40"/>
      <c r="I90" s="57"/>
      <c r="J90" s="40"/>
      <c r="K90" s="25"/>
      <c r="L90" s="127"/>
      <c r="M90" s="25"/>
      <c r="N90" s="25"/>
      <c r="O90" s="25"/>
      <c r="P90" s="25"/>
      <c r="Q90" s="25"/>
      <c r="R90" s="34">
        <f>136342-16</f>
        <v>136326</v>
      </c>
      <c r="S90" s="25"/>
      <c r="T90" s="53"/>
      <c r="U90" s="25"/>
      <c r="V90" s="5"/>
    </row>
    <row r="91" spans="1:22" ht="15.6" x14ac:dyDescent="0.3">
      <c r="A91" s="24"/>
      <c r="B91" s="25" t="s">
        <v>225</v>
      </c>
      <c r="C91" s="25"/>
      <c r="D91" s="25"/>
      <c r="E91" s="25"/>
      <c r="F91" s="25"/>
      <c r="G91" s="25"/>
      <c r="H91" s="40"/>
      <c r="I91" s="57"/>
      <c r="J91" s="40"/>
      <c r="K91" s="25"/>
      <c r="L91" s="127"/>
      <c r="M91" s="25"/>
      <c r="N91" s="25"/>
      <c r="O91" s="25"/>
      <c r="P91" s="25"/>
      <c r="Q91" s="25"/>
      <c r="R91" s="34"/>
      <c r="S91" s="25"/>
      <c r="T91" s="53">
        <f>5673+8050-958-1962</f>
        <v>10803</v>
      </c>
      <c r="U91" s="25"/>
      <c r="V91" s="5"/>
    </row>
    <row r="92" spans="1:22" ht="15.6" x14ac:dyDescent="0.3">
      <c r="A92" s="24"/>
      <c r="B92" s="25" t="s">
        <v>220</v>
      </c>
      <c r="C92" s="25"/>
      <c r="D92" s="25"/>
      <c r="E92" s="25"/>
      <c r="F92" s="25"/>
      <c r="G92" s="25"/>
      <c r="H92" s="40"/>
      <c r="I92" s="57"/>
      <c r="J92" s="40"/>
      <c r="K92" s="25"/>
      <c r="L92" s="127"/>
      <c r="M92" s="25"/>
      <c r="N92" s="25"/>
      <c r="O92" s="25"/>
      <c r="P92" s="25"/>
      <c r="Q92" s="25"/>
      <c r="R92" s="34"/>
      <c r="S92" s="25"/>
      <c r="T92" s="53">
        <f>188+639</f>
        <v>827</v>
      </c>
      <c r="U92" s="25"/>
      <c r="V92" s="5"/>
    </row>
    <row r="93" spans="1:22" ht="15.6" x14ac:dyDescent="0.3">
      <c r="A93" s="24"/>
      <c r="B93" s="25" t="s">
        <v>221</v>
      </c>
      <c r="C93" s="25"/>
      <c r="D93" s="25"/>
      <c r="E93" s="25"/>
      <c r="F93" s="25"/>
      <c r="G93" s="25"/>
      <c r="H93" s="40"/>
      <c r="I93" s="57"/>
      <c r="J93" s="40"/>
      <c r="K93" s="25"/>
      <c r="L93" s="127"/>
      <c r="M93" s="25"/>
      <c r="N93" s="25"/>
      <c r="O93" s="25"/>
      <c r="P93" s="25"/>
      <c r="Q93" s="25"/>
      <c r="R93" s="34"/>
      <c r="S93" s="25"/>
      <c r="T93" s="53">
        <v>745</v>
      </c>
      <c r="U93" s="25"/>
      <c r="V93" s="5"/>
    </row>
    <row r="94" spans="1:22" ht="15.6" x14ac:dyDescent="0.3">
      <c r="A94" s="24"/>
      <c r="B94" s="25" t="s">
        <v>261</v>
      </c>
      <c r="C94" s="25"/>
      <c r="D94" s="25"/>
      <c r="E94" s="25"/>
      <c r="F94" s="25"/>
      <c r="G94" s="25"/>
      <c r="H94" s="40"/>
      <c r="I94" s="57"/>
      <c r="J94" s="40"/>
      <c r="K94" s="25"/>
      <c r="L94" s="127"/>
      <c r="M94" s="25"/>
      <c r="N94" s="25"/>
      <c r="O94" s="25"/>
      <c r="P94" s="25"/>
      <c r="Q94" s="25"/>
      <c r="R94" s="34"/>
      <c r="S94" s="25"/>
      <c r="T94" s="53">
        <f>919-82</f>
        <v>837</v>
      </c>
      <c r="U94" s="25"/>
      <c r="V94" s="5"/>
    </row>
    <row r="95" spans="1:22" ht="15.6" x14ac:dyDescent="0.3">
      <c r="A95" s="24"/>
      <c r="B95" s="25" t="s">
        <v>141</v>
      </c>
      <c r="C95" s="25"/>
      <c r="D95" s="25"/>
      <c r="E95" s="25"/>
      <c r="F95" s="25"/>
      <c r="G95" s="25"/>
      <c r="H95" s="25"/>
      <c r="I95" s="25"/>
      <c r="J95" s="25"/>
      <c r="K95" s="25"/>
      <c r="L95" s="25"/>
      <c r="M95" s="25"/>
      <c r="N95" s="25"/>
      <c r="O95" s="25"/>
      <c r="P95" s="25"/>
      <c r="Q95" s="25"/>
      <c r="R95" s="34"/>
      <c r="S95" s="25"/>
      <c r="T95" s="53">
        <v>0</v>
      </c>
      <c r="U95" s="25"/>
      <c r="V95" s="5"/>
    </row>
    <row r="96" spans="1:22" ht="15.6" x14ac:dyDescent="0.3">
      <c r="A96" s="24"/>
      <c r="B96" s="25" t="s">
        <v>250</v>
      </c>
      <c r="C96" s="25"/>
      <c r="D96" s="25"/>
      <c r="E96" s="25"/>
      <c r="F96" s="25"/>
      <c r="G96" s="25"/>
      <c r="H96" s="25"/>
      <c r="I96" s="25"/>
      <c r="J96" s="25"/>
      <c r="K96" s="25"/>
      <c r="L96" s="25"/>
      <c r="M96" s="25"/>
      <c r="N96" s="25"/>
      <c r="O96" s="25"/>
      <c r="P96" s="25"/>
      <c r="Q96" s="25"/>
      <c r="R96" s="34"/>
      <c r="S96" s="25"/>
      <c r="T96" s="53">
        <v>1871</v>
      </c>
      <c r="U96" s="25"/>
      <c r="V96" s="5"/>
    </row>
    <row r="97" spans="1:24" ht="15.6" x14ac:dyDescent="0.3">
      <c r="A97" s="24"/>
      <c r="B97" s="25" t="s">
        <v>30</v>
      </c>
      <c r="C97" s="25"/>
      <c r="D97" s="25"/>
      <c r="E97" s="25"/>
      <c r="F97" s="25"/>
      <c r="G97" s="25"/>
      <c r="H97" s="25"/>
      <c r="I97" s="25"/>
      <c r="J97" s="25"/>
      <c r="K97" s="25"/>
      <c r="L97" s="25"/>
      <c r="M97" s="25"/>
      <c r="N97" s="25"/>
      <c r="O97" s="25"/>
      <c r="P97" s="25"/>
      <c r="Q97" s="25"/>
      <c r="R97" s="34">
        <f>SUM(R89:R96)</f>
        <v>136326</v>
      </c>
      <c r="S97" s="25"/>
      <c r="T97" s="54">
        <f>SUM(T89:T96)</f>
        <v>15083</v>
      </c>
      <c r="U97" s="25"/>
      <c r="V97" s="5"/>
    </row>
    <row r="98" spans="1:24" ht="15.6" x14ac:dyDescent="0.3">
      <c r="A98" s="24"/>
      <c r="B98" s="25" t="s">
        <v>168</v>
      </c>
      <c r="C98" s="25"/>
      <c r="D98" s="25"/>
      <c r="E98" s="25"/>
      <c r="F98" s="25"/>
      <c r="G98" s="25"/>
      <c r="H98" s="25"/>
      <c r="I98" s="25"/>
      <c r="J98" s="25"/>
      <c r="K98" s="25"/>
      <c r="L98" s="25"/>
      <c r="M98" s="25"/>
      <c r="N98" s="25"/>
      <c r="O98" s="25"/>
      <c r="P98" s="25"/>
      <c r="Q98" s="25"/>
      <c r="R98" s="34">
        <f>-T98</f>
        <v>-274</v>
      </c>
      <c r="S98" s="25"/>
      <c r="T98" s="54">
        <v>274</v>
      </c>
      <c r="U98" s="25"/>
      <c r="V98" s="5"/>
    </row>
    <row r="99" spans="1:24" ht="15.6" x14ac:dyDescent="0.3">
      <c r="A99" s="24"/>
      <c r="B99" s="25" t="s">
        <v>31</v>
      </c>
      <c r="C99" s="25"/>
      <c r="D99" s="25"/>
      <c r="E99" s="25"/>
      <c r="F99" s="25"/>
      <c r="G99" s="25"/>
      <c r="H99" s="25"/>
      <c r="I99" s="25"/>
      <c r="J99" s="25"/>
      <c r="K99" s="25"/>
      <c r="L99" s="25"/>
      <c r="M99" s="25"/>
      <c r="N99" s="25"/>
      <c r="O99" s="25"/>
      <c r="P99" s="25"/>
      <c r="Q99" s="25"/>
      <c r="R99" s="34">
        <f>-T99</f>
        <v>0</v>
      </c>
      <c r="S99" s="25"/>
      <c r="T99" s="53">
        <v>0</v>
      </c>
      <c r="U99" s="25"/>
      <c r="V99" s="5"/>
    </row>
    <row r="100" spans="1:24" ht="15.6" x14ac:dyDescent="0.3">
      <c r="A100" s="24"/>
      <c r="B100" s="25" t="s">
        <v>273</v>
      </c>
      <c r="C100" s="25"/>
      <c r="D100" s="25"/>
      <c r="E100" s="25"/>
      <c r="F100" s="25"/>
      <c r="G100" s="25"/>
      <c r="H100" s="25"/>
      <c r="I100" s="25"/>
      <c r="J100" s="25"/>
      <c r="K100" s="25"/>
      <c r="L100" s="25"/>
      <c r="M100" s="25"/>
      <c r="N100" s="25"/>
      <c r="O100" s="25"/>
      <c r="P100" s="25"/>
      <c r="Q100" s="25"/>
      <c r="R100" s="34"/>
      <c r="S100" s="25"/>
      <c r="T100" s="53">
        <v>-17</v>
      </c>
      <c r="U100" s="25"/>
      <c r="V100" s="5"/>
    </row>
    <row r="101" spans="1:24" ht="15.6" x14ac:dyDescent="0.3">
      <c r="A101" s="24"/>
      <c r="B101" s="25" t="s">
        <v>32</v>
      </c>
      <c r="C101" s="25"/>
      <c r="D101" s="25"/>
      <c r="E101" s="25"/>
      <c r="F101" s="25"/>
      <c r="G101" s="25"/>
      <c r="H101" s="25"/>
      <c r="I101" s="25"/>
      <c r="J101" s="25"/>
      <c r="K101" s="25"/>
      <c r="L101" s="25"/>
      <c r="M101" s="25"/>
      <c r="N101" s="25"/>
      <c r="O101" s="25"/>
      <c r="P101" s="25"/>
      <c r="Q101" s="25"/>
      <c r="R101" s="34">
        <f>R97+R99+R98</f>
        <v>136052</v>
      </c>
      <c r="S101" s="25"/>
      <c r="T101" s="54">
        <f>T97+T99+T98+T100</f>
        <v>15340</v>
      </c>
      <c r="U101" s="25"/>
      <c r="V101" s="5"/>
    </row>
    <row r="102" spans="1:24" ht="15.6" x14ac:dyDescent="0.3">
      <c r="A102" s="24"/>
      <c r="B102" s="118" t="s">
        <v>33</v>
      </c>
      <c r="C102" s="25"/>
      <c r="D102" s="25"/>
      <c r="E102" s="25"/>
      <c r="F102" s="25"/>
      <c r="G102" s="25"/>
      <c r="H102" s="25"/>
      <c r="I102" s="25"/>
      <c r="J102" s="25"/>
      <c r="K102" s="25"/>
      <c r="L102" s="25"/>
      <c r="M102" s="25"/>
      <c r="N102" s="25"/>
      <c r="O102" s="25"/>
      <c r="P102" s="25"/>
      <c r="Q102" s="25"/>
      <c r="R102" s="34"/>
      <c r="S102" s="25"/>
      <c r="T102" s="53"/>
      <c r="U102" s="25"/>
      <c r="V102" s="5"/>
    </row>
    <row r="103" spans="1:24" ht="15.6" x14ac:dyDescent="0.3">
      <c r="A103" s="24">
        <v>1</v>
      </c>
      <c r="B103" s="25" t="s">
        <v>34</v>
      </c>
      <c r="C103" s="25"/>
      <c r="D103" s="25"/>
      <c r="E103" s="25"/>
      <c r="F103" s="25"/>
      <c r="G103" s="25"/>
      <c r="H103" s="25"/>
      <c r="I103" s="25"/>
      <c r="J103" s="25"/>
      <c r="K103" s="25"/>
      <c r="L103" s="25"/>
      <c r="M103" s="25"/>
      <c r="N103" s="25"/>
      <c r="O103" s="25"/>
      <c r="P103" s="25"/>
      <c r="Q103" s="25"/>
      <c r="R103" s="25"/>
      <c r="S103" s="25"/>
      <c r="T103" s="53">
        <v>0</v>
      </c>
      <c r="U103" s="25"/>
      <c r="V103" s="5"/>
    </row>
    <row r="104" spans="1:24" ht="15.6" x14ac:dyDescent="0.3">
      <c r="A104" s="24">
        <f>+A103+1</f>
        <v>2</v>
      </c>
      <c r="B104" s="25" t="s">
        <v>255</v>
      </c>
      <c r="C104" s="25"/>
      <c r="D104" s="25"/>
      <c r="E104" s="25"/>
      <c r="F104" s="25"/>
      <c r="G104" s="25"/>
      <c r="H104" s="25"/>
      <c r="I104" s="25"/>
      <c r="J104" s="25"/>
      <c r="K104" s="25"/>
      <c r="L104" s="25"/>
      <c r="M104" s="25"/>
      <c r="N104" s="25"/>
      <c r="O104" s="25"/>
      <c r="P104" s="25"/>
      <c r="Q104" s="25"/>
      <c r="R104" s="25"/>
      <c r="S104" s="25"/>
      <c r="T104" s="53">
        <v>-2</v>
      </c>
      <c r="U104" s="25"/>
      <c r="V104" s="5"/>
    </row>
    <row r="105" spans="1:24" ht="15.6" x14ac:dyDescent="0.3">
      <c r="A105" s="24">
        <f>+A104+1</f>
        <v>3</v>
      </c>
      <c r="B105" s="25" t="s">
        <v>213</v>
      </c>
      <c r="C105" s="25"/>
      <c r="D105" s="25"/>
      <c r="E105" s="25"/>
      <c r="F105" s="25"/>
      <c r="G105" s="25"/>
      <c r="H105" s="25"/>
      <c r="I105" s="25"/>
      <c r="J105" s="25"/>
      <c r="K105" s="25"/>
      <c r="L105" s="25"/>
      <c r="M105" s="25"/>
      <c r="N105" s="25"/>
      <c r="O105" s="25"/>
      <c r="P105" s="25"/>
      <c r="Q105" s="25"/>
      <c r="R105" s="25"/>
      <c r="S105" s="25"/>
      <c r="T105" s="53">
        <f>-319-29-10</f>
        <v>-358</v>
      </c>
      <c r="U105" s="25"/>
      <c r="V105" s="5"/>
    </row>
    <row r="106" spans="1:24" ht="15.6" x14ac:dyDescent="0.3">
      <c r="A106" s="24" t="s">
        <v>133</v>
      </c>
      <c r="B106" s="25" t="s">
        <v>122</v>
      </c>
      <c r="C106" s="25"/>
      <c r="D106" s="25"/>
      <c r="E106" s="25"/>
      <c r="F106" s="25"/>
      <c r="G106" s="25"/>
      <c r="H106" s="25"/>
      <c r="I106" s="25"/>
      <c r="J106" s="25"/>
      <c r="K106" s="25"/>
      <c r="L106" s="25"/>
      <c r="M106" s="25"/>
      <c r="N106" s="25"/>
      <c r="O106" s="25"/>
      <c r="P106" s="25"/>
      <c r="Q106" s="25"/>
      <c r="R106" s="25"/>
      <c r="S106" s="25"/>
      <c r="T106" s="53">
        <v>0</v>
      </c>
      <c r="U106" s="25"/>
      <c r="V106" s="5"/>
    </row>
    <row r="107" spans="1:24" ht="15.6" x14ac:dyDescent="0.3">
      <c r="A107" s="24" t="s">
        <v>134</v>
      </c>
      <c r="B107" s="25" t="s">
        <v>194</v>
      </c>
      <c r="C107" s="25"/>
      <c r="D107" s="25"/>
      <c r="E107" s="25"/>
      <c r="F107" s="25"/>
      <c r="G107" s="25"/>
      <c r="H107" s="25"/>
      <c r="I107" s="25"/>
      <c r="J107" s="25"/>
      <c r="K107" s="25"/>
      <c r="L107" s="25"/>
      <c r="M107" s="25"/>
      <c r="N107" s="25"/>
      <c r="O107" s="25"/>
      <c r="P107" s="25"/>
      <c r="Q107" s="25"/>
      <c r="R107" s="25"/>
      <c r="S107" s="25"/>
      <c r="T107" s="53">
        <f>-6786-1802</f>
        <v>-8588</v>
      </c>
      <c r="U107" s="25"/>
      <c r="V107" s="5"/>
      <c r="W107" s="109"/>
    </row>
    <row r="108" spans="1:24" ht="15.6" x14ac:dyDescent="0.3">
      <c r="A108" s="24" t="s">
        <v>156</v>
      </c>
      <c r="B108" s="25" t="s">
        <v>191</v>
      </c>
      <c r="C108" s="25"/>
      <c r="D108" s="25"/>
      <c r="E108" s="25"/>
      <c r="F108" s="25"/>
      <c r="G108" s="25"/>
      <c r="H108" s="25"/>
      <c r="I108" s="25"/>
      <c r="J108" s="25"/>
      <c r="K108" s="25"/>
      <c r="L108" s="25"/>
      <c r="M108" s="25"/>
      <c r="N108" s="25"/>
      <c r="O108" s="25"/>
      <c r="P108" s="25"/>
      <c r="Q108" s="25"/>
      <c r="R108" s="25"/>
      <c r="S108" s="25"/>
      <c r="T108" s="53">
        <v>-1787</v>
      </c>
      <c r="U108" s="25"/>
      <c r="V108" s="5"/>
      <c r="W108" s="109"/>
    </row>
    <row r="109" spans="1:24" ht="15.6" x14ac:dyDescent="0.3">
      <c r="A109" s="24" t="s">
        <v>214</v>
      </c>
      <c r="B109" s="25" t="s">
        <v>192</v>
      </c>
      <c r="C109" s="25"/>
      <c r="D109" s="25"/>
      <c r="E109" s="25"/>
      <c r="F109" s="25"/>
      <c r="G109" s="25"/>
      <c r="H109" s="25"/>
      <c r="I109" s="25"/>
      <c r="J109" s="25"/>
      <c r="K109" s="25"/>
      <c r="L109" s="25"/>
      <c r="M109" s="25"/>
      <c r="N109" s="25"/>
      <c r="O109" s="25"/>
      <c r="P109" s="25"/>
      <c r="Q109" s="25"/>
      <c r="R109" s="25"/>
      <c r="S109" s="25"/>
      <c r="T109" s="53">
        <v>-835</v>
      </c>
      <c r="U109" s="25"/>
      <c r="V109" s="5"/>
      <c r="W109" s="109"/>
      <c r="X109" s="109"/>
    </row>
    <row r="110" spans="1:24" ht="15.6" x14ac:dyDescent="0.3">
      <c r="A110" s="24" t="s">
        <v>215</v>
      </c>
      <c r="B110" s="25" t="s">
        <v>193</v>
      </c>
      <c r="C110" s="25"/>
      <c r="D110" s="25"/>
      <c r="E110" s="25"/>
      <c r="F110" s="25"/>
      <c r="G110" s="25"/>
      <c r="H110" s="25"/>
      <c r="I110" s="25"/>
      <c r="J110" s="25"/>
      <c r="K110" s="25"/>
      <c r="L110" s="25"/>
      <c r="M110" s="25"/>
      <c r="N110" s="25"/>
      <c r="O110" s="25"/>
      <c r="P110" s="25"/>
      <c r="Q110" s="25"/>
      <c r="R110" s="25"/>
      <c r="S110" s="25"/>
      <c r="T110" s="53">
        <v>-235</v>
      </c>
      <c r="U110" s="25"/>
      <c r="V110" s="169"/>
      <c r="W110" s="109"/>
    </row>
    <row r="111" spans="1:24" ht="15.6" x14ac:dyDescent="0.3">
      <c r="A111" s="24" t="s">
        <v>216</v>
      </c>
      <c r="B111" s="25" t="s">
        <v>204</v>
      </c>
      <c r="C111" s="25"/>
      <c r="D111" s="25"/>
      <c r="E111" s="25"/>
      <c r="F111" s="25"/>
      <c r="G111" s="25"/>
      <c r="H111" s="25"/>
      <c r="I111" s="25"/>
      <c r="J111" s="25"/>
      <c r="K111" s="25"/>
      <c r="L111" s="25"/>
      <c r="M111" s="25"/>
      <c r="N111" s="25"/>
      <c r="O111" s="25"/>
      <c r="P111" s="25"/>
      <c r="Q111" s="25"/>
      <c r="R111" s="25"/>
      <c r="S111" s="25"/>
      <c r="T111" s="53">
        <v>-921</v>
      </c>
      <c r="U111" s="25"/>
      <c r="V111" s="5"/>
      <c r="W111" s="109"/>
    </row>
    <row r="112" spans="1:24" ht="15.6" x14ac:dyDescent="0.3">
      <c r="A112" s="24">
        <v>7</v>
      </c>
      <c r="B112" s="25" t="s">
        <v>35</v>
      </c>
      <c r="C112" s="25"/>
      <c r="D112" s="25"/>
      <c r="E112" s="25"/>
      <c r="F112" s="25"/>
      <c r="G112" s="25"/>
      <c r="H112" s="25"/>
      <c r="I112" s="25"/>
      <c r="J112" s="25"/>
      <c r="K112" s="25"/>
      <c r="L112" s="25"/>
      <c r="M112" s="25"/>
      <c r="N112" s="25"/>
      <c r="O112" s="25"/>
      <c r="P112" s="25"/>
      <c r="Q112" s="25"/>
      <c r="R112" s="25"/>
      <c r="S112" s="25"/>
      <c r="T112" s="53">
        <v>-10</v>
      </c>
      <c r="U112" s="25"/>
      <c r="V112" s="5"/>
    </row>
    <row r="113" spans="1:22" ht="15.6" x14ac:dyDescent="0.3">
      <c r="A113" s="24">
        <f t="shared" ref="A113:A118" si="0">+A112+1</f>
        <v>8</v>
      </c>
      <c r="B113" s="25" t="s">
        <v>46</v>
      </c>
      <c r="C113" s="25"/>
      <c r="D113" s="25"/>
      <c r="E113" s="25"/>
      <c r="F113" s="25"/>
      <c r="G113" s="25"/>
      <c r="H113" s="25"/>
      <c r="I113" s="25"/>
      <c r="J113" s="25"/>
      <c r="K113" s="25"/>
      <c r="L113" s="25"/>
      <c r="M113" s="25"/>
      <c r="N113" s="25"/>
      <c r="O113" s="25"/>
      <c r="P113" s="25"/>
      <c r="Q113" s="25"/>
      <c r="R113" s="34">
        <f>-T113</f>
        <v>16</v>
      </c>
      <c r="S113" s="25"/>
      <c r="T113" s="53">
        <v>-16</v>
      </c>
      <c r="U113" s="25"/>
      <c r="V113" s="5"/>
    </row>
    <row r="114" spans="1:22" ht="15.6" x14ac:dyDescent="0.3">
      <c r="A114" s="24">
        <f t="shared" si="0"/>
        <v>9</v>
      </c>
      <c r="B114" s="25" t="s">
        <v>131</v>
      </c>
      <c r="C114" s="25"/>
      <c r="D114" s="25"/>
      <c r="E114" s="25"/>
      <c r="F114" s="25"/>
      <c r="G114" s="25"/>
      <c r="H114" s="25"/>
      <c r="I114" s="25"/>
      <c r="J114" s="25"/>
      <c r="K114" s="25"/>
      <c r="L114" s="25"/>
      <c r="M114" s="25"/>
      <c r="N114" s="25"/>
      <c r="O114" s="25"/>
      <c r="P114" s="25"/>
      <c r="Q114" s="25"/>
      <c r="R114" s="25"/>
      <c r="S114" s="25"/>
      <c r="T114" s="53">
        <v>0</v>
      </c>
      <c r="U114" s="25"/>
      <c r="V114" s="5"/>
    </row>
    <row r="115" spans="1:22" ht="15.6" x14ac:dyDescent="0.3">
      <c r="A115" s="24">
        <f t="shared" si="0"/>
        <v>10</v>
      </c>
      <c r="B115" s="25" t="s">
        <v>36</v>
      </c>
      <c r="C115" s="25"/>
      <c r="D115" s="25"/>
      <c r="E115" s="25"/>
      <c r="F115" s="25"/>
      <c r="G115" s="25"/>
      <c r="H115" s="25"/>
      <c r="I115" s="25"/>
      <c r="J115" s="25"/>
      <c r="K115" s="25"/>
      <c r="L115" s="25"/>
      <c r="M115" s="25"/>
      <c r="N115" s="25"/>
      <c r="O115" s="25"/>
      <c r="P115" s="25"/>
      <c r="Q115" s="25"/>
      <c r="R115" s="25"/>
      <c r="S115" s="25"/>
      <c r="T115" s="53">
        <v>0</v>
      </c>
      <c r="U115" s="25"/>
      <c r="V115" s="5"/>
    </row>
    <row r="116" spans="1:22" ht="15.6" x14ac:dyDescent="0.3">
      <c r="A116" s="24">
        <f t="shared" si="0"/>
        <v>11</v>
      </c>
      <c r="B116" s="25" t="s">
        <v>37</v>
      </c>
      <c r="C116" s="25"/>
      <c r="D116" s="25"/>
      <c r="E116" s="25"/>
      <c r="F116" s="25"/>
      <c r="G116" s="25"/>
      <c r="H116" s="25"/>
      <c r="I116" s="25"/>
      <c r="J116" s="25"/>
      <c r="K116" s="25"/>
      <c r="L116" s="25"/>
      <c r="M116" s="25"/>
      <c r="N116" s="25"/>
      <c r="O116" s="25"/>
      <c r="P116" s="25"/>
      <c r="Q116" s="25"/>
      <c r="R116" s="25"/>
      <c r="S116" s="25"/>
      <c r="T116" s="53">
        <v>0</v>
      </c>
      <c r="U116" s="25"/>
      <c r="V116" s="5"/>
    </row>
    <row r="117" spans="1:22" ht="15.6" x14ac:dyDescent="0.3">
      <c r="A117" s="24">
        <f t="shared" si="0"/>
        <v>12</v>
      </c>
      <c r="B117" s="25" t="s">
        <v>155</v>
      </c>
      <c r="C117" s="25"/>
      <c r="D117" s="25"/>
      <c r="E117" s="25"/>
      <c r="F117" s="25"/>
      <c r="G117" s="25"/>
      <c r="H117" s="25"/>
      <c r="I117" s="25"/>
      <c r="J117" s="25"/>
      <c r="K117" s="25"/>
      <c r="L117" s="25"/>
      <c r="M117" s="25"/>
      <c r="N117" s="25"/>
      <c r="O117" s="25"/>
      <c r="P117" s="25"/>
      <c r="Q117" s="25"/>
      <c r="R117" s="25"/>
      <c r="S117" s="25"/>
      <c r="T117" s="53">
        <v>-318</v>
      </c>
      <c r="U117" s="25"/>
      <c r="V117" s="5"/>
    </row>
    <row r="118" spans="1:22" ht="15.6" x14ac:dyDescent="0.3">
      <c r="A118" s="24">
        <f t="shared" si="0"/>
        <v>13</v>
      </c>
      <c r="B118" s="25" t="s">
        <v>132</v>
      </c>
      <c r="C118" s="25"/>
      <c r="D118" s="25"/>
      <c r="E118" s="25"/>
      <c r="F118" s="25"/>
      <c r="G118" s="25"/>
      <c r="H118" s="25"/>
      <c r="I118" s="25"/>
      <c r="J118" s="25"/>
      <c r="K118" s="25"/>
      <c r="L118" s="25"/>
      <c r="M118" s="25"/>
      <c r="N118" s="25"/>
      <c r="O118" s="25"/>
      <c r="P118" s="25"/>
      <c r="Q118" s="25"/>
      <c r="R118" s="25"/>
      <c r="S118" s="25"/>
      <c r="T118" s="53">
        <f>-T101-SUM(T103:T117)</f>
        <v>-2270</v>
      </c>
      <c r="U118" s="25"/>
      <c r="V118" s="5"/>
    </row>
    <row r="119" spans="1:22" ht="15.6" x14ac:dyDescent="0.3">
      <c r="A119" s="24"/>
      <c r="B119" s="118" t="s">
        <v>38</v>
      </c>
      <c r="C119" s="25"/>
      <c r="D119" s="25"/>
      <c r="E119" s="25"/>
      <c r="F119" s="25"/>
      <c r="G119" s="25"/>
      <c r="H119" s="25"/>
      <c r="I119" s="25"/>
      <c r="J119" s="25"/>
      <c r="K119" s="25"/>
      <c r="L119" s="25"/>
      <c r="M119" s="25"/>
      <c r="N119" s="25"/>
      <c r="O119" s="25"/>
      <c r="P119" s="25"/>
      <c r="Q119" s="25"/>
      <c r="R119" s="25"/>
      <c r="S119" s="25"/>
      <c r="T119" s="59"/>
      <c r="U119" s="25"/>
      <c r="V119" s="5"/>
    </row>
    <row r="120" spans="1:22" ht="15.6" x14ac:dyDescent="0.3">
      <c r="A120" s="24"/>
      <c r="B120" s="25" t="s">
        <v>180</v>
      </c>
      <c r="C120" s="25"/>
      <c r="D120" s="25"/>
      <c r="E120" s="25"/>
      <c r="F120" s="25"/>
      <c r="G120" s="25"/>
      <c r="H120" s="25"/>
      <c r="I120" s="25"/>
      <c r="J120" s="25"/>
      <c r="K120" s="25"/>
      <c r="L120" s="25"/>
      <c r="M120" s="25"/>
      <c r="N120" s="25"/>
      <c r="O120" s="25"/>
      <c r="P120" s="25"/>
      <c r="Q120" s="25"/>
      <c r="R120" s="34">
        <f>-R177</f>
        <v>-150</v>
      </c>
      <c r="S120" s="34"/>
      <c r="T120" s="53"/>
      <c r="U120" s="25"/>
      <c r="V120" s="5"/>
    </row>
    <row r="121" spans="1:22" ht="15.6" x14ac:dyDescent="0.3">
      <c r="A121" s="24"/>
      <c r="B121" s="25" t="s">
        <v>181</v>
      </c>
      <c r="C121" s="25"/>
      <c r="D121" s="25"/>
      <c r="E121" s="25"/>
      <c r="F121" s="25"/>
      <c r="G121" s="25"/>
      <c r="H121" s="25"/>
      <c r="I121" s="25"/>
      <c r="J121" s="25"/>
      <c r="K121" s="25"/>
      <c r="L121" s="25"/>
      <c r="M121" s="25"/>
      <c r="N121" s="25"/>
      <c r="O121" s="25"/>
      <c r="P121" s="25"/>
      <c r="Q121" s="25"/>
      <c r="R121" s="34">
        <v>-18</v>
      </c>
      <c r="S121" s="34"/>
      <c r="T121" s="53"/>
      <c r="U121" s="25"/>
      <c r="V121" s="5"/>
    </row>
    <row r="122" spans="1:22" ht="15.6" x14ac:dyDescent="0.3">
      <c r="A122" s="24"/>
      <c r="B122" s="25" t="s">
        <v>39</v>
      </c>
      <c r="C122" s="25"/>
      <c r="D122" s="25"/>
      <c r="E122" s="25"/>
      <c r="F122" s="25"/>
      <c r="G122" s="25"/>
      <c r="H122" s="25"/>
      <c r="I122" s="25"/>
      <c r="J122" s="25"/>
      <c r="K122" s="25"/>
      <c r="L122" s="25"/>
      <c r="M122" s="25"/>
      <c r="N122" s="25"/>
      <c r="O122" s="25"/>
      <c r="P122" s="25"/>
      <c r="Q122" s="25"/>
      <c r="R122" s="34">
        <f>-Q177</f>
        <v>-2056</v>
      </c>
      <c r="S122" s="34"/>
      <c r="T122" s="53"/>
      <c r="U122" s="25"/>
      <c r="V122" s="5"/>
    </row>
    <row r="123" spans="1:22" ht="15.6" x14ac:dyDescent="0.3">
      <c r="A123" s="24"/>
      <c r="B123" s="25" t="s">
        <v>205</v>
      </c>
      <c r="C123" s="25"/>
      <c r="D123" s="25"/>
      <c r="E123" s="25"/>
      <c r="F123" s="25"/>
      <c r="G123" s="25"/>
      <c r="H123" s="25"/>
      <c r="I123" s="25"/>
      <c r="J123" s="25"/>
      <c r="K123" s="25"/>
      <c r="L123" s="25"/>
      <c r="M123" s="25"/>
      <c r="N123" s="25"/>
      <c r="O123" s="25"/>
      <c r="P123" s="25"/>
      <c r="Q123" s="25"/>
      <c r="R123" s="34">
        <v>-87525</v>
      </c>
      <c r="S123" s="34"/>
      <c r="T123" s="53"/>
      <c r="U123" s="25"/>
      <c r="V123" s="5"/>
    </row>
    <row r="124" spans="1:22" ht="15.6" x14ac:dyDescent="0.3">
      <c r="A124" s="24"/>
      <c r="B124" s="25" t="s">
        <v>203</v>
      </c>
      <c r="C124" s="25"/>
      <c r="D124" s="25"/>
      <c r="E124" s="25"/>
      <c r="F124" s="25"/>
      <c r="G124" s="25"/>
      <c r="H124" s="25"/>
      <c r="I124" s="25"/>
      <c r="J124" s="25"/>
      <c r="K124" s="25"/>
      <c r="L124" s="25"/>
      <c r="M124" s="25"/>
      <c r="N124" s="25"/>
      <c r="O124" s="25"/>
      <c r="P124" s="25"/>
      <c r="Q124" s="25"/>
      <c r="R124" s="34">
        <v>-23066</v>
      </c>
      <c r="S124" s="34"/>
      <c r="T124" s="53"/>
      <c r="U124" s="25"/>
      <c r="V124" s="5"/>
    </row>
    <row r="125" spans="1:22" ht="15.6" x14ac:dyDescent="0.3">
      <c r="A125" s="24"/>
      <c r="B125" s="25" t="s">
        <v>202</v>
      </c>
      <c r="C125" s="25"/>
      <c r="D125" s="25"/>
      <c r="E125" s="25"/>
      <c r="F125" s="25"/>
      <c r="G125" s="25"/>
      <c r="H125" s="25"/>
      <c r="I125" s="25"/>
      <c r="J125" s="25"/>
      <c r="K125" s="25"/>
      <c r="L125" s="25"/>
      <c r="M125" s="25"/>
      <c r="N125" s="25"/>
      <c r="O125" s="25"/>
      <c r="P125" s="25"/>
      <c r="Q125" s="25"/>
      <c r="R125" s="34">
        <v>-23253</v>
      </c>
      <c r="S125" s="34"/>
      <c r="T125" s="53"/>
      <c r="U125" s="25"/>
      <c r="V125" s="5"/>
    </row>
    <row r="126" spans="1:22" ht="15.6" x14ac:dyDescent="0.3">
      <c r="A126" s="24"/>
      <c r="B126" s="25" t="s">
        <v>197</v>
      </c>
      <c r="C126" s="25"/>
      <c r="D126" s="25"/>
      <c r="E126" s="25"/>
      <c r="F126" s="25"/>
      <c r="G126" s="25"/>
      <c r="H126" s="25"/>
      <c r="I126" s="25"/>
      <c r="J126" s="25"/>
      <c r="K126" s="25"/>
      <c r="L126" s="25"/>
      <c r="M126" s="25"/>
      <c r="N126" s="25"/>
      <c r="O126" s="25"/>
      <c r="P126" s="25"/>
      <c r="Q126" s="25"/>
      <c r="R126" s="34">
        <v>0</v>
      </c>
      <c r="S126" s="34"/>
      <c r="T126" s="53"/>
      <c r="U126" s="25"/>
      <c r="V126" s="5"/>
    </row>
    <row r="127" spans="1:22" ht="15.6" x14ac:dyDescent="0.3">
      <c r="A127" s="24"/>
      <c r="B127" s="25" t="s">
        <v>196</v>
      </c>
      <c r="C127" s="25"/>
      <c r="D127" s="25"/>
      <c r="E127" s="25"/>
      <c r="F127" s="25"/>
      <c r="G127" s="25"/>
      <c r="H127" s="25"/>
      <c r="I127" s="25"/>
      <c r="J127" s="25"/>
      <c r="K127" s="25"/>
      <c r="L127" s="25"/>
      <c r="M127" s="25"/>
      <c r="N127" s="25"/>
      <c r="O127" s="25"/>
      <c r="P127" s="25"/>
      <c r="Q127" s="25"/>
      <c r="R127" s="34">
        <v>0</v>
      </c>
      <c r="S127" s="34"/>
      <c r="T127" s="53"/>
      <c r="U127" s="25"/>
      <c r="V127" s="5"/>
    </row>
    <row r="128" spans="1:22" ht="15.6" x14ac:dyDescent="0.3">
      <c r="A128" s="24"/>
      <c r="B128" s="25" t="s">
        <v>195</v>
      </c>
      <c r="C128" s="25"/>
      <c r="D128" s="25"/>
      <c r="E128" s="25"/>
      <c r="F128" s="25"/>
      <c r="G128" s="25"/>
      <c r="H128" s="25"/>
      <c r="I128" s="25"/>
      <c r="J128" s="25"/>
      <c r="K128" s="25"/>
      <c r="L128" s="25"/>
      <c r="M128" s="25"/>
      <c r="N128" s="25"/>
      <c r="O128" s="25"/>
      <c r="P128" s="25"/>
      <c r="Q128" s="25"/>
      <c r="R128" s="34">
        <v>0</v>
      </c>
      <c r="S128" s="34"/>
      <c r="T128" s="53"/>
      <c r="U128" s="25"/>
      <c r="V128" s="5"/>
    </row>
    <row r="129" spans="1:22" ht="15.6" x14ac:dyDescent="0.3">
      <c r="A129" s="24"/>
      <c r="B129" s="25" t="s">
        <v>40</v>
      </c>
      <c r="C129" s="25"/>
      <c r="D129" s="25"/>
      <c r="E129" s="25"/>
      <c r="F129" s="25"/>
      <c r="G129" s="25"/>
      <c r="H129" s="25"/>
      <c r="I129" s="25"/>
      <c r="J129" s="25"/>
      <c r="K129" s="25"/>
      <c r="L129" s="25"/>
      <c r="M129" s="25"/>
      <c r="N129" s="25"/>
      <c r="O129" s="25"/>
      <c r="P129" s="25"/>
      <c r="Q129" s="25"/>
      <c r="R129" s="34">
        <f>SUM(R120:R128)</f>
        <v>-136068</v>
      </c>
      <c r="S129" s="34"/>
      <c r="T129" s="34">
        <f>SUM(T102:T127)</f>
        <v>-15340</v>
      </c>
      <c r="U129" s="25"/>
      <c r="V129" s="5"/>
    </row>
    <row r="130" spans="1:22" ht="15.6" x14ac:dyDescent="0.3">
      <c r="A130" s="24"/>
      <c r="B130" s="25" t="s">
        <v>41</v>
      </c>
      <c r="C130" s="25"/>
      <c r="D130" s="25"/>
      <c r="E130" s="25"/>
      <c r="F130" s="25"/>
      <c r="G130" s="25"/>
      <c r="H130" s="25"/>
      <c r="I130" s="25"/>
      <c r="J130" s="25"/>
      <c r="K130" s="25"/>
      <c r="L130" s="25"/>
      <c r="M130" s="25"/>
      <c r="N130" s="25"/>
      <c r="O130" s="25"/>
      <c r="P130" s="25"/>
      <c r="Q130" s="25"/>
      <c r="R130" s="34">
        <f>R101+R129+R113</f>
        <v>0</v>
      </c>
      <c r="S130" s="34"/>
      <c r="T130" s="34">
        <f>T101+T129</f>
        <v>0</v>
      </c>
      <c r="U130" s="25"/>
      <c r="V130" s="5"/>
    </row>
    <row r="131" spans="1:22" ht="15.6" x14ac:dyDescent="0.3">
      <c r="A131" s="24"/>
      <c r="B131" s="25"/>
      <c r="C131" s="25"/>
      <c r="D131" s="25"/>
      <c r="E131" s="25"/>
      <c r="F131" s="25"/>
      <c r="G131" s="25"/>
      <c r="H131" s="25"/>
      <c r="I131" s="25"/>
      <c r="J131" s="25"/>
      <c r="K131" s="25"/>
      <c r="L131" s="25"/>
      <c r="M131" s="25"/>
      <c r="N131" s="25"/>
      <c r="O131" s="25"/>
      <c r="P131" s="25"/>
      <c r="Q131" s="25"/>
      <c r="R131" s="34"/>
      <c r="S131" s="34"/>
      <c r="T131" s="34"/>
      <c r="U131" s="25"/>
      <c r="V131" s="5"/>
    </row>
    <row r="132" spans="1:22" ht="15.6" x14ac:dyDescent="0.3">
      <c r="A132" s="6"/>
      <c r="B132" s="8"/>
      <c r="C132" s="8"/>
      <c r="D132" s="8"/>
      <c r="E132" s="8"/>
      <c r="F132" s="8"/>
      <c r="G132" s="8"/>
      <c r="H132" s="8"/>
      <c r="I132" s="8"/>
      <c r="J132" s="8"/>
      <c r="K132" s="8"/>
      <c r="L132" s="8"/>
      <c r="M132" s="8"/>
      <c r="N132" s="8"/>
      <c r="O132" s="8"/>
      <c r="P132" s="8"/>
      <c r="Q132" s="8"/>
      <c r="R132" s="8"/>
      <c r="S132" s="8"/>
      <c r="T132" s="52"/>
      <c r="U132" s="8"/>
      <c r="V132" s="5"/>
    </row>
    <row r="133" spans="1:22" ht="18" thickBot="1" x14ac:dyDescent="0.35">
      <c r="A133" s="101"/>
      <c r="B133" s="102" t="str">
        <f>B64</f>
        <v>PM11 INVESTOR REPORT QUARTER ENDING MARCH 2008</v>
      </c>
      <c r="C133" s="103"/>
      <c r="D133" s="103"/>
      <c r="E133" s="103"/>
      <c r="F133" s="103"/>
      <c r="G133" s="103"/>
      <c r="H133" s="103"/>
      <c r="I133" s="103"/>
      <c r="J133" s="103"/>
      <c r="K133" s="103"/>
      <c r="L133" s="103"/>
      <c r="M133" s="103"/>
      <c r="N133" s="103"/>
      <c r="O133" s="103"/>
      <c r="P133" s="103"/>
      <c r="Q133" s="103"/>
      <c r="R133" s="103"/>
      <c r="S133" s="103"/>
      <c r="T133" s="106"/>
      <c r="U133" s="105"/>
      <c r="V133" s="5"/>
    </row>
    <row r="134" spans="1:22" ht="15.6" x14ac:dyDescent="0.3">
      <c r="A134" s="2"/>
      <c r="B134" s="60" t="s">
        <v>42</v>
      </c>
      <c r="C134" s="4"/>
      <c r="D134" s="4"/>
      <c r="E134" s="4"/>
      <c r="F134" s="4"/>
      <c r="G134" s="4"/>
      <c r="H134" s="4"/>
      <c r="I134" s="4"/>
      <c r="J134" s="4"/>
      <c r="K134" s="4"/>
      <c r="L134" s="4"/>
      <c r="M134" s="4"/>
      <c r="N134" s="4"/>
      <c r="O134" s="4"/>
      <c r="P134" s="4"/>
      <c r="Q134" s="4"/>
      <c r="R134" s="4"/>
      <c r="S134" s="4"/>
      <c r="T134" s="50"/>
      <c r="U134" s="4"/>
      <c r="V134" s="5"/>
    </row>
    <row r="135" spans="1:22" ht="15.6" x14ac:dyDescent="0.3">
      <c r="A135" s="6"/>
      <c r="B135" s="21"/>
      <c r="C135" s="8"/>
      <c r="D135" s="8"/>
      <c r="E135" s="8"/>
      <c r="F135" s="8"/>
      <c r="G135" s="8"/>
      <c r="H135" s="8"/>
      <c r="I135" s="8"/>
      <c r="J135" s="8"/>
      <c r="K135" s="8"/>
      <c r="L135" s="8"/>
      <c r="M135" s="8"/>
      <c r="N135" s="8"/>
      <c r="O135" s="8"/>
      <c r="P135" s="8"/>
      <c r="Q135" s="8"/>
      <c r="R135" s="8"/>
      <c r="S135" s="8"/>
      <c r="T135" s="52"/>
      <c r="U135" s="8"/>
      <c r="V135" s="5"/>
    </row>
    <row r="136" spans="1:22" ht="15.6" x14ac:dyDescent="0.3">
      <c r="A136" s="6"/>
      <c r="B136" s="119" t="s">
        <v>43</v>
      </c>
      <c r="C136" s="8"/>
      <c r="D136" s="8"/>
      <c r="E136" s="8"/>
      <c r="F136" s="8"/>
      <c r="G136" s="8"/>
      <c r="H136" s="8"/>
      <c r="I136" s="8"/>
      <c r="J136" s="8"/>
      <c r="K136" s="8"/>
      <c r="L136" s="8"/>
      <c r="M136" s="8"/>
      <c r="N136" s="8"/>
      <c r="O136" s="8"/>
      <c r="P136" s="8"/>
      <c r="Q136" s="8"/>
      <c r="R136" s="8"/>
      <c r="S136" s="8"/>
      <c r="T136" s="52"/>
      <c r="U136" s="8"/>
      <c r="V136" s="5"/>
    </row>
    <row r="137" spans="1:22" ht="15.6" x14ac:dyDescent="0.3">
      <c r="A137" s="24"/>
      <c r="B137" s="25" t="s">
        <v>44</v>
      </c>
      <c r="C137" s="25"/>
      <c r="D137" s="25"/>
      <c r="E137" s="25"/>
      <c r="F137" s="25"/>
      <c r="G137" s="25"/>
      <c r="H137" s="25"/>
      <c r="I137" s="25"/>
      <c r="J137" s="25"/>
      <c r="K137" s="25"/>
      <c r="L137" s="25"/>
      <c r="M137" s="25"/>
      <c r="N137" s="25"/>
      <c r="O137" s="25"/>
      <c r="P137" s="25"/>
      <c r="Q137" s="25"/>
      <c r="R137" s="25"/>
      <c r="S137" s="25"/>
      <c r="T137" s="53">
        <f>+T34*0.019</f>
        <v>19000.95</v>
      </c>
      <c r="U137" s="25"/>
      <c r="V137" s="5"/>
    </row>
    <row r="138" spans="1:22" ht="15.6" x14ac:dyDescent="0.3">
      <c r="A138" s="24"/>
      <c r="B138" s="25" t="s">
        <v>45</v>
      </c>
      <c r="C138" s="25"/>
      <c r="D138" s="25"/>
      <c r="E138" s="25"/>
      <c r="F138" s="25"/>
      <c r="G138" s="25"/>
      <c r="H138" s="25"/>
      <c r="I138" s="25"/>
      <c r="J138" s="25"/>
      <c r="K138" s="25"/>
      <c r="L138" s="25"/>
      <c r="M138" s="25"/>
      <c r="N138" s="25"/>
      <c r="O138" s="25"/>
      <c r="P138" s="25"/>
      <c r="Q138" s="25"/>
      <c r="R138" s="25"/>
      <c r="S138" s="25"/>
      <c r="T138" s="53">
        <v>19001</v>
      </c>
      <c r="U138" s="25"/>
      <c r="V138" s="5"/>
    </row>
    <row r="139" spans="1:22" ht="15.6" x14ac:dyDescent="0.3">
      <c r="A139" s="24"/>
      <c r="B139" s="25" t="s">
        <v>142</v>
      </c>
      <c r="C139" s="25"/>
      <c r="D139" s="25"/>
      <c r="E139" s="25"/>
      <c r="F139" s="25"/>
      <c r="G139" s="25"/>
      <c r="H139" s="25"/>
      <c r="I139" s="25"/>
      <c r="J139" s="25"/>
      <c r="K139" s="25"/>
      <c r="L139" s="25"/>
      <c r="M139" s="25"/>
      <c r="N139" s="25"/>
      <c r="O139" s="25"/>
      <c r="P139" s="25"/>
      <c r="Q139" s="25"/>
      <c r="R139" s="25"/>
      <c r="S139" s="25"/>
      <c r="T139" s="53">
        <v>0</v>
      </c>
      <c r="U139" s="25"/>
      <c r="V139" s="5"/>
    </row>
    <row r="140" spans="1:22" ht="15.6" x14ac:dyDescent="0.3">
      <c r="A140" s="24"/>
      <c r="B140" s="25" t="s">
        <v>129</v>
      </c>
      <c r="C140" s="25"/>
      <c r="D140" s="25"/>
      <c r="E140" s="25"/>
      <c r="F140" s="25"/>
      <c r="G140" s="25"/>
      <c r="H140" s="25"/>
      <c r="I140" s="25"/>
      <c r="J140" s="25"/>
      <c r="K140" s="25"/>
      <c r="L140" s="25"/>
      <c r="M140" s="25"/>
      <c r="N140" s="25"/>
      <c r="O140" s="25"/>
      <c r="P140" s="25"/>
      <c r="Q140" s="25"/>
      <c r="R140" s="25"/>
      <c r="S140" s="25"/>
      <c r="T140" s="53">
        <v>0</v>
      </c>
      <c r="U140" s="25"/>
      <c r="V140" s="5"/>
    </row>
    <row r="141" spans="1:22" ht="15.6" x14ac:dyDescent="0.3">
      <c r="A141" s="24"/>
      <c r="B141" s="25" t="s">
        <v>130</v>
      </c>
      <c r="C141" s="25"/>
      <c r="D141" s="25"/>
      <c r="E141" s="25"/>
      <c r="F141" s="25"/>
      <c r="G141" s="25"/>
      <c r="H141" s="25"/>
      <c r="I141" s="25"/>
      <c r="J141" s="25"/>
      <c r="K141" s="25"/>
      <c r="L141" s="25"/>
      <c r="M141" s="25"/>
      <c r="N141" s="25"/>
      <c r="O141" s="25"/>
      <c r="P141" s="25"/>
      <c r="Q141" s="25"/>
      <c r="R141" s="25"/>
      <c r="S141" s="25"/>
      <c r="T141" s="53">
        <v>0</v>
      </c>
      <c r="U141" s="25"/>
      <c r="V141" s="5"/>
    </row>
    <row r="142" spans="1:22" ht="15.6" x14ac:dyDescent="0.3">
      <c r="A142" s="24"/>
      <c r="B142" s="25" t="s">
        <v>182</v>
      </c>
      <c r="C142" s="25"/>
      <c r="D142" s="25"/>
      <c r="E142" s="25"/>
      <c r="F142" s="25"/>
      <c r="G142" s="25"/>
      <c r="H142" s="25"/>
      <c r="I142" s="25"/>
      <c r="J142" s="25"/>
      <c r="K142" s="25"/>
      <c r="L142" s="25"/>
      <c r="M142" s="25"/>
      <c r="N142" s="25"/>
      <c r="O142" s="25"/>
      <c r="P142" s="25"/>
      <c r="Q142" s="25"/>
      <c r="R142" s="25"/>
      <c r="S142" s="25"/>
      <c r="T142" s="53">
        <v>0</v>
      </c>
      <c r="U142" s="25"/>
      <c r="V142" s="5"/>
    </row>
    <row r="143" spans="1:22" ht="15.6" x14ac:dyDescent="0.3">
      <c r="A143" s="24"/>
      <c r="B143" s="25" t="s">
        <v>46</v>
      </c>
      <c r="C143" s="25"/>
      <c r="D143" s="25"/>
      <c r="E143" s="25"/>
      <c r="F143" s="25"/>
      <c r="G143" s="25"/>
      <c r="H143" s="25"/>
      <c r="I143" s="25"/>
      <c r="J143" s="25"/>
      <c r="K143" s="25"/>
      <c r="L143" s="25"/>
      <c r="M143" s="25"/>
      <c r="N143" s="25"/>
      <c r="O143" s="25"/>
      <c r="P143" s="25"/>
      <c r="Q143" s="25"/>
      <c r="R143" s="25"/>
      <c r="S143" s="25"/>
      <c r="T143" s="53">
        <v>0</v>
      </c>
      <c r="U143" s="25"/>
      <c r="V143" s="5"/>
    </row>
    <row r="144" spans="1:22" ht="15.6" x14ac:dyDescent="0.3">
      <c r="A144" s="24"/>
      <c r="B144" s="25" t="s">
        <v>135</v>
      </c>
      <c r="C144" s="25"/>
      <c r="D144" s="25"/>
      <c r="E144" s="25"/>
      <c r="F144" s="25"/>
      <c r="G144" s="25"/>
      <c r="H144" s="25"/>
      <c r="I144" s="25"/>
      <c r="J144" s="25"/>
      <c r="K144" s="25"/>
      <c r="L144" s="25"/>
      <c r="M144" s="25"/>
      <c r="N144" s="25"/>
      <c r="O144" s="25"/>
      <c r="P144" s="25"/>
      <c r="Q144" s="25"/>
      <c r="R144" s="25"/>
      <c r="S144" s="25"/>
      <c r="T144" s="53">
        <v>0</v>
      </c>
      <c r="U144" s="25"/>
      <c r="V144" s="5"/>
    </row>
    <row r="145" spans="1:23" ht="15.6" x14ac:dyDescent="0.3">
      <c r="A145" s="24"/>
      <c r="B145" s="25" t="s">
        <v>251</v>
      </c>
      <c r="C145" s="25"/>
      <c r="D145" s="25"/>
      <c r="E145" s="25"/>
      <c r="F145" s="25"/>
      <c r="G145" s="25"/>
      <c r="H145" s="25"/>
      <c r="I145" s="25"/>
      <c r="J145" s="25"/>
      <c r="K145" s="25"/>
      <c r="L145" s="25"/>
      <c r="M145" s="25"/>
      <c r="N145" s="25"/>
      <c r="O145" s="25"/>
      <c r="P145" s="25"/>
      <c r="Q145" s="25"/>
      <c r="R145" s="25"/>
      <c r="S145" s="25"/>
      <c r="T145" s="53">
        <v>0</v>
      </c>
      <c r="U145" s="25"/>
      <c r="V145" s="5"/>
      <c r="W145" s="109"/>
    </row>
    <row r="146" spans="1:23" ht="15.6" x14ac:dyDescent="0.3">
      <c r="A146" s="24"/>
      <c r="B146" s="25" t="s">
        <v>47</v>
      </c>
      <c r="C146" s="25"/>
      <c r="D146" s="25"/>
      <c r="E146" s="25"/>
      <c r="F146" s="25"/>
      <c r="G146" s="25"/>
      <c r="H146" s="25"/>
      <c r="I146" s="25"/>
      <c r="J146" s="25"/>
      <c r="K146" s="25"/>
      <c r="L146" s="25"/>
      <c r="M146" s="25"/>
      <c r="N146" s="25"/>
      <c r="O146" s="25"/>
      <c r="P146" s="25"/>
      <c r="Q146" s="25"/>
      <c r="R146" s="25"/>
      <c r="S146" s="25"/>
      <c r="T146" s="53">
        <f>SUM(T138:T145)</f>
        <v>19001</v>
      </c>
      <c r="U146" s="25"/>
      <c r="V146" s="5"/>
    </row>
    <row r="147" spans="1:23" ht="15.6" x14ac:dyDescent="0.3">
      <c r="A147" s="24"/>
      <c r="B147" s="25"/>
      <c r="C147" s="25"/>
      <c r="D147" s="25"/>
      <c r="E147" s="25"/>
      <c r="F147" s="25"/>
      <c r="G147" s="25"/>
      <c r="H147" s="25"/>
      <c r="I147" s="25"/>
      <c r="J147" s="25"/>
      <c r="K147" s="25"/>
      <c r="L147" s="25"/>
      <c r="M147" s="25"/>
      <c r="N147" s="25"/>
      <c r="O147" s="25"/>
      <c r="P147" s="25"/>
      <c r="Q147" s="25"/>
      <c r="R147" s="25"/>
      <c r="S147" s="25"/>
      <c r="T147" s="53"/>
      <c r="U147" s="25"/>
      <c r="V147" s="5"/>
    </row>
    <row r="148" spans="1:23" ht="15.6" x14ac:dyDescent="0.3">
      <c r="A148" s="24"/>
      <c r="B148" s="138" t="s">
        <v>262</v>
      </c>
      <c r="C148" s="25"/>
      <c r="D148" s="25"/>
      <c r="E148" s="25"/>
      <c r="F148" s="25"/>
      <c r="G148" s="25"/>
      <c r="H148" s="25"/>
      <c r="I148" s="25"/>
      <c r="J148" s="25"/>
      <c r="K148" s="25"/>
      <c r="L148" s="25"/>
      <c r="M148" s="25"/>
      <c r="N148" s="25"/>
      <c r="O148" s="25"/>
      <c r="P148" s="25"/>
      <c r="Q148" s="25"/>
      <c r="R148" s="25"/>
      <c r="S148" s="25"/>
      <c r="T148" s="53"/>
      <c r="U148" s="25"/>
      <c r="V148" s="5"/>
    </row>
    <row r="149" spans="1:23" ht="15.6" x14ac:dyDescent="0.3">
      <c r="A149" s="24"/>
      <c r="B149" s="25" t="s">
        <v>263</v>
      </c>
      <c r="C149" s="25"/>
      <c r="D149" s="25"/>
      <c r="E149" s="25"/>
      <c r="F149" s="25"/>
      <c r="G149" s="25"/>
      <c r="H149" s="25"/>
      <c r="I149" s="25"/>
      <c r="J149" s="25"/>
      <c r="K149" s="25"/>
      <c r="L149" s="25"/>
      <c r="M149" s="25"/>
      <c r="N149" s="25"/>
      <c r="O149" s="25"/>
      <c r="P149" s="25"/>
      <c r="Q149" s="25"/>
      <c r="R149" s="25"/>
      <c r="S149" s="25"/>
      <c r="T149" s="53">
        <v>0</v>
      </c>
      <c r="U149" s="25"/>
      <c r="V149" s="5"/>
    </row>
    <row r="150" spans="1:23" ht="15.6" x14ac:dyDescent="0.3">
      <c r="A150" s="24"/>
      <c r="B150" s="25" t="s">
        <v>179</v>
      </c>
      <c r="C150" s="25"/>
      <c r="D150" s="25"/>
      <c r="E150" s="25"/>
      <c r="F150" s="25"/>
      <c r="G150" s="25"/>
      <c r="H150" s="25"/>
      <c r="I150" s="25"/>
      <c r="J150" s="25"/>
      <c r="K150" s="25"/>
      <c r="L150" s="25"/>
      <c r="M150" s="25"/>
      <c r="N150" s="25"/>
      <c r="O150" s="25"/>
      <c r="P150" s="25"/>
      <c r="Q150" s="25"/>
      <c r="R150" s="25"/>
      <c r="S150" s="25"/>
      <c r="T150" s="53">
        <v>0</v>
      </c>
      <c r="U150" s="25"/>
      <c r="V150" s="5"/>
    </row>
    <row r="151" spans="1:23" ht="15.6" x14ac:dyDescent="0.3">
      <c r="A151" s="24"/>
      <c r="B151" s="25" t="s">
        <v>264</v>
      </c>
      <c r="C151" s="25"/>
      <c r="D151" s="25"/>
      <c r="E151" s="25"/>
      <c r="F151" s="25"/>
      <c r="G151" s="25"/>
      <c r="H151" s="25"/>
      <c r="I151" s="25"/>
      <c r="J151" s="25"/>
      <c r="K151" s="25"/>
      <c r="L151" s="25"/>
      <c r="M151" s="25"/>
      <c r="N151" s="25"/>
      <c r="O151" s="25"/>
      <c r="P151" s="25"/>
      <c r="Q151" s="25"/>
      <c r="R151" s="25"/>
      <c r="S151" s="25"/>
      <c r="T151" s="53">
        <v>0</v>
      </c>
      <c r="U151" s="25"/>
      <c r="V151" s="5"/>
    </row>
    <row r="152" spans="1:23" ht="15.6" x14ac:dyDescent="0.3">
      <c r="A152" s="24"/>
      <c r="B152" s="25"/>
      <c r="C152" s="25"/>
      <c r="D152" s="25"/>
      <c r="E152" s="25"/>
      <c r="F152" s="25"/>
      <c r="G152" s="25"/>
      <c r="H152" s="25"/>
      <c r="I152" s="25"/>
      <c r="J152" s="25"/>
      <c r="K152" s="25"/>
      <c r="L152" s="25"/>
      <c r="M152" s="25"/>
      <c r="N152" s="25"/>
      <c r="O152" s="25"/>
      <c r="P152" s="25"/>
      <c r="Q152" s="25"/>
      <c r="R152" s="25"/>
      <c r="S152" s="25"/>
      <c r="T152" s="53"/>
      <c r="U152" s="25"/>
      <c r="V152" s="5"/>
    </row>
    <row r="153" spans="1:23" ht="15.6" x14ac:dyDescent="0.3">
      <c r="A153" s="24"/>
      <c r="B153" s="25"/>
      <c r="C153" s="25"/>
      <c r="D153" s="25"/>
      <c r="E153" s="25"/>
      <c r="F153" s="25"/>
      <c r="G153" s="25"/>
      <c r="H153" s="25"/>
      <c r="I153" s="25"/>
      <c r="J153" s="25"/>
      <c r="K153" s="25"/>
      <c r="L153" s="25"/>
      <c r="M153" s="25"/>
      <c r="N153" s="25"/>
      <c r="O153" s="25"/>
      <c r="P153" s="25"/>
      <c r="Q153" s="25"/>
      <c r="R153" s="25"/>
      <c r="S153" s="25"/>
      <c r="T153" s="61"/>
      <c r="U153" s="25"/>
      <c r="V153" s="5"/>
    </row>
    <row r="154" spans="1:23" ht="15.6" x14ac:dyDescent="0.3">
      <c r="A154" s="6"/>
      <c r="B154" s="119" t="s">
        <v>24</v>
      </c>
      <c r="C154" s="8"/>
      <c r="D154" s="8"/>
      <c r="E154" s="8"/>
      <c r="F154" s="8"/>
      <c r="G154" s="8"/>
      <c r="H154" s="8"/>
      <c r="I154" s="8"/>
      <c r="J154" s="8"/>
      <c r="K154" s="8"/>
      <c r="L154" s="8"/>
      <c r="M154" s="8"/>
      <c r="N154" s="8"/>
      <c r="O154" s="8"/>
      <c r="P154" s="8"/>
      <c r="Q154" s="8"/>
      <c r="R154" s="8"/>
      <c r="S154" s="8"/>
      <c r="T154" s="52"/>
      <c r="U154" s="8"/>
      <c r="V154" s="5"/>
    </row>
    <row r="155" spans="1:23" ht="15.6" x14ac:dyDescent="0.3">
      <c r="A155" s="24"/>
      <c r="B155" s="25" t="s">
        <v>48</v>
      </c>
      <c r="C155" s="25"/>
      <c r="D155" s="25"/>
      <c r="E155" s="25"/>
      <c r="F155" s="25"/>
      <c r="G155" s="25"/>
      <c r="H155" s="25"/>
      <c r="I155" s="25"/>
      <c r="J155" s="25"/>
      <c r="K155" s="25"/>
      <c r="L155" s="25"/>
      <c r="M155" s="25"/>
      <c r="N155" s="25"/>
      <c r="O155" s="25"/>
      <c r="P155" s="25"/>
      <c r="Q155" s="25"/>
      <c r="R155" s="25"/>
      <c r="S155" s="25"/>
      <c r="T155" s="59" t="s">
        <v>124</v>
      </c>
      <c r="U155" s="25"/>
      <c r="V155" s="5"/>
    </row>
    <row r="156" spans="1:23" ht="15.6" x14ac:dyDescent="0.3">
      <c r="A156" s="24"/>
      <c r="B156" s="25" t="s">
        <v>49</v>
      </c>
      <c r="C156" s="163"/>
      <c r="D156" s="163"/>
      <c r="E156" s="163"/>
      <c r="F156" s="163"/>
      <c r="G156" s="163"/>
      <c r="H156" s="163"/>
      <c r="I156" s="163"/>
      <c r="J156" s="163"/>
      <c r="K156" s="163"/>
      <c r="L156" s="163"/>
      <c r="M156" s="163"/>
      <c r="N156" s="163"/>
      <c r="O156" s="163"/>
      <c r="P156" s="163"/>
      <c r="Q156" s="163"/>
      <c r="R156" s="163"/>
      <c r="S156" s="163"/>
      <c r="T156" s="59" t="s">
        <v>124</v>
      </c>
      <c r="U156" s="25"/>
      <c r="V156" s="5"/>
    </row>
    <row r="157" spans="1:23" ht="15.6" x14ac:dyDescent="0.3">
      <c r="A157" s="24"/>
      <c r="B157" s="25" t="s">
        <v>50</v>
      </c>
      <c r="C157" s="25"/>
      <c r="D157" s="25"/>
      <c r="E157" s="25"/>
      <c r="F157" s="25"/>
      <c r="G157" s="25"/>
      <c r="H157" s="25"/>
      <c r="I157" s="25"/>
      <c r="J157" s="25"/>
      <c r="K157" s="25"/>
      <c r="L157" s="25"/>
      <c r="M157" s="25"/>
      <c r="N157" s="25"/>
      <c r="O157" s="25"/>
      <c r="P157" s="25"/>
      <c r="Q157" s="25"/>
      <c r="R157" s="25"/>
      <c r="S157" s="25"/>
      <c r="T157" s="59" t="s">
        <v>124</v>
      </c>
      <c r="U157" s="25"/>
      <c r="V157" s="5"/>
    </row>
    <row r="158" spans="1:23" ht="15.6" x14ac:dyDescent="0.3">
      <c r="A158" s="24"/>
      <c r="B158" s="25" t="s">
        <v>51</v>
      </c>
      <c r="C158" s="25"/>
      <c r="D158" s="25"/>
      <c r="E158" s="25"/>
      <c r="F158" s="25"/>
      <c r="G158" s="25"/>
      <c r="H158" s="25"/>
      <c r="I158" s="25"/>
      <c r="J158" s="25"/>
      <c r="K158" s="25"/>
      <c r="L158" s="25"/>
      <c r="M158" s="25"/>
      <c r="N158" s="25"/>
      <c r="O158" s="25"/>
      <c r="P158" s="25"/>
      <c r="Q158" s="25"/>
      <c r="R158" s="25"/>
      <c r="S158" s="25"/>
      <c r="T158" s="59" t="s">
        <v>124</v>
      </c>
      <c r="U158" s="25"/>
      <c r="V158" s="5"/>
    </row>
    <row r="159" spans="1:23" ht="15.6" x14ac:dyDescent="0.3">
      <c r="A159" s="24"/>
      <c r="B159" s="25"/>
      <c r="C159" s="25"/>
      <c r="D159" s="25"/>
      <c r="E159" s="25"/>
      <c r="F159" s="25"/>
      <c r="G159" s="25"/>
      <c r="H159" s="25"/>
      <c r="I159" s="25"/>
      <c r="J159" s="25"/>
      <c r="K159" s="25"/>
      <c r="L159" s="25"/>
      <c r="M159" s="25"/>
      <c r="N159" s="25"/>
      <c r="O159" s="25"/>
      <c r="P159" s="25"/>
      <c r="Q159" s="25"/>
      <c r="R159" s="25"/>
      <c r="S159" s="25"/>
      <c r="T159" s="61"/>
      <c r="U159" s="25"/>
      <c r="V159" s="5"/>
    </row>
    <row r="160" spans="1:23" ht="15.6" x14ac:dyDescent="0.3">
      <c r="A160" s="6"/>
      <c r="B160" s="119" t="s">
        <v>52</v>
      </c>
      <c r="C160" s="8"/>
      <c r="D160" s="8"/>
      <c r="E160" s="8"/>
      <c r="F160" s="8"/>
      <c r="G160" s="8"/>
      <c r="H160" s="8"/>
      <c r="I160" s="8"/>
      <c r="J160" s="8"/>
      <c r="K160" s="8"/>
      <c r="L160" s="8"/>
      <c r="M160" s="8"/>
      <c r="N160" s="8"/>
      <c r="O160" s="8"/>
      <c r="P160" s="8"/>
      <c r="Q160" s="8"/>
      <c r="R160" s="8"/>
      <c r="S160" s="8"/>
      <c r="T160" s="63"/>
      <c r="U160" s="8"/>
      <c r="V160" s="5"/>
    </row>
    <row r="161" spans="1:22" ht="15.6" x14ac:dyDescent="0.3">
      <c r="A161" s="24"/>
      <c r="B161" s="25" t="s">
        <v>53</v>
      </c>
      <c r="C161" s="25"/>
      <c r="D161" s="25"/>
      <c r="E161" s="25"/>
      <c r="F161" s="25"/>
      <c r="G161" s="25"/>
      <c r="H161" s="25"/>
      <c r="I161" s="25"/>
      <c r="J161" s="25"/>
      <c r="K161" s="25"/>
      <c r="L161" s="25"/>
      <c r="M161" s="25"/>
      <c r="N161" s="25"/>
      <c r="O161" s="25"/>
      <c r="P161" s="25"/>
      <c r="Q161" s="25"/>
      <c r="R161" s="25"/>
      <c r="S161" s="25"/>
      <c r="T161" s="53">
        <v>0</v>
      </c>
      <c r="U161" s="25"/>
      <c r="V161" s="5"/>
    </row>
    <row r="162" spans="1:22" ht="15.6" x14ac:dyDescent="0.3">
      <c r="A162" s="24"/>
      <c r="B162" s="25" t="s">
        <v>54</v>
      </c>
      <c r="C162" s="25"/>
      <c r="D162" s="25"/>
      <c r="E162" s="25"/>
      <c r="F162" s="25"/>
      <c r="G162" s="25"/>
      <c r="H162" s="25"/>
      <c r="I162" s="25"/>
      <c r="J162" s="25"/>
      <c r="K162" s="25"/>
      <c r="L162" s="25"/>
      <c r="M162" s="25"/>
      <c r="N162" s="25"/>
      <c r="O162" s="25"/>
      <c r="P162" s="25"/>
      <c r="Q162" s="25"/>
      <c r="R162" s="25"/>
      <c r="S162" s="25"/>
      <c r="T162" s="53">
        <f>R113</f>
        <v>16</v>
      </c>
      <c r="U162" s="25"/>
      <c r="V162" s="5"/>
    </row>
    <row r="163" spans="1:22" ht="15.6" x14ac:dyDescent="0.3">
      <c r="A163" s="24"/>
      <c r="B163" s="25" t="s">
        <v>55</v>
      </c>
      <c r="C163" s="25"/>
      <c r="D163" s="25"/>
      <c r="E163" s="25"/>
      <c r="F163" s="25"/>
      <c r="G163" s="25"/>
      <c r="H163" s="25"/>
      <c r="I163" s="25"/>
      <c r="J163" s="25"/>
      <c r="K163" s="25"/>
      <c r="L163" s="25"/>
      <c r="M163" s="25"/>
      <c r="N163" s="25"/>
      <c r="O163" s="25"/>
      <c r="P163" s="25"/>
      <c r="Q163" s="25"/>
      <c r="R163" s="25"/>
      <c r="S163" s="25"/>
      <c r="T163" s="53">
        <f>T162+T161</f>
        <v>16</v>
      </c>
      <c r="U163" s="25"/>
      <c r="V163" s="5"/>
    </row>
    <row r="164" spans="1:22" ht="15.6" x14ac:dyDescent="0.3">
      <c r="A164" s="24"/>
      <c r="B164" s="405" t="s">
        <v>301</v>
      </c>
      <c r="C164" s="25"/>
      <c r="D164" s="25"/>
      <c r="E164" s="25"/>
      <c r="F164" s="25"/>
      <c r="G164" s="25"/>
      <c r="H164" s="25"/>
      <c r="I164" s="25"/>
      <c r="J164" s="25"/>
      <c r="K164" s="25"/>
      <c r="L164" s="25"/>
      <c r="M164" s="25"/>
      <c r="N164" s="25"/>
      <c r="O164" s="25"/>
      <c r="P164" s="25"/>
      <c r="Q164" s="25"/>
      <c r="R164" s="25"/>
      <c r="S164" s="25"/>
      <c r="T164" s="53">
        <f>T113</f>
        <v>-16</v>
      </c>
      <c r="U164" s="25"/>
      <c r="V164" s="5"/>
    </row>
    <row r="165" spans="1:22" ht="15.6" x14ac:dyDescent="0.3">
      <c r="A165" s="24"/>
      <c r="B165" s="25" t="s">
        <v>56</v>
      </c>
      <c r="C165" s="25"/>
      <c r="D165" s="25"/>
      <c r="E165" s="25"/>
      <c r="F165" s="25"/>
      <c r="G165" s="25"/>
      <c r="H165" s="25"/>
      <c r="I165" s="25"/>
      <c r="J165" s="25"/>
      <c r="K165" s="25"/>
      <c r="L165" s="25"/>
      <c r="M165" s="25"/>
      <c r="N165" s="25"/>
      <c r="O165" s="25"/>
      <c r="P165" s="25"/>
      <c r="Q165" s="25"/>
      <c r="R165" s="25"/>
      <c r="S165" s="25"/>
      <c r="T165" s="53">
        <f>T163+T164</f>
        <v>0</v>
      </c>
      <c r="U165" s="25"/>
      <c r="V165" s="5"/>
    </row>
    <row r="166" spans="1:22" ht="16.2" thickBot="1" x14ac:dyDescent="0.35">
      <c r="A166" s="24"/>
      <c r="B166" s="25"/>
      <c r="C166" s="25"/>
      <c r="D166" s="25"/>
      <c r="E166" s="25"/>
      <c r="F166" s="25"/>
      <c r="G166" s="25"/>
      <c r="H166" s="25"/>
      <c r="I166" s="25"/>
      <c r="J166" s="25"/>
      <c r="K166" s="25"/>
      <c r="L166" s="25"/>
      <c r="M166" s="25"/>
      <c r="N166" s="25"/>
      <c r="O166" s="25"/>
      <c r="P166" s="25"/>
      <c r="Q166" s="25"/>
      <c r="R166" s="25"/>
      <c r="S166" s="25"/>
      <c r="T166" s="61"/>
      <c r="U166" s="25"/>
      <c r="V166" s="5"/>
    </row>
    <row r="167" spans="1:22" ht="15.6" x14ac:dyDescent="0.3">
      <c r="A167" s="2"/>
      <c r="B167" s="4"/>
      <c r="C167" s="4"/>
      <c r="D167" s="4"/>
      <c r="E167" s="4"/>
      <c r="F167" s="4"/>
      <c r="G167" s="4"/>
      <c r="H167" s="4"/>
      <c r="I167" s="4"/>
      <c r="J167" s="4"/>
      <c r="K167" s="4"/>
      <c r="L167" s="4"/>
      <c r="M167" s="4"/>
      <c r="N167" s="4"/>
      <c r="O167" s="4"/>
      <c r="P167" s="4"/>
      <c r="Q167" s="4"/>
      <c r="R167" s="4"/>
      <c r="S167" s="4"/>
      <c r="T167" s="50"/>
      <c r="U167" s="4"/>
      <c r="V167" s="5"/>
    </row>
    <row r="168" spans="1:22" ht="15.6" x14ac:dyDescent="0.3">
      <c r="A168" s="6"/>
      <c r="B168" s="119" t="s">
        <v>57</v>
      </c>
      <c r="C168" s="8"/>
      <c r="D168" s="8"/>
      <c r="E168" s="8"/>
      <c r="F168" s="8"/>
      <c r="G168" s="8"/>
      <c r="H168" s="8"/>
      <c r="I168" s="8"/>
      <c r="J168" s="8"/>
      <c r="K168" s="8"/>
      <c r="L168" s="8"/>
      <c r="M168" s="8"/>
      <c r="N168" s="8"/>
      <c r="O168" s="8"/>
      <c r="P168" s="8"/>
      <c r="Q168" s="8"/>
      <c r="R168" s="8"/>
      <c r="S168" s="8"/>
      <c r="T168" s="52"/>
      <c r="U168" s="8"/>
      <c r="V168" s="5"/>
    </row>
    <row r="169" spans="1:22" ht="15.6" x14ac:dyDescent="0.3">
      <c r="A169" s="6"/>
      <c r="B169" s="21"/>
      <c r="C169" s="8"/>
      <c r="D169" s="8"/>
      <c r="E169" s="8"/>
      <c r="F169" s="8"/>
      <c r="G169" s="8"/>
      <c r="H169" s="8"/>
      <c r="I169" s="8"/>
      <c r="J169" s="8"/>
      <c r="K169" s="8"/>
      <c r="L169" s="8"/>
      <c r="M169" s="8"/>
      <c r="N169" s="8"/>
      <c r="O169" s="8"/>
      <c r="P169" s="8"/>
      <c r="Q169" s="8"/>
      <c r="R169" s="8"/>
      <c r="S169" s="8"/>
      <c r="T169" s="52"/>
      <c r="U169" s="8"/>
      <c r="V169" s="5"/>
    </row>
    <row r="170" spans="1:22" ht="15.6" x14ac:dyDescent="0.3">
      <c r="A170" s="24"/>
      <c r="B170" s="25" t="s">
        <v>58</v>
      </c>
      <c r="C170" s="25"/>
      <c r="D170" s="25"/>
      <c r="E170" s="25"/>
      <c r="F170" s="25"/>
      <c r="G170" s="25"/>
      <c r="H170" s="25"/>
      <c r="I170" s="25"/>
      <c r="J170" s="25"/>
      <c r="K170" s="25"/>
      <c r="L170" s="25"/>
      <c r="M170" s="25"/>
      <c r="N170" s="25"/>
      <c r="O170" s="25"/>
      <c r="P170" s="25"/>
      <c r="Q170" s="25"/>
      <c r="R170" s="25"/>
      <c r="S170" s="25"/>
      <c r="T170" s="53">
        <f>T72</f>
        <v>717556</v>
      </c>
      <c r="U170" s="25"/>
      <c r="V170" s="5"/>
    </row>
    <row r="171" spans="1:22" ht="15.6" x14ac:dyDescent="0.3">
      <c r="A171" s="24"/>
      <c r="B171" s="25" t="s">
        <v>59</v>
      </c>
      <c r="C171" s="25"/>
      <c r="D171" s="25"/>
      <c r="E171" s="25"/>
      <c r="F171" s="25"/>
      <c r="G171" s="25"/>
      <c r="H171" s="25"/>
      <c r="I171" s="25"/>
      <c r="J171" s="25"/>
      <c r="K171" s="25"/>
      <c r="L171" s="25"/>
      <c r="M171" s="25"/>
      <c r="N171" s="25"/>
      <c r="O171" s="25"/>
      <c r="P171" s="25"/>
      <c r="Q171" s="25"/>
      <c r="R171" s="25"/>
      <c r="S171" s="25"/>
      <c r="T171" s="53">
        <f>T85</f>
        <v>717556</v>
      </c>
      <c r="U171" s="25"/>
      <c r="V171" s="5"/>
    </row>
    <row r="172" spans="1:22" ht="16.2" thickBot="1" x14ac:dyDescent="0.35">
      <c r="A172" s="24"/>
      <c r="B172" s="25"/>
      <c r="C172" s="25"/>
      <c r="D172" s="25"/>
      <c r="E172" s="25"/>
      <c r="F172" s="25"/>
      <c r="G172" s="25"/>
      <c r="H172" s="25"/>
      <c r="I172" s="25"/>
      <c r="J172" s="25"/>
      <c r="K172" s="25"/>
      <c r="L172" s="25"/>
      <c r="M172" s="25"/>
      <c r="N172" s="25"/>
      <c r="O172" s="25"/>
      <c r="P172" s="25"/>
      <c r="Q172" s="25"/>
      <c r="R172" s="25"/>
      <c r="S172" s="25"/>
      <c r="T172" s="61"/>
      <c r="U172" s="25"/>
      <c r="V172" s="5"/>
    </row>
    <row r="173" spans="1:22" ht="15.6" x14ac:dyDescent="0.3">
      <c r="A173" s="2"/>
      <c r="B173" s="4"/>
      <c r="C173" s="4"/>
      <c r="D173" s="4"/>
      <c r="E173" s="4"/>
      <c r="F173" s="4"/>
      <c r="G173" s="4"/>
      <c r="H173" s="4"/>
      <c r="I173" s="4"/>
      <c r="J173" s="4"/>
      <c r="K173" s="4"/>
      <c r="L173" s="4"/>
      <c r="M173" s="4"/>
      <c r="N173" s="4"/>
      <c r="O173" s="4"/>
      <c r="P173" s="4"/>
      <c r="Q173" s="4"/>
      <c r="R173" s="4"/>
      <c r="S173" s="4"/>
      <c r="T173" s="50"/>
      <c r="U173" s="4"/>
      <c r="V173" s="5"/>
    </row>
    <row r="174" spans="1:22" ht="15.6" x14ac:dyDescent="0.3">
      <c r="A174" s="6"/>
      <c r="B174" s="119" t="s">
        <v>60</v>
      </c>
      <c r="C174" s="117"/>
      <c r="D174" s="117"/>
      <c r="E174" s="117"/>
      <c r="F174" s="117"/>
      <c r="G174" s="117"/>
      <c r="H174" s="120"/>
      <c r="I174" s="120"/>
      <c r="J174" s="120"/>
      <c r="K174" s="120"/>
      <c r="L174" s="120"/>
      <c r="M174" s="120"/>
      <c r="N174" s="120"/>
      <c r="O174" s="120"/>
      <c r="P174" s="120"/>
      <c r="Q174" s="120" t="s">
        <v>104</v>
      </c>
      <c r="R174" s="120" t="s">
        <v>183</v>
      </c>
      <c r="S174" s="111"/>
      <c r="T174" s="121" t="s">
        <v>120</v>
      </c>
      <c r="U174" s="10"/>
      <c r="V174" s="5"/>
    </row>
    <row r="175" spans="1:22" ht="15.6" x14ac:dyDescent="0.3">
      <c r="A175" s="24"/>
      <c r="B175" s="25" t="s">
        <v>61</v>
      </c>
      <c r="C175" s="25"/>
      <c r="D175" s="25"/>
      <c r="E175" s="25"/>
      <c r="F175" s="25"/>
      <c r="G175" s="25"/>
      <c r="H175" s="25"/>
      <c r="I175" s="25"/>
      <c r="J175" s="25"/>
      <c r="K175" s="25"/>
      <c r="L175" s="25"/>
      <c r="M175" s="25"/>
      <c r="N175" s="25"/>
      <c r="O175" s="25"/>
      <c r="P175" s="25"/>
      <c r="Q175" s="53">
        <v>160008</v>
      </c>
      <c r="R175" s="40"/>
      <c r="S175" s="25"/>
      <c r="T175" s="53"/>
      <c r="U175" s="25"/>
      <c r="V175" s="5"/>
    </row>
    <row r="176" spans="1:22" ht="15.6" x14ac:dyDescent="0.3">
      <c r="A176" s="24"/>
      <c r="B176" s="25" t="s">
        <v>62</v>
      </c>
      <c r="C176" s="25"/>
      <c r="D176" s="25"/>
      <c r="E176" s="25"/>
      <c r="F176" s="25"/>
      <c r="G176" s="25"/>
      <c r="H176" s="25"/>
      <c r="I176" s="25"/>
      <c r="J176" s="25"/>
      <c r="K176" s="25"/>
      <c r="L176" s="25"/>
      <c r="M176" s="25"/>
      <c r="N176" s="25"/>
      <c r="O176" s="25"/>
      <c r="P176" s="25"/>
      <c r="Q176" s="53">
        <f>+'Dec 07'!Q178</f>
        <v>25956</v>
      </c>
      <c r="R176" s="53">
        <f>+'Dec 07'!R178</f>
        <v>3093</v>
      </c>
      <c r="S176" s="25"/>
      <c r="T176" s="53">
        <f>Q176+R176</f>
        <v>29049</v>
      </c>
      <c r="U176" s="25"/>
      <c r="V176" s="5"/>
    </row>
    <row r="177" spans="1:22" ht="15.6" x14ac:dyDescent="0.3">
      <c r="A177" s="24"/>
      <c r="B177" s="25" t="s">
        <v>63</v>
      </c>
      <c r="C177" s="25"/>
      <c r="D177" s="25"/>
      <c r="E177" s="25"/>
      <c r="F177" s="25"/>
      <c r="G177" s="25"/>
      <c r="H177" s="25"/>
      <c r="I177" s="25"/>
      <c r="J177" s="25"/>
      <c r="K177" s="25"/>
      <c r="L177" s="25"/>
      <c r="M177" s="25"/>
      <c r="N177" s="25"/>
      <c r="O177" s="25"/>
      <c r="P177" s="25"/>
      <c r="Q177" s="34">
        <v>2056</v>
      </c>
      <c r="R177" s="34">
        <v>150</v>
      </c>
      <c r="S177" s="25"/>
      <c r="T177" s="53">
        <f>Q177+R177</f>
        <v>2206</v>
      </c>
      <c r="U177" s="25"/>
      <c r="V177" s="5"/>
    </row>
    <row r="178" spans="1:22" ht="15.6" x14ac:dyDescent="0.3">
      <c r="A178" s="24"/>
      <c r="B178" s="25" t="s">
        <v>64</v>
      </c>
      <c r="C178" s="25"/>
      <c r="D178" s="25"/>
      <c r="E178" s="25"/>
      <c r="F178" s="25"/>
      <c r="G178" s="25"/>
      <c r="H178" s="25"/>
      <c r="I178" s="25"/>
      <c r="J178" s="25"/>
      <c r="K178" s="25"/>
      <c r="L178" s="25"/>
      <c r="M178" s="25"/>
      <c r="N178" s="25"/>
      <c r="O178" s="25"/>
      <c r="P178" s="25"/>
      <c r="Q178" s="53">
        <f>Q176+Q177</f>
        <v>28012</v>
      </c>
      <c r="R178" s="53">
        <f>R177+R176</f>
        <v>3243</v>
      </c>
      <c r="S178" s="25"/>
      <c r="T178" s="53">
        <f>Q178+R178</f>
        <v>31255</v>
      </c>
      <c r="U178" s="25"/>
      <c r="V178" s="5"/>
    </row>
    <row r="179" spans="1:22" ht="15.6" x14ac:dyDescent="0.3">
      <c r="A179" s="24"/>
      <c r="B179" s="25" t="s">
        <v>65</v>
      </c>
      <c r="C179" s="25"/>
      <c r="D179" s="25"/>
      <c r="E179" s="25"/>
      <c r="F179" s="25"/>
      <c r="G179" s="25"/>
      <c r="H179" s="25"/>
      <c r="I179" s="25"/>
      <c r="J179" s="25"/>
      <c r="K179" s="25"/>
      <c r="L179" s="25"/>
      <c r="M179" s="25"/>
      <c r="N179" s="25"/>
      <c r="O179" s="25"/>
      <c r="P179" s="25"/>
      <c r="Q179" s="53">
        <f>Q175-Q178-R178</f>
        <v>128753</v>
      </c>
      <c r="R179" s="40"/>
      <c r="S179" s="25"/>
      <c r="T179" s="53"/>
      <c r="U179" s="25"/>
      <c r="V179" s="5"/>
    </row>
    <row r="180" spans="1:22" ht="16.2" thickBot="1" x14ac:dyDescent="0.35">
      <c r="A180" s="24"/>
      <c r="B180" s="25"/>
      <c r="C180" s="25"/>
      <c r="D180" s="25"/>
      <c r="E180" s="25"/>
      <c r="F180" s="25"/>
      <c r="G180" s="25"/>
      <c r="H180" s="25"/>
      <c r="I180" s="25"/>
      <c r="J180" s="25"/>
      <c r="K180" s="25"/>
      <c r="L180" s="25"/>
      <c r="M180" s="25"/>
      <c r="N180" s="25"/>
      <c r="O180" s="25"/>
      <c r="P180" s="25"/>
      <c r="Q180" s="25"/>
      <c r="R180" s="25"/>
      <c r="S180" s="25"/>
      <c r="T180" s="61"/>
      <c r="U180" s="25"/>
      <c r="V180" s="5"/>
    </row>
    <row r="181" spans="1:22" ht="15.6" x14ac:dyDescent="0.3">
      <c r="A181" s="2"/>
      <c r="B181" s="4"/>
      <c r="C181" s="4"/>
      <c r="D181" s="4"/>
      <c r="E181" s="4"/>
      <c r="F181" s="4"/>
      <c r="G181" s="4"/>
      <c r="H181" s="4"/>
      <c r="I181" s="4"/>
      <c r="J181" s="4"/>
      <c r="K181" s="4"/>
      <c r="L181" s="4"/>
      <c r="M181" s="4"/>
      <c r="N181" s="4"/>
      <c r="O181" s="4"/>
      <c r="P181" s="4"/>
      <c r="Q181" s="4"/>
      <c r="R181" s="4"/>
      <c r="S181" s="4"/>
      <c r="T181" s="50"/>
      <c r="U181" s="4"/>
      <c r="V181" s="5"/>
    </row>
    <row r="182" spans="1:22" ht="15.6" x14ac:dyDescent="0.3">
      <c r="A182" s="6"/>
      <c r="B182" s="119" t="s">
        <v>66</v>
      </c>
      <c r="C182" s="8"/>
      <c r="D182" s="8"/>
      <c r="E182" s="8"/>
      <c r="F182" s="8"/>
      <c r="G182" s="8"/>
      <c r="H182" s="8"/>
      <c r="I182" s="8"/>
      <c r="J182" s="8"/>
      <c r="K182" s="8"/>
      <c r="L182" s="8"/>
      <c r="M182" s="8"/>
      <c r="N182" s="8"/>
      <c r="O182" s="8"/>
      <c r="P182" s="8"/>
      <c r="Q182" s="8"/>
      <c r="R182" s="8"/>
      <c r="S182" s="8"/>
      <c r="T182" s="65"/>
      <c r="U182" s="8"/>
      <c r="V182" s="5"/>
    </row>
    <row r="183" spans="1:22" ht="15.6" x14ac:dyDescent="0.3">
      <c r="A183" s="24"/>
      <c r="B183" s="25" t="s">
        <v>67</v>
      </c>
      <c r="C183" s="25"/>
      <c r="D183" s="25"/>
      <c r="E183" s="25"/>
      <c r="F183" s="25"/>
      <c r="G183" s="25"/>
      <c r="H183" s="25"/>
      <c r="I183" s="25"/>
      <c r="J183" s="25"/>
      <c r="K183" s="25"/>
      <c r="L183" s="25"/>
      <c r="M183" s="25"/>
      <c r="N183" s="25"/>
      <c r="O183" s="25"/>
      <c r="P183" s="25"/>
      <c r="Q183" s="25"/>
      <c r="R183" s="25"/>
      <c r="S183" s="25"/>
      <c r="T183" s="59">
        <f>(T101+T103+T104+T105+T106)/-(T107+T108)</f>
        <v>1.443855421686747</v>
      </c>
      <c r="U183" s="25" t="s">
        <v>121</v>
      </c>
      <c r="V183" s="5"/>
    </row>
    <row r="184" spans="1:22" ht="15.6" x14ac:dyDescent="0.3">
      <c r="A184" s="24"/>
      <c r="B184" s="25" t="s">
        <v>68</v>
      </c>
      <c r="C184" s="25"/>
      <c r="D184" s="25"/>
      <c r="E184" s="25"/>
      <c r="F184" s="25"/>
      <c r="G184" s="25"/>
      <c r="H184" s="25"/>
      <c r="I184" s="25"/>
      <c r="J184" s="25"/>
      <c r="K184" s="25"/>
      <c r="L184" s="25"/>
      <c r="M184" s="25"/>
      <c r="N184" s="25"/>
      <c r="O184" s="25"/>
      <c r="P184" s="25"/>
      <c r="Q184" s="25"/>
      <c r="R184" s="25"/>
      <c r="S184" s="25"/>
      <c r="T184" s="66">
        <v>1.43</v>
      </c>
      <c r="U184" s="25" t="s">
        <v>121</v>
      </c>
      <c r="V184" s="5"/>
    </row>
    <row r="185" spans="1:22" ht="15.6" x14ac:dyDescent="0.3">
      <c r="A185" s="24"/>
      <c r="B185" s="25" t="s">
        <v>69</v>
      </c>
      <c r="C185" s="25"/>
      <c r="D185" s="25"/>
      <c r="E185" s="25"/>
      <c r="F185" s="25"/>
      <c r="G185" s="25"/>
      <c r="H185" s="25"/>
      <c r="I185" s="25"/>
      <c r="J185" s="25"/>
      <c r="K185" s="25"/>
      <c r="L185" s="25"/>
      <c r="M185" s="25"/>
      <c r="N185" s="25"/>
      <c r="O185" s="25"/>
      <c r="P185" s="25"/>
      <c r="Q185" s="25"/>
      <c r="R185" s="25"/>
      <c r="S185" s="25"/>
      <c r="T185" s="59">
        <f>(T101+T103+T104+T105+T106+T107+T108)/-(T109+T110)</f>
        <v>4.3037383177570092</v>
      </c>
      <c r="U185" s="25" t="s">
        <v>121</v>
      </c>
      <c r="V185" s="5"/>
    </row>
    <row r="186" spans="1:22" ht="15.6" x14ac:dyDescent="0.3">
      <c r="A186" s="24"/>
      <c r="B186" s="25" t="s">
        <v>70</v>
      </c>
      <c r="C186" s="25"/>
      <c r="D186" s="25"/>
      <c r="E186" s="25"/>
      <c r="F186" s="25"/>
      <c r="G186" s="25"/>
      <c r="H186" s="25"/>
      <c r="I186" s="25"/>
      <c r="J186" s="25"/>
      <c r="K186" s="25"/>
      <c r="L186" s="25"/>
      <c r="M186" s="25"/>
      <c r="N186" s="25"/>
      <c r="O186" s="25"/>
      <c r="P186" s="25"/>
      <c r="Q186" s="25"/>
      <c r="R186" s="25"/>
      <c r="S186" s="25"/>
      <c r="T186" s="66">
        <v>4.6100000000000003</v>
      </c>
      <c r="U186" s="25" t="s">
        <v>121</v>
      </c>
      <c r="V186" s="5"/>
    </row>
    <row r="187" spans="1:22" ht="15.6" x14ac:dyDescent="0.3">
      <c r="A187" s="24"/>
      <c r="B187" s="25" t="s">
        <v>206</v>
      </c>
      <c r="C187" s="25"/>
      <c r="D187" s="25"/>
      <c r="E187" s="25"/>
      <c r="F187" s="25"/>
      <c r="G187" s="25"/>
      <c r="H187" s="25"/>
      <c r="I187" s="25"/>
      <c r="J187" s="25"/>
      <c r="K187" s="25"/>
      <c r="L187" s="25"/>
      <c r="M187" s="25"/>
      <c r="N187" s="25"/>
      <c r="O187" s="25"/>
      <c r="P187" s="25"/>
      <c r="Q187" s="25"/>
      <c r="R187" s="25"/>
      <c r="S187" s="25"/>
      <c r="T187" s="59">
        <f>(T101+T103+T104+T105+T106+T107+T108+T109+T110)/-(T111)</f>
        <v>3.8382193268186753</v>
      </c>
      <c r="U187" s="25" t="s">
        <v>121</v>
      </c>
      <c r="V187" s="5"/>
    </row>
    <row r="188" spans="1:22" ht="15.6" x14ac:dyDescent="0.3">
      <c r="A188" s="24"/>
      <c r="B188" s="25" t="s">
        <v>207</v>
      </c>
      <c r="C188" s="25"/>
      <c r="D188" s="25"/>
      <c r="E188" s="25"/>
      <c r="F188" s="25"/>
      <c r="G188" s="25"/>
      <c r="H188" s="25"/>
      <c r="I188" s="25"/>
      <c r="J188" s="25"/>
      <c r="K188" s="25"/>
      <c r="L188" s="25"/>
      <c r="M188" s="25"/>
      <c r="N188" s="25"/>
      <c r="O188" s="25"/>
      <c r="P188" s="25"/>
      <c r="Q188" s="25"/>
      <c r="R188" s="25"/>
      <c r="S188" s="25"/>
      <c r="T188" s="66">
        <v>4.1900000000000004</v>
      </c>
      <c r="U188" s="25" t="s">
        <v>121</v>
      </c>
      <c r="V188" s="5"/>
    </row>
    <row r="189" spans="1:22" ht="15.6" x14ac:dyDescent="0.3">
      <c r="A189" s="24"/>
      <c r="B189" s="25"/>
      <c r="C189" s="25"/>
      <c r="D189" s="25"/>
      <c r="E189" s="25"/>
      <c r="F189" s="25"/>
      <c r="G189" s="25"/>
      <c r="H189" s="25"/>
      <c r="I189" s="25"/>
      <c r="J189" s="25"/>
      <c r="K189" s="25"/>
      <c r="L189" s="25"/>
      <c r="M189" s="25"/>
      <c r="N189" s="25"/>
      <c r="O189" s="25"/>
      <c r="P189" s="25"/>
      <c r="Q189" s="25"/>
      <c r="R189" s="25"/>
      <c r="S189" s="25"/>
      <c r="T189" s="25"/>
      <c r="U189" s="25"/>
      <c r="V189" s="5"/>
    </row>
    <row r="190" spans="1:22" ht="15.6" x14ac:dyDescent="0.3">
      <c r="A190" s="24"/>
      <c r="B190" s="25"/>
      <c r="C190" s="25"/>
      <c r="D190" s="25"/>
      <c r="E190" s="25"/>
      <c r="F190" s="25"/>
      <c r="G190" s="25"/>
      <c r="H190" s="25"/>
      <c r="I190" s="25"/>
      <c r="J190" s="25"/>
      <c r="K190" s="25"/>
      <c r="L190" s="25"/>
      <c r="M190" s="25"/>
      <c r="N190" s="25"/>
      <c r="O190" s="25"/>
      <c r="P190" s="25"/>
      <c r="Q190" s="25"/>
      <c r="R190" s="25"/>
      <c r="S190" s="25"/>
      <c r="T190" s="25"/>
      <c r="U190" s="25"/>
      <c r="V190" s="5"/>
    </row>
    <row r="191" spans="1:22" ht="15.6" x14ac:dyDescent="0.3">
      <c r="A191" s="6"/>
      <c r="B191" s="8"/>
      <c r="C191" s="8"/>
      <c r="D191" s="8"/>
      <c r="E191" s="8"/>
      <c r="F191" s="8"/>
      <c r="G191" s="8"/>
      <c r="H191" s="8"/>
      <c r="I191" s="8"/>
      <c r="J191" s="8"/>
      <c r="K191" s="8"/>
      <c r="L191" s="8"/>
      <c r="M191" s="8"/>
      <c r="N191" s="8"/>
      <c r="O191" s="8"/>
      <c r="P191" s="8"/>
      <c r="Q191" s="8"/>
      <c r="R191" s="8"/>
      <c r="S191" s="8"/>
      <c r="T191" s="8"/>
      <c r="U191" s="8"/>
      <c r="V191" s="5"/>
    </row>
    <row r="192" spans="1:22" ht="18" thickBot="1" x14ac:dyDescent="0.35">
      <c r="A192" s="101"/>
      <c r="B192" s="102" t="str">
        <f>B133</f>
        <v>PM11 INVESTOR REPORT QUARTER ENDING MARCH 2008</v>
      </c>
      <c r="C192" s="165"/>
      <c r="D192" s="165"/>
      <c r="E192" s="165"/>
      <c r="F192" s="165"/>
      <c r="G192" s="165"/>
      <c r="H192" s="165"/>
      <c r="I192" s="165"/>
      <c r="J192" s="165"/>
      <c r="K192" s="165"/>
      <c r="L192" s="165"/>
      <c r="M192" s="165"/>
      <c r="N192" s="165"/>
      <c r="O192" s="165"/>
      <c r="P192" s="165"/>
      <c r="Q192" s="165"/>
      <c r="R192" s="165"/>
      <c r="S192" s="165"/>
      <c r="T192" s="165"/>
      <c r="U192" s="166"/>
      <c r="V192" s="5"/>
    </row>
    <row r="193" spans="1:22" ht="15.6" x14ac:dyDescent="0.3">
      <c r="A193" s="67"/>
      <c r="B193" s="60" t="s">
        <v>71</v>
      </c>
      <c r="C193" s="68"/>
      <c r="D193" s="68"/>
      <c r="E193" s="68"/>
      <c r="F193" s="68"/>
      <c r="G193" s="69"/>
      <c r="H193" s="69"/>
      <c r="I193" s="69"/>
      <c r="J193" s="69"/>
      <c r="K193" s="69"/>
      <c r="L193" s="69"/>
      <c r="M193" s="69"/>
      <c r="N193" s="69"/>
      <c r="O193" s="69"/>
      <c r="P193" s="69"/>
      <c r="Q193" s="69"/>
      <c r="R193" s="70">
        <v>39538</v>
      </c>
      <c r="S193" s="4"/>
      <c r="T193" s="4"/>
      <c r="U193" s="4"/>
      <c r="V193" s="5"/>
    </row>
    <row r="194" spans="1:22" ht="15.6" x14ac:dyDescent="0.3">
      <c r="A194" s="71"/>
      <c r="B194" s="72"/>
      <c r="C194" s="73"/>
      <c r="D194" s="73"/>
      <c r="E194" s="73"/>
      <c r="F194" s="73"/>
      <c r="G194" s="74"/>
      <c r="H194" s="74"/>
      <c r="I194" s="74"/>
      <c r="J194" s="74"/>
      <c r="K194" s="74"/>
      <c r="L194" s="74"/>
      <c r="M194" s="74"/>
      <c r="N194" s="74"/>
      <c r="O194" s="74"/>
      <c r="P194" s="74"/>
      <c r="Q194" s="74"/>
      <c r="R194" s="74"/>
      <c r="S194" s="8"/>
      <c r="T194" s="8"/>
      <c r="U194" s="8"/>
      <c r="V194" s="5"/>
    </row>
    <row r="195" spans="1:22" ht="15.6" x14ac:dyDescent="0.3">
      <c r="A195" s="75"/>
      <c r="B195" s="76" t="s">
        <v>72</v>
      </c>
      <c r="C195" s="77"/>
      <c r="D195" s="77"/>
      <c r="E195" s="77"/>
      <c r="F195" s="77"/>
      <c r="G195" s="64"/>
      <c r="H195" s="64"/>
      <c r="I195" s="64"/>
      <c r="J195" s="64"/>
      <c r="K195" s="64"/>
      <c r="L195" s="64"/>
      <c r="M195" s="64"/>
      <c r="N195" s="64"/>
      <c r="O195" s="64"/>
      <c r="P195" s="64"/>
      <c r="Q195" s="64"/>
      <c r="R195" s="78">
        <v>5.1569999999999998E-2</v>
      </c>
      <c r="S195" s="25"/>
      <c r="T195" s="25"/>
      <c r="U195" s="25"/>
      <c r="V195" s="5"/>
    </row>
    <row r="196" spans="1:22" ht="15.6" x14ac:dyDescent="0.3">
      <c r="A196" s="75"/>
      <c r="B196" s="76" t="s">
        <v>157</v>
      </c>
      <c r="C196" s="77"/>
      <c r="D196" s="77"/>
      <c r="E196" s="77"/>
      <c r="F196" s="77"/>
      <c r="G196" s="64"/>
      <c r="H196" s="64"/>
      <c r="I196" s="64"/>
      <c r="J196" s="64"/>
      <c r="K196" s="64"/>
      <c r="L196" s="64"/>
      <c r="M196" s="64"/>
      <c r="N196" s="64"/>
      <c r="O196" s="64"/>
      <c r="P196" s="64"/>
      <c r="Q196" s="64"/>
      <c r="R196" s="39">
        <v>4.6899999999999997E-2</v>
      </c>
      <c r="S196" s="25"/>
      <c r="T196" s="25"/>
      <c r="U196" s="25"/>
      <c r="V196" s="5"/>
    </row>
    <row r="197" spans="1:22" ht="15.6" x14ac:dyDescent="0.3">
      <c r="A197" s="75"/>
      <c r="B197" s="76" t="s">
        <v>73</v>
      </c>
      <c r="C197" s="77"/>
      <c r="D197" s="77"/>
      <c r="E197" s="77"/>
      <c r="F197" s="77"/>
      <c r="G197" s="64"/>
      <c r="H197" s="64"/>
      <c r="I197" s="64"/>
      <c r="J197" s="64"/>
      <c r="K197" s="64"/>
      <c r="L197" s="64"/>
      <c r="M197" s="64"/>
      <c r="N197" s="64"/>
      <c r="O197" s="64"/>
      <c r="P197" s="64"/>
      <c r="Q197" s="64"/>
      <c r="R197" s="78">
        <f>R195-R196</f>
        <v>4.6700000000000005E-3</v>
      </c>
      <c r="S197" s="25"/>
      <c r="T197" s="25"/>
      <c r="U197" s="25"/>
      <c r="V197" s="5"/>
    </row>
    <row r="198" spans="1:22" ht="15.6" x14ac:dyDescent="0.3">
      <c r="A198" s="75"/>
      <c r="B198" s="76" t="s">
        <v>74</v>
      </c>
      <c r="C198" s="77"/>
      <c r="D198" s="77"/>
      <c r="E198" s="77"/>
      <c r="F198" s="77"/>
      <c r="G198" s="64"/>
      <c r="H198" s="64"/>
      <c r="I198" s="64"/>
      <c r="J198" s="64"/>
      <c r="K198" s="64"/>
      <c r="L198" s="64"/>
      <c r="M198" s="64"/>
      <c r="N198" s="64"/>
      <c r="O198" s="64"/>
      <c r="P198" s="64"/>
      <c r="Q198" s="64"/>
      <c r="R198" s="78">
        <v>5.9089999999999997E-2</v>
      </c>
      <c r="S198" s="25"/>
      <c r="T198" s="25"/>
      <c r="U198" s="25"/>
      <c r="V198" s="5"/>
    </row>
    <row r="199" spans="1:22" ht="15.6" x14ac:dyDescent="0.3">
      <c r="A199" s="75"/>
      <c r="B199" s="76" t="s">
        <v>257</v>
      </c>
      <c r="C199" s="77"/>
      <c r="D199" s="77"/>
      <c r="E199" s="77"/>
      <c r="F199" s="77"/>
      <c r="G199" s="64"/>
      <c r="H199" s="64"/>
      <c r="I199" s="64"/>
      <c r="J199" s="64"/>
      <c r="K199" s="64"/>
      <c r="L199" s="64"/>
      <c r="M199" s="64"/>
      <c r="N199" s="64"/>
      <c r="O199" s="64"/>
      <c r="P199" s="64"/>
      <c r="Q199" s="64"/>
      <c r="R199" s="78">
        <f>T43</f>
        <v>5.82620825189787E-2</v>
      </c>
      <c r="S199" s="25"/>
      <c r="T199" s="25"/>
      <c r="U199" s="25"/>
      <c r="V199" s="5"/>
    </row>
    <row r="200" spans="1:22" ht="15.6" x14ac:dyDescent="0.3">
      <c r="A200" s="75"/>
      <c r="B200" s="76" t="s">
        <v>75</v>
      </c>
      <c r="C200" s="77"/>
      <c r="D200" s="77"/>
      <c r="E200" s="77"/>
      <c r="F200" s="77"/>
      <c r="G200" s="64"/>
      <c r="H200" s="64"/>
      <c r="I200" s="64"/>
      <c r="J200" s="64"/>
      <c r="K200" s="64"/>
      <c r="L200" s="64"/>
      <c r="M200" s="64"/>
      <c r="N200" s="64"/>
      <c r="O200" s="64"/>
      <c r="P200" s="64"/>
      <c r="Q200" s="64"/>
      <c r="R200" s="78">
        <f>R198-R199</f>
        <v>8.2791748102129664E-4</v>
      </c>
      <c r="S200" s="25"/>
      <c r="T200" s="25"/>
      <c r="U200" s="25"/>
      <c r="V200" s="5"/>
    </row>
    <row r="201" spans="1:22" ht="15.6" x14ac:dyDescent="0.3">
      <c r="A201" s="75"/>
      <c r="B201" s="76" t="s">
        <v>260</v>
      </c>
      <c r="C201" s="77"/>
      <c r="D201" s="77"/>
      <c r="E201" s="77"/>
      <c r="F201" s="77"/>
      <c r="G201" s="64"/>
      <c r="H201" s="64"/>
      <c r="I201" s="64"/>
      <c r="J201" s="64"/>
      <c r="K201" s="64"/>
      <c r="L201" s="64"/>
      <c r="M201" s="64"/>
      <c r="N201" s="64"/>
      <c r="O201" s="64"/>
      <c r="P201" s="64"/>
      <c r="Q201" s="64"/>
      <c r="R201" s="78">
        <f>+T101/L72</f>
        <v>1.8017383133662204E-2</v>
      </c>
      <c r="S201" s="25"/>
      <c r="T201" s="25"/>
      <c r="U201" s="25"/>
      <c r="V201" s="5"/>
    </row>
    <row r="202" spans="1:22" ht="15.6" x14ac:dyDescent="0.3">
      <c r="A202" s="75"/>
      <c r="B202" s="76" t="s">
        <v>217</v>
      </c>
      <c r="C202" s="77"/>
      <c r="D202" s="77"/>
      <c r="E202" s="77"/>
      <c r="F202" s="77"/>
      <c r="G202" s="64"/>
      <c r="H202" s="64"/>
      <c r="I202" s="64"/>
      <c r="J202" s="64"/>
      <c r="K202" s="64"/>
      <c r="L202" s="64"/>
      <c r="M202" s="64"/>
      <c r="N202" s="64"/>
      <c r="O202" s="64"/>
      <c r="P202" s="64"/>
      <c r="Q202" s="64"/>
      <c r="R202" s="129">
        <v>15250</v>
      </c>
      <c r="S202" s="25"/>
      <c r="T202" s="25"/>
      <c r="U202" s="25"/>
      <c r="V202" s="5"/>
    </row>
    <row r="203" spans="1:22" ht="15.6" x14ac:dyDescent="0.3">
      <c r="A203" s="75"/>
      <c r="B203" s="76" t="s">
        <v>218</v>
      </c>
      <c r="C203" s="77"/>
      <c r="D203" s="77"/>
      <c r="E203" s="77"/>
      <c r="F203" s="77"/>
      <c r="G203" s="64"/>
      <c r="H203" s="64"/>
      <c r="I203" s="64"/>
      <c r="J203" s="64"/>
      <c r="K203" s="64"/>
      <c r="L203" s="64"/>
      <c r="M203" s="64"/>
      <c r="N203" s="64"/>
      <c r="O203" s="64"/>
      <c r="P203" s="64"/>
      <c r="Q203" s="64"/>
      <c r="R203" s="129">
        <v>15250</v>
      </c>
      <c r="S203" s="25"/>
      <c r="T203" s="25"/>
      <c r="U203" s="25"/>
      <c r="V203" s="5"/>
    </row>
    <row r="204" spans="1:22" ht="15.6" x14ac:dyDescent="0.3">
      <c r="A204" s="75"/>
      <c r="B204" s="76" t="s">
        <v>219</v>
      </c>
      <c r="C204" s="77"/>
      <c r="D204" s="77"/>
      <c r="E204" s="77"/>
      <c r="F204" s="77"/>
      <c r="G204" s="64"/>
      <c r="H204" s="64"/>
      <c r="I204" s="64"/>
      <c r="J204" s="64"/>
      <c r="K204" s="64"/>
      <c r="L204" s="64"/>
      <c r="M204" s="64"/>
      <c r="N204" s="64"/>
      <c r="O204" s="64"/>
      <c r="P204" s="64"/>
      <c r="Q204" s="64"/>
      <c r="R204" s="129">
        <v>15250</v>
      </c>
      <c r="S204" s="25"/>
      <c r="T204" s="25"/>
      <c r="U204" s="25"/>
      <c r="V204" s="5"/>
    </row>
    <row r="205" spans="1:22" ht="15.6" x14ac:dyDescent="0.3">
      <c r="A205" s="75"/>
      <c r="B205" s="76" t="s">
        <v>76</v>
      </c>
      <c r="C205" s="77"/>
      <c r="D205" s="77"/>
      <c r="E205" s="77"/>
      <c r="F205" s="77"/>
      <c r="G205" s="64"/>
      <c r="H205" s="64"/>
      <c r="I205" s="64"/>
      <c r="J205" s="64"/>
      <c r="K205" s="64"/>
      <c r="L205" s="64"/>
      <c r="M205" s="64"/>
      <c r="N205" s="64"/>
      <c r="O205" s="64"/>
      <c r="P205" s="64"/>
      <c r="Q205" s="64"/>
      <c r="R205" s="133">
        <v>21.18</v>
      </c>
      <c r="S205" s="25" t="s">
        <v>116</v>
      </c>
      <c r="T205" s="25"/>
      <c r="U205" s="25"/>
      <c r="V205" s="5"/>
    </row>
    <row r="206" spans="1:22" ht="15.6" x14ac:dyDescent="0.3">
      <c r="A206" s="75"/>
      <c r="B206" s="76" t="s">
        <v>77</v>
      </c>
      <c r="C206" s="77"/>
      <c r="D206" s="77"/>
      <c r="E206" s="77"/>
      <c r="F206" s="77"/>
      <c r="G206" s="64"/>
      <c r="H206" s="64"/>
      <c r="I206" s="64"/>
      <c r="J206" s="64"/>
      <c r="K206" s="64"/>
      <c r="L206" s="64"/>
      <c r="M206" s="64"/>
      <c r="N206" s="64"/>
      <c r="O206" s="64"/>
      <c r="P206" s="64"/>
      <c r="Q206" s="64"/>
      <c r="R206" s="133">
        <v>19.2</v>
      </c>
      <c r="S206" s="25" t="s">
        <v>116</v>
      </c>
      <c r="T206" s="25"/>
      <c r="U206" s="25"/>
      <c r="V206" s="5"/>
    </row>
    <row r="207" spans="1:22" ht="15.6" x14ac:dyDescent="0.3">
      <c r="A207" s="75"/>
      <c r="B207" s="76" t="s">
        <v>78</v>
      </c>
      <c r="C207" s="77"/>
      <c r="D207" s="77"/>
      <c r="E207" s="77"/>
      <c r="F207" s="77"/>
      <c r="G207" s="64"/>
      <c r="H207" s="64"/>
      <c r="I207" s="64"/>
      <c r="J207" s="64"/>
      <c r="K207" s="64"/>
      <c r="L207" s="64"/>
      <c r="M207" s="64"/>
      <c r="N207" s="64"/>
      <c r="O207" s="64"/>
      <c r="P207" s="64"/>
      <c r="Q207" s="64"/>
      <c r="R207" s="78">
        <f>N69/L69</f>
        <v>0.16013859525487431</v>
      </c>
      <c r="S207" s="25"/>
      <c r="T207" s="25"/>
      <c r="U207" s="25"/>
      <c r="V207" s="5"/>
    </row>
    <row r="208" spans="1:22" ht="15.6" x14ac:dyDescent="0.3">
      <c r="A208" s="75"/>
      <c r="B208" s="76" t="s">
        <v>79</v>
      </c>
      <c r="C208" s="77"/>
      <c r="D208" s="77"/>
      <c r="E208" s="77"/>
      <c r="F208" s="77"/>
      <c r="G208" s="64"/>
      <c r="H208" s="64"/>
      <c r="I208" s="64"/>
      <c r="J208" s="64"/>
      <c r="K208" s="64"/>
      <c r="L208" s="64"/>
      <c r="M208" s="64"/>
      <c r="N208" s="64"/>
      <c r="O208" s="64"/>
      <c r="P208" s="64"/>
      <c r="Q208" s="64"/>
      <c r="R208" s="78">
        <v>0.16569999999999999</v>
      </c>
      <c r="S208" s="25"/>
      <c r="T208" s="25"/>
      <c r="U208" s="25"/>
      <c r="V208" s="5"/>
    </row>
    <row r="209" spans="1:22" ht="15.6" x14ac:dyDescent="0.3">
      <c r="A209" s="75"/>
      <c r="B209" s="76"/>
      <c r="C209" s="76"/>
      <c r="D209" s="76"/>
      <c r="E209" s="76"/>
      <c r="F209" s="76"/>
      <c r="G209" s="25"/>
      <c r="H209" s="25"/>
      <c r="I209" s="25"/>
      <c r="J209" s="25"/>
      <c r="K209" s="25"/>
      <c r="L209" s="25"/>
      <c r="M209" s="25"/>
      <c r="N209" s="25"/>
      <c r="O209" s="25"/>
      <c r="P209" s="25"/>
      <c r="Q209" s="25"/>
      <c r="R209" s="61"/>
      <c r="S209" s="25"/>
      <c r="T209" s="79"/>
      <c r="U209" s="25"/>
      <c r="V209" s="5"/>
    </row>
    <row r="210" spans="1:22" ht="15.6" x14ac:dyDescent="0.3">
      <c r="A210" s="80"/>
      <c r="B210" s="14" t="s">
        <v>80</v>
      </c>
      <c r="C210" s="81"/>
      <c r="D210" s="81"/>
      <c r="E210" s="81"/>
      <c r="F210" s="82"/>
      <c r="G210" s="81"/>
      <c r="H210" s="17"/>
      <c r="I210" s="17"/>
      <c r="J210" s="17"/>
      <c r="K210" s="17"/>
      <c r="L210" s="17"/>
      <c r="M210" s="17"/>
      <c r="N210" s="17"/>
      <c r="O210" s="17"/>
      <c r="P210" s="17"/>
      <c r="Q210" s="17" t="s">
        <v>105</v>
      </c>
      <c r="R210" s="83" t="s">
        <v>112</v>
      </c>
      <c r="S210" s="8"/>
      <c r="T210" s="8"/>
      <c r="U210" s="8"/>
      <c r="V210" s="5"/>
    </row>
    <row r="211" spans="1:22" ht="15.6" x14ac:dyDescent="0.3">
      <c r="A211" s="84"/>
      <c r="B211" s="76" t="s">
        <v>81</v>
      </c>
      <c r="C211" s="54"/>
      <c r="D211" s="54"/>
      <c r="E211" s="54"/>
      <c r="F211" s="25"/>
      <c r="G211" s="25"/>
      <c r="H211" s="30"/>
      <c r="I211" s="30"/>
      <c r="J211" s="30"/>
      <c r="K211" s="30"/>
      <c r="L211" s="30"/>
      <c r="M211" s="30"/>
      <c r="N211" s="30"/>
      <c r="O211" s="30"/>
      <c r="P211" s="30"/>
      <c r="Q211" s="30">
        <v>2</v>
      </c>
      <c r="R211" s="85">
        <v>426</v>
      </c>
      <c r="S211" s="25"/>
      <c r="T211" s="79"/>
      <c r="U211" s="86"/>
      <c r="V211" s="5"/>
    </row>
    <row r="212" spans="1:22" ht="15.6" x14ac:dyDescent="0.3">
      <c r="A212" s="84"/>
      <c r="B212" s="76" t="s">
        <v>151</v>
      </c>
      <c r="C212" s="54"/>
      <c r="D212" s="54"/>
      <c r="E212" s="54"/>
      <c r="F212" s="25"/>
      <c r="G212" s="25"/>
      <c r="H212" s="30"/>
      <c r="I212" s="30"/>
      <c r="J212" s="30"/>
      <c r="K212" s="30"/>
      <c r="L212" s="30"/>
      <c r="M212" s="30"/>
      <c r="N212" s="30"/>
      <c r="O212" s="30"/>
      <c r="P212" s="30"/>
      <c r="Q212" s="152">
        <f>+P252</f>
        <v>24</v>
      </c>
      <c r="R212" s="85">
        <f>+R252</f>
        <v>4075</v>
      </c>
      <c r="S212" s="25"/>
      <c r="T212" s="79"/>
      <c r="U212" s="86"/>
      <c r="V212" s="5"/>
    </row>
    <row r="213" spans="1:22" ht="15.6" x14ac:dyDescent="0.3">
      <c r="A213" s="84"/>
      <c r="B213" s="76" t="s">
        <v>82</v>
      </c>
      <c r="C213" s="54"/>
      <c r="D213" s="54"/>
      <c r="E213" s="54"/>
      <c r="F213" s="25"/>
      <c r="G213" s="25"/>
      <c r="H213" s="30"/>
      <c r="I213" s="30"/>
      <c r="J213" s="30"/>
      <c r="K213" s="30"/>
      <c r="L213" s="30"/>
      <c r="M213" s="30"/>
      <c r="N213" s="30"/>
      <c r="O213" s="30"/>
      <c r="P213" s="30"/>
      <c r="Q213" s="152">
        <f>+P264</f>
        <v>1</v>
      </c>
      <c r="R213" s="85">
        <f>+R264</f>
        <v>236</v>
      </c>
      <c r="S213" s="25"/>
      <c r="T213" s="79"/>
      <c r="U213" s="86"/>
      <c r="V213" s="5"/>
    </row>
    <row r="214" spans="1:22" ht="15.6" x14ac:dyDescent="0.3">
      <c r="A214" s="84"/>
      <c r="B214" s="122" t="s">
        <v>83</v>
      </c>
      <c r="C214" s="54"/>
      <c r="D214" s="54"/>
      <c r="E214" s="54"/>
      <c r="F214" s="25"/>
      <c r="G214" s="25"/>
      <c r="H214" s="25"/>
      <c r="I214" s="25"/>
      <c r="J214" s="25"/>
      <c r="K214" s="25"/>
      <c r="L214" s="25"/>
      <c r="M214" s="25"/>
      <c r="N214" s="25"/>
      <c r="O214" s="25"/>
      <c r="P214" s="25"/>
      <c r="Q214" s="25"/>
      <c r="R214" s="85">
        <v>0</v>
      </c>
      <c r="S214" s="25"/>
      <c r="T214" s="79"/>
      <c r="U214" s="86"/>
      <c r="V214" s="5"/>
    </row>
    <row r="215" spans="1:22" ht="15.6" x14ac:dyDescent="0.3">
      <c r="A215" s="84"/>
      <c r="B215" s="122" t="s">
        <v>84</v>
      </c>
      <c r="C215" s="54"/>
      <c r="D215" s="54"/>
      <c r="E215" s="54"/>
      <c r="F215" s="25"/>
      <c r="G215" s="25"/>
      <c r="H215" s="25"/>
      <c r="I215" s="25"/>
      <c r="J215" s="25"/>
      <c r="K215" s="25"/>
      <c r="L215" s="25"/>
      <c r="M215" s="25"/>
      <c r="N215" s="25"/>
      <c r="O215" s="25"/>
      <c r="P215" s="25"/>
      <c r="Q215" s="25"/>
      <c r="R215" s="62" t="s">
        <v>113</v>
      </c>
      <c r="S215" s="25"/>
      <c r="T215" s="79"/>
      <c r="U215" s="86"/>
      <c r="V215" s="5"/>
    </row>
    <row r="216" spans="1:22" ht="15.6" x14ac:dyDescent="0.3">
      <c r="A216" s="87"/>
      <c r="B216" s="122" t="s">
        <v>85</v>
      </c>
      <c r="C216" s="76"/>
      <c r="D216" s="76"/>
      <c r="E216" s="76"/>
      <c r="F216" s="76"/>
      <c r="G216" s="25"/>
      <c r="H216" s="25"/>
      <c r="I216" s="25"/>
      <c r="J216" s="25"/>
      <c r="K216" s="25"/>
      <c r="L216" s="25"/>
      <c r="M216" s="25"/>
      <c r="N216" s="25"/>
      <c r="O216" s="25"/>
      <c r="P216" s="25"/>
      <c r="Q216" s="25"/>
      <c r="R216" s="85"/>
      <c r="S216" s="25"/>
      <c r="T216" s="79"/>
      <c r="U216" s="88"/>
      <c r="V216" s="5"/>
    </row>
    <row r="217" spans="1:22" ht="15.6" x14ac:dyDescent="0.3">
      <c r="A217" s="87"/>
      <c r="B217" s="131" t="s">
        <v>86</v>
      </c>
      <c r="C217" s="76"/>
      <c r="D217" s="76"/>
      <c r="E217" s="76"/>
      <c r="F217" s="76"/>
      <c r="G217" s="25"/>
      <c r="H217" s="25"/>
      <c r="I217" s="25"/>
      <c r="J217" s="25"/>
      <c r="K217" s="25"/>
      <c r="L217" s="25"/>
      <c r="M217" s="25"/>
      <c r="N217" s="25"/>
      <c r="O217" s="25"/>
      <c r="P217" s="25"/>
      <c r="Q217" s="30"/>
      <c r="R217" s="85">
        <f>T162</f>
        <v>16</v>
      </c>
      <c r="S217" s="25"/>
      <c r="T217" s="79"/>
      <c r="U217" s="88"/>
      <c r="V217" s="5"/>
    </row>
    <row r="218" spans="1:22" ht="15.6" x14ac:dyDescent="0.3">
      <c r="A218" s="84"/>
      <c r="B218" s="76" t="s">
        <v>87</v>
      </c>
      <c r="C218" s="54"/>
      <c r="D218" s="54"/>
      <c r="E218" s="54"/>
      <c r="F218" s="54"/>
      <c r="G218" s="25"/>
      <c r="H218" s="25"/>
      <c r="I218" s="25"/>
      <c r="J218" s="25"/>
      <c r="K218" s="25"/>
      <c r="L218" s="25"/>
      <c r="M218" s="25"/>
      <c r="N218" s="25"/>
      <c r="O218" s="25"/>
      <c r="P218" s="25"/>
      <c r="Q218" s="30"/>
      <c r="R218" s="85">
        <f>+'Dec 07'!R218+R217</f>
        <v>38</v>
      </c>
      <c r="S218" s="25"/>
      <c r="T218" s="79"/>
      <c r="U218" s="88"/>
      <c r="V218" s="5"/>
    </row>
    <row r="219" spans="1:22" ht="15.6" x14ac:dyDescent="0.3">
      <c r="A219" s="87"/>
      <c r="B219" s="122" t="s">
        <v>282</v>
      </c>
      <c r="C219" s="76"/>
      <c r="D219" s="76"/>
      <c r="E219" s="76"/>
      <c r="F219" s="76"/>
      <c r="G219" s="25"/>
      <c r="H219" s="25"/>
      <c r="I219" s="25"/>
      <c r="J219" s="25"/>
      <c r="K219" s="25"/>
      <c r="L219" s="25"/>
      <c r="M219" s="25"/>
      <c r="N219" s="25"/>
      <c r="O219" s="25"/>
      <c r="P219" s="25"/>
      <c r="Q219" s="30"/>
      <c r="R219" s="85"/>
      <c r="S219" s="25"/>
      <c r="T219" s="79"/>
      <c r="U219" s="88"/>
      <c r="V219" s="5"/>
    </row>
    <row r="220" spans="1:22" ht="15.6" x14ac:dyDescent="0.3">
      <c r="A220" s="87"/>
      <c r="B220" s="76" t="s">
        <v>280</v>
      </c>
      <c r="C220" s="76"/>
      <c r="D220" s="76"/>
      <c r="E220" s="76"/>
      <c r="F220" s="76"/>
      <c r="G220" s="25"/>
      <c r="H220" s="25"/>
      <c r="I220" s="25"/>
      <c r="J220" s="25"/>
      <c r="K220" s="25"/>
      <c r="L220" s="25"/>
      <c r="M220" s="25"/>
      <c r="N220" s="25"/>
      <c r="O220" s="25"/>
      <c r="P220" s="25"/>
      <c r="Q220" s="30">
        <v>0</v>
      </c>
      <c r="R220" s="85">
        <v>0</v>
      </c>
      <c r="S220" s="25"/>
      <c r="T220" s="79"/>
      <c r="U220" s="88"/>
      <c r="V220" s="5"/>
    </row>
    <row r="221" spans="1:22" ht="15.6" x14ac:dyDescent="0.3">
      <c r="A221" s="84"/>
      <c r="B221" s="76" t="s">
        <v>89</v>
      </c>
      <c r="C221" s="89"/>
      <c r="D221" s="89"/>
      <c r="E221" s="89"/>
      <c r="F221" s="90"/>
      <c r="G221" s="25"/>
      <c r="H221" s="25"/>
      <c r="I221" s="25"/>
      <c r="J221" s="25"/>
      <c r="K221" s="25"/>
      <c r="L221" s="25"/>
      <c r="M221" s="25"/>
      <c r="N221" s="25"/>
      <c r="O221" s="25"/>
      <c r="P221" s="25"/>
      <c r="Q221" s="25"/>
      <c r="R221" s="62">
        <v>0</v>
      </c>
      <c r="S221" s="25"/>
      <c r="T221" s="79"/>
      <c r="U221" s="88"/>
      <c r="V221" s="5"/>
    </row>
    <row r="222" spans="1:22" ht="15.6" x14ac:dyDescent="0.3">
      <c r="A222" s="84"/>
      <c r="B222" s="76" t="s">
        <v>90</v>
      </c>
      <c r="C222" s="89"/>
      <c r="D222" s="89"/>
      <c r="E222" s="89"/>
      <c r="F222" s="90"/>
      <c r="G222" s="25"/>
      <c r="H222" s="25"/>
      <c r="I222" s="25"/>
      <c r="J222" s="25"/>
      <c r="K222" s="25"/>
      <c r="L222" s="25"/>
      <c r="M222" s="25"/>
      <c r="N222" s="25"/>
      <c r="O222" s="25"/>
      <c r="P222" s="25"/>
      <c r="Q222" s="25"/>
      <c r="R222" s="62">
        <v>0</v>
      </c>
      <c r="S222" s="25"/>
      <c r="T222" s="79"/>
      <c r="U222" s="88"/>
      <c r="V222" s="5"/>
    </row>
    <row r="223" spans="1:22" ht="15.6" x14ac:dyDescent="0.3">
      <c r="A223" s="84"/>
      <c r="B223" s="122" t="s">
        <v>226</v>
      </c>
      <c r="C223" s="89"/>
      <c r="D223" s="89"/>
      <c r="E223" s="89"/>
      <c r="F223" s="90"/>
      <c r="G223" s="25"/>
      <c r="H223" s="25"/>
      <c r="I223" s="25"/>
      <c r="J223" s="25"/>
      <c r="K223" s="25"/>
      <c r="L223" s="25"/>
      <c r="M223" s="25"/>
      <c r="N223" s="25"/>
      <c r="O223" s="25"/>
      <c r="P223" s="25"/>
      <c r="Q223" s="30"/>
      <c r="R223" s="91"/>
      <c r="S223" s="25"/>
      <c r="T223" s="79"/>
      <c r="U223" s="88"/>
      <c r="V223" s="5"/>
    </row>
    <row r="224" spans="1:22" ht="15.6" x14ac:dyDescent="0.3">
      <c r="A224" s="84"/>
      <c r="B224" s="76" t="s">
        <v>280</v>
      </c>
      <c r="C224" s="89"/>
      <c r="D224" s="89"/>
      <c r="E224" s="89"/>
      <c r="F224" s="90"/>
      <c r="G224" s="25"/>
      <c r="H224" s="25"/>
      <c r="I224" s="25"/>
      <c r="J224" s="25"/>
      <c r="K224" s="25"/>
      <c r="L224" s="25"/>
      <c r="M224" s="25"/>
      <c r="N224" s="25"/>
      <c r="O224" s="25"/>
      <c r="P224" s="25"/>
      <c r="Q224" s="30">
        <v>3</v>
      </c>
      <c r="R224" s="85">
        <v>447</v>
      </c>
      <c r="S224" s="25"/>
      <c r="T224" s="79"/>
      <c r="U224" s="88"/>
      <c r="V224" s="5"/>
    </row>
    <row r="225" spans="1:23" ht="15.6" x14ac:dyDescent="0.3">
      <c r="A225" s="84"/>
      <c r="B225" s="76" t="s">
        <v>227</v>
      </c>
      <c r="C225" s="89"/>
      <c r="D225" s="89"/>
      <c r="E225" s="89"/>
      <c r="F225" s="90"/>
      <c r="G225" s="25"/>
      <c r="H225" s="25"/>
      <c r="I225" s="25"/>
      <c r="J225" s="25"/>
      <c r="K225" s="25"/>
      <c r="L225" s="25"/>
      <c r="M225" s="25"/>
      <c r="N225" s="25"/>
      <c r="O225" s="25"/>
      <c r="P225" s="25"/>
      <c r="Q225" s="30"/>
      <c r="R225" s="62">
        <v>7.49</v>
      </c>
      <c r="S225" s="25"/>
      <c r="T225" s="79"/>
      <c r="U225" s="88"/>
      <c r="V225" s="5"/>
    </row>
    <row r="226" spans="1:23" ht="15.6" x14ac:dyDescent="0.3">
      <c r="A226" s="84"/>
      <c r="B226" s="76"/>
      <c r="C226" s="89"/>
      <c r="D226" s="89"/>
      <c r="E226" s="89"/>
      <c r="F226" s="90"/>
      <c r="G226" s="25"/>
      <c r="H226" s="25"/>
      <c r="I226" s="25"/>
      <c r="J226" s="25"/>
      <c r="K226" s="25"/>
      <c r="L226" s="25"/>
      <c r="M226" s="25"/>
      <c r="N226" s="25"/>
      <c r="O226" s="25"/>
      <c r="P226" s="25"/>
      <c r="Q226" s="25"/>
      <c r="R226" s="91"/>
      <c r="S226" s="25"/>
      <c r="T226" s="79"/>
      <c r="U226" s="88"/>
      <c r="V226" s="5"/>
    </row>
    <row r="227" spans="1:23" ht="15.6" x14ac:dyDescent="0.3">
      <c r="A227" s="84"/>
      <c r="B227" s="76"/>
      <c r="C227" s="89"/>
      <c r="D227" s="89"/>
      <c r="E227" s="89"/>
      <c r="F227" s="90"/>
      <c r="G227" s="25"/>
      <c r="H227" s="25"/>
      <c r="I227" s="25"/>
      <c r="J227" s="25"/>
      <c r="K227" s="25"/>
      <c r="L227" s="25"/>
      <c r="M227" s="25"/>
      <c r="N227" s="25"/>
      <c r="O227" s="25"/>
      <c r="P227" s="25"/>
      <c r="Q227" s="25"/>
      <c r="R227" s="91"/>
      <c r="S227" s="25"/>
      <c r="T227" s="79"/>
      <c r="U227" s="88"/>
      <c r="V227" s="5"/>
    </row>
    <row r="228" spans="1:23" ht="17.399999999999999" x14ac:dyDescent="0.3">
      <c r="A228" s="84"/>
      <c r="B228" s="149" t="s">
        <v>175</v>
      </c>
      <c r="C228" s="89"/>
      <c r="D228" s="89"/>
      <c r="E228" s="89"/>
      <c r="F228" s="90"/>
      <c r="G228" s="25"/>
      <c r="H228" s="25"/>
      <c r="I228" s="25"/>
      <c r="J228" s="25"/>
      <c r="K228" s="25"/>
      <c r="L228" s="25"/>
      <c r="M228" s="25"/>
      <c r="N228" s="150" t="s">
        <v>174</v>
      </c>
      <c r="O228" s="25"/>
      <c r="P228" s="25"/>
      <c r="Q228" s="25"/>
      <c r="R228" s="91"/>
      <c r="S228" s="25"/>
      <c r="T228" s="79"/>
      <c r="U228" s="88"/>
      <c r="V228" s="5"/>
    </row>
    <row r="229" spans="1:23" ht="15.6" x14ac:dyDescent="0.3">
      <c r="A229" s="84"/>
      <c r="B229" s="76"/>
      <c r="C229" s="89"/>
      <c r="D229" s="89"/>
      <c r="E229" s="89"/>
      <c r="F229" s="90"/>
      <c r="G229" s="25"/>
      <c r="H229" s="25"/>
      <c r="I229" s="25"/>
      <c r="J229" s="25"/>
      <c r="K229" s="25"/>
      <c r="L229" s="25"/>
      <c r="M229" s="25"/>
      <c r="N229" s="25"/>
      <c r="O229" s="25"/>
      <c r="P229" s="25"/>
      <c r="Q229" s="25"/>
      <c r="R229" s="91"/>
      <c r="S229" s="25"/>
      <c r="T229" s="79"/>
      <c r="U229" s="88"/>
      <c r="V229" s="5"/>
    </row>
    <row r="230" spans="1:23" ht="15.6" x14ac:dyDescent="0.3">
      <c r="A230" s="6"/>
      <c r="B230" s="14" t="s">
        <v>169</v>
      </c>
      <c r="C230" s="81"/>
      <c r="D230" s="81"/>
      <c r="E230" s="81"/>
      <c r="F230" s="82"/>
      <c r="G230" s="81"/>
      <c r="H230" s="17"/>
      <c r="I230" s="17"/>
      <c r="J230" s="17"/>
      <c r="K230" s="17"/>
      <c r="L230" s="17"/>
      <c r="M230" s="17"/>
      <c r="N230" s="17"/>
      <c r="O230" s="17"/>
      <c r="P230" s="83" t="s">
        <v>105</v>
      </c>
      <c r="Q230" s="17" t="s">
        <v>106</v>
      </c>
      <c r="R230" s="83" t="s">
        <v>114</v>
      </c>
      <c r="S230" s="17" t="s">
        <v>106</v>
      </c>
      <c r="T230" s="8"/>
      <c r="U230" s="92"/>
      <c r="V230" s="5"/>
    </row>
    <row r="231" spans="1:23" ht="15.6" x14ac:dyDescent="0.3">
      <c r="A231" s="24"/>
      <c r="B231" s="54" t="s">
        <v>91</v>
      </c>
      <c r="C231" s="93"/>
      <c r="D231" s="93"/>
      <c r="E231" s="93"/>
      <c r="F231" s="25"/>
      <c r="G231" s="93"/>
      <c r="H231" s="93"/>
      <c r="I231" s="93"/>
      <c r="J231" s="93"/>
      <c r="K231" s="93"/>
      <c r="L231" s="93"/>
      <c r="M231" s="93"/>
      <c r="N231" s="93"/>
      <c r="O231" s="93"/>
      <c r="P231" s="54">
        <v>5286</v>
      </c>
      <c r="Q231" s="94">
        <f t="shared" ref="Q231:Q238" si="1">P231/$P$240</f>
        <v>0.98637805560738945</v>
      </c>
      <c r="R231" s="53">
        <v>701334</v>
      </c>
      <c r="S231" s="132">
        <f t="shared" ref="S231:S238" si="2">R231/$R$240</f>
        <v>0.98330026849119168</v>
      </c>
      <c r="T231" s="79"/>
      <c r="U231" s="88"/>
      <c r="V231" s="5"/>
    </row>
    <row r="232" spans="1:23" ht="15.6" x14ac:dyDescent="0.3">
      <c r="A232" s="24"/>
      <c r="B232" s="54" t="s">
        <v>92</v>
      </c>
      <c r="C232" s="93"/>
      <c r="D232" s="93"/>
      <c r="E232" s="93"/>
      <c r="F232" s="25"/>
      <c r="G232" s="94"/>
      <c r="H232" s="93"/>
      <c r="I232" s="93"/>
      <c r="J232" s="93"/>
      <c r="K232" s="93"/>
      <c r="L232" s="93"/>
      <c r="M232" s="93"/>
      <c r="N232" s="93"/>
      <c r="O232" s="93"/>
      <c r="P232" s="54">
        <v>26</v>
      </c>
      <c r="Q232" s="94">
        <f t="shared" si="1"/>
        <v>4.8516514275051313E-3</v>
      </c>
      <c r="R232" s="53">
        <v>3913</v>
      </c>
      <c r="S232" s="132">
        <f t="shared" si="2"/>
        <v>5.4861933837601386E-3</v>
      </c>
      <c r="T232" s="79"/>
      <c r="U232" s="88"/>
      <c r="V232" s="5"/>
      <c r="W232" s="109"/>
    </row>
    <row r="233" spans="1:23" ht="15.6" x14ac:dyDescent="0.3">
      <c r="A233" s="24"/>
      <c r="B233" s="54" t="s">
        <v>93</v>
      </c>
      <c r="C233" s="93"/>
      <c r="D233" s="93"/>
      <c r="E233" s="93"/>
      <c r="F233" s="25"/>
      <c r="G233" s="94"/>
      <c r="H233" s="93"/>
      <c r="I233" s="93"/>
      <c r="J233" s="93"/>
      <c r="K233" s="93"/>
      <c r="L233" s="93"/>
      <c r="M233" s="93"/>
      <c r="N233" s="93"/>
      <c r="O233" s="93"/>
      <c r="P233" s="54">
        <v>44</v>
      </c>
      <c r="Q233" s="94">
        <f t="shared" si="1"/>
        <v>8.2104870311625298E-3</v>
      </c>
      <c r="R233" s="53">
        <v>7425</v>
      </c>
      <c r="S233" s="132">
        <f t="shared" si="2"/>
        <v>1.041016761421391E-2</v>
      </c>
      <c r="T233" s="79"/>
      <c r="U233" s="88"/>
      <c r="V233" s="5"/>
    </row>
    <row r="234" spans="1:23" ht="15.6" x14ac:dyDescent="0.3">
      <c r="A234" s="24"/>
      <c r="B234" s="54" t="s">
        <v>163</v>
      </c>
      <c r="C234" s="93"/>
      <c r="D234" s="93"/>
      <c r="E234" s="93"/>
      <c r="F234" s="25"/>
      <c r="G234" s="94"/>
      <c r="H234" s="93"/>
      <c r="I234" s="93"/>
      <c r="J234" s="93"/>
      <c r="K234" s="93"/>
      <c r="L234" s="93"/>
      <c r="M234" s="93"/>
      <c r="N234" s="93"/>
      <c r="O234" s="93"/>
      <c r="P234" s="54">
        <v>0</v>
      </c>
      <c r="Q234" s="94">
        <f t="shared" si="1"/>
        <v>0</v>
      </c>
      <c r="R234" s="53">
        <v>0</v>
      </c>
      <c r="S234" s="132">
        <f t="shared" si="2"/>
        <v>0</v>
      </c>
      <c r="T234" s="79"/>
      <c r="U234" s="88"/>
      <c r="V234" s="5"/>
      <c r="W234" s="109"/>
    </row>
    <row r="235" spans="1:23" ht="15.6" x14ac:dyDescent="0.3">
      <c r="A235" s="24"/>
      <c r="B235" s="54" t="s">
        <v>164</v>
      </c>
      <c r="C235" s="93"/>
      <c r="D235" s="93"/>
      <c r="E235" s="93"/>
      <c r="F235" s="25"/>
      <c r="G235" s="94"/>
      <c r="H235" s="93"/>
      <c r="I235" s="93"/>
      <c r="J235" s="93"/>
      <c r="K235" s="93"/>
      <c r="L235" s="93"/>
      <c r="M235" s="93"/>
      <c r="N235" s="93"/>
      <c r="O235" s="93"/>
      <c r="P235" s="54">
        <v>0</v>
      </c>
      <c r="Q235" s="94">
        <f t="shared" si="1"/>
        <v>0</v>
      </c>
      <c r="R235" s="53">
        <v>0</v>
      </c>
      <c r="S235" s="132">
        <f t="shared" si="2"/>
        <v>0</v>
      </c>
      <c r="T235" s="79"/>
      <c r="U235" s="88"/>
      <c r="V235" s="5"/>
    </row>
    <row r="236" spans="1:23" ht="15.6" x14ac:dyDescent="0.3">
      <c r="A236" s="24"/>
      <c r="B236" s="54" t="s">
        <v>165</v>
      </c>
      <c r="C236" s="93"/>
      <c r="D236" s="93"/>
      <c r="E236" s="93"/>
      <c r="F236" s="25"/>
      <c r="G236" s="94"/>
      <c r="H236" s="93"/>
      <c r="I236" s="93"/>
      <c r="J236" s="93"/>
      <c r="K236" s="93"/>
      <c r="L236" s="93"/>
      <c r="M236" s="93"/>
      <c r="N236" s="93"/>
      <c r="O236" s="93"/>
      <c r="P236" s="54">
        <v>1</v>
      </c>
      <c r="Q236" s="94">
        <f t="shared" si="1"/>
        <v>1.8660197798096661E-4</v>
      </c>
      <c r="R236" s="53">
        <v>154</v>
      </c>
      <c r="S236" s="132">
        <f t="shared" si="2"/>
        <v>2.1591458755406627E-4</v>
      </c>
      <c r="T236" s="79"/>
      <c r="U236" s="88"/>
      <c r="V236" s="5"/>
      <c r="W236" s="109"/>
    </row>
    <row r="237" spans="1:23" ht="15.6" x14ac:dyDescent="0.3">
      <c r="A237" s="24"/>
      <c r="B237" s="54" t="s">
        <v>166</v>
      </c>
      <c r="C237" s="93"/>
      <c r="D237" s="93"/>
      <c r="E237" s="93"/>
      <c r="F237" s="25"/>
      <c r="G237" s="94"/>
      <c r="H237" s="93"/>
      <c r="I237" s="93"/>
      <c r="J237" s="93"/>
      <c r="K237" s="93"/>
      <c r="L237" s="93"/>
      <c r="M237" s="93"/>
      <c r="N237" s="93"/>
      <c r="O237" s="93"/>
      <c r="P237" s="54">
        <v>2</v>
      </c>
      <c r="Q237" s="94">
        <f t="shared" si="1"/>
        <v>3.7320395596193321E-4</v>
      </c>
      <c r="R237" s="53">
        <v>419</v>
      </c>
      <c r="S237" s="132">
        <f t="shared" si="2"/>
        <v>5.8745592328021928E-4</v>
      </c>
      <c r="T237" s="79"/>
      <c r="U237" s="88"/>
      <c r="V237" s="5"/>
    </row>
    <row r="238" spans="1:23" ht="15.6" x14ac:dyDescent="0.3">
      <c r="A238" s="24"/>
      <c r="B238" s="54" t="s">
        <v>167</v>
      </c>
      <c r="C238" s="93"/>
      <c r="D238" s="93"/>
      <c r="E238" s="93"/>
      <c r="F238" s="25"/>
      <c r="G238" s="94"/>
      <c r="H238" s="93"/>
      <c r="I238" s="93"/>
      <c r="J238" s="93"/>
      <c r="K238" s="93"/>
      <c r="L238" s="93"/>
      <c r="M238" s="93"/>
      <c r="N238" s="93"/>
      <c r="O238" s="93"/>
      <c r="P238" s="54">
        <v>0</v>
      </c>
      <c r="Q238" s="94">
        <f t="shared" si="1"/>
        <v>0</v>
      </c>
      <c r="R238" s="53">
        <v>0</v>
      </c>
      <c r="S238" s="132">
        <f t="shared" si="2"/>
        <v>0</v>
      </c>
      <c r="T238" s="79"/>
      <c r="U238" s="88"/>
      <c r="V238" s="5"/>
      <c r="W238" s="109"/>
    </row>
    <row r="239" spans="1:23" ht="15.6" x14ac:dyDescent="0.3">
      <c r="A239" s="24"/>
      <c r="B239" s="54"/>
      <c r="C239" s="93"/>
      <c r="D239" s="93"/>
      <c r="E239" s="93"/>
      <c r="F239" s="25"/>
      <c r="G239" s="94"/>
      <c r="H239" s="93"/>
      <c r="I239" s="93"/>
      <c r="J239" s="93"/>
      <c r="K239" s="93"/>
      <c r="L239" s="93"/>
      <c r="M239" s="93"/>
      <c r="N239" s="93"/>
      <c r="O239" s="93"/>
      <c r="P239" s="54"/>
      <c r="Q239" s="94"/>
      <c r="R239" s="53"/>
      <c r="S239" s="132"/>
      <c r="T239" s="79"/>
      <c r="U239" s="88"/>
      <c r="V239" s="5"/>
    </row>
    <row r="240" spans="1:23" ht="15.6" x14ac:dyDescent="0.3">
      <c r="A240" s="24"/>
      <c r="B240" s="25" t="s">
        <v>120</v>
      </c>
      <c r="C240" s="25"/>
      <c r="D240" s="25"/>
      <c r="E240" s="25"/>
      <c r="F240" s="25"/>
      <c r="G240" s="25"/>
      <c r="H240" s="95"/>
      <c r="I240" s="95"/>
      <c r="J240" s="95"/>
      <c r="K240" s="95"/>
      <c r="L240" s="95"/>
      <c r="M240" s="95"/>
      <c r="N240" s="95"/>
      <c r="O240" s="95"/>
      <c r="P240" s="34">
        <f>SUM(P231:P239)</f>
        <v>5359</v>
      </c>
      <c r="Q240" s="132">
        <f>SUM(Q231:Q239)</f>
        <v>1</v>
      </c>
      <c r="R240" s="53">
        <f>SUM(R231:R239)</f>
        <v>713245</v>
      </c>
      <c r="S240" s="132">
        <f>SUM(S231:S239)</f>
        <v>1</v>
      </c>
      <c r="T240" s="25"/>
      <c r="U240" s="25"/>
      <c r="V240" s="5"/>
    </row>
    <row r="241" spans="1:22" ht="15.6" x14ac:dyDescent="0.3">
      <c r="A241" s="24"/>
      <c r="B241" s="25"/>
      <c r="C241" s="25"/>
      <c r="D241" s="25"/>
      <c r="E241" s="25"/>
      <c r="F241" s="25"/>
      <c r="G241" s="25"/>
      <c r="H241" s="95"/>
      <c r="I241" s="95"/>
      <c r="J241" s="95"/>
      <c r="K241" s="95"/>
      <c r="L241" s="95"/>
      <c r="M241" s="95"/>
      <c r="N241" s="95"/>
      <c r="O241" s="95"/>
      <c r="P241" s="34"/>
      <c r="Q241" s="132"/>
      <c r="R241" s="53"/>
      <c r="S241" s="132"/>
      <c r="T241" s="25"/>
      <c r="U241" s="25"/>
      <c r="V241" s="5"/>
    </row>
    <row r="242" spans="1:22" ht="15.6" x14ac:dyDescent="0.3">
      <c r="A242" s="141"/>
      <c r="B242" s="14" t="s">
        <v>267</v>
      </c>
      <c r="C242" s="81"/>
      <c r="D242" s="81"/>
      <c r="E242" s="81"/>
      <c r="F242" s="82"/>
      <c r="G242" s="81"/>
      <c r="H242" s="17"/>
      <c r="I242" s="17"/>
      <c r="J242" s="17"/>
      <c r="K242" s="17"/>
      <c r="L242" s="17"/>
      <c r="M242" s="17"/>
      <c r="N242" s="17"/>
      <c r="O242" s="17"/>
      <c r="P242" s="83" t="s">
        <v>105</v>
      </c>
      <c r="Q242" s="17" t="s">
        <v>106</v>
      </c>
      <c r="R242" s="83" t="s">
        <v>114</v>
      </c>
      <c r="S242" s="17" t="s">
        <v>106</v>
      </c>
      <c r="T242" s="139"/>
      <c r="U242" s="140"/>
      <c r="V242" s="5"/>
    </row>
    <row r="243" spans="1:22" ht="15.6" x14ac:dyDescent="0.3">
      <c r="A243" s="24"/>
      <c r="B243" s="54" t="s">
        <v>91</v>
      </c>
      <c r="C243" s="93"/>
      <c r="D243" s="93"/>
      <c r="E243" s="93"/>
      <c r="F243" s="25"/>
      <c r="G243" s="93"/>
      <c r="H243" s="93"/>
      <c r="I243" s="93"/>
      <c r="J243" s="93"/>
      <c r="K243" s="93"/>
      <c r="L243" s="93"/>
      <c r="M243" s="93"/>
      <c r="N243" s="93"/>
      <c r="O243" s="93"/>
      <c r="P243" s="54">
        <v>2</v>
      </c>
      <c r="Q243" s="94">
        <f t="shared" ref="Q243:Q250" si="3">P243/$P$252</f>
        <v>8.3333333333333329E-2</v>
      </c>
      <c r="R243" s="53">
        <v>180</v>
      </c>
      <c r="S243" s="132">
        <f t="shared" ref="S243:S250" si="4">R243/$R$252</f>
        <v>4.4171779141104296E-2</v>
      </c>
      <c r="T243" s="25"/>
      <c r="U243" s="25"/>
      <c r="V243" s="5"/>
    </row>
    <row r="244" spans="1:22" ht="15.6" x14ac:dyDescent="0.3">
      <c r="A244" s="24"/>
      <c r="B244" s="54" t="s">
        <v>92</v>
      </c>
      <c r="C244" s="93"/>
      <c r="D244" s="93"/>
      <c r="E244" s="93"/>
      <c r="F244" s="25"/>
      <c r="G244" s="94"/>
      <c r="H244" s="93"/>
      <c r="I244" s="93"/>
      <c r="J244" s="93"/>
      <c r="K244" s="93"/>
      <c r="L244" s="93"/>
      <c r="M244" s="93"/>
      <c r="N244" s="93"/>
      <c r="O244" s="93"/>
      <c r="P244" s="54">
        <v>2</v>
      </c>
      <c r="Q244" s="94">
        <f t="shared" si="3"/>
        <v>8.3333333333333329E-2</v>
      </c>
      <c r="R244" s="53">
        <v>1020</v>
      </c>
      <c r="S244" s="132">
        <f t="shared" si="4"/>
        <v>0.25030674846625767</v>
      </c>
      <c r="T244" s="25"/>
      <c r="U244" s="25"/>
      <c r="V244" s="5"/>
    </row>
    <row r="245" spans="1:22" ht="15.6" x14ac:dyDescent="0.3">
      <c r="A245" s="24"/>
      <c r="B245" s="54" t="s">
        <v>93</v>
      </c>
      <c r="C245" s="93"/>
      <c r="D245" s="93"/>
      <c r="E245" s="93"/>
      <c r="F245" s="25"/>
      <c r="G245" s="94"/>
      <c r="H245" s="93"/>
      <c r="I245" s="93"/>
      <c r="J245" s="93"/>
      <c r="K245" s="93"/>
      <c r="L245" s="93"/>
      <c r="M245" s="93"/>
      <c r="N245" s="93"/>
      <c r="O245" s="93"/>
      <c r="P245" s="54">
        <v>1</v>
      </c>
      <c r="Q245" s="94">
        <f t="shared" si="3"/>
        <v>4.1666666666666664E-2</v>
      </c>
      <c r="R245" s="53">
        <v>263</v>
      </c>
      <c r="S245" s="132">
        <f t="shared" si="4"/>
        <v>6.4539877300613502E-2</v>
      </c>
      <c r="T245" s="25"/>
      <c r="U245" s="25"/>
      <c r="V245" s="5"/>
    </row>
    <row r="246" spans="1:22" ht="15.6" x14ac:dyDescent="0.3">
      <c r="A246" s="24"/>
      <c r="B246" s="54" t="s">
        <v>163</v>
      </c>
      <c r="C246" s="93"/>
      <c r="D246" s="93"/>
      <c r="E246" s="93"/>
      <c r="F246" s="25"/>
      <c r="G246" s="94"/>
      <c r="H246" s="93"/>
      <c r="I246" s="93"/>
      <c r="J246" s="93"/>
      <c r="K246" s="93"/>
      <c r="L246" s="93"/>
      <c r="M246" s="93"/>
      <c r="N246" s="93"/>
      <c r="O246" s="93"/>
      <c r="P246" s="54">
        <v>1</v>
      </c>
      <c r="Q246" s="94">
        <f t="shared" si="3"/>
        <v>4.1666666666666664E-2</v>
      </c>
      <c r="R246" s="53">
        <v>50</v>
      </c>
      <c r="S246" s="132">
        <f t="shared" si="4"/>
        <v>1.2269938650306749E-2</v>
      </c>
      <c r="T246" s="25"/>
      <c r="U246" s="25"/>
      <c r="V246" s="5"/>
    </row>
    <row r="247" spans="1:22" ht="15.6" x14ac:dyDescent="0.3">
      <c r="A247" s="24"/>
      <c r="B247" s="54" t="s">
        <v>164</v>
      </c>
      <c r="C247" s="93"/>
      <c r="D247" s="93"/>
      <c r="E247" s="93"/>
      <c r="F247" s="25"/>
      <c r="G247" s="94"/>
      <c r="H247" s="93"/>
      <c r="I247" s="93"/>
      <c r="J247" s="93"/>
      <c r="K247" s="93"/>
      <c r="L247" s="93"/>
      <c r="M247" s="93"/>
      <c r="N247" s="93"/>
      <c r="O247" s="93"/>
      <c r="P247" s="54">
        <v>2</v>
      </c>
      <c r="Q247" s="94">
        <f t="shared" si="3"/>
        <v>8.3333333333333329E-2</v>
      </c>
      <c r="R247" s="53">
        <v>224</v>
      </c>
      <c r="S247" s="132">
        <f t="shared" si="4"/>
        <v>5.4969325153374236E-2</v>
      </c>
      <c r="T247" s="25"/>
      <c r="U247" s="25"/>
      <c r="V247" s="5"/>
    </row>
    <row r="248" spans="1:22" ht="15.6" x14ac:dyDescent="0.3">
      <c r="A248" s="24"/>
      <c r="B248" s="54" t="s">
        <v>165</v>
      </c>
      <c r="C248" s="93"/>
      <c r="D248" s="93"/>
      <c r="E248" s="93"/>
      <c r="F248" s="25"/>
      <c r="G248" s="94"/>
      <c r="H248" s="93"/>
      <c r="I248" s="93"/>
      <c r="J248" s="93"/>
      <c r="K248" s="93"/>
      <c r="L248" s="93"/>
      <c r="M248" s="93"/>
      <c r="N248" s="93"/>
      <c r="O248" s="93"/>
      <c r="P248" s="54">
        <v>4</v>
      </c>
      <c r="Q248" s="94">
        <f t="shared" si="3"/>
        <v>0.16666666666666666</v>
      </c>
      <c r="R248" s="53">
        <v>620</v>
      </c>
      <c r="S248" s="132">
        <f t="shared" si="4"/>
        <v>0.15214723926380369</v>
      </c>
      <c r="T248" s="25"/>
      <c r="U248" s="25"/>
      <c r="V248" s="5"/>
    </row>
    <row r="249" spans="1:22" ht="15.6" x14ac:dyDescent="0.3">
      <c r="A249" s="24"/>
      <c r="B249" s="54" t="s">
        <v>166</v>
      </c>
      <c r="C249" s="93"/>
      <c r="D249" s="93"/>
      <c r="E249" s="93"/>
      <c r="F249" s="25"/>
      <c r="G249" s="94"/>
      <c r="H249" s="93"/>
      <c r="I249" s="93"/>
      <c r="J249" s="93"/>
      <c r="K249" s="93"/>
      <c r="L249" s="93"/>
      <c r="M249" s="93"/>
      <c r="N249" s="93"/>
      <c r="O249" s="93"/>
      <c r="P249" s="54">
        <v>7</v>
      </c>
      <c r="Q249" s="94">
        <f t="shared" si="3"/>
        <v>0.29166666666666669</v>
      </c>
      <c r="R249" s="53">
        <v>862</v>
      </c>
      <c r="S249" s="132">
        <f t="shared" si="4"/>
        <v>0.21153374233128835</v>
      </c>
      <c r="T249" s="25"/>
      <c r="U249" s="25"/>
      <c r="V249" s="5"/>
    </row>
    <row r="250" spans="1:22" ht="15.6" x14ac:dyDescent="0.3">
      <c r="A250" s="24"/>
      <c r="B250" s="54" t="s">
        <v>167</v>
      </c>
      <c r="C250" s="93"/>
      <c r="D250" s="93"/>
      <c r="E250" s="93"/>
      <c r="F250" s="25"/>
      <c r="G250" s="94"/>
      <c r="H250" s="93"/>
      <c r="I250" s="93"/>
      <c r="J250" s="93"/>
      <c r="K250" s="93"/>
      <c r="L250" s="93"/>
      <c r="M250" s="93"/>
      <c r="N250" s="93"/>
      <c r="O250" s="93"/>
      <c r="P250" s="54">
        <v>5</v>
      </c>
      <c r="Q250" s="94">
        <f t="shared" si="3"/>
        <v>0.20833333333333334</v>
      </c>
      <c r="R250" s="53">
        <v>856</v>
      </c>
      <c r="S250" s="132">
        <f t="shared" si="4"/>
        <v>0.21006134969325152</v>
      </c>
      <c r="T250" s="25"/>
      <c r="U250" s="25"/>
      <c r="V250" s="5"/>
    </row>
    <row r="251" spans="1:22" ht="15.6" x14ac:dyDescent="0.3">
      <c r="A251" s="24"/>
      <c r="B251" s="54"/>
      <c r="C251" s="93"/>
      <c r="D251" s="93"/>
      <c r="E251" s="93"/>
      <c r="F251" s="25"/>
      <c r="G251" s="94"/>
      <c r="H251" s="93"/>
      <c r="I251" s="93"/>
      <c r="J251" s="93"/>
      <c r="K251" s="93"/>
      <c r="L251" s="93"/>
      <c r="M251" s="93"/>
      <c r="N251" s="93"/>
      <c r="O251" s="93"/>
      <c r="P251" s="54"/>
      <c r="Q251" s="94"/>
      <c r="R251" s="53"/>
      <c r="S251" s="132"/>
      <c r="T251" s="25"/>
      <c r="U251" s="25"/>
      <c r="V251" s="5"/>
    </row>
    <row r="252" spans="1:22" ht="15.6" x14ac:dyDescent="0.3">
      <c r="A252" s="24"/>
      <c r="B252" s="25" t="s">
        <v>120</v>
      </c>
      <c r="C252" s="25"/>
      <c r="D252" s="25"/>
      <c r="E252" s="25"/>
      <c r="F252" s="25"/>
      <c r="G252" s="25"/>
      <c r="H252" s="95"/>
      <c r="I252" s="95"/>
      <c r="J252" s="95"/>
      <c r="K252" s="95"/>
      <c r="L252" s="95"/>
      <c r="M252" s="95"/>
      <c r="N252" s="95"/>
      <c r="O252" s="95"/>
      <c r="P252" s="34">
        <f>SUM(P243:P251)</f>
        <v>24</v>
      </c>
      <c r="Q252" s="132">
        <f>SUM(Q243:Q251)</f>
        <v>1</v>
      </c>
      <c r="R252" s="53">
        <f>SUM(R243:R251)</f>
        <v>4075</v>
      </c>
      <c r="S252" s="132">
        <f>SUM(S243:S251)</f>
        <v>1</v>
      </c>
      <c r="T252" s="25"/>
      <c r="U252" s="25"/>
      <c r="V252" s="5"/>
    </row>
    <row r="253" spans="1:22" ht="15.6" x14ac:dyDescent="0.3">
      <c r="A253" s="24"/>
      <c r="B253" s="25"/>
      <c r="C253" s="25"/>
      <c r="D253" s="25"/>
      <c r="E253" s="25"/>
      <c r="F253" s="25"/>
      <c r="G253" s="25"/>
      <c r="H253" s="95"/>
      <c r="I253" s="95"/>
      <c r="J253" s="95"/>
      <c r="K253" s="95"/>
      <c r="L253" s="95"/>
      <c r="M253" s="95"/>
      <c r="N253" s="95"/>
      <c r="O253" s="95"/>
      <c r="P253" s="34"/>
      <c r="Q253" s="132"/>
      <c r="R253" s="53"/>
      <c r="S253" s="132"/>
      <c r="T253" s="25"/>
      <c r="U253" s="25"/>
      <c r="V253" s="5"/>
    </row>
    <row r="254" spans="1:22" ht="15.6" x14ac:dyDescent="0.3">
      <c r="A254" s="141"/>
      <c r="B254" s="14" t="s">
        <v>170</v>
      </c>
      <c r="C254" s="139"/>
      <c r="D254" s="139"/>
      <c r="E254" s="139"/>
      <c r="F254" s="139"/>
      <c r="G254" s="139"/>
      <c r="H254" s="145"/>
      <c r="I254" s="145"/>
      <c r="J254" s="145"/>
      <c r="K254" s="145"/>
      <c r="L254" s="145"/>
      <c r="M254" s="145"/>
      <c r="N254" s="145"/>
      <c r="O254" s="145"/>
      <c r="P254" s="83" t="s">
        <v>105</v>
      </c>
      <c r="Q254" s="17" t="s">
        <v>106</v>
      </c>
      <c r="R254" s="83" t="s">
        <v>114</v>
      </c>
      <c r="S254" s="17" t="s">
        <v>106</v>
      </c>
      <c r="T254" s="139"/>
      <c r="U254" s="140"/>
      <c r="V254" s="5"/>
    </row>
    <row r="255" spans="1:22" ht="15.6" x14ac:dyDescent="0.3">
      <c r="A255" s="24"/>
      <c r="B255" s="54" t="s">
        <v>91</v>
      </c>
      <c r="C255" s="25"/>
      <c r="D255" s="25"/>
      <c r="E255" s="25"/>
      <c r="F255" s="25"/>
      <c r="G255" s="25"/>
      <c r="H255" s="95"/>
      <c r="I255" s="95"/>
      <c r="J255" s="95"/>
      <c r="K255" s="95"/>
      <c r="L255" s="95"/>
      <c r="M255" s="95"/>
      <c r="N255" s="95"/>
      <c r="O255" s="95"/>
      <c r="P255" s="54">
        <v>0</v>
      </c>
      <c r="Q255" s="94">
        <f t="shared" ref="Q255:Q261" si="5">P255/$P$252</f>
        <v>0</v>
      </c>
      <c r="R255" s="53">
        <v>0</v>
      </c>
      <c r="S255" s="132">
        <f t="shared" ref="S255:S261" si="6">R255/$R$252</f>
        <v>0</v>
      </c>
      <c r="T255" s="25"/>
      <c r="U255" s="25"/>
      <c r="V255" s="5"/>
    </row>
    <row r="256" spans="1:22" ht="15.6" x14ac:dyDescent="0.3">
      <c r="A256" s="24"/>
      <c r="B256" s="54" t="s">
        <v>92</v>
      </c>
      <c r="C256" s="25"/>
      <c r="D256" s="25"/>
      <c r="E256" s="25"/>
      <c r="F256" s="25"/>
      <c r="G256" s="25"/>
      <c r="H256" s="95"/>
      <c r="I256" s="95"/>
      <c r="J256" s="95"/>
      <c r="K256" s="95"/>
      <c r="L256" s="95"/>
      <c r="M256" s="95"/>
      <c r="N256" s="95"/>
      <c r="O256" s="95"/>
      <c r="P256" s="54">
        <v>0</v>
      </c>
      <c r="Q256" s="94">
        <f t="shared" si="5"/>
        <v>0</v>
      </c>
      <c r="R256" s="53">
        <v>0</v>
      </c>
      <c r="S256" s="132">
        <f t="shared" si="6"/>
        <v>0</v>
      </c>
      <c r="T256" s="25"/>
      <c r="U256" s="25"/>
      <c r="V256" s="5"/>
    </row>
    <row r="257" spans="1:22" ht="15.6" x14ac:dyDescent="0.3">
      <c r="A257" s="24"/>
      <c r="B257" s="54" t="s">
        <v>93</v>
      </c>
      <c r="C257" s="25"/>
      <c r="D257" s="25"/>
      <c r="E257" s="25"/>
      <c r="F257" s="25"/>
      <c r="G257" s="25"/>
      <c r="H257" s="95"/>
      <c r="I257" s="95"/>
      <c r="J257" s="95"/>
      <c r="K257" s="95"/>
      <c r="L257" s="95"/>
      <c r="M257" s="95"/>
      <c r="N257" s="95"/>
      <c r="O257" s="95"/>
      <c r="P257" s="54">
        <v>0</v>
      </c>
      <c r="Q257" s="94">
        <f t="shared" si="5"/>
        <v>0</v>
      </c>
      <c r="R257" s="53">
        <v>0</v>
      </c>
      <c r="S257" s="132">
        <f t="shared" si="6"/>
        <v>0</v>
      </c>
      <c r="T257" s="25"/>
      <c r="U257" s="25"/>
      <c r="V257" s="5"/>
    </row>
    <row r="258" spans="1:22" ht="15.6" x14ac:dyDescent="0.3">
      <c r="A258" s="24"/>
      <c r="B258" s="54" t="s">
        <v>163</v>
      </c>
      <c r="C258" s="25"/>
      <c r="D258" s="25"/>
      <c r="E258" s="25"/>
      <c r="F258" s="25"/>
      <c r="G258" s="25"/>
      <c r="H258" s="95"/>
      <c r="I258" s="95"/>
      <c r="J258" s="95"/>
      <c r="K258" s="95"/>
      <c r="L258" s="95"/>
      <c r="M258" s="95"/>
      <c r="N258" s="95"/>
      <c r="O258" s="95"/>
      <c r="P258" s="54">
        <v>0</v>
      </c>
      <c r="Q258" s="94">
        <f t="shared" si="5"/>
        <v>0</v>
      </c>
      <c r="R258" s="53">
        <v>0</v>
      </c>
      <c r="S258" s="132">
        <f t="shared" si="6"/>
        <v>0</v>
      </c>
      <c r="T258" s="25"/>
      <c r="U258" s="25"/>
      <c r="V258" s="5"/>
    </row>
    <row r="259" spans="1:22" ht="15.6" x14ac:dyDescent="0.3">
      <c r="A259" s="24"/>
      <c r="B259" s="54" t="s">
        <v>164</v>
      </c>
      <c r="C259" s="25"/>
      <c r="D259" s="25"/>
      <c r="E259" s="25"/>
      <c r="F259" s="25"/>
      <c r="G259" s="25"/>
      <c r="H259" s="95"/>
      <c r="I259" s="95"/>
      <c r="J259" s="95"/>
      <c r="K259" s="95"/>
      <c r="L259" s="95"/>
      <c r="M259" s="95"/>
      <c r="N259" s="95"/>
      <c r="O259" s="95"/>
      <c r="P259" s="54">
        <v>0</v>
      </c>
      <c r="Q259" s="94">
        <f t="shared" si="5"/>
        <v>0</v>
      </c>
      <c r="R259" s="53">
        <v>0</v>
      </c>
      <c r="S259" s="132">
        <f t="shared" si="6"/>
        <v>0</v>
      </c>
      <c r="T259" s="25"/>
      <c r="U259" s="25"/>
      <c r="V259" s="5"/>
    </row>
    <row r="260" spans="1:22" ht="15.6" x14ac:dyDescent="0.3">
      <c r="A260" s="24"/>
      <c r="B260" s="54" t="s">
        <v>165</v>
      </c>
      <c r="C260" s="25"/>
      <c r="D260" s="25"/>
      <c r="E260" s="25"/>
      <c r="F260" s="25"/>
      <c r="G260" s="25"/>
      <c r="H260" s="95"/>
      <c r="I260" s="95"/>
      <c r="J260" s="95"/>
      <c r="K260" s="95"/>
      <c r="L260" s="95"/>
      <c r="M260" s="95"/>
      <c r="N260" s="95"/>
      <c r="O260" s="95"/>
      <c r="P260" s="54">
        <v>0</v>
      </c>
      <c r="Q260" s="94">
        <f t="shared" si="5"/>
        <v>0</v>
      </c>
      <c r="R260" s="53">
        <v>0</v>
      </c>
      <c r="S260" s="132">
        <f t="shared" si="6"/>
        <v>0</v>
      </c>
      <c r="T260" s="25"/>
      <c r="U260" s="25"/>
      <c r="V260" s="5"/>
    </row>
    <row r="261" spans="1:22" ht="15.6" x14ac:dyDescent="0.3">
      <c r="A261" s="24"/>
      <c r="B261" s="54" t="s">
        <v>166</v>
      </c>
      <c r="C261" s="25"/>
      <c r="D261" s="25"/>
      <c r="E261" s="25"/>
      <c r="F261" s="25"/>
      <c r="G261" s="25"/>
      <c r="H261" s="95"/>
      <c r="I261" s="95"/>
      <c r="J261" s="95"/>
      <c r="K261" s="95"/>
      <c r="L261" s="95"/>
      <c r="M261" s="95"/>
      <c r="N261" s="95"/>
      <c r="O261" s="95"/>
      <c r="P261" s="54">
        <v>0</v>
      </c>
      <c r="Q261" s="94">
        <f t="shared" si="5"/>
        <v>0</v>
      </c>
      <c r="R261" s="53">
        <v>0</v>
      </c>
      <c r="S261" s="132">
        <f t="shared" si="6"/>
        <v>0</v>
      </c>
      <c r="T261" s="25"/>
      <c r="U261" s="25"/>
      <c r="V261" s="5"/>
    </row>
    <row r="262" spans="1:22" ht="15.6" x14ac:dyDescent="0.3">
      <c r="A262" s="24"/>
      <c r="B262" s="54" t="s">
        <v>167</v>
      </c>
      <c r="C262" s="25"/>
      <c r="D262" s="25"/>
      <c r="E262" s="25"/>
      <c r="F262" s="25"/>
      <c r="G262" s="25"/>
      <c r="H262" s="95"/>
      <c r="I262" s="95"/>
      <c r="J262" s="95"/>
      <c r="K262" s="95"/>
      <c r="L262" s="95"/>
      <c r="M262" s="95"/>
      <c r="N262" s="95"/>
      <c r="O262" s="95"/>
      <c r="P262" s="54">
        <v>1</v>
      </c>
      <c r="Q262" s="94">
        <f>P262/$P$264</f>
        <v>1</v>
      </c>
      <c r="R262" s="53">
        <v>236</v>
      </c>
      <c r="S262" s="132">
        <f>R262/$R$264</f>
        <v>1</v>
      </c>
      <c r="T262" s="25"/>
      <c r="U262" s="25"/>
      <c r="V262" s="5"/>
    </row>
    <row r="263" spans="1:22" ht="15.6" x14ac:dyDescent="0.3">
      <c r="A263" s="24"/>
      <c r="B263" s="54"/>
      <c r="C263" s="25"/>
      <c r="D263" s="25"/>
      <c r="E263" s="25"/>
      <c r="F263" s="25"/>
      <c r="G263" s="25"/>
      <c r="H263" s="95"/>
      <c r="I263" s="95"/>
      <c r="J263" s="95"/>
      <c r="K263" s="95"/>
      <c r="L263" s="95"/>
      <c r="M263" s="95"/>
      <c r="N263" s="95"/>
      <c r="O263" s="95"/>
      <c r="P263" s="54"/>
      <c r="Q263" s="94"/>
      <c r="R263" s="53"/>
      <c r="S263" s="132"/>
      <c r="T263" s="25"/>
      <c r="U263" s="25"/>
      <c r="V263" s="5"/>
    </row>
    <row r="264" spans="1:22" ht="15.6" x14ac:dyDescent="0.3">
      <c r="A264" s="24"/>
      <c r="B264" s="25" t="s">
        <v>120</v>
      </c>
      <c r="C264" s="25"/>
      <c r="D264" s="25"/>
      <c r="E264" s="25"/>
      <c r="F264" s="25"/>
      <c r="G264" s="25"/>
      <c r="H264" s="95"/>
      <c r="I264" s="95"/>
      <c r="J264" s="95"/>
      <c r="K264" s="95"/>
      <c r="L264" s="95"/>
      <c r="M264" s="95"/>
      <c r="N264" s="95"/>
      <c r="O264" s="95"/>
      <c r="P264" s="34">
        <f>SUM(P255:P262)</f>
        <v>1</v>
      </c>
      <c r="Q264" s="132">
        <f>SUM(Q255:Q263)</f>
        <v>1</v>
      </c>
      <c r="R264" s="53">
        <f>SUM(R255:R262)</f>
        <v>236</v>
      </c>
      <c r="S264" s="132">
        <f>SUM(S255:S263)</f>
        <v>1</v>
      </c>
      <c r="T264" s="25"/>
      <c r="U264" s="25"/>
      <c r="V264" s="5"/>
    </row>
    <row r="265" spans="1:22" ht="15.6" x14ac:dyDescent="0.3">
      <c r="A265" s="24"/>
      <c r="B265" s="25"/>
      <c r="C265" s="25"/>
      <c r="D265" s="25"/>
      <c r="E265" s="25"/>
      <c r="F265" s="25"/>
      <c r="G265" s="25"/>
      <c r="H265" s="95"/>
      <c r="I265" s="95"/>
      <c r="J265" s="95"/>
      <c r="K265" s="95"/>
      <c r="L265" s="95"/>
      <c r="M265" s="95"/>
      <c r="N265" s="95"/>
      <c r="O265" s="95"/>
      <c r="P265" s="34"/>
      <c r="Q265" s="132"/>
      <c r="R265" s="53"/>
      <c r="S265" s="132"/>
      <c r="T265" s="25"/>
      <c r="U265" s="25"/>
      <c r="V265" s="5"/>
    </row>
    <row r="266" spans="1:22" ht="15.6" x14ac:dyDescent="0.3">
      <c r="A266" s="24"/>
      <c r="B266" s="142" t="s">
        <v>171</v>
      </c>
      <c r="C266" s="25"/>
      <c r="D266" s="25"/>
      <c r="E266" s="25"/>
      <c r="F266" s="25"/>
      <c r="G266" s="25"/>
      <c r="H266" s="95"/>
      <c r="I266" s="95"/>
      <c r="J266" s="95"/>
      <c r="K266" s="95"/>
      <c r="L266" s="95"/>
      <c r="M266" s="95"/>
      <c r="N266" s="95"/>
      <c r="O266" s="95"/>
      <c r="P266" s="161">
        <f>P264+P252+P240</f>
        <v>5384</v>
      </c>
      <c r="Q266" s="143"/>
      <c r="R266" s="144">
        <f>+R264+R252+R240</f>
        <v>717556</v>
      </c>
      <c r="S266" s="143"/>
      <c r="T266" s="25"/>
      <c r="U266" s="25"/>
      <c r="V266" s="5"/>
    </row>
    <row r="267" spans="1:22" ht="15.6" x14ac:dyDescent="0.3">
      <c r="A267" s="24"/>
      <c r="B267" s="25"/>
      <c r="C267" s="25"/>
      <c r="D267" s="25"/>
      <c r="E267" s="25"/>
      <c r="F267" s="25"/>
      <c r="G267" s="25"/>
      <c r="H267" s="95"/>
      <c r="I267" s="95"/>
      <c r="J267" s="95"/>
      <c r="K267" s="95"/>
      <c r="L267" s="95"/>
      <c r="M267" s="95"/>
      <c r="N267" s="95"/>
      <c r="O267" s="95"/>
      <c r="P267" s="95"/>
      <c r="Q267" s="95"/>
      <c r="R267" s="53"/>
      <c r="S267" s="95"/>
      <c r="T267" s="25"/>
      <c r="U267" s="25"/>
      <c r="V267" s="5"/>
    </row>
    <row r="268" spans="1:22" ht="15.6" x14ac:dyDescent="0.3">
      <c r="A268" s="6"/>
      <c r="B268" s="8"/>
      <c r="C268" s="8"/>
      <c r="D268" s="8"/>
      <c r="E268" s="8"/>
      <c r="F268" s="8"/>
      <c r="G268" s="8"/>
      <c r="H268" s="96"/>
      <c r="I268" s="96"/>
      <c r="J268" s="96"/>
      <c r="K268" s="96"/>
      <c r="L268" s="96"/>
      <c r="M268" s="96"/>
      <c r="N268" s="96"/>
      <c r="O268" s="96"/>
      <c r="P268" s="96"/>
      <c r="Q268" s="96"/>
      <c r="R268" s="97"/>
      <c r="S268" s="96"/>
      <c r="T268" s="8"/>
      <c r="U268" s="8"/>
      <c r="V268" s="5"/>
    </row>
    <row r="269" spans="1:22" ht="15.6" x14ac:dyDescent="0.3">
      <c r="A269" s="167"/>
      <c r="B269" s="14" t="s">
        <v>94</v>
      </c>
      <c r="C269" s="15"/>
      <c r="D269" s="15"/>
      <c r="E269" s="15"/>
      <c r="F269" s="17" t="s">
        <v>100</v>
      </c>
      <c r="G269" s="15"/>
      <c r="H269" s="14" t="s">
        <v>102</v>
      </c>
      <c r="I269" s="162"/>
      <c r="J269" s="162"/>
      <c r="K269" s="162"/>
      <c r="L269" s="162"/>
      <c r="M269" s="162"/>
      <c r="N269" s="162"/>
      <c r="O269" s="162"/>
      <c r="P269" s="162"/>
      <c r="Q269" s="162"/>
      <c r="R269" s="162"/>
      <c r="S269" s="162"/>
      <c r="T269" s="162"/>
      <c r="U269" s="162"/>
      <c r="V269" s="5"/>
    </row>
    <row r="270" spans="1:22" ht="15.6" x14ac:dyDescent="0.3">
      <c r="A270" s="167"/>
      <c r="B270" s="13" t="s">
        <v>95</v>
      </c>
      <c r="C270" s="13"/>
      <c r="D270" s="13"/>
      <c r="E270" s="13"/>
      <c r="F270" s="130" t="s">
        <v>154</v>
      </c>
      <c r="G270" s="13"/>
      <c r="H270" s="13" t="s">
        <v>158</v>
      </c>
      <c r="I270" s="162"/>
      <c r="J270" s="162"/>
      <c r="K270" s="162"/>
      <c r="L270" s="162"/>
      <c r="M270" s="162"/>
      <c r="N270" s="162"/>
      <c r="O270" s="162"/>
      <c r="P270" s="162"/>
      <c r="Q270" s="162"/>
      <c r="R270" s="162"/>
      <c r="S270" s="162"/>
      <c r="T270" s="162"/>
      <c r="U270" s="162"/>
      <c r="V270" s="5"/>
    </row>
    <row r="271" spans="1:22" ht="15.6" x14ac:dyDescent="0.3">
      <c r="A271" s="167"/>
      <c r="B271" s="13" t="s">
        <v>268</v>
      </c>
      <c r="C271" s="13"/>
      <c r="D271" s="13"/>
      <c r="E271" s="13"/>
      <c r="F271" s="130" t="s">
        <v>269</v>
      </c>
      <c r="G271" s="13"/>
      <c r="H271" s="13" t="s">
        <v>270</v>
      </c>
      <c r="I271" s="162"/>
      <c r="J271" s="162"/>
      <c r="K271" s="162"/>
      <c r="L271" s="162"/>
      <c r="M271" s="162"/>
      <c r="N271" s="162"/>
      <c r="O271" s="162"/>
      <c r="P271" s="162"/>
      <c r="Q271" s="162"/>
      <c r="R271" s="162"/>
      <c r="S271" s="162"/>
      <c r="T271" s="162"/>
      <c r="U271" s="162"/>
      <c r="V271" s="5"/>
    </row>
    <row r="272" spans="1:22" ht="15.6" x14ac:dyDescent="0.3">
      <c r="A272" s="167"/>
      <c r="B272" s="13" t="s">
        <v>96</v>
      </c>
      <c r="C272" s="13"/>
      <c r="D272" s="13"/>
      <c r="E272" s="13"/>
      <c r="F272" s="130" t="s">
        <v>153</v>
      </c>
      <c r="G272" s="13"/>
      <c r="H272" s="13" t="s">
        <v>159</v>
      </c>
      <c r="I272" s="162"/>
      <c r="J272" s="162"/>
      <c r="K272" s="162"/>
      <c r="L272" s="162"/>
      <c r="M272" s="162"/>
      <c r="N272" s="162"/>
      <c r="O272" s="162"/>
      <c r="P272" s="162"/>
      <c r="Q272" s="162"/>
      <c r="R272" s="162"/>
      <c r="S272" s="162"/>
      <c r="T272" s="162"/>
      <c r="U272" s="162"/>
      <c r="V272" s="5"/>
    </row>
    <row r="273" spans="1:22" ht="15.6" x14ac:dyDescent="0.3">
      <c r="A273" s="167"/>
      <c r="B273" s="13"/>
      <c r="C273" s="13"/>
      <c r="D273" s="13"/>
      <c r="E273" s="13"/>
      <c r="F273" s="13"/>
      <c r="G273" s="99"/>
      <c r="H273" s="162"/>
      <c r="I273" s="162"/>
      <c r="J273" s="162"/>
      <c r="K273" s="162"/>
      <c r="L273" s="162"/>
      <c r="M273" s="162"/>
      <c r="N273" s="162"/>
      <c r="O273" s="162"/>
      <c r="P273" s="162"/>
      <c r="Q273" s="162"/>
      <c r="R273" s="162"/>
      <c r="S273" s="162"/>
      <c r="T273" s="162"/>
      <c r="U273" s="162"/>
      <c r="V273" s="5"/>
    </row>
    <row r="274" spans="1:22" ht="15.6" x14ac:dyDescent="0.3">
      <c r="A274" s="167"/>
      <c r="B274" s="13"/>
      <c r="C274" s="13"/>
      <c r="D274" s="13"/>
      <c r="E274" s="13"/>
      <c r="F274" s="13"/>
      <c r="G274" s="99"/>
      <c r="H274" s="162"/>
      <c r="I274" s="162"/>
      <c r="J274" s="162"/>
      <c r="K274" s="162"/>
      <c r="L274" s="162"/>
      <c r="M274" s="162"/>
      <c r="N274" s="162"/>
      <c r="O274" s="162"/>
      <c r="P274" s="162"/>
      <c r="Q274" s="162"/>
      <c r="R274" s="162"/>
      <c r="S274" s="162"/>
      <c r="T274" s="162"/>
      <c r="U274" s="162"/>
      <c r="V274" s="5"/>
    </row>
    <row r="275" spans="1:22" ht="18" thickBot="1" x14ac:dyDescent="0.35">
      <c r="A275" s="167"/>
      <c r="B275" s="49" t="str">
        <f>B192</f>
        <v>PM11 INVESTOR REPORT QUARTER ENDING MARCH 2008</v>
      </c>
      <c r="C275" s="13"/>
      <c r="D275" s="13"/>
      <c r="E275" s="13"/>
      <c r="F275" s="13"/>
      <c r="G275" s="99"/>
      <c r="H275" s="162"/>
      <c r="I275" s="162"/>
      <c r="J275" s="162"/>
      <c r="K275" s="162"/>
      <c r="L275" s="162"/>
      <c r="M275" s="162"/>
      <c r="N275" s="162"/>
      <c r="O275" s="162"/>
      <c r="P275" s="162"/>
      <c r="Q275" s="162"/>
      <c r="R275" s="162"/>
      <c r="S275" s="162"/>
      <c r="T275" s="162"/>
      <c r="U275" s="162"/>
      <c r="V275" s="5"/>
    </row>
    <row r="276" spans="1:22" x14ac:dyDescent="0.25">
      <c r="A276" s="100"/>
      <c r="B276" s="100"/>
      <c r="C276" s="100"/>
      <c r="D276" s="100"/>
      <c r="E276" s="100"/>
      <c r="F276" s="100"/>
      <c r="G276" s="100"/>
      <c r="H276" s="100"/>
      <c r="I276" s="100"/>
      <c r="J276" s="100"/>
      <c r="K276" s="100"/>
      <c r="L276" s="100"/>
      <c r="M276" s="100"/>
      <c r="N276" s="100"/>
      <c r="O276" s="100"/>
      <c r="P276" s="100"/>
      <c r="Q276" s="100"/>
      <c r="R276" s="100"/>
      <c r="S276" s="100"/>
      <c r="T276" s="100"/>
      <c r="U276" s="100"/>
    </row>
  </sheetData>
  <phoneticPr fontId="0" type="noConversion"/>
  <hyperlinks>
    <hyperlink ref="N228" r:id="rId1" xr:uid="{00000000-0004-0000-0700-000000000000}"/>
    <hyperlink ref="J9" r:id="rId2" xr:uid="{00000000-0004-0000-07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4" max="14" man="1"/>
    <brk id="133" max="14" man="1"/>
    <brk id="192" max="14" man="1"/>
  </rowBreak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89CB31"/>
  </sheetPr>
  <dimension ref="A1:X276"/>
  <sheetViews>
    <sheetView showGridLines="0" showOutlineSymbols="0" zoomScale="70" zoomScaleNormal="70" workbookViewId="0"/>
  </sheetViews>
  <sheetFormatPr defaultColWidth="9.81640625" defaultRowHeight="15" x14ac:dyDescent="0.25"/>
  <cols>
    <col min="1" max="1" width="4" style="1" customWidth="1"/>
    <col min="2" max="2" width="71.08984375" style="1" customWidth="1"/>
    <col min="3" max="3" width="2.08984375" style="1" customWidth="1"/>
    <col min="4" max="4" width="19.1796875" style="1" customWidth="1"/>
    <col min="5" max="5" width="2.08984375" style="1" customWidth="1"/>
    <col min="6" max="6" width="25.08984375" style="1" customWidth="1"/>
    <col min="7" max="7" width="2.08984375" style="1" customWidth="1"/>
    <col min="8" max="8" width="16.08984375" style="1" customWidth="1"/>
    <col min="9" max="9" width="2.08984375" style="1" customWidth="1"/>
    <col min="10" max="10" width="17.81640625" style="1" customWidth="1"/>
    <col min="11" max="11" width="2.1796875" style="1" customWidth="1"/>
    <col min="12" max="12" width="14.81640625" style="1" customWidth="1"/>
    <col min="13" max="13" width="2.1796875" style="1" customWidth="1"/>
    <col min="14" max="14" width="15.54296875" style="1" customWidth="1"/>
    <col min="15" max="15" width="2.08984375" style="1" customWidth="1"/>
    <col min="16" max="16" width="15.54296875" style="1" customWidth="1"/>
    <col min="17" max="18" width="12.81640625" style="1" customWidth="1"/>
    <col min="19" max="19" width="7.81640625" style="1" customWidth="1"/>
    <col min="20" max="20" width="14.81640625" style="1" customWidth="1"/>
    <col min="21" max="21" width="11.81640625" style="1" customWidth="1"/>
    <col min="22" max="16384" width="9.81640625" style="1"/>
  </cols>
  <sheetData>
    <row r="1" spans="1:22" ht="20.399999999999999" x14ac:dyDescent="0.35">
      <c r="A1" s="2"/>
      <c r="B1" s="3" t="s">
        <v>228</v>
      </c>
      <c r="C1" s="4"/>
      <c r="D1" s="4"/>
      <c r="E1" s="4"/>
      <c r="F1" s="4"/>
      <c r="G1" s="4"/>
      <c r="H1" s="4"/>
      <c r="I1" s="4"/>
      <c r="J1" s="4"/>
      <c r="K1" s="4"/>
      <c r="L1" s="4"/>
      <c r="M1" s="4"/>
      <c r="N1" s="4"/>
      <c r="O1" s="4"/>
      <c r="P1" s="4"/>
      <c r="Q1" s="4"/>
      <c r="R1" s="4"/>
      <c r="S1" s="4"/>
      <c r="T1" s="4"/>
      <c r="U1" s="4"/>
      <c r="V1" s="5"/>
    </row>
    <row r="2" spans="1:22" ht="15.6" x14ac:dyDescent="0.3">
      <c r="A2" s="6"/>
      <c r="B2" s="7"/>
      <c r="C2" s="8"/>
      <c r="D2" s="8"/>
      <c r="E2" s="8"/>
      <c r="F2" s="8"/>
      <c r="G2" s="8"/>
      <c r="H2" s="8"/>
      <c r="I2" s="8"/>
      <c r="J2" s="8"/>
      <c r="K2" s="8"/>
      <c r="L2" s="8"/>
      <c r="M2" s="8"/>
      <c r="N2" s="8"/>
      <c r="O2" s="8"/>
      <c r="P2" s="8"/>
      <c r="Q2" s="8"/>
      <c r="R2" s="8"/>
      <c r="S2" s="8"/>
      <c r="T2" s="8"/>
      <c r="U2" s="8"/>
      <c r="V2" s="5"/>
    </row>
    <row r="3" spans="1:22" ht="15.6" x14ac:dyDescent="0.3">
      <c r="A3" s="9"/>
      <c r="B3" s="111" t="s">
        <v>229</v>
      </c>
      <c r="C3" s="8"/>
      <c r="D3" s="8"/>
      <c r="E3" s="8"/>
      <c r="F3" s="8"/>
      <c r="G3" s="8"/>
      <c r="H3" s="8"/>
      <c r="I3" s="8"/>
      <c r="J3" s="8"/>
      <c r="K3" s="8"/>
      <c r="L3" s="8"/>
      <c r="M3" s="8"/>
      <c r="N3" s="8"/>
      <c r="O3" s="8"/>
      <c r="P3" s="8"/>
      <c r="Q3" s="8"/>
      <c r="R3" s="8"/>
      <c r="S3" s="8"/>
      <c r="T3" s="8"/>
      <c r="U3" s="8"/>
      <c r="V3" s="5"/>
    </row>
    <row r="4" spans="1:22" ht="15.6" x14ac:dyDescent="0.3">
      <c r="A4" s="6"/>
      <c r="B4" s="7"/>
      <c r="C4" s="8"/>
      <c r="D4" s="8"/>
      <c r="E4" s="8"/>
      <c r="F4" s="8"/>
      <c r="G4" s="8"/>
      <c r="H4" s="8"/>
      <c r="I4" s="8"/>
      <c r="J4" s="8"/>
      <c r="K4" s="8"/>
      <c r="L4" s="8"/>
      <c r="M4" s="8"/>
      <c r="N4" s="8"/>
      <c r="O4" s="8"/>
      <c r="P4" s="8"/>
      <c r="Q4" s="8"/>
      <c r="R4" s="8"/>
      <c r="S4" s="8"/>
      <c r="T4" s="8"/>
      <c r="U4" s="8"/>
      <c r="V4" s="5"/>
    </row>
    <row r="5" spans="1:22" ht="15.6" x14ac:dyDescent="0.3">
      <c r="A5" s="6"/>
      <c r="B5" s="11" t="s">
        <v>143</v>
      </c>
      <c r="C5" s="8"/>
      <c r="D5" s="8"/>
      <c r="E5" s="8"/>
      <c r="F5" s="8"/>
      <c r="G5" s="8"/>
      <c r="H5" s="8"/>
      <c r="I5" s="8"/>
      <c r="J5" s="8"/>
      <c r="K5" s="8"/>
      <c r="L5" s="8"/>
      <c r="M5" s="8"/>
      <c r="N5" s="8"/>
      <c r="O5" s="8"/>
      <c r="P5" s="8"/>
      <c r="Q5" s="8"/>
      <c r="R5" s="8"/>
      <c r="S5" s="8"/>
      <c r="T5" s="8"/>
      <c r="U5" s="8"/>
      <c r="V5" s="5"/>
    </row>
    <row r="6" spans="1:22" ht="15.6" x14ac:dyDescent="0.3">
      <c r="A6" s="6"/>
      <c r="B6" s="11" t="s">
        <v>145</v>
      </c>
      <c r="C6" s="8"/>
      <c r="D6" s="8"/>
      <c r="E6" s="8"/>
      <c r="F6" s="8"/>
      <c r="G6" s="8"/>
      <c r="H6" s="8"/>
      <c r="I6" s="8"/>
      <c r="J6" s="8"/>
      <c r="K6" s="8"/>
      <c r="L6" s="8"/>
      <c r="M6" s="8"/>
      <c r="N6" s="8"/>
      <c r="O6" s="8"/>
      <c r="P6" s="8"/>
      <c r="Q6" s="8"/>
      <c r="R6" s="8"/>
      <c r="S6" s="8"/>
      <c r="T6" s="8"/>
      <c r="U6" s="8"/>
      <c r="V6" s="5"/>
    </row>
    <row r="7" spans="1:22" ht="15.6" x14ac:dyDescent="0.3">
      <c r="A7" s="6"/>
      <c r="B7" s="11" t="s">
        <v>144</v>
      </c>
      <c r="C7" s="8"/>
      <c r="D7" s="8"/>
      <c r="E7" s="8"/>
      <c r="F7" s="8"/>
      <c r="G7" s="8"/>
      <c r="H7" s="8"/>
      <c r="I7" s="8"/>
      <c r="J7" s="8"/>
      <c r="K7" s="8"/>
      <c r="L7" s="8"/>
      <c r="M7" s="8"/>
      <c r="N7" s="8"/>
      <c r="O7" s="8"/>
      <c r="P7" s="8"/>
      <c r="Q7" s="8"/>
      <c r="R7" s="8"/>
      <c r="S7" s="8"/>
      <c r="T7" s="8"/>
      <c r="U7" s="8"/>
      <c r="V7" s="5"/>
    </row>
    <row r="8" spans="1:22" ht="15.6" x14ac:dyDescent="0.3">
      <c r="A8" s="6"/>
      <c r="B8" s="11"/>
      <c r="C8" s="8"/>
      <c r="D8" s="8"/>
      <c r="E8" s="8"/>
      <c r="F8" s="8"/>
      <c r="G8" s="8"/>
      <c r="H8" s="8"/>
      <c r="I8" s="8"/>
      <c r="J8" s="8"/>
      <c r="K8" s="8"/>
      <c r="L8" s="8"/>
      <c r="M8" s="8"/>
      <c r="N8" s="8"/>
      <c r="O8" s="8"/>
      <c r="P8" s="8"/>
      <c r="Q8" s="8"/>
      <c r="R8" s="8"/>
      <c r="S8" s="8"/>
      <c r="T8" s="8"/>
      <c r="U8" s="8"/>
      <c r="V8" s="5"/>
    </row>
    <row r="9" spans="1:22" ht="17.399999999999999" x14ac:dyDescent="0.3">
      <c r="A9" s="6"/>
      <c r="B9" s="147" t="s">
        <v>173</v>
      </c>
      <c r="C9" s="8"/>
      <c r="D9" s="8"/>
      <c r="E9" s="8"/>
      <c r="F9" s="8"/>
      <c r="G9" s="8"/>
      <c r="H9" s="8"/>
      <c r="I9" s="8"/>
      <c r="J9" s="148" t="s">
        <v>174</v>
      </c>
      <c r="K9" s="8"/>
      <c r="L9" s="148"/>
      <c r="M9" s="8"/>
      <c r="N9" s="8"/>
      <c r="O9" s="8"/>
      <c r="P9" s="8"/>
      <c r="Q9" s="8"/>
      <c r="R9" s="8"/>
      <c r="S9" s="8"/>
      <c r="T9" s="8"/>
      <c r="U9" s="8"/>
      <c r="V9" s="5"/>
    </row>
    <row r="10" spans="1:22" ht="15.6" x14ac:dyDescent="0.3">
      <c r="A10" s="6"/>
      <c r="B10" s="11"/>
      <c r="C10" s="13"/>
      <c r="D10" s="13"/>
      <c r="E10" s="13"/>
      <c r="F10" s="8"/>
      <c r="G10" s="8"/>
      <c r="H10" s="8"/>
      <c r="I10" s="8"/>
      <c r="J10" s="8"/>
      <c r="K10" s="8"/>
      <c r="L10" s="8"/>
      <c r="M10" s="8"/>
      <c r="N10" s="8"/>
      <c r="O10" s="8"/>
      <c r="P10" s="8"/>
      <c r="Q10" s="8"/>
      <c r="R10" s="8"/>
      <c r="S10" s="8"/>
      <c r="T10" s="8"/>
      <c r="U10" s="8"/>
      <c r="V10" s="5"/>
    </row>
    <row r="11" spans="1:22" ht="15.6" x14ac:dyDescent="0.3">
      <c r="A11" s="6"/>
      <c r="B11" s="14" t="s">
        <v>0</v>
      </c>
      <c r="C11" s="8"/>
      <c r="D11" s="8"/>
      <c r="E11" s="8"/>
      <c r="F11" s="8"/>
      <c r="G11" s="8"/>
      <c r="H11" s="8"/>
      <c r="I11" s="8"/>
      <c r="J11" s="8"/>
      <c r="K11" s="8"/>
      <c r="L11" s="8"/>
      <c r="M11" s="8"/>
      <c r="N11" s="8"/>
      <c r="O11" s="8"/>
      <c r="P11" s="8"/>
      <c r="Q11" s="8"/>
      <c r="R11" s="8"/>
      <c r="S11" s="8"/>
      <c r="T11" s="8"/>
      <c r="U11" s="8"/>
      <c r="V11" s="5"/>
    </row>
    <row r="12" spans="1:22" ht="16.2" thickBot="1" x14ac:dyDescent="0.35">
      <c r="A12" s="6"/>
      <c r="B12" s="13"/>
      <c r="C12" s="8"/>
      <c r="D12" s="8"/>
      <c r="E12" s="8"/>
      <c r="F12" s="8"/>
      <c r="G12" s="8"/>
      <c r="H12" s="8"/>
      <c r="I12" s="8"/>
      <c r="J12" s="8"/>
      <c r="K12" s="8"/>
      <c r="L12" s="8"/>
      <c r="M12" s="8"/>
      <c r="N12" s="8"/>
      <c r="O12" s="8"/>
      <c r="P12" s="8"/>
      <c r="Q12" s="8"/>
      <c r="R12" s="8"/>
      <c r="S12" s="8"/>
      <c r="T12" s="8"/>
      <c r="U12" s="8"/>
      <c r="V12" s="5"/>
    </row>
    <row r="13" spans="1:22" ht="15.6" x14ac:dyDescent="0.3">
      <c r="A13" s="2"/>
      <c r="B13" s="4"/>
      <c r="C13" s="4"/>
      <c r="D13" s="4"/>
      <c r="E13" s="4"/>
      <c r="F13" s="4"/>
      <c r="G13" s="4"/>
      <c r="H13" s="4"/>
      <c r="I13" s="4"/>
      <c r="J13" s="4"/>
      <c r="K13" s="4"/>
      <c r="L13" s="4"/>
      <c r="M13" s="4"/>
      <c r="N13" s="4"/>
      <c r="O13" s="4"/>
      <c r="P13" s="4"/>
      <c r="Q13" s="4"/>
      <c r="R13" s="4"/>
      <c r="S13" s="4"/>
      <c r="T13" s="4"/>
      <c r="U13" s="4"/>
      <c r="V13" s="5"/>
    </row>
    <row r="14" spans="1:22" ht="15.6" x14ac:dyDescent="0.3">
      <c r="A14" s="6"/>
      <c r="B14" s="14" t="s">
        <v>1</v>
      </c>
      <c r="C14" s="15"/>
      <c r="D14" s="15"/>
      <c r="E14" s="15"/>
      <c r="F14" s="15"/>
      <c r="G14" s="15"/>
      <c r="H14" s="15"/>
      <c r="I14" s="15"/>
      <c r="J14" s="15"/>
      <c r="K14" s="15"/>
      <c r="L14" s="15"/>
      <c r="M14" s="15"/>
      <c r="N14" s="15"/>
      <c r="O14" s="15"/>
      <c r="P14" s="15"/>
      <c r="Q14" s="15"/>
      <c r="R14" s="15"/>
      <c r="S14" s="15"/>
      <c r="T14" s="16" t="s">
        <v>230</v>
      </c>
      <c r="U14" s="15"/>
      <c r="V14" s="5"/>
    </row>
    <row r="15" spans="1:22" ht="15.6" x14ac:dyDescent="0.3">
      <c r="A15" s="6"/>
      <c r="B15" s="14" t="s">
        <v>2</v>
      </c>
      <c r="C15" s="15"/>
      <c r="D15" s="15"/>
      <c r="E15" s="15"/>
      <c r="F15" s="15"/>
      <c r="G15" s="15"/>
      <c r="H15" s="18"/>
      <c r="I15" s="18"/>
      <c r="J15" s="18"/>
      <c r="K15" s="18"/>
      <c r="L15" s="18"/>
      <c r="M15" s="18"/>
      <c r="N15" s="18"/>
      <c r="O15" s="18"/>
      <c r="P15" s="18" t="s">
        <v>107</v>
      </c>
      <c r="Q15" s="137">
        <v>0.40749999999999997</v>
      </c>
      <c r="R15" s="17" t="s">
        <v>146</v>
      </c>
      <c r="S15" s="137">
        <v>0.59250000000000003</v>
      </c>
      <c r="T15" s="16"/>
      <c r="U15" s="15"/>
      <c r="V15" s="5"/>
    </row>
    <row r="16" spans="1:22" ht="15.6" x14ac:dyDescent="0.3">
      <c r="A16" s="6"/>
      <c r="B16" s="14" t="s">
        <v>3</v>
      </c>
      <c r="C16" s="15"/>
      <c r="D16" s="15"/>
      <c r="E16" s="15"/>
      <c r="F16" s="15"/>
      <c r="G16" s="15"/>
      <c r="H16" s="18"/>
      <c r="I16" s="18"/>
      <c r="J16" s="18"/>
      <c r="K16" s="18"/>
      <c r="L16" s="18"/>
      <c r="M16" s="18"/>
      <c r="N16" s="18"/>
      <c r="O16" s="18"/>
      <c r="P16" s="18" t="s">
        <v>107</v>
      </c>
      <c r="Q16" s="137">
        <v>0.44119999999999998</v>
      </c>
      <c r="R16" s="17" t="s">
        <v>146</v>
      </c>
      <c r="S16" s="137">
        <v>0.55879999999999996</v>
      </c>
      <c r="T16" s="16"/>
      <c r="U16" s="15"/>
      <c r="V16" s="5"/>
    </row>
    <row r="17" spans="1:22" ht="15.6" x14ac:dyDescent="0.3">
      <c r="A17" s="6"/>
      <c r="B17" s="14" t="s">
        <v>4</v>
      </c>
      <c r="C17" s="15"/>
      <c r="D17" s="15"/>
      <c r="E17" s="15"/>
      <c r="F17" s="15"/>
      <c r="G17" s="15"/>
      <c r="H17" s="15"/>
      <c r="I17" s="15"/>
      <c r="J17" s="15"/>
      <c r="K17" s="15"/>
      <c r="L17" s="15"/>
      <c r="M17" s="15"/>
      <c r="N17" s="15"/>
      <c r="O17" s="15"/>
      <c r="P17" s="15"/>
      <c r="Q17" s="15"/>
      <c r="R17" s="15"/>
      <c r="S17" s="15"/>
      <c r="T17" s="19">
        <v>38799</v>
      </c>
      <c r="U17" s="15"/>
      <c r="V17" s="5"/>
    </row>
    <row r="18" spans="1:22" ht="15.6" x14ac:dyDescent="0.3">
      <c r="A18" s="6"/>
      <c r="B18" s="14" t="s">
        <v>5</v>
      </c>
      <c r="C18" s="15"/>
      <c r="D18" s="15"/>
      <c r="E18" s="15"/>
      <c r="F18" s="15"/>
      <c r="G18" s="15"/>
      <c r="H18" s="15"/>
      <c r="I18" s="15"/>
      <c r="J18" s="15"/>
      <c r="K18" s="15"/>
      <c r="L18" s="15"/>
      <c r="M18" s="15"/>
      <c r="N18" s="15"/>
      <c r="O18" s="15"/>
      <c r="P18" s="15"/>
      <c r="Q18" s="15"/>
      <c r="R18" s="15"/>
      <c r="S18" s="15"/>
      <c r="T18" s="19">
        <v>39653</v>
      </c>
      <c r="U18" s="15"/>
      <c r="V18" s="5"/>
    </row>
    <row r="19" spans="1:22" ht="15.6" x14ac:dyDescent="0.3">
      <c r="A19" s="6"/>
      <c r="B19" s="8"/>
      <c r="C19" s="8"/>
      <c r="D19" s="8"/>
      <c r="E19" s="8"/>
      <c r="F19" s="8"/>
      <c r="G19" s="8"/>
      <c r="H19" s="8"/>
      <c r="I19" s="8"/>
      <c r="J19" s="8"/>
      <c r="K19" s="8"/>
      <c r="L19" s="8"/>
      <c r="M19" s="8"/>
      <c r="N19" s="8"/>
      <c r="O19" s="8"/>
      <c r="P19" s="8"/>
      <c r="Q19" s="8"/>
      <c r="R19" s="8"/>
      <c r="S19" s="8"/>
      <c r="T19" s="20"/>
      <c r="U19" s="8"/>
      <c r="V19" s="5"/>
    </row>
    <row r="20" spans="1:22" ht="15.6" x14ac:dyDescent="0.3">
      <c r="A20" s="6"/>
      <c r="B20" s="21" t="s">
        <v>6</v>
      </c>
      <c r="C20" s="8"/>
      <c r="D20" s="8"/>
      <c r="E20" s="8"/>
      <c r="F20" s="8"/>
      <c r="G20" s="8"/>
      <c r="H20" s="8"/>
      <c r="I20" s="8"/>
      <c r="J20" s="8"/>
      <c r="K20" s="8"/>
      <c r="L20" s="8"/>
      <c r="M20" s="8"/>
      <c r="N20" s="8"/>
      <c r="O20" s="8"/>
      <c r="P20" s="8"/>
      <c r="Q20" s="8"/>
      <c r="R20" s="20" t="s">
        <v>108</v>
      </c>
      <c r="S20" s="8"/>
      <c r="T20" s="162"/>
      <c r="U20" s="8"/>
      <c r="V20" s="5"/>
    </row>
    <row r="21" spans="1:22" ht="15.6" x14ac:dyDescent="0.3">
      <c r="A21" s="6"/>
      <c r="B21" s="8"/>
      <c r="C21" s="8"/>
      <c r="D21" s="8"/>
      <c r="E21" s="8"/>
      <c r="F21" s="8"/>
      <c r="G21" s="8"/>
      <c r="H21" s="8"/>
      <c r="I21" s="8"/>
      <c r="J21" s="8"/>
      <c r="K21" s="8"/>
      <c r="L21" s="8"/>
      <c r="M21" s="8"/>
      <c r="N21" s="8"/>
      <c r="O21" s="8"/>
      <c r="P21" s="8"/>
      <c r="Q21" s="8"/>
      <c r="R21" s="8"/>
      <c r="S21" s="8"/>
      <c r="T21" s="22"/>
      <c r="U21" s="8"/>
      <c r="V21" s="5"/>
    </row>
    <row r="22" spans="1:22" ht="15.6" x14ac:dyDescent="0.3">
      <c r="A22" s="6"/>
      <c r="B22" s="8"/>
      <c r="C22" s="112"/>
      <c r="D22" s="112" t="s">
        <v>184</v>
      </c>
      <c r="E22" s="112"/>
      <c r="F22" s="112" t="s">
        <v>185</v>
      </c>
      <c r="G22" s="112"/>
      <c r="H22" s="112" t="s">
        <v>186</v>
      </c>
      <c r="I22" s="112"/>
      <c r="J22" s="112" t="s">
        <v>187</v>
      </c>
      <c r="K22" s="112"/>
      <c r="L22" s="112" t="s">
        <v>188</v>
      </c>
      <c r="M22" s="112"/>
      <c r="N22" s="112" t="s">
        <v>189</v>
      </c>
      <c r="O22" s="112"/>
      <c r="P22" s="112"/>
      <c r="Q22" s="113"/>
      <c r="R22" s="23"/>
      <c r="S22" s="162"/>
      <c r="T22" s="162"/>
      <c r="U22" s="8"/>
      <c r="V22" s="5"/>
    </row>
    <row r="23" spans="1:22" ht="15.6" x14ac:dyDescent="0.3">
      <c r="A23" s="24"/>
      <c r="B23" s="25" t="s">
        <v>7</v>
      </c>
      <c r="C23" s="26"/>
      <c r="D23" s="26" t="s">
        <v>222</v>
      </c>
      <c r="E23" s="26"/>
      <c r="F23" s="26" t="s">
        <v>147</v>
      </c>
      <c r="G23" s="26"/>
      <c r="H23" s="26" t="s">
        <v>147</v>
      </c>
      <c r="I23" s="26"/>
      <c r="J23" s="26" t="s">
        <v>190</v>
      </c>
      <c r="K23" s="26"/>
      <c r="L23" s="26" t="s">
        <v>190</v>
      </c>
      <c r="M23" s="26"/>
      <c r="N23" s="26" t="s">
        <v>148</v>
      </c>
      <c r="O23" s="26"/>
      <c r="P23" s="26"/>
      <c r="Q23" s="26"/>
      <c r="R23" s="26"/>
      <c r="S23" s="163"/>
      <c r="T23" s="163"/>
      <c r="U23" s="25"/>
      <c r="V23" s="5"/>
    </row>
    <row r="24" spans="1:22" ht="15.6" x14ac:dyDescent="0.3">
      <c r="A24" s="24"/>
      <c r="B24" s="25" t="s">
        <v>8</v>
      </c>
      <c r="C24" s="26"/>
      <c r="D24" s="26" t="s">
        <v>223</v>
      </c>
      <c r="E24" s="26"/>
      <c r="F24" s="26" t="s">
        <v>149</v>
      </c>
      <c r="G24" s="26"/>
      <c r="H24" s="26" t="s">
        <v>149</v>
      </c>
      <c r="I24" s="26"/>
      <c r="J24" s="26" t="s">
        <v>172</v>
      </c>
      <c r="K24" s="26"/>
      <c r="L24" s="26" t="s">
        <v>172</v>
      </c>
      <c r="M24" s="26"/>
      <c r="N24" s="26" t="s">
        <v>150</v>
      </c>
      <c r="O24" s="26"/>
      <c r="P24" s="26"/>
      <c r="Q24" s="26"/>
      <c r="R24" s="26"/>
      <c r="S24" s="163"/>
      <c r="T24" s="163"/>
      <c r="U24" s="25"/>
      <c r="V24" s="5"/>
    </row>
    <row r="25" spans="1:22" ht="15.6" x14ac:dyDescent="0.3">
      <c r="A25" s="28"/>
      <c r="B25" s="131" t="s">
        <v>198</v>
      </c>
      <c r="C25" s="123"/>
      <c r="D25" s="26" t="s">
        <v>224</v>
      </c>
      <c r="E25" s="26"/>
      <c r="F25" s="26" t="s">
        <v>149</v>
      </c>
      <c r="G25" s="26"/>
      <c r="H25" s="26" t="s">
        <v>149</v>
      </c>
      <c r="I25" s="26"/>
      <c r="J25" s="26" t="s">
        <v>172</v>
      </c>
      <c r="K25" s="26"/>
      <c r="L25" s="26" t="s">
        <v>172</v>
      </c>
      <c r="M25" s="26"/>
      <c r="N25" s="26" t="s">
        <v>150</v>
      </c>
      <c r="O25" s="26"/>
      <c r="P25" s="26"/>
      <c r="Q25" s="123"/>
      <c r="R25" s="26"/>
      <c r="S25" s="163"/>
      <c r="T25" s="163"/>
      <c r="U25" s="25"/>
      <c r="V25" s="5"/>
    </row>
    <row r="26" spans="1:22" ht="15.6" x14ac:dyDescent="0.3">
      <c r="A26" s="28"/>
      <c r="B26" s="29" t="s">
        <v>9</v>
      </c>
      <c r="C26" s="123"/>
      <c r="D26" s="123" t="s">
        <v>222</v>
      </c>
      <c r="E26" s="123"/>
      <c r="F26" s="123" t="s">
        <v>147</v>
      </c>
      <c r="G26" s="123"/>
      <c r="H26" s="123" t="s">
        <v>147</v>
      </c>
      <c r="I26" s="123"/>
      <c r="J26" s="123" t="s">
        <v>190</v>
      </c>
      <c r="K26" s="123"/>
      <c r="L26" s="123" t="s">
        <v>190</v>
      </c>
      <c r="M26" s="123"/>
      <c r="N26" s="123" t="s">
        <v>148</v>
      </c>
      <c r="O26" s="123"/>
      <c r="P26" s="123"/>
      <c r="Q26" s="123"/>
      <c r="R26" s="26"/>
      <c r="S26" s="163"/>
      <c r="T26" s="163"/>
      <c r="U26" s="25"/>
      <c r="V26" s="5"/>
    </row>
    <row r="27" spans="1:22" ht="15.6" x14ac:dyDescent="0.3">
      <c r="A27" s="24"/>
      <c r="B27" s="29" t="s">
        <v>199</v>
      </c>
      <c r="C27" s="26"/>
      <c r="D27" s="123" t="s">
        <v>223</v>
      </c>
      <c r="E27" s="123"/>
      <c r="F27" s="123" t="s">
        <v>149</v>
      </c>
      <c r="G27" s="123"/>
      <c r="H27" s="123" t="s">
        <v>149</v>
      </c>
      <c r="I27" s="123"/>
      <c r="J27" s="123" t="s">
        <v>172</v>
      </c>
      <c r="K27" s="123"/>
      <c r="L27" s="123" t="s">
        <v>172</v>
      </c>
      <c r="M27" s="123"/>
      <c r="N27" s="123" t="s">
        <v>150</v>
      </c>
      <c r="O27" s="123"/>
      <c r="P27" s="123"/>
      <c r="Q27" s="26"/>
      <c r="R27" s="30"/>
      <c r="S27" s="163"/>
      <c r="T27" s="163"/>
      <c r="U27" s="25"/>
      <c r="V27" s="5"/>
    </row>
    <row r="28" spans="1:22" ht="15.6" x14ac:dyDescent="0.3">
      <c r="A28" s="24"/>
      <c r="B28" s="153" t="s">
        <v>200</v>
      </c>
      <c r="C28" s="26"/>
      <c r="D28" s="123" t="s">
        <v>224</v>
      </c>
      <c r="E28" s="123"/>
      <c r="F28" s="123" t="s">
        <v>149</v>
      </c>
      <c r="G28" s="123"/>
      <c r="H28" s="123" t="s">
        <v>149</v>
      </c>
      <c r="I28" s="123"/>
      <c r="J28" s="123" t="s">
        <v>172</v>
      </c>
      <c r="K28" s="123"/>
      <c r="L28" s="123" t="s">
        <v>172</v>
      </c>
      <c r="M28" s="123"/>
      <c r="N28" s="123" t="s">
        <v>150</v>
      </c>
      <c r="O28" s="123"/>
      <c r="P28" s="123"/>
      <c r="Q28" s="26"/>
      <c r="R28" s="30"/>
      <c r="S28" s="163"/>
      <c r="T28" s="163"/>
      <c r="U28" s="25"/>
      <c r="V28" s="5"/>
    </row>
    <row r="29" spans="1:22" ht="15.6" x14ac:dyDescent="0.3">
      <c r="A29" s="24"/>
      <c r="B29" s="25" t="s">
        <v>10</v>
      </c>
      <c r="C29" s="32"/>
      <c r="D29" s="26" t="s">
        <v>237</v>
      </c>
      <c r="E29" s="26"/>
      <c r="F29" s="30" t="s">
        <v>238</v>
      </c>
      <c r="G29" s="26"/>
      <c r="H29" s="26" t="s">
        <v>239</v>
      </c>
      <c r="I29" s="26"/>
      <c r="J29" s="26" t="s">
        <v>240</v>
      </c>
      <c r="K29" s="26"/>
      <c r="L29" s="26" t="s">
        <v>241</v>
      </c>
      <c r="M29" s="26"/>
      <c r="N29" s="26" t="s">
        <v>242</v>
      </c>
      <c r="O29" s="26"/>
      <c r="P29" s="26"/>
      <c r="Q29" s="31"/>
      <c r="R29" s="31"/>
      <c r="S29" s="164"/>
      <c r="T29" s="31"/>
      <c r="U29" s="34"/>
      <c r="V29" s="5"/>
    </row>
    <row r="30" spans="1:22" ht="15.6" x14ac:dyDescent="0.3">
      <c r="A30" s="24"/>
      <c r="B30" s="25" t="s">
        <v>10</v>
      </c>
      <c r="C30" s="32"/>
      <c r="D30" s="26" t="s">
        <v>236</v>
      </c>
      <c r="E30" s="26"/>
      <c r="F30" s="30" t="s">
        <v>124</v>
      </c>
      <c r="G30" s="26"/>
      <c r="H30" s="26" t="s">
        <v>124</v>
      </c>
      <c r="I30" s="26"/>
      <c r="J30" s="26" t="s">
        <v>124</v>
      </c>
      <c r="K30" s="26"/>
      <c r="L30" s="26" t="s">
        <v>124</v>
      </c>
      <c r="M30" s="26"/>
      <c r="N30" s="26" t="s">
        <v>124</v>
      </c>
      <c r="O30" s="26"/>
      <c r="P30" s="26"/>
      <c r="Q30" s="31"/>
      <c r="R30" s="31"/>
      <c r="S30" s="164"/>
      <c r="T30" s="31"/>
      <c r="U30" s="34"/>
      <c r="V30" s="5"/>
    </row>
    <row r="31" spans="1:22" ht="15.6" x14ac:dyDescent="0.3">
      <c r="A31" s="28"/>
      <c r="B31" s="25" t="s">
        <v>139</v>
      </c>
      <c r="C31" s="36"/>
      <c r="D31" s="146">
        <v>985000</v>
      </c>
      <c r="E31" s="32"/>
      <c r="F31" s="31">
        <v>149500</v>
      </c>
      <c r="G31" s="31"/>
      <c r="H31" s="124">
        <v>219700</v>
      </c>
      <c r="I31" s="31"/>
      <c r="J31" s="31">
        <v>16000</v>
      </c>
      <c r="K31" s="31"/>
      <c r="L31" s="124">
        <v>82400</v>
      </c>
      <c r="M31" s="31"/>
      <c r="N31" s="124">
        <v>87500</v>
      </c>
      <c r="O31" s="31"/>
      <c r="P31" s="124"/>
      <c r="Q31" s="35"/>
      <c r="R31" s="35"/>
      <c r="S31" s="37"/>
      <c r="T31" s="35"/>
      <c r="U31" s="34"/>
      <c r="V31" s="5"/>
    </row>
    <row r="32" spans="1:22" ht="15.6" x14ac:dyDescent="0.3">
      <c r="A32" s="24"/>
      <c r="B32" s="25" t="s">
        <v>138</v>
      </c>
      <c r="C32" s="32"/>
      <c r="D32" s="146">
        <f>D38*D31</f>
        <v>664241.64500000002</v>
      </c>
      <c r="E32" s="32"/>
      <c r="F32" s="31">
        <f>F38*F31</f>
        <v>100816.4014</v>
      </c>
      <c r="G32" s="31"/>
      <c r="H32" s="124">
        <f>H38*H31</f>
        <v>148156.27684000001</v>
      </c>
      <c r="I32" s="31"/>
      <c r="J32" s="31">
        <f>+J31</f>
        <v>16000</v>
      </c>
      <c r="K32" s="31"/>
      <c r="L32" s="124">
        <f>+L31</f>
        <v>82400</v>
      </c>
      <c r="M32" s="31"/>
      <c r="N32" s="124">
        <f>+N31</f>
        <v>87500</v>
      </c>
      <c r="O32" s="31"/>
      <c r="P32" s="124"/>
      <c r="Q32" s="31"/>
      <c r="R32" s="31"/>
      <c r="S32" s="164"/>
      <c r="T32" s="31"/>
      <c r="U32" s="34"/>
      <c r="V32" s="5"/>
    </row>
    <row r="33" spans="1:22" ht="15.6" x14ac:dyDescent="0.3">
      <c r="A33" s="24"/>
      <c r="B33" s="29" t="s">
        <v>140</v>
      </c>
      <c r="C33" s="32"/>
      <c r="D33" s="151">
        <f>D37*D31</f>
        <v>598457.33649999998</v>
      </c>
      <c r="E33" s="36"/>
      <c r="F33" s="35">
        <f>F37*F31</f>
        <v>90831.89439999999</v>
      </c>
      <c r="G33" s="35"/>
      <c r="H33" s="125">
        <f>H31*H37</f>
        <v>133483.39264000001</v>
      </c>
      <c r="I33" s="35"/>
      <c r="J33" s="35">
        <f>J31*J37</f>
        <v>16000</v>
      </c>
      <c r="K33" s="35"/>
      <c r="L33" s="125">
        <f>L31*L37</f>
        <v>82400</v>
      </c>
      <c r="M33" s="35"/>
      <c r="N33" s="125">
        <f>N31*N37</f>
        <v>87500</v>
      </c>
      <c r="O33" s="35"/>
      <c r="P33" s="125"/>
      <c r="Q33" s="31"/>
      <c r="R33" s="31"/>
      <c r="S33" s="164"/>
      <c r="T33" s="31"/>
      <c r="U33" s="34"/>
      <c r="V33" s="5"/>
    </row>
    <row r="34" spans="1:22" ht="15.6" x14ac:dyDescent="0.3">
      <c r="A34" s="28"/>
      <c r="B34" s="25" t="s">
        <v>283</v>
      </c>
      <c r="C34" s="36"/>
      <c r="D34" s="31">
        <v>567282</v>
      </c>
      <c r="E34" s="32"/>
      <c r="F34" s="31">
        <v>149500</v>
      </c>
      <c r="G34" s="31"/>
      <c r="H34" s="31">
        <v>150716</v>
      </c>
      <c r="I34" s="31"/>
      <c r="J34" s="31">
        <v>16000</v>
      </c>
      <c r="K34" s="31"/>
      <c r="L34" s="31">
        <v>56527</v>
      </c>
      <c r="M34" s="31"/>
      <c r="N34" s="31">
        <v>60025</v>
      </c>
      <c r="O34" s="31"/>
      <c r="P34" s="31"/>
      <c r="Q34" s="35"/>
      <c r="R34" s="35"/>
      <c r="S34" s="37"/>
      <c r="T34" s="154">
        <f>SUM(C34:P34)</f>
        <v>1000050</v>
      </c>
      <c r="U34" s="34"/>
      <c r="V34" s="5"/>
    </row>
    <row r="35" spans="1:22" ht="15.6" x14ac:dyDescent="0.3">
      <c r="A35" s="28"/>
      <c r="B35" s="25" t="s">
        <v>284</v>
      </c>
      <c r="C35" s="126"/>
      <c r="D35" s="31">
        <f>D38*D34</f>
        <v>382550.58767400001</v>
      </c>
      <c r="E35" s="32"/>
      <c r="F35" s="31">
        <f>F38*F34</f>
        <v>100816.4014</v>
      </c>
      <c r="G35" s="31"/>
      <c r="H35" s="31">
        <f>H38*H34</f>
        <v>101636.4197552</v>
      </c>
      <c r="I35" s="31"/>
      <c r="J35" s="31">
        <f>+J34</f>
        <v>16000</v>
      </c>
      <c r="K35" s="31"/>
      <c r="L35" s="31">
        <f>+L34</f>
        <v>56527</v>
      </c>
      <c r="M35" s="31"/>
      <c r="N35" s="31">
        <f>+N34</f>
        <v>60025</v>
      </c>
      <c r="O35" s="31"/>
      <c r="P35" s="31"/>
      <c r="Q35" s="31"/>
      <c r="R35" s="31"/>
      <c r="S35" s="164"/>
      <c r="T35" s="154">
        <f>SUM(C35:P35)+1</f>
        <v>717556.40882920008</v>
      </c>
      <c r="U35" s="34"/>
      <c r="V35" s="5"/>
    </row>
    <row r="36" spans="1:22" ht="15.6" x14ac:dyDescent="0.3">
      <c r="A36" s="28"/>
      <c r="B36" s="29" t="s">
        <v>285</v>
      </c>
      <c r="C36" s="126"/>
      <c r="D36" s="35">
        <f>D37*D34</f>
        <v>344664.0352938</v>
      </c>
      <c r="E36" s="36"/>
      <c r="F36" s="35">
        <f>F37*F34</f>
        <v>90831.89439999999</v>
      </c>
      <c r="G36" s="35"/>
      <c r="H36" s="35">
        <f>H37*H34</f>
        <v>91570.700979200003</v>
      </c>
      <c r="I36" s="35"/>
      <c r="J36" s="35">
        <f>+J34</f>
        <v>16000</v>
      </c>
      <c r="K36" s="35"/>
      <c r="L36" s="35">
        <f>+L34</f>
        <v>56527</v>
      </c>
      <c r="M36" s="35"/>
      <c r="N36" s="35">
        <f>+N34</f>
        <v>60025</v>
      </c>
      <c r="O36" s="35"/>
      <c r="P36" s="35"/>
      <c r="Q36" s="128"/>
      <c r="R36" s="128"/>
      <c r="S36" s="164"/>
      <c r="T36" s="155">
        <f>SUM(C36:P36)</f>
        <v>659618.63067300001</v>
      </c>
      <c r="U36" s="34"/>
      <c r="V36" s="5"/>
    </row>
    <row r="37" spans="1:22" ht="15.6" x14ac:dyDescent="0.3">
      <c r="A37" s="24"/>
      <c r="B37" s="122" t="s">
        <v>136</v>
      </c>
      <c r="C37" s="25"/>
      <c r="D37" s="168">
        <v>0.60757090000000002</v>
      </c>
      <c r="E37" s="136"/>
      <c r="F37" s="168">
        <v>0.60757119999999998</v>
      </c>
      <c r="G37" s="135"/>
      <c r="H37" s="168">
        <v>0.60757119999999998</v>
      </c>
      <c r="I37" s="135"/>
      <c r="J37" s="168">
        <v>1</v>
      </c>
      <c r="K37" s="135"/>
      <c r="L37" s="168">
        <v>1</v>
      </c>
      <c r="M37" s="135"/>
      <c r="N37" s="168">
        <v>1</v>
      </c>
      <c r="O37" s="135"/>
      <c r="P37" s="135"/>
      <c r="Q37" s="30"/>
      <c r="R37" s="30"/>
      <c r="S37" s="163"/>
      <c r="T37" s="163"/>
      <c r="U37" s="25"/>
      <c r="V37" s="5"/>
    </row>
    <row r="38" spans="1:22" ht="15.6" x14ac:dyDescent="0.3">
      <c r="A38" s="24"/>
      <c r="B38" s="122" t="s">
        <v>137</v>
      </c>
      <c r="C38" s="25"/>
      <c r="D38" s="168">
        <v>0.67435699999999998</v>
      </c>
      <c r="E38" s="136"/>
      <c r="F38" s="168">
        <v>0.67435719999999999</v>
      </c>
      <c r="G38" s="135"/>
      <c r="H38" s="168">
        <v>0.67435719999999999</v>
      </c>
      <c r="I38" s="135"/>
      <c r="J38" s="135">
        <v>1</v>
      </c>
      <c r="K38" s="135"/>
      <c r="L38" s="135">
        <v>1</v>
      </c>
      <c r="M38" s="135"/>
      <c r="N38" s="135">
        <v>1</v>
      </c>
      <c r="O38" s="135"/>
      <c r="P38" s="135"/>
      <c r="Q38" s="39"/>
      <c r="R38" s="38"/>
      <c r="S38" s="163"/>
      <c r="T38" s="39"/>
      <c r="U38" s="25"/>
      <c r="V38" s="5"/>
    </row>
    <row r="39" spans="1:22" ht="15.6" x14ac:dyDescent="0.3">
      <c r="A39" s="24"/>
      <c r="B39" s="25" t="s">
        <v>11</v>
      </c>
      <c r="C39" s="25"/>
      <c r="D39" s="30" t="s">
        <v>275</v>
      </c>
      <c r="E39" s="25"/>
      <c r="F39" s="30" t="s">
        <v>231</v>
      </c>
      <c r="G39" s="30"/>
      <c r="H39" s="30" t="s">
        <v>231</v>
      </c>
      <c r="I39" s="30"/>
      <c r="J39" s="30" t="s">
        <v>232</v>
      </c>
      <c r="K39" s="30"/>
      <c r="L39" s="30" t="s">
        <v>232</v>
      </c>
      <c r="M39" s="30"/>
      <c r="N39" s="30" t="s">
        <v>233</v>
      </c>
      <c r="O39" s="30"/>
      <c r="P39" s="30"/>
      <c r="Q39" s="39"/>
      <c r="R39" s="38"/>
      <c r="S39" s="163"/>
      <c r="T39" s="163"/>
      <c r="U39" s="25"/>
      <c r="V39" s="5"/>
    </row>
    <row r="40" spans="1:22" ht="15.6" x14ac:dyDescent="0.3">
      <c r="A40" s="24"/>
      <c r="B40" s="25" t="s">
        <v>12</v>
      </c>
      <c r="C40" s="25"/>
      <c r="D40" s="38">
        <v>2.5712499999999999E-2</v>
      </c>
      <c r="E40" s="25"/>
      <c r="F40" s="38">
        <v>6.04938E-2</v>
      </c>
      <c r="G40" s="39"/>
      <c r="H40" s="38">
        <v>4.8669999999999998E-2</v>
      </c>
      <c r="I40" s="39"/>
      <c r="J40" s="38">
        <v>6.16938E-2</v>
      </c>
      <c r="K40" s="39"/>
      <c r="L40" s="38">
        <v>4.9869999999999998E-2</v>
      </c>
      <c r="M40" s="39"/>
      <c r="N40" s="38">
        <v>5.1970000000000002E-2</v>
      </c>
      <c r="O40" s="39"/>
      <c r="P40" s="38"/>
      <c r="Q40" s="39"/>
      <c r="R40" s="38"/>
      <c r="S40" s="163"/>
      <c r="T40" s="30"/>
      <c r="U40" s="25"/>
      <c r="V40" s="5"/>
    </row>
    <row r="41" spans="1:22" ht="15.6" x14ac:dyDescent="0.3">
      <c r="A41" s="24"/>
      <c r="B41" s="25" t="s">
        <v>13</v>
      </c>
      <c r="C41" s="25"/>
      <c r="D41" s="38">
        <v>2.9175E-2</v>
      </c>
      <c r="E41" s="25"/>
      <c r="F41" s="38">
        <v>5.7868799999999998E-2</v>
      </c>
      <c r="G41" s="39"/>
      <c r="H41" s="38">
        <v>4.6960000000000002E-2</v>
      </c>
      <c r="I41" s="39"/>
      <c r="J41" s="38">
        <v>5.9068799999999998E-2</v>
      </c>
      <c r="K41" s="39"/>
      <c r="L41" s="38">
        <v>4.8160000000000001E-2</v>
      </c>
      <c r="M41" s="39"/>
      <c r="N41" s="38">
        <v>5.0259999999999999E-2</v>
      </c>
      <c r="O41" s="38"/>
      <c r="P41" s="38"/>
      <c r="Q41" s="39"/>
      <c r="R41" s="38"/>
      <c r="S41" s="163"/>
      <c r="T41" s="39" t="s">
        <v>201</v>
      </c>
      <c r="U41" s="25"/>
      <c r="V41" s="5"/>
    </row>
    <row r="42" spans="1:22" ht="15.6" x14ac:dyDescent="0.3">
      <c r="A42" s="24"/>
      <c r="B42" s="25" t="s">
        <v>286</v>
      </c>
      <c r="C42" s="25"/>
      <c r="D42" s="30" t="s">
        <v>231</v>
      </c>
      <c r="E42" s="25"/>
      <c r="F42" s="30" t="s">
        <v>231</v>
      </c>
      <c r="G42" s="30"/>
      <c r="H42" s="30" t="s">
        <v>243</v>
      </c>
      <c r="I42" s="30"/>
      <c r="J42" s="30" t="s">
        <v>232</v>
      </c>
      <c r="K42" s="30"/>
      <c r="L42" s="30" t="s">
        <v>244</v>
      </c>
      <c r="M42" s="30"/>
      <c r="N42" s="30" t="s">
        <v>246</v>
      </c>
      <c r="O42" s="30"/>
      <c r="P42" s="30"/>
      <c r="Q42" s="39"/>
      <c r="R42" s="38"/>
      <c r="S42" s="163"/>
      <c r="T42" s="163"/>
      <c r="U42" s="25"/>
      <c r="V42" s="5"/>
    </row>
    <row r="43" spans="1:22" ht="15.6" x14ac:dyDescent="0.3">
      <c r="A43" s="24"/>
      <c r="B43" s="25" t="s">
        <v>287</v>
      </c>
      <c r="C43" s="110"/>
      <c r="D43" s="38">
        <v>6.053E-2</v>
      </c>
      <c r="E43" s="38"/>
      <c r="F43" s="38">
        <f>+F40</f>
        <v>6.04938E-2</v>
      </c>
      <c r="G43" s="38"/>
      <c r="H43" s="38">
        <v>6.0491799999999998E-2</v>
      </c>
      <c r="I43" s="38"/>
      <c r="J43" s="38">
        <f>+J40</f>
        <v>6.16938E-2</v>
      </c>
      <c r="K43" s="38"/>
      <c r="L43" s="38">
        <v>6.18468E-2</v>
      </c>
      <c r="M43" s="38"/>
      <c r="N43" s="38">
        <v>6.41988E-2</v>
      </c>
      <c r="O43" s="39"/>
      <c r="P43" s="38"/>
      <c r="Q43" s="30"/>
      <c r="R43" s="30"/>
      <c r="S43" s="163"/>
      <c r="T43" s="39">
        <f>SUMPRODUCT(D43:N43,D35:N35)/T35</f>
        <v>6.0956005084580642E-2</v>
      </c>
      <c r="U43" s="25"/>
      <c r="V43" s="5"/>
    </row>
    <row r="44" spans="1:22" ht="15.6" x14ac:dyDescent="0.3">
      <c r="A44" s="24"/>
      <c r="B44" s="25" t="s">
        <v>288</v>
      </c>
      <c r="C44" s="110"/>
      <c r="D44" s="38">
        <v>5.7904999999999998E-2</v>
      </c>
      <c r="E44" s="38"/>
      <c r="F44" s="38">
        <f>+F41</f>
        <v>5.7868799999999998E-2</v>
      </c>
      <c r="G44" s="38"/>
      <c r="H44" s="38">
        <v>5.7866800000000003E-2</v>
      </c>
      <c r="I44" s="38"/>
      <c r="J44" s="38">
        <f>+J41</f>
        <v>5.9068799999999998E-2</v>
      </c>
      <c r="K44" s="38"/>
      <c r="L44" s="38">
        <v>5.9221799999999998E-2</v>
      </c>
      <c r="M44" s="38"/>
      <c r="N44" s="38">
        <v>6.1573799999999998E-2</v>
      </c>
      <c r="O44" s="39"/>
      <c r="P44" s="38"/>
      <c r="Q44" s="30"/>
      <c r="R44" s="30"/>
      <c r="S44" s="163"/>
      <c r="T44" s="163"/>
      <c r="U44" s="25"/>
      <c r="V44" s="5"/>
    </row>
    <row r="45" spans="1:22" ht="15.6" x14ac:dyDescent="0.3">
      <c r="A45" s="24"/>
      <c r="B45" s="25" t="s">
        <v>14</v>
      </c>
      <c r="C45" s="25"/>
      <c r="D45" s="110">
        <v>40283</v>
      </c>
      <c r="E45" s="110"/>
      <c r="F45" s="110">
        <v>40283</v>
      </c>
      <c r="G45" s="110"/>
      <c r="H45" s="110">
        <v>40283</v>
      </c>
      <c r="I45" s="110"/>
      <c r="J45" s="110">
        <v>40283</v>
      </c>
      <c r="K45" s="110"/>
      <c r="L45" s="110">
        <v>40283</v>
      </c>
      <c r="M45" s="110"/>
      <c r="N45" s="110">
        <v>40283</v>
      </c>
      <c r="O45" s="110"/>
      <c r="P45" s="110"/>
      <c r="Q45" s="30"/>
      <c r="R45" s="30"/>
      <c r="S45" s="163"/>
      <c r="T45" s="163"/>
      <c r="U45" s="25"/>
      <c r="V45" s="5"/>
    </row>
    <row r="46" spans="1:22" ht="15.6" x14ac:dyDescent="0.3">
      <c r="A46" s="24"/>
      <c r="B46" s="25" t="s">
        <v>15</v>
      </c>
      <c r="C46" s="25"/>
      <c r="D46" s="110">
        <v>40648</v>
      </c>
      <c r="E46" s="110"/>
      <c r="F46" s="110">
        <v>40648</v>
      </c>
      <c r="G46" s="110"/>
      <c r="H46" s="110">
        <v>40648</v>
      </c>
      <c r="I46" s="30"/>
      <c r="J46" s="110">
        <v>40648</v>
      </c>
      <c r="K46" s="30"/>
      <c r="L46" s="110">
        <v>40648</v>
      </c>
      <c r="M46" s="30"/>
      <c r="N46" s="110">
        <v>40648</v>
      </c>
      <c r="O46" s="30"/>
      <c r="P46" s="110"/>
      <c r="Q46" s="30"/>
      <c r="R46" s="30"/>
      <c r="S46" s="163"/>
      <c r="T46" s="163"/>
      <c r="U46" s="25"/>
      <c r="V46" s="5"/>
    </row>
    <row r="47" spans="1:22" ht="15.6" x14ac:dyDescent="0.3">
      <c r="A47" s="24"/>
      <c r="B47" s="25" t="s">
        <v>125</v>
      </c>
      <c r="C47" s="25"/>
      <c r="D47" s="160" t="s">
        <v>124</v>
      </c>
      <c r="E47" s="25"/>
      <c r="F47" s="30" t="s">
        <v>232</v>
      </c>
      <c r="G47" s="30"/>
      <c r="H47" s="30" t="s">
        <v>232</v>
      </c>
      <c r="I47" s="30"/>
      <c r="J47" s="30" t="s">
        <v>234</v>
      </c>
      <c r="K47" s="30"/>
      <c r="L47" s="30" t="s">
        <v>234</v>
      </c>
      <c r="M47" s="30"/>
      <c r="N47" s="30" t="s">
        <v>235</v>
      </c>
      <c r="O47" s="30"/>
      <c r="P47" s="30"/>
      <c r="Q47" s="40"/>
      <c r="R47" s="40"/>
      <c r="S47" s="40"/>
      <c r="T47" s="40"/>
      <c r="U47" s="25"/>
      <c r="V47" s="5"/>
    </row>
    <row r="48" spans="1:22" ht="15.6" x14ac:dyDescent="0.3">
      <c r="A48" s="24"/>
      <c r="B48" s="25" t="s">
        <v>289</v>
      </c>
      <c r="C48" s="25"/>
      <c r="D48" s="30" t="s">
        <v>208</v>
      </c>
      <c r="E48" s="25"/>
      <c r="F48" s="30" t="s">
        <v>232</v>
      </c>
      <c r="G48" s="30"/>
      <c r="H48" s="30" t="s">
        <v>232</v>
      </c>
      <c r="I48" s="30"/>
      <c r="J48" s="30" t="s">
        <v>234</v>
      </c>
      <c r="K48" s="30"/>
      <c r="L48" s="30" t="s">
        <v>245</v>
      </c>
      <c r="M48" s="30"/>
      <c r="N48" s="30" t="s">
        <v>247</v>
      </c>
      <c r="O48" s="30"/>
      <c r="P48" s="30"/>
      <c r="Q48" s="25"/>
      <c r="R48" s="25"/>
      <c r="S48" s="25"/>
      <c r="T48" s="39"/>
      <c r="U48" s="25"/>
      <c r="V48" s="5"/>
    </row>
    <row r="49" spans="1:23" ht="15.6" x14ac:dyDescent="0.3">
      <c r="A49" s="24"/>
      <c r="B49" s="25"/>
      <c r="C49" s="25"/>
      <c r="D49" s="30"/>
      <c r="E49" s="25"/>
      <c r="F49" s="30"/>
      <c r="G49" s="30"/>
      <c r="H49" s="30"/>
      <c r="I49" s="30"/>
      <c r="J49" s="30"/>
      <c r="K49" s="30"/>
      <c r="L49" s="30"/>
      <c r="M49" s="30"/>
      <c r="N49" s="30"/>
      <c r="O49" s="30"/>
      <c r="P49" s="30"/>
      <c r="Q49" s="25"/>
      <c r="R49" s="25"/>
      <c r="S49" s="25"/>
      <c r="T49" s="39" t="s">
        <v>201</v>
      </c>
      <c r="U49" s="25"/>
      <c r="V49" s="5"/>
    </row>
    <row r="50" spans="1:23" ht="15.6" x14ac:dyDescent="0.3">
      <c r="A50" s="24"/>
      <c r="B50" s="25" t="s">
        <v>176</v>
      </c>
      <c r="C50" s="25"/>
      <c r="D50" s="30"/>
      <c r="E50" s="25"/>
      <c r="F50" s="30"/>
      <c r="G50" s="30"/>
      <c r="H50" s="30"/>
      <c r="I50" s="30"/>
      <c r="J50" s="30"/>
      <c r="K50" s="30"/>
      <c r="L50" s="30"/>
      <c r="M50" s="30"/>
      <c r="N50" s="30"/>
      <c r="O50" s="30"/>
      <c r="P50" s="30"/>
      <c r="Q50" s="25"/>
      <c r="R50" s="25"/>
      <c r="S50" s="25"/>
      <c r="T50" s="39">
        <f>SUM(J34:P34)/SUM(D34:H34)</f>
        <v>0.15279804679664968</v>
      </c>
      <c r="U50" s="25"/>
      <c r="V50" s="5"/>
    </row>
    <row r="51" spans="1:23" ht="15.6" x14ac:dyDescent="0.3">
      <c r="A51" s="24"/>
      <c r="B51" s="25" t="s">
        <v>177</v>
      </c>
      <c r="C51" s="25"/>
      <c r="D51" s="25"/>
      <c r="E51" s="25"/>
      <c r="F51" s="41"/>
      <c r="G51" s="25"/>
      <c r="H51" s="25"/>
      <c r="I51" s="25"/>
      <c r="J51" s="25"/>
      <c r="K51" s="25"/>
      <c r="L51" s="25"/>
      <c r="M51" s="25"/>
      <c r="N51" s="25"/>
      <c r="O51" s="25"/>
      <c r="P51" s="25"/>
      <c r="Q51" s="25"/>
      <c r="R51" s="25"/>
      <c r="S51" s="25"/>
      <c r="T51" s="39">
        <f>SUM(J36:P36)/SUM(D36:H36)</f>
        <v>0.25149002476356208</v>
      </c>
      <c r="U51" s="25"/>
      <c r="V51" s="5"/>
    </row>
    <row r="52" spans="1:23" ht="15.6" x14ac:dyDescent="0.3">
      <c r="A52" s="24"/>
      <c r="B52" s="25" t="s">
        <v>178</v>
      </c>
      <c r="C52" s="25"/>
      <c r="D52" s="25"/>
      <c r="E52" s="25"/>
      <c r="F52" s="25"/>
      <c r="G52" s="25"/>
      <c r="H52" s="25"/>
      <c r="I52" s="25"/>
      <c r="J52" s="25"/>
      <c r="K52" s="25"/>
      <c r="L52" s="25"/>
      <c r="M52" s="25"/>
      <c r="N52" s="25"/>
      <c r="O52" s="25"/>
      <c r="P52" s="25"/>
      <c r="Q52" s="25"/>
      <c r="R52" s="30" t="s">
        <v>109</v>
      </c>
      <c r="S52" s="30" t="s">
        <v>115</v>
      </c>
      <c r="T52" s="31">
        <f>+T34/2-SUM(J34:P34)</f>
        <v>367473</v>
      </c>
      <c r="U52" s="25"/>
      <c r="V52" s="5"/>
    </row>
    <row r="53" spans="1:23" ht="15.6" x14ac:dyDescent="0.3">
      <c r="A53" s="24"/>
      <c r="B53" s="25"/>
      <c r="C53" s="25"/>
      <c r="D53" s="25"/>
      <c r="E53" s="25"/>
      <c r="F53" s="25"/>
      <c r="G53" s="25"/>
      <c r="H53" s="25"/>
      <c r="I53" s="25"/>
      <c r="J53" s="25"/>
      <c r="K53" s="25"/>
      <c r="L53" s="25"/>
      <c r="M53" s="25"/>
      <c r="N53" s="25"/>
      <c r="O53" s="25"/>
      <c r="P53" s="25"/>
      <c r="Q53" s="25"/>
      <c r="R53" s="25"/>
      <c r="S53" s="25"/>
      <c r="T53" s="42"/>
      <c r="U53" s="25"/>
      <c r="V53" s="5"/>
    </row>
    <row r="54" spans="1:23" ht="15.6" x14ac:dyDescent="0.3">
      <c r="A54" s="24"/>
      <c r="B54" s="25" t="s">
        <v>211</v>
      </c>
      <c r="C54" s="25"/>
      <c r="D54" s="25"/>
      <c r="E54" s="25"/>
      <c r="F54" s="25"/>
      <c r="G54" s="25"/>
      <c r="H54" s="25"/>
      <c r="I54" s="25"/>
      <c r="J54" s="25"/>
      <c r="K54" s="25"/>
      <c r="L54" s="25"/>
      <c r="M54" s="25"/>
      <c r="N54" s="25"/>
      <c r="O54" s="25"/>
      <c r="P54" s="25"/>
      <c r="Q54" s="25"/>
      <c r="R54" s="25"/>
      <c r="S54" s="25"/>
      <c r="T54" s="156" t="s">
        <v>212</v>
      </c>
      <c r="U54" s="25"/>
      <c r="V54" s="5"/>
    </row>
    <row r="55" spans="1:23" ht="15.6" x14ac:dyDescent="0.3">
      <c r="A55" s="24"/>
      <c r="B55" s="25" t="s">
        <v>253</v>
      </c>
      <c r="C55" s="25"/>
      <c r="D55" s="25"/>
      <c r="E55" s="25"/>
      <c r="F55" s="25"/>
      <c r="G55" s="25"/>
      <c r="H55" s="25"/>
      <c r="I55" s="25"/>
      <c r="J55" s="25"/>
      <c r="K55" s="25"/>
      <c r="L55" s="25"/>
      <c r="M55" s="25"/>
      <c r="N55" s="25"/>
      <c r="O55" s="25"/>
      <c r="P55" s="25"/>
      <c r="Q55" s="25"/>
      <c r="R55" s="30"/>
      <c r="S55" s="30"/>
      <c r="T55" s="157" t="s">
        <v>117</v>
      </c>
      <c r="U55" s="25"/>
      <c r="V55" s="5"/>
    </row>
    <row r="56" spans="1:23" ht="15.6" x14ac:dyDescent="0.3">
      <c r="A56" s="24"/>
      <c r="B56" s="29" t="s">
        <v>210</v>
      </c>
      <c r="C56" s="29"/>
      <c r="D56" s="29"/>
      <c r="E56" s="29"/>
      <c r="F56" s="29"/>
      <c r="G56" s="29"/>
      <c r="H56" s="29"/>
      <c r="I56" s="29"/>
      <c r="J56" s="29"/>
      <c r="K56" s="29"/>
      <c r="L56" s="29"/>
      <c r="M56" s="29"/>
      <c r="N56" s="29"/>
      <c r="O56" s="29"/>
      <c r="P56" s="29"/>
      <c r="Q56" s="29"/>
      <c r="R56" s="43"/>
      <c r="S56" s="43"/>
      <c r="T56" s="44">
        <v>39644</v>
      </c>
      <c r="U56" s="25"/>
      <c r="V56" s="5"/>
    </row>
    <row r="57" spans="1:23" ht="15.6" x14ac:dyDescent="0.3">
      <c r="A57" s="24"/>
      <c r="B57" s="25" t="s">
        <v>127</v>
      </c>
      <c r="C57" s="25"/>
      <c r="D57" s="25"/>
      <c r="E57" s="25"/>
      <c r="F57" s="25"/>
      <c r="G57" s="25"/>
      <c r="H57" s="58"/>
      <c r="I57" s="58"/>
      <c r="J57" s="58"/>
      <c r="K57" s="58"/>
      <c r="L57" s="58"/>
      <c r="M57" s="58"/>
      <c r="N57" s="58"/>
      <c r="O57" s="58"/>
      <c r="P57" s="25">
        <f>+T57-R57+1</f>
        <v>91</v>
      </c>
      <c r="Q57" s="58"/>
      <c r="R57" s="45">
        <v>39462</v>
      </c>
      <c r="S57" s="46"/>
      <c r="T57" s="45">
        <v>39552</v>
      </c>
      <c r="U57" s="25"/>
      <c r="V57" s="5"/>
    </row>
    <row r="58" spans="1:23" ht="15.6" x14ac:dyDescent="0.3">
      <c r="A58" s="24"/>
      <c r="B58" s="25" t="s">
        <v>128</v>
      </c>
      <c r="C58" s="25"/>
      <c r="D58" s="25"/>
      <c r="E58" s="25"/>
      <c r="F58" s="25"/>
      <c r="G58" s="25"/>
      <c r="H58" s="25"/>
      <c r="I58" s="25"/>
      <c r="J58" s="25"/>
      <c r="K58" s="25"/>
      <c r="L58" s="25"/>
      <c r="M58" s="25"/>
      <c r="N58" s="25"/>
      <c r="O58" s="25"/>
      <c r="P58" s="25">
        <f>+T58-R58+1</f>
        <v>91</v>
      </c>
      <c r="Q58" s="25"/>
      <c r="R58" s="45">
        <v>39553</v>
      </c>
      <c r="S58" s="46"/>
      <c r="T58" s="45">
        <v>39643</v>
      </c>
      <c r="U58" s="25"/>
      <c r="V58" s="5"/>
    </row>
    <row r="59" spans="1:23" ht="15.6" x14ac:dyDescent="0.3">
      <c r="A59" s="24"/>
      <c r="B59" s="25" t="s">
        <v>209</v>
      </c>
      <c r="C59" s="25"/>
      <c r="D59" s="25"/>
      <c r="E59" s="25"/>
      <c r="F59" s="25"/>
      <c r="G59" s="25"/>
      <c r="H59" s="25"/>
      <c r="I59" s="25"/>
      <c r="J59" s="25"/>
      <c r="K59" s="25"/>
      <c r="L59" s="25"/>
      <c r="M59" s="25"/>
      <c r="N59" s="25"/>
      <c r="O59" s="25"/>
      <c r="P59" s="25"/>
      <c r="Q59" s="25"/>
      <c r="R59" s="45"/>
      <c r="S59" s="46"/>
      <c r="T59" s="45" t="s">
        <v>126</v>
      </c>
      <c r="U59" s="25"/>
      <c r="V59" s="5"/>
    </row>
    <row r="60" spans="1:23" ht="15.6" x14ac:dyDescent="0.3">
      <c r="A60" s="24"/>
      <c r="B60" s="25" t="s">
        <v>249</v>
      </c>
      <c r="C60" s="25"/>
      <c r="D60" s="25"/>
      <c r="E60" s="25"/>
      <c r="F60" s="25"/>
      <c r="G60" s="25"/>
      <c r="H60" s="25"/>
      <c r="I60" s="25"/>
      <c r="J60" s="25"/>
      <c r="K60" s="25"/>
      <c r="L60" s="25"/>
      <c r="M60" s="25"/>
      <c r="N60" s="25"/>
      <c r="O60" s="25"/>
      <c r="P60" s="25"/>
      <c r="Q60" s="25"/>
      <c r="R60" s="45"/>
      <c r="S60" s="46"/>
      <c r="T60" s="45" t="s">
        <v>160</v>
      </c>
      <c r="U60" s="25"/>
      <c r="V60" s="5"/>
      <c r="W60" s="134"/>
    </row>
    <row r="61" spans="1:23" ht="15.6" x14ac:dyDescent="0.3">
      <c r="A61" s="24"/>
      <c r="B61" s="25" t="s">
        <v>16</v>
      </c>
      <c r="C61" s="25"/>
      <c r="D61" s="25"/>
      <c r="E61" s="25"/>
      <c r="F61" s="25"/>
      <c r="G61" s="25"/>
      <c r="H61" s="25"/>
      <c r="I61" s="25"/>
      <c r="J61" s="25"/>
      <c r="K61" s="25"/>
      <c r="L61" s="25"/>
      <c r="M61" s="25"/>
      <c r="N61" s="25"/>
      <c r="O61" s="25"/>
      <c r="P61" s="25"/>
      <c r="Q61" s="25"/>
      <c r="R61" s="45"/>
      <c r="S61" s="46"/>
      <c r="T61" s="45">
        <v>39630</v>
      </c>
      <c r="U61" s="25"/>
      <c r="V61" s="5"/>
    </row>
    <row r="62" spans="1:23" ht="15.6" x14ac:dyDescent="0.3">
      <c r="A62" s="24"/>
      <c r="B62" s="25"/>
      <c r="C62" s="25"/>
      <c r="D62" s="25"/>
      <c r="E62" s="25"/>
      <c r="F62" s="25"/>
      <c r="G62" s="25"/>
      <c r="H62" s="25"/>
      <c r="I62" s="25"/>
      <c r="J62" s="25"/>
      <c r="K62" s="25"/>
      <c r="L62" s="25"/>
      <c r="M62" s="25"/>
      <c r="N62" s="25"/>
      <c r="O62" s="25"/>
      <c r="P62" s="25"/>
      <c r="Q62" s="25"/>
      <c r="R62" s="45"/>
      <c r="S62" s="46"/>
      <c r="T62" s="45"/>
      <c r="U62" s="25"/>
      <c r="V62" s="5"/>
    </row>
    <row r="63" spans="1:23" ht="15.6" x14ac:dyDescent="0.3">
      <c r="A63" s="6"/>
      <c r="B63" s="8"/>
      <c r="C63" s="8"/>
      <c r="D63" s="8"/>
      <c r="E63" s="8"/>
      <c r="F63" s="8"/>
      <c r="G63" s="8"/>
      <c r="H63" s="8"/>
      <c r="I63" s="8"/>
      <c r="J63" s="8"/>
      <c r="K63" s="8"/>
      <c r="L63" s="8"/>
      <c r="M63" s="8"/>
      <c r="N63" s="8"/>
      <c r="O63" s="8"/>
      <c r="P63" s="8"/>
      <c r="Q63" s="8"/>
      <c r="R63" s="47"/>
      <c r="S63" s="48"/>
      <c r="T63" s="47"/>
      <c r="U63" s="8"/>
      <c r="V63" s="5"/>
    </row>
    <row r="64" spans="1:23" ht="18" thickBot="1" x14ac:dyDescent="0.35">
      <c r="A64" s="101"/>
      <c r="B64" s="102" t="s">
        <v>276</v>
      </c>
      <c r="C64" s="103"/>
      <c r="D64" s="103"/>
      <c r="E64" s="103"/>
      <c r="F64" s="103"/>
      <c r="G64" s="103"/>
      <c r="H64" s="103"/>
      <c r="I64" s="103"/>
      <c r="J64" s="103"/>
      <c r="K64" s="103"/>
      <c r="L64" s="103"/>
      <c r="M64" s="103"/>
      <c r="N64" s="103"/>
      <c r="O64" s="103"/>
      <c r="P64" s="103"/>
      <c r="Q64" s="103"/>
      <c r="R64" s="103"/>
      <c r="S64" s="103"/>
      <c r="T64" s="104"/>
      <c r="U64" s="105"/>
      <c r="V64" s="5"/>
    </row>
    <row r="65" spans="1:22" ht="15.6" x14ac:dyDescent="0.3">
      <c r="A65" s="2"/>
      <c r="B65" s="4"/>
      <c r="C65" s="4"/>
      <c r="D65" s="4"/>
      <c r="E65" s="4"/>
      <c r="F65" s="4"/>
      <c r="G65" s="4"/>
      <c r="H65" s="4"/>
      <c r="I65" s="4"/>
      <c r="J65" s="4"/>
      <c r="K65" s="4"/>
      <c r="L65" s="4"/>
      <c r="M65" s="4"/>
      <c r="N65" s="4"/>
      <c r="O65" s="4"/>
      <c r="P65" s="4"/>
      <c r="Q65" s="4"/>
      <c r="R65" s="4"/>
      <c r="S65" s="4"/>
      <c r="T65" s="50"/>
      <c r="U65" s="4"/>
      <c r="V65" s="5"/>
    </row>
    <row r="66" spans="1:22" ht="15.6" x14ac:dyDescent="0.3">
      <c r="A66" s="6"/>
      <c r="B66" s="51" t="s">
        <v>17</v>
      </c>
      <c r="C66" s="8"/>
      <c r="D66" s="8"/>
      <c r="E66" s="8"/>
      <c r="F66" s="8"/>
      <c r="G66" s="8"/>
      <c r="H66" s="8"/>
      <c r="I66" s="8"/>
      <c r="J66" s="8"/>
      <c r="K66" s="8"/>
      <c r="L66" s="8"/>
      <c r="M66" s="8"/>
      <c r="N66" s="8"/>
      <c r="O66" s="8"/>
      <c r="P66" s="8"/>
      <c r="Q66" s="8"/>
      <c r="R66" s="8"/>
      <c r="S66" s="8"/>
      <c r="T66" s="52"/>
      <c r="U66" s="8"/>
      <c r="V66" s="5"/>
    </row>
    <row r="67" spans="1:22" ht="15.6" x14ac:dyDescent="0.3">
      <c r="A67" s="6"/>
      <c r="B67" s="13"/>
      <c r="C67" s="8"/>
      <c r="D67" s="8"/>
      <c r="E67" s="8"/>
      <c r="F67" s="8"/>
      <c r="G67" s="8"/>
      <c r="H67" s="8"/>
      <c r="I67" s="8"/>
      <c r="J67" s="8"/>
      <c r="K67" s="8"/>
      <c r="L67" s="8"/>
      <c r="M67" s="8"/>
      <c r="N67" s="8"/>
      <c r="O67" s="8"/>
      <c r="P67" s="8"/>
      <c r="Q67" s="8"/>
      <c r="R67" s="8"/>
      <c r="S67" s="8"/>
      <c r="T67" s="52"/>
      <c r="U67" s="8"/>
      <c r="V67" s="5"/>
    </row>
    <row r="68" spans="1:22" ht="46.8" x14ac:dyDescent="0.3">
      <c r="A68" s="6"/>
      <c r="B68" s="114" t="s">
        <v>18</v>
      </c>
      <c r="C68" s="115"/>
      <c r="D68" s="115"/>
      <c r="E68" s="115"/>
      <c r="F68" s="115"/>
      <c r="G68" s="115"/>
      <c r="H68" s="115"/>
      <c r="I68" s="115"/>
      <c r="J68" s="115" t="s">
        <v>97</v>
      </c>
      <c r="K68" s="115"/>
      <c r="L68" s="115" t="s">
        <v>99</v>
      </c>
      <c r="M68" s="115"/>
      <c r="N68" s="115" t="s">
        <v>101</v>
      </c>
      <c r="O68" s="115"/>
      <c r="P68" s="115" t="s">
        <v>103</v>
      </c>
      <c r="Q68" s="115"/>
      <c r="R68" s="115" t="s">
        <v>110</v>
      </c>
      <c r="S68" s="115"/>
      <c r="T68" s="116" t="s">
        <v>118</v>
      </c>
      <c r="U68" s="117"/>
      <c r="V68" s="5"/>
    </row>
    <row r="69" spans="1:22" ht="15.6" x14ac:dyDescent="0.3">
      <c r="A69" s="24"/>
      <c r="B69" s="25" t="s">
        <v>19</v>
      </c>
      <c r="C69" s="34"/>
      <c r="D69" s="34"/>
      <c r="E69" s="34"/>
      <c r="F69" s="34"/>
      <c r="G69" s="34"/>
      <c r="H69" s="34"/>
      <c r="I69" s="34"/>
      <c r="J69" s="34">
        <v>1000039</v>
      </c>
      <c r="K69" s="34"/>
      <c r="L69" s="53">
        <v>717556</v>
      </c>
      <c r="M69" s="34"/>
      <c r="N69" s="34">
        <f>57937+2178+516</f>
        <v>60631</v>
      </c>
      <c r="O69" s="34"/>
      <c r="P69" s="34">
        <f>2178+516</f>
        <v>2694</v>
      </c>
      <c r="Q69" s="34"/>
      <c r="R69" s="34">
        <v>0</v>
      </c>
      <c r="S69" s="34"/>
      <c r="T69" s="53">
        <f>+L69-N69+P69-R69</f>
        <v>659619</v>
      </c>
      <c r="U69" s="25"/>
      <c r="V69" s="5"/>
    </row>
    <row r="70" spans="1:22" ht="15.6" x14ac:dyDescent="0.3">
      <c r="A70" s="24"/>
      <c r="B70" s="25" t="s">
        <v>20</v>
      </c>
      <c r="C70" s="34"/>
      <c r="D70" s="34"/>
      <c r="E70" s="34"/>
      <c r="F70" s="34"/>
      <c r="G70" s="34"/>
      <c r="H70" s="34"/>
      <c r="I70" s="34"/>
      <c r="J70" s="34">
        <v>10</v>
      </c>
      <c r="K70" s="34"/>
      <c r="L70" s="53">
        <v>0</v>
      </c>
      <c r="M70" s="34"/>
      <c r="N70" s="34">
        <v>0</v>
      </c>
      <c r="O70" s="34"/>
      <c r="P70" s="34">
        <v>0</v>
      </c>
      <c r="Q70" s="34"/>
      <c r="R70" s="34">
        <v>0</v>
      </c>
      <c r="S70" s="34"/>
      <c r="T70" s="53">
        <v>0</v>
      </c>
      <c r="U70" s="25"/>
      <c r="V70" s="5"/>
    </row>
    <row r="71" spans="1:22" ht="15.6" x14ac:dyDescent="0.3">
      <c r="A71" s="24"/>
      <c r="B71" s="25"/>
      <c r="C71" s="34"/>
      <c r="D71" s="34"/>
      <c r="E71" s="34"/>
      <c r="F71" s="34"/>
      <c r="G71" s="34"/>
      <c r="H71" s="34"/>
      <c r="I71" s="34"/>
      <c r="J71" s="34"/>
      <c r="K71" s="34"/>
      <c r="L71" s="53"/>
      <c r="M71" s="34"/>
      <c r="N71" s="34"/>
      <c r="O71" s="34"/>
      <c r="P71" s="34"/>
      <c r="Q71" s="34"/>
      <c r="R71" s="34"/>
      <c r="S71" s="34"/>
      <c r="T71" s="53"/>
      <c r="U71" s="25"/>
      <c r="V71" s="5"/>
    </row>
    <row r="72" spans="1:22" ht="15.6" x14ac:dyDescent="0.3">
      <c r="A72" s="24"/>
      <c r="B72" s="25" t="s">
        <v>21</v>
      </c>
      <c r="C72" s="34"/>
      <c r="D72" s="34"/>
      <c r="E72" s="34"/>
      <c r="F72" s="34"/>
      <c r="G72" s="34"/>
      <c r="H72" s="34"/>
      <c r="I72" s="34"/>
      <c r="J72" s="34">
        <f>SUM(J69:J71)</f>
        <v>1000049</v>
      </c>
      <c r="K72" s="34"/>
      <c r="L72" s="54">
        <f>L69+L70</f>
        <v>717556</v>
      </c>
      <c r="M72" s="34"/>
      <c r="N72" s="34">
        <f>SUM(N69:N71)</f>
        <v>60631</v>
      </c>
      <c r="O72" s="34"/>
      <c r="P72" s="34">
        <f>SUM(P69:P71)</f>
        <v>2694</v>
      </c>
      <c r="Q72" s="34"/>
      <c r="R72" s="34">
        <f>SUM(R69:R71)</f>
        <v>0</v>
      </c>
      <c r="S72" s="34"/>
      <c r="T72" s="54">
        <f>SUM(T69:T71)</f>
        <v>659619</v>
      </c>
      <c r="U72" s="25"/>
      <c r="V72" s="5"/>
    </row>
    <row r="73" spans="1:22" ht="15.6" x14ac:dyDescent="0.3">
      <c r="A73" s="24"/>
      <c r="B73" s="25"/>
      <c r="C73" s="34"/>
      <c r="D73" s="34"/>
      <c r="E73" s="34"/>
      <c r="F73" s="34"/>
      <c r="G73" s="34"/>
      <c r="H73" s="34"/>
      <c r="I73" s="34"/>
      <c r="J73" s="34"/>
      <c r="K73" s="34"/>
      <c r="L73" s="34"/>
      <c r="M73" s="34"/>
      <c r="N73" s="34"/>
      <c r="O73" s="34"/>
      <c r="P73" s="34"/>
      <c r="Q73" s="34"/>
      <c r="R73" s="34"/>
      <c r="S73" s="34"/>
      <c r="T73" s="54"/>
      <c r="U73" s="25"/>
      <c r="V73" s="5"/>
    </row>
    <row r="74" spans="1:22" ht="15.6" x14ac:dyDescent="0.3">
      <c r="A74" s="6"/>
      <c r="B74" s="111" t="s">
        <v>22</v>
      </c>
      <c r="C74" s="55"/>
      <c r="D74" s="55"/>
      <c r="E74" s="55"/>
      <c r="F74" s="55"/>
      <c r="G74" s="55"/>
      <c r="H74" s="55"/>
      <c r="I74" s="55"/>
      <c r="J74" s="55"/>
      <c r="K74" s="55"/>
      <c r="L74" s="55"/>
      <c r="M74" s="55"/>
      <c r="N74" s="55"/>
      <c r="O74" s="55"/>
      <c r="P74" s="55"/>
      <c r="Q74" s="55"/>
      <c r="R74" s="55"/>
      <c r="S74" s="55"/>
      <c r="T74" s="56"/>
      <c r="U74" s="8"/>
      <c r="V74" s="5"/>
    </row>
    <row r="75" spans="1:22" ht="15.6" x14ac:dyDescent="0.3">
      <c r="A75" s="6"/>
      <c r="B75" s="8"/>
      <c r="C75" s="55"/>
      <c r="D75" s="55"/>
      <c r="E75" s="55"/>
      <c r="F75" s="55"/>
      <c r="G75" s="55"/>
      <c r="H75" s="55"/>
      <c r="I75" s="55"/>
      <c r="J75" s="55"/>
      <c r="K75" s="55"/>
      <c r="L75" s="55"/>
      <c r="M75" s="55"/>
      <c r="N75" s="55"/>
      <c r="O75" s="55"/>
      <c r="P75" s="55"/>
      <c r="Q75" s="55"/>
      <c r="R75" s="55"/>
      <c r="S75" s="55"/>
      <c r="T75" s="56"/>
      <c r="U75" s="8"/>
      <c r="V75" s="5"/>
    </row>
    <row r="76" spans="1:22" ht="15.6" x14ac:dyDescent="0.3">
      <c r="A76" s="24"/>
      <c r="B76" s="25" t="s">
        <v>19</v>
      </c>
      <c r="C76" s="34"/>
      <c r="D76" s="34"/>
      <c r="E76" s="34"/>
      <c r="F76" s="34"/>
      <c r="G76" s="34"/>
      <c r="H76" s="34"/>
      <c r="I76" s="34"/>
      <c r="J76" s="34"/>
      <c r="K76" s="34"/>
      <c r="L76" s="34"/>
      <c r="M76" s="34"/>
      <c r="N76" s="34"/>
      <c r="O76" s="34"/>
      <c r="P76" s="34"/>
      <c r="Q76" s="34"/>
      <c r="R76" s="34"/>
      <c r="S76" s="34"/>
      <c r="T76" s="54"/>
      <c r="U76" s="25"/>
      <c r="V76" s="5"/>
    </row>
    <row r="77" spans="1:22" ht="15.6" x14ac:dyDescent="0.3">
      <c r="A77" s="24"/>
      <c r="B77" s="25" t="s">
        <v>20</v>
      </c>
      <c r="C77" s="34"/>
      <c r="D77" s="34"/>
      <c r="E77" s="34"/>
      <c r="F77" s="34"/>
      <c r="G77" s="34"/>
      <c r="H77" s="34"/>
      <c r="I77" s="34"/>
      <c r="J77" s="34"/>
      <c r="K77" s="34"/>
      <c r="L77" s="34"/>
      <c r="M77" s="34"/>
      <c r="N77" s="34"/>
      <c r="O77" s="34"/>
      <c r="P77" s="34"/>
      <c r="Q77" s="34"/>
      <c r="R77" s="34"/>
      <c r="S77" s="34"/>
      <c r="T77" s="54"/>
      <c r="U77" s="25"/>
      <c r="V77" s="5"/>
    </row>
    <row r="78" spans="1:22" ht="15.6" x14ac:dyDescent="0.3">
      <c r="A78" s="24"/>
      <c r="B78" s="25"/>
      <c r="C78" s="34"/>
      <c r="D78" s="34"/>
      <c r="E78" s="34"/>
      <c r="F78" s="34"/>
      <c r="G78" s="34"/>
      <c r="H78" s="34"/>
      <c r="I78" s="34"/>
      <c r="J78" s="34"/>
      <c r="K78" s="34"/>
      <c r="L78" s="34"/>
      <c r="M78" s="34"/>
      <c r="N78" s="34"/>
      <c r="O78" s="34"/>
      <c r="P78" s="34"/>
      <c r="Q78" s="34"/>
      <c r="R78" s="34"/>
      <c r="S78" s="34"/>
      <c r="T78" s="54"/>
      <c r="U78" s="25"/>
      <c r="V78" s="5"/>
    </row>
    <row r="79" spans="1:22" ht="15.6" x14ac:dyDescent="0.3">
      <c r="A79" s="24"/>
      <c r="B79" s="25" t="s">
        <v>21</v>
      </c>
      <c r="C79" s="34"/>
      <c r="D79" s="34"/>
      <c r="E79" s="34"/>
      <c r="F79" s="34"/>
      <c r="G79" s="34"/>
      <c r="H79" s="34"/>
      <c r="I79" s="34"/>
      <c r="J79" s="34"/>
      <c r="K79" s="34"/>
      <c r="L79" s="34"/>
      <c r="M79" s="34"/>
      <c r="N79" s="34"/>
      <c r="O79" s="34"/>
      <c r="P79" s="34"/>
      <c r="Q79" s="34"/>
      <c r="R79" s="34"/>
      <c r="S79" s="34"/>
      <c r="T79" s="34"/>
      <c r="U79" s="25"/>
      <c r="V79" s="5"/>
    </row>
    <row r="80" spans="1:22" ht="15.6" x14ac:dyDescent="0.3">
      <c r="A80" s="24"/>
      <c r="B80" s="25"/>
      <c r="C80" s="34"/>
      <c r="D80" s="34"/>
      <c r="E80" s="34"/>
      <c r="F80" s="34"/>
      <c r="G80" s="34"/>
      <c r="H80" s="34"/>
      <c r="I80" s="34"/>
      <c r="J80" s="34"/>
      <c r="K80" s="34"/>
      <c r="L80" s="34"/>
      <c r="M80" s="34"/>
      <c r="N80" s="34"/>
      <c r="O80" s="34"/>
      <c r="P80" s="34"/>
      <c r="Q80" s="34"/>
      <c r="R80" s="34"/>
      <c r="S80" s="34"/>
      <c r="T80" s="34"/>
      <c r="U80" s="25"/>
      <c r="V80" s="5"/>
    </row>
    <row r="81" spans="1:22" ht="15.6" x14ac:dyDescent="0.3">
      <c r="A81" s="24"/>
      <c r="B81" s="25" t="s">
        <v>23</v>
      </c>
      <c r="C81" s="34"/>
      <c r="D81" s="34"/>
      <c r="E81" s="34"/>
      <c r="F81" s="34"/>
      <c r="G81" s="34"/>
      <c r="H81" s="34"/>
      <c r="I81" s="34"/>
      <c r="J81" s="34">
        <v>0</v>
      </c>
      <c r="K81" s="34"/>
      <c r="L81" s="34">
        <v>0</v>
      </c>
      <c r="M81" s="34"/>
      <c r="N81" s="34"/>
      <c r="O81" s="34"/>
      <c r="P81" s="34"/>
      <c r="Q81" s="34"/>
      <c r="R81" s="34"/>
      <c r="S81" s="34"/>
      <c r="T81" s="53">
        <v>0</v>
      </c>
      <c r="U81" s="25"/>
      <c r="V81" s="5"/>
    </row>
    <row r="82" spans="1:22" ht="15.6" x14ac:dyDescent="0.3">
      <c r="A82" s="24"/>
      <c r="B82" s="25" t="s">
        <v>123</v>
      </c>
      <c r="C82" s="34"/>
      <c r="D82" s="34"/>
      <c r="E82" s="34"/>
      <c r="F82" s="34"/>
      <c r="G82" s="34"/>
      <c r="H82" s="34"/>
      <c r="I82" s="34"/>
      <c r="J82" s="34">
        <v>0</v>
      </c>
      <c r="K82" s="34"/>
      <c r="L82" s="34">
        <v>0</v>
      </c>
      <c r="M82" s="34"/>
      <c r="N82" s="34"/>
      <c r="O82" s="34"/>
      <c r="P82" s="34"/>
      <c r="Q82" s="34"/>
      <c r="R82" s="34"/>
      <c r="S82" s="34"/>
      <c r="T82" s="54">
        <f>SUM(J82:P82)</f>
        <v>0</v>
      </c>
      <c r="U82" s="25"/>
      <c r="V82" s="5"/>
    </row>
    <row r="83" spans="1:22" ht="15.6" x14ac:dyDescent="0.3">
      <c r="A83" s="24"/>
      <c r="B83" s="25" t="s">
        <v>152</v>
      </c>
      <c r="C83" s="34"/>
      <c r="D83" s="34"/>
      <c r="E83" s="34"/>
      <c r="F83" s="34"/>
      <c r="G83" s="34"/>
      <c r="H83" s="34"/>
      <c r="I83" s="34"/>
      <c r="J83" s="34">
        <v>1</v>
      </c>
      <c r="K83" s="34"/>
      <c r="L83" s="34">
        <v>0</v>
      </c>
      <c r="M83" s="34"/>
      <c r="N83" s="34">
        <v>0</v>
      </c>
      <c r="O83" s="34"/>
      <c r="P83" s="34"/>
      <c r="Q83" s="34"/>
      <c r="R83" s="34"/>
      <c r="S83" s="34"/>
      <c r="T83" s="54">
        <f>+L83+N83</f>
        <v>0</v>
      </c>
      <c r="U83" s="25"/>
      <c r="V83" s="5"/>
    </row>
    <row r="84" spans="1:22" ht="15.6" x14ac:dyDescent="0.3">
      <c r="A84" s="24"/>
      <c r="B84" s="25" t="s">
        <v>25</v>
      </c>
      <c r="C84" s="34"/>
      <c r="D84" s="34"/>
      <c r="E84" s="34"/>
      <c r="F84" s="34"/>
      <c r="G84" s="34"/>
      <c r="H84" s="34"/>
      <c r="I84" s="34"/>
      <c r="J84" s="34">
        <v>0</v>
      </c>
      <c r="K84" s="34"/>
      <c r="L84" s="34">
        <v>0</v>
      </c>
      <c r="M84" s="34"/>
      <c r="N84" s="34"/>
      <c r="O84" s="34"/>
      <c r="P84" s="34"/>
      <c r="Q84" s="34"/>
      <c r="R84" s="34"/>
      <c r="S84" s="34"/>
      <c r="T84" s="54">
        <v>0</v>
      </c>
      <c r="U84" s="25"/>
      <c r="V84" s="5"/>
    </row>
    <row r="85" spans="1:22" ht="15.6" x14ac:dyDescent="0.3">
      <c r="A85" s="24"/>
      <c r="B85" s="25" t="s">
        <v>26</v>
      </c>
      <c r="C85" s="34"/>
      <c r="D85" s="34"/>
      <c r="E85" s="34"/>
      <c r="F85" s="54"/>
      <c r="G85" s="34"/>
      <c r="H85" s="54"/>
      <c r="I85" s="54"/>
      <c r="J85" s="54">
        <f>SUM(J72:J84)</f>
        <v>1000050</v>
      </c>
      <c r="K85" s="34"/>
      <c r="L85" s="54">
        <f>SUM(L72:L84)</f>
        <v>717556</v>
      </c>
      <c r="M85" s="34"/>
      <c r="N85" s="34"/>
      <c r="O85" s="34"/>
      <c r="P85" s="34"/>
      <c r="Q85" s="34"/>
      <c r="R85" s="54"/>
      <c r="S85" s="34"/>
      <c r="T85" s="54">
        <f>SUM(T72:T84)</f>
        <v>659619</v>
      </c>
      <c r="U85" s="25"/>
      <c r="V85" s="5"/>
    </row>
    <row r="86" spans="1:22" ht="15.6" x14ac:dyDescent="0.3">
      <c r="A86" s="24"/>
      <c r="B86" s="25"/>
      <c r="C86" s="34"/>
      <c r="D86" s="34"/>
      <c r="E86" s="34"/>
      <c r="F86" s="34"/>
      <c r="G86" s="34"/>
      <c r="H86" s="34"/>
      <c r="I86" s="34"/>
      <c r="J86" s="34"/>
      <c r="K86" s="34"/>
      <c r="L86" s="34"/>
      <c r="M86" s="34"/>
      <c r="N86" s="34"/>
      <c r="O86" s="34"/>
      <c r="P86" s="34"/>
      <c r="Q86" s="34"/>
      <c r="R86" s="34"/>
      <c r="S86" s="34"/>
      <c r="T86" s="54"/>
      <c r="U86" s="25"/>
      <c r="V86" s="5"/>
    </row>
    <row r="87" spans="1:22" ht="15.6" x14ac:dyDescent="0.3">
      <c r="A87" s="6"/>
      <c r="B87" s="8"/>
      <c r="C87" s="8"/>
      <c r="D87" s="8"/>
      <c r="E87" s="8"/>
      <c r="F87" s="8"/>
      <c r="G87" s="8"/>
      <c r="H87" s="8"/>
      <c r="I87" s="8"/>
      <c r="J87" s="8"/>
      <c r="K87" s="8"/>
      <c r="L87" s="8"/>
      <c r="M87" s="8"/>
      <c r="N87" s="8"/>
      <c r="O87" s="8"/>
      <c r="P87" s="8"/>
      <c r="Q87" s="8"/>
      <c r="R87" s="8"/>
      <c r="S87" s="8"/>
      <c r="T87" s="8"/>
      <c r="U87" s="8"/>
      <c r="V87" s="5"/>
    </row>
    <row r="88" spans="1:22" ht="15.6" x14ac:dyDescent="0.3">
      <c r="A88" s="6"/>
      <c r="B88" s="51" t="s">
        <v>27</v>
      </c>
      <c r="C88" s="14"/>
      <c r="D88" s="14"/>
      <c r="E88" s="14"/>
      <c r="F88" s="14"/>
      <c r="G88" s="14"/>
      <c r="H88" s="17"/>
      <c r="I88" s="17"/>
      <c r="J88" s="159" t="s">
        <v>98</v>
      </c>
      <c r="K88" s="17"/>
      <c r="L88" s="158">
        <f>+R193</f>
        <v>39629</v>
      </c>
      <c r="M88" s="17"/>
      <c r="N88" s="17"/>
      <c r="O88" s="17"/>
      <c r="P88" s="17"/>
      <c r="Q88" s="17"/>
      <c r="R88" s="17" t="s">
        <v>111</v>
      </c>
      <c r="S88" s="17"/>
      <c r="T88" s="17" t="s">
        <v>119</v>
      </c>
      <c r="U88" s="8"/>
      <c r="V88" s="5"/>
    </row>
    <row r="89" spans="1:22" ht="15.6" x14ac:dyDescent="0.3">
      <c r="A89" s="24"/>
      <c r="B89" s="25" t="s">
        <v>28</v>
      </c>
      <c r="C89" s="25"/>
      <c r="D89" s="25"/>
      <c r="E89" s="25"/>
      <c r="F89" s="25"/>
      <c r="G89" s="25"/>
      <c r="H89" s="25"/>
      <c r="I89" s="25"/>
      <c r="J89" s="25"/>
      <c r="K89" s="25"/>
      <c r="L89" s="25"/>
      <c r="M89" s="25"/>
      <c r="N89" s="25"/>
      <c r="O89" s="25"/>
      <c r="P89" s="25"/>
      <c r="Q89" s="25"/>
      <c r="R89" s="34">
        <v>0</v>
      </c>
      <c r="S89" s="25"/>
      <c r="T89" s="53">
        <v>0</v>
      </c>
      <c r="U89" s="25"/>
      <c r="V89" s="5"/>
    </row>
    <row r="90" spans="1:22" ht="15.6" x14ac:dyDescent="0.3">
      <c r="A90" s="24"/>
      <c r="B90" s="25" t="s">
        <v>29</v>
      </c>
      <c r="C90" s="25"/>
      <c r="D90" s="25"/>
      <c r="E90" s="25"/>
      <c r="F90" s="25"/>
      <c r="G90" s="25"/>
      <c r="H90" s="40"/>
      <c r="I90" s="57"/>
      <c r="J90" s="40"/>
      <c r="K90" s="25"/>
      <c r="L90" s="127"/>
      <c r="M90" s="25"/>
      <c r="N90" s="25"/>
      <c r="O90" s="25"/>
      <c r="P90" s="25"/>
      <c r="Q90" s="25"/>
      <c r="R90" s="34">
        <f>60631-46</f>
        <v>60585</v>
      </c>
      <c r="S90" s="25"/>
      <c r="T90" s="53"/>
      <c r="U90" s="25"/>
      <c r="V90" s="5"/>
    </row>
    <row r="91" spans="1:22" ht="15.6" x14ac:dyDescent="0.3">
      <c r="A91" s="24"/>
      <c r="B91" s="25" t="s">
        <v>225</v>
      </c>
      <c r="C91" s="25"/>
      <c r="D91" s="25"/>
      <c r="E91" s="25"/>
      <c r="F91" s="25"/>
      <c r="G91" s="25"/>
      <c r="H91" s="40"/>
      <c r="I91" s="57"/>
      <c r="J91" s="40"/>
      <c r="K91" s="25"/>
      <c r="L91" s="127"/>
      <c r="M91" s="25"/>
      <c r="N91" s="25"/>
      <c r="O91" s="25"/>
      <c r="P91" s="25"/>
      <c r="Q91" s="25"/>
      <c r="R91" s="34"/>
      <c r="S91" s="25"/>
      <c r="T91" s="53">
        <f>4963+5515-449-640</f>
        <v>9389</v>
      </c>
      <c r="U91" s="25"/>
      <c r="V91" s="5"/>
    </row>
    <row r="92" spans="1:22" ht="15.6" x14ac:dyDescent="0.3">
      <c r="A92" s="24"/>
      <c r="B92" s="25" t="s">
        <v>220</v>
      </c>
      <c r="C92" s="25"/>
      <c r="D92" s="25"/>
      <c r="E92" s="25"/>
      <c r="F92" s="25"/>
      <c r="G92" s="25"/>
      <c r="H92" s="40"/>
      <c r="I92" s="57"/>
      <c r="J92" s="40"/>
      <c r="K92" s="25"/>
      <c r="L92" s="127"/>
      <c r="M92" s="25"/>
      <c r="N92" s="25"/>
      <c r="O92" s="25"/>
      <c r="P92" s="25"/>
      <c r="Q92" s="25"/>
      <c r="R92" s="34"/>
      <c r="S92" s="25"/>
      <c r="T92" s="53">
        <f>106+323</f>
        <v>429</v>
      </c>
      <c r="U92" s="25"/>
      <c r="V92" s="5"/>
    </row>
    <row r="93" spans="1:22" ht="15.6" x14ac:dyDescent="0.3">
      <c r="A93" s="24"/>
      <c r="B93" s="25" t="s">
        <v>221</v>
      </c>
      <c r="C93" s="25"/>
      <c r="D93" s="25"/>
      <c r="E93" s="25"/>
      <c r="F93" s="25"/>
      <c r="G93" s="25"/>
      <c r="H93" s="40"/>
      <c r="I93" s="57"/>
      <c r="J93" s="40"/>
      <c r="K93" s="25"/>
      <c r="L93" s="127"/>
      <c r="M93" s="25"/>
      <c r="N93" s="25"/>
      <c r="O93" s="25"/>
      <c r="P93" s="25"/>
      <c r="Q93" s="25"/>
      <c r="R93" s="34"/>
      <c r="S93" s="25"/>
      <c r="T93" s="53">
        <v>1426</v>
      </c>
      <c r="U93" s="25"/>
      <c r="V93" s="5"/>
    </row>
    <row r="94" spans="1:22" ht="15.6" x14ac:dyDescent="0.3">
      <c r="A94" s="24"/>
      <c r="B94" s="25" t="s">
        <v>261</v>
      </c>
      <c r="C94" s="25"/>
      <c r="D94" s="25"/>
      <c r="E94" s="25"/>
      <c r="F94" s="25"/>
      <c r="G94" s="25"/>
      <c r="H94" s="40"/>
      <c r="I94" s="57"/>
      <c r="J94" s="40"/>
      <c r="K94" s="25"/>
      <c r="L94" s="127"/>
      <c r="M94" s="25"/>
      <c r="N94" s="25"/>
      <c r="O94" s="25"/>
      <c r="P94" s="25"/>
      <c r="Q94" s="25"/>
      <c r="R94" s="34"/>
      <c r="S94" s="25"/>
      <c r="T94" s="53">
        <f>2+1255</f>
        <v>1257</v>
      </c>
      <c r="U94" s="25"/>
      <c r="V94" s="5"/>
    </row>
    <row r="95" spans="1:22" ht="15.6" x14ac:dyDescent="0.3">
      <c r="A95" s="24"/>
      <c r="B95" s="25" t="s">
        <v>141</v>
      </c>
      <c r="C95" s="25"/>
      <c r="D95" s="25"/>
      <c r="E95" s="25"/>
      <c r="F95" s="25"/>
      <c r="G95" s="25"/>
      <c r="H95" s="25"/>
      <c r="I95" s="25"/>
      <c r="J95" s="25"/>
      <c r="K95" s="25"/>
      <c r="L95" s="25"/>
      <c r="M95" s="25"/>
      <c r="N95" s="25"/>
      <c r="O95" s="25"/>
      <c r="P95" s="25"/>
      <c r="Q95" s="25"/>
      <c r="R95" s="34"/>
      <c r="S95" s="25"/>
      <c r="T95" s="53">
        <v>0</v>
      </c>
      <c r="U95" s="25"/>
      <c r="V95" s="5"/>
    </row>
    <row r="96" spans="1:22" ht="15.6" x14ac:dyDescent="0.3">
      <c r="A96" s="24"/>
      <c r="B96" s="25" t="s">
        <v>250</v>
      </c>
      <c r="C96" s="25"/>
      <c r="D96" s="25"/>
      <c r="E96" s="25"/>
      <c r="F96" s="25"/>
      <c r="G96" s="25"/>
      <c r="H96" s="25"/>
      <c r="I96" s="25"/>
      <c r="J96" s="25"/>
      <c r="K96" s="25"/>
      <c r="L96" s="25"/>
      <c r="M96" s="25"/>
      <c r="N96" s="25"/>
      <c r="O96" s="25"/>
      <c r="P96" s="25"/>
      <c r="Q96" s="25"/>
      <c r="R96" s="34"/>
      <c r="S96" s="25"/>
      <c r="T96" s="53">
        <v>130</v>
      </c>
      <c r="U96" s="25"/>
      <c r="V96" s="5"/>
    </row>
    <row r="97" spans="1:24" ht="15.6" x14ac:dyDescent="0.3">
      <c r="A97" s="24"/>
      <c r="B97" s="25" t="s">
        <v>30</v>
      </c>
      <c r="C97" s="25"/>
      <c r="D97" s="25"/>
      <c r="E97" s="25"/>
      <c r="F97" s="25"/>
      <c r="G97" s="25"/>
      <c r="H97" s="25"/>
      <c r="I97" s="25"/>
      <c r="J97" s="25"/>
      <c r="K97" s="25"/>
      <c r="L97" s="25"/>
      <c r="M97" s="25"/>
      <c r="N97" s="25"/>
      <c r="O97" s="25"/>
      <c r="P97" s="25"/>
      <c r="Q97" s="25"/>
      <c r="R97" s="34">
        <f>SUM(R89:R96)</f>
        <v>60585</v>
      </c>
      <c r="S97" s="25"/>
      <c r="T97" s="54">
        <f>SUM(T89:T96)</f>
        <v>12631</v>
      </c>
      <c r="U97" s="25"/>
      <c r="V97" s="5"/>
    </row>
    <row r="98" spans="1:24" ht="15.6" x14ac:dyDescent="0.3">
      <c r="A98" s="24"/>
      <c r="B98" s="25" t="s">
        <v>168</v>
      </c>
      <c r="C98" s="25"/>
      <c r="D98" s="25"/>
      <c r="E98" s="25"/>
      <c r="F98" s="25"/>
      <c r="G98" s="25"/>
      <c r="H98" s="25"/>
      <c r="I98" s="25"/>
      <c r="J98" s="25"/>
      <c r="K98" s="25"/>
      <c r="L98" s="25"/>
      <c r="M98" s="25"/>
      <c r="N98" s="25"/>
      <c r="O98" s="25"/>
      <c r="P98" s="25"/>
      <c r="Q98" s="25"/>
      <c r="R98" s="34">
        <f>-T98</f>
        <v>-208</v>
      </c>
      <c r="S98" s="25"/>
      <c r="T98" s="54">
        <v>208</v>
      </c>
      <c r="U98" s="25"/>
      <c r="V98" s="5"/>
    </row>
    <row r="99" spans="1:24" ht="15.6" x14ac:dyDescent="0.3">
      <c r="A99" s="24"/>
      <c r="B99" s="25" t="s">
        <v>31</v>
      </c>
      <c r="C99" s="25"/>
      <c r="D99" s="25"/>
      <c r="E99" s="25"/>
      <c r="F99" s="25"/>
      <c r="G99" s="25"/>
      <c r="H99" s="25"/>
      <c r="I99" s="25"/>
      <c r="J99" s="25"/>
      <c r="K99" s="25"/>
      <c r="L99" s="25"/>
      <c r="M99" s="25"/>
      <c r="N99" s="25"/>
      <c r="O99" s="25"/>
      <c r="P99" s="25"/>
      <c r="Q99" s="25"/>
      <c r="R99" s="34">
        <f>-T99</f>
        <v>0</v>
      </c>
      <c r="S99" s="25"/>
      <c r="T99" s="53">
        <v>0</v>
      </c>
      <c r="U99" s="25"/>
      <c r="V99" s="5"/>
    </row>
    <row r="100" spans="1:24" ht="15.6" x14ac:dyDescent="0.3">
      <c r="A100" s="24"/>
      <c r="B100" s="25" t="s">
        <v>273</v>
      </c>
      <c r="C100" s="25"/>
      <c r="D100" s="25"/>
      <c r="E100" s="25"/>
      <c r="F100" s="25"/>
      <c r="G100" s="25"/>
      <c r="H100" s="25"/>
      <c r="I100" s="25"/>
      <c r="J100" s="25"/>
      <c r="K100" s="25"/>
      <c r="L100" s="25"/>
      <c r="M100" s="25"/>
      <c r="N100" s="25"/>
      <c r="O100" s="25"/>
      <c r="P100" s="25"/>
      <c r="Q100" s="25"/>
      <c r="R100" s="34"/>
      <c r="S100" s="25"/>
      <c r="T100" s="53">
        <v>0</v>
      </c>
      <c r="U100" s="25"/>
      <c r="V100" s="5"/>
    </row>
    <row r="101" spans="1:24" ht="15.6" x14ac:dyDescent="0.3">
      <c r="A101" s="24"/>
      <c r="B101" s="25" t="s">
        <v>32</v>
      </c>
      <c r="C101" s="25"/>
      <c r="D101" s="25"/>
      <c r="E101" s="25"/>
      <c r="F101" s="25"/>
      <c r="G101" s="25"/>
      <c r="H101" s="25"/>
      <c r="I101" s="25"/>
      <c r="J101" s="25"/>
      <c r="K101" s="25"/>
      <c r="L101" s="25"/>
      <c r="M101" s="25"/>
      <c r="N101" s="25"/>
      <c r="O101" s="25"/>
      <c r="P101" s="25"/>
      <c r="Q101" s="25"/>
      <c r="R101" s="34">
        <f>R97+R99+R98</f>
        <v>60377</v>
      </c>
      <c r="S101" s="25"/>
      <c r="T101" s="54">
        <f>T97+T99+T98+T100</f>
        <v>12839</v>
      </c>
      <c r="U101" s="25"/>
      <c r="V101" s="5"/>
    </row>
    <row r="102" spans="1:24" ht="15.6" x14ac:dyDescent="0.3">
      <c r="A102" s="24"/>
      <c r="B102" s="118" t="s">
        <v>33</v>
      </c>
      <c r="C102" s="25"/>
      <c r="D102" s="25"/>
      <c r="E102" s="25"/>
      <c r="F102" s="25"/>
      <c r="G102" s="25"/>
      <c r="H102" s="25"/>
      <c r="I102" s="25"/>
      <c r="J102" s="25"/>
      <c r="K102" s="25"/>
      <c r="L102" s="25"/>
      <c r="M102" s="25"/>
      <c r="N102" s="25"/>
      <c r="O102" s="25"/>
      <c r="P102" s="25"/>
      <c r="Q102" s="25"/>
      <c r="R102" s="34"/>
      <c r="S102" s="25"/>
      <c r="T102" s="53"/>
      <c r="U102" s="25"/>
      <c r="V102" s="5"/>
    </row>
    <row r="103" spans="1:24" ht="15.6" x14ac:dyDescent="0.3">
      <c r="A103" s="24">
        <v>1</v>
      </c>
      <c r="B103" s="25" t="s">
        <v>34</v>
      </c>
      <c r="C103" s="25"/>
      <c r="D103" s="25"/>
      <c r="E103" s="25"/>
      <c r="F103" s="25"/>
      <c r="G103" s="25"/>
      <c r="H103" s="25"/>
      <c r="I103" s="25"/>
      <c r="J103" s="25"/>
      <c r="K103" s="25"/>
      <c r="L103" s="25"/>
      <c r="M103" s="25"/>
      <c r="N103" s="25"/>
      <c r="O103" s="25"/>
      <c r="P103" s="25"/>
      <c r="Q103" s="25"/>
      <c r="R103" s="25"/>
      <c r="S103" s="25"/>
      <c r="T103" s="53">
        <v>0</v>
      </c>
      <c r="U103" s="25"/>
      <c r="V103" s="5"/>
    </row>
    <row r="104" spans="1:24" ht="15.6" x14ac:dyDescent="0.3">
      <c r="A104" s="24">
        <f>+A103+1</f>
        <v>2</v>
      </c>
      <c r="B104" s="25" t="s">
        <v>255</v>
      </c>
      <c r="C104" s="25"/>
      <c r="D104" s="25"/>
      <c r="E104" s="25"/>
      <c r="F104" s="25"/>
      <c r="G104" s="25"/>
      <c r="H104" s="25"/>
      <c r="I104" s="25"/>
      <c r="J104" s="25"/>
      <c r="K104" s="25"/>
      <c r="L104" s="25"/>
      <c r="M104" s="25"/>
      <c r="N104" s="25"/>
      <c r="O104" s="25"/>
      <c r="P104" s="25"/>
      <c r="Q104" s="25"/>
      <c r="R104" s="25"/>
      <c r="S104" s="25"/>
      <c r="T104" s="53">
        <v>-2</v>
      </c>
      <c r="U104" s="25"/>
      <c r="V104" s="5"/>
    </row>
    <row r="105" spans="1:24" ht="15.6" x14ac:dyDescent="0.3">
      <c r="A105" s="24">
        <f>+A104+1</f>
        <v>3</v>
      </c>
      <c r="B105" s="25" t="s">
        <v>213</v>
      </c>
      <c r="C105" s="25"/>
      <c r="D105" s="25"/>
      <c r="E105" s="25"/>
      <c r="F105" s="25"/>
      <c r="G105" s="25"/>
      <c r="H105" s="25"/>
      <c r="I105" s="25"/>
      <c r="J105" s="25"/>
      <c r="K105" s="25"/>
      <c r="L105" s="25"/>
      <c r="M105" s="25"/>
      <c r="N105" s="25"/>
      <c r="O105" s="25"/>
      <c r="P105" s="25"/>
      <c r="Q105" s="25"/>
      <c r="R105" s="25"/>
      <c r="S105" s="25"/>
      <c r="T105" s="53">
        <f>-269-89-9</f>
        <v>-367</v>
      </c>
      <c r="U105" s="25"/>
      <c r="V105" s="5"/>
    </row>
    <row r="106" spans="1:24" ht="15.6" x14ac:dyDescent="0.3">
      <c r="A106" s="24" t="s">
        <v>133</v>
      </c>
      <c r="B106" s="25" t="s">
        <v>122</v>
      </c>
      <c r="C106" s="25"/>
      <c r="D106" s="25"/>
      <c r="E106" s="25"/>
      <c r="F106" s="25"/>
      <c r="G106" s="25"/>
      <c r="H106" s="25"/>
      <c r="I106" s="25"/>
      <c r="J106" s="25"/>
      <c r="K106" s="25"/>
      <c r="L106" s="25"/>
      <c r="M106" s="25"/>
      <c r="N106" s="25"/>
      <c r="O106" s="25"/>
      <c r="P106" s="25"/>
      <c r="Q106" s="25"/>
      <c r="R106" s="25"/>
      <c r="S106" s="25"/>
      <c r="T106" s="53">
        <v>0</v>
      </c>
      <c r="U106" s="25"/>
      <c r="V106" s="5"/>
    </row>
    <row r="107" spans="1:24" ht="15.6" x14ac:dyDescent="0.3">
      <c r="A107" s="24" t="s">
        <v>134</v>
      </c>
      <c r="B107" s="25" t="s">
        <v>194</v>
      </c>
      <c r="C107" s="25"/>
      <c r="D107" s="25"/>
      <c r="E107" s="25"/>
      <c r="F107" s="25"/>
      <c r="G107" s="25"/>
      <c r="H107" s="25"/>
      <c r="I107" s="25"/>
      <c r="J107" s="25"/>
      <c r="K107" s="25"/>
      <c r="L107" s="25"/>
      <c r="M107" s="25"/>
      <c r="N107" s="25"/>
      <c r="O107" s="25"/>
      <c r="P107" s="25"/>
      <c r="Q107" s="25"/>
      <c r="R107" s="25"/>
      <c r="S107" s="25"/>
      <c r="T107" s="53">
        <v>-7305</v>
      </c>
      <c r="U107" s="25"/>
      <c r="V107" s="5"/>
      <c r="W107" s="109"/>
    </row>
    <row r="108" spans="1:24" ht="15.6" x14ac:dyDescent="0.3">
      <c r="A108" s="24" t="s">
        <v>156</v>
      </c>
      <c r="B108" s="25" t="s">
        <v>191</v>
      </c>
      <c r="C108" s="25"/>
      <c r="D108" s="25"/>
      <c r="E108" s="25"/>
      <c r="F108" s="25"/>
      <c r="G108" s="25"/>
      <c r="H108" s="25"/>
      <c r="I108" s="25"/>
      <c r="J108" s="25"/>
      <c r="K108" s="25"/>
      <c r="L108" s="25"/>
      <c r="M108" s="25"/>
      <c r="N108" s="25"/>
      <c r="O108" s="25"/>
      <c r="P108" s="25"/>
      <c r="Q108" s="25"/>
      <c r="R108" s="25"/>
      <c r="S108" s="25"/>
      <c r="T108" s="53">
        <v>-1521</v>
      </c>
      <c r="U108" s="25"/>
      <c r="V108" s="5"/>
      <c r="W108" s="109"/>
    </row>
    <row r="109" spans="1:24" ht="15.6" x14ac:dyDescent="0.3">
      <c r="A109" s="24" t="s">
        <v>214</v>
      </c>
      <c r="B109" s="25" t="s">
        <v>192</v>
      </c>
      <c r="C109" s="25"/>
      <c r="D109" s="25"/>
      <c r="E109" s="25"/>
      <c r="F109" s="25"/>
      <c r="G109" s="25"/>
      <c r="H109" s="25"/>
      <c r="I109" s="25"/>
      <c r="J109" s="25"/>
      <c r="K109" s="25"/>
      <c r="L109" s="25"/>
      <c r="M109" s="25"/>
      <c r="N109" s="25"/>
      <c r="O109" s="25"/>
      <c r="P109" s="25"/>
      <c r="Q109" s="25"/>
      <c r="R109" s="25"/>
      <c r="S109" s="25"/>
      <c r="T109" s="53">
        <v>-872</v>
      </c>
      <c r="U109" s="25"/>
      <c r="V109" s="5"/>
      <c r="W109" s="109"/>
      <c r="X109" s="109"/>
    </row>
    <row r="110" spans="1:24" ht="15.6" x14ac:dyDescent="0.3">
      <c r="A110" s="24" t="s">
        <v>215</v>
      </c>
      <c r="B110" s="25" t="s">
        <v>193</v>
      </c>
      <c r="C110" s="25"/>
      <c r="D110" s="25"/>
      <c r="E110" s="25"/>
      <c r="F110" s="25"/>
      <c r="G110" s="25"/>
      <c r="H110" s="25"/>
      <c r="I110" s="25"/>
      <c r="J110" s="25"/>
      <c r="K110" s="25"/>
      <c r="L110" s="25"/>
      <c r="M110" s="25"/>
      <c r="N110" s="25"/>
      <c r="O110" s="25"/>
      <c r="P110" s="25"/>
      <c r="Q110" s="25"/>
      <c r="R110" s="25"/>
      <c r="S110" s="25"/>
      <c r="T110" s="53">
        <v>-246</v>
      </c>
      <c r="U110" s="25"/>
      <c r="V110" s="169"/>
      <c r="W110" s="109"/>
    </row>
    <row r="111" spans="1:24" ht="15.6" x14ac:dyDescent="0.3">
      <c r="A111" s="24" t="s">
        <v>216</v>
      </c>
      <c r="B111" s="25" t="s">
        <v>204</v>
      </c>
      <c r="C111" s="25"/>
      <c r="D111" s="25"/>
      <c r="E111" s="25"/>
      <c r="F111" s="25"/>
      <c r="G111" s="25"/>
      <c r="H111" s="25"/>
      <c r="I111" s="25"/>
      <c r="J111" s="25"/>
      <c r="K111" s="25"/>
      <c r="L111" s="25"/>
      <c r="M111" s="25"/>
      <c r="N111" s="25"/>
      <c r="O111" s="25"/>
      <c r="P111" s="25"/>
      <c r="Q111" s="25"/>
      <c r="R111" s="25"/>
      <c r="S111" s="25"/>
      <c r="T111" s="53">
        <v>-961</v>
      </c>
      <c r="U111" s="25"/>
      <c r="V111" s="5"/>
      <c r="W111" s="109"/>
    </row>
    <row r="112" spans="1:24" ht="15.6" x14ac:dyDescent="0.3">
      <c r="A112" s="24">
        <v>7</v>
      </c>
      <c r="B112" s="25" t="s">
        <v>35</v>
      </c>
      <c r="C112" s="25"/>
      <c r="D112" s="25"/>
      <c r="E112" s="25"/>
      <c r="F112" s="25"/>
      <c r="G112" s="25"/>
      <c r="H112" s="25"/>
      <c r="I112" s="25"/>
      <c r="J112" s="25"/>
      <c r="K112" s="25"/>
      <c r="L112" s="25"/>
      <c r="M112" s="25"/>
      <c r="N112" s="25"/>
      <c r="O112" s="25"/>
      <c r="P112" s="25"/>
      <c r="Q112" s="25"/>
      <c r="R112" s="25"/>
      <c r="S112" s="25"/>
      <c r="T112" s="53">
        <v>-10</v>
      </c>
      <c r="U112" s="25"/>
      <c r="V112" s="5"/>
    </row>
    <row r="113" spans="1:22" ht="15.6" x14ac:dyDescent="0.3">
      <c r="A113" s="24">
        <f t="shared" ref="A113:A118" si="0">+A112+1</f>
        <v>8</v>
      </c>
      <c r="B113" s="25" t="s">
        <v>46</v>
      </c>
      <c r="C113" s="25"/>
      <c r="D113" s="25"/>
      <c r="E113" s="25"/>
      <c r="F113" s="25"/>
      <c r="G113" s="25"/>
      <c r="H113" s="25"/>
      <c r="I113" s="25"/>
      <c r="J113" s="25"/>
      <c r="K113" s="25"/>
      <c r="L113" s="25"/>
      <c r="M113" s="25"/>
      <c r="N113" s="25"/>
      <c r="O113" s="25"/>
      <c r="P113" s="25"/>
      <c r="Q113" s="25"/>
      <c r="R113" s="34">
        <f>-T113</f>
        <v>46</v>
      </c>
      <c r="S113" s="25"/>
      <c r="T113" s="53">
        <v>-46</v>
      </c>
      <c r="U113" s="25"/>
      <c r="V113" s="5"/>
    </row>
    <row r="114" spans="1:22" ht="15.6" x14ac:dyDescent="0.3">
      <c r="A114" s="24">
        <f t="shared" si="0"/>
        <v>9</v>
      </c>
      <c r="B114" s="25" t="s">
        <v>131</v>
      </c>
      <c r="C114" s="25"/>
      <c r="D114" s="25"/>
      <c r="E114" s="25"/>
      <c r="F114" s="25"/>
      <c r="G114" s="25"/>
      <c r="H114" s="25"/>
      <c r="I114" s="25"/>
      <c r="J114" s="25"/>
      <c r="K114" s="25"/>
      <c r="L114" s="25"/>
      <c r="M114" s="25"/>
      <c r="N114" s="25"/>
      <c r="O114" s="25"/>
      <c r="P114" s="25"/>
      <c r="Q114" s="25"/>
      <c r="R114" s="25"/>
      <c r="S114" s="25"/>
      <c r="T114" s="53">
        <v>0</v>
      </c>
      <c r="U114" s="25"/>
      <c r="V114" s="5"/>
    </row>
    <row r="115" spans="1:22" ht="15.6" x14ac:dyDescent="0.3">
      <c r="A115" s="24">
        <f t="shared" si="0"/>
        <v>10</v>
      </c>
      <c r="B115" s="25" t="s">
        <v>36</v>
      </c>
      <c r="C115" s="25"/>
      <c r="D115" s="25"/>
      <c r="E115" s="25"/>
      <c r="F115" s="25"/>
      <c r="G115" s="25"/>
      <c r="H115" s="25"/>
      <c r="I115" s="25"/>
      <c r="J115" s="25"/>
      <c r="K115" s="25"/>
      <c r="L115" s="25"/>
      <c r="M115" s="25"/>
      <c r="N115" s="25"/>
      <c r="O115" s="25"/>
      <c r="P115" s="25"/>
      <c r="Q115" s="25"/>
      <c r="R115" s="25"/>
      <c r="S115" s="25"/>
      <c r="T115" s="53">
        <v>0</v>
      </c>
      <c r="U115" s="25"/>
      <c r="V115" s="5"/>
    </row>
    <row r="116" spans="1:22" ht="15.6" x14ac:dyDescent="0.3">
      <c r="A116" s="24">
        <f t="shared" si="0"/>
        <v>11</v>
      </c>
      <c r="B116" s="25" t="s">
        <v>37</v>
      </c>
      <c r="C116" s="25"/>
      <c r="D116" s="25"/>
      <c r="E116" s="25"/>
      <c r="F116" s="25"/>
      <c r="G116" s="25"/>
      <c r="H116" s="25"/>
      <c r="I116" s="25"/>
      <c r="J116" s="25"/>
      <c r="K116" s="25"/>
      <c r="L116" s="25"/>
      <c r="M116" s="25"/>
      <c r="N116" s="25"/>
      <c r="O116" s="25"/>
      <c r="P116" s="25"/>
      <c r="Q116" s="25"/>
      <c r="R116" s="25"/>
      <c r="S116" s="25"/>
      <c r="T116" s="53">
        <v>0</v>
      </c>
      <c r="U116" s="25"/>
      <c r="V116" s="5"/>
    </row>
    <row r="117" spans="1:22" ht="15.6" x14ac:dyDescent="0.3">
      <c r="A117" s="24">
        <f t="shared" si="0"/>
        <v>12</v>
      </c>
      <c r="B117" s="25" t="s">
        <v>155</v>
      </c>
      <c r="C117" s="25"/>
      <c r="D117" s="25"/>
      <c r="E117" s="25"/>
      <c r="F117" s="25"/>
      <c r="G117" s="25"/>
      <c r="H117" s="25"/>
      <c r="I117" s="25"/>
      <c r="J117" s="25"/>
      <c r="K117" s="25"/>
      <c r="L117" s="25"/>
      <c r="M117" s="25"/>
      <c r="N117" s="25"/>
      <c r="O117" s="25"/>
      <c r="P117" s="25"/>
      <c r="Q117" s="25"/>
      <c r="R117" s="25"/>
      <c r="S117" s="25"/>
      <c r="T117" s="53">
        <v>-268</v>
      </c>
      <c r="U117" s="25"/>
      <c r="V117" s="5"/>
    </row>
    <row r="118" spans="1:22" ht="15.6" x14ac:dyDescent="0.3">
      <c r="A118" s="24">
        <f t="shared" si="0"/>
        <v>13</v>
      </c>
      <c r="B118" s="25" t="s">
        <v>132</v>
      </c>
      <c r="C118" s="25"/>
      <c r="D118" s="25"/>
      <c r="E118" s="25"/>
      <c r="F118" s="25"/>
      <c r="G118" s="25"/>
      <c r="H118" s="25"/>
      <c r="I118" s="25"/>
      <c r="J118" s="25"/>
      <c r="K118" s="25"/>
      <c r="L118" s="25"/>
      <c r="M118" s="25"/>
      <c r="N118" s="25"/>
      <c r="O118" s="25"/>
      <c r="P118" s="25"/>
      <c r="Q118" s="25"/>
      <c r="R118" s="25"/>
      <c r="S118" s="25"/>
      <c r="T118" s="53">
        <f>-T101-SUM(T103:T117)</f>
        <v>-1241</v>
      </c>
      <c r="U118" s="25"/>
      <c r="V118" s="5"/>
    </row>
    <row r="119" spans="1:22" ht="15.6" x14ac:dyDescent="0.3">
      <c r="A119" s="24"/>
      <c r="B119" s="118" t="s">
        <v>38</v>
      </c>
      <c r="C119" s="25"/>
      <c r="D119" s="25"/>
      <c r="E119" s="25"/>
      <c r="F119" s="25"/>
      <c r="G119" s="25"/>
      <c r="H119" s="25"/>
      <c r="I119" s="25"/>
      <c r="J119" s="25"/>
      <c r="K119" s="25"/>
      <c r="L119" s="25"/>
      <c r="M119" s="25"/>
      <c r="N119" s="25"/>
      <c r="O119" s="25"/>
      <c r="P119" s="25"/>
      <c r="Q119" s="25"/>
      <c r="R119" s="25"/>
      <c r="S119" s="25"/>
      <c r="T119" s="59"/>
      <c r="U119" s="25"/>
      <c r="V119" s="5"/>
    </row>
    <row r="120" spans="1:22" ht="15.6" x14ac:dyDescent="0.3">
      <c r="A120" s="24"/>
      <c r="B120" s="25" t="s">
        <v>180</v>
      </c>
      <c r="C120" s="25"/>
      <c r="D120" s="25"/>
      <c r="E120" s="25"/>
      <c r="F120" s="25"/>
      <c r="G120" s="25"/>
      <c r="H120" s="25"/>
      <c r="I120" s="25"/>
      <c r="J120" s="25"/>
      <c r="K120" s="25"/>
      <c r="L120" s="25"/>
      <c r="M120" s="25"/>
      <c r="N120" s="25"/>
      <c r="O120" s="25"/>
      <c r="P120" s="25"/>
      <c r="Q120" s="25"/>
      <c r="R120" s="34">
        <f>-R177</f>
        <v>-23</v>
      </c>
      <c r="S120" s="34"/>
      <c r="T120" s="53"/>
      <c r="U120" s="25"/>
      <c r="V120" s="5"/>
    </row>
    <row r="121" spans="1:22" ht="15.6" x14ac:dyDescent="0.3">
      <c r="A121" s="24"/>
      <c r="B121" s="25" t="s">
        <v>181</v>
      </c>
      <c r="C121" s="25"/>
      <c r="D121" s="25"/>
      <c r="E121" s="25"/>
      <c r="F121" s="25"/>
      <c r="G121" s="25"/>
      <c r="H121" s="25"/>
      <c r="I121" s="25"/>
      <c r="J121" s="25"/>
      <c r="K121" s="25"/>
      <c r="L121" s="25"/>
      <c r="M121" s="25"/>
      <c r="N121" s="25"/>
      <c r="O121" s="25"/>
      <c r="P121" s="25"/>
      <c r="Q121" s="25"/>
      <c r="R121" s="34">
        <v>-35</v>
      </c>
      <c r="S121" s="34"/>
      <c r="T121" s="53"/>
      <c r="U121" s="25"/>
      <c r="V121" s="5"/>
    </row>
    <row r="122" spans="1:22" ht="15.6" x14ac:dyDescent="0.3">
      <c r="A122" s="24"/>
      <c r="B122" s="25" t="s">
        <v>39</v>
      </c>
      <c r="C122" s="25"/>
      <c r="D122" s="25"/>
      <c r="E122" s="25"/>
      <c r="F122" s="25"/>
      <c r="G122" s="25"/>
      <c r="H122" s="25"/>
      <c r="I122" s="25"/>
      <c r="J122" s="25"/>
      <c r="K122" s="25"/>
      <c r="L122" s="25"/>
      <c r="M122" s="25"/>
      <c r="N122" s="25"/>
      <c r="O122" s="25"/>
      <c r="P122" s="25"/>
      <c r="Q122" s="25"/>
      <c r="R122" s="34">
        <f>-Q177</f>
        <v>-2428</v>
      </c>
      <c r="S122" s="34"/>
      <c r="T122" s="53"/>
      <c r="U122" s="25"/>
      <c r="V122" s="5"/>
    </row>
    <row r="123" spans="1:22" ht="15.6" x14ac:dyDescent="0.3">
      <c r="A123" s="24"/>
      <c r="B123" s="25" t="s">
        <v>205</v>
      </c>
      <c r="C123" s="25"/>
      <c r="D123" s="25"/>
      <c r="E123" s="25"/>
      <c r="F123" s="25"/>
      <c r="G123" s="25"/>
      <c r="H123" s="25"/>
      <c r="I123" s="25"/>
      <c r="J123" s="25"/>
      <c r="K123" s="25"/>
      <c r="L123" s="25"/>
      <c r="M123" s="25"/>
      <c r="N123" s="25"/>
      <c r="O123" s="25"/>
      <c r="P123" s="25"/>
      <c r="Q123" s="25"/>
      <c r="R123" s="34">
        <v>-37887</v>
      </c>
      <c r="S123" s="34"/>
      <c r="T123" s="53"/>
      <c r="U123" s="25"/>
      <c r="V123" s="5"/>
    </row>
    <row r="124" spans="1:22" ht="15.6" x14ac:dyDescent="0.3">
      <c r="A124" s="24"/>
      <c r="B124" s="25" t="s">
        <v>203</v>
      </c>
      <c r="C124" s="25"/>
      <c r="D124" s="25"/>
      <c r="E124" s="25"/>
      <c r="F124" s="25"/>
      <c r="G124" s="25"/>
      <c r="H124" s="25"/>
      <c r="I124" s="25"/>
      <c r="J124" s="25"/>
      <c r="K124" s="25"/>
      <c r="L124" s="25"/>
      <c r="M124" s="25"/>
      <c r="N124" s="25"/>
      <c r="O124" s="25"/>
      <c r="P124" s="25"/>
      <c r="Q124" s="25"/>
      <c r="R124" s="34">
        <v>-9984</v>
      </c>
      <c r="S124" s="34"/>
      <c r="T124" s="53"/>
      <c r="U124" s="25"/>
      <c r="V124" s="5"/>
    </row>
    <row r="125" spans="1:22" ht="15.6" x14ac:dyDescent="0.3">
      <c r="A125" s="24"/>
      <c r="B125" s="25" t="s">
        <v>202</v>
      </c>
      <c r="C125" s="25"/>
      <c r="D125" s="25"/>
      <c r="E125" s="25"/>
      <c r="F125" s="25"/>
      <c r="G125" s="25"/>
      <c r="H125" s="25"/>
      <c r="I125" s="25"/>
      <c r="J125" s="25"/>
      <c r="K125" s="25"/>
      <c r="L125" s="25"/>
      <c r="M125" s="25"/>
      <c r="N125" s="25"/>
      <c r="O125" s="25"/>
      <c r="P125" s="25"/>
      <c r="Q125" s="25"/>
      <c r="R125" s="34">
        <v>-10066</v>
      </c>
      <c r="S125" s="34"/>
      <c r="T125" s="53"/>
      <c r="U125" s="25"/>
      <c r="V125" s="5"/>
    </row>
    <row r="126" spans="1:22" ht="15.6" x14ac:dyDescent="0.3">
      <c r="A126" s="24"/>
      <c r="B126" s="25" t="s">
        <v>197</v>
      </c>
      <c r="C126" s="25"/>
      <c r="D126" s="25"/>
      <c r="E126" s="25"/>
      <c r="F126" s="25"/>
      <c r="G126" s="25"/>
      <c r="H126" s="25"/>
      <c r="I126" s="25"/>
      <c r="J126" s="25"/>
      <c r="K126" s="25"/>
      <c r="L126" s="25"/>
      <c r="M126" s="25"/>
      <c r="N126" s="25"/>
      <c r="O126" s="25"/>
      <c r="P126" s="25"/>
      <c r="Q126" s="25"/>
      <c r="R126" s="34">
        <v>0</v>
      </c>
      <c r="S126" s="34"/>
      <c r="T126" s="53"/>
      <c r="U126" s="25"/>
      <c r="V126" s="5"/>
    </row>
    <row r="127" spans="1:22" ht="15.6" x14ac:dyDescent="0.3">
      <c r="A127" s="24"/>
      <c r="B127" s="25" t="s">
        <v>196</v>
      </c>
      <c r="C127" s="25"/>
      <c r="D127" s="25"/>
      <c r="E127" s="25"/>
      <c r="F127" s="25"/>
      <c r="G127" s="25"/>
      <c r="H127" s="25"/>
      <c r="I127" s="25"/>
      <c r="J127" s="25"/>
      <c r="K127" s="25"/>
      <c r="L127" s="25"/>
      <c r="M127" s="25"/>
      <c r="N127" s="25"/>
      <c r="O127" s="25"/>
      <c r="P127" s="25"/>
      <c r="Q127" s="25"/>
      <c r="R127" s="34">
        <v>0</v>
      </c>
      <c r="S127" s="34"/>
      <c r="T127" s="53"/>
      <c r="U127" s="25"/>
      <c r="V127" s="5"/>
    </row>
    <row r="128" spans="1:22" ht="15.6" x14ac:dyDescent="0.3">
      <c r="A128" s="24"/>
      <c r="B128" s="25" t="s">
        <v>195</v>
      </c>
      <c r="C128" s="25"/>
      <c r="D128" s="25"/>
      <c r="E128" s="25"/>
      <c r="F128" s="25"/>
      <c r="G128" s="25"/>
      <c r="H128" s="25"/>
      <c r="I128" s="25"/>
      <c r="J128" s="25"/>
      <c r="K128" s="25"/>
      <c r="L128" s="25"/>
      <c r="M128" s="25"/>
      <c r="N128" s="25"/>
      <c r="O128" s="25"/>
      <c r="P128" s="25"/>
      <c r="Q128" s="25"/>
      <c r="R128" s="34">
        <v>0</v>
      </c>
      <c r="S128" s="34"/>
      <c r="T128" s="53"/>
      <c r="U128" s="25"/>
      <c r="V128" s="5"/>
    </row>
    <row r="129" spans="1:22" ht="15.6" x14ac:dyDescent="0.3">
      <c r="A129" s="24"/>
      <c r="B129" s="25" t="s">
        <v>40</v>
      </c>
      <c r="C129" s="25"/>
      <c r="D129" s="25"/>
      <c r="E129" s="25"/>
      <c r="F129" s="25"/>
      <c r="G129" s="25"/>
      <c r="H129" s="25"/>
      <c r="I129" s="25"/>
      <c r="J129" s="25"/>
      <c r="K129" s="25"/>
      <c r="L129" s="25"/>
      <c r="M129" s="25"/>
      <c r="N129" s="25"/>
      <c r="O129" s="25"/>
      <c r="P129" s="25"/>
      <c r="Q129" s="25"/>
      <c r="R129" s="34">
        <f>SUM(R120:R128)</f>
        <v>-60423</v>
      </c>
      <c r="S129" s="34"/>
      <c r="T129" s="34">
        <f>SUM(T102:T127)</f>
        <v>-12839</v>
      </c>
      <c r="U129" s="25"/>
      <c r="V129" s="5"/>
    </row>
    <row r="130" spans="1:22" ht="15.6" x14ac:dyDescent="0.3">
      <c r="A130" s="24"/>
      <c r="B130" s="25" t="s">
        <v>41</v>
      </c>
      <c r="C130" s="25"/>
      <c r="D130" s="25"/>
      <c r="E130" s="25"/>
      <c r="F130" s="25"/>
      <c r="G130" s="25"/>
      <c r="H130" s="25"/>
      <c r="I130" s="25"/>
      <c r="J130" s="25"/>
      <c r="K130" s="25"/>
      <c r="L130" s="25"/>
      <c r="M130" s="25"/>
      <c r="N130" s="25"/>
      <c r="O130" s="25"/>
      <c r="P130" s="25"/>
      <c r="Q130" s="25"/>
      <c r="R130" s="34">
        <f>R101+R129+R113</f>
        <v>0</v>
      </c>
      <c r="S130" s="34"/>
      <c r="T130" s="34">
        <f>T101+T129</f>
        <v>0</v>
      </c>
      <c r="U130" s="25"/>
      <c r="V130" s="5"/>
    </row>
    <row r="131" spans="1:22" ht="15.6" x14ac:dyDescent="0.3">
      <c r="A131" s="24"/>
      <c r="B131" s="25"/>
      <c r="C131" s="25"/>
      <c r="D131" s="25"/>
      <c r="E131" s="25"/>
      <c r="F131" s="25"/>
      <c r="G131" s="25"/>
      <c r="H131" s="25"/>
      <c r="I131" s="25"/>
      <c r="J131" s="25"/>
      <c r="K131" s="25"/>
      <c r="L131" s="25"/>
      <c r="M131" s="25"/>
      <c r="N131" s="25"/>
      <c r="O131" s="25"/>
      <c r="P131" s="25"/>
      <c r="Q131" s="25"/>
      <c r="R131" s="34"/>
      <c r="S131" s="34"/>
      <c r="T131" s="34"/>
      <c r="U131" s="25"/>
      <c r="V131" s="5"/>
    </row>
    <row r="132" spans="1:22" ht="15.6" x14ac:dyDescent="0.3">
      <c r="A132" s="6"/>
      <c r="B132" s="8"/>
      <c r="C132" s="8"/>
      <c r="D132" s="8"/>
      <c r="E132" s="8"/>
      <c r="F132" s="8"/>
      <c r="G132" s="8"/>
      <c r="H132" s="8"/>
      <c r="I132" s="8"/>
      <c r="J132" s="8"/>
      <c r="K132" s="8"/>
      <c r="L132" s="8"/>
      <c r="M132" s="8"/>
      <c r="N132" s="8"/>
      <c r="O132" s="8"/>
      <c r="P132" s="8"/>
      <c r="Q132" s="8"/>
      <c r="R132" s="8"/>
      <c r="S132" s="8"/>
      <c r="T132" s="52"/>
      <c r="U132" s="8"/>
      <c r="V132" s="5"/>
    </row>
    <row r="133" spans="1:22" ht="18" thickBot="1" x14ac:dyDescent="0.35">
      <c r="A133" s="101"/>
      <c r="B133" s="102" t="str">
        <f>B64</f>
        <v>PM11 INVESTOR REPORT QUARTER ENDING JUNE 2008</v>
      </c>
      <c r="C133" s="103"/>
      <c r="D133" s="103"/>
      <c r="E133" s="103"/>
      <c r="F133" s="103"/>
      <c r="G133" s="103"/>
      <c r="H133" s="103"/>
      <c r="I133" s="103"/>
      <c r="J133" s="103"/>
      <c r="K133" s="103"/>
      <c r="L133" s="103"/>
      <c r="M133" s="103"/>
      <c r="N133" s="103"/>
      <c r="O133" s="103"/>
      <c r="P133" s="103"/>
      <c r="Q133" s="103"/>
      <c r="R133" s="103"/>
      <c r="S133" s="103"/>
      <c r="T133" s="106"/>
      <c r="U133" s="105"/>
      <c r="V133" s="5"/>
    </row>
    <row r="134" spans="1:22" ht="15.6" x14ac:dyDescent="0.3">
      <c r="A134" s="2"/>
      <c r="B134" s="60" t="s">
        <v>42</v>
      </c>
      <c r="C134" s="4"/>
      <c r="D134" s="4"/>
      <c r="E134" s="4"/>
      <c r="F134" s="4"/>
      <c r="G134" s="4"/>
      <c r="H134" s="4"/>
      <c r="I134" s="4"/>
      <c r="J134" s="4"/>
      <c r="K134" s="4"/>
      <c r="L134" s="4"/>
      <c r="M134" s="4"/>
      <c r="N134" s="4"/>
      <c r="O134" s="4"/>
      <c r="P134" s="4"/>
      <c r="Q134" s="4"/>
      <c r="R134" s="4"/>
      <c r="S134" s="4"/>
      <c r="T134" s="50"/>
      <c r="U134" s="4"/>
      <c r="V134" s="5"/>
    </row>
    <row r="135" spans="1:22" ht="15.6" x14ac:dyDescent="0.3">
      <c r="A135" s="6"/>
      <c r="B135" s="21"/>
      <c r="C135" s="8"/>
      <c r="D135" s="8"/>
      <c r="E135" s="8"/>
      <c r="F135" s="8"/>
      <c r="G135" s="8"/>
      <c r="H135" s="8"/>
      <c r="I135" s="8"/>
      <c r="J135" s="8"/>
      <c r="K135" s="8"/>
      <c r="L135" s="8"/>
      <c r="M135" s="8"/>
      <c r="N135" s="8"/>
      <c r="O135" s="8"/>
      <c r="P135" s="8"/>
      <c r="Q135" s="8"/>
      <c r="R135" s="8"/>
      <c r="S135" s="8"/>
      <c r="T135" s="52"/>
      <c r="U135" s="8"/>
      <c r="V135" s="5"/>
    </row>
    <row r="136" spans="1:22" ht="15.6" x14ac:dyDescent="0.3">
      <c r="A136" s="6"/>
      <c r="B136" s="119" t="s">
        <v>43</v>
      </c>
      <c r="C136" s="8"/>
      <c r="D136" s="8"/>
      <c r="E136" s="8"/>
      <c r="F136" s="8"/>
      <c r="G136" s="8"/>
      <c r="H136" s="8"/>
      <c r="I136" s="8"/>
      <c r="J136" s="8"/>
      <c r="K136" s="8"/>
      <c r="L136" s="8"/>
      <c r="M136" s="8"/>
      <c r="N136" s="8"/>
      <c r="O136" s="8"/>
      <c r="P136" s="8"/>
      <c r="Q136" s="8"/>
      <c r="R136" s="8"/>
      <c r="S136" s="8"/>
      <c r="T136" s="52"/>
      <c r="U136" s="8"/>
      <c r="V136" s="5"/>
    </row>
    <row r="137" spans="1:22" ht="15.6" x14ac:dyDescent="0.3">
      <c r="A137" s="24"/>
      <c r="B137" s="25" t="s">
        <v>44</v>
      </c>
      <c r="C137" s="25"/>
      <c r="D137" s="25"/>
      <c r="E137" s="25"/>
      <c r="F137" s="25"/>
      <c r="G137" s="25"/>
      <c r="H137" s="25"/>
      <c r="I137" s="25"/>
      <c r="J137" s="25"/>
      <c r="K137" s="25"/>
      <c r="L137" s="25"/>
      <c r="M137" s="25"/>
      <c r="N137" s="25"/>
      <c r="O137" s="25"/>
      <c r="P137" s="25"/>
      <c r="Q137" s="25"/>
      <c r="R137" s="25"/>
      <c r="S137" s="25"/>
      <c r="T137" s="53">
        <f>+T34*0.019</f>
        <v>19000.95</v>
      </c>
      <c r="U137" s="25"/>
      <c r="V137" s="5"/>
    </row>
    <row r="138" spans="1:22" ht="15.6" x14ac:dyDescent="0.3">
      <c r="A138" s="24"/>
      <c r="B138" s="25" t="s">
        <v>45</v>
      </c>
      <c r="C138" s="25"/>
      <c r="D138" s="25"/>
      <c r="E138" s="25"/>
      <c r="F138" s="25"/>
      <c r="G138" s="25"/>
      <c r="H138" s="25"/>
      <c r="I138" s="25"/>
      <c r="J138" s="25"/>
      <c r="K138" s="25"/>
      <c r="L138" s="25"/>
      <c r="M138" s="25"/>
      <c r="N138" s="25"/>
      <c r="O138" s="25"/>
      <c r="P138" s="25"/>
      <c r="Q138" s="25"/>
      <c r="R138" s="25"/>
      <c r="S138" s="25"/>
      <c r="T138" s="53">
        <v>19001</v>
      </c>
      <c r="U138" s="25"/>
      <c r="V138" s="5"/>
    </row>
    <row r="139" spans="1:22" ht="15.6" x14ac:dyDescent="0.3">
      <c r="A139" s="24"/>
      <c r="B139" s="25" t="s">
        <v>142</v>
      </c>
      <c r="C139" s="25"/>
      <c r="D139" s="25"/>
      <c r="E139" s="25"/>
      <c r="F139" s="25"/>
      <c r="G139" s="25"/>
      <c r="H139" s="25"/>
      <c r="I139" s="25"/>
      <c r="J139" s="25"/>
      <c r="K139" s="25"/>
      <c r="L139" s="25"/>
      <c r="M139" s="25"/>
      <c r="N139" s="25"/>
      <c r="O139" s="25"/>
      <c r="P139" s="25"/>
      <c r="Q139" s="25"/>
      <c r="R139" s="25"/>
      <c r="S139" s="25"/>
      <c r="T139" s="53">
        <v>0</v>
      </c>
      <c r="U139" s="25"/>
      <c r="V139" s="5"/>
    </row>
    <row r="140" spans="1:22" ht="15.6" x14ac:dyDescent="0.3">
      <c r="A140" s="24"/>
      <c r="B140" s="25" t="s">
        <v>129</v>
      </c>
      <c r="C140" s="25"/>
      <c r="D140" s="25"/>
      <c r="E140" s="25"/>
      <c r="F140" s="25"/>
      <c r="G140" s="25"/>
      <c r="H140" s="25"/>
      <c r="I140" s="25"/>
      <c r="J140" s="25"/>
      <c r="K140" s="25"/>
      <c r="L140" s="25"/>
      <c r="M140" s="25"/>
      <c r="N140" s="25"/>
      <c r="O140" s="25"/>
      <c r="P140" s="25"/>
      <c r="Q140" s="25"/>
      <c r="R140" s="25"/>
      <c r="S140" s="25"/>
      <c r="T140" s="53">
        <v>0</v>
      </c>
      <c r="U140" s="25"/>
      <c r="V140" s="5"/>
    </row>
    <row r="141" spans="1:22" ht="15.6" x14ac:dyDescent="0.3">
      <c r="A141" s="24"/>
      <c r="B141" s="25" t="s">
        <v>130</v>
      </c>
      <c r="C141" s="25"/>
      <c r="D141" s="25"/>
      <c r="E141" s="25"/>
      <c r="F141" s="25"/>
      <c r="G141" s="25"/>
      <c r="H141" s="25"/>
      <c r="I141" s="25"/>
      <c r="J141" s="25"/>
      <c r="K141" s="25"/>
      <c r="L141" s="25"/>
      <c r="M141" s="25"/>
      <c r="N141" s="25"/>
      <c r="O141" s="25"/>
      <c r="P141" s="25"/>
      <c r="Q141" s="25"/>
      <c r="R141" s="25"/>
      <c r="S141" s="25"/>
      <c r="T141" s="53">
        <v>0</v>
      </c>
      <c r="U141" s="25"/>
      <c r="V141" s="5"/>
    </row>
    <row r="142" spans="1:22" ht="15.6" x14ac:dyDescent="0.3">
      <c r="A142" s="24"/>
      <c r="B142" s="25" t="s">
        <v>182</v>
      </c>
      <c r="C142" s="25"/>
      <c r="D142" s="25"/>
      <c r="E142" s="25"/>
      <c r="F142" s="25"/>
      <c r="G142" s="25"/>
      <c r="H142" s="25"/>
      <c r="I142" s="25"/>
      <c r="J142" s="25"/>
      <c r="K142" s="25"/>
      <c r="L142" s="25"/>
      <c r="M142" s="25"/>
      <c r="N142" s="25"/>
      <c r="O142" s="25"/>
      <c r="P142" s="25"/>
      <c r="Q142" s="25"/>
      <c r="R142" s="25"/>
      <c r="S142" s="25"/>
      <c r="T142" s="53">
        <v>0</v>
      </c>
      <c r="U142" s="25"/>
      <c r="V142" s="5"/>
    </row>
    <row r="143" spans="1:22" ht="15.6" x14ac:dyDescent="0.3">
      <c r="A143" s="24"/>
      <c r="B143" s="25" t="s">
        <v>46</v>
      </c>
      <c r="C143" s="25"/>
      <c r="D143" s="25"/>
      <c r="E143" s="25"/>
      <c r="F143" s="25"/>
      <c r="G143" s="25"/>
      <c r="H143" s="25"/>
      <c r="I143" s="25"/>
      <c r="J143" s="25"/>
      <c r="K143" s="25"/>
      <c r="L143" s="25"/>
      <c r="M143" s="25"/>
      <c r="N143" s="25"/>
      <c r="O143" s="25"/>
      <c r="P143" s="25"/>
      <c r="Q143" s="25"/>
      <c r="R143" s="25"/>
      <c r="S143" s="25"/>
      <c r="T143" s="53">
        <v>0</v>
      </c>
      <c r="U143" s="25"/>
      <c r="V143" s="5"/>
    </row>
    <row r="144" spans="1:22" ht="15.6" x14ac:dyDescent="0.3">
      <c r="A144" s="24"/>
      <c r="B144" s="25" t="s">
        <v>135</v>
      </c>
      <c r="C144" s="25"/>
      <c r="D144" s="25"/>
      <c r="E144" s="25"/>
      <c r="F144" s="25"/>
      <c r="G144" s="25"/>
      <c r="H144" s="25"/>
      <c r="I144" s="25"/>
      <c r="J144" s="25"/>
      <c r="K144" s="25"/>
      <c r="L144" s="25"/>
      <c r="M144" s="25"/>
      <c r="N144" s="25"/>
      <c r="O144" s="25"/>
      <c r="P144" s="25"/>
      <c r="Q144" s="25"/>
      <c r="R144" s="25"/>
      <c r="S144" s="25"/>
      <c r="T144" s="53">
        <v>0</v>
      </c>
      <c r="U144" s="25"/>
      <c r="V144" s="5"/>
    </row>
    <row r="145" spans="1:23" ht="15.6" x14ac:dyDescent="0.3">
      <c r="A145" s="24"/>
      <c r="B145" s="25" t="s">
        <v>251</v>
      </c>
      <c r="C145" s="25"/>
      <c r="D145" s="25"/>
      <c r="E145" s="25"/>
      <c r="F145" s="25"/>
      <c r="G145" s="25"/>
      <c r="H145" s="25"/>
      <c r="I145" s="25"/>
      <c r="J145" s="25"/>
      <c r="K145" s="25"/>
      <c r="L145" s="25"/>
      <c r="M145" s="25"/>
      <c r="N145" s="25"/>
      <c r="O145" s="25"/>
      <c r="P145" s="25"/>
      <c r="Q145" s="25"/>
      <c r="R145" s="25"/>
      <c r="S145" s="25"/>
      <c r="T145" s="53">
        <v>0</v>
      </c>
      <c r="U145" s="25"/>
      <c r="V145" s="5"/>
      <c r="W145" s="109"/>
    </row>
    <row r="146" spans="1:23" ht="15.6" x14ac:dyDescent="0.3">
      <c r="A146" s="24"/>
      <c r="B146" s="25" t="s">
        <v>47</v>
      </c>
      <c r="C146" s="25"/>
      <c r="D146" s="25"/>
      <c r="E146" s="25"/>
      <c r="F146" s="25"/>
      <c r="G146" s="25"/>
      <c r="H146" s="25"/>
      <c r="I146" s="25"/>
      <c r="J146" s="25"/>
      <c r="K146" s="25"/>
      <c r="L146" s="25"/>
      <c r="M146" s="25"/>
      <c r="N146" s="25"/>
      <c r="O146" s="25"/>
      <c r="P146" s="25"/>
      <c r="Q146" s="25"/>
      <c r="R146" s="25"/>
      <c r="S146" s="25"/>
      <c r="T146" s="53">
        <f>SUM(T138:T145)</f>
        <v>19001</v>
      </c>
      <c r="U146" s="25"/>
      <c r="V146" s="5"/>
    </row>
    <row r="147" spans="1:23" ht="15.6" x14ac:dyDescent="0.3">
      <c r="A147" s="24"/>
      <c r="B147" s="25"/>
      <c r="C147" s="25"/>
      <c r="D147" s="25"/>
      <c r="E147" s="25"/>
      <c r="F147" s="25"/>
      <c r="G147" s="25"/>
      <c r="H147" s="25"/>
      <c r="I147" s="25"/>
      <c r="J147" s="25"/>
      <c r="K147" s="25"/>
      <c r="L147" s="25"/>
      <c r="M147" s="25"/>
      <c r="N147" s="25"/>
      <c r="O147" s="25"/>
      <c r="P147" s="25"/>
      <c r="Q147" s="25"/>
      <c r="R147" s="25"/>
      <c r="S147" s="25"/>
      <c r="T147" s="53"/>
      <c r="U147" s="25"/>
      <c r="V147" s="5"/>
    </row>
    <row r="148" spans="1:23" ht="15.6" x14ac:dyDescent="0.3">
      <c r="A148" s="24"/>
      <c r="B148" s="138" t="s">
        <v>262</v>
      </c>
      <c r="C148" s="25"/>
      <c r="D148" s="25"/>
      <c r="E148" s="25"/>
      <c r="F148" s="25"/>
      <c r="G148" s="25"/>
      <c r="H148" s="25"/>
      <c r="I148" s="25"/>
      <c r="J148" s="25"/>
      <c r="K148" s="25"/>
      <c r="L148" s="25"/>
      <c r="M148" s="25"/>
      <c r="N148" s="25"/>
      <c r="O148" s="25"/>
      <c r="P148" s="25"/>
      <c r="Q148" s="25"/>
      <c r="R148" s="25"/>
      <c r="S148" s="25"/>
      <c r="T148" s="53"/>
      <c r="U148" s="25"/>
      <c r="V148" s="5"/>
    </row>
    <row r="149" spans="1:23" ht="15.6" x14ac:dyDescent="0.3">
      <c r="A149" s="24"/>
      <c r="B149" s="25" t="s">
        <v>263</v>
      </c>
      <c r="C149" s="25"/>
      <c r="D149" s="25"/>
      <c r="E149" s="25"/>
      <c r="F149" s="25"/>
      <c r="G149" s="25"/>
      <c r="H149" s="25"/>
      <c r="I149" s="25"/>
      <c r="J149" s="25"/>
      <c r="K149" s="25"/>
      <c r="L149" s="25"/>
      <c r="M149" s="25"/>
      <c r="N149" s="25"/>
      <c r="O149" s="25"/>
      <c r="P149" s="25"/>
      <c r="Q149" s="25"/>
      <c r="R149" s="25"/>
      <c r="S149" s="25"/>
      <c r="T149" s="53">
        <v>0</v>
      </c>
      <c r="U149" s="25"/>
      <c r="V149" s="5"/>
    </row>
    <row r="150" spans="1:23" ht="15.6" x14ac:dyDescent="0.3">
      <c r="A150" s="24"/>
      <c r="B150" s="25" t="s">
        <v>179</v>
      </c>
      <c r="C150" s="25"/>
      <c r="D150" s="25"/>
      <c r="E150" s="25"/>
      <c r="F150" s="25"/>
      <c r="G150" s="25"/>
      <c r="H150" s="25"/>
      <c r="I150" s="25"/>
      <c r="J150" s="25"/>
      <c r="K150" s="25"/>
      <c r="L150" s="25"/>
      <c r="M150" s="25"/>
      <c r="N150" s="25"/>
      <c r="O150" s="25"/>
      <c r="P150" s="25"/>
      <c r="Q150" s="25"/>
      <c r="R150" s="25"/>
      <c r="S150" s="25"/>
      <c r="T150" s="53">
        <v>0</v>
      </c>
      <c r="U150" s="25"/>
      <c r="V150" s="5"/>
    </row>
    <row r="151" spans="1:23" ht="15.6" x14ac:dyDescent="0.3">
      <c r="A151" s="24"/>
      <c r="B151" s="25" t="s">
        <v>264</v>
      </c>
      <c r="C151" s="25"/>
      <c r="D151" s="25"/>
      <c r="E151" s="25"/>
      <c r="F151" s="25"/>
      <c r="G151" s="25"/>
      <c r="H151" s="25"/>
      <c r="I151" s="25"/>
      <c r="J151" s="25"/>
      <c r="K151" s="25"/>
      <c r="L151" s="25"/>
      <c r="M151" s="25"/>
      <c r="N151" s="25"/>
      <c r="O151" s="25"/>
      <c r="P151" s="25"/>
      <c r="Q151" s="25"/>
      <c r="R151" s="25"/>
      <c r="S151" s="25"/>
      <c r="T151" s="53">
        <v>0</v>
      </c>
      <c r="U151" s="25"/>
      <c r="V151" s="5"/>
    </row>
    <row r="152" spans="1:23" ht="15.6" x14ac:dyDescent="0.3">
      <c r="A152" s="24"/>
      <c r="B152" s="25"/>
      <c r="C152" s="25"/>
      <c r="D152" s="25"/>
      <c r="E152" s="25"/>
      <c r="F152" s="25"/>
      <c r="G152" s="25"/>
      <c r="H152" s="25"/>
      <c r="I152" s="25"/>
      <c r="J152" s="25"/>
      <c r="K152" s="25"/>
      <c r="L152" s="25"/>
      <c r="M152" s="25"/>
      <c r="N152" s="25"/>
      <c r="O152" s="25"/>
      <c r="P152" s="25"/>
      <c r="Q152" s="25"/>
      <c r="R152" s="25"/>
      <c r="S152" s="25"/>
      <c r="T152" s="53"/>
      <c r="U152" s="25"/>
      <c r="V152" s="5"/>
    </row>
    <row r="153" spans="1:23" ht="15.6" x14ac:dyDescent="0.3">
      <c r="A153" s="24"/>
      <c r="B153" s="25"/>
      <c r="C153" s="25"/>
      <c r="D153" s="25"/>
      <c r="E153" s="25"/>
      <c r="F153" s="25"/>
      <c r="G153" s="25"/>
      <c r="H153" s="25"/>
      <c r="I153" s="25"/>
      <c r="J153" s="25"/>
      <c r="K153" s="25"/>
      <c r="L153" s="25"/>
      <c r="M153" s="25"/>
      <c r="N153" s="25"/>
      <c r="O153" s="25"/>
      <c r="P153" s="25"/>
      <c r="Q153" s="25"/>
      <c r="R153" s="25"/>
      <c r="S153" s="25"/>
      <c r="T153" s="61"/>
      <c r="U153" s="25"/>
      <c r="V153" s="5"/>
    </row>
    <row r="154" spans="1:23" ht="15.6" x14ac:dyDescent="0.3">
      <c r="A154" s="6"/>
      <c r="B154" s="119" t="s">
        <v>24</v>
      </c>
      <c r="C154" s="8"/>
      <c r="D154" s="8"/>
      <c r="E154" s="8"/>
      <c r="F154" s="8"/>
      <c r="G154" s="8"/>
      <c r="H154" s="8"/>
      <c r="I154" s="8"/>
      <c r="J154" s="8"/>
      <c r="K154" s="8"/>
      <c r="L154" s="8"/>
      <c r="M154" s="8"/>
      <c r="N154" s="8"/>
      <c r="O154" s="8"/>
      <c r="P154" s="8"/>
      <c r="Q154" s="8"/>
      <c r="R154" s="8"/>
      <c r="S154" s="8"/>
      <c r="T154" s="52"/>
      <c r="U154" s="8"/>
      <c r="V154" s="5"/>
    </row>
    <row r="155" spans="1:23" ht="15.6" x14ac:dyDescent="0.3">
      <c r="A155" s="24"/>
      <c r="B155" s="25" t="s">
        <v>48</v>
      </c>
      <c r="C155" s="25"/>
      <c r="D155" s="25"/>
      <c r="E155" s="25"/>
      <c r="F155" s="25"/>
      <c r="G155" s="25"/>
      <c r="H155" s="25"/>
      <c r="I155" s="25"/>
      <c r="J155" s="25"/>
      <c r="K155" s="25"/>
      <c r="L155" s="25"/>
      <c r="M155" s="25"/>
      <c r="N155" s="25"/>
      <c r="O155" s="25"/>
      <c r="P155" s="25"/>
      <c r="Q155" s="25"/>
      <c r="R155" s="25"/>
      <c r="S155" s="25"/>
      <c r="T155" s="59" t="s">
        <v>124</v>
      </c>
      <c r="U155" s="25"/>
      <c r="V155" s="5"/>
    </row>
    <row r="156" spans="1:23" ht="15.6" x14ac:dyDescent="0.3">
      <c r="A156" s="24"/>
      <c r="B156" s="25" t="s">
        <v>49</v>
      </c>
      <c r="C156" s="163"/>
      <c r="D156" s="163"/>
      <c r="E156" s="163"/>
      <c r="F156" s="163"/>
      <c r="G156" s="163"/>
      <c r="H156" s="163"/>
      <c r="I156" s="163"/>
      <c r="J156" s="163"/>
      <c r="K156" s="163"/>
      <c r="L156" s="163"/>
      <c r="M156" s="163"/>
      <c r="N156" s="163"/>
      <c r="O156" s="163"/>
      <c r="P156" s="163"/>
      <c r="Q156" s="163"/>
      <c r="R156" s="163"/>
      <c r="S156" s="163"/>
      <c r="T156" s="59" t="s">
        <v>124</v>
      </c>
      <c r="U156" s="25"/>
      <c r="V156" s="5"/>
    </row>
    <row r="157" spans="1:23" ht="15.6" x14ac:dyDescent="0.3">
      <c r="A157" s="24"/>
      <c r="B157" s="25" t="s">
        <v>50</v>
      </c>
      <c r="C157" s="25"/>
      <c r="D157" s="25"/>
      <c r="E157" s="25"/>
      <c r="F157" s="25"/>
      <c r="G157" s="25"/>
      <c r="H157" s="25"/>
      <c r="I157" s="25"/>
      <c r="J157" s="25"/>
      <c r="K157" s="25"/>
      <c r="L157" s="25"/>
      <c r="M157" s="25"/>
      <c r="N157" s="25"/>
      <c r="O157" s="25"/>
      <c r="P157" s="25"/>
      <c r="Q157" s="25"/>
      <c r="R157" s="25"/>
      <c r="S157" s="25"/>
      <c r="T157" s="59" t="s">
        <v>124</v>
      </c>
      <c r="U157" s="25"/>
      <c r="V157" s="5"/>
    </row>
    <row r="158" spans="1:23" ht="15.6" x14ac:dyDescent="0.3">
      <c r="A158" s="24"/>
      <c r="B158" s="25" t="s">
        <v>51</v>
      </c>
      <c r="C158" s="25"/>
      <c r="D158" s="25"/>
      <c r="E158" s="25"/>
      <c r="F158" s="25"/>
      <c r="G158" s="25"/>
      <c r="H158" s="25"/>
      <c r="I158" s="25"/>
      <c r="J158" s="25"/>
      <c r="K158" s="25"/>
      <c r="L158" s="25"/>
      <c r="M158" s="25"/>
      <c r="N158" s="25"/>
      <c r="O158" s="25"/>
      <c r="P158" s="25"/>
      <c r="Q158" s="25"/>
      <c r="R158" s="25"/>
      <c r="S158" s="25"/>
      <c r="T158" s="59" t="s">
        <v>124</v>
      </c>
      <c r="U158" s="25"/>
      <c r="V158" s="5"/>
    </row>
    <row r="159" spans="1:23" ht="15.6" x14ac:dyDescent="0.3">
      <c r="A159" s="24"/>
      <c r="B159" s="25"/>
      <c r="C159" s="25"/>
      <c r="D159" s="25"/>
      <c r="E159" s="25"/>
      <c r="F159" s="25"/>
      <c r="G159" s="25"/>
      <c r="H159" s="25"/>
      <c r="I159" s="25"/>
      <c r="J159" s="25"/>
      <c r="K159" s="25"/>
      <c r="L159" s="25"/>
      <c r="M159" s="25"/>
      <c r="N159" s="25"/>
      <c r="O159" s="25"/>
      <c r="P159" s="25"/>
      <c r="Q159" s="25"/>
      <c r="R159" s="25"/>
      <c r="S159" s="25"/>
      <c r="T159" s="61"/>
      <c r="U159" s="25"/>
      <c r="V159" s="5"/>
    </row>
    <row r="160" spans="1:23" ht="15.6" x14ac:dyDescent="0.3">
      <c r="A160" s="6"/>
      <c r="B160" s="119" t="s">
        <v>52</v>
      </c>
      <c r="C160" s="8"/>
      <c r="D160" s="8"/>
      <c r="E160" s="8"/>
      <c r="F160" s="8"/>
      <c r="G160" s="8"/>
      <c r="H160" s="8"/>
      <c r="I160" s="8"/>
      <c r="J160" s="8"/>
      <c r="K160" s="8"/>
      <c r="L160" s="8"/>
      <c r="M160" s="8"/>
      <c r="N160" s="8"/>
      <c r="O160" s="8"/>
      <c r="P160" s="8"/>
      <c r="Q160" s="8"/>
      <c r="R160" s="8"/>
      <c r="S160" s="8"/>
      <c r="T160" s="63"/>
      <c r="U160" s="8"/>
      <c r="V160" s="5"/>
    </row>
    <row r="161" spans="1:22" ht="15.6" x14ac:dyDescent="0.3">
      <c r="A161" s="24"/>
      <c r="B161" s="25" t="s">
        <v>53</v>
      </c>
      <c r="C161" s="25"/>
      <c r="D161" s="25"/>
      <c r="E161" s="25"/>
      <c r="F161" s="25"/>
      <c r="G161" s="25"/>
      <c r="H161" s="25"/>
      <c r="I161" s="25"/>
      <c r="J161" s="25"/>
      <c r="K161" s="25"/>
      <c r="L161" s="25"/>
      <c r="M161" s="25"/>
      <c r="N161" s="25"/>
      <c r="O161" s="25"/>
      <c r="P161" s="25"/>
      <c r="Q161" s="25"/>
      <c r="R161" s="25"/>
      <c r="S161" s="25"/>
      <c r="T161" s="53">
        <v>0</v>
      </c>
      <c r="U161" s="25"/>
      <c r="V161" s="5"/>
    </row>
    <row r="162" spans="1:22" ht="15.6" x14ac:dyDescent="0.3">
      <c r="A162" s="24"/>
      <c r="B162" s="25" t="s">
        <v>54</v>
      </c>
      <c r="C162" s="25"/>
      <c r="D162" s="25"/>
      <c r="E162" s="25"/>
      <c r="F162" s="25"/>
      <c r="G162" s="25"/>
      <c r="H162" s="25"/>
      <c r="I162" s="25"/>
      <c r="J162" s="25"/>
      <c r="K162" s="25"/>
      <c r="L162" s="25"/>
      <c r="M162" s="25"/>
      <c r="N162" s="25"/>
      <c r="O162" s="25"/>
      <c r="P162" s="25"/>
      <c r="Q162" s="25"/>
      <c r="R162" s="25"/>
      <c r="S162" s="25"/>
      <c r="T162" s="53">
        <f>R113</f>
        <v>46</v>
      </c>
      <c r="U162" s="25"/>
      <c r="V162" s="5"/>
    </row>
    <row r="163" spans="1:22" ht="15.6" x14ac:dyDescent="0.3">
      <c r="A163" s="24"/>
      <c r="B163" s="25" t="s">
        <v>55</v>
      </c>
      <c r="C163" s="25"/>
      <c r="D163" s="25"/>
      <c r="E163" s="25"/>
      <c r="F163" s="25"/>
      <c r="G163" s="25"/>
      <c r="H163" s="25"/>
      <c r="I163" s="25"/>
      <c r="J163" s="25"/>
      <c r="K163" s="25"/>
      <c r="L163" s="25"/>
      <c r="M163" s="25"/>
      <c r="N163" s="25"/>
      <c r="O163" s="25"/>
      <c r="P163" s="25"/>
      <c r="Q163" s="25"/>
      <c r="R163" s="25"/>
      <c r="S163" s="25"/>
      <c r="T163" s="53">
        <f>T162+T161</f>
        <v>46</v>
      </c>
      <c r="U163" s="25"/>
      <c r="V163" s="5"/>
    </row>
    <row r="164" spans="1:22" ht="15.6" x14ac:dyDescent="0.3">
      <c r="A164" s="24"/>
      <c r="B164" s="405" t="s">
        <v>301</v>
      </c>
      <c r="C164" s="25"/>
      <c r="D164" s="25"/>
      <c r="E164" s="25"/>
      <c r="F164" s="25"/>
      <c r="G164" s="25"/>
      <c r="H164" s="25"/>
      <c r="I164" s="25"/>
      <c r="J164" s="25"/>
      <c r="K164" s="25"/>
      <c r="L164" s="25"/>
      <c r="M164" s="25"/>
      <c r="N164" s="25"/>
      <c r="O164" s="25"/>
      <c r="P164" s="25"/>
      <c r="Q164" s="25"/>
      <c r="R164" s="25"/>
      <c r="S164" s="25"/>
      <c r="T164" s="53">
        <f>T113</f>
        <v>-46</v>
      </c>
      <c r="U164" s="25"/>
      <c r="V164" s="5"/>
    </row>
    <row r="165" spans="1:22" ht="15.6" x14ac:dyDescent="0.3">
      <c r="A165" s="24"/>
      <c r="B165" s="25" t="s">
        <v>56</v>
      </c>
      <c r="C165" s="25"/>
      <c r="D165" s="25"/>
      <c r="E165" s="25"/>
      <c r="F165" s="25"/>
      <c r="G165" s="25"/>
      <c r="H165" s="25"/>
      <c r="I165" s="25"/>
      <c r="J165" s="25"/>
      <c r="K165" s="25"/>
      <c r="L165" s="25"/>
      <c r="M165" s="25"/>
      <c r="N165" s="25"/>
      <c r="O165" s="25"/>
      <c r="P165" s="25"/>
      <c r="Q165" s="25"/>
      <c r="R165" s="25"/>
      <c r="S165" s="25"/>
      <c r="T165" s="53">
        <f>T163+T164</f>
        <v>0</v>
      </c>
      <c r="U165" s="25"/>
      <c r="V165" s="5"/>
    </row>
    <row r="166" spans="1:22" ht="16.2" thickBot="1" x14ac:dyDescent="0.35">
      <c r="A166" s="24"/>
      <c r="B166" s="25"/>
      <c r="C166" s="25"/>
      <c r="D166" s="25"/>
      <c r="E166" s="25"/>
      <c r="F166" s="25"/>
      <c r="G166" s="25"/>
      <c r="H166" s="25"/>
      <c r="I166" s="25"/>
      <c r="J166" s="25"/>
      <c r="K166" s="25"/>
      <c r="L166" s="25"/>
      <c r="M166" s="25"/>
      <c r="N166" s="25"/>
      <c r="O166" s="25"/>
      <c r="P166" s="25"/>
      <c r="Q166" s="25"/>
      <c r="R166" s="25"/>
      <c r="S166" s="25"/>
      <c r="T166" s="61"/>
      <c r="U166" s="25"/>
      <c r="V166" s="5"/>
    </row>
    <row r="167" spans="1:22" ht="15.6" x14ac:dyDescent="0.3">
      <c r="A167" s="2"/>
      <c r="B167" s="4"/>
      <c r="C167" s="4"/>
      <c r="D167" s="4"/>
      <c r="E167" s="4"/>
      <c r="F167" s="4"/>
      <c r="G167" s="4"/>
      <c r="H167" s="4"/>
      <c r="I167" s="4"/>
      <c r="J167" s="4"/>
      <c r="K167" s="4"/>
      <c r="L167" s="4"/>
      <c r="M167" s="4"/>
      <c r="N167" s="4"/>
      <c r="O167" s="4"/>
      <c r="P167" s="4"/>
      <c r="Q167" s="4"/>
      <c r="R167" s="4"/>
      <c r="S167" s="4"/>
      <c r="T167" s="50"/>
      <c r="U167" s="4"/>
      <c r="V167" s="5"/>
    </row>
    <row r="168" spans="1:22" ht="15.6" x14ac:dyDescent="0.3">
      <c r="A168" s="6"/>
      <c r="B168" s="119" t="s">
        <v>57</v>
      </c>
      <c r="C168" s="8"/>
      <c r="D168" s="8"/>
      <c r="E168" s="8"/>
      <c r="F168" s="8"/>
      <c r="G168" s="8"/>
      <c r="H168" s="8"/>
      <c r="I168" s="8"/>
      <c r="J168" s="8"/>
      <c r="K168" s="8"/>
      <c r="L168" s="8"/>
      <c r="M168" s="8"/>
      <c r="N168" s="8"/>
      <c r="O168" s="8"/>
      <c r="P168" s="8"/>
      <c r="Q168" s="8"/>
      <c r="R168" s="8"/>
      <c r="S168" s="8"/>
      <c r="T168" s="52"/>
      <c r="U168" s="8"/>
      <c r="V168" s="5"/>
    </row>
    <row r="169" spans="1:22" ht="15.6" x14ac:dyDescent="0.3">
      <c r="A169" s="6"/>
      <c r="B169" s="21"/>
      <c r="C169" s="8"/>
      <c r="D169" s="8"/>
      <c r="E169" s="8"/>
      <c r="F169" s="8"/>
      <c r="G169" s="8"/>
      <c r="H169" s="8"/>
      <c r="I169" s="8"/>
      <c r="J169" s="8"/>
      <c r="K169" s="8"/>
      <c r="L169" s="8"/>
      <c r="M169" s="8"/>
      <c r="N169" s="8"/>
      <c r="O169" s="8"/>
      <c r="P169" s="8"/>
      <c r="Q169" s="8"/>
      <c r="R169" s="8"/>
      <c r="S169" s="8"/>
      <c r="T169" s="52"/>
      <c r="U169" s="8"/>
      <c r="V169" s="5"/>
    </row>
    <row r="170" spans="1:22" ht="15.6" x14ac:dyDescent="0.3">
      <c r="A170" s="24"/>
      <c r="B170" s="25" t="s">
        <v>58</v>
      </c>
      <c r="C170" s="25"/>
      <c r="D170" s="25"/>
      <c r="E170" s="25"/>
      <c r="F170" s="25"/>
      <c r="G170" s="25"/>
      <c r="H170" s="25"/>
      <c r="I170" s="25"/>
      <c r="J170" s="25"/>
      <c r="K170" s="25"/>
      <c r="L170" s="25"/>
      <c r="M170" s="25"/>
      <c r="N170" s="25"/>
      <c r="O170" s="25"/>
      <c r="P170" s="25"/>
      <c r="Q170" s="25"/>
      <c r="R170" s="25"/>
      <c r="S170" s="25"/>
      <c r="T170" s="53">
        <f>T72</f>
        <v>659619</v>
      </c>
      <c r="U170" s="25"/>
      <c r="V170" s="5"/>
    </row>
    <row r="171" spans="1:22" ht="15.6" x14ac:dyDescent="0.3">
      <c r="A171" s="24"/>
      <c r="B171" s="25" t="s">
        <v>59</v>
      </c>
      <c r="C171" s="25"/>
      <c r="D171" s="25"/>
      <c r="E171" s="25"/>
      <c r="F171" s="25"/>
      <c r="G171" s="25"/>
      <c r="H171" s="25"/>
      <c r="I171" s="25"/>
      <c r="J171" s="25"/>
      <c r="K171" s="25"/>
      <c r="L171" s="25"/>
      <c r="M171" s="25"/>
      <c r="N171" s="25"/>
      <c r="O171" s="25"/>
      <c r="P171" s="25"/>
      <c r="Q171" s="25"/>
      <c r="R171" s="25"/>
      <c r="S171" s="25"/>
      <c r="T171" s="53">
        <f>T85</f>
        <v>659619</v>
      </c>
      <c r="U171" s="25"/>
      <c r="V171" s="5"/>
    </row>
    <row r="172" spans="1:22" ht="16.2" thickBot="1" x14ac:dyDescent="0.35">
      <c r="A172" s="24"/>
      <c r="B172" s="25"/>
      <c r="C172" s="25"/>
      <c r="D172" s="25"/>
      <c r="E172" s="25"/>
      <c r="F172" s="25"/>
      <c r="G172" s="25"/>
      <c r="H172" s="25"/>
      <c r="I172" s="25"/>
      <c r="J172" s="25"/>
      <c r="K172" s="25"/>
      <c r="L172" s="25"/>
      <c r="M172" s="25"/>
      <c r="N172" s="25"/>
      <c r="O172" s="25"/>
      <c r="P172" s="25"/>
      <c r="Q172" s="25"/>
      <c r="R172" s="25"/>
      <c r="S172" s="25"/>
      <c r="T172" s="61"/>
      <c r="U172" s="25"/>
      <c r="V172" s="5"/>
    </row>
    <row r="173" spans="1:22" ht="15.6" x14ac:dyDescent="0.3">
      <c r="A173" s="2"/>
      <c r="B173" s="4"/>
      <c r="C173" s="4"/>
      <c r="D173" s="4"/>
      <c r="E173" s="4"/>
      <c r="F173" s="4"/>
      <c r="G173" s="4"/>
      <c r="H173" s="4"/>
      <c r="I173" s="4"/>
      <c r="J173" s="4"/>
      <c r="K173" s="4"/>
      <c r="L173" s="4"/>
      <c r="M173" s="4"/>
      <c r="N173" s="4"/>
      <c r="O173" s="4"/>
      <c r="P173" s="4"/>
      <c r="Q173" s="4"/>
      <c r="R173" s="4"/>
      <c r="S173" s="4"/>
      <c r="T173" s="50"/>
      <c r="U173" s="4"/>
      <c r="V173" s="5"/>
    </row>
    <row r="174" spans="1:22" ht="15.6" x14ac:dyDescent="0.3">
      <c r="A174" s="6"/>
      <c r="B174" s="119" t="s">
        <v>60</v>
      </c>
      <c r="C174" s="117"/>
      <c r="D174" s="117"/>
      <c r="E174" s="117"/>
      <c r="F174" s="117"/>
      <c r="G174" s="117"/>
      <c r="H174" s="120"/>
      <c r="I174" s="120"/>
      <c r="J174" s="120"/>
      <c r="K174" s="120"/>
      <c r="L174" s="120"/>
      <c r="M174" s="120"/>
      <c r="N174" s="120"/>
      <c r="O174" s="120"/>
      <c r="P174" s="120"/>
      <c r="Q174" s="120" t="s">
        <v>104</v>
      </c>
      <c r="R174" s="120" t="s">
        <v>183</v>
      </c>
      <c r="S174" s="111"/>
      <c r="T174" s="121" t="s">
        <v>120</v>
      </c>
      <c r="U174" s="10"/>
      <c r="V174" s="5"/>
    </row>
    <row r="175" spans="1:22" ht="15.6" x14ac:dyDescent="0.3">
      <c r="A175" s="24"/>
      <c r="B175" s="25" t="s">
        <v>61</v>
      </c>
      <c r="C175" s="25"/>
      <c r="D175" s="25"/>
      <c r="E175" s="25"/>
      <c r="F175" s="25"/>
      <c r="G175" s="25"/>
      <c r="H175" s="25"/>
      <c r="I175" s="25"/>
      <c r="J175" s="25"/>
      <c r="K175" s="25"/>
      <c r="L175" s="25"/>
      <c r="M175" s="25"/>
      <c r="N175" s="25"/>
      <c r="O175" s="25"/>
      <c r="P175" s="25"/>
      <c r="Q175" s="53">
        <v>160008</v>
      </c>
      <c r="R175" s="40"/>
      <c r="S175" s="25"/>
      <c r="T175" s="53"/>
      <c r="U175" s="25"/>
      <c r="V175" s="5"/>
    </row>
    <row r="176" spans="1:22" ht="15.6" x14ac:dyDescent="0.3">
      <c r="A176" s="24"/>
      <c r="B176" s="25" t="s">
        <v>62</v>
      </c>
      <c r="C176" s="25"/>
      <c r="D176" s="25"/>
      <c r="E176" s="25"/>
      <c r="F176" s="25"/>
      <c r="G176" s="25"/>
      <c r="H176" s="25"/>
      <c r="I176" s="25"/>
      <c r="J176" s="25"/>
      <c r="K176" s="25"/>
      <c r="L176" s="25"/>
      <c r="M176" s="25"/>
      <c r="N176" s="25"/>
      <c r="O176" s="25"/>
      <c r="P176" s="25"/>
      <c r="Q176" s="53">
        <f>+'March 08'!Q178</f>
        <v>28012</v>
      </c>
      <c r="R176" s="53">
        <f>+'March 08'!R178</f>
        <v>3243</v>
      </c>
      <c r="S176" s="25"/>
      <c r="T176" s="53">
        <f>Q176+R176</f>
        <v>31255</v>
      </c>
      <c r="U176" s="25"/>
      <c r="V176" s="5"/>
    </row>
    <row r="177" spans="1:22" ht="15.6" x14ac:dyDescent="0.3">
      <c r="A177" s="24"/>
      <c r="B177" s="25" t="s">
        <v>63</v>
      </c>
      <c r="C177" s="25"/>
      <c r="D177" s="25"/>
      <c r="E177" s="25"/>
      <c r="F177" s="25"/>
      <c r="G177" s="25"/>
      <c r="H177" s="25"/>
      <c r="I177" s="25"/>
      <c r="J177" s="25"/>
      <c r="K177" s="25"/>
      <c r="L177" s="25"/>
      <c r="M177" s="25"/>
      <c r="N177" s="25"/>
      <c r="O177" s="25"/>
      <c r="P177" s="25"/>
      <c r="Q177" s="34">
        <v>2428</v>
      </c>
      <c r="R177" s="34">
        <v>23</v>
      </c>
      <c r="S177" s="25"/>
      <c r="T177" s="53">
        <f>Q177+R177</f>
        <v>2451</v>
      </c>
      <c r="U177" s="25"/>
      <c r="V177" s="5"/>
    </row>
    <row r="178" spans="1:22" ht="15.6" x14ac:dyDescent="0.3">
      <c r="A178" s="24"/>
      <c r="B178" s="25" t="s">
        <v>64</v>
      </c>
      <c r="C178" s="25"/>
      <c r="D178" s="25"/>
      <c r="E178" s="25"/>
      <c r="F178" s="25"/>
      <c r="G178" s="25"/>
      <c r="H178" s="25"/>
      <c r="I178" s="25"/>
      <c r="J178" s="25"/>
      <c r="K178" s="25"/>
      <c r="L178" s="25"/>
      <c r="M178" s="25"/>
      <c r="N178" s="25"/>
      <c r="O178" s="25"/>
      <c r="P178" s="25"/>
      <c r="Q178" s="53">
        <f>Q176+Q177</f>
        <v>30440</v>
      </c>
      <c r="R178" s="53">
        <f>R177+R176</f>
        <v>3266</v>
      </c>
      <c r="S178" s="25"/>
      <c r="T178" s="53">
        <f>Q178+R178</f>
        <v>33706</v>
      </c>
      <c r="U178" s="25"/>
      <c r="V178" s="5"/>
    </row>
    <row r="179" spans="1:22" ht="15.6" x14ac:dyDescent="0.3">
      <c r="A179" s="24"/>
      <c r="B179" s="25" t="s">
        <v>65</v>
      </c>
      <c r="C179" s="25"/>
      <c r="D179" s="25"/>
      <c r="E179" s="25"/>
      <c r="F179" s="25"/>
      <c r="G179" s="25"/>
      <c r="H179" s="25"/>
      <c r="I179" s="25"/>
      <c r="J179" s="25"/>
      <c r="K179" s="25"/>
      <c r="L179" s="25"/>
      <c r="M179" s="25"/>
      <c r="N179" s="25"/>
      <c r="O179" s="25"/>
      <c r="P179" s="25"/>
      <c r="Q179" s="53">
        <f>Q175-Q178-R178</f>
        <v>126302</v>
      </c>
      <c r="R179" s="40"/>
      <c r="S179" s="25"/>
      <c r="T179" s="53"/>
      <c r="U179" s="25"/>
      <c r="V179" s="5"/>
    </row>
    <row r="180" spans="1:22" ht="16.2" thickBot="1" x14ac:dyDescent="0.35">
      <c r="A180" s="24"/>
      <c r="B180" s="25"/>
      <c r="C180" s="25"/>
      <c r="D180" s="25"/>
      <c r="E180" s="25"/>
      <c r="F180" s="25"/>
      <c r="G180" s="25"/>
      <c r="H180" s="25"/>
      <c r="I180" s="25"/>
      <c r="J180" s="25"/>
      <c r="K180" s="25"/>
      <c r="L180" s="25"/>
      <c r="M180" s="25"/>
      <c r="N180" s="25"/>
      <c r="O180" s="25"/>
      <c r="P180" s="25"/>
      <c r="Q180" s="25"/>
      <c r="R180" s="25"/>
      <c r="S180" s="25"/>
      <c r="T180" s="61"/>
      <c r="U180" s="25"/>
      <c r="V180" s="5"/>
    </row>
    <row r="181" spans="1:22" ht="15.6" x14ac:dyDescent="0.3">
      <c r="A181" s="2"/>
      <c r="B181" s="4"/>
      <c r="C181" s="4"/>
      <c r="D181" s="4"/>
      <c r="E181" s="4"/>
      <c r="F181" s="4"/>
      <c r="G181" s="4"/>
      <c r="H181" s="4"/>
      <c r="I181" s="4"/>
      <c r="J181" s="4"/>
      <c r="K181" s="4"/>
      <c r="L181" s="4"/>
      <c r="M181" s="4"/>
      <c r="N181" s="4"/>
      <c r="O181" s="4"/>
      <c r="P181" s="4"/>
      <c r="Q181" s="4"/>
      <c r="R181" s="4"/>
      <c r="S181" s="4"/>
      <c r="T181" s="50"/>
      <c r="U181" s="4"/>
      <c r="V181" s="5"/>
    </row>
    <row r="182" spans="1:22" ht="15.6" x14ac:dyDescent="0.3">
      <c r="A182" s="6"/>
      <c r="B182" s="119" t="s">
        <v>66</v>
      </c>
      <c r="C182" s="8"/>
      <c r="D182" s="8"/>
      <c r="E182" s="8"/>
      <c r="F182" s="8"/>
      <c r="G182" s="8"/>
      <c r="H182" s="8"/>
      <c r="I182" s="8"/>
      <c r="J182" s="8"/>
      <c r="K182" s="8"/>
      <c r="L182" s="8"/>
      <c r="M182" s="8"/>
      <c r="N182" s="8"/>
      <c r="O182" s="8"/>
      <c r="P182" s="8"/>
      <c r="Q182" s="8"/>
      <c r="R182" s="8"/>
      <c r="S182" s="8"/>
      <c r="T182" s="65"/>
      <c r="U182" s="8"/>
      <c r="V182" s="5"/>
    </row>
    <row r="183" spans="1:22" ht="15.6" x14ac:dyDescent="0.3">
      <c r="A183" s="24"/>
      <c r="B183" s="25" t="s">
        <v>67</v>
      </c>
      <c r="C183" s="25"/>
      <c r="D183" s="25"/>
      <c r="E183" s="25"/>
      <c r="F183" s="25"/>
      <c r="G183" s="25"/>
      <c r="H183" s="25"/>
      <c r="I183" s="25"/>
      <c r="J183" s="25"/>
      <c r="K183" s="25"/>
      <c r="L183" s="25"/>
      <c r="M183" s="25"/>
      <c r="N183" s="25"/>
      <c r="O183" s="25"/>
      <c r="P183" s="25"/>
      <c r="Q183" s="25"/>
      <c r="R183" s="25"/>
      <c r="S183" s="25"/>
      <c r="T183" s="59">
        <f>(T101+T103+T104+T105+T106)/-(T107+T108)</f>
        <v>1.4128710627690912</v>
      </c>
      <c r="U183" s="25" t="s">
        <v>121</v>
      </c>
      <c r="V183" s="5"/>
    </row>
    <row r="184" spans="1:22" ht="15.6" x14ac:dyDescent="0.3">
      <c r="A184" s="24"/>
      <c r="B184" s="25" t="s">
        <v>68</v>
      </c>
      <c r="C184" s="25"/>
      <c r="D184" s="25"/>
      <c r="E184" s="25"/>
      <c r="F184" s="25"/>
      <c r="G184" s="25"/>
      <c r="H184" s="25"/>
      <c r="I184" s="25"/>
      <c r="J184" s="25"/>
      <c r="K184" s="25"/>
      <c r="L184" s="25"/>
      <c r="M184" s="25"/>
      <c r="N184" s="25"/>
      <c r="O184" s="25"/>
      <c r="P184" s="25"/>
      <c r="Q184" s="25"/>
      <c r="R184" s="25"/>
      <c r="S184" s="25"/>
      <c r="T184" s="66">
        <v>1.43</v>
      </c>
      <c r="U184" s="25" t="s">
        <v>121</v>
      </c>
      <c r="V184" s="5"/>
    </row>
    <row r="185" spans="1:22" ht="15.6" x14ac:dyDescent="0.3">
      <c r="A185" s="24"/>
      <c r="B185" s="25" t="s">
        <v>69</v>
      </c>
      <c r="C185" s="25"/>
      <c r="D185" s="25"/>
      <c r="E185" s="25"/>
      <c r="F185" s="25"/>
      <c r="G185" s="25"/>
      <c r="H185" s="25"/>
      <c r="I185" s="25"/>
      <c r="J185" s="25"/>
      <c r="K185" s="25"/>
      <c r="L185" s="25"/>
      <c r="M185" s="25"/>
      <c r="N185" s="25"/>
      <c r="O185" s="25"/>
      <c r="P185" s="25"/>
      <c r="Q185" s="25"/>
      <c r="R185" s="25"/>
      <c r="S185" s="25"/>
      <c r="T185" s="59">
        <f>(T101+T103+T104+T105+T106+T107+T108)/-(T109+T110)</f>
        <v>3.2593917710196778</v>
      </c>
      <c r="U185" s="25" t="s">
        <v>121</v>
      </c>
      <c r="V185" s="5"/>
    </row>
    <row r="186" spans="1:22" ht="15.6" x14ac:dyDescent="0.3">
      <c r="A186" s="24"/>
      <c r="B186" s="25" t="s">
        <v>70</v>
      </c>
      <c r="C186" s="25"/>
      <c r="D186" s="25"/>
      <c r="E186" s="25"/>
      <c r="F186" s="25"/>
      <c r="G186" s="25"/>
      <c r="H186" s="25"/>
      <c r="I186" s="25"/>
      <c r="J186" s="25"/>
      <c r="K186" s="25"/>
      <c r="L186" s="25"/>
      <c r="M186" s="25"/>
      <c r="N186" s="25"/>
      <c r="O186" s="25"/>
      <c r="P186" s="25"/>
      <c r="Q186" s="25"/>
      <c r="R186" s="25"/>
      <c r="S186" s="25"/>
      <c r="T186" s="66">
        <v>4.45</v>
      </c>
      <c r="U186" s="25" t="s">
        <v>121</v>
      </c>
      <c r="V186" s="5"/>
    </row>
    <row r="187" spans="1:22" ht="15.6" x14ac:dyDescent="0.3">
      <c r="A187" s="24"/>
      <c r="B187" s="25" t="s">
        <v>206</v>
      </c>
      <c r="C187" s="25"/>
      <c r="D187" s="25"/>
      <c r="E187" s="25"/>
      <c r="F187" s="25"/>
      <c r="G187" s="25"/>
      <c r="H187" s="25"/>
      <c r="I187" s="25"/>
      <c r="J187" s="25"/>
      <c r="K187" s="25"/>
      <c r="L187" s="25"/>
      <c r="M187" s="25"/>
      <c r="N187" s="25"/>
      <c r="O187" s="25"/>
      <c r="P187" s="25"/>
      <c r="Q187" s="25"/>
      <c r="R187" s="25"/>
      <c r="S187" s="25"/>
      <c r="T187" s="59">
        <f>(T101+T103+T104+T105+T106+T107+T108+T109+T110)/-(T111)</f>
        <v>2.6285119667013528</v>
      </c>
      <c r="U187" s="25" t="s">
        <v>121</v>
      </c>
      <c r="V187" s="5"/>
    </row>
    <row r="188" spans="1:22" ht="15.6" x14ac:dyDescent="0.3">
      <c r="A188" s="24"/>
      <c r="B188" s="25" t="s">
        <v>207</v>
      </c>
      <c r="C188" s="25"/>
      <c r="D188" s="25"/>
      <c r="E188" s="25"/>
      <c r="F188" s="25"/>
      <c r="G188" s="25"/>
      <c r="H188" s="25"/>
      <c r="I188" s="25"/>
      <c r="J188" s="25"/>
      <c r="K188" s="25"/>
      <c r="L188" s="25"/>
      <c r="M188" s="25"/>
      <c r="N188" s="25"/>
      <c r="O188" s="25"/>
      <c r="P188" s="25"/>
      <c r="Q188" s="25"/>
      <c r="R188" s="25"/>
      <c r="S188" s="25"/>
      <c r="T188" s="66">
        <v>4.01</v>
      </c>
      <c r="U188" s="25" t="s">
        <v>121</v>
      </c>
      <c r="V188" s="5"/>
    </row>
    <row r="189" spans="1:22" ht="15.6" x14ac:dyDescent="0.3">
      <c r="A189" s="24"/>
      <c r="B189" s="25"/>
      <c r="C189" s="25"/>
      <c r="D189" s="25"/>
      <c r="E189" s="25"/>
      <c r="F189" s="25"/>
      <c r="G189" s="25"/>
      <c r="H189" s="25"/>
      <c r="I189" s="25"/>
      <c r="J189" s="25"/>
      <c r="K189" s="25"/>
      <c r="L189" s="25"/>
      <c r="M189" s="25"/>
      <c r="N189" s="25"/>
      <c r="O189" s="25"/>
      <c r="P189" s="25"/>
      <c r="Q189" s="25"/>
      <c r="R189" s="25"/>
      <c r="S189" s="25"/>
      <c r="T189" s="25"/>
      <c r="U189" s="25"/>
      <c r="V189" s="5"/>
    </row>
    <row r="190" spans="1:22" ht="15.6" x14ac:dyDescent="0.3">
      <c r="A190" s="24"/>
      <c r="B190" s="25"/>
      <c r="C190" s="25"/>
      <c r="D190" s="25"/>
      <c r="E190" s="25"/>
      <c r="F190" s="25"/>
      <c r="G190" s="25"/>
      <c r="H190" s="25"/>
      <c r="I190" s="25"/>
      <c r="J190" s="25"/>
      <c r="K190" s="25"/>
      <c r="L190" s="25"/>
      <c r="M190" s="25"/>
      <c r="N190" s="25"/>
      <c r="O190" s="25"/>
      <c r="P190" s="25"/>
      <c r="Q190" s="25"/>
      <c r="R190" s="25"/>
      <c r="S190" s="25"/>
      <c r="T190" s="25"/>
      <c r="U190" s="25"/>
      <c r="V190" s="5"/>
    </row>
    <row r="191" spans="1:22" ht="15.6" x14ac:dyDescent="0.3">
      <c r="A191" s="6"/>
      <c r="B191" s="8"/>
      <c r="C191" s="8"/>
      <c r="D191" s="8"/>
      <c r="E191" s="8"/>
      <c r="F191" s="8"/>
      <c r="G191" s="8"/>
      <c r="H191" s="8"/>
      <c r="I191" s="8"/>
      <c r="J191" s="8"/>
      <c r="K191" s="8"/>
      <c r="L191" s="8"/>
      <c r="M191" s="8"/>
      <c r="N191" s="8"/>
      <c r="O191" s="8"/>
      <c r="P191" s="8"/>
      <c r="Q191" s="8"/>
      <c r="R191" s="8"/>
      <c r="S191" s="8"/>
      <c r="T191" s="8"/>
      <c r="U191" s="8"/>
      <c r="V191" s="5"/>
    </row>
    <row r="192" spans="1:22" ht="18" thickBot="1" x14ac:dyDescent="0.35">
      <c r="A192" s="101"/>
      <c r="B192" s="102" t="str">
        <f>B133</f>
        <v>PM11 INVESTOR REPORT QUARTER ENDING JUNE 2008</v>
      </c>
      <c r="C192" s="165"/>
      <c r="D192" s="165"/>
      <c r="E192" s="165"/>
      <c r="F192" s="165"/>
      <c r="G192" s="165"/>
      <c r="H192" s="165"/>
      <c r="I192" s="165"/>
      <c r="J192" s="165"/>
      <c r="K192" s="165"/>
      <c r="L192" s="165"/>
      <c r="M192" s="165"/>
      <c r="N192" s="165"/>
      <c r="O192" s="165"/>
      <c r="P192" s="165"/>
      <c r="Q192" s="165"/>
      <c r="R192" s="165"/>
      <c r="S192" s="165"/>
      <c r="T192" s="165"/>
      <c r="U192" s="166"/>
      <c r="V192" s="5"/>
    </row>
    <row r="193" spans="1:22" ht="15.6" x14ac:dyDescent="0.3">
      <c r="A193" s="67"/>
      <c r="B193" s="60" t="s">
        <v>71</v>
      </c>
      <c r="C193" s="68"/>
      <c r="D193" s="68"/>
      <c r="E193" s="68"/>
      <c r="F193" s="68"/>
      <c r="G193" s="69"/>
      <c r="H193" s="69"/>
      <c r="I193" s="69"/>
      <c r="J193" s="69"/>
      <c r="K193" s="69"/>
      <c r="L193" s="69"/>
      <c r="M193" s="69"/>
      <c r="N193" s="69"/>
      <c r="O193" s="69"/>
      <c r="P193" s="69"/>
      <c r="Q193" s="69"/>
      <c r="R193" s="70">
        <v>39629</v>
      </c>
      <c r="S193" s="4"/>
      <c r="T193" s="4"/>
      <c r="U193" s="4"/>
      <c r="V193" s="5"/>
    </row>
    <row r="194" spans="1:22" ht="15.6" x14ac:dyDescent="0.3">
      <c r="A194" s="71"/>
      <c r="B194" s="72"/>
      <c r="C194" s="73"/>
      <c r="D194" s="73"/>
      <c r="E194" s="73"/>
      <c r="F194" s="73"/>
      <c r="G194" s="74"/>
      <c r="H194" s="74"/>
      <c r="I194" s="74"/>
      <c r="J194" s="74"/>
      <c r="K194" s="74"/>
      <c r="L194" s="74"/>
      <c r="M194" s="74"/>
      <c r="N194" s="74"/>
      <c r="O194" s="74"/>
      <c r="P194" s="74"/>
      <c r="Q194" s="74"/>
      <c r="R194" s="74"/>
      <c r="S194" s="8"/>
      <c r="T194" s="8"/>
      <c r="U194" s="8"/>
      <c r="V194" s="5"/>
    </row>
    <row r="195" spans="1:22" ht="15.6" x14ac:dyDescent="0.3">
      <c r="A195" s="75"/>
      <c r="B195" s="76" t="s">
        <v>72</v>
      </c>
      <c r="C195" s="77"/>
      <c r="D195" s="77"/>
      <c r="E195" s="77"/>
      <c r="F195" s="77"/>
      <c r="G195" s="64"/>
      <c r="H195" s="64"/>
      <c r="I195" s="64"/>
      <c r="J195" s="64"/>
      <c r="K195" s="64"/>
      <c r="L195" s="64"/>
      <c r="M195" s="64"/>
      <c r="N195" s="64"/>
      <c r="O195" s="64"/>
      <c r="P195" s="64"/>
      <c r="Q195" s="64"/>
      <c r="R195" s="78">
        <v>5.1569999999999998E-2</v>
      </c>
      <c r="S195" s="25"/>
      <c r="T195" s="25"/>
      <c r="U195" s="25"/>
      <c r="V195" s="5"/>
    </row>
    <row r="196" spans="1:22" ht="15.6" x14ac:dyDescent="0.3">
      <c r="A196" s="75"/>
      <c r="B196" s="76" t="s">
        <v>157</v>
      </c>
      <c r="C196" s="77"/>
      <c r="D196" s="77"/>
      <c r="E196" s="77"/>
      <c r="F196" s="77"/>
      <c r="G196" s="64"/>
      <c r="H196" s="64"/>
      <c r="I196" s="64"/>
      <c r="J196" s="64"/>
      <c r="K196" s="64"/>
      <c r="L196" s="64"/>
      <c r="M196" s="64"/>
      <c r="N196" s="64"/>
      <c r="O196" s="64"/>
      <c r="P196" s="64"/>
      <c r="Q196" s="64"/>
      <c r="R196" s="39">
        <v>4.6899999999999997E-2</v>
      </c>
      <c r="S196" s="25"/>
      <c r="T196" s="25"/>
      <c r="U196" s="25"/>
      <c r="V196" s="5"/>
    </row>
    <row r="197" spans="1:22" ht="15.6" x14ac:dyDescent="0.3">
      <c r="A197" s="75"/>
      <c r="B197" s="76" t="s">
        <v>73</v>
      </c>
      <c r="C197" s="77"/>
      <c r="D197" s="77"/>
      <c r="E197" s="77"/>
      <c r="F197" s="77"/>
      <c r="G197" s="64"/>
      <c r="H197" s="64"/>
      <c r="I197" s="64"/>
      <c r="J197" s="64"/>
      <c r="K197" s="64"/>
      <c r="L197" s="64"/>
      <c r="M197" s="64"/>
      <c r="N197" s="64"/>
      <c r="O197" s="64"/>
      <c r="P197" s="64"/>
      <c r="Q197" s="64"/>
      <c r="R197" s="78">
        <f>R195-R196</f>
        <v>4.6700000000000005E-3</v>
      </c>
      <c r="S197" s="25"/>
      <c r="T197" s="25"/>
      <c r="U197" s="25"/>
      <c r="V197" s="5"/>
    </row>
    <row r="198" spans="1:22" ht="15.6" x14ac:dyDescent="0.3">
      <c r="A198" s="75"/>
      <c r="B198" s="76" t="s">
        <v>74</v>
      </c>
      <c r="C198" s="77"/>
      <c r="D198" s="77"/>
      <c r="E198" s="77"/>
      <c r="F198" s="77"/>
      <c r="G198" s="64"/>
      <c r="H198" s="64"/>
      <c r="I198" s="64"/>
      <c r="J198" s="64"/>
      <c r="K198" s="64"/>
      <c r="L198" s="64"/>
      <c r="M198" s="64"/>
      <c r="N198" s="64"/>
      <c r="O198" s="64"/>
      <c r="P198" s="64"/>
      <c r="Q198" s="64"/>
      <c r="R198" s="78">
        <v>5.7860000000000002E-2</v>
      </c>
      <c r="S198" s="25"/>
      <c r="T198" s="25"/>
      <c r="U198" s="25"/>
      <c r="V198" s="5"/>
    </row>
    <row r="199" spans="1:22" ht="15.6" x14ac:dyDescent="0.3">
      <c r="A199" s="75"/>
      <c r="B199" s="76" t="s">
        <v>257</v>
      </c>
      <c r="C199" s="77"/>
      <c r="D199" s="77"/>
      <c r="E199" s="77"/>
      <c r="F199" s="77"/>
      <c r="G199" s="64"/>
      <c r="H199" s="64"/>
      <c r="I199" s="64"/>
      <c r="J199" s="64"/>
      <c r="K199" s="64"/>
      <c r="L199" s="64"/>
      <c r="M199" s="64"/>
      <c r="N199" s="64"/>
      <c r="O199" s="64"/>
      <c r="P199" s="64"/>
      <c r="Q199" s="64"/>
      <c r="R199" s="78">
        <f>T43</f>
        <v>6.0956005084580642E-2</v>
      </c>
      <c r="S199" s="25"/>
      <c r="T199" s="25"/>
      <c r="U199" s="25"/>
      <c r="V199" s="5"/>
    </row>
    <row r="200" spans="1:22" ht="15.6" x14ac:dyDescent="0.3">
      <c r="A200" s="75"/>
      <c r="B200" s="76" t="s">
        <v>75</v>
      </c>
      <c r="C200" s="77"/>
      <c r="D200" s="77"/>
      <c r="E200" s="77"/>
      <c r="F200" s="77"/>
      <c r="G200" s="64"/>
      <c r="H200" s="64"/>
      <c r="I200" s="64"/>
      <c r="J200" s="64"/>
      <c r="K200" s="64"/>
      <c r="L200" s="64"/>
      <c r="M200" s="64"/>
      <c r="N200" s="64"/>
      <c r="O200" s="64"/>
      <c r="P200" s="64"/>
      <c r="Q200" s="64"/>
      <c r="R200" s="78">
        <f>R198-R199</f>
        <v>-3.09600508458064E-3</v>
      </c>
      <c r="S200" s="25"/>
      <c r="T200" s="25"/>
      <c r="U200" s="25"/>
      <c r="V200" s="5"/>
    </row>
    <row r="201" spans="1:22" ht="15.6" x14ac:dyDescent="0.3">
      <c r="A201" s="75"/>
      <c r="B201" s="76" t="s">
        <v>260</v>
      </c>
      <c r="C201" s="77"/>
      <c r="D201" s="77"/>
      <c r="E201" s="77"/>
      <c r="F201" s="77"/>
      <c r="G201" s="64"/>
      <c r="H201" s="64"/>
      <c r="I201" s="64"/>
      <c r="J201" s="64"/>
      <c r="K201" s="64"/>
      <c r="L201" s="64"/>
      <c r="M201" s="64"/>
      <c r="N201" s="64"/>
      <c r="O201" s="64"/>
      <c r="P201" s="64"/>
      <c r="Q201" s="64"/>
      <c r="R201" s="78">
        <f>+T101/L72</f>
        <v>1.7892680153186652E-2</v>
      </c>
      <c r="S201" s="25"/>
      <c r="T201" s="25"/>
      <c r="U201" s="25"/>
      <c r="V201" s="5"/>
    </row>
    <row r="202" spans="1:22" ht="15.6" x14ac:dyDescent="0.3">
      <c r="A202" s="75"/>
      <c r="B202" s="76" t="s">
        <v>217</v>
      </c>
      <c r="C202" s="77"/>
      <c r="D202" s="77"/>
      <c r="E202" s="77"/>
      <c r="F202" s="77"/>
      <c r="G202" s="64"/>
      <c r="H202" s="64"/>
      <c r="I202" s="64"/>
      <c r="J202" s="64"/>
      <c r="K202" s="64"/>
      <c r="L202" s="64"/>
      <c r="M202" s="64"/>
      <c r="N202" s="64"/>
      <c r="O202" s="64"/>
      <c r="P202" s="64"/>
      <c r="Q202" s="64"/>
      <c r="R202" s="129">
        <v>15250</v>
      </c>
      <c r="S202" s="25"/>
      <c r="T202" s="25"/>
      <c r="U202" s="25"/>
      <c r="V202" s="5"/>
    </row>
    <row r="203" spans="1:22" ht="15.6" x14ac:dyDescent="0.3">
      <c r="A203" s="75"/>
      <c r="B203" s="76" t="s">
        <v>218</v>
      </c>
      <c r="C203" s="77"/>
      <c r="D203" s="77"/>
      <c r="E203" s="77"/>
      <c r="F203" s="77"/>
      <c r="G203" s="64"/>
      <c r="H203" s="64"/>
      <c r="I203" s="64"/>
      <c r="J203" s="64"/>
      <c r="K203" s="64"/>
      <c r="L203" s="64"/>
      <c r="M203" s="64"/>
      <c r="N203" s="64"/>
      <c r="O203" s="64"/>
      <c r="P203" s="64"/>
      <c r="Q203" s="64"/>
      <c r="R203" s="129">
        <v>15250</v>
      </c>
      <c r="S203" s="25"/>
      <c r="T203" s="25"/>
      <c r="U203" s="25"/>
      <c r="V203" s="5"/>
    </row>
    <row r="204" spans="1:22" ht="15.6" x14ac:dyDescent="0.3">
      <c r="A204" s="75"/>
      <c r="B204" s="76" t="s">
        <v>219</v>
      </c>
      <c r="C204" s="77"/>
      <c r="D204" s="77"/>
      <c r="E204" s="77"/>
      <c r="F204" s="77"/>
      <c r="G204" s="64"/>
      <c r="H204" s="64"/>
      <c r="I204" s="64"/>
      <c r="J204" s="64"/>
      <c r="K204" s="64"/>
      <c r="L204" s="64"/>
      <c r="M204" s="64"/>
      <c r="N204" s="64"/>
      <c r="O204" s="64"/>
      <c r="P204" s="64"/>
      <c r="Q204" s="64"/>
      <c r="R204" s="129">
        <v>15250</v>
      </c>
      <c r="S204" s="25"/>
      <c r="T204" s="25"/>
      <c r="U204" s="25"/>
      <c r="V204" s="5"/>
    </row>
    <row r="205" spans="1:22" ht="15.6" x14ac:dyDescent="0.3">
      <c r="A205" s="75"/>
      <c r="B205" s="76" t="s">
        <v>76</v>
      </c>
      <c r="C205" s="77"/>
      <c r="D205" s="77"/>
      <c r="E205" s="77"/>
      <c r="F205" s="77"/>
      <c r="G205" s="64"/>
      <c r="H205" s="64"/>
      <c r="I205" s="64"/>
      <c r="J205" s="64"/>
      <c r="K205" s="64"/>
      <c r="L205" s="64"/>
      <c r="M205" s="64"/>
      <c r="N205" s="64"/>
      <c r="O205" s="64"/>
      <c r="P205" s="64"/>
      <c r="Q205" s="64"/>
      <c r="R205" s="133">
        <v>21.18</v>
      </c>
      <c r="S205" s="25" t="s">
        <v>116</v>
      </c>
      <c r="T205" s="25"/>
      <c r="U205" s="25"/>
      <c r="V205" s="5"/>
    </row>
    <row r="206" spans="1:22" ht="15.6" x14ac:dyDescent="0.3">
      <c r="A206" s="75"/>
      <c r="B206" s="76" t="s">
        <v>77</v>
      </c>
      <c r="C206" s="77"/>
      <c r="D206" s="77"/>
      <c r="E206" s="77"/>
      <c r="F206" s="77"/>
      <c r="G206" s="64"/>
      <c r="H206" s="64"/>
      <c r="I206" s="64"/>
      <c r="J206" s="64"/>
      <c r="K206" s="64"/>
      <c r="L206" s="64"/>
      <c r="M206" s="64"/>
      <c r="N206" s="64"/>
      <c r="O206" s="64"/>
      <c r="P206" s="64"/>
      <c r="Q206" s="64"/>
      <c r="R206" s="133">
        <v>18.98</v>
      </c>
      <c r="S206" s="25" t="s">
        <v>116</v>
      </c>
      <c r="T206" s="25"/>
      <c r="U206" s="25"/>
      <c r="V206" s="5"/>
    </row>
    <row r="207" spans="1:22" ht="15.6" x14ac:dyDescent="0.3">
      <c r="A207" s="75"/>
      <c r="B207" s="76" t="s">
        <v>78</v>
      </c>
      <c r="C207" s="77"/>
      <c r="D207" s="77"/>
      <c r="E207" s="77"/>
      <c r="F207" s="77"/>
      <c r="G207" s="64"/>
      <c r="H207" s="64"/>
      <c r="I207" s="64"/>
      <c r="J207" s="64"/>
      <c r="K207" s="64"/>
      <c r="L207" s="64"/>
      <c r="M207" s="64"/>
      <c r="N207" s="64"/>
      <c r="O207" s="64"/>
      <c r="P207" s="64"/>
      <c r="Q207" s="64"/>
      <c r="R207" s="78">
        <f>N69/L69</f>
        <v>8.4496541036518408E-2</v>
      </c>
      <c r="S207" s="25"/>
      <c r="T207" s="25"/>
      <c r="U207" s="25"/>
      <c r="V207" s="5"/>
    </row>
    <row r="208" spans="1:22" ht="15.6" x14ac:dyDescent="0.3">
      <c r="A208" s="75"/>
      <c r="B208" s="76" t="s">
        <v>79</v>
      </c>
      <c r="C208" s="77"/>
      <c r="D208" s="77"/>
      <c r="E208" s="77"/>
      <c r="F208" s="77"/>
      <c r="G208" s="64"/>
      <c r="H208" s="64"/>
      <c r="I208" s="64"/>
      <c r="J208" s="64"/>
      <c r="K208" s="64"/>
      <c r="L208" s="64"/>
      <c r="M208" s="64"/>
      <c r="N208" s="64"/>
      <c r="O208" s="64"/>
      <c r="P208" s="64"/>
      <c r="Q208" s="64"/>
      <c r="R208" s="78">
        <v>0.18129999999999999</v>
      </c>
      <c r="S208" s="25"/>
      <c r="T208" s="25"/>
      <c r="U208" s="25"/>
      <c r="V208" s="5"/>
    </row>
    <row r="209" spans="1:22" ht="15.6" x14ac:dyDescent="0.3">
      <c r="A209" s="75"/>
      <c r="B209" s="76"/>
      <c r="C209" s="76"/>
      <c r="D209" s="76"/>
      <c r="E209" s="76"/>
      <c r="F209" s="76"/>
      <c r="G209" s="25"/>
      <c r="H209" s="25"/>
      <c r="I209" s="25"/>
      <c r="J209" s="25"/>
      <c r="K209" s="25"/>
      <c r="L209" s="25"/>
      <c r="M209" s="25"/>
      <c r="N209" s="25"/>
      <c r="O209" s="25"/>
      <c r="P209" s="25"/>
      <c r="Q209" s="25"/>
      <c r="R209" s="61"/>
      <c r="S209" s="25"/>
      <c r="T209" s="79"/>
      <c r="U209" s="25"/>
      <c r="V209" s="5"/>
    </row>
    <row r="210" spans="1:22" ht="15.6" x14ac:dyDescent="0.3">
      <c r="A210" s="80"/>
      <c r="B210" s="14" t="s">
        <v>80</v>
      </c>
      <c r="C210" s="81"/>
      <c r="D210" s="81"/>
      <c r="E210" s="81"/>
      <c r="F210" s="82"/>
      <c r="G210" s="81"/>
      <c r="H210" s="17"/>
      <c r="I210" s="17"/>
      <c r="J210" s="17"/>
      <c r="K210" s="17"/>
      <c r="L210" s="17"/>
      <c r="M210" s="17"/>
      <c r="N210" s="17"/>
      <c r="O210" s="17"/>
      <c r="P210" s="17"/>
      <c r="Q210" s="17" t="s">
        <v>105</v>
      </c>
      <c r="R210" s="83" t="s">
        <v>112</v>
      </c>
      <c r="S210" s="8"/>
      <c r="T210" s="8"/>
      <c r="U210" s="8"/>
      <c r="V210" s="5"/>
    </row>
    <row r="211" spans="1:22" ht="15.6" x14ac:dyDescent="0.3">
      <c r="A211" s="84"/>
      <c r="B211" s="76" t="s">
        <v>81</v>
      </c>
      <c r="C211" s="54"/>
      <c r="D211" s="54"/>
      <c r="E211" s="54"/>
      <c r="F211" s="25"/>
      <c r="G211" s="25"/>
      <c r="H211" s="30"/>
      <c r="I211" s="30"/>
      <c r="J211" s="30"/>
      <c r="K211" s="30"/>
      <c r="L211" s="30"/>
      <c r="M211" s="30"/>
      <c r="N211" s="30"/>
      <c r="O211" s="30"/>
      <c r="P211" s="30"/>
      <c r="Q211" s="30">
        <v>3</v>
      </c>
      <c r="R211" s="85">
        <v>573</v>
      </c>
      <c r="S211" s="25"/>
      <c r="T211" s="79"/>
      <c r="U211" s="86"/>
      <c r="V211" s="5"/>
    </row>
    <row r="212" spans="1:22" ht="15.6" x14ac:dyDescent="0.3">
      <c r="A212" s="84"/>
      <c r="B212" s="76" t="s">
        <v>151</v>
      </c>
      <c r="C212" s="54"/>
      <c r="D212" s="54"/>
      <c r="E212" s="54"/>
      <c r="F212" s="25"/>
      <c r="G212" s="25"/>
      <c r="H212" s="30"/>
      <c r="I212" s="30"/>
      <c r="J212" s="30"/>
      <c r="K212" s="30"/>
      <c r="L212" s="30"/>
      <c r="M212" s="30"/>
      <c r="N212" s="30"/>
      <c r="O212" s="30"/>
      <c r="P212" s="30"/>
      <c r="Q212" s="152">
        <f>+P252</f>
        <v>78</v>
      </c>
      <c r="R212" s="85">
        <f>+R252</f>
        <v>12990</v>
      </c>
      <c r="S212" s="25"/>
      <c r="T212" s="79"/>
      <c r="U212" s="86"/>
      <c r="V212" s="5"/>
    </row>
    <row r="213" spans="1:22" ht="15.6" x14ac:dyDescent="0.3">
      <c r="A213" s="84"/>
      <c r="B213" s="76" t="s">
        <v>82</v>
      </c>
      <c r="C213" s="54"/>
      <c r="D213" s="54"/>
      <c r="E213" s="54"/>
      <c r="F213" s="25"/>
      <c r="G213" s="25"/>
      <c r="H213" s="30"/>
      <c r="I213" s="30"/>
      <c r="J213" s="30"/>
      <c r="K213" s="30"/>
      <c r="L213" s="30"/>
      <c r="M213" s="30"/>
      <c r="N213" s="30"/>
      <c r="O213" s="30"/>
      <c r="P213" s="30"/>
      <c r="Q213" s="152">
        <f>+P264</f>
        <v>1</v>
      </c>
      <c r="R213" s="85">
        <f>+R264</f>
        <v>236</v>
      </c>
      <c r="S213" s="25"/>
      <c r="T213" s="79"/>
      <c r="U213" s="86"/>
      <c r="V213" s="5"/>
    </row>
    <row r="214" spans="1:22" ht="15.6" x14ac:dyDescent="0.3">
      <c r="A214" s="84"/>
      <c r="B214" s="122" t="s">
        <v>83</v>
      </c>
      <c r="C214" s="54"/>
      <c r="D214" s="54"/>
      <c r="E214" s="54"/>
      <c r="F214" s="25"/>
      <c r="G214" s="25"/>
      <c r="H214" s="25"/>
      <c r="I214" s="25"/>
      <c r="J214" s="25"/>
      <c r="K214" s="25"/>
      <c r="L214" s="25"/>
      <c r="M214" s="25"/>
      <c r="N214" s="25"/>
      <c r="O214" s="25"/>
      <c r="P214" s="25"/>
      <c r="Q214" s="25"/>
      <c r="R214" s="85">
        <v>0</v>
      </c>
      <c r="S214" s="25"/>
      <c r="T214" s="79"/>
      <c r="U214" s="86"/>
      <c r="V214" s="5"/>
    </row>
    <row r="215" spans="1:22" ht="15.6" x14ac:dyDescent="0.3">
      <c r="A215" s="84"/>
      <c r="B215" s="122" t="s">
        <v>84</v>
      </c>
      <c r="C215" s="54"/>
      <c r="D215" s="54"/>
      <c r="E215" s="54"/>
      <c r="F215" s="25"/>
      <c r="G215" s="25"/>
      <c r="H215" s="25"/>
      <c r="I215" s="25"/>
      <c r="J215" s="25"/>
      <c r="K215" s="25"/>
      <c r="L215" s="25"/>
      <c r="M215" s="25"/>
      <c r="N215" s="25"/>
      <c r="O215" s="25"/>
      <c r="P215" s="25"/>
      <c r="Q215" s="25"/>
      <c r="R215" s="62" t="s">
        <v>113</v>
      </c>
      <c r="S215" s="25"/>
      <c r="T215" s="79"/>
      <c r="U215" s="86"/>
      <c r="V215" s="5"/>
    </row>
    <row r="216" spans="1:22" ht="15.6" x14ac:dyDescent="0.3">
      <c r="A216" s="87"/>
      <c r="B216" s="122" t="s">
        <v>85</v>
      </c>
      <c r="C216" s="76"/>
      <c r="D216" s="76"/>
      <c r="E216" s="76"/>
      <c r="F216" s="76"/>
      <c r="G216" s="25"/>
      <c r="H216" s="25"/>
      <c r="I216" s="25"/>
      <c r="J216" s="25"/>
      <c r="K216" s="25"/>
      <c r="L216" s="25"/>
      <c r="M216" s="25"/>
      <c r="N216" s="25"/>
      <c r="O216" s="25"/>
      <c r="P216" s="25"/>
      <c r="Q216" s="25"/>
      <c r="R216" s="85"/>
      <c r="S216" s="25"/>
      <c r="T216" s="79"/>
      <c r="U216" s="88"/>
      <c r="V216" s="5"/>
    </row>
    <row r="217" spans="1:22" ht="15.6" x14ac:dyDescent="0.3">
      <c r="A217" s="87"/>
      <c r="B217" s="131" t="s">
        <v>86</v>
      </c>
      <c r="C217" s="76"/>
      <c r="D217" s="76"/>
      <c r="E217" s="76"/>
      <c r="F217" s="76"/>
      <c r="G217" s="25"/>
      <c r="H217" s="25"/>
      <c r="I217" s="25"/>
      <c r="J217" s="25"/>
      <c r="K217" s="25"/>
      <c r="L217" s="25"/>
      <c r="M217" s="25"/>
      <c r="N217" s="25"/>
      <c r="O217" s="25"/>
      <c r="P217" s="25"/>
      <c r="Q217" s="30"/>
      <c r="R217" s="85">
        <f>T162</f>
        <v>46</v>
      </c>
      <c r="S217" s="25"/>
      <c r="T217" s="79"/>
      <c r="U217" s="88"/>
      <c r="V217" s="5"/>
    </row>
    <row r="218" spans="1:22" ht="15.6" x14ac:dyDescent="0.3">
      <c r="A218" s="84"/>
      <c r="B218" s="76" t="s">
        <v>87</v>
      </c>
      <c r="C218" s="54"/>
      <c r="D218" s="54"/>
      <c r="E218" s="54"/>
      <c r="F218" s="54"/>
      <c r="G218" s="25"/>
      <c r="H218" s="25"/>
      <c r="I218" s="25"/>
      <c r="J218" s="25"/>
      <c r="K218" s="25"/>
      <c r="L218" s="25"/>
      <c r="M218" s="25"/>
      <c r="N218" s="25"/>
      <c r="O218" s="25"/>
      <c r="P218" s="25"/>
      <c r="Q218" s="30"/>
      <c r="R218" s="85">
        <f>+'March 08'!R218+R217</f>
        <v>84</v>
      </c>
      <c r="S218" s="25"/>
      <c r="T218" s="79"/>
      <c r="U218" s="88"/>
      <c r="V218" s="5"/>
    </row>
    <row r="219" spans="1:22" ht="15.6" x14ac:dyDescent="0.3">
      <c r="A219" s="87"/>
      <c r="B219" s="122" t="s">
        <v>282</v>
      </c>
      <c r="C219" s="76"/>
      <c r="D219" s="76"/>
      <c r="E219" s="76"/>
      <c r="F219" s="76"/>
      <c r="G219" s="25"/>
      <c r="H219" s="25"/>
      <c r="I219" s="25"/>
      <c r="J219" s="25"/>
      <c r="K219" s="25"/>
      <c r="L219" s="25"/>
      <c r="M219" s="25"/>
      <c r="N219" s="25"/>
      <c r="O219" s="25"/>
      <c r="P219" s="25"/>
      <c r="Q219" s="30"/>
      <c r="R219" s="85"/>
      <c r="S219" s="25"/>
      <c r="T219" s="79"/>
      <c r="U219" s="88"/>
      <c r="V219" s="5"/>
    </row>
    <row r="220" spans="1:22" ht="15.6" x14ac:dyDescent="0.3">
      <c r="A220" s="87"/>
      <c r="B220" s="76" t="s">
        <v>280</v>
      </c>
      <c r="C220" s="76"/>
      <c r="D220" s="76"/>
      <c r="E220" s="76"/>
      <c r="F220" s="76"/>
      <c r="G220" s="25"/>
      <c r="H220" s="25"/>
      <c r="I220" s="25"/>
      <c r="J220" s="25"/>
      <c r="K220" s="25"/>
      <c r="L220" s="25"/>
      <c r="M220" s="25"/>
      <c r="N220" s="25"/>
      <c r="O220" s="25"/>
      <c r="P220" s="25"/>
      <c r="Q220" s="30">
        <v>0</v>
      </c>
      <c r="R220" s="85">
        <v>0</v>
      </c>
      <c r="S220" s="25"/>
      <c r="T220" s="79"/>
      <c r="U220" s="88"/>
      <c r="V220" s="5"/>
    </row>
    <row r="221" spans="1:22" ht="15.6" x14ac:dyDescent="0.3">
      <c r="A221" s="84"/>
      <c r="B221" s="76" t="s">
        <v>89</v>
      </c>
      <c r="C221" s="89"/>
      <c r="D221" s="89"/>
      <c r="E221" s="89"/>
      <c r="F221" s="90"/>
      <c r="G221" s="25"/>
      <c r="H221" s="25"/>
      <c r="I221" s="25"/>
      <c r="J221" s="25"/>
      <c r="K221" s="25"/>
      <c r="L221" s="25"/>
      <c r="M221" s="25"/>
      <c r="N221" s="25"/>
      <c r="O221" s="25"/>
      <c r="P221" s="25"/>
      <c r="Q221" s="25"/>
      <c r="R221" s="62">
        <v>0</v>
      </c>
      <c r="S221" s="25"/>
      <c r="T221" s="79"/>
      <c r="U221" s="88"/>
      <c r="V221" s="5"/>
    </row>
    <row r="222" spans="1:22" ht="15.6" x14ac:dyDescent="0.3">
      <c r="A222" s="84"/>
      <c r="B222" s="76" t="s">
        <v>90</v>
      </c>
      <c r="C222" s="89"/>
      <c r="D222" s="89"/>
      <c r="E222" s="89"/>
      <c r="F222" s="90"/>
      <c r="G222" s="25"/>
      <c r="H222" s="25"/>
      <c r="I222" s="25"/>
      <c r="J222" s="25"/>
      <c r="K222" s="25"/>
      <c r="L222" s="25"/>
      <c r="M222" s="25"/>
      <c r="N222" s="25"/>
      <c r="O222" s="25"/>
      <c r="P222" s="25"/>
      <c r="Q222" s="25"/>
      <c r="R222" s="62">
        <v>0</v>
      </c>
      <c r="S222" s="25"/>
      <c r="T222" s="79"/>
      <c r="U222" s="88"/>
      <c r="V222" s="5"/>
    </row>
    <row r="223" spans="1:22" ht="15.6" x14ac:dyDescent="0.3">
      <c r="A223" s="84"/>
      <c r="B223" s="122" t="s">
        <v>226</v>
      </c>
      <c r="C223" s="89"/>
      <c r="D223" s="89"/>
      <c r="E223" s="89"/>
      <c r="F223" s="90"/>
      <c r="G223" s="25"/>
      <c r="H223" s="25"/>
      <c r="I223" s="25"/>
      <c r="J223" s="25"/>
      <c r="K223" s="25"/>
      <c r="L223" s="25"/>
      <c r="M223" s="25"/>
      <c r="N223" s="25"/>
      <c r="O223" s="25"/>
      <c r="P223" s="25"/>
      <c r="Q223" s="30"/>
      <c r="R223" s="91"/>
      <c r="S223" s="25"/>
      <c r="T223" s="79"/>
      <c r="U223" s="88"/>
      <c r="V223" s="5"/>
    </row>
    <row r="224" spans="1:22" ht="15.6" x14ac:dyDescent="0.3">
      <c r="A224" s="84"/>
      <c r="B224" s="76" t="s">
        <v>280</v>
      </c>
      <c r="C224" s="89"/>
      <c r="D224" s="89"/>
      <c r="E224" s="89"/>
      <c r="F224" s="90"/>
      <c r="G224" s="25"/>
      <c r="H224" s="25"/>
      <c r="I224" s="25"/>
      <c r="J224" s="25"/>
      <c r="K224" s="25"/>
      <c r="L224" s="25"/>
      <c r="M224" s="25"/>
      <c r="N224" s="25"/>
      <c r="O224" s="25"/>
      <c r="P224" s="25"/>
      <c r="Q224" s="30">
        <v>0</v>
      </c>
      <c r="R224" s="85">
        <v>0</v>
      </c>
      <c r="S224" s="25"/>
      <c r="T224" s="79"/>
      <c r="U224" s="88"/>
      <c r="V224" s="5"/>
    </row>
    <row r="225" spans="1:23" ht="15.6" x14ac:dyDescent="0.3">
      <c r="A225" s="84"/>
      <c r="B225" s="76" t="s">
        <v>227</v>
      </c>
      <c r="C225" s="89"/>
      <c r="D225" s="89"/>
      <c r="E225" s="89"/>
      <c r="F225" s="90"/>
      <c r="G225" s="25"/>
      <c r="H225" s="25"/>
      <c r="I225" s="25"/>
      <c r="J225" s="25"/>
      <c r="K225" s="25"/>
      <c r="L225" s="25"/>
      <c r="M225" s="25"/>
      <c r="N225" s="25"/>
      <c r="O225" s="25"/>
      <c r="P225" s="25"/>
      <c r="Q225" s="30"/>
      <c r="R225" s="62">
        <v>0</v>
      </c>
      <c r="S225" s="25"/>
      <c r="T225" s="79"/>
      <c r="U225" s="88"/>
      <c r="V225" s="5"/>
    </row>
    <row r="226" spans="1:23" ht="15.6" x14ac:dyDescent="0.3">
      <c r="A226" s="84"/>
      <c r="B226" s="76"/>
      <c r="C226" s="89"/>
      <c r="D226" s="89"/>
      <c r="E226" s="89"/>
      <c r="F226" s="90"/>
      <c r="G226" s="25"/>
      <c r="H226" s="25"/>
      <c r="I226" s="25"/>
      <c r="J226" s="25"/>
      <c r="K226" s="25"/>
      <c r="L226" s="25"/>
      <c r="M226" s="25"/>
      <c r="N226" s="25"/>
      <c r="O226" s="25"/>
      <c r="P226" s="25"/>
      <c r="Q226" s="25"/>
      <c r="R226" s="91"/>
      <c r="S226" s="25"/>
      <c r="T226" s="79"/>
      <c r="U226" s="88"/>
      <c r="V226" s="5"/>
    </row>
    <row r="227" spans="1:23" ht="15.6" x14ac:dyDescent="0.3">
      <c r="A227" s="84"/>
      <c r="B227" s="76"/>
      <c r="C227" s="89"/>
      <c r="D227" s="89"/>
      <c r="E227" s="89"/>
      <c r="F227" s="90"/>
      <c r="G227" s="25"/>
      <c r="H227" s="25"/>
      <c r="I227" s="25"/>
      <c r="J227" s="25"/>
      <c r="K227" s="25"/>
      <c r="L227" s="25"/>
      <c r="M227" s="25"/>
      <c r="N227" s="25"/>
      <c r="O227" s="25"/>
      <c r="P227" s="25"/>
      <c r="Q227" s="25"/>
      <c r="R227" s="91"/>
      <c r="S227" s="25"/>
      <c r="T227" s="79"/>
      <c r="U227" s="88"/>
      <c r="V227" s="5"/>
    </row>
    <row r="228" spans="1:23" ht="17.399999999999999" x14ac:dyDescent="0.3">
      <c r="A228" s="84"/>
      <c r="B228" s="149" t="s">
        <v>175</v>
      </c>
      <c r="C228" s="89"/>
      <c r="D228" s="89"/>
      <c r="E228" s="89"/>
      <c r="F228" s="90"/>
      <c r="G228" s="25"/>
      <c r="H228" s="25"/>
      <c r="I228" s="25"/>
      <c r="J228" s="25"/>
      <c r="K228" s="25"/>
      <c r="L228" s="25"/>
      <c r="M228" s="25"/>
      <c r="N228" s="150" t="s">
        <v>174</v>
      </c>
      <c r="O228" s="25"/>
      <c r="P228" s="25"/>
      <c r="Q228" s="25"/>
      <c r="R228" s="91"/>
      <c r="S228" s="25"/>
      <c r="T228" s="79"/>
      <c r="U228" s="88"/>
      <c r="V228" s="5"/>
    </row>
    <row r="229" spans="1:23" ht="15.6" x14ac:dyDescent="0.3">
      <c r="A229" s="84"/>
      <c r="B229" s="76"/>
      <c r="C229" s="89"/>
      <c r="D229" s="89"/>
      <c r="E229" s="89"/>
      <c r="F229" s="90"/>
      <c r="G229" s="25"/>
      <c r="H229" s="25"/>
      <c r="I229" s="25"/>
      <c r="J229" s="25"/>
      <c r="K229" s="25"/>
      <c r="L229" s="25"/>
      <c r="M229" s="25"/>
      <c r="N229" s="25"/>
      <c r="O229" s="25"/>
      <c r="P229" s="25"/>
      <c r="Q229" s="25"/>
      <c r="R229" s="91"/>
      <c r="S229" s="25"/>
      <c r="T229" s="79"/>
      <c r="U229" s="88"/>
      <c r="V229" s="5"/>
    </row>
    <row r="230" spans="1:23" ht="15.6" x14ac:dyDescent="0.3">
      <c r="A230" s="6"/>
      <c r="B230" s="14" t="s">
        <v>169</v>
      </c>
      <c r="C230" s="81"/>
      <c r="D230" s="81"/>
      <c r="E230" s="81"/>
      <c r="F230" s="82"/>
      <c r="G230" s="81"/>
      <c r="H230" s="17"/>
      <c r="I230" s="17"/>
      <c r="J230" s="17"/>
      <c r="K230" s="17"/>
      <c r="L230" s="17"/>
      <c r="M230" s="17"/>
      <c r="N230" s="17"/>
      <c r="O230" s="17"/>
      <c r="P230" s="83" t="s">
        <v>105</v>
      </c>
      <c r="Q230" s="17" t="s">
        <v>106</v>
      </c>
      <c r="R230" s="83" t="s">
        <v>114</v>
      </c>
      <c r="S230" s="17" t="s">
        <v>106</v>
      </c>
      <c r="T230" s="8"/>
      <c r="U230" s="92"/>
      <c r="V230" s="5"/>
    </row>
    <row r="231" spans="1:23" ht="15.6" x14ac:dyDescent="0.3">
      <c r="A231" s="24"/>
      <c r="B231" s="54" t="s">
        <v>91</v>
      </c>
      <c r="C231" s="93"/>
      <c r="D231" s="93"/>
      <c r="E231" s="93"/>
      <c r="F231" s="25"/>
      <c r="G231" s="93"/>
      <c r="H231" s="93"/>
      <c r="I231" s="93"/>
      <c r="J231" s="93"/>
      <c r="K231" s="93"/>
      <c r="L231" s="93"/>
      <c r="M231" s="93"/>
      <c r="N231" s="93"/>
      <c r="O231" s="93"/>
      <c r="P231" s="54">
        <v>4805</v>
      </c>
      <c r="Q231" s="94">
        <f t="shared" ref="Q231:Q238" si="1">P231/$P$240</f>
        <v>0.98787006578947367</v>
      </c>
      <c r="R231" s="53">
        <v>636383</v>
      </c>
      <c r="S231" s="132">
        <f t="shared" ref="S231:S238" si="2">R231/$R$240</f>
        <v>0.98451406497285709</v>
      </c>
      <c r="T231" s="79"/>
      <c r="U231" s="88"/>
      <c r="V231" s="5"/>
    </row>
    <row r="232" spans="1:23" ht="15.6" x14ac:dyDescent="0.3">
      <c r="A232" s="24"/>
      <c r="B232" s="54" t="s">
        <v>92</v>
      </c>
      <c r="C232" s="93"/>
      <c r="D232" s="93"/>
      <c r="E232" s="93"/>
      <c r="F232" s="25"/>
      <c r="G232" s="94"/>
      <c r="H232" s="93"/>
      <c r="I232" s="93"/>
      <c r="J232" s="93"/>
      <c r="K232" s="93"/>
      <c r="L232" s="93"/>
      <c r="M232" s="93"/>
      <c r="N232" s="93"/>
      <c r="O232" s="93"/>
      <c r="P232" s="54">
        <v>37</v>
      </c>
      <c r="Q232" s="94">
        <f t="shared" si="1"/>
        <v>7.6069078947368423E-3</v>
      </c>
      <c r="R232" s="53">
        <v>6773</v>
      </c>
      <c r="S232" s="132">
        <f t="shared" si="2"/>
        <v>1.0478145648235671E-2</v>
      </c>
      <c r="T232" s="79"/>
      <c r="U232" s="88"/>
      <c r="V232" s="5"/>
      <c r="W232" s="109"/>
    </row>
    <row r="233" spans="1:23" ht="15.6" x14ac:dyDescent="0.3">
      <c r="A233" s="24"/>
      <c r="B233" s="54" t="s">
        <v>93</v>
      </c>
      <c r="C233" s="93"/>
      <c r="D233" s="93"/>
      <c r="E233" s="93"/>
      <c r="F233" s="25"/>
      <c r="G233" s="94"/>
      <c r="H233" s="93"/>
      <c r="I233" s="93"/>
      <c r="J233" s="93"/>
      <c r="K233" s="93"/>
      <c r="L233" s="93"/>
      <c r="M233" s="93"/>
      <c r="N233" s="93"/>
      <c r="O233" s="93"/>
      <c r="P233" s="54">
        <v>11</v>
      </c>
      <c r="Q233" s="94">
        <f t="shared" si="1"/>
        <v>2.2615131578947369E-3</v>
      </c>
      <c r="R233" s="53">
        <v>1425</v>
      </c>
      <c r="S233" s="132">
        <f t="shared" si="2"/>
        <v>2.2045412001676997E-3</v>
      </c>
      <c r="T233" s="79"/>
      <c r="U233" s="88"/>
      <c r="V233" s="5"/>
    </row>
    <row r="234" spans="1:23" ht="15.6" x14ac:dyDescent="0.3">
      <c r="A234" s="24"/>
      <c r="B234" s="54" t="s">
        <v>163</v>
      </c>
      <c r="C234" s="93"/>
      <c r="D234" s="93"/>
      <c r="E234" s="93"/>
      <c r="F234" s="25"/>
      <c r="G234" s="94"/>
      <c r="H234" s="93"/>
      <c r="I234" s="93"/>
      <c r="J234" s="93"/>
      <c r="K234" s="93"/>
      <c r="L234" s="93"/>
      <c r="M234" s="93"/>
      <c r="N234" s="93"/>
      <c r="O234" s="93"/>
      <c r="P234" s="54">
        <v>8</v>
      </c>
      <c r="Q234" s="94">
        <f t="shared" si="1"/>
        <v>1.6447368421052631E-3</v>
      </c>
      <c r="R234" s="53">
        <v>1239</v>
      </c>
      <c r="S234" s="132">
        <f t="shared" si="2"/>
        <v>1.9167905593037054E-3</v>
      </c>
      <c r="T234" s="79"/>
      <c r="U234" s="88"/>
      <c r="V234" s="5"/>
      <c r="W234" s="109"/>
    </row>
    <row r="235" spans="1:23" ht="15.6" x14ac:dyDescent="0.3">
      <c r="A235" s="24"/>
      <c r="B235" s="54" t="s">
        <v>164</v>
      </c>
      <c r="C235" s="93"/>
      <c r="D235" s="93"/>
      <c r="E235" s="93"/>
      <c r="F235" s="25"/>
      <c r="G235" s="94"/>
      <c r="H235" s="93"/>
      <c r="I235" s="93"/>
      <c r="J235" s="93"/>
      <c r="K235" s="93"/>
      <c r="L235" s="93"/>
      <c r="M235" s="93"/>
      <c r="N235" s="93"/>
      <c r="O235" s="93"/>
      <c r="P235" s="54">
        <v>0</v>
      </c>
      <c r="Q235" s="94">
        <f t="shared" si="1"/>
        <v>0</v>
      </c>
      <c r="R235" s="53">
        <v>0</v>
      </c>
      <c r="S235" s="132">
        <f t="shared" si="2"/>
        <v>0</v>
      </c>
      <c r="T235" s="79"/>
      <c r="U235" s="88"/>
      <c r="V235" s="5"/>
    </row>
    <row r="236" spans="1:23" ht="15.6" x14ac:dyDescent="0.3">
      <c r="A236" s="24"/>
      <c r="B236" s="54" t="s">
        <v>165</v>
      </c>
      <c r="C236" s="93"/>
      <c r="D236" s="93"/>
      <c r="E236" s="93"/>
      <c r="F236" s="25"/>
      <c r="G236" s="94"/>
      <c r="H236" s="93"/>
      <c r="I236" s="93"/>
      <c r="J236" s="93"/>
      <c r="K236" s="93"/>
      <c r="L236" s="93"/>
      <c r="M236" s="93"/>
      <c r="N236" s="93"/>
      <c r="O236" s="93"/>
      <c r="P236" s="54">
        <v>0</v>
      </c>
      <c r="Q236" s="94">
        <f t="shared" si="1"/>
        <v>0</v>
      </c>
      <c r="R236" s="53">
        <v>0</v>
      </c>
      <c r="S236" s="132">
        <f t="shared" si="2"/>
        <v>0</v>
      </c>
      <c r="T236" s="79"/>
      <c r="U236" s="88"/>
      <c r="V236" s="5"/>
      <c r="W236" s="109"/>
    </row>
    <row r="237" spans="1:23" ht="15.6" x14ac:dyDescent="0.3">
      <c r="A237" s="24"/>
      <c r="B237" s="54" t="s">
        <v>166</v>
      </c>
      <c r="C237" s="93"/>
      <c r="D237" s="93"/>
      <c r="E237" s="93"/>
      <c r="F237" s="25"/>
      <c r="G237" s="94"/>
      <c r="H237" s="93"/>
      <c r="I237" s="93"/>
      <c r="J237" s="93"/>
      <c r="K237" s="93"/>
      <c r="L237" s="93"/>
      <c r="M237" s="93"/>
      <c r="N237" s="93"/>
      <c r="O237" s="93"/>
      <c r="P237" s="54">
        <v>3</v>
      </c>
      <c r="Q237" s="94">
        <f t="shared" si="1"/>
        <v>6.1677631578947365E-4</v>
      </c>
      <c r="R237" s="53">
        <v>573</v>
      </c>
      <c r="S237" s="132">
        <f t="shared" si="2"/>
        <v>8.8645761943585406E-4</v>
      </c>
      <c r="T237" s="79"/>
      <c r="U237" s="88"/>
      <c r="V237" s="5"/>
    </row>
    <row r="238" spans="1:23" ht="15.6" x14ac:dyDescent="0.3">
      <c r="A238" s="24"/>
      <c r="B238" s="54" t="s">
        <v>167</v>
      </c>
      <c r="C238" s="93"/>
      <c r="D238" s="93"/>
      <c r="E238" s="93"/>
      <c r="F238" s="25"/>
      <c r="G238" s="94"/>
      <c r="H238" s="93"/>
      <c r="I238" s="93"/>
      <c r="J238" s="93"/>
      <c r="K238" s="93"/>
      <c r="L238" s="93"/>
      <c r="M238" s="93"/>
      <c r="N238" s="93"/>
      <c r="O238" s="93"/>
      <c r="P238" s="54">
        <v>0</v>
      </c>
      <c r="Q238" s="94">
        <f t="shared" si="1"/>
        <v>0</v>
      </c>
      <c r="R238" s="53">
        <v>0</v>
      </c>
      <c r="S238" s="132">
        <f t="shared" si="2"/>
        <v>0</v>
      </c>
      <c r="T238" s="79"/>
      <c r="U238" s="88"/>
      <c r="V238" s="5"/>
      <c r="W238" s="109"/>
    </row>
    <row r="239" spans="1:23" ht="15.6" x14ac:dyDescent="0.3">
      <c r="A239" s="24"/>
      <c r="B239" s="54"/>
      <c r="C239" s="93"/>
      <c r="D239" s="93"/>
      <c r="E239" s="93"/>
      <c r="F239" s="25"/>
      <c r="G239" s="94"/>
      <c r="H239" s="93"/>
      <c r="I239" s="93"/>
      <c r="J239" s="93"/>
      <c r="K239" s="93"/>
      <c r="L239" s="93"/>
      <c r="M239" s="93"/>
      <c r="N239" s="93"/>
      <c r="O239" s="93"/>
      <c r="P239" s="54"/>
      <c r="Q239" s="94"/>
      <c r="R239" s="53"/>
      <c r="S239" s="132"/>
      <c r="T239" s="79"/>
      <c r="U239" s="88"/>
      <c r="V239" s="5"/>
    </row>
    <row r="240" spans="1:23" ht="15.6" x14ac:dyDescent="0.3">
      <c r="A240" s="24"/>
      <c r="B240" s="25" t="s">
        <v>120</v>
      </c>
      <c r="C240" s="25"/>
      <c r="D240" s="25"/>
      <c r="E240" s="25"/>
      <c r="F240" s="25"/>
      <c r="G240" s="25"/>
      <c r="H240" s="95"/>
      <c r="I240" s="95"/>
      <c r="J240" s="95"/>
      <c r="K240" s="95"/>
      <c r="L240" s="95"/>
      <c r="M240" s="95"/>
      <c r="N240" s="95"/>
      <c r="O240" s="95"/>
      <c r="P240" s="34">
        <f>SUM(P231:P239)</f>
        <v>4864</v>
      </c>
      <c r="Q240" s="132">
        <f>SUM(Q231:Q239)</f>
        <v>1</v>
      </c>
      <c r="R240" s="53">
        <f>SUM(R231:R239)</f>
        <v>646393</v>
      </c>
      <c r="S240" s="132">
        <f>SUM(S231:S239)</f>
        <v>1</v>
      </c>
      <c r="T240" s="25"/>
      <c r="U240" s="25"/>
      <c r="V240" s="5"/>
    </row>
    <row r="241" spans="1:22" ht="15.6" x14ac:dyDescent="0.3">
      <c r="A241" s="24"/>
      <c r="B241" s="25"/>
      <c r="C241" s="25"/>
      <c r="D241" s="25"/>
      <c r="E241" s="25"/>
      <c r="F241" s="25"/>
      <c r="G241" s="25"/>
      <c r="H241" s="95"/>
      <c r="I241" s="95"/>
      <c r="J241" s="95"/>
      <c r="K241" s="95"/>
      <c r="L241" s="95"/>
      <c r="M241" s="95"/>
      <c r="N241" s="95"/>
      <c r="O241" s="95"/>
      <c r="P241" s="34"/>
      <c r="Q241" s="132"/>
      <c r="R241" s="53"/>
      <c r="S241" s="132"/>
      <c r="T241" s="25"/>
      <c r="U241" s="25"/>
      <c r="V241" s="5"/>
    </row>
    <row r="242" spans="1:22" ht="15.6" x14ac:dyDescent="0.3">
      <c r="A242" s="141"/>
      <c r="B242" s="14" t="s">
        <v>267</v>
      </c>
      <c r="C242" s="81"/>
      <c r="D242" s="81"/>
      <c r="E242" s="81"/>
      <c r="F242" s="82"/>
      <c r="G242" s="81"/>
      <c r="H242" s="17"/>
      <c r="I242" s="17"/>
      <c r="J242" s="17"/>
      <c r="K242" s="17"/>
      <c r="L242" s="17"/>
      <c r="M242" s="17"/>
      <c r="N242" s="17"/>
      <c r="O242" s="17"/>
      <c r="P242" s="83" t="s">
        <v>105</v>
      </c>
      <c r="Q242" s="17" t="s">
        <v>106</v>
      </c>
      <c r="R242" s="83" t="s">
        <v>114</v>
      </c>
      <c r="S242" s="17" t="s">
        <v>106</v>
      </c>
      <c r="T242" s="139"/>
      <c r="U242" s="140"/>
      <c r="V242" s="5"/>
    </row>
    <row r="243" spans="1:22" ht="15.6" x14ac:dyDescent="0.3">
      <c r="A243" s="24"/>
      <c r="B243" s="54" t="s">
        <v>91</v>
      </c>
      <c r="C243" s="93"/>
      <c r="D243" s="93"/>
      <c r="E243" s="93"/>
      <c r="F243" s="25"/>
      <c r="G243" s="93"/>
      <c r="H243" s="93"/>
      <c r="I243" s="93"/>
      <c r="J243" s="93"/>
      <c r="K243" s="93"/>
      <c r="L243" s="93"/>
      <c r="M243" s="93"/>
      <c r="N243" s="93"/>
      <c r="O243" s="93"/>
      <c r="P243" s="54">
        <v>5</v>
      </c>
      <c r="Q243" s="94">
        <f t="shared" ref="Q243:Q250" si="3">P243/$P$252</f>
        <v>6.4102564102564097E-2</v>
      </c>
      <c r="R243" s="53">
        <v>689</v>
      </c>
      <c r="S243" s="132">
        <f t="shared" ref="S243:S250" si="4">R243/$R$252</f>
        <v>5.3040800615858349E-2</v>
      </c>
      <c r="T243" s="25"/>
      <c r="U243" s="25"/>
      <c r="V243" s="5"/>
    </row>
    <row r="244" spans="1:22" ht="15.6" x14ac:dyDescent="0.3">
      <c r="A244" s="24"/>
      <c r="B244" s="54" t="s">
        <v>92</v>
      </c>
      <c r="C244" s="93"/>
      <c r="D244" s="93"/>
      <c r="E244" s="93"/>
      <c r="F244" s="25"/>
      <c r="G244" s="94"/>
      <c r="H244" s="93"/>
      <c r="I244" s="93"/>
      <c r="J244" s="93"/>
      <c r="K244" s="93"/>
      <c r="L244" s="93"/>
      <c r="M244" s="93"/>
      <c r="N244" s="93"/>
      <c r="O244" s="93"/>
      <c r="P244" s="54">
        <v>32</v>
      </c>
      <c r="Q244" s="94">
        <f t="shared" si="3"/>
        <v>0.41025641025641024</v>
      </c>
      <c r="R244" s="53">
        <v>4516</v>
      </c>
      <c r="S244" s="132">
        <f t="shared" si="4"/>
        <v>0.34765204003079292</v>
      </c>
      <c r="T244" s="25"/>
      <c r="U244" s="25"/>
      <c r="V244" s="5"/>
    </row>
    <row r="245" spans="1:22" ht="15.6" x14ac:dyDescent="0.3">
      <c r="A245" s="24"/>
      <c r="B245" s="54" t="s">
        <v>93</v>
      </c>
      <c r="C245" s="93"/>
      <c r="D245" s="93"/>
      <c r="E245" s="93"/>
      <c r="F245" s="25"/>
      <c r="G245" s="94"/>
      <c r="H245" s="93"/>
      <c r="I245" s="93"/>
      <c r="J245" s="93"/>
      <c r="K245" s="93"/>
      <c r="L245" s="93"/>
      <c r="M245" s="93"/>
      <c r="N245" s="93"/>
      <c r="O245" s="93"/>
      <c r="P245" s="54">
        <v>8</v>
      </c>
      <c r="Q245" s="94">
        <f t="shared" si="3"/>
        <v>0.10256410256410256</v>
      </c>
      <c r="R245" s="53">
        <v>2079</v>
      </c>
      <c r="S245" s="132">
        <f t="shared" si="4"/>
        <v>0.16004618937644341</v>
      </c>
      <c r="T245" s="25"/>
      <c r="U245" s="25"/>
      <c r="V245" s="5"/>
    </row>
    <row r="246" spans="1:22" ht="15.6" x14ac:dyDescent="0.3">
      <c r="A246" s="24"/>
      <c r="B246" s="54" t="s">
        <v>163</v>
      </c>
      <c r="C246" s="93"/>
      <c r="D246" s="93"/>
      <c r="E246" s="93"/>
      <c r="F246" s="25"/>
      <c r="G246" s="94"/>
      <c r="H246" s="93"/>
      <c r="I246" s="93"/>
      <c r="J246" s="93"/>
      <c r="K246" s="93"/>
      <c r="L246" s="93"/>
      <c r="M246" s="93"/>
      <c r="N246" s="93"/>
      <c r="O246" s="93"/>
      <c r="P246" s="54">
        <v>10</v>
      </c>
      <c r="Q246" s="94">
        <f t="shared" si="3"/>
        <v>0.12820512820512819</v>
      </c>
      <c r="R246" s="53">
        <v>2340</v>
      </c>
      <c r="S246" s="132">
        <f t="shared" si="4"/>
        <v>0.18013856812933027</v>
      </c>
      <c r="T246" s="25"/>
      <c r="U246" s="25"/>
      <c r="V246" s="5"/>
    </row>
    <row r="247" spans="1:22" ht="15.6" x14ac:dyDescent="0.3">
      <c r="A247" s="24"/>
      <c r="B247" s="54" t="s">
        <v>164</v>
      </c>
      <c r="C247" s="93"/>
      <c r="D247" s="93"/>
      <c r="E247" s="93"/>
      <c r="F247" s="25"/>
      <c r="G247" s="94"/>
      <c r="H247" s="93"/>
      <c r="I247" s="93"/>
      <c r="J247" s="93"/>
      <c r="K247" s="93"/>
      <c r="L247" s="93"/>
      <c r="M247" s="93"/>
      <c r="N247" s="93"/>
      <c r="O247" s="93"/>
      <c r="P247" s="54">
        <v>2</v>
      </c>
      <c r="Q247" s="94">
        <f t="shared" si="3"/>
        <v>2.564102564102564E-2</v>
      </c>
      <c r="R247" s="53">
        <v>204</v>
      </c>
      <c r="S247" s="132">
        <f t="shared" si="4"/>
        <v>1.5704387990762125E-2</v>
      </c>
      <c r="T247" s="25"/>
      <c r="U247" s="25"/>
      <c r="V247" s="5"/>
    </row>
    <row r="248" spans="1:22" ht="15.6" x14ac:dyDescent="0.3">
      <c r="A248" s="24"/>
      <c r="B248" s="54" t="s">
        <v>165</v>
      </c>
      <c r="C248" s="93"/>
      <c r="D248" s="93"/>
      <c r="E248" s="93"/>
      <c r="F248" s="25"/>
      <c r="G248" s="94"/>
      <c r="H248" s="93"/>
      <c r="I248" s="93"/>
      <c r="J248" s="93"/>
      <c r="K248" s="93"/>
      <c r="L248" s="93"/>
      <c r="M248" s="93"/>
      <c r="N248" s="93"/>
      <c r="O248" s="93"/>
      <c r="P248" s="54">
        <v>4</v>
      </c>
      <c r="Q248" s="94">
        <f t="shared" si="3"/>
        <v>5.128205128205128E-2</v>
      </c>
      <c r="R248" s="53">
        <v>640</v>
      </c>
      <c r="S248" s="132">
        <f t="shared" si="4"/>
        <v>4.9268668206312545E-2</v>
      </c>
      <c r="T248" s="25"/>
      <c r="U248" s="25"/>
      <c r="V248" s="5"/>
    </row>
    <row r="249" spans="1:22" ht="15.6" x14ac:dyDescent="0.3">
      <c r="A249" s="24"/>
      <c r="B249" s="54" t="s">
        <v>166</v>
      </c>
      <c r="C249" s="93"/>
      <c r="D249" s="93"/>
      <c r="E249" s="93"/>
      <c r="F249" s="25"/>
      <c r="G249" s="94"/>
      <c r="H249" s="93"/>
      <c r="I249" s="93"/>
      <c r="J249" s="93"/>
      <c r="K249" s="93"/>
      <c r="L249" s="93"/>
      <c r="M249" s="93"/>
      <c r="N249" s="93"/>
      <c r="O249" s="93"/>
      <c r="P249" s="54">
        <v>12</v>
      </c>
      <c r="Q249" s="94">
        <f t="shared" si="3"/>
        <v>0.15384615384615385</v>
      </c>
      <c r="R249" s="53">
        <v>1781</v>
      </c>
      <c r="S249" s="132">
        <f t="shared" si="4"/>
        <v>0.13710546574287913</v>
      </c>
      <c r="T249" s="25"/>
      <c r="U249" s="25"/>
      <c r="V249" s="5"/>
    </row>
    <row r="250" spans="1:22" ht="15.6" x14ac:dyDescent="0.3">
      <c r="A250" s="24"/>
      <c r="B250" s="54" t="s">
        <v>167</v>
      </c>
      <c r="C250" s="93"/>
      <c r="D250" s="93"/>
      <c r="E250" s="93"/>
      <c r="F250" s="25"/>
      <c r="G250" s="94"/>
      <c r="H250" s="93"/>
      <c r="I250" s="93"/>
      <c r="J250" s="93"/>
      <c r="K250" s="93"/>
      <c r="L250" s="93"/>
      <c r="M250" s="93"/>
      <c r="N250" s="93"/>
      <c r="O250" s="93"/>
      <c r="P250" s="54">
        <v>5</v>
      </c>
      <c r="Q250" s="94">
        <f t="shared" si="3"/>
        <v>6.4102564102564097E-2</v>
      </c>
      <c r="R250" s="53">
        <v>741</v>
      </c>
      <c r="S250" s="132">
        <f t="shared" si="4"/>
        <v>5.7043879907621248E-2</v>
      </c>
      <c r="T250" s="25"/>
      <c r="U250" s="25"/>
      <c r="V250" s="5"/>
    </row>
    <row r="251" spans="1:22" ht="15.6" x14ac:dyDescent="0.3">
      <c r="A251" s="24"/>
      <c r="B251" s="54"/>
      <c r="C251" s="93"/>
      <c r="D251" s="93"/>
      <c r="E251" s="93"/>
      <c r="F251" s="25"/>
      <c r="G251" s="94"/>
      <c r="H251" s="93"/>
      <c r="I251" s="93"/>
      <c r="J251" s="93"/>
      <c r="K251" s="93"/>
      <c r="L251" s="93"/>
      <c r="M251" s="93"/>
      <c r="N251" s="93"/>
      <c r="O251" s="93"/>
      <c r="P251" s="54"/>
      <c r="Q251" s="94"/>
      <c r="R251" s="53"/>
      <c r="S251" s="132"/>
      <c r="T251" s="25"/>
      <c r="U251" s="25"/>
      <c r="V251" s="5"/>
    </row>
    <row r="252" spans="1:22" ht="15.6" x14ac:dyDescent="0.3">
      <c r="A252" s="24"/>
      <c r="B252" s="25" t="s">
        <v>120</v>
      </c>
      <c r="C252" s="25"/>
      <c r="D252" s="25"/>
      <c r="E252" s="25"/>
      <c r="F252" s="25"/>
      <c r="G252" s="25"/>
      <c r="H252" s="95"/>
      <c r="I252" s="95"/>
      <c r="J252" s="95"/>
      <c r="K252" s="95"/>
      <c r="L252" s="95"/>
      <c r="M252" s="95"/>
      <c r="N252" s="95"/>
      <c r="O252" s="95"/>
      <c r="P252" s="34">
        <f>SUM(P243:P251)</f>
        <v>78</v>
      </c>
      <c r="Q252" s="132">
        <f>SUM(Q243:Q251)</f>
        <v>1</v>
      </c>
      <c r="R252" s="53">
        <f>SUM(R243:R251)</f>
        <v>12990</v>
      </c>
      <c r="S252" s="132">
        <f>SUM(S243:S251)</f>
        <v>1</v>
      </c>
      <c r="T252" s="25"/>
      <c r="U252" s="25"/>
      <c r="V252" s="5"/>
    </row>
    <row r="253" spans="1:22" ht="15.6" x14ac:dyDescent="0.3">
      <c r="A253" s="24"/>
      <c r="B253" s="25"/>
      <c r="C253" s="25"/>
      <c r="D253" s="25"/>
      <c r="E253" s="25"/>
      <c r="F253" s="25"/>
      <c r="G253" s="25"/>
      <c r="H253" s="95"/>
      <c r="I253" s="95"/>
      <c r="J253" s="95"/>
      <c r="K253" s="95"/>
      <c r="L253" s="95"/>
      <c r="M253" s="95"/>
      <c r="N253" s="95"/>
      <c r="O253" s="95"/>
      <c r="P253" s="34"/>
      <c r="Q253" s="132"/>
      <c r="R253" s="53"/>
      <c r="S253" s="132"/>
      <c r="T253" s="25"/>
      <c r="U253" s="25"/>
      <c r="V253" s="5"/>
    </row>
    <row r="254" spans="1:22" ht="15.6" x14ac:dyDescent="0.3">
      <c r="A254" s="141"/>
      <c r="B254" s="14" t="s">
        <v>170</v>
      </c>
      <c r="C254" s="139"/>
      <c r="D254" s="139"/>
      <c r="E254" s="139"/>
      <c r="F254" s="139"/>
      <c r="G254" s="139"/>
      <c r="H254" s="145"/>
      <c r="I254" s="145"/>
      <c r="J254" s="145"/>
      <c r="K254" s="145"/>
      <c r="L254" s="145"/>
      <c r="M254" s="145"/>
      <c r="N254" s="145"/>
      <c r="O254" s="145"/>
      <c r="P254" s="83" t="s">
        <v>105</v>
      </c>
      <c r="Q254" s="17" t="s">
        <v>106</v>
      </c>
      <c r="R254" s="83" t="s">
        <v>114</v>
      </c>
      <c r="S254" s="17" t="s">
        <v>106</v>
      </c>
      <c r="T254" s="139"/>
      <c r="U254" s="140"/>
      <c r="V254" s="5"/>
    </row>
    <row r="255" spans="1:22" ht="15.6" x14ac:dyDescent="0.3">
      <c r="A255" s="24"/>
      <c r="B255" s="54" t="s">
        <v>91</v>
      </c>
      <c r="C255" s="25"/>
      <c r="D255" s="25"/>
      <c r="E255" s="25"/>
      <c r="F255" s="25"/>
      <c r="G255" s="25"/>
      <c r="H255" s="95"/>
      <c r="I255" s="95"/>
      <c r="J255" s="95"/>
      <c r="K255" s="95"/>
      <c r="L255" s="95"/>
      <c r="M255" s="95"/>
      <c r="N255" s="95"/>
      <c r="O255" s="95"/>
      <c r="P255" s="54">
        <v>0</v>
      </c>
      <c r="Q255" s="94">
        <f t="shared" ref="Q255:Q261" si="5">P255/$P$252</f>
        <v>0</v>
      </c>
      <c r="R255" s="53">
        <v>0</v>
      </c>
      <c r="S255" s="132">
        <f t="shared" ref="S255:S261" si="6">R255/$R$252</f>
        <v>0</v>
      </c>
      <c r="T255" s="25"/>
      <c r="U255" s="25"/>
      <c r="V255" s="5"/>
    </row>
    <row r="256" spans="1:22" ht="15.6" x14ac:dyDescent="0.3">
      <c r="A256" s="24"/>
      <c r="B256" s="54" t="s">
        <v>92</v>
      </c>
      <c r="C256" s="25"/>
      <c r="D256" s="25"/>
      <c r="E256" s="25"/>
      <c r="F256" s="25"/>
      <c r="G256" s="25"/>
      <c r="H256" s="95"/>
      <c r="I256" s="95"/>
      <c r="J256" s="95"/>
      <c r="K256" s="95"/>
      <c r="L256" s="95"/>
      <c r="M256" s="95"/>
      <c r="N256" s="95"/>
      <c r="O256" s="95"/>
      <c r="P256" s="54">
        <v>0</v>
      </c>
      <c r="Q256" s="94">
        <f t="shared" si="5"/>
        <v>0</v>
      </c>
      <c r="R256" s="53">
        <v>0</v>
      </c>
      <c r="S256" s="132">
        <f t="shared" si="6"/>
        <v>0</v>
      </c>
      <c r="T256" s="25"/>
      <c r="U256" s="25"/>
      <c r="V256" s="5"/>
    </row>
    <row r="257" spans="1:22" ht="15.6" x14ac:dyDescent="0.3">
      <c r="A257" s="24"/>
      <c r="B257" s="54" t="s">
        <v>93</v>
      </c>
      <c r="C257" s="25"/>
      <c r="D257" s="25"/>
      <c r="E257" s="25"/>
      <c r="F257" s="25"/>
      <c r="G257" s="25"/>
      <c r="H257" s="95"/>
      <c r="I257" s="95"/>
      <c r="J257" s="95"/>
      <c r="K257" s="95"/>
      <c r="L257" s="95"/>
      <c r="M257" s="95"/>
      <c r="N257" s="95"/>
      <c r="O257" s="95"/>
      <c r="P257" s="54">
        <v>0</v>
      </c>
      <c r="Q257" s="94">
        <f t="shared" si="5"/>
        <v>0</v>
      </c>
      <c r="R257" s="53">
        <v>0</v>
      </c>
      <c r="S257" s="132">
        <f t="shared" si="6"/>
        <v>0</v>
      </c>
      <c r="T257" s="25"/>
      <c r="U257" s="25"/>
      <c r="V257" s="5"/>
    </row>
    <row r="258" spans="1:22" ht="15.6" x14ac:dyDescent="0.3">
      <c r="A258" s="24"/>
      <c r="B258" s="54" t="s">
        <v>163</v>
      </c>
      <c r="C258" s="25"/>
      <c r="D258" s="25"/>
      <c r="E258" s="25"/>
      <c r="F258" s="25"/>
      <c r="G258" s="25"/>
      <c r="H258" s="95"/>
      <c r="I258" s="95"/>
      <c r="J258" s="95"/>
      <c r="K258" s="95"/>
      <c r="L258" s="95"/>
      <c r="M258" s="95"/>
      <c r="N258" s="95"/>
      <c r="O258" s="95"/>
      <c r="P258" s="54">
        <v>0</v>
      </c>
      <c r="Q258" s="94">
        <f t="shared" si="5"/>
        <v>0</v>
      </c>
      <c r="R258" s="53">
        <v>0</v>
      </c>
      <c r="S258" s="132">
        <f t="shared" si="6"/>
        <v>0</v>
      </c>
      <c r="T258" s="25"/>
      <c r="U258" s="25"/>
      <c r="V258" s="5"/>
    </row>
    <row r="259" spans="1:22" ht="15.6" x14ac:dyDescent="0.3">
      <c r="A259" s="24"/>
      <c r="B259" s="54" t="s">
        <v>164</v>
      </c>
      <c r="C259" s="25"/>
      <c r="D259" s="25"/>
      <c r="E259" s="25"/>
      <c r="F259" s="25"/>
      <c r="G259" s="25"/>
      <c r="H259" s="95"/>
      <c r="I259" s="95"/>
      <c r="J259" s="95"/>
      <c r="K259" s="95"/>
      <c r="L259" s="95"/>
      <c r="M259" s="95"/>
      <c r="N259" s="95"/>
      <c r="O259" s="95"/>
      <c r="P259" s="54">
        <v>0</v>
      </c>
      <c r="Q259" s="94">
        <f t="shared" si="5"/>
        <v>0</v>
      </c>
      <c r="R259" s="53">
        <v>0</v>
      </c>
      <c r="S259" s="132">
        <f t="shared" si="6"/>
        <v>0</v>
      </c>
      <c r="T259" s="25"/>
      <c r="U259" s="25"/>
      <c r="V259" s="5"/>
    </row>
    <row r="260" spans="1:22" ht="15.6" x14ac:dyDescent="0.3">
      <c r="A260" s="24"/>
      <c r="B260" s="54" t="s">
        <v>165</v>
      </c>
      <c r="C260" s="25"/>
      <c r="D260" s="25"/>
      <c r="E260" s="25"/>
      <c r="F260" s="25"/>
      <c r="G260" s="25"/>
      <c r="H260" s="95"/>
      <c r="I260" s="95"/>
      <c r="J260" s="95"/>
      <c r="K260" s="95"/>
      <c r="L260" s="95"/>
      <c r="M260" s="95"/>
      <c r="N260" s="95"/>
      <c r="O260" s="95"/>
      <c r="P260" s="54">
        <v>0</v>
      </c>
      <c r="Q260" s="94">
        <f t="shared" si="5"/>
        <v>0</v>
      </c>
      <c r="R260" s="53">
        <v>0</v>
      </c>
      <c r="S260" s="132">
        <f t="shared" si="6"/>
        <v>0</v>
      </c>
      <c r="T260" s="25"/>
      <c r="U260" s="25"/>
      <c r="V260" s="5"/>
    </row>
    <row r="261" spans="1:22" ht="15.6" x14ac:dyDescent="0.3">
      <c r="A261" s="24"/>
      <c r="B261" s="54" t="s">
        <v>166</v>
      </c>
      <c r="C261" s="25"/>
      <c r="D261" s="25"/>
      <c r="E261" s="25"/>
      <c r="F261" s="25"/>
      <c r="G261" s="25"/>
      <c r="H261" s="95"/>
      <c r="I261" s="95"/>
      <c r="J261" s="95"/>
      <c r="K261" s="95"/>
      <c r="L261" s="95"/>
      <c r="M261" s="95"/>
      <c r="N261" s="95"/>
      <c r="O261" s="95"/>
      <c r="P261" s="54">
        <v>0</v>
      </c>
      <c r="Q261" s="94">
        <f t="shared" si="5"/>
        <v>0</v>
      </c>
      <c r="R261" s="53">
        <v>0</v>
      </c>
      <c r="S261" s="132">
        <f t="shared" si="6"/>
        <v>0</v>
      </c>
      <c r="T261" s="25"/>
      <c r="U261" s="25"/>
      <c r="V261" s="5"/>
    </row>
    <row r="262" spans="1:22" ht="15.6" x14ac:dyDescent="0.3">
      <c r="A262" s="24"/>
      <c r="B262" s="54" t="s">
        <v>167</v>
      </c>
      <c r="C262" s="25"/>
      <c r="D262" s="25"/>
      <c r="E262" s="25"/>
      <c r="F262" s="25"/>
      <c r="G262" s="25"/>
      <c r="H262" s="95"/>
      <c r="I262" s="95"/>
      <c r="J262" s="95"/>
      <c r="K262" s="95"/>
      <c r="L262" s="95"/>
      <c r="M262" s="95"/>
      <c r="N262" s="95"/>
      <c r="O262" s="95"/>
      <c r="P262" s="54">
        <v>1</v>
      </c>
      <c r="Q262" s="94">
        <f>P262/$P$264</f>
        <v>1</v>
      </c>
      <c r="R262" s="53">
        <v>236</v>
      </c>
      <c r="S262" s="132">
        <f>R262/$R$264</f>
        <v>1</v>
      </c>
      <c r="T262" s="25"/>
      <c r="U262" s="25"/>
      <c r="V262" s="5"/>
    </row>
    <row r="263" spans="1:22" ht="15.6" x14ac:dyDescent="0.3">
      <c r="A263" s="24"/>
      <c r="B263" s="54"/>
      <c r="C263" s="25"/>
      <c r="D263" s="25"/>
      <c r="E263" s="25"/>
      <c r="F263" s="25"/>
      <c r="G263" s="25"/>
      <c r="H263" s="95"/>
      <c r="I263" s="95"/>
      <c r="J263" s="95"/>
      <c r="K263" s="95"/>
      <c r="L263" s="95"/>
      <c r="M263" s="95"/>
      <c r="N263" s="95"/>
      <c r="O263" s="95"/>
      <c r="P263" s="54"/>
      <c r="Q263" s="94"/>
      <c r="R263" s="53"/>
      <c r="S263" s="132"/>
      <c r="T263" s="25"/>
      <c r="U263" s="25"/>
      <c r="V263" s="5"/>
    </row>
    <row r="264" spans="1:22" ht="15.6" x14ac:dyDescent="0.3">
      <c r="A264" s="24"/>
      <c r="B264" s="25" t="s">
        <v>120</v>
      </c>
      <c r="C264" s="25"/>
      <c r="D264" s="25"/>
      <c r="E264" s="25"/>
      <c r="F264" s="25"/>
      <c r="G264" s="25"/>
      <c r="H264" s="95"/>
      <c r="I264" s="95"/>
      <c r="J264" s="95"/>
      <c r="K264" s="95"/>
      <c r="L264" s="95"/>
      <c r="M264" s="95"/>
      <c r="N264" s="95"/>
      <c r="O264" s="95"/>
      <c r="P264" s="34">
        <f>SUM(P255:P262)</f>
        <v>1</v>
      </c>
      <c r="Q264" s="132">
        <f>SUM(Q255:Q263)</f>
        <v>1</v>
      </c>
      <c r="R264" s="53">
        <f>SUM(R255:R262)</f>
        <v>236</v>
      </c>
      <c r="S264" s="132">
        <f>SUM(S255:S263)</f>
        <v>1</v>
      </c>
      <c r="T264" s="25"/>
      <c r="U264" s="25"/>
      <c r="V264" s="5"/>
    </row>
    <row r="265" spans="1:22" ht="15.6" x14ac:dyDescent="0.3">
      <c r="A265" s="24"/>
      <c r="B265" s="25"/>
      <c r="C265" s="25"/>
      <c r="D265" s="25"/>
      <c r="E265" s="25"/>
      <c r="F265" s="25"/>
      <c r="G265" s="25"/>
      <c r="H265" s="95"/>
      <c r="I265" s="95"/>
      <c r="J265" s="95"/>
      <c r="K265" s="95"/>
      <c r="L265" s="95"/>
      <c r="M265" s="95"/>
      <c r="N265" s="95"/>
      <c r="O265" s="95"/>
      <c r="P265" s="34"/>
      <c r="Q265" s="132"/>
      <c r="R265" s="53"/>
      <c r="S265" s="132"/>
      <c r="T265" s="25"/>
      <c r="U265" s="25"/>
      <c r="V265" s="5"/>
    </row>
    <row r="266" spans="1:22" ht="15.6" x14ac:dyDescent="0.3">
      <c r="A266" s="24"/>
      <c r="B266" s="142" t="s">
        <v>171</v>
      </c>
      <c r="C266" s="25"/>
      <c r="D266" s="25"/>
      <c r="E266" s="25"/>
      <c r="F266" s="25"/>
      <c r="G266" s="25"/>
      <c r="H266" s="95"/>
      <c r="I266" s="95"/>
      <c r="J266" s="95"/>
      <c r="K266" s="95"/>
      <c r="L266" s="95"/>
      <c r="M266" s="95"/>
      <c r="N266" s="95"/>
      <c r="O266" s="95"/>
      <c r="P266" s="161">
        <f>P264+P252+P240</f>
        <v>4943</v>
      </c>
      <c r="Q266" s="143"/>
      <c r="R266" s="144">
        <f>+R264+R252+R240</f>
        <v>659619</v>
      </c>
      <c r="S266" s="143"/>
      <c r="T266" s="25"/>
      <c r="U266" s="25"/>
      <c r="V266" s="5"/>
    </row>
    <row r="267" spans="1:22" ht="15.6" x14ac:dyDescent="0.3">
      <c r="A267" s="24"/>
      <c r="B267" s="25"/>
      <c r="C267" s="25"/>
      <c r="D267" s="25"/>
      <c r="E267" s="25"/>
      <c r="F267" s="25"/>
      <c r="G267" s="25"/>
      <c r="H267" s="95"/>
      <c r="I267" s="95"/>
      <c r="J267" s="95"/>
      <c r="K267" s="95"/>
      <c r="L267" s="95"/>
      <c r="M267" s="95"/>
      <c r="N267" s="95"/>
      <c r="O267" s="95"/>
      <c r="P267" s="95"/>
      <c r="Q267" s="95"/>
      <c r="R267" s="53"/>
      <c r="S267" s="95"/>
      <c r="T267" s="25"/>
      <c r="U267" s="25"/>
      <c r="V267" s="5"/>
    </row>
    <row r="268" spans="1:22" ht="15.6" x14ac:dyDescent="0.3">
      <c r="A268" s="6"/>
      <c r="B268" s="8"/>
      <c r="C268" s="8"/>
      <c r="D268" s="8"/>
      <c r="E268" s="8"/>
      <c r="F268" s="8"/>
      <c r="G268" s="8"/>
      <c r="H268" s="96"/>
      <c r="I268" s="96"/>
      <c r="J268" s="96"/>
      <c r="K268" s="96"/>
      <c r="L268" s="96"/>
      <c r="M268" s="96"/>
      <c r="N268" s="96"/>
      <c r="O268" s="96"/>
      <c r="P268" s="96"/>
      <c r="Q268" s="96"/>
      <c r="R268" s="97"/>
      <c r="S268" s="96"/>
      <c r="T268" s="8"/>
      <c r="U268" s="8"/>
      <c r="V268" s="5"/>
    </row>
    <row r="269" spans="1:22" ht="15.6" x14ac:dyDescent="0.3">
      <c r="A269" s="167"/>
      <c r="B269" s="14" t="s">
        <v>94</v>
      </c>
      <c r="C269" s="15"/>
      <c r="D269" s="15"/>
      <c r="E269" s="15"/>
      <c r="F269" s="17" t="s">
        <v>100</v>
      </c>
      <c r="G269" s="15"/>
      <c r="H269" s="14" t="s">
        <v>102</v>
      </c>
      <c r="I269" s="162"/>
      <c r="J269" s="162"/>
      <c r="K269" s="162"/>
      <c r="L269" s="162"/>
      <c r="M269" s="162"/>
      <c r="N269" s="162"/>
      <c r="O269" s="162"/>
      <c r="P269" s="162"/>
      <c r="Q269" s="162"/>
      <c r="R269" s="162"/>
      <c r="S269" s="162"/>
      <c r="T269" s="162"/>
      <c r="U269" s="162"/>
      <c r="V269" s="5"/>
    </row>
    <row r="270" spans="1:22" ht="15.6" x14ac:dyDescent="0.3">
      <c r="A270" s="167"/>
      <c r="B270" s="13" t="s">
        <v>95</v>
      </c>
      <c r="C270" s="13"/>
      <c r="D270" s="13"/>
      <c r="E270" s="13"/>
      <c r="F270" s="130" t="s">
        <v>154</v>
      </c>
      <c r="G270" s="13"/>
      <c r="H270" s="13" t="s">
        <v>158</v>
      </c>
      <c r="I270" s="162"/>
      <c r="J270" s="162"/>
      <c r="K270" s="162"/>
      <c r="L270" s="162"/>
      <c r="M270" s="162"/>
      <c r="N270" s="162"/>
      <c r="O270" s="162"/>
      <c r="P270" s="162"/>
      <c r="Q270" s="162"/>
      <c r="R270" s="162"/>
      <c r="S270" s="162"/>
      <c r="T270" s="162"/>
      <c r="U270" s="162"/>
      <c r="V270" s="5"/>
    </row>
    <row r="271" spans="1:22" ht="15.6" x14ac:dyDescent="0.3">
      <c r="A271" s="167"/>
      <c r="B271" s="13" t="s">
        <v>268</v>
      </c>
      <c r="C271" s="13"/>
      <c r="D271" s="13"/>
      <c r="E271" s="13"/>
      <c r="F271" s="130" t="s">
        <v>269</v>
      </c>
      <c r="G271" s="13"/>
      <c r="H271" s="13" t="s">
        <v>270</v>
      </c>
      <c r="I271" s="162"/>
      <c r="J271" s="162"/>
      <c r="K271" s="162"/>
      <c r="L271" s="162"/>
      <c r="M271" s="162"/>
      <c r="N271" s="162"/>
      <c r="O271" s="162"/>
      <c r="P271" s="162"/>
      <c r="Q271" s="162"/>
      <c r="R271" s="162"/>
      <c r="S271" s="162"/>
      <c r="T271" s="162"/>
      <c r="U271" s="162"/>
      <c r="V271" s="5"/>
    </row>
    <row r="272" spans="1:22" ht="15.6" x14ac:dyDescent="0.3">
      <c r="A272" s="167"/>
      <c r="B272" s="13" t="s">
        <v>96</v>
      </c>
      <c r="C272" s="13"/>
      <c r="D272" s="13"/>
      <c r="E272" s="13"/>
      <c r="F272" s="130" t="s">
        <v>153</v>
      </c>
      <c r="G272" s="13"/>
      <c r="H272" s="13" t="s">
        <v>159</v>
      </c>
      <c r="I272" s="162"/>
      <c r="J272" s="162"/>
      <c r="K272" s="162"/>
      <c r="L272" s="162"/>
      <c r="M272" s="162"/>
      <c r="N272" s="162"/>
      <c r="O272" s="162"/>
      <c r="P272" s="162"/>
      <c r="Q272" s="162"/>
      <c r="R272" s="162"/>
      <c r="S272" s="162"/>
      <c r="T272" s="162"/>
      <c r="U272" s="162"/>
      <c r="V272" s="5"/>
    </row>
    <row r="273" spans="1:22" ht="15.6" x14ac:dyDescent="0.3">
      <c r="A273" s="167"/>
      <c r="B273" s="13"/>
      <c r="C273" s="13"/>
      <c r="D273" s="13"/>
      <c r="E273" s="13"/>
      <c r="F273" s="13"/>
      <c r="G273" s="99"/>
      <c r="H273" s="162"/>
      <c r="I273" s="162"/>
      <c r="J273" s="162"/>
      <c r="K273" s="162"/>
      <c r="L273" s="162"/>
      <c r="M273" s="162"/>
      <c r="N273" s="162"/>
      <c r="O273" s="162"/>
      <c r="P273" s="162"/>
      <c r="Q273" s="162"/>
      <c r="R273" s="162"/>
      <c r="S273" s="162"/>
      <c r="T273" s="162"/>
      <c r="U273" s="162"/>
      <c r="V273" s="5"/>
    </row>
    <row r="274" spans="1:22" ht="15.6" x14ac:dyDescent="0.3">
      <c r="A274" s="167"/>
      <c r="B274" s="13"/>
      <c r="C274" s="13"/>
      <c r="D274" s="13"/>
      <c r="E274" s="13"/>
      <c r="F274" s="13"/>
      <c r="G274" s="99"/>
      <c r="H274" s="162"/>
      <c r="I274" s="162"/>
      <c r="J274" s="162"/>
      <c r="K274" s="162"/>
      <c r="L274" s="162"/>
      <c r="M274" s="162"/>
      <c r="N274" s="162"/>
      <c r="O274" s="162"/>
      <c r="P274" s="162"/>
      <c r="Q274" s="162"/>
      <c r="R274" s="162"/>
      <c r="S274" s="162"/>
      <c r="T274" s="162"/>
      <c r="U274" s="162"/>
      <c r="V274" s="5"/>
    </row>
    <row r="275" spans="1:22" ht="18" thickBot="1" x14ac:dyDescent="0.35">
      <c r="A275" s="167"/>
      <c r="B275" s="49" t="str">
        <f>B192</f>
        <v>PM11 INVESTOR REPORT QUARTER ENDING JUNE 2008</v>
      </c>
      <c r="C275" s="13"/>
      <c r="D275" s="13"/>
      <c r="E275" s="13"/>
      <c r="F275" s="13"/>
      <c r="G275" s="99"/>
      <c r="H275" s="162"/>
      <c r="I275" s="162"/>
      <c r="J275" s="162"/>
      <c r="K275" s="162"/>
      <c r="L275" s="162"/>
      <c r="M275" s="162"/>
      <c r="N275" s="162"/>
      <c r="O275" s="162"/>
      <c r="P275" s="162"/>
      <c r="Q275" s="162"/>
      <c r="R275" s="162"/>
      <c r="S275" s="162"/>
      <c r="T275" s="162"/>
      <c r="U275" s="162"/>
      <c r="V275" s="5"/>
    </row>
    <row r="276" spans="1:22" x14ac:dyDescent="0.25">
      <c r="A276" s="100"/>
      <c r="B276" s="100"/>
      <c r="C276" s="100"/>
      <c r="D276" s="100"/>
      <c r="E276" s="100"/>
      <c r="F276" s="100"/>
      <c r="G276" s="100"/>
      <c r="H276" s="100"/>
      <c r="I276" s="100"/>
      <c r="J276" s="100"/>
      <c r="K276" s="100"/>
      <c r="L276" s="100"/>
      <c r="M276" s="100"/>
      <c r="N276" s="100"/>
      <c r="O276" s="100"/>
      <c r="P276" s="100"/>
      <c r="Q276" s="100"/>
      <c r="R276" s="100"/>
      <c r="S276" s="100"/>
      <c r="T276" s="100"/>
      <c r="U276" s="100"/>
    </row>
  </sheetData>
  <phoneticPr fontId="0" type="noConversion"/>
  <hyperlinks>
    <hyperlink ref="N228" r:id="rId1" xr:uid="{00000000-0004-0000-0800-000000000000}"/>
    <hyperlink ref="J9" r:id="rId2" xr:uid="{00000000-0004-0000-08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4" max="14" man="1"/>
    <brk id="133" max="14" man="1"/>
    <brk id="192" max="14" man="1"/>
  </rowBreak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291</vt:i4>
      </vt:variant>
    </vt:vector>
  </HeadingPairs>
  <TitlesOfParts>
    <vt:vector size="349" baseType="lpstr">
      <vt:lpstr>June 06</vt:lpstr>
      <vt:lpstr>Sept 06</vt:lpstr>
      <vt:lpstr>Dec 06</vt:lpstr>
      <vt:lpstr>March 07</vt:lpstr>
      <vt:lpstr>June 07</vt:lpstr>
      <vt:lpstr>September 07</vt:lpstr>
      <vt:lpstr>Dec 07</vt:lpstr>
      <vt:lpstr>March 08</vt:lpstr>
      <vt:lpstr>June 08</vt:lpstr>
      <vt:lpstr>September 08</vt:lpstr>
      <vt:lpstr>Dec 08</vt:lpstr>
      <vt:lpstr>March 09</vt:lpstr>
      <vt:lpstr>June 09</vt:lpstr>
      <vt:lpstr>September 09</vt:lpstr>
      <vt:lpstr>Dec 09</vt:lpstr>
      <vt:lpstr>March 10</vt:lpstr>
      <vt:lpstr>June 10</vt:lpstr>
      <vt:lpstr>September 10</vt:lpstr>
      <vt:lpstr>Dec 10</vt:lpstr>
      <vt:lpstr>March 11</vt:lpstr>
      <vt:lpstr>June 11</vt:lpstr>
      <vt:lpstr>Sept 11</vt:lpstr>
      <vt:lpstr>Dec 11</vt:lpstr>
      <vt:lpstr>March 12</vt:lpstr>
      <vt:lpstr>June 12</vt:lpstr>
      <vt:lpstr>Sept 12</vt:lpstr>
      <vt:lpstr>Dec 12</vt:lpstr>
      <vt:lpstr>March 13</vt:lpstr>
      <vt:lpstr>June 13</vt:lpstr>
      <vt:lpstr>Sept 13</vt:lpstr>
      <vt:lpstr>Dec 13</vt:lpstr>
      <vt:lpstr>March 14</vt:lpstr>
      <vt:lpstr>June 14</vt:lpstr>
      <vt:lpstr>Sept 14</vt:lpstr>
      <vt:lpstr>Dec 14</vt:lpstr>
      <vt:lpstr>March 15</vt:lpstr>
      <vt:lpstr>June 15</vt:lpstr>
      <vt:lpstr>Sept 15</vt:lpstr>
      <vt:lpstr>Dec 15</vt:lpstr>
      <vt:lpstr>March 16</vt:lpstr>
      <vt:lpstr>June 16</vt:lpstr>
      <vt:lpstr>Sept 16</vt:lpstr>
      <vt:lpstr>Dec 16</vt:lpstr>
      <vt:lpstr>March 17</vt:lpstr>
      <vt:lpstr>June 17</vt:lpstr>
      <vt:lpstr>Sept 17</vt:lpstr>
      <vt:lpstr>Dec 17</vt:lpstr>
      <vt:lpstr>March 18</vt:lpstr>
      <vt:lpstr>June 18</vt:lpstr>
      <vt:lpstr>Sept 18</vt:lpstr>
      <vt:lpstr>Dec 18</vt:lpstr>
      <vt:lpstr>March 19</vt:lpstr>
      <vt:lpstr>June 19</vt:lpstr>
      <vt:lpstr>Sept 19</vt:lpstr>
      <vt:lpstr>Dec 19</vt:lpstr>
      <vt:lpstr>Mar 20</vt:lpstr>
      <vt:lpstr>June 20</vt:lpstr>
      <vt:lpstr>Sept 20</vt:lpstr>
      <vt:lpstr>'Dec 12'!_100PAGE_4</vt:lpstr>
      <vt:lpstr>'Dec 13'!_101PAGE_4</vt:lpstr>
      <vt:lpstr>'Dec 14'!_101PAGE_4</vt:lpstr>
      <vt:lpstr>'Dec 15'!_101PAGE_4</vt:lpstr>
      <vt:lpstr>'Dec 16'!_101PAGE_4</vt:lpstr>
      <vt:lpstr>'Dec 17'!_101PAGE_4</vt:lpstr>
      <vt:lpstr>'Dec 18'!_101PAGE_4</vt:lpstr>
      <vt:lpstr>'Dec 19'!_101PAGE_4</vt:lpstr>
      <vt:lpstr>'June 14'!_101PAGE_4</vt:lpstr>
      <vt:lpstr>'June 15'!_101PAGE_4</vt:lpstr>
      <vt:lpstr>'June 16'!_101PAGE_4</vt:lpstr>
      <vt:lpstr>'June 17'!_101PAGE_4</vt:lpstr>
      <vt:lpstr>'June 18'!_101PAGE_4</vt:lpstr>
      <vt:lpstr>'June 19'!_101PAGE_4</vt:lpstr>
      <vt:lpstr>'June 20'!_101PAGE_4</vt:lpstr>
      <vt:lpstr>'Mar 20'!_101PAGE_4</vt:lpstr>
      <vt:lpstr>'March 14'!_101PAGE_4</vt:lpstr>
      <vt:lpstr>'March 15'!_101PAGE_4</vt:lpstr>
      <vt:lpstr>'March 16'!_101PAGE_4</vt:lpstr>
      <vt:lpstr>'March 17'!_101PAGE_4</vt:lpstr>
      <vt:lpstr>'March 18'!_101PAGE_4</vt:lpstr>
      <vt:lpstr>'March 19'!_101PAGE_4</vt:lpstr>
      <vt:lpstr>'Sept 14'!_101PAGE_4</vt:lpstr>
      <vt:lpstr>'Sept 15'!_101PAGE_4</vt:lpstr>
      <vt:lpstr>'Sept 16'!_101PAGE_4</vt:lpstr>
      <vt:lpstr>'Sept 17'!_101PAGE_4</vt:lpstr>
      <vt:lpstr>'Sept 18'!_101PAGE_4</vt:lpstr>
      <vt:lpstr>'Sept 19'!_101PAGE_4</vt:lpstr>
      <vt:lpstr>'Sept 20'!_101PAGE_4</vt:lpstr>
      <vt:lpstr>'June 07'!_102PAGE_4</vt:lpstr>
      <vt:lpstr>'June 08'!_103PAGE_4</vt:lpstr>
      <vt:lpstr>'June 09'!_104PAGE_4</vt:lpstr>
      <vt:lpstr>'June 10'!_105PAGE_4</vt:lpstr>
      <vt:lpstr>'June 11'!_106PAGE_4</vt:lpstr>
      <vt:lpstr>'June 12'!_107PAGE_4</vt:lpstr>
      <vt:lpstr>'June 13'!_108PAGE_4</vt:lpstr>
      <vt:lpstr>'March 07'!_109PAGE_4</vt:lpstr>
      <vt:lpstr>'June 08'!_10PAGE_1</vt:lpstr>
      <vt:lpstr>'March 08'!_110PAGE_4</vt:lpstr>
      <vt:lpstr>'March 09'!_111PAGE_4</vt:lpstr>
      <vt:lpstr>'March 10'!_112PAGE_4</vt:lpstr>
      <vt:lpstr>'March 11'!_113PAGE_4</vt:lpstr>
      <vt:lpstr>'March 12'!_114PAGE_4</vt:lpstr>
      <vt:lpstr>'March 13'!_115PAGE_4</vt:lpstr>
      <vt:lpstr>'Sept 06'!_116PAGE_4</vt:lpstr>
      <vt:lpstr>'Sept 11'!_117PAGE_4</vt:lpstr>
      <vt:lpstr>'Sept 12'!_118PAGE_4</vt:lpstr>
      <vt:lpstr>'Sept 13'!_119PAGE_4</vt:lpstr>
      <vt:lpstr>'June 09'!_11PAGE_1</vt:lpstr>
      <vt:lpstr>'September 07'!_120PAGE_4</vt:lpstr>
      <vt:lpstr>'September 08'!_121PAGE_4</vt:lpstr>
      <vt:lpstr>'September 09'!_122PAGE_4</vt:lpstr>
      <vt:lpstr>'September 10'!_123PAGE_4</vt:lpstr>
      <vt:lpstr>_124PAGE_4</vt:lpstr>
      <vt:lpstr>'June 10'!_12PAGE_1</vt:lpstr>
      <vt:lpstr>'June 11'!_13PAGE_1</vt:lpstr>
      <vt:lpstr>'June 12'!_14PAGE_1</vt:lpstr>
      <vt:lpstr>'June 13'!_15PAGE_1</vt:lpstr>
      <vt:lpstr>'March 07'!_16PAGE_1</vt:lpstr>
      <vt:lpstr>'March 08'!_17PAGE_1</vt:lpstr>
      <vt:lpstr>'March 09'!_18PAGE_1</vt:lpstr>
      <vt:lpstr>'March 10'!_19PAGE_1</vt:lpstr>
      <vt:lpstr>'Dec 06'!_1PAGE_1</vt:lpstr>
      <vt:lpstr>'March 11'!_20PAGE_1</vt:lpstr>
      <vt:lpstr>'March 12'!_21PAGE_1</vt:lpstr>
      <vt:lpstr>'March 13'!_22PAGE_1</vt:lpstr>
      <vt:lpstr>'Sept 06'!_23PAGE_1</vt:lpstr>
      <vt:lpstr>'Sept 11'!_24PAGE_1</vt:lpstr>
      <vt:lpstr>'Sept 12'!_25PAGE_1</vt:lpstr>
      <vt:lpstr>'Sept 13'!_26PAGE_1</vt:lpstr>
      <vt:lpstr>'September 07'!_27PAGE_1</vt:lpstr>
      <vt:lpstr>'September 08'!_28PAGE_1</vt:lpstr>
      <vt:lpstr>'September 09'!_29PAGE_1</vt:lpstr>
      <vt:lpstr>'Dec 07'!_2PAGE_1</vt:lpstr>
      <vt:lpstr>'September 10'!_30PAGE_1</vt:lpstr>
      <vt:lpstr>_31PAGE_1</vt:lpstr>
      <vt:lpstr>'Dec 06'!_32PAGE_2</vt:lpstr>
      <vt:lpstr>'Dec 07'!_33PAGE_2</vt:lpstr>
      <vt:lpstr>'Dec 08'!_34PAGE_2</vt:lpstr>
      <vt:lpstr>'Dec 09'!_35PAGE_2</vt:lpstr>
      <vt:lpstr>'Dec 10'!_36PAGE_2</vt:lpstr>
      <vt:lpstr>'Dec 11'!_37PAGE_2</vt:lpstr>
      <vt:lpstr>'Dec 12'!_38PAGE_2</vt:lpstr>
      <vt:lpstr>'Dec 13'!_39PAGE_2</vt:lpstr>
      <vt:lpstr>'Dec 14'!_39PAGE_2</vt:lpstr>
      <vt:lpstr>'Dec 15'!_39PAGE_2</vt:lpstr>
      <vt:lpstr>'Dec 16'!_39PAGE_2</vt:lpstr>
      <vt:lpstr>'Dec 17'!_39PAGE_2</vt:lpstr>
      <vt:lpstr>'Dec 18'!_39PAGE_2</vt:lpstr>
      <vt:lpstr>'Dec 19'!_39PAGE_2</vt:lpstr>
      <vt:lpstr>'June 14'!_39PAGE_2</vt:lpstr>
      <vt:lpstr>'June 15'!_39PAGE_2</vt:lpstr>
      <vt:lpstr>'June 16'!_39PAGE_2</vt:lpstr>
      <vt:lpstr>'June 17'!_39PAGE_2</vt:lpstr>
      <vt:lpstr>'June 18'!_39PAGE_2</vt:lpstr>
      <vt:lpstr>'June 19'!_39PAGE_2</vt:lpstr>
      <vt:lpstr>'June 20'!_39PAGE_2</vt:lpstr>
      <vt:lpstr>'Mar 20'!_39PAGE_2</vt:lpstr>
      <vt:lpstr>'March 14'!_39PAGE_2</vt:lpstr>
      <vt:lpstr>'March 15'!_39PAGE_2</vt:lpstr>
      <vt:lpstr>'March 16'!_39PAGE_2</vt:lpstr>
      <vt:lpstr>'March 17'!_39PAGE_2</vt:lpstr>
      <vt:lpstr>'March 18'!_39PAGE_2</vt:lpstr>
      <vt:lpstr>'March 19'!_39PAGE_2</vt:lpstr>
      <vt:lpstr>'Sept 14'!_39PAGE_2</vt:lpstr>
      <vt:lpstr>'Sept 15'!_39PAGE_2</vt:lpstr>
      <vt:lpstr>'Sept 16'!_39PAGE_2</vt:lpstr>
      <vt:lpstr>'Sept 17'!_39PAGE_2</vt:lpstr>
      <vt:lpstr>'Sept 18'!_39PAGE_2</vt:lpstr>
      <vt:lpstr>'Sept 19'!_39PAGE_2</vt:lpstr>
      <vt:lpstr>'Sept 20'!_39PAGE_2</vt:lpstr>
      <vt:lpstr>'Dec 08'!_3PAGE_1</vt:lpstr>
      <vt:lpstr>'June 07'!_40PAGE_2</vt:lpstr>
      <vt:lpstr>'June 08'!_41PAGE_2</vt:lpstr>
      <vt:lpstr>'June 09'!_42PAGE_2</vt:lpstr>
      <vt:lpstr>'June 10'!_43PAGE_2</vt:lpstr>
      <vt:lpstr>'June 11'!_44PAGE_2</vt:lpstr>
      <vt:lpstr>'June 12'!_45PAGE_2</vt:lpstr>
      <vt:lpstr>'June 13'!_46PAGE_2</vt:lpstr>
      <vt:lpstr>'March 07'!_47PAGE_2</vt:lpstr>
      <vt:lpstr>'March 08'!_48PAGE_2</vt:lpstr>
      <vt:lpstr>'March 09'!_49PAGE_2</vt:lpstr>
      <vt:lpstr>'Dec 09'!_4PAGE_1</vt:lpstr>
      <vt:lpstr>'March 10'!_50PAGE_2</vt:lpstr>
      <vt:lpstr>'March 11'!_51PAGE_2</vt:lpstr>
      <vt:lpstr>'March 12'!_52PAGE_2</vt:lpstr>
      <vt:lpstr>'March 13'!_53PAGE_2</vt:lpstr>
      <vt:lpstr>'Sept 06'!_54PAGE_2</vt:lpstr>
      <vt:lpstr>'Sept 11'!_55PAGE_2</vt:lpstr>
      <vt:lpstr>'Sept 12'!_56PAGE_2</vt:lpstr>
      <vt:lpstr>'Sept 13'!_57PAGE_2</vt:lpstr>
      <vt:lpstr>'September 07'!_58PAGE_2</vt:lpstr>
      <vt:lpstr>'September 08'!_59PAGE_2</vt:lpstr>
      <vt:lpstr>'Dec 10'!_5PAGE_1</vt:lpstr>
      <vt:lpstr>'September 09'!_60PAGE_2</vt:lpstr>
      <vt:lpstr>'September 10'!_61PAGE_2</vt:lpstr>
      <vt:lpstr>_62PAGE_2</vt:lpstr>
      <vt:lpstr>'Dec 06'!_63PAGE_3</vt:lpstr>
      <vt:lpstr>'Dec 07'!_64PAGE_3</vt:lpstr>
      <vt:lpstr>'Dec 08'!_65PAGE_3</vt:lpstr>
      <vt:lpstr>'Dec 09'!_66PAGE_3</vt:lpstr>
      <vt:lpstr>'Dec 10'!_67PAGE_3</vt:lpstr>
      <vt:lpstr>'Dec 11'!_68PAGE_3</vt:lpstr>
      <vt:lpstr>'Dec 12'!_69PAGE_3</vt:lpstr>
      <vt:lpstr>'Dec 11'!_6PAGE_1</vt:lpstr>
      <vt:lpstr>'Dec 13'!_70PAGE_3</vt:lpstr>
      <vt:lpstr>'Dec 14'!_70PAGE_3</vt:lpstr>
      <vt:lpstr>'Dec 15'!_70PAGE_3</vt:lpstr>
      <vt:lpstr>'Dec 16'!_70PAGE_3</vt:lpstr>
      <vt:lpstr>'Dec 17'!_70PAGE_3</vt:lpstr>
      <vt:lpstr>'Dec 18'!_70PAGE_3</vt:lpstr>
      <vt:lpstr>'Dec 19'!_70PAGE_3</vt:lpstr>
      <vt:lpstr>'June 14'!_70PAGE_3</vt:lpstr>
      <vt:lpstr>'June 15'!_70PAGE_3</vt:lpstr>
      <vt:lpstr>'June 16'!_70PAGE_3</vt:lpstr>
      <vt:lpstr>'June 17'!_70PAGE_3</vt:lpstr>
      <vt:lpstr>'June 18'!_70PAGE_3</vt:lpstr>
      <vt:lpstr>'June 19'!_70PAGE_3</vt:lpstr>
      <vt:lpstr>'June 20'!_70PAGE_3</vt:lpstr>
      <vt:lpstr>'Mar 20'!_70PAGE_3</vt:lpstr>
      <vt:lpstr>'March 14'!_70PAGE_3</vt:lpstr>
      <vt:lpstr>'March 15'!_70PAGE_3</vt:lpstr>
      <vt:lpstr>'March 16'!_70PAGE_3</vt:lpstr>
      <vt:lpstr>'March 17'!_70PAGE_3</vt:lpstr>
      <vt:lpstr>'March 18'!_70PAGE_3</vt:lpstr>
      <vt:lpstr>'March 19'!_70PAGE_3</vt:lpstr>
      <vt:lpstr>'Sept 14'!_70PAGE_3</vt:lpstr>
      <vt:lpstr>'Sept 15'!_70PAGE_3</vt:lpstr>
      <vt:lpstr>'Sept 16'!_70PAGE_3</vt:lpstr>
      <vt:lpstr>'Sept 17'!_70PAGE_3</vt:lpstr>
      <vt:lpstr>'Sept 18'!_70PAGE_3</vt:lpstr>
      <vt:lpstr>'Sept 19'!_70PAGE_3</vt:lpstr>
      <vt:lpstr>'Sept 20'!_70PAGE_3</vt:lpstr>
      <vt:lpstr>'June 07'!_71PAGE_3</vt:lpstr>
      <vt:lpstr>'June 08'!_72PAGE_3</vt:lpstr>
      <vt:lpstr>'June 09'!_73PAGE_3</vt:lpstr>
      <vt:lpstr>'June 10'!_74PAGE_3</vt:lpstr>
      <vt:lpstr>'June 11'!_75PAGE_3</vt:lpstr>
      <vt:lpstr>'June 12'!_76PAGE_3</vt:lpstr>
      <vt:lpstr>'June 13'!_77PAGE_3</vt:lpstr>
      <vt:lpstr>'March 07'!_78PAGE_3</vt:lpstr>
      <vt:lpstr>'March 08'!_79PAGE_3</vt:lpstr>
      <vt:lpstr>'Dec 12'!_7PAGE_1</vt:lpstr>
      <vt:lpstr>'March 09'!_80PAGE_3</vt:lpstr>
      <vt:lpstr>'March 10'!_81PAGE_3</vt:lpstr>
      <vt:lpstr>'March 11'!_82PAGE_3</vt:lpstr>
      <vt:lpstr>'March 12'!_83PAGE_3</vt:lpstr>
      <vt:lpstr>'March 13'!_84PAGE_3</vt:lpstr>
      <vt:lpstr>'Sept 06'!_85PAGE_3</vt:lpstr>
      <vt:lpstr>'Sept 11'!_86PAGE_3</vt:lpstr>
      <vt:lpstr>'Sept 12'!_87PAGE_3</vt:lpstr>
      <vt:lpstr>'Sept 13'!_88PAGE_3</vt:lpstr>
      <vt:lpstr>'September 07'!_89PAGE_3</vt:lpstr>
      <vt:lpstr>'Dec 13'!_8PAGE_1</vt:lpstr>
      <vt:lpstr>'Dec 14'!_8PAGE_1</vt:lpstr>
      <vt:lpstr>'Dec 15'!_8PAGE_1</vt:lpstr>
      <vt:lpstr>'Dec 16'!_8PAGE_1</vt:lpstr>
      <vt:lpstr>'Dec 17'!_8PAGE_1</vt:lpstr>
      <vt:lpstr>'Dec 18'!_8PAGE_1</vt:lpstr>
      <vt:lpstr>'Dec 19'!_8PAGE_1</vt:lpstr>
      <vt:lpstr>'June 14'!_8PAGE_1</vt:lpstr>
      <vt:lpstr>'June 15'!_8PAGE_1</vt:lpstr>
      <vt:lpstr>'June 16'!_8PAGE_1</vt:lpstr>
      <vt:lpstr>'June 17'!_8PAGE_1</vt:lpstr>
      <vt:lpstr>'June 18'!_8PAGE_1</vt:lpstr>
      <vt:lpstr>'June 19'!_8PAGE_1</vt:lpstr>
      <vt:lpstr>'June 20'!_8PAGE_1</vt:lpstr>
      <vt:lpstr>'Mar 20'!_8PAGE_1</vt:lpstr>
      <vt:lpstr>'March 14'!_8PAGE_1</vt:lpstr>
      <vt:lpstr>'March 15'!_8PAGE_1</vt:lpstr>
      <vt:lpstr>'March 16'!_8PAGE_1</vt:lpstr>
      <vt:lpstr>'March 17'!_8PAGE_1</vt:lpstr>
      <vt:lpstr>'March 18'!_8PAGE_1</vt:lpstr>
      <vt:lpstr>'March 19'!_8PAGE_1</vt:lpstr>
      <vt:lpstr>'Sept 14'!_8PAGE_1</vt:lpstr>
      <vt:lpstr>'Sept 15'!_8PAGE_1</vt:lpstr>
      <vt:lpstr>'Sept 16'!_8PAGE_1</vt:lpstr>
      <vt:lpstr>'Sept 17'!_8PAGE_1</vt:lpstr>
      <vt:lpstr>'Sept 18'!_8PAGE_1</vt:lpstr>
      <vt:lpstr>'Sept 19'!_8PAGE_1</vt:lpstr>
      <vt:lpstr>'Sept 20'!_8PAGE_1</vt:lpstr>
      <vt:lpstr>'September 08'!_90PAGE_3</vt:lpstr>
      <vt:lpstr>'September 09'!_91PAGE_3</vt:lpstr>
      <vt:lpstr>'September 10'!_92PAGE_3</vt:lpstr>
      <vt:lpstr>_93PAGE_3</vt:lpstr>
      <vt:lpstr>'Dec 06'!_94PAGE_4</vt:lpstr>
      <vt:lpstr>'Dec 07'!_95PAGE_4</vt:lpstr>
      <vt:lpstr>'Dec 08'!_96PAGE_4</vt:lpstr>
      <vt:lpstr>'Dec 09'!_97PAGE_4</vt:lpstr>
      <vt:lpstr>'Dec 10'!_98PAGE_4</vt:lpstr>
      <vt:lpstr>'Dec 11'!_99PAGE_4</vt:lpstr>
      <vt:lpstr>'June 07'!_9PAGE_1</vt:lpstr>
      <vt:lpstr>'Dec 06'!Print_Area</vt:lpstr>
      <vt:lpstr>'Dec 07'!Print_Area</vt:lpstr>
      <vt:lpstr>'Dec 08'!Print_Area</vt:lpstr>
      <vt:lpstr>'Dec 09'!Print_Area</vt:lpstr>
      <vt:lpstr>'Dec 10'!Print_Area</vt:lpstr>
      <vt:lpstr>'Dec 11'!Print_Area</vt:lpstr>
      <vt:lpstr>'Dec 12'!Print_Area</vt:lpstr>
      <vt:lpstr>'Dec 13'!Print_Area</vt:lpstr>
      <vt:lpstr>'Dec 14'!Print_Area</vt:lpstr>
      <vt:lpstr>'Dec 15'!Print_Area</vt:lpstr>
      <vt:lpstr>'Dec 16'!Print_Area</vt:lpstr>
      <vt:lpstr>'Dec 17'!Print_Area</vt:lpstr>
      <vt:lpstr>'Dec 18'!Print_Area</vt:lpstr>
      <vt:lpstr>'Dec 19'!Print_Area</vt:lpstr>
      <vt:lpstr>'June 06'!Print_Area</vt:lpstr>
      <vt:lpstr>'June 07'!Print_Area</vt:lpstr>
      <vt:lpstr>'June 08'!Print_Area</vt:lpstr>
      <vt:lpstr>'June 09'!Print_Area</vt:lpstr>
      <vt:lpstr>'June 10'!Print_Area</vt:lpstr>
      <vt:lpstr>'June 11'!Print_Area</vt:lpstr>
      <vt:lpstr>'June 12'!Print_Area</vt:lpstr>
      <vt:lpstr>'June 13'!Print_Area</vt:lpstr>
      <vt:lpstr>'June 14'!Print_Area</vt:lpstr>
      <vt:lpstr>'June 15'!Print_Area</vt:lpstr>
      <vt:lpstr>'June 16'!Print_Area</vt:lpstr>
      <vt:lpstr>'June 17'!Print_Area</vt:lpstr>
      <vt:lpstr>'June 18'!Print_Area</vt:lpstr>
      <vt:lpstr>'June 19'!Print_Area</vt:lpstr>
      <vt:lpstr>'June 20'!Print_Area</vt:lpstr>
      <vt:lpstr>'Mar 20'!Print_Area</vt:lpstr>
      <vt:lpstr>'March 07'!Print_Area</vt:lpstr>
      <vt:lpstr>'March 08'!Print_Area</vt:lpstr>
      <vt:lpstr>'March 09'!Print_Area</vt:lpstr>
      <vt:lpstr>'March 10'!Print_Area</vt:lpstr>
      <vt:lpstr>'March 11'!Print_Area</vt:lpstr>
      <vt:lpstr>'March 12'!Print_Area</vt:lpstr>
      <vt:lpstr>'March 13'!Print_Area</vt:lpstr>
      <vt:lpstr>'March 14'!Print_Area</vt:lpstr>
      <vt:lpstr>'March 15'!Print_Area</vt:lpstr>
      <vt:lpstr>'March 16'!Print_Area</vt:lpstr>
      <vt:lpstr>'March 17'!Print_Area</vt:lpstr>
      <vt:lpstr>'March 18'!Print_Area</vt:lpstr>
      <vt:lpstr>'March 19'!Print_Area</vt:lpstr>
      <vt:lpstr>'Sept 06'!Print_Area</vt:lpstr>
      <vt:lpstr>'Sept 11'!Print_Area</vt:lpstr>
      <vt:lpstr>'Sept 12'!Print_Area</vt:lpstr>
      <vt:lpstr>'Sept 13'!Print_Area</vt:lpstr>
      <vt:lpstr>'Sept 14'!Print_Area</vt:lpstr>
      <vt:lpstr>'Sept 15'!Print_Area</vt:lpstr>
      <vt:lpstr>'Sept 16'!Print_Area</vt:lpstr>
      <vt:lpstr>'Sept 17'!Print_Area</vt:lpstr>
      <vt:lpstr>'Sept 18'!Print_Area</vt:lpstr>
      <vt:lpstr>'Sept 19'!Print_Area</vt:lpstr>
      <vt:lpstr>'Sept 20'!Print_Area</vt:lpstr>
      <vt:lpstr>'September 07'!Print_Area</vt:lpstr>
      <vt:lpstr>'September 08'!Print_Area</vt:lpstr>
      <vt:lpstr>'September 09'!Print_Area</vt:lpstr>
      <vt:lpstr>'September 10'!Print_Area</vt:lpstr>
      <vt:lpst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 Gilbride</dc:creator>
  <cp:lastModifiedBy>Andrew Kitching</cp:lastModifiedBy>
  <cp:lastPrinted>2019-04-16T09:56:36Z</cp:lastPrinted>
  <dcterms:created xsi:type="dcterms:W3CDTF">2003-11-18T07:58:35Z</dcterms:created>
  <dcterms:modified xsi:type="dcterms:W3CDTF">2020-10-20T08:03:13Z</dcterms:modified>
</cp:coreProperties>
</file>